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2.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updateLinks="never" codeName="ThisWorkbook" defaultThemeVersion="124226"/>
  <mc:AlternateContent xmlns:mc="http://schemas.openxmlformats.org/markup-compatibility/2006">
    <mc:Choice Requires="x15">
      <x15ac:absPath xmlns:x15ac="http://schemas.microsoft.com/office/spreadsheetml/2010/11/ac" url="\\Docserve\account$\saqbc474\﨑山\安推課（安対）\10_定報\2_電子申請\アサミ様式\"/>
    </mc:Choice>
  </mc:AlternateContent>
  <xr:revisionPtr revIDLastSave="0" documentId="13_ncr:1_{511ABE0C-F42C-42F3-9886-BD25596E6F62}" xr6:coauthVersionLast="47" xr6:coauthVersionMax="47" xr10:uidLastSave="{00000000-0000-0000-0000-000000000000}"/>
  <workbookProtection workbookAlgorithmName="SHA-512" workbookHashValue="wdI50bCz0Gl6CUtlvQI/fojunBg8J7VqDSuvl2RBGG03wmVnPF5tvkS8vCTGE/MbrM90W/Uj3bmt1r3UT+tAlg==" workbookSaltValue="gSWrKiePa5WfG3O6Z58SOQ==" workbookSpinCount="100000" lockStructure="1"/>
  <bookViews>
    <workbookView xWindow="-110" yWindow="-110" windowWidth="19420" windowHeight="10420" tabRatio="846" xr2:uid="{4BF44C8D-3533-46AA-BBD0-5FA93990EA4A}"/>
  </bookViews>
  <sheets>
    <sheet name="使用方法" sheetId="126" r:id="rId1"/>
    <sheet name="チェックシート" sheetId="125" r:id="rId2"/>
    <sheet name="1_入力シート【基本情報】" sheetId="112" r:id="rId3"/>
    <sheet name="2_入力シート【用途面積】" sheetId="37" r:id="rId4"/>
    <sheet name="3_入力シート【写真】" sheetId="111" r:id="rId5"/>
    <sheet name="＜別途添付要＞図面" sheetId="122" r:id="rId6"/>
    <sheet name="＜入力不要＞受付管理票" sheetId="124" r:id="rId7"/>
    <sheet name="＜入力不要＞報告書" sheetId="114" r:id="rId8"/>
    <sheet name="＜入力不要＞概要書" sheetId="115" r:id="rId9"/>
    <sheet name="＜入力不要＞調査結果表" sheetId="121" r:id="rId10"/>
    <sheet name="リンクシート" sheetId="123" state="hidden" r:id="rId11"/>
    <sheet name="CSVシート" sheetId="116" state="hidden" r:id="rId12"/>
    <sheet name="リンクシート_概要1" sheetId="130" state="hidden" r:id="rId13"/>
    <sheet name="CSVシート_概要1" sheetId="131" state="hidden" r:id="rId14"/>
    <sheet name="リンクシート_概要2" sheetId="127" state="hidden" r:id="rId15"/>
    <sheet name="CSVシート_概要2" sheetId="128" state="hidden" r:id="rId16"/>
    <sheet name="プルダウン選択肢" sheetId="113" state="hidden" r:id="rId17"/>
  </sheets>
  <definedNames>
    <definedName name="_xlnm._FilterDatabase" localSheetId="2" hidden="1">'1_入力シート【基本情報】'!$A$1:$C$1724</definedName>
    <definedName name="_xlnm._FilterDatabase" localSheetId="3" hidden="1">'2_入力シート【用途面積】'!$A$1:$A$99</definedName>
    <definedName name="_xlnm._FilterDatabase" localSheetId="11" hidden="1">CSVシート!$A$1:$A$16373</definedName>
    <definedName name="_xlnm._FilterDatabase" localSheetId="10" hidden="1">リンクシート!$E$1:$E$1958</definedName>
    <definedName name="_xlnm.Print_Area" localSheetId="8">'＜入力不要＞概要書'!$A$4:$AT$380</definedName>
    <definedName name="_xlnm.Print_Area" localSheetId="6">'＜入力不要＞受付管理票'!$A$3:$AX$82</definedName>
    <definedName name="_xlnm.Print_Area" localSheetId="9">'＜入力不要＞調査結果表'!$A$2:$AP$257</definedName>
    <definedName name="_xlnm.Print_Area" localSheetId="7">'＜入力不要＞報告書'!$A$4:$AT$603</definedName>
    <definedName name="_xlnm.Print_Area" localSheetId="5">'＜別途添付要＞図面'!$A$2:$U$45</definedName>
    <definedName name="_xlnm.Print_Area" localSheetId="2">'1_入力シート【基本情報】'!$A$1:$CU$526</definedName>
    <definedName name="_xlnm.Print_Area" localSheetId="3">'2_入力シート【用途面積】'!$C$2:$T$72</definedName>
    <definedName name="_xlnm.Print_Area" localSheetId="4">'3_入力シート【写真】'!$A$7:$AU$604</definedName>
    <definedName name="_xlnm.Print_Area" localSheetId="1">チェックシート!$A$3:$H$57</definedName>
    <definedName name="_xlnm.Print_Titles" localSheetId="8">'＜入力不要＞概要書'!$4:$4</definedName>
    <definedName name="_xlnm.Print_Titles" localSheetId="9">'＜入力不要＞調査結果表'!$2:$2</definedName>
    <definedName name="_xlnm.Print_Titles" localSheetId="7">'＜入力不要＞報告書'!$5:$5</definedName>
    <definedName name="スポーツ練習場等">プルダウン選択肢!$AN$4:$AN$8</definedName>
    <definedName name="飲食等">プルダウン選択肢!$AQ$4:$AQ$6</definedName>
    <definedName name="学校_体育館_学校付属">プルダウン選択肢!$AK$4:$AK$5</definedName>
    <definedName name="劇場_映画館等">プルダウン選択肢!$AC$4:$AC$6</definedName>
    <definedName name="事務所_サービス店舗等">プルダウン選択肢!$AT$4:$AT$8</definedName>
    <definedName name="児童福祉施設等_1_市指定">プルダウン選択肢!$AI$4:$AI$14</definedName>
    <definedName name="児童福祉施設等_2_国指定">プルダウン選択肢!$AJ$4:$AJ$23</definedName>
    <definedName name="自動車車庫等">プルダウン選択肢!$AS$4:$AS$7</definedName>
    <definedName name="集会場等">プルダウン選択肢!$AD$4:$AD$6</definedName>
    <definedName name="住居系施設_高齢者_障害者等">プルダウン選択肢!$AH$4:$AH$6</definedName>
    <definedName name="住居系施設_高齢者_障害者等以外">プルダウン選択肢!$AG$4:$AG$6</definedName>
    <definedName name="宿泊施設">プルダウン選択肢!$AF$4:$AF$5</definedName>
    <definedName name="体育館_学校付属以外">プルダウン選択肢!$AL$4</definedName>
    <definedName name="定報対象以外の用途_倉庫">プルダウン選択肢!$AU$4</definedName>
    <definedName name="定報対象以外の用途_倉庫以外">プルダウン選択肢!$AV$4:$AV$6</definedName>
    <definedName name="展示場等">プルダウン選択肢!$AP$4</definedName>
    <definedName name="美術館等">プルダウン選択肢!$AM$4:$AM$6</definedName>
    <definedName name="病院系施設">プルダウン選択肢!$AE$4:$AE$5</definedName>
    <definedName name="物販店等">プルダウン選択肢!$AO$4:$AO$6</definedName>
    <definedName name="遊技場等">プルダウン選択肢!$AR$4:$AR$10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V507" i="112" l="1"/>
  <c r="HV506" i="112"/>
  <c r="HV505" i="112"/>
  <c r="HV504" i="112"/>
  <c r="HV503" i="112"/>
  <c r="HV502" i="112"/>
  <c r="HV501" i="112"/>
  <c r="HV500" i="112"/>
  <c r="HV499" i="112"/>
  <c r="HV498" i="112"/>
  <c r="HV497" i="112"/>
  <c r="HV496" i="112"/>
  <c r="HV495" i="112"/>
  <c r="HV494" i="112"/>
  <c r="HV488" i="112"/>
  <c r="HV487" i="112"/>
  <c r="HV486" i="112"/>
  <c r="HV485" i="112"/>
  <c r="HV484" i="112"/>
  <c r="HV483" i="112"/>
  <c r="HV482" i="112"/>
  <c r="HV481" i="112"/>
  <c r="HV480" i="112"/>
  <c r="HV479" i="112"/>
  <c r="HV478" i="112"/>
  <c r="HV477" i="112"/>
  <c r="HV476" i="112"/>
  <c r="HV475" i="112"/>
  <c r="HV470" i="112"/>
  <c r="HV469" i="112"/>
  <c r="HV468" i="112"/>
  <c r="HV467" i="112"/>
  <c r="HV466" i="112"/>
  <c r="HV465" i="112"/>
  <c r="HV464" i="112"/>
  <c r="HV463" i="112"/>
  <c r="HV462" i="112"/>
  <c r="HV461" i="112"/>
  <c r="HV460" i="112"/>
  <c r="HV459" i="112"/>
  <c r="HV458" i="112"/>
  <c r="HV457" i="112"/>
  <c r="HV456" i="112"/>
  <c r="HV455" i="112"/>
  <c r="HV454" i="112"/>
  <c r="HV453" i="112"/>
  <c r="HV452" i="112"/>
  <c r="HV451" i="112"/>
  <c r="HV450" i="112"/>
  <c r="HV449" i="112"/>
  <c r="HV448" i="112"/>
  <c r="HV447" i="112"/>
  <c r="HV446" i="112"/>
  <c r="HV445" i="112"/>
  <c r="HV444" i="112"/>
  <c r="HV443" i="112"/>
  <c r="HV442" i="112"/>
  <c r="HV441" i="112"/>
  <c r="HV440" i="112"/>
  <c r="HV439" i="112"/>
  <c r="HV438" i="112"/>
  <c r="HV437" i="112"/>
  <c r="HV436" i="112"/>
  <c r="HV435" i="112"/>
  <c r="HV434" i="112"/>
  <c r="HV433" i="112"/>
  <c r="HV432" i="112"/>
  <c r="HV431" i="112"/>
  <c r="HV430" i="112"/>
  <c r="HV429" i="112"/>
  <c r="HV428" i="112"/>
  <c r="HV427" i="112"/>
  <c r="HV426" i="112"/>
  <c r="HV421" i="112"/>
  <c r="HV420" i="112"/>
  <c r="HV419" i="112"/>
  <c r="HV418" i="112"/>
  <c r="HV417" i="112"/>
  <c r="HV416" i="112"/>
  <c r="HV415" i="112"/>
  <c r="HV414" i="112"/>
  <c r="HV413" i="112"/>
  <c r="HV412" i="112"/>
  <c r="HV411" i="112"/>
  <c r="HV410" i="112"/>
  <c r="HV409" i="112"/>
  <c r="HV408" i="112"/>
  <c r="HV407" i="112"/>
  <c r="HV406" i="112"/>
  <c r="HV405" i="112"/>
  <c r="HV404" i="112"/>
  <c r="HV403" i="112"/>
  <c r="HV402" i="112"/>
  <c r="HV401" i="112"/>
  <c r="HV400" i="112"/>
  <c r="HV399" i="112"/>
  <c r="HV398" i="112"/>
  <c r="HV397" i="112"/>
  <c r="HV396" i="112"/>
  <c r="HV395" i="112"/>
  <c r="HV394" i="112"/>
  <c r="HV393" i="112"/>
  <c r="HV392" i="112"/>
  <c r="HV391" i="112"/>
  <c r="HV390" i="112"/>
  <c r="HV389" i="112"/>
  <c r="HV388" i="112"/>
  <c r="HV387" i="112"/>
  <c r="HV386" i="112"/>
  <c r="HV385" i="112"/>
  <c r="HV384" i="112"/>
  <c r="HV383" i="112"/>
  <c r="HV382" i="112"/>
  <c r="HV381" i="112"/>
  <c r="HV380" i="112"/>
  <c r="HV379" i="112"/>
  <c r="HV378" i="112"/>
  <c r="HV377" i="112"/>
  <c r="HV376" i="112"/>
  <c r="HV375" i="112"/>
  <c r="HV374" i="112"/>
  <c r="HV373" i="112"/>
  <c r="HV372" i="112"/>
  <c r="HV371" i="112"/>
  <c r="HV370" i="112"/>
  <c r="HV365" i="112"/>
  <c r="HV364" i="112"/>
  <c r="HV363" i="112"/>
  <c r="HV362" i="112"/>
  <c r="HV361" i="112"/>
  <c r="HV360" i="112"/>
  <c r="HV359" i="112"/>
  <c r="HV358" i="112"/>
  <c r="HV357" i="112"/>
  <c r="HV356" i="112"/>
  <c r="HV355" i="112"/>
  <c r="HV354" i="112"/>
  <c r="HV353" i="112"/>
  <c r="HV352" i="112"/>
  <c r="HV347" i="112"/>
  <c r="HV346" i="112"/>
  <c r="HV345" i="112"/>
  <c r="HV344" i="112"/>
  <c r="HV343" i="112"/>
  <c r="HV342" i="112"/>
  <c r="HV341" i="112"/>
  <c r="HV340" i="112"/>
  <c r="HV339" i="112"/>
  <c r="HV338" i="112"/>
  <c r="HV337" i="112"/>
  <c r="HV336" i="112"/>
  <c r="HV335" i="112"/>
  <c r="HV334" i="112"/>
  <c r="HV333" i="112"/>
  <c r="HV332" i="112"/>
  <c r="HV331" i="112"/>
  <c r="HV330" i="112"/>
  <c r="HV329" i="112"/>
  <c r="HV328" i="112"/>
  <c r="HV327" i="112"/>
  <c r="HV326" i="112"/>
  <c r="HV325" i="112"/>
  <c r="HV320" i="112"/>
  <c r="HV319" i="112"/>
  <c r="HV318" i="112"/>
  <c r="HV317" i="112"/>
  <c r="HV316" i="112"/>
  <c r="HV315" i="112"/>
  <c r="HV314" i="112"/>
  <c r="HV313" i="112"/>
  <c r="HV312" i="112"/>
  <c r="HV311" i="112"/>
  <c r="HV310" i="112"/>
  <c r="HX507" i="112"/>
  <c r="HX506" i="112"/>
  <c r="HX505" i="112"/>
  <c r="HX504" i="112"/>
  <c r="HX503" i="112"/>
  <c r="HX502" i="112"/>
  <c r="HX501" i="112"/>
  <c r="HX500" i="112"/>
  <c r="HX499" i="112"/>
  <c r="HX498" i="112"/>
  <c r="HX497" i="112"/>
  <c r="HX496" i="112"/>
  <c r="HX495" i="112"/>
  <c r="HX494" i="112"/>
  <c r="HX488" i="112"/>
  <c r="HX487" i="112"/>
  <c r="HX486" i="112"/>
  <c r="HX485" i="112"/>
  <c r="HX484" i="112"/>
  <c r="HX483" i="112"/>
  <c r="HX482" i="112"/>
  <c r="HX481" i="112"/>
  <c r="HX480" i="112"/>
  <c r="HX479" i="112"/>
  <c r="HX478" i="112"/>
  <c r="HX477" i="112"/>
  <c r="HX476" i="112"/>
  <c r="HX475" i="112"/>
  <c r="HX470" i="112"/>
  <c r="HX469" i="112"/>
  <c r="HX468" i="112"/>
  <c r="HX467" i="112"/>
  <c r="HX466" i="112"/>
  <c r="HX465" i="112"/>
  <c r="HX464" i="112"/>
  <c r="HX463" i="112"/>
  <c r="HX462" i="112"/>
  <c r="HX461" i="112"/>
  <c r="HX460" i="112"/>
  <c r="HX459" i="112"/>
  <c r="HX458" i="112"/>
  <c r="HX457" i="112"/>
  <c r="HX456" i="112"/>
  <c r="HX455" i="112"/>
  <c r="HX454" i="112"/>
  <c r="HX453" i="112"/>
  <c r="HX452" i="112"/>
  <c r="HX451" i="112"/>
  <c r="HX450" i="112"/>
  <c r="HX449" i="112"/>
  <c r="HX448" i="112"/>
  <c r="HX447" i="112"/>
  <c r="HX446" i="112"/>
  <c r="HX445" i="112"/>
  <c r="HX444" i="112"/>
  <c r="HX443" i="112"/>
  <c r="HX442" i="112"/>
  <c r="HX441" i="112"/>
  <c r="HX440" i="112"/>
  <c r="HX439" i="112"/>
  <c r="HX438" i="112"/>
  <c r="HX437" i="112"/>
  <c r="HX436" i="112"/>
  <c r="HX435" i="112"/>
  <c r="HX434" i="112"/>
  <c r="HX433" i="112"/>
  <c r="HX432" i="112"/>
  <c r="HX431" i="112"/>
  <c r="HX430" i="112"/>
  <c r="HX429" i="112"/>
  <c r="HX428" i="112"/>
  <c r="HX427" i="112"/>
  <c r="HX426" i="112"/>
  <c r="HX421" i="112"/>
  <c r="HX420" i="112"/>
  <c r="HX419" i="112"/>
  <c r="HX418" i="112"/>
  <c r="HX417" i="112"/>
  <c r="HX416" i="112"/>
  <c r="HX415" i="112"/>
  <c r="HX414" i="112"/>
  <c r="HX413" i="112"/>
  <c r="HX412" i="112"/>
  <c r="HX411" i="112"/>
  <c r="HX410" i="112"/>
  <c r="HX409" i="112"/>
  <c r="HX408" i="112"/>
  <c r="HX407" i="112"/>
  <c r="HX406" i="112"/>
  <c r="HX405" i="112"/>
  <c r="HX404" i="112"/>
  <c r="HX403" i="112"/>
  <c r="HX402" i="112"/>
  <c r="HX401" i="112"/>
  <c r="HX400" i="112"/>
  <c r="HX399" i="112"/>
  <c r="HX398" i="112"/>
  <c r="HX397" i="112"/>
  <c r="HX396" i="112"/>
  <c r="HX395" i="112"/>
  <c r="HX394" i="112"/>
  <c r="HX393" i="112"/>
  <c r="HX392" i="112"/>
  <c r="HX391" i="112"/>
  <c r="HX390" i="112"/>
  <c r="HX389" i="112"/>
  <c r="HX388" i="112"/>
  <c r="HX387" i="112"/>
  <c r="HX386" i="112"/>
  <c r="HX385" i="112"/>
  <c r="HX384" i="112"/>
  <c r="HX383" i="112"/>
  <c r="HX382" i="112"/>
  <c r="HX381" i="112"/>
  <c r="HX380" i="112"/>
  <c r="HX379" i="112"/>
  <c r="HX378" i="112"/>
  <c r="HX377" i="112"/>
  <c r="HX376" i="112"/>
  <c r="HX375" i="112"/>
  <c r="HX374" i="112"/>
  <c r="HX373" i="112"/>
  <c r="HX372" i="112"/>
  <c r="HX371" i="112"/>
  <c r="HX370" i="112"/>
  <c r="HX365" i="112"/>
  <c r="HX364" i="112"/>
  <c r="HX363" i="112"/>
  <c r="HX362" i="112"/>
  <c r="HX361" i="112"/>
  <c r="HX360" i="112"/>
  <c r="HX359" i="112"/>
  <c r="HX358" i="112"/>
  <c r="HX357" i="112"/>
  <c r="HX356" i="112"/>
  <c r="HX355" i="112"/>
  <c r="HX354" i="112"/>
  <c r="HX353" i="112"/>
  <c r="HX352" i="112"/>
  <c r="HX347" i="112"/>
  <c r="HX346" i="112"/>
  <c r="HX345" i="112"/>
  <c r="HX344" i="112"/>
  <c r="HX343" i="112"/>
  <c r="HX342" i="112"/>
  <c r="HX341" i="112"/>
  <c r="HX340" i="112"/>
  <c r="HX339" i="112"/>
  <c r="HX338" i="112"/>
  <c r="HX337" i="112"/>
  <c r="HX336" i="112"/>
  <c r="HX335" i="112"/>
  <c r="HX334" i="112"/>
  <c r="HX333" i="112"/>
  <c r="HX332" i="112"/>
  <c r="HX331" i="112"/>
  <c r="HX330" i="112"/>
  <c r="HX329" i="112"/>
  <c r="HX328" i="112"/>
  <c r="HX327" i="112"/>
  <c r="HX326" i="112"/>
  <c r="HX325" i="112"/>
  <c r="HX320" i="112"/>
  <c r="HX319" i="112"/>
  <c r="HX318" i="112"/>
  <c r="HX317" i="112"/>
  <c r="HX316" i="112"/>
  <c r="HX315" i="112"/>
  <c r="HX314" i="112"/>
  <c r="HX313" i="112"/>
  <c r="HX312" i="112"/>
  <c r="HX311" i="112"/>
  <c r="HX310" i="112"/>
  <c r="DW200" i="112" l="1"/>
  <c r="I54" i="125"/>
  <c r="I49" i="125"/>
  <c r="I43" i="125"/>
  <c r="HW526" i="112"/>
  <c r="HX526" i="112" s="1"/>
  <c r="HU526" i="112"/>
  <c r="HW525" i="112"/>
  <c r="HX525" i="112" s="1"/>
  <c r="HU525" i="112"/>
  <c r="HV525" i="112" s="1"/>
  <c r="DU525" i="112" s="1"/>
  <c r="HW524" i="112"/>
  <c r="HX524" i="112" s="1"/>
  <c r="HU524" i="112"/>
  <c r="HW523" i="112"/>
  <c r="HX523" i="112" s="1"/>
  <c r="HU523" i="112"/>
  <c r="HV523" i="112" s="1"/>
  <c r="DU523" i="112" s="1"/>
  <c r="HW522" i="112"/>
  <c r="HX522" i="112" s="1"/>
  <c r="HU522" i="112"/>
  <c r="HW521" i="112"/>
  <c r="HX521" i="112" s="1"/>
  <c r="HU521" i="112"/>
  <c r="HV521" i="112" s="1"/>
  <c r="DU521" i="112" s="1"/>
  <c r="HW520" i="112"/>
  <c r="HX520" i="112" s="1"/>
  <c r="HU520" i="112"/>
  <c r="HW519" i="112"/>
  <c r="HX519" i="112" s="1"/>
  <c r="HU519" i="112"/>
  <c r="HV519" i="112" s="1"/>
  <c r="DU519" i="112" s="1"/>
  <c r="HW518" i="112"/>
  <c r="HX518" i="112" s="1"/>
  <c r="HU518" i="112"/>
  <c r="HW517" i="112"/>
  <c r="HX517" i="112" s="1"/>
  <c r="HU517" i="112"/>
  <c r="HV517" i="112" s="1"/>
  <c r="DU517" i="112" s="1"/>
  <c r="HW516" i="112"/>
  <c r="HX516" i="112" s="1"/>
  <c r="HU516" i="112"/>
  <c r="HW515" i="112"/>
  <c r="HX515" i="112" s="1"/>
  <c r="HU515" i="112"/>
  <c r="HV515" i="112" s="1"/>
  <c r="DU515" i="112" s="1"/>
  <c r="HW507" i="112"/>
  <c r="HU507" i="112"/>
  <c r="HW506" i="112"/>
  <c r="HU506" i="112"/>
  <c r="DU506" i="112" s="1"/>
  <c r="HW505" i="112"/>
  <c r="DU505" i="112"/>
  <c r="HU505" i="112"/>
  <c r="HW504" i="112"/>
  <c r="HU504" i="112"/>
  <c r="HW503" i="112"/>
  <c r="DU503" i="112"/>
  <c r="HU503" i="112"/>
  <c r="HW502" i="112"/>
  <c r="HU502" i="112"/>
  <c r="DU502" i="112" s="1"/>
  <c r="HW501" i="112"/>
  <c r="DU501" i="112"/>
  <c r="HU501" i="112"/>
  <c r="HW500" i="112"/>
  <c r="HU500" i="112"/>
  <c r="DU500" i="112" s="1"/>
  <c r="HW499" i="112"/>
  <c r="HU499" i="112"/>
  <c r="HW498" i="112"/>
  <c r="HU498" i="112"/>
  <c r="DU498" i="112" s="1"/>
  <c r="HW497" i="112"/>
  <c r="DU497" i="112"/>
  <c r="HU497" i="112"/>
  <c r="HW496" i="112"/>
  <c r="HU496" i="112"/>
  <c r="DU496" i="112" s="1"/>
  <c r="HW495" i="112"/>
  <c r="DU495" i="112"/>
  <c r="HU495" i="112"/>
  <c r="HW494" i="112"/>
  <c r="HU494" i="112"/>
  <c r="DU494" i="112" s="1"/>
  <c r="HW488" i="112"/>
  <c r="HU488" i="112"/>
  <c r="HW487" i="112"/>
  <c r="DU487" i="112"/>
  <c r="HU487" i="112"/>
  <c r="HW486" i="112"/>
  <c r="HU486" i="112"/>
  <c r="DU486" i="112" s="1"/>
  <c r="HW485" i="112"/>
  <c r="DU485" i="112"/>
  <c r="HU485" i="112"/>
  <c r="HW484" i="112"/>
  <c r="HU484" i="112"/>
  <c r="HW483" i="112"/>
  <c r="DU483" i="112"/>
  <c r="HU483" i="112"/>
  <c r="HW482" i="112"/>
  <c r="HU482" i="112"/>
  <c r="DU482" i="112" s="1"/>
  <c r="HW481" i="112"/>
  <c r="DU481" i="112"/>
  <c r="HU481" i="112"/>
  <c r="HW480" i="112"/>
  <c r="HU480" i="112"/>
  <c r="DU480" i="112" s="1"/>
  <c r="HW479" i="112"/>
  <c r="DU479" i="112"/>
  <c r="HU479" i="112"/>
  <c r="HW478" i="112"/>
  <c r="HU478" i="112"/>
  <c r="HW477" i="112"/>
  <c r="DU477" i="112"/>
  <c r="HU477" i="112"/>
  <c r="HW476" i="112"/>
  <c r="HU476" i="112"/>
  <c r="DU476" i="112" s="1"/>
  <c r="HW475" i="112"/>
  <c r="DU475" i="112"/>
  <c r="HU475" i="112"/>
  <c r="HW470" i="112"/>
  <c r="HU470" i="112"/>
  <c r="DU470" i="112" s="1"/>
  <c r="HW469" i="112"/>
  <c r="DU469" i="112"/>
  <c r="HU469" i="112"/>
  <c r="HW468" i="112"/>
  <c r="HU468" i="112"/>
  <c r="HW467" i="112"/>
  <c r="DU467" i="112"/>
  <c r="HU467" i="112"/>
  <c r="HW466" i="112"/>
  <c r="HU466" i="112"/>
  <c r="DU466" i="112" s="1"/>
  <c r="HW465" i="112"/>
  <c r="DU465" i="112"/>
  <c r="HU465" i="112"/>
  <c r="HW464" i="112"/>
  <c r="HU464" i="112"/>
  <c r="DU464" i="112" s="1"/>
  <c r="HW463" i="112"/>
  <c r="DU463" i="112"/>
  <c r="HU463" i="112"/>
  <c r="HW462" i="112"/>
  <c r="HU462" i="112"/>
  <c r="DU462" i="112" s="1"/>
  <c r="HW461" i="112"/>
  <c r="DU461" i="112"/>
  <c r="HU461" i="112"/>
  <c r="HW460" i="112"/>
  <c r="HU460" i="112"/>
  <c r="DU460" i="112" s="1"/>
  <c r="HW459" i="112"/>
  <c r="DU459" i="112"/>
  <c r="HU459" i="112"/>
  <c r="HW458" i="112"/>
  <c r="HU458" i="112"/>
  <c r="DU458" i="112" s="1"/>
  <c r="HW457" i="112"/>
  <c r="DU457" i="112"/>
  <c r="HU457" i="112"/>
  <c r="HW456" i="112"/>
  <c r="HU456" i="112"/>
  <c r="DU456" i="112" s="1"/>
  <c r="HW455" i="112"/>
  <c r="DU455" i="112"/>
  <c r="HU455" i="112"/>
  <c r="HW454" i="112"/>
  <c r="HU454" i="112"/>
  <c r="DU454" i="112" s="1"/>
  <c r="HW453" i="112"/>
  <c r="DU453" i="112"/>
  <c r="HU453" i="112"/>
  <c r="HW452" i="112"/>
  <c r="HU452" i="112"/>
  <c r="DU452" i="112" s="1"/>
  <c r="HW451" i="112"/>
  <c r="DU451" i="112"/>
  <c r="HU451" i="112"/>
  <c r="HW450" i="112"/>
  <c r="HU450" i="112"/>
  <c r="DU450" i="112" s="1"/>
  <c r="HW449" i="112"/>
  <c r="DU449" i="112"/>
  <c r="HU449" i="112"/>
  <c r="HW448" i="112"/>
  <c r="HU448" i="112"/>
  <c r="DU448" i="112" s="1"/>
  <c r="HW447" i="112"/>
  <c r="DU447" i="112"/>
  <c r="HU447" i="112"/>
  <c r="HW446" i="112"/>
  <c r="HU446" i="112"/>
  <c r="DU446" i="112" s="1"/>
  <c r="HW445" i="112"/>
  <c r="HU445" i="112"/>
  <c r="DU445" i="112" s="1"/>
  <c r="HW444" i="112"/>
  <c r="HU444" i="112"/>
  <c r="DU444" i="112" s="1"/>
  <c r="HW443" i="112"/>
  <c r="HU443" i="112"/>
  <c r="DU443" i="112" s="1"/>
  <c r="HW442" i="112"/>
  <c r="HU442" i="112"/>
  <c r="DU442" i="112" s="1"/>
  <c r="HW441" i="112"/>
  <c r="HU441" i="112"/>
  <c r="DU441" i="112" s="1"/>
  <c r="HW440" i="112"/>
  <c r="HU440" i="112"/>
  <c r="DU440" i="112" s="1"/>
  <c r="HW439" i="112"/>
  <c r="HU439" i="112"/>
  <c r="DU439" i="112" s="1"/>
  <c r="HW438" i="112"/>
  <c r="HU438" i="112"/>
  <c r="DU438" i="112" s="1"/>
  <c r="HW437" i="112"/>
  <c r="DU437" i="112"/>
  <c r="HU437" i="112"/>
  <c r="HW436" i="112"/>
  <c r="HU436" i="112"/>
  <c r="DU436" i="112" s="1"/>
  <c r="HW435" i="112"/>
  <c r="DU435" i="112"/>
  <c r="HU435" i="112"/>
  <c r="HW434" i="112"/>
  <c r="HU434" i="112"/>
  <c r="DU434" i="112" s="1"/>
  <c r="HW433" i="112"/>
  <c r="DU433" i="112"/>
  <c r="HU433" i="112"/>
  <c r="HW432" i="112"/>
  <c r="HU432" i="112"/>
  <c r="DU432" i="112" s="1"/>
  <c r="HW431" i="112"/>
  <c r="DU431" i="112"/>
  <c r="HU431" i="112"/>
  <c r="HW430" i="112"/>
  <c r="HU430" i="112"/>
  <c r="DU430" i="112" s="1"/>
  <c r="HW429" i="112"/>
  <c r="HU429" i="112"/>
  <c r="DU429" i="112" s="1"/>
  <c r="HW428" i="112"/>
  <c r="HU428" i="112"/>
  <c r="DU428" i="112" s="1"/>
  <c r="HW427" i="112"/>
  <c r="HU427" i="112"/>
  <c r="DU427" i="112" s="1"/>
  <c r="HW426" i="112"/>
  <c r="HU426" i="112"/>
  <c r="DU426" i="112" s="1"/>
  <c r="HW421" i="112"/>
  <c r="DU421" i="112"/>
  <c r="HU421" i="112"/>
  <c r="HW420" i="112"/>
  <c r="HU420" i="112"/>
  <c r="DU420" i="112" s="1"/>
  <c r="HW419" i="112"/>
  <c r="DU419" i="112"/>
  <c r="HU419" i="112"/>
  <c r="HW418" i="112"/>
  <c r="HU418" i="112"/>
  <c r="DU418" i="112" s="1"/>
  <c r="HW417" i="112"/>
  <c r="DU417" i="112"/>
  <c r="HU417" i="112"/>
  <c r="HW416" i="112"/>
  <c r="HU416" i="112"/>
  <c r="DU416" i="112" s="1"/>
  <c r="HW415" i="112"/>
  <c r="DU415" i="112"/>
  <c r="HU415" i="112"/>
  <c r="HW414" i="112"/>
  <c r="HU414" i="112"/>
  <c r="DU414" i="112" s="1"/>
  <c r="HW413" i="112"/>
  <c r="DU413" i="112"/>
  <c r="HU413" i="112"/>
  <c r="HW412" i="112"/>
  <c r="HU412" i="112"/>
  <c r="DU412" i="112" s="1"/>
  <c r="HW411" i="112"/>
  <c r="HU411" i="112"/>
  <c r="DU411" i="112" s="1"/>
  <c r="HW410" i="112"/>
  <c r="HU410" i="112"/>
  <c r="DU410" i="112" s="1"/>
  <c r="HW409" i="112"/>
  <c r="HU409" i="112"/>
  <c r="DU409" i="112" s="1"/>
  <c r="HW408" i="112"/>
  <c r="HU408" i="112"/>
  <c r="DU408" i="112" s="1"/>
  <c r="HW407" i="112"/>
  <c r="HU407" i="112"/>
  <c r="DU407" i="112" s="1"/>
  <c r="HW406" i="112"/>
  <c r="HU406" i="112"/>
  <c r="DU406" i="112" s="1"/>
  <c r="HW405" i="112"/>
  <c r="DU405" i="112"/>
  <c r="HU405" i="112"/>
  <c r="HW404" i="112"/>
  <c r="HU404" i="112"/>
  <c r="DU404" i="112" s="1"/>
  <c r="HW403" i="112"/>
  <c r="DU403" i="112"/>
  <c r="HU403" i="112"/>
  <c r="HW402" i="112"/>
  <c r="HU402" i="112"/>
  <c r="DU402" i="112" s="1"/>
  <c r="HW401" i="112"/>
  <c r="DU401" i="112"/>
  <c r="HU401" i="112"/>
  <c r="HW400" i="112"/>
  <c r="HU400" i="112"/>
  <c r="DU400" i="112" s="1"/>
  <c r="HW399" i="112"/>
  <c r="DU399" i="112"/>
  <c r="HU399" i="112"/>
  <c r="HW398" i="112"/>
  <c r="HU398" i="112"/>
  <c r="DU398" i="112" s="1"/>
  <c r="HW397" i="112"/>
  <c r="DU397" i="112"/>
  <c r="HU397" i="112"/>
  <c r="HW396" i="112"/>
  <c r="HU396" i="112"/>
  <c r="DU396" i="112" s="1"/>
  <c r="HW395" i="112"/>
  <c r="HU395" i="112"/>
  <c r="DU395" i="112" s="1"/>
  <c r="HW394" i="112"/>
  <c r="HU394" i="112"/>
  <c r="DU394" i="112" s="1"/>
  <c r="HW393" i="112"/>
  <c r="HU393" i="112"/>
  <c r="DU393" i="112" s="1"/>
  <c r="HW392" i="112"/>
  <c r="HU392" i="112"/>
  <c r="DU392" i="112" s="1"/>
  <c r="HW391" i="112"/>
  <c r="HU391" i="112"/>
  <c r="DU391" i="112" s="1"/>
  <c r="HW390" i="112"/>
  <c r="HU390" i="112"/>
  <c r="DU390" i="112" s="1"/>
  <c r="HW389" i="112"/>
  <c r="DU389" i="112"/>
  <c r="HU389" i="112"/>
  <c r="HW388" i="112"/>
  <c r="HU388" i="112"/>
  <c r="DU388" i="112" s="1"/>
  <c r="HW387" i="112"/>
  <c r="DU387" i="112"/>
  <c r="HU387" i="112"/>
  <c r="HW386" i="112"/>
  <c r="HU386" i="112"/>
  <c r="DU386" i="112" s="1"/>
  <c r="HW385" i="112"/>
  <c r="DU385" i="112"/>
  <c r="HU385" i="112"/>
  <c r="HW384" i="112"/>
  <c r="HU384" i="112"/>
  <c r="DU384" i="112" s="1"/>
  <c r="HW383" i="112"/>
  <c r="DU383" i="112"/>
  <c r="HU383" i="112"/>
  <c r="HW382" i="112"/>
  <c r="HU382" i="112"/>
  <c r="DU382" i="112" s="1"/>
  <c r="HW381" i="112"/>
  <c r="DU381" i="112"/>
  <c r="HU381" i="112"/>
  <c r="HW380" i="112"/>
  <c r="HU380" i="112"/>
  <c r="DU380" i="112" s="1"/>
  <c r="HW379" i="112"/>
  <c r="HU379" i="112"/>
  <c r="DU379" i="112" s="1"/>
  <c r="HW378" i="112"/>
  <c r="HU378" i="112"/>
  <c r="DU378" i="112" s="1"/>
  <c r="HW377" i="112"/>
  <c r="HU377" i="112"/>
  <c r="DU377" i="112" s="1"/>
  <c r="HW376" i="112"/>
  <c r="HU376" i="112"/>
  <c r="DU376" i="112" s="1"/>
  <c r="HW375" i="112"/>
  <c r="HU375" i="112"/>
  <c r="DU375" i="112" s="1"/>
  <c r="HW374" i="112"/>
  <c r="HU374" i="112"/>
  <c r="DU374" i="112" s="1"/>
  <c r="HW373" i="112"/>
  <c r="DU373" i="112"/>
  <c r="HU373" i="112"/>
  <c r="HW372" i="112"/>
  <c r="HU372" i="112"/>
  <c r="DU372" i="112" s="1"/>
  <c r="HW371" i="112"/>
  <c r="DU371" i="112"/>
  <c r="HU371" i="112"/>
  <c r="HW370" i="112"/>
  <c r="HU370" i="112"/>
  <c r="DU370" i="112" s="1"/>
  <c r="HW365" i="112"/>
  <c r="DU365" i="112"/>
  <c r="HU365" i="112"/>
  <c r="HW364" i="112"/>
  <c r="HU364" i="112"/>
  <c r="DU364" i="112" s="1"/>
  <c r="HW363" i="112"/>
  <c r="HU363" i="112"/>
  <c r="DU363" i="112" s="1"/>
  <c r="HW362" i="112"/>
  <c r="HU362" i="112"/>
  <c r="DU362" i="112" s="1"/>
  <c r="HW361" i="112"/>
  <c r="HU361" i="112"/>
  <c r="DU361" i="112" s="1"/>
  <c r="HW360" i="112"/>
  <c r="HU360" i="112"/>
  <c r="DU360" i="112" s="1"/>
  <c r="HW359" i="112"/>
  <c r="HU359" i="112"/>
  <c r="DU359" i="112" s="1"/>
  <c r="HW358" i="112"/>
  <c r="HU358" i="112"/>
  <c r="DU358" i="112" s="1"/>
  <c r="HW357" i="112"/>
  <c r="DU357" i="112"/>
  <c r="HU357" i="112"/>
  <c r="HW356" i="112"/>
  <c r="DU356" i="112"/>
  <c r="HU356" i="112"/>
  <c r="HW355" i="112"/>
  <c r="DU355" i="112"/>
  <c r="HU355" i="112"/>
  <c r="HW354" i="112"/>
  <c r="DU354" i="112"/>
  <c r="HU354" i="112"/>
  <c r="HW353" i="112"/>
  <c r="DU353" i="112"/>
  <c r="HU353" i="112"/>
  <c r="HW352" i="112"/>
  <c r="DU352" i="112"/>
  <c r="HU352" i="112"/>
  <c r="HW347" i="112"/>
  <c r="DU347" i="112"/>
  <c r="HU347" i="112"/>
  <c r="HW346" i="112"/>
  <c r="DU346" i="112"/>
  <c r="HU346" i="112"/>
  <c r="HW345" i="112"/>
  <c r="DU345" i="112"/>
  <c r="HU345" i="112"/>
  <c r="HW344" i="112"/>
  <c r="DU344" i="112"/>
  <c r="HU344" i="112"/>
  <c r="HW343" i="112"/>
  <c r="DU343" i="112"/>
  <c r="HU343" i="112"/>
  <c r="HW342" i="112"/>
  <c r="DU342" i="112"/>
  <c r="HU342" i="112"/>
  <c r="HW341" i="112"/>
  <c r="DU341" i="112"/>
  <c r="HU341" i="112"/>
  <c r="HW340" i="112"/>
  <c r="DU340" i="112"/>
  <c r="HU340" i="112"/>
  <c r="HW339" i="112"/>
  <c r="DU339" i="112"/>
  <c r="HU339" i="112"/>
  <c r="HW338" i="112"/>
  <c r="DU338" i="112"/>
  <c r="HU338" i="112"/>
  <c r="HW337" i="112"/>
  <c r="DU337" i="112"/>
  <c r="HU337" i="112"/>
  <c r="HW336" i="112"/>
  <c r="DU336" i="112"/>
  <c r="HU336" i="112"/>
  <c r="HW335" i="112"/>
  <c r="DU335" i="112"/>
  <c r="HU335" i="112"/>
  <c r="HW334" i="112"/>
  <c r="DU334" i="112"/>
  <c r="HU334" i="112"/>
  <c r="HW333" i="112"/>
  <c r="DU333" i="112"/>
  <c r="HU333" i="112"/>
  <c r="HW332" i="112"/>
  <c r="DU332" i="112"/>
  <c r="HU332" i="112"/>
  <c r="HW331" i="112"/>
  <c r="DU331" i="112"/>
  <c r="HU331" i="112"/>
  <c r="HW330" i="112"/>
  <c r="DU330" i="112"/>
  <c r="HU330" i="112"/>
  <c r="HW329" i="112"/>
  <c r="DU329" i="112"/>
  <c r="HU329" i="112"/>
  <c r="HW328" i="112"/>
  <c r="DU328" i="112"/>
  <c r="HU328" i="112"/>
  <c r="HW327" i="112"/>
  <c r="DU327" i="112"/>
  <c r="HU327" i="112"/>
  <c r="HW326" i="112"/>
  <c r="DU326" i="112"/>
  <c r="HU326" i="112"/>
  <c r="HW325" i="112"/>
  <c r="DU325" i="112"/>
  <c r="HU325" i="112"/>
  <c r="HW320" i="112"/>
  <c r="DU320" i="112"/>
  <c r="HU320" i="112"/>
  <c r="HW319" i="112"/>
  <c r="DU319" i="112"/>
  <c r="HU319" i="112"/>
  <c r="HW318" i="112"/>
  <c r="DU318" i="112"/>
  <c r="HU318" i="112"/>
  <c r="HW317" i="112"/>
  <c r="DU317" i="112"/>
  <c r="HU317" i="112"/>
  <c r="HW316" i="112"/>
  <c r="DU316" i="112"/>
  <c r="HU316" i="112"/>
  <c r="HW315" i="112"/>
  <c r="DU315" i="112"/>
  <c r="HU315" i="112"/>
  <c r="HW314" i="112"/>
  <c r="DU314" i="112"/>
  <c r="HU314" i="112"/>
  <c r="HW313" i="112"/>
  <c r="DU313" i="112"/>
  <c r="HU313" i="112"/>
  <c r="HW312" i="112"/>
  <c r="DU312" i="112"/>
  <c r="HU312" i="112"/>
  <c r="HW311" i="112"/>
  <c r="DU311" i="112"/>
  <c r="HU311" i="112"/>
  <c r="HW310" i="112"/>
  <c r="DU310" i="112"/>
  <c r="HU310" i="112"/>
  <c r="DU507" i="112"/>
  <c r="DU504" i="112"/>
  <c r="DU499" i="112"/>
  <c r="DU488" i="112"/>
  <c r="DU484" i="112"/>
  <c r="DU478" i="112"/>
  <c r="DU468" i="112"/>
  <c r="HT526" i="112"/>
  <c r="HT525" i="112"/>
  <c r="HT524" i="112"/>
  <c r="HT523" i="112"/>
  <c r="HT522" i="112"/>
  <c r="HT521" i="112"/>
  <c r="HT520" i="112"/>
  <c r="HT519" i="112"/>
  <c r="HT518" i="112"/>
  <c r="HT517" i="112"/>
  <c r="HT516" i="112"/>
  <c r="HT515" i="112"/>
  <c r="HT514" i="112"/>
  <c r="HT513" i="112"/>
  <c r="HT512" i="112"/>
  <c r="HT507" i="112"/>
  <c r="HT506" i="112"/>
  <c r="HT505" i="112"/>
  <c r="HT504" i="112"/>
  <c r="HT503" i="112"/>
  <c r="HT502" i="112"/>
  <c r="HT501" i="112"/>
  <c r="HT500" i="112"/>
  <c r="HT499" i="112"/>
  <c r="HT498" i="112"/>
  <c r="HT497" i="112"/>
  <c r="HT496" i="112"/>
  <c r="HT495" i="112"/>
  <c r="HT494" i="112"/>
  <c r="HT493" i="112"/>
  <c r="HT488" i="112"/>
  <c r="HT487" i="112"/>
  <c r="HT486" i="112"/>
  <c r="HT485" i="112"/>
  <c r="HT484" i="112"/>
  <c r="HT483" i="112"/>
  <c r="HT482" i="112"/>
  <c r="HT481" i="112"/>
  <c r="HT480" i="112"/>
  <c r="HT479" i="112"/>
  <c r="HT478" i="112"/>
  <c r="HT477" i="112"/>
  <c r="HT476" i="112"/>
  <c r="HT475" i="112"/>
  <c r="HT470" i="112"/>
  <c r="HT469" i="112"/>
  <c r="HT468" i="112"/>
  <c r="HT467" i="112"/>
  <c r="HT466" i="112"/>
  <c r="HT465" i="112"/>
  <c r="HT464" i="112"/>
  <c r="HT463" i="112"/>
  <c r="HT462" i="112"/>
  <c r="HT461" i="112"/>
  <c r="HT460" i="112"/>
  <c r="HT459" i="112"/>
  <c r="HT458" i="112"/>
  <c r="HT457" i="112"/>
  <c r="HT456" i="112"/>
  <c r="HT455" i="112"/>
  <c r="HT454" i="112"/>
  <c r="HT453" i="112"/>
  <c r="HT452" i="112"/>
  <c r="HT451" i="112"/>
  <c r="HT450" i="112"/>
  <c r="HT449" i="112"/>
  <c r="HT448" i="112"/>
  <c r="HT447" i="112"/>
  <c r="HT446" i="112"/>
  <c r="HT445" i="112"/>
  <c r="HT444" i="112"/>
  <c r="HT443" i="112"/>
  <c r="HT442" i="112"/>
  <c r="HT441" i="112"/>
  <c r="HT440" i="112"/>
  <c r="HT439" i="112"/>
  <c r="HT438" i="112"/>
  <c r="HT437" i="112"/>
  <c r="HT436" i="112"/>
  <c r="HT435" i="112"/>
  <c r="HT434" i="112"/>
  <c r="HT433" i="112"/>
  <c r="HT432" i="112"/>
  <c r="HT431" i="112"/>
  <c r="HT430" i="112"/>
  <c r="HT429" i="112"/>
  <c r="HT428" i="112"/>
  <c r="HT427" i="112"/>
  <c r="HT426" i="112"/>
  <c r="HT421" i="112"/>
  <c r="HT420" i="112"/>
  <c r="HT419" i="112"/>
  <c r="HT418" i="112"/>
  <c r="HT417" i="112"/>
  <c r="HT416" i="112"/>
  <c r="HT415" i="112"/>
  <c r="HT414" i="112"/>
  <c r="HT413" i="112"/>
  <c r="HT412" i="112"/>
  <c r="HT411" i="112"/>
  <c r="HT410" i="112"/>
  <c r="HT409" i="112"/>
  <c r="HT408" i="112"/>
  <c r="HT407" i="112"/>
  <c r="HT406" i="112"/>
  <c r="HT405" i="112"/>
  <c r="HT404" i="112"/>
  <c r="HT403" i="112"/>
  <c r="HT402" i="112"/>
  <c r="HT401" i="112"/>
  <c r="HT400" i="112"/>
  <c r="HT399" i="112"/>
  <c r="HT398" i="112"/>
  <c r="HT397" i="112"/>
  <c r="HT396" i="112"/>
  <c r="HT395" i="112"/>
  <c r="HT394" i="112"/>
  <c r="HT393" i="112"/>
  <c r="HT392" i="112"/>
  <c r="HT391" i="112"/>
  <c r="HT390" i="112"/>
  <c r="HT389" i="112"/>
  <c r="HT388" i="112"/>
  <c r="HT387" i="112"/>
  <c r="HT386" i="112"/>
  <c r="HT385" i="112"/>
  <c r="HT384" i="112"/>
  <c r="HT383" i="112"/>
  <c r="HT382" i="112"/>
  <c r="HT381" i="112"/>
  <c r="HT380" i="112"/>
  <c r="HT379" i="112"/>
  <c r="HT378" i="112"/>
  <c r="HT377" i="112"/>
  <c r="HT376" i="112"/>
  <c r="HT375" i="112"/>
  <c r="HT374" i="112"/>
  <c r="HT373" i="112"/>
  <c r="HT372" i="112"/>
  <c r="HT371" i="112"/>
  <c r="HT370" i="112"/>
  <c r="HT365" i="112"/>
  <c r="HT364" i="112"/>
  <c r="HT363" i="112"/>
  <c r="HT362" i="112"/>
  <c r="HT361" i="112"/>
  <c r="HT360" i="112"/>
  <c r="HT359" i="112"/>
  <c r="HT358" i="112"/>
  <c r="HT357" i="112"/>
  <c r="HT356" i="112"/>
  <c r="HT355" i="112"/>
  <c r="HT354" i="112"/>
  <c r="HT353" i="112"/>
  <c r="HT352" i="112"/>
  <c r="HT347" i="112"/>
  <c r="HT346" i="112"/>
  <c r="HT345" i="112"/>
  <c r="HT344" i="112"/>
  <c r="HT343" i="112"/>
  <c r="HT342" i="112"/>
  <c r="HT341" i="112"/>
  <c r="HT340" i="112"/>
  <c r="HT339" i="112"/>
  <c r="HT338" i="112"/>
  <c r="HT337" i="112"/>
  <c r="HT336" i="112"/>
  <c r="HT335" i="112"/>
  <c r="HT334" i="112"/>
  <c r="HT333" i="112"/>
  <c r="HT332" i="112"/>
  <c r="HT331" i="112"/>
  <c r="HT330" i="112"/>
  <c r="HT329" i="112"/>
  <c r="HT328" i="112"/>
  <c r="HT327" i="112"/>
  <c r="HT326" i="112"/>
  <c r="HT325" i="112"/>
  <c r="HT320" i="112"/>
  <c r="HT319" i="112"/>
  <c r="HT318" i="112"/>
  <c r="HT317" i="112"/>
  <c r="HT316" i="112"/>
  <c r="HT315" i="112"/>
  <c r="HT314" i="112"/>
  <c r="HT313" i="112"/>
  <c r="HT312" i="112"/>
  <c r="HT311" i="112"/>
  <c r="HT310" i="112"/>
  <c r="HT309" i="112"/>
  <c r="HT308" i="112"/>
  <c r="HT307" i="112"/>
  <c r="FQ526" i="112"/>
  <c r="FR526" i="112" s="1"/>
  <c r="EA526" i="112" s="1"/>
  <c r="FQ525" i="112"/>
  <c r="FR525" i="112" s="1"/>
  <c r="EA525" i="112" s="1"/>
  <c r="FQ524" i="112"/>
  <c r="FR524" i="112" s="1"/>
  <c r="EA524" i="112" s="1"/>
  <c r="FQ523" i="112"/>
  <c r="FR523" i="112" s="1"/>
  <c r="EA523" i="112" s="1"/>
  <c r="FQ522" i="112"/>
  <c r="FR522" i="112" s="1"/>
  <c r="EA522" i="112" s="1"/>
  <c r="FQ521" i="112"/>
  <c r="FR521" i="112" s="1"/>
  <c r="EA521" i="112" s="1"/>
  <c r="FQ520" i="112"/>
  <c r="FR520" i="112" s="1"/>
  <c r="EA520" i="112" s="1"/>
  <c r="FQ519" i="112"/>
  <c r="FR519" i="112" s="1"/>
  <c r="EA519" i="112" s="1"/>
  <c r="FQ518" i="112"/>
  <c r="FR518" i="112" s="1"/>
  <c r="EA518" i="112" s="1"/>
  <c r="FQ517" i="112"/>
  <c r="FR517" i="112" s="1"/>
  <c r="EA517" i="112" s="1"/>
  <c r="FQ516" i="112"/>
  <c r="FR516" i="112" s="1"/>
  <c r="EA516" i="112" s="1"/>
  <c r="FQ515" i="112"/>
  <c r="FR515" i="112" s="1"/>
  <c r="EA515" i="112" s="1"/>
  <c r="FQ514" i="112"/>
  <c r="FR514" i="112" s="1"/>
  <c r="EA514" i="112" s="1"/>
  <c r="FQ513" i="112"/>
  <c r="FR513" i="112" s="1"/>
  <c r="EA513" i="112" s="1"/>
  <c r="FQ512" i="112"/>
  <c r="FR512" i="112" s="1"/>
  <c r="EA512" i="112" s="1"/>
  <c r="FQ507" i="112"/>
  <c r="FR507" i="112" s="1"/>
  <c r="EA507" i="112" s="1"/>
  <c r="FQ506" i="112"/>
  <c r="FR506" i="112" s="1"/>
  <c r="EA506" i="112" s="1"/>
  <c r="FQ505" i="112"/>
  <c r="FR505" i="112" s="1"/>
  <c r="EA505" i="112" s="1"/>
  <c r="FQ504" i="112"/>
  <c r="FR504" i="112" s="1"/>
  <c r="EA504" i="112" s="1"/>
  <c r="FQ503" i="112"/>
  <c r="FR503" i="112" s="1"/>
  <c r="EA503" i="112" s="1"/>
  <c r="FQ502" i="112"/>
  <c r="FR502" i="112" s="1"/>
  <c r="EA502" i="112" s="1"/>
  <c r="FQ501" i="112"/>
  <c r="FR501" i="112" s="1"/>
  <c r="EA501" i="112" s="1"/>
  <c r="FQ500" i="112"/>
  <c r="FR500" i="112" s="1"/>
  <c r="EA500" i="112" s="1"/>
  <c r="FQ499" i="112"/>
  <c r="FR499" i="112" s="1"/>
  <c r="EA499" i="112" s="1"/>
  <c r="FQ498" i="112"/>
  <c r="FR498" i="112" s="1"/>
  <c r="EA498" i="112" s="1"/>
  <c r="FQ497" i="112"/>
  <c r="FR497" i="112" s="1"/>
  <c r="EA497" i="112" s="1"/>
  <c r="FQ496" i="112"/>
  <c r="FR496" i="112" s="1"/>
  <c r="EA496" i="112" s="1"/>
  <c r="FQ495" i="112"/>
  <c r="FR495" i="112" s="1"/>
  <c r="EA495" i="112" s="1"/>
  <c r="FQ494" i="112"/>
  <c r="FR494" i="112" s="1"/>
  <c r="EA494" i="112" s="1"/>
  <c r="FQ493" i="112"/>
  <c r="FR493" i="112" s="1"/>
  <c r="EA493" i="112" s="1"/>
  <c r="FQ488" i="112"/>
  <c r="FR488" i="112" s="1"/>
  <c r="EA488" i="112" s="1"/>
  <c r="FQ487" i="112"/>
  <c r="FR487" i="112" s="1"/>
  <c r="EA487" i="112" s="1"/>
  <c r="FQ486" i="112"/>
  <c r="FR486" i="112" s="1"/>
  <c r="EA486" i="112" s="1"/>
  <c r="FQ485" i="112"/>
  <c r="FR485" i="112" s="1"/>
  <c r="EA485" i="112" s="1"/>
  <c r="FQ484" i="112"/>
  <c r="FR484" i="112" s="1"/>
  <c r="EA484" i="112" s="1"/>
  <c r="FQ483" i="112"/>
  <c r="FR483" i="112" s="1"/>
  <c r="EA483" i="112" s="1"/>
  <c r="FQ482" i="112"/>
  <c r="FR482" i="112" s="1"/>
  <c r="EA482" i="112" s="1"/>
  <c r="FQ481" i="112"/>
  <c r="FR481" i="112" s="1"/>
  <c r="EA481" i="112" s="1"/>
  <c r="FQ480" i="112"/>
  <c r="FR480" i="112" s="1"/>
  <c r="EA480" i="112" s="1"/>
  <c r="FQ479" i="112"/>
  <c r="FR479" i="112" s="1"/>
  <c r="EA479" i="112" s="1"/>
  <c r="FQ478" i="112"/>
  <c r="FR478" i="112" s="1"/>
  <c r="EA478" i="112" s="1"/>
  <c r="FQ477" i="112"/>
  <c r="FR477" i="112" s="1"/>
  <c r="EA477" i="112" s="1"/>
  <c r="FQ476" i="112"/>
  <c r="FR476" i="112" s="1"/>
  <c r="EA476" i="112" s="1"/>
  <c r="FQ475" i="112"/>
  <c r="FR475" i="112" s="1"/>
  <c r="EA475" i="112" s="1"/>
  <c r="FQ470" i="112"/>
  <c r="FR470" i="112" s="1"/>
  <c r="EA470" i="112" s="1"/>
  <c r="FQ469" i="112"/>
  <c r="FR469" i="112" s="1"/>
  <c r="EA469" i="112" s="1"/>
  <c r="FQ468" i="112"/>
  <c r="FR468" i="112" s="1"/>
  <c r="EA468" i="112" s="1"/>
  <c r="FQ467" i="112"/>
  <c r="FR467" i="112" s="1"/>
  <c r="EA467" i="112" s="1"/>
  <c r="FQ466" i="112"/>
  <c r="FR466" i="112" s="1"/>
  <c r="EA466" i="112" s="1"/>
  <c r="FQ465" i="112"/>
  <c r="FR465" i="112" s="1"/>
  <c r="EA465" i="112" s="1"/>
  <c r="FQ464" i="112"/>
  <c r="FR464" i="112" s="1"/>
  <c r="EA464" i="112" s="1"/>
  <c r="FQ463" i="112"/>
  <c r="FR463" i="112" s="1"/>
  <c r="EA463" i="112" s="1"/>
  <c r="FQ462" i="112"/>
  <c r="FR462" i="112" s="1"/>
  <c r="EA462" i="112" s="1"/>
  <c r="FQ461" i="112"/>
  <c r="FR461" i="112" s="1"/>
  <c r="EA461" i="112" s="1"/>
  <c r="FQ460" i="112"/>
  <c r="FR460" i="112" s="1"/>
  <c r="EA460" i="112" s="1"/>
  <c r="FQ459" i="112"/>
  <c r="FR459" i="112" s="1"/>
  <c r="EA459" i="112" s="1"/>
  <c r="FQ458" i="112"/>
  <c r="FR458" i="112" s="1"/>
  <c r="EA458" i="112" s="1"/>
  <c r="FQ457" i="112"/>
  <c r="FR457" i="112" s="1"/>
  <c r="EA457" i="112" s="1"/>
  <c r="FQ456" i="112"/>
  <c r="FR456" i="112" s="1"/>
  <c r="EA456" i="112" s="1"/>
  <c r="FQ455" i="112"/>
  <c r="FR455" i="112" s="1"/>
  <c r="EA455" i="112" s="1"/>
  <c r="FQ454" i="112"/>
  <c r="FR454" i="112" s="1"/>
  <c r="EA454" i="112" s="1"/>
  <c r="FQ453" i="112"/>
  <c r="FR453" i="112" s="1"/>
  <c r="EA453" i="112" s="1"/>
  <c r="FQ452" i="112"/>
  <c r="FR452" i="112" s="1"/>
  <c r="EA452" i="112" s="1"/>
  <c r="FQ451" i="112"/>
  <c r="FR451" i="112" s="1"/>
  <c r="EA451" i="112" s="1"/>
  <c r="FQ450" i="112"/>
  <c r="FR450" i="112" s="1"/>
  <c r="EA450" i="112" s="1"/>
  <c r="FQ449" i="112"/>
  <c r="FR449" i="112" s="1"/>
  <c r="EA449" i="112" s="1"/>
  <c r="FQ448" i="112"/>
  <c r="FR448" i="112" s="1"/>
  <c r="EA448" i="112" s="1"/>
  <c r="FQ447" i="112"/>
  <c r="FR447" i="112" s="1"/>
  <c r="EA447" i="112" s="1"/>
  <c r="FQ446" i="112"/>
  <c r="FR446" i="112" s="1"/>
  <c r="EA446" i="112" s="1"/>
  <c r="FQ445" i="112"/>
  <c r="FR445" i="112" s="1"/>
  <c r="EA445" i="112" s="1"/>
  <c r="FQ444" i="112"/>
  <c r="FR444" i="112" s="1"/>
  <c r="EA444" i="112" s="1"/>
  <c r="FQ443" i="112"/>
  <c r="FR443" i="112" s="1"/>
  <c r="EA443" i="112" s="1"/>
  <c r="FQ442" i="112"/>
  <c r="FR442" i="112" s="1"/>
  <c r="EA442" i="112" s="1"/>
  <c r="FQ441" i="112"/>
  <c r="FR441" i="112" s="1"/>
  <c r="EA441" i="112" s="1"/>
  <c r="FQ440" i="112"/>
  <c r="FR440" i="112" s="1"/>
  <c r="EA440" i="112" s="1"/>
  <c r="FQ439" i="112"/>
  <c r="FR439" i="112" s="1"/>
  <c r="EA439" i="112" s="1"/>
  <c r="FQ438" i="112"/>
  <c r="FR438" i="112" s="1"/>
  <c r="EA438" i="112" s="1"/>
  <c r="FQ437" i="112"/>
  <c r="FR437" i="112" s="1"/>
  <c r="EA437" i="112" s="1"/>
  <c r="FQ436" i="112"/>
  <c r="FR436" i="112" s="1"/>
  <c r="EA436" i="112" s="1"/>
  <c r="FQ435" i="112"/>
  <c r="FR435" i="112" s="1"/>
  <c r="EA435" i="112" s="1"/>
  <c r="FQ434" i="112"/>
  <c r="FR434" i="112" s="1"/>
  <c r="EA434" i="112" s="1"/>
  <c r="FQ433" i="112"/>
  <c r="FR433" i="112" s="1"/>
  <c r="EA433" i="112" s="1"/>
  <c r="FQ432" i="112"/>
  <c r="FR432" i="112" s="1"/>
  <c r="EA432" i="112" s="1"/>
  <c r="FQ431" i="112"/>
  <c r="FR431" i="112" s="1"/>
  <c r="EA431" i="112" s="1"/>
  <c r="FQ430" i="112"/>
  <c r="FR430" i="112" s="1"/>
  <c r="EA430" i="112" s="1"/>
  <c r="FQ429" i="112"/>
  <c r="FR429" i="112" s="1"/>
  <c r="EA429" i="112" s="1"/>
  <c r="FQ428" i="112"/>
  <c r="FR428" i="112" s="1"/>
  <c r="EA428" i="112" s="1"/>
  <c r="FQ427" i="112"/>
  <c r="FR427" i="112" s="1"/>
  <c r="EA427" i="112" s="1"/>
  <c r="FQ426" i="112"/>
  <c r="FR426" i="112" s="1"/>
  <c r="EA426" i="112" s="1"/>
  <c r="FQ421" i="112"/>
  <c r="FR421" i="112" s="1"/>
  <c r="EA421" i="112" s="1"/>
  <c r="FQ420" i="112"/>
  <c r="FR420" i="112" s="1"/>
  <c r="EA420" i="112" s="1"/>
  <c r="FQ419" i="112"/>
  <c r="FR419" i="112" s="1"/>
  <c r="EA419" i="112" s="1"/>
  <c r="FQ418" i="112"/>
  <c r="FR418" i="112" s="1"/>
  <c r="EA418" i="112" s="1"/>
  <c r="FQ417" i="112"/>
  <c r="FR417" i="112" s="1"/>
  <c r="EA417" i="112" s="1"/>
  <c r="FQ416" i="112"/>
  <c r="FR416" i="112" s="1"/>
  <c r="EA416" i="112" s="1"/>
  <c r="FQ415" i="112"/>
  <c r="FR415" i="112" s="1"/>
  <c r="EA415" i="112" s="1"/>
  <c r="FQ414" i="112"/>
  <c r="FR414" i="112" s="1"/>
  <c r="EA414" i="112" s="1"/>
  <c r="FQ413" i="112"/>
  <c r="FR413" i="112" s="1"/>
  <c r="EA413" i="112" s="1"/>
  <c r="FQ412" i="112"/>
  <c r="FR412" i="112" s="1"/>
  <c r="EA412" i="112" s="1"/>
  <c r="FQ411" i="112"/>
  <c r="FR411" i="112" s="1"/>
  <c r="EA411" i="112" s="1"/>
  <c r="FQ410" i="112"/>
  <c r="FR410" i="112" s="1"/>
  <c r="EA410" i="112" s="1"/>
  <c r="FQ409" i="112"/>
  <c r="FR409" i="112" s="1"/>
  <c r="EA409" i="112" s="1"/>
  <c r="FQ408" i="112"/>
  <c r="FR408" i="112" s="1"/>
  <c r="EA408" i="112" s="1"/>
  <c r="FQ407" i="112"/>
  <c r="FR407" i="112" s="1"/>
  <c r="EA407" i="112" s="1"/>
  <c r="FQ406" i="112"/>
  <c r="FR406" i="112" s="1"/>
  <c r="EA406" i="112" s="1"/>
  <c r="FQ405" i="112"/>
  <c r="FR405" i="112" s="1"/>
  <c r="EA405" i="112" s="1"/>
  <c r="FQ404" i="112"/>
  <c r="FR404" i="112" s="1"/>
  <c r="EA404" i="112" s="1"/>
  <c r="FQ403" i="112"/>
  <c r="FR403" i="112" s="1"/>
  <c r="EA403" i="112" s="1"/>
  <c r="FQ402" i="112"/>
  <c r="FR402" i="112" s="1"/>
  <c r="EA402" i="112" s="1"/>
  <c r="FQ401" i="112"/>
  <c r="FR401" i="112" s="1"/>
  <c r="EA401" i="112" s="1"/>
  <c r="FQ400" i="112"/>
  <c r="FR400" i="112" s="1"/>
  <c r="EA400" i="112" s="1"/>
  <c r="FQ399" i="112"/>
  <c r="FR399" i="112" s="1"/>
  <c r="EA399" i="112" s="1"/>
  <c r="FQ398" i="112"/>
  <c r="FR398" i="112" s="1"/>
  <c r="EA398" i="112" s="1"/>
  <c r="FQ397" i="112"/>
  <c r="FR397" i="112" s="1"/>
  <c r="EA397" i="112" s="1"/>
  <c r="FQ396" i="112"/>
  <c r="FR396" i="112" s="1"/>
  <c r="EA396" i="112" s="1"/>
  <c r="FQ395" i="112"/>
  <c r="FR395" i="112" s="1"/>
  <c r="EA395" i="112" s="1"/>
  <c r="FQ394" i="112"/>
  <c r="FR394" i="112" s="1"/>
  <c r="EA394" i="112" s="1"/>
  <c r="FQ393" i="112"/>
  <c r="FR393" i="112" s="1"/>
  <c r="EA393" i="112" s="1"/>
  <c r="FQ392" i="112"/>
  <c r="FR392" i="112" s="1"/>
  <c r="EA392" i="112" s="1"/>
  <c r="FQ391" i="112"/>
  <c r="FR391" i="112" s="1"/>
  <c r="EA391" i="112" s="1"/>
  <c r="FQ390" i="112"/>
  <c r="FR390" i="112" s="1"/>
  <c r="EA390" i="112" s="1"/>
  <c r="FQ389" i="112"/>
  <c r="FR389" i="112" s="1"/>
  <c r="EA389" i="112" s="1"/>
  <c r="FQ388" i="112"/>
  <c r="FR388" i="112" s="1"/>
  <c r="EA388" i="112" s="1"/>
  <c r="FQ387" i="112"/>
  <c r="FR387" i="112" s="1"/>
  <c r="EA387" i="112" s="1"/>
  <c r="FQ386" i="112"/>
  <c r="FR386" i="112" s="1"/>
  <c r="EA386" i="112" s="1"/>
  <c r="FQ385" i="112"/>
  <c r="FR385" i="112" s="1"/>
  <c r="EA385" i="112" s="1"/>
  <c r="FQ384" i="112"/>
  <c r="FR384" i="112" s="1"/>
  <c r="EA384" i="112" s="1"/>
  <c r="FQ383" i="112"/>
  <c r="FR383" i="112" s="1"/>
  <c r="EA383" i="112" s="1"/>
  <c r="FQ382" i="112"/>
  <c r="FR382" i="112" s="1"/>
  <c r="EA382" i="112" s="1"/>
  <c r="FQ381" i="112"/>
  <c r="FR381" i="112" s="1"/>
  <c r="EA381" i="112" s="1"/>
  <c r="FQ380" i="112"/>
  <c r="FR380" i="112" s="1"/>
  <c r="EA380" i="112" s="1"/>
  <c r="FQ379" i="112"/>
  <c r="FR379" i="112" s="1"/>
  <c r="EA379" i="112" s="1"/>
  <c r="FQ378" i="112"/>
  <c r="FR378" i="112" s="1"/>
  <c r="EA378" i="112" s="1"/>
  <c r="FQ377" i="112"/>
  <c r="FR377" i="112" s="1"/>
  <c r="EA377" i="112" s="1"/>
  <c r="FQ376" i="112"/>
  <c r="FR376" i="112" s="1"/>
  <c r="EA376" i="112" s="1"/>
  <c r="FQ375" i="112"/>
  <c r="FR375" i="112" s="1"/>
  <c r="EA375" i="112" s="1"/>
  <c r="FQ374" i="112"/>
  <c r="FR374" i="112" s="1"/>
  <c r="EA374" i="112" s="1"/>
  <c r="FQ373" i="112"/>
  <c r="FR373" i="112" s="1"/>
  <c r="EA373" i="112" s="1"/>
  <c r="FQ372" i="112"/>
  <c r="FR372" i="112" s="1"/>
  <c r="EA372" i="112" s="1"/>
  <c r="FQ371" i="112"/>
  <c r="FR371" i="112" s="1"/>
  <c r="EA371" i="112" s="1"/>
  <c r="FQ370" i="112"/>
  <c r="FR370" i="112" s="1"/>
  <c r="EA370" i="112" s="1"/>
  <c r="FQ365" i="112"/>
  <c r="FR365" i="112" s="1"/>
  <c r="EA365" i="112" s="1"/>
  <c r="FQ364" i="112"/>
  <c r="FR364" i="112" s="1"/>
  <c r="EA364" i="112" s="1"/>
  <c r="FQ363" i="112"/>
  <c r="FR363" i="112" s="1"/>
  <c r="EA363" i="112" s="1"/>
  <c r="FQ362" i="112"/>
  <c r="FR362" i="112" s="1"/>
  <c r="EA362" i="112" s="1"/>
  <c r="FQ361" i="112"/>
  <c r="FR361" i="112" s="1"/>
  <c r="EA361" i="112" s="1"/>
  <c r="FQ360" i="112"/>
  <c r="FR360" i="112" s="1"/>
  <c r="EA360" i="112" s="1"/>
  <c r="FQ359" i="112"/>
  <c r="FR359" i="112" s="1"/>
  <c r="EA359" i="112" s="1"/>
  <c r="FQ358" i="112"/>
  <c r="FR358" i="112" s="1"/>
  <c r="EA358" i="112" s="1"/>
  <c r="FQ357" i="112"/>
  <c r="FR357" i="112" s="1"/>
  <c r="EA357" i="112" s="1"/>
  <c r="FQ356" i="112"/>
  <c r="FR356" i="112" s="1"/>
  <c r="EA356" i="112" s="1"/>
  <c r="FQ355" i="112"/>
  <c r="FR355" i="112" s="1"/>
  <c r="EA355" i="112" s="1"/>
  <c r="FQ354" i="112"/>
  <c r="FR354" i="112" s="1"/>
  <c r="EA354" i="112" s="1"/>
  <c r="FQ353" i="112"/>
  <c r="FR353" i="112" s="1"/>
  <c r="EA353" i="112" s="1"/>
  <c r="FQ352" i="112"/>
  <c r="FR352" i="112" s="1"/>
  <c r="EA352" i="112" s="1"/>
  <c r="FQ347" i="112"/>
  <c r="FR347" i="112" s="1"/>
  <c r="EA347" i="112" s="1"/>
  <c r="FQ346" i="112"/>
  <c r="FR346" i="112" s="1"/>
  <c r="EA346" i="112" s="1"/>
  <c r="FQ345" i="112"/>
  <c r="FR345" i="112" s="1"/>
  <c r="EA345" i="112" s="1"/>
  <c r="FQ344" i="112"/>
  <c r="FR344" i="112" s="1"/>
  <c r="EA344" i="112" s="1"/>
  <c r="FQ343" i="112"/>
  <c r="FR343" i="112" s="1"/>
  <c r="EA343" i="112" s="1"/>
  <c r="FQ342" i="112"/>
  <c r="FR342" i="112" s="1"/>
  <c r="EA342" i="112" s="1"/>
  <c r="FQ341" i="112"/>
  <c r="FR341" i="112" s="1"/>
  <c r="EA341" i="112" s="1"/>
  <c r="FQ340" i="112"/>
  <c r="FR340" i="112" s="1"/>
  <c r="EA340" i="112" s="1"/>
  <c r="FQ339" i="112"/>
  <c r="FR339" i="112" s="1"/>
  <c r="EA339" i="112" s="1"/>
  <c r="FQ338" i="112"/>
  <c r="FR338" i="112" s="1"/>
  <c r="EA338" i="112" s="1"/>
  <c r="FQ337" i="112"/>
  <c r="FR337" i="112" s="1"/>
  <c r="EA337" i="112" s="1"/>
  <c r="FQ336" i="112"/>
  <c r="FR336" i="112" s="1"/>
  <c r="EA336" i="112" s="1"/>
  <c r="FQ335" i="112"/>
  <c r="FR335" i="112" s="1"/>
  <c r="EA335" i="112" s="1"/>
  <c r="FQ334" i="112"/>
  <c r="FR334" i="112" s="1"/>
  <c r="EA334" i="112" s="1"/>
  <c r="FQ333" i="112"/>
  <c r="FR333" i="112" s="1"/>
  <c r="EA333" i="112" s="1"/>
  <c r="FQ332" i="112"/>
  <c r="FR332" i="112" s="1"/>
  <c r="EA332" i="112" s="1"/>
  <c r="FQ331" i="112"/>
  <c r="FR331" i="112" s="1"/>
  <c r="EA331" i="112" s="1"/>
  <c r="FQ330" i="112"/>
  <c r="FR330" i="112" s="1"/>
  <c r="EA330" i="112" s="1"/>
  <c r="FQ329" i="112"/>
  <c r="FR329" i="112" s="1"/>
  <c r="EA329" i="112" s="1"/>
  <c r="FQ328" i="112"/>
  <c r="FR328" i="112" s="1"/>
  <c r="EA328" i="112" s="1"/>
  <c r="FQ327" i="112"/>
  <c r="FR327" i="112" s="1"/>
  <c r="EA327" i="112" s="1"/>
  <c r="FQ326" i="112"/>
  <c r="FR326" i="112" s="1"/>
  <c r="EA326" i="112" s="1"/>
  <c r="FQ325" i="112"/>
  <c r="FR325" i="112" s="1"/>
  <c r="EA325" i="112" s="1"/>
  <c r="FQ320" i="112"/>
  <c r="FR320" i="112" s="1"/>
  <c r="EA320" i="112" s="1"/>
  <c r="FQ319" i="112"/>
  <c r="FR319" i="112" s="1"/>
  <c r="EA319" i="112" s="1"/>
  <c r="FQ318" i="112"/>
  <c r="FR318" i="112" s="1"/>
  <c r="EA318" i="112" s="1"/>
  <c r="FQ317" i="112"/>
  <c r="FR317" i="112" s="1"/>
  <c r="EA317" i="112" s="1"/>
  <c r="FQ316" i="112"/>
  <c r="FR316" i="112" s="1"/>
  <c r="EA316" i="112" s="1"/>
  <c r="FQ315" i="112"/>
  <c r="FR315" i="112" s="1"/>
  <c r="EA315" i="112" s="1"/>
  <c r="FQ314" i="112"/>
  <c r="FR314" i="112" s="1"/>
  <c r="EA314" i="112" s="1"/>
  <c r="FQ313" i="112"/>
  <c r="FR313" i="112" s="1"/>
  <c r="EA313" i="112" s="1"/>
  <c r="FQ312" i="112"/>
  <c r="FR312" i="112" s="1"/>
  <c r="EA312" i="112" s="1"/>
  <c r="FQ311" i="112"/>
  <c r="FR311" i="112" s="1"/>
  <c r="EA311" i="112" s="1"/>
  <c r="FQ310" i="112"/>
  <c r="FR310" i="112" s="1"/>
  <c r="EA310" i="112" s="1"/>
  <c r="FQ309" i="112"/>
  <c r="FR309" i="112" s="1"/>
  <c r="EA309" i="112" s="1"/>
  <c r="HV522" i="112" l="1"/>
  <c r="DU522" i="112" s="1"/>
  <c r="HV516" i="112"/>
  <c r="DU516" i="112" s="1"/>
  <c r="HV526" i="112"/>
  <c r="DU526" i="112" s="1"/>
  <c r="HV520" i="112"/>
  <c r="DU520" i="112" s="1"/>
  <c r="HV524" i="112"/>
  <c r="DU524" i="112" s="1"/>
  <c r="HV518" i="112"/>
  <c r="DU518" i="112" s="1"/>
  <c r="DK249" i="112"/>
  <c r="DK248" i="112"/>
  <c r="DK247" i="112"/>
  <c r="DK246" i="112"/>
  <c r="DK245" i="112"/>
  <c r="EB175" i="112"/>
  <c r="EB172" i="112"/>
  <c r="EB173" i="112"/>
  <c r="EB174" i="112"/>
  <c r="DN5" i="112"/>
  <c r="DV9" i="112"/>
  <c r="EC175" i="112" s="1"/>
  <c r="DV8" i="112"/>
  <c r="EC174" i="112" s="1"/>
  <c r="DV7" i="112"/>
  <c r="EC173" i="112" s="1"/>
  <c r="DV6" i="112"/>
  <c r="EC172" i="112" s="1"/>
  <c r="EA192" i="112" l="1"/>
  <c r="EA172" i="112"/>
  <c r="EA178" i="112"/>
  <c r="EA186" i="112"/>
  <c r="W13" i="37"/>
  <c r="W12" i="37"/>
  <c r="C164" i="127"/>
  <c r="C163" i="127"/>
  <c r="C162" i="127"/>
  <c r="C161" i="127"/>
  <c r="C160" i="127"/>
  <c r="C159" i="127"/>
  <c r="C158" i="127"/>
  <c r="C157" i="127"/>
  <c r="C156" i="127"/>
  <c r="C155" i="127"/>
  <c r="C154" i="127"/>
  <c r="C153" i="127"/>
  <c r="C152" i="127"/>
  <c r="C151" i="127"/>
  <c r="C150" i="127"/>
  <c r="C149" i="127"/>
  <c r="C148" i="127"/>
  <c r="C147" i="127"/>
  <c r="C146" i="127"/>
  <c r="C145" i="127"/>
  <c r="C144" i="127"/>
  <c r="C143" i="127"/>
  <c r="C142" i="127"/>
  <c r="C141" i="127"/>
  <c r="C140" i="127"/>
  <c r="C139" i="127"/>
  <c r="C138" i="127"/>
  <c r="C137" i="127"/>
  <c r="C136" i="127"/>
  <c r="C135" i="127"/>
  <c r="C134" i="127"/>
  <c r="C133" i="127"/>
  <c r="C132" i="127"/>
  <c r="C131" i="127"/>
  <c r="C130" i="127"/>
  <c r="C129" i="127"/>
  <c r="C128" i="127"/>
  <c r="C127" i="127"/>
  <c r="C126" i="127"/>
  <c r="C125" i="127"/>
  <c r="C124" i="127"/>
  <c r="C123" i="127"/>
  <c r="C122" i="127"/>
  <c r="C121" i="127"/>
  <c r="C120" i="127"/>
  <c r="C119" i="127"/>
  <c r="C118" i="127"/>
  <c r="C117" i="127"/>
  <c r="C116" i="127"/>
  <c r="C115" i="127"/>
  <c r="C96" i="127"/>
  <c r="C95" i="127"/>
  <c r="C94" i="127"/>
  <c r="C93" i="127"/>
  <c r="C92" i="127"/>
  <c r="C91" i="127"/>
  <c r="C90" i="127"/>
  <c r="C89" i="127"/>
  <c r="C88" i="127"/>
  <c r="C87" i="127"/>
  <c r="C86" i="127"/>
  <c r="C85" i="127"/>
  <c r="C82" i="127"/>
  <c r="C77" i="127"/>
  <c r="C76" i="127"/>
  <c r="C78" i="130"/>
  <c r="C77" i="130"/>
  <c r="C76" i="130"/>
  <c r="C75" i="130"/>
  <c r="C74" i="130"/>
  <c r="C73" i="130"/>
  <c r="C72" i="130"/>
  <c r="C71" i="130"/>
  <c r="C70" i="130"/>
  <c r="C69" i="130"/>
  <c r="C68" i="130"/>
  <c r="C67" i="130"/>
  <c r="C66" i="130"/>
  <c r="C65" i="130"/>
  <c r="C64" i="130"/>
  <c r="C54" i="130"/>
  <c r="C53" i="130"/>
  <c r="C52" i="130"/>
  <c r="C51" i="130"/>
  <c r="C50" i="130"/>
  <c r="C49" i="130"/>
  <c r="C48" i="130"/>
  <c r="C47" i="130"/>
  <c r="C46" i="130"/>
  <c r="C45" i="130"/>
  <c r="C44" i="130"/>
  <c r="C43" i="130"/>
  <c r="C40" i="130"/>
  <c r="C35" i="130"/>
  <c r="C34" i="130"/>
  <c r="F1919" i="123"/>
  <c r="F1918" i="123"/>
  <c r="F1916" i="123"/>
  <c r="F1915" i="123"/>
  <c r="F1913" i="123"/>
  <c r="F1912" i="123"/>
  <c r="F1910" i="123"/>
  <c r="F1909" i="123"/>
  <c r="F1907" i="123"/>
  <c r="F1906" i="123"/>
  <c r="F1904" i="123"/>
  <c r="F1903" i="123"/>
  <c r="F1901" i="123"/>
  <c r="F1900" i="123"/>
  <c r="F1898" i="123"/>
  <c r="F1897" i="123"/>
  <c r="F1895" i="123"/>
  <c r="F1894" i="123"/>
  <c r="F1892" i="123"/>
  <c r="F1891" i="123"/>
  <c r="F1889" i="123"/>
  <c r="F1888" i="123"/>
  <c r="F1886" i="123"/>
  <c r="F1885" i="123"/>
  <c r="F1883" i="123"/>
  <c r="F1882" i="123"/>
  <c r="F1880" i="123"/>
  <c r="F1879" i="123"/>
  <c r="F1877" i="123"/>
  <c r="F1876" i="123"/>
  <c r="F1874" i="123"/>
  <c r="F1873" i="123"/>
  <c r="F1871" i="123"/>
  <c r="F1870" i="123"/>
  <c r="F1868" i="123"/>
  <c r="F1867" i="123"/>
  <c r="F1865" i="123"/>
  <c r="F1864" i="123"/>
  <c r="F1862" i="123"/>
  <c r="F1861" i="123"/>
  <c r="F1859" i="123"/>
  <c r="F1858" i="123"/>
  <c r="F1857" i="123"/>
  <c r="F1856" i="123"/>
  <c r="F1855" i="123"/>
  <c r="F1854" i="123"/>
  <c r="F1853" i="123"/>
  <c r="F1852" i="123"/>
  <c r="F1851" i="123"/>
  <c r="F1850" i="123"/>
  <c r="F1849" i="123"/>
  <c r="F1848" i="123"/>
  <c r="F1847" i="123"/>
  <c r="F1846" i="123"/>
  <c r="F1845" i="123"/>
  <c r="F1844" i="123"/>
  <c r="F1843" i="123"/>
  <c r="F1842" i="123"/>
  <c r="F1841" i="123"/>
  <c r="F1840" i="123"/>
  <c r="F1839" i="123"/>
  <c r="F1838" i="123"/>
  <c r="F1837" i="123"/>
  <c r="F1836" i="123"/>
  <c r="F1835" i="123"/>
  <c r="F1834" i="123"/>
  <c r="F1833" i="123"/>
  <c r="F1832" i="123"/>
  <c r="F1831" i="123"/>
  <c r="F1830" i="123"/>
  <c r="F1829" i="123"/>
  <c r="F1828" i="123"/>
  <c r="F1827" i="123"/>
  <c r="F1826" i="123"/>
  <c r="F1825" i="123"/>
  <c r="F1824" i="123"/>
  <c r="F1823" i="123"/>
  <c r="F1822" i="123"/>
  <c r="F1821" i="123"/>
  <c r="F1820" i="123"/>
  <c r="F1819" i="123"/>
  <c r="F1818" i="123"/>
  <c r="F1817" i="123"/>
  <c r="F1816" i="123"/>
  <c r="F1815" i="123"/>
  <c r="F1814" i="123"/>
  <c r="F1813" i="123"/>
  <c r="F1812" i="123"/>
  <c r="F1811" i="123"/>
  <c r="F1810" i="123"/>
  <c r="F1809" i="123"/>
  <c r="F1808" i="123"/>
  <c r="F1807" i="123"/>
  <c r="F1806" i="123"/>
  <c r="F1805" i="123"/>
  <c r="F1804" i="123"/>
  <c r="F1803" i="123"/>
  <c r="F1802" i="123"/>
  <c r="F1801" i="123"/>
  <c r="F1800" i="123"/>
  <c r="F1799" i="123"/>
  <c r="F1798" i="123"/>
  <c r="F1797" i="123"/>
  <c r="F1796" i="123"/>
  <c r="F1795" i="123"/>
  <c r="F1794" i="123"/>
  <c r="F1793" i="123"/>
  <c r="F1792" i="123"/>
  <c r="F1791" i="123"/>
  <c r="F1790" i="123"/>
  <c r="F1789" i="123"/>
  <c r="F1788" i="123"/>
  <c r="F1787" i="123"/>
  <c r="F1786" i="123"/>
  <c r="F1785" i="123"/>
  <c r="F1784" i="123"/>
  <c r="F1783" i="123"/>
  <c r="F1782" i="123"/>
  <c r="F1781" i="123"/>
  <c r="F1780" i="123"/>
  <c r="F1779" i="123"/>
  <c r="F1778" i="123"/>
  <c r="F1777" i="123"/>
  <c r="F1776" i="123"/>
  <c r="F1775" i="123"/>
  <c r="F1774" i="123"/>
  <c r="F1773" i="123"/>
  <c r="F1772" i="123"/>
  <c r="F1771" i="123"/>
  <c r="F1770" i="123"/>
  <c r="F1769" i="123"/>
  <c r="F1768" i="123"/>
  <c r="F1767" i="123"/>
  <c r="F1766" i="123"/>
  <c r="F1765" i="123"/>
  <c r="F1764" i="123"/>
  <c r="F1763" i="123"/>
  <c r="F1762" i="123"/>
  <c r="F1761" i="123"/>
  <c r="F1760" i="123"/>
  <c r="F1759" i="123"/>
  <c r="F1758" i="123"/>
  <c r="F1757" i="123"/>
  <c r="F1756" i="123"/>
  <c r="F1755" i="123"/>
  <c r="F1754" i="123"/>
  <c r="F1753" i="123"/>
  <c r="F1752" i="123"/>
  <c r="F1751" i="123"/>
  <c r="F1750" i="123"/>
  <c r="F1749" i="123"/>
  <c r="F1748" i="123"/>
  <c r="F1747" i="123"/>
  <c r="F1746" i="123"/>
  <c r="F1745" i="123"/>
  <c r="F1744" i="123"/>
  <c r="F1743" i="123"/>
  <c r="F1742" i="123"/>
  <c r="F1741" i="123"/>
  <c r="F1740" i="123"/>
  <c r="F1739" i="123"/>
  <c r="F1738" i="123"/>
  <c r="F1737" i="123"/>
  <c r="F1736" i="123"/>
  <c r="F1735" i="123"/>
  <c r="F1734" i="123"/>
  <c r="F1733" i="123"/>
  <c r="F1732" i="123"/>
  <c r="F1731" i="123"/>
  <c r="F1730" i="123"/>
  <c r="F1729" i="123"/>
  <c r="F1728" i="123"/>
  <c r="F1727" i="123"/>
  <c r="F1726" i="123"/>
  <c r="F1725" i="123"/>
  <c r="F1724" i="123"/>
  <c r="F1723" i="123"/>
  <c r="F1722" i="123"/>
  <c r="F1721" i="123"/>
  <c r="F1720" i="123"/>
  <c r="F1719" i="123"/>
  <c r="F1718" i="123"/>
  <c r="F1717" i="123"/>
  <c r="F1716" i="123"/>
  <c r="F1715" i="123"/>
  <c r="F1714" i="123"/>
  <c r="F1713" i="123"/>
  <c r="F1712" i="123"/>
  <c r="F1711" i="123"/>
  <c r="F1710" i="123"/>
  <c r="F1709" i="123"/>
  <c r="F1708" i="123"/>
  <c r="F1707" i="123"/>
  <c r="F1706" i="123"/>
  <c r="F1705" i="123"/>
  <c r="F1704" i="123"/>
  <c r="F1703" i="123"/>
  <c r="F1702" i="123"/>
  <c r="F1701" i="123"/>
  <c r="F1700" i="123"/>
  <c r="F1699" i="123"/>
  <c r="F1698" i="123"/>
  <c r="F1697" i="123"/>
  <c r="F1696" i="123"/>
  <c r="F1695" i="123"/>
  <c r="F1694" i="123"/>
  <c r="F1693" i="123"/>
  <c r="F1692" i="123"/>
  <c r="F1691" i="123"/>
  <c r="F1690" i="123"/>
  <c r="F1689" i="123"/>
  <c r="F1688" i="123"/>
  <c r="F1687" i="123"/>
  <c r="F1686" i="123"/>
  <c r="F1685" i="123"/>
  <c r="F1684" i="123"/>
  <c r="F1683" i="123"/>
  <c r="F1682" i="123"/>
  <c r="F1681" i="123"/>
  <c r="F1680" i="123"/>
  <c r="F1679" i="123"/>
  <c r="F1678" i="123"/>
  <c r="F1677" i="123"/>
  <c r="F1676" i="123"/>
  <c r="F1675" i="123"/>
  <c r="F1674" i="123"/>
  <c r="F1673" i="123"/>
  <c r="F1672" i="123"/>
  <c r="F1671" i="123"/>
  <c r="F1670" i="123"/>
  <c r="F1669" i="123"/>
  <c r="F1668" i="123"/>
  <c r="F1667" i="123"/>
  <c r="F1666" i="123"/>
  <c r="F1665" i="123"/>
  <c r="F1664" i="123"/>
  <c r="F1663" i="123"/>
  <c r="F1662" i="123"/>
  <c r="F1661" i="123"/>
  <c r="F1660" i="123"/>
  <c r="F1659" i="123"/>
  <c r="F1658" i="123"/>
  <c r="F1657" i="123"/>
  <c r="F1656" i="123"/>
  <c r="F1655" i="123"/>
  <c r="F1654" i="123"/>
  <c r="F1653" i="123"/>
  <c r="F1652" i="123"/>
  <c r="F1651" i="123"/>
  <c r="F1650" i="123"/>
  <c r="F1649" i="123"/>
  <c r="F1648" i="123"/>
  <c r="F1647" i="123"/>
  <c r="F1646" i="123"/>
  <c r="F1645" i="123"/>
  <c r="F1644" i="123"/>
  <c r="F1643" i="123"/>
  <c r="F1642" i="123"/>
  <c r="F1641" i="123"/>
  <c r="F1640" i="123"/>
  <c r="F1639" i="123"/>
  <c r="F1638" i="123"/>
  <c r="F1637" i="123"/>
  <c r="F1636" i="123"/>
  <c r="F1635" i="123"/>
  <c r="F1634" i="123"/>
  <c r="F1633" i="123"/>
  <c r="F1632" i="123"/>
  <c r="F1631" i="123"/>
  <c r="F1630" i="123"/>
  <c r="F1629" i="123"/>
  <c r="F1628" i="123"/>
  <c r="F1627" i="123"/>
  <c r="F1626" i="123"/>
  <c r="F1625" i="123"/>
  <c r="F1624" i="123"/>
  <c r="F1623" i="123"/>
  <c r="F1622" i="123"/>
  <c r="F1621" i="123"/>
  <c r="F1620" i="123"/>
  <c r="F1619" i="123"/>
  <c r="F1618" i="123"/>
  <c r="F1617" i="123"/>
  <c r="F1616" i="123"/>
  <c r="F1615" i="123"/>
  <c r="F1614" i="123"/>
  <c r="F1613" i="123"/>
  <c r="F1612" i="123"/>
  <c r="F1611" i="123"/>
  <c r="F1610" i="123"/>
  <c r="F1609" i="123"/>
  <c r="F1608" i="123"/>
  <c r="F1607" i="123"/>
  <c r="F1606" i="123"/>
  <c r="F1605" i="123"/>
  <c r="F1604" i="123"/>
  <c r="F1603" i="123"/>
  <c r="F1602" i="123"/>
  <c r="F1601" i="123"/>
  <c r="F1600" i="123"/>
  <c r="F1599" i="123"/>
  <c r="F1598" i="123"/>
  <c r="F1597" i="123"/>
  <c r="F1596" i="123"/>
  <c r="F1595" i="123"/>
  <c r="F1594" i="123"/>
  <c r="F1593" i="123"/>
  <c r="F1592" i="123"/>
  <c r="F1591" i="123"/>
  <c r="F1590" i="123"/>
  <c r="F1589" i="123"/>
  <c r="F1588" i="123"/>
  <c r="F1587" i="123"/>
  <c r="F1586" i="123"/>
  <c r="F1585" i="123"/>
  <c r="F1584" i="123"/>
  <c r="F1583" i="123"/>
  <c r="F1582" i="123"/>
  <c r="F1581" i="123"/>
  <c r="F1580" i="123"/>
  <c r="F1579" i="123"/>
  <c r="F1578" i="123"/>
  <c r="F1577" i="123"/>
  <c r="F1576" i="123"/>
  <c r="F1575" i="123"/>
  <c r="F1574" i="123"/>
  <c r="F1573" i="123"/>
  <c r="F1572" i="123"/>
  <c r="F1571" i="123"/>
  <c r="F1570" i="123"/>
  <c r="F1569" i="123"/>
  <c r="F1568" i="123"/>
  <c r="F1567" i="123"/>
  <c r="F1566" i="123"/>
  <c r="F1565" i="123"/>
  <c r="F1564" i="123"/>
  <c r="F1563" i="123"/>
  <c r="F1562" i="123"/>
  <c r="F1561" i="123"/>
  <c r="F1560" i="123"/>
  <c r="F1559" i="123"/>
  <c r="F1558" i="123"/>
  <c r="F1557" i="123"/>
  <c r="F1556" i="123"/>
  <c r="F1555" i="123"/>
  <c r="F1554" i="123"/>
  <c r="F1553" i="123"/>
  <c r="F1552" i="123"/>
  <c r="F1549" i="123"/>
  <c r="F1548" i="123"/>
  <c r="F1547" i="123"/>
  <c r="F1546" i="123"/>
  <c r="F1545" i="123"/>
  <c r="F1544" i="123"/>
  <c r="F1543" i="123"/>
  <c r="F1542" i="123"/>
  <c r="F1541" i="123"/>
  <c r="F1540" i="123"/>
  <c r="F1539" i="123"/>
  <c r="F1538" i="123"/>
  <c r="F1537" i="123"/>
  <c r="F1536" i="123"/>
  <c r="F1535" i="123"/>
  <c r="F1534" i="123"/>
  <c r="F1533" i="123"/>
  <c r="F1532" i="123"/>
  <c r="F1531" i="123"/>
  <c r="F1530" i="123"/>
  <c r="F1529" i="123"/>
  <c r="F1528" i="123"/>
  <c r="F1527" i="123"/>
  <c r="F1526" i="123"/>
  <c r="F1525" i="123"/>
  <c r="F1524" i="123"/>
  <c r="F1523" i="123"/>
  <c r="F1522" i="123"/>
  <c r="F1521" i="123"/>
  <c r="F1520" i="123"/>
  <c r="F1519" i="123"/>
  <c r="F1518" i="123"/>
  <c r="F1517" i="123"/>
  <c r="F1516" i="123"/>
  <c r="F1515" i="123"/>
  <c r="F1514" i="123"/>
  <c r="F1513" i="123"/>
  <c r="F1512" i="123"/>
  <c r="F1511" i="123"/>
  <c r="F1510" i="123"/>
  <c r="F1509" i="123"/>
  <c r="F1508" i="123"/>
  <c r="F1507" i="123"/>
  <c r="F1506" i="123"/>
  <c r="F1505" i="123"/>
  <c r="F1504" i="123"/>
  <c r="F1503" i="123"/>
  <c r="F1502" i="123"/>
  <c r="F1501" i="123"/>
  <c r="F1500" i="123"/>
  <c r="F1499" i="123"/>
  <c r="F1498" i="123"/>
  <c r="F1497" i="123"/>
  <c r="F1496" i="123"/>
  <c r="F1495" i="123"/>
  <c r="F1494" i="123"/>
  <c r="F1493" i="123"/>
  <c r="F1492" i="123"/>
  <c r="F1491" i="123"/>
  <c r="F1490" i="123"/>
  <c r="F1486" i="123"/>
  <c r="F1485" i="123"/>
  <c r="F1484" i="123"/>
  <c r="F1483" i="123"/>
  <c r="F1482" i="123"/>
  <c r="F1481" i="123"/>
  <c r="F1480" i="123"/>
  <c r="F1479" i="123"/>
  <c r="F1478" i="123"/>
  <c r="F1477" i="123"/>
  <c r="F1476" i="123"/>
  <c r="F1475" i="123"/>
  <c r="F1474" i="123"/>
  <c r="F1473" i="123"/>
  <c r="F1472" i="123"/>
  <c r="F1471" i="123"/>
  <c r="F1470" i="123"/>
  <c r="F1469" i="123"/>
  <c r="F1468" i="123"/>
  <c r="F1467" i="123"/>
  <c r="F1466" i="123"/>
  <c r="F1465" i="123"/>
  <c r="F1464" i="123"/>
  <c r="F1463" i="123"/>
  <c r="F1462" i="123"/>
  <c r="F1461" i="123"/>
  <c r="F1460" i="123"/>
  <c r="F1459" i="123"/>
  <c r="F1458" i="123"/>
  <c r="F1457" i="123"/>
  <c r="F1456" i="123"/>
  <c r="F1455" i="123"/>
  <c r="F1454" i="123"/>
  <c r="F1453" i="123"/>
  <c r="F1452" i="123"/>
  <c r="F1451" i="123"/>
  <c r="F1450" i="123"/>
  <c r="F1449" i="123"/>
  <c r="F1448" i="123"/>
  <c r="F1447" i="123"/>
  <c r="F1446" i="123"/>
  <c r="F1445" i="123"/>
  <c r="F1444" i="123"/>
  <c r="F1443" i="123"/>
  <c r="F1442" i="123"/>
  <c r="F1441" i="123"/>
  <c r="F1440" i="123"/>
  <c r="F1439" i="123"/>
  <c r="F1438" i="123"/>
  <c r="F1437" i="123"/>
  <c r="F1436" i="123"/>
  <c r="F1435" i="123"/>
  <c r="F1434" i="123"/>
  <c r="F1433" i="123"/>
  <c r="F1432" i="123"/>
  <c r="F1431" i="123"/>
  <c r="F1430" i="123"/>
  <c r="F1429" i="123"/>
  <c r="F1428" i="123"/>
  <c r="F1426" i="123"/>
  <c r="F1425" i="123"/>
  <c r="F4" i="123"/>
  <c r="X12" i="37" l="1"/>
  <c r="Q35" i="124" s="1"/>
  <c r="O740" i="127" l="1"/>
  <c r="B740" i="127"/>
  <c r="C740" i="127" s="1"/>
  <c r="O165" i="130"/>
  <c r="B165" i="130"/>
  <c r="C165" i="130" s="1"/>
  <c r="H3" i="125"/>
  <c r="T2" i="37" s="1"/>
  <c r="Q29" i="126" l="1"/>
  <c r="AH4" i="115"/>
  <c r="S2" i="122"/>
  <c r="CV1" i="112"/>
  <c r="CU5" i="112"/>
  <c r="M1" i="126"/>
  <c r="P526" i="112"/>
  <c r="AA2" i="37"/>
  <c r="O146" i="130"/>
  <c r="O145" i="130"/>
  <c r="O144" i="130"/>
  <c r="O143" i="130"/>
  <c r="O142" i="130"/>
  <c r="O141" i="130"/>
  <c r="O140" i="130"/>
  <c r="O139" i="130"/>
  <c r="O138" i="130"/>
  <c r="O137" i="130"/>
  <c r="O136" i="130"/>
  <c r="O135" i="130"/>
  <c r="O134" i="130"/>
  <c r="O133" i="130"/>
  <c r="O111" i="130"/>
  <c r="O110" i="130"/>
  <c r="O109" i="130"/>
  <c r="O108" i="130"/>
  <c r="O107" i="130"/>
  <c r="O106" i="130"/>
  <c r="O105" i="130"/>
  <c r="O302" i="127"/>
  <c r="O303" i="127"/>
  <c r="O304" i="127"/>
  <c r="O305" i="127"/>
  <c r="O306" i="127"/>
  <c r="O307" i="127"/>
  <c r="O308" i="127"/>
  <c r="O309" i="127"/>
  <c r="O310" i="127"/>
  <c r="O311" i="127"/>
  <c r="O312" i="127"/>
  <c r="O313" i="127"/>
  <c r="O314" i="127"/>
  <c r="O315" i="127"/>
  <c r="O316" i="127"/>
  <c r="O317" i="127"/>
  <c r="O318" i="127"/>
  <c r="O319" i="127"/>
  <c r="O320" i="127"/>
  <c r="O321" i="127"/>
  <c r="O322" i="127"/>
  <c r="O323" i="127"/>
  <c r="O324" i="127"/>
  <c r="O325" i="127"/>
  <c r="O326" i="127"/>
  <c r="O327" i="127"/>
  <c r="O328" i="127"/>
  <c r="O329" i="127"/>
  <c r="O330" i="127"/>
  <c r="O331" i="127"/>
  <c r="O332" i="127"/>
  <c r="O333" i="127"/>
  <c r="O334" i="127"/>
  <c r="O335" i="127"/>
  <c r="O336" i="127"/>
  <c r="O337" i="127"/>
  <c r="O338" i="127"/>
  <c r="O339" i="127"/>
  <c r="O340" i="127"/>
  <c r="O341" i="127"/>
  <c r="O342" i="127"/>
  <c r="O343" i="127"/>
  <c r="O344" i="127"/>
  <c r="O345" i="127"/>
  <c r="O346" i="127"/>
  <c r="O347" i="127"/>
  <c r="O348" i="127"/>
  <c r="O349" i="127"/>
  <c r="O350" i="127"/>
  <c r="O351" i="127"/>
  <c r="O352" i="127"/>
  <c r="O353" i="127"/>
  <c r="O354" i="127"/>
  <c r="O355" i="127"/>
  <c r="O356" i="127"/>
  <c r="O357" i="127"/>
  <c r="O358" i="127"/>
  <c r="O359" i="127"/>
  <c r="O360" i="127"/>
  <c r="O361" i="127"/>
  <c r="O362" i="127"/>
  <c r="O363" i="127"/>
  <c r="O364" i="127"/>
  <c r="O365" i="127"/>
  <c r="O366" i="127"/>
  <c r="O367" i="127"/>
  <c r="O368" i="127"/>
  <c r="O369" i="127"/>
  <c r="O370" i="127"/>
  <c r="O371" i="127"/>
  <c r="O372" i="127"/>
  <c r="O373" i="127"/>
  <c r="O374" i="127"/>
  <c r="O375" i="127"/>
  <c r="O376" i="127"/>
  <c r="O377" i="127"/>
  <c r="O378" i="127"/>
  <c r="O379" i="127"/>
  <c r="O380" i="127"/>
  <c r="O381" i="127"/>
  <c r="O382" i="127"/>
  <c r="O383" i="127"/>
  <c r="O384" i="127"/>
  <c r="O385" i="127"/>
  <c r="O386" i="127"/>
  <c r="O387" i="127"/>
  <c r="O388" i="127"/>
  <c r="O389" i="127"/>
  <c r="O390" i="127"/>
  <c r="O391" i="127"/>
  <c r="O392" i="127"/>
  <c r="O393" i="127"/>
  <c r="O394" i="127"/>
  <c r="O395" i="127"/>
  <c r="O396" i="127"/>
  <c r="O397" i="127"/>
  <c r="O398" i="127"/>
  <c r="O399" i="127"/>
  <c r="O400" i="127"/>
  <c r="O401" i="127"/>
  <c r="O402" i="127"/>
  <c r="O403" i="127"/>
  <c r="O404" i="127"/>
  <c r="O405" i="127"/>
  <c r="O406" i="127"/>
  <c r="O407" i="127"/>
  <c r="O408" i="127"/>
  <c r="O409" i="127"/>
  <c r="O410" i="127"/>
  <c r="O411" i="127"/>
  <c r="O412" i="127"/>
  <c r="O413" i="127"/>
  <c r="O414" i="127"/>
  <c r="O415" i="127"/>
  <c r="O416" i="127"/>
  <c r="O417" i="127"/>
  <c r="O418" i="127"/>
  <c r="O419" i="127"/>
  <c r="O420" i="127"/>
  <c r="O421" i="127"/>
  <c r="O422" i="127"/>
  <c r="O423" i="127"/>
  <c r="O424" i="127"/>
  <c r="O425" i="127"/>
  <c r="O426" i="127"/>
  <c r="O427" i="127"/>
  <c r="O428" i="127"/>
  <c r="O429" i="127"/>
  <c r="O430" i="127"/>
  <c r="O431" i="127"/>
  <c r="O432" i="127"/>
  <c r="O433" i="127"/>
  <c r="O434" i="127"/>
  <c r="O435" i="127"/>
  <c r="O436" i="127"/>
  <c r="O437" i="127"/>
  <c r="O438" i="127"/>
  <c r="O439" i="127"/>
  <c r="O440" i="127"/>
  <c r="O441" i="127"/>
  <c r="O442" i="127"/>
  <c r="O443" i="127"/>
  <c r="O444" i="127"/>
  <c r="O445" i="127"/>
  <c r="O446" i="127"/>
  <c r="O447" i="127"/>
  <c r="O448" i="127"/>
  <c r="O449" i="127"/>
  <c r="O450" i="127"/>
  <c r="O451" i="127"/>
  <c r="O452" i="127"/>
  <c r="O453" i="127"/>
  <c r="O454" i="127"/>
  <c r="O455" i="127"/>
  <c r="O456" i="127"/>
  <c r="O457" i="127"/>
  <c r="O458" i="127"/>
  <c r="O459" i="127"/>
  <c r="O460" i="127"/>
  <c r="O461" i="127"/>
  <c r="O462" i="127"/>
  <c r="O463" i="127"/>
  <c r="O464" i="127"/>
  <c r="O465" i="127"/>
  <c r="O466" i="127"/>
  <c r="O467" i="127"/>
  <c r="O468" i="127"/>
  <c r="O469" i="127"/>
  <c r="O470" i="127"/>
  <c r="O471" i="127"/>
  <c r="O472" i="127"/>
  <c r="O473" i="127"/>
  <c r="O474" i="127"/>
  <c r="O475" i="127"/>
  <c r="O476" i="127"/>
  <c r="O477" i="127"/>
  <c r="O478" i="127"/>
  <c r="O479" i="127"/>
  <c r="O480" i="127"/>
  <c r="O481" i="127"/>
  <c r="O482" i="127"/>
  <c r="O483" i="127"/>
  <c r="O484" i="127"/>
  <c r="O485" i="127"/>
  <c r="O486" i="127"/>
  <c r="O487" i="127"/>
  <c r="O488" i="127"/>
  <c r="O489" i="127"/>
  <c r="O490" i="127"/>
  <c r="O491" i="127"/>
  <c r="O492" i="127"/>
  <c r="O493" i="127"/>
  <c r="O494" i="127"/>
  <c r="O495" i="127"/>
  <c r="O496" i="127"/>
  <c r="O497" i="127"/>
  <c r="O498" i="127"/>
  <c r="O499" i="127"/>
  <c r="O500" i="127"/>
  <c r="O501" i="127"/>
  <c r="O502" i="127"/>
  <c r="O503" i="127"/>
  <c r="O504" i="127"/>
  <c r="O505" i="127"/>
  <c r="O506" i="127"/>
  <c r="O507" i="127"/>
  <c r="O508" i="127"/>
  <c r="O509" i="127"/>
  <c r="O510" i="127"/>
  <c r="O511" i="127"/>
  <c r="O512" i="127"/>
  <c r="O513" i="127"/>
  <c r="O514" i="127"/>
  <c r="O515" i="127"/>
  <c r="O516" i="127"/>
  <c r="O517" i="127"/>
  <c r="O518" i="127"/>
  <c r="O519" i="127"/>
  <c r="O520" i="127"/>
  <c r="O521" i="127"/>
  <c r="O522" i="127"/>
  <c r="O523" i="127"/>
  <c r="O524" i="127"/>
  <c r="O525" i="127"/>
  <c r="O526" i="127"/>
  <c r="O527" i="127"/>
  <c r="O528" i="127"/>
  <c r="O529" i="127"/>
  <c r="O530" i="127"/>
  <c r="O531" i="127"/>
  <c r="O532" i="127"/>
  <c r="O533" i="127"/>
  <c r="O534" i="127"/>
  <c r="O535" i="127"/>
  <c r="O536" i="127"/>
  <c r="O537" i="127"/>
  <c r="O538" i="127"/>
  <c r="O539" i="127"/>
  <c r="O540" i="127"/>
  <c r="O541" i="127"/>
  <c r="O542" i="127"/>
  <c r="O543" i="127"/>
  <c r="O544" i="127"/>
  <c r="O545" i="127"/>
  <c r="O546" i="127"/>
  <c r="O547" i="127"/>
  <c r="O548" i="127"/>
  <c r="O549" i="127"/>
  <c r="O550" i="127"/>
  <c r="O551" i="127"/>
  <c r="O552" i="127"/>
  <c r="O553" i="127"/>
  <c r="O554" i="127"/>
  <c r="O555" i="127"/>
  <c r="O556" i="127"/>
  <c r="O557" i="127"/>
  <c r="O558" i="127"/>
  <c r="O192" i="127"/>
  <c r="O193" i="127"/>
  <c r="O194" i="127"/>
  <c r="O195" i="127"/>
  <c r="O196" i="127"/>
  <c r="O197" i="127"/>
  <c r="O191" i="127"/>
  <c r="HJ311" i="112"/>
  <c r="HQ306" i="112"/>
  <c r="HQ336" i="112" s="1"/>
  <c r="HP306" i="112"/>
  <c r="HP383" i="112" s="1"/>
  <c r="HO306" i="112"/>
  <c r="HN306" i="112"/>
  <c r="HN309" i="112" s="1"/>
  <c r="HM306" i="112"/>
  <c r="HM307" i="112" s="1"/>
  <c r="HL306" i="112"/>
  <c r="HL358" i="112" s="1"/>
  <c r="HK306" i="112"/>
  <c r="HK307" i="112" s="1"/>
  <c r="HJ306" i="112"/>
  <c r="HJ357" i="112" s="1"/>
  <c r="HI306" i="112"/>
  <c r="HI308" i="112" s="1"/>
  <c r="HH306" i="112"/>
  <c r="HH310" i="112" s="1"/>
  <c r="HG306" i="112"/>
  <c r="HG308" i="112" s="1"/>
  <c r="HF306" i="112"/>
  <c r="HF355" i="112" s="1"/>
  <c r="HE306" i="112"/>
  <c r="HE359" i="112" s="1"/>
  <c r="HD306" i="112"/>
  <c r="HD307" i="112" s="1"/>
  <c r="HC306" i="112"/>
  <c r="HC365" i="112" s="1"/>
  <c r="AO1" i="121"/>
  <c r="HN334" i="112" l="1"/>
  <c r="HE370" i="112"/>
  <c r="HJ307" i="112"/>
  <c r="HF309" i="112"/>
  <c r="HQ307" i="112"/>
  <c r="HL312" i="112"/>
  <c r="HM406" i="112"/>
  <c r="HE308" i="112"/>
  <c r="HF316" i="112"/>
  <c r="HF308" i="112"/>
  <c r="HN316" i="112"/>
  <c r="HL308" i="112"/>
  <c r="HL325" i="112"/>
  <c r="HM308" i="112"/>
  <c r="HL329" i="112"/>
  <c r="HI307" i="112"/>
  <c r="HN308" i="112"/>
  <c r="HF330" i="112"/>
  <c r="HO502" i="112"/>
  <c r="HO485" i="112"/>
  <c r="HO481" i="112"/>
  <c r="HO477" i="112"/>
  <c r="HO469" i="112"/>
  <c r="HO465" i="112"/>
  <c r="HO461" i="112"/>
  <c r="HO457" i="112"/>
  <c r="HO453" i="112"/>
  <c r="HO505" i="112"/>
  <c r="HO493" i="112"/>
  <c r="HO500" i="112"/>
  <c r="HO497" i="112"/>
  <c r="HO486" i="112"/>
  <c r="HO482" i="112"/>
  <c r="HO478" i="112"/>
  <c r="HO470" i="112"/>
  <c r="HO466" i="112"/>
  <c r="HO462" i="112"/>
  <c r="HO458" i="112"/>
  <c r="HO454" i="112"/>
  <c r="HO503" i="112"/>
  <c r="HO494" i="112"/>
  <c r="HO450" i="112"/>
  <c r="HO506" i="112"/>
  <c r="HO498" i="112"/>
  <c r="HO487" i="112"/>
  <c r="HO483" i="112"/>
  <c r="HO479" i="112"/>
  <c r="HO475" i="112"/>
  <c r="HO467" i="112"/>
  <c r="HO463" i="112"/>
  <c r="HO459" i="112"/>
  <c r="HO455" i="112"/>
  <c r="HO451" i="112"/>
  <c r="HO501" i="112"/>
  <c r="HO495" i="112"/>
  <c r="HO504" i="112"/>
  <c r="HO488" i="112"/>
  <c r="HO484" i="112"/>
  <c r="HO480" i="112"/>
  <c r="HO476" i="112"/>
  <c r="HO468" i="112"/>
  <c r="HO452" i="112"/>
  <c r="HO447" i="112"/>
  <c r="HO443" i="112"/>
  <c r="HO430" i="112"/>
  <c r="HO426" i="112"/>
  <c r="HO410" i="112"/>
  <c r="HO439" i="112"/>
  <c r="HO435" i="112"/>
  <c r="HO431" i="112"/>
  <c r="HO419" i="112"/>
  <c r="HO415" i="112"/>
  <c r="HO499" i="112"/>
  <c r="HO456" i="112"/>
  <c r="HO448" i="112"/>
  <c r="HO444" i="112"/>
  <c r="HO427" i="112"/>
  <c r="HO411" i="112"/>
  <c r="HO407" i="112"/>
  <c r="HO440" i="112"/>
  <c r="HO436" i="112"/>
  <c r="HO432" i="112"/>
  <c r="HO420" i="112"/>
  <c r="HO416" i="112"/>
  <c r="HO460" i="112"/>
  <c r="HO449" i="112"/>
  <c r="HO445" i="112"/>
  <c r="HO441" i="112"/>
  <c r="HO428" i="112"/>
  <c r="HO412" i="112"/>
  <c r="HO408" i="112"/>
  <c r="HO507" i="112"/>
  <c r="HO437" i="112"/>
  <c r="HO433" i="112"/>
  <c r="HO421" i="112"/>
  <c r="HO417" i="112"/>
  <c r="HO413" i="112"/>
  <c r="HO464" i="112"/>
  <c r="HO446" i="112"/>
  <c r="HO442" i="112"/>
  <c r="HO429" i="112"/>
  <c r="HO409" i="112"/>
  <c r="HO434" i="112"/>
  <c r="HO404" i="112"/>
  <c r="HO438" i="112"/>
  <c r="HO400" i="112"/>
  <c r="HO396" i="112"/>
  <c r="HO392" i="112"/>
  <c r="HO388" i="112"/>
  <c r="HO384" i="112"/>
  <c r="HO380" i="112"/>
  <c r="HO376" i="112"/>
  <c r="HO372" i="112"/>
  <c r="HO365" i="112"/>
  <c r="HO361" i="112"/>
  <c r="HO405" i="112"/>
  <c r="HO401" i="112"/>
  <c r="HO397" i="112"/>
  <c r="HO393" i="112"/>
  <c r="HO389" i="112"/>
  <c r="HO385" i="112"/>
  <c r="HO381" i="112"/>
  <c r="HO377" i="112"/>
  <c r="HO373" i="112"/>
  <c r="HO362" i="112"/>
  <c r="HO414" i="112"/>
  <c r="HO406" i="112"/>
  <c r="HO370" i="112"/>
  <c r="HO418" i="112"/>
  <c r="HO402" i="112"/>
  <c r="HO398" i="112"/>
  <c r="HO394" i="112"/>
  <c r="HO390" i="112"/>
  <c r="HO386" i="112"/>
  <c r="HO382" i="112"/>
  <c r="HO378" i="112"/>
  <c r="HO374" i="112"/>
  <c r="HO363" i="112"/>
  <c r="HO496" i="112"/>
  <c r="HO399" i="112"/>
  <c r="HO395" i="112"/>
  <c r="HO391" i="112"/>
  <c r="HO387" i="112"/>
  <c r="HO383" i="112"/>
  <c r="HO379" i="112"/>
  <c r="HO375" i="112"/>
  <c r="HO371" i="112"/>
  <c r="HO364" i="112"/>
  <c r="HO360" i="112"/>
  <c r="HO356" i="112"/>
  <c r="HO352" i="112"/>
  <c r="HO331" i="112"/>
  <c r="HO327" i="112"/>
  <c r="HO314" i="112"/>
  <c r="HO310" i="112"/>
  <c r="HO344" i="112"/>
  <c r="HO340" i="112"/>
  <c r="HO336" i="112"/>
  <c r="HO317" i="112"/>
  <c r="HO357" i="112"/>
  <c r="HO353" i="112"/>
  <c r="HO345" i="112"/>
  <c r="HO332" i="112"/>
  <c r="HO328" i="112"/>
  <c r="HO320" i="112"/>
  <c r="HO311" i="112"/>
  <c r="HO341" i="112"/>
  <c r="HO337" i="112"/>
  <c r="HO315" i="112"/>
  <c r="HO403" i="112"/>
  <c r="HO358" i="112"/>
  <c r="HO354" i="112"/>
  <c r="HO346" i="112"/>
  <c r="HO333" i="112"/>
  <c r="HO329" i="112"/>
  <c r="HO325" i="112"/>
  <c r="HO318" i="112"/>
  <c r="HO312" i="112"/>
  <c r="HO359" i="112"/>
  <c r="HO342" i="112"/>
  <c r="HO338" i="112"/>
  <c r="HO355" i="112"/>
  <c r="HO347" i="112"/>
  <c r="HO334" i="112"/>
  <c r="HO330" i="112"/>
  <c r="HO326" i="112"/>
  <c r="HO316" i="112"/>
  <c r="HO313" i="112"/>
  <c r="HO309" i="112"/>
  <c r="HF334" i="112"/>
  <c r="HM338" i="112"/>
  <c r="HG343" i="112"/>
  <c r="HN347" i="112"/>
  <c r="HH356" i="112"/>
  <c r="HL362" i="112"/>
  <c r="HF402" i="112"/>
  <c r="HP356" i="112"/>
  <c r="HI317" i="112"/>
  <c r="HF326" i="112"/>
  <c r="HN330" i="112"/>
  <c r="HG335" i="112"/>
  <c r="HO339" i="112"/>
  <c r="HI344" i="112"/>
  <c r="HP352" i="112"/>
  <c r="HN374" i="112"/>
  <c r="HH309" i="112"/>
  <c r="HJ503" i="112"/>
  <c r="HJ494" i="112"/>
  <c r="HJ506" i="112"/>
  <c r="HJ498" i="112"/>
  <c r="HJ487" i="112"/>
  <c r="HJ483" i="112"/>
  <c r="HJ479" i="112"/>
  <c r="HJ475" i="112"/>
  <c r="HJ467" i="112"/>
  <c r="HJ463" i="112"/>
  <c r="HJ459" i="112"/>
  <c r="HJ455" i="112"/>
  <c r="HJ451" i="112"/>
  <c r="HJ501" i="112"/>
  <c r="HJ495" i="112"/>
  <c r="HJ504" i="112"/>
  <c r="HJ488" i="112"/>
  <c r="HJ484" i="112"/>
  <c r="HJ480" i="112"/>
  <c r="HJ476" i="112"/>
  <c r="HJ468" i="112"/>
  <c r="HJ464" i="112"/>
  <c r="HJ460" i="112"/>
  <c r="HJ456" i="112"/>
  <c r="HJ452" i="112"/>
  <c r="HJ507" i="112"/>
  <c r="HJ499" i="112"/>
  <c r="HJ496" i="112"/>
  <c r="HJ502" i="112"/>
  <c r="HJ485" i="112"/>
  <c r="HJ481" i="112"/>
  <c r="HJ477" i="112"/>
  <c r="HJ469" i="112"/>
  <c r="HJ465" i="112"/>
  <c r="HJ461" i="112"/>
  <c r="HJ457" i="112"/>
  <c r="HJ453" i="112"/>
  <c r="HJ505" i="112"/>
  <c r="HJ493" i="112"/>
  <c r="HJ478" i="112"/>
  <c r="HJ440" i="112"/>
  <c r="HJ436" i="112"/>
  <c r="HJ432" i="112"/>
  <c r="HJ420" i="112"/>
  <c r="HJ416" i="112"/>
  <c r="HJ500" i="112"/>
  <c r="HJ482" i="112"/>
  <c r="HJ466" i="112"/>
  <c r="HJ449" i="112"/>
  <c r="HJ445" i="112"/>
  <c r="HJ441" i="112"/>
  <c r="HJ428" i="112"/>
  <c r="HJ412" i="112"/>
  <c r="HJ408" i="112"/>
  <c r="HJ486" i="112"/>
  <c r="HJ437" i="112"/>
  <c r="HJ433" i="112"/>
  <c r="HJ421" i="112"/>
  <c r="HJ417" i="112"/>
  <c r="HJ413" i="112"/>
  <c r="HJ470" i="112"/>
  <c r="HJ454" i="112"/>
  <c r="HJ450" i="112"/>
  <c r="HJ446" i="112"/>
  <c r="HJ442" i="112"/>
  <c r="HJ429" i="112"/>
  <c r="HJ409" i="112"/>
  <c r="HJ438" i="112"/>
  <c r="HJ434" i="112"/>
  <c r="HJ418" i="112"/>
  <c r="HJ414" i="112"/>
  <c r="HJ458" i="112"/>
  <c r="HJ447" i="112"/>
  <c r="HJ443" i="112"/>
  <c r="HJ430" i="112"/>
  <c r="HJ426" i="112"/>
  <c r="HJ410" i="112"/>
  <c r="HJ497" i="112"/>
  <c r="HJ439" i="112"/>
  <c r="HJ435" i="112"/>
  <c r="HJ431" i="112"/>
  <c r="HJ419" i="112"/>
  <c r="HJ415" i="112"/>
  <c r="HJ448" i="112"/>
  <c r="HJ401" i="112"/>
  <c r="HJ397" i="112"/>
  <c r="HJ393" i="112"/>
  <c r="HJ389" i="112"/>
  <c r="HJ385" i="112"/>
  <c r="HJ381" i="112"/>
  <c r="HJ377" i="112"/>
  <c r="HJ373" i="112"/>
  <c r="HJ362" i="112"/>
  <c r="HJ407" i="112"/>
  <c r="HJ406" i="112"/>
  <c r="HJ370" i="112"/>
  <c r="HJ411" i="112"/>
  <c r="HJ402" i="112"/>
  <c r="HJ398" i="112"/>
  <c r="HJ394" i="112"/>
  <c r="HJ390" i="112"/>
  <c r="HJ386" i="112"/>
  <c r="HJ382" i="112"/>
  <c r="HJ378" i="112"/>
  <c r="HJ374" i="112"/>
  <c r="HJ363" i="112"/>
  <c r="HJ403" i="112"/>
  <c r="HJ399" i="112"/>
  <c r="HJ395" i="112"/>
  <c r="HJ391" i="112"/>
  <c r="HJ387" i="112"/>
  <c r="HJ383" i="112"/>
  <c r="HJ379" i="112"/>
  <c r="HJ375" i="112"/>
  <c r="HJ371" i="112"/>
  <c r="HJ364" i="112"/>
  <c r="HJ427" i="112"/>
  <c r="HJ404" i="112"/>
  <c r="HJ462" i="112"/>
  <c r="HJ444" i="112"/>
  <c r="HJ405" i="112"/>
  <c r="HJ392" i="112"/>
  <c r="HJ365" i="112"/>
  <c r="HJ341" i="112"/>
  <c r="HJ337" i="112"/>
  <c r="HJ315" i="112"/>
  <c r="HJ396" i="112"/>
  <c r="HJ358" i="112"/>
  <c r="HJ354" i="112"/>
  <c r="HJ346" i="112"/>
  <c r="HJ333" i="112"/>
  <c r="HJ329" i="112"/>
  <c r="HJ325" i="112"/>
  <c r="HJ318" i="112"/>
  <c r="HJ312" i="112"/>
  <c r="HJ400" i="112"/>
  <c r="HJ359" i="112"/>
  <c r="HJ342" i="112"/>
  <c r="HJ338" i="112"/>
  <c r="HJ372" i="112"/>
  <c r="HJ361" i="112"/>
  <c r="HJ355" i="112"/>
  <c r="HJ347" i="112"/>
  <c r="HJ334" i="112"/>
  <c r="HJ330" i="112"/>
  <c r="HJ326" i="112"/>
  <c r="HJ316" i="112"/>
  <c r="HJ313" i="112"/>
  <c r="HJ376" i="112"/>
  <c r="HJ343" i="112"/>
  <c r="HJ339" i="112"/>
  <c r="HJ335" i="112"/>
  <c r="HJ319" i="112"/>
  <c r="HJ380" i="112"/>
  <c r="HJ356" i="112"/>
  <c r="HJ352" i="112"/>
  <c r="HJ331" i="112"/>
  <c r="HJ327" i="112"/>
  <c r="HJ314" i="112"/>
  <c r="HJ310" i="112"/>
  <c r="HJ384" i="112"/>
  <c r="HJ360" i="112"/>
  <c r="HJ344" i="112"/>
  <c r="HJ340" i="112"/>
  <c r="HJ336" i="112"/>
  <c r="HJ317" i="112"/>
  <c r="HL307" i="112"/>
  <c r="HO308" i="112"/>
  <c r="HJ309" i="112"/>
  <c r="HF313" i="112"/>
  <c r="HQ317" i="112"/>
  <c r="HN326" i="112"/>
  <c r="HH331" i="112"/>
  <c r="HO335" i="112"/>
  <c r="HI340" i="112"/>
  <c r="HQ344" i="112"/>
  <c r="HJ353" i="112"/>
  <c r="HH379" i="112"/>
  <c r="HH352" i="112"/>
  <c r="HK506" i="112"/>
  <c r="HK498" i="112"/>
  <c r="HK487" i="112"/>
  <c r="HK483" i="112"/>
  <c r="HK479" i="112"/>
  <c r="HK475" i="112"/>
  <c r="HK467" i="112"/>
  <c r="HK463" i="112"/>
  <c r="HK459" i="112"/>
  <c r="HK455" i="112"/>
  <c r="HK451" i="112"/>
  <c r="HK501" i="112"/>
  <c r="HK495" i="112"/>
  <c r="HK504" i="112"/>
  <c r="HK488" i="112"/>
  <c r="HK484" i="112"/>
  <c r="HK480" i="112"/>
  <c r="HK476" i="112"/>
  <c r="HK468" i="112"/>
  <c r="HK464" i="112"/>
  <c r="HK460" i="112"/>
  <c r="HK456" i="112"/>
  <c r="HK452" i="112"/>
  <c r="HK507" i="112"/>
  <c r="HK499" i="112"/>
  <c r="HK496" i="112"/>
  <c r="HK502" i="112"/>
  <c r="HK485" i="112"/>
  <c r="HK481" i="112"/>
  <c r="HK477" i="112"/>
  <c r="HK469" i="112"/>
  <c r="HK465" i="112"/>
  <c r="HK461" i="112"/>
  <c r="HK457" i="112"/>
  <c r="HK453" i="112"/>
  <c r="HK505" i="112"/>
  <c r="HK493" i="112"/>
  <c r="HK500" i="112"/>
  <c r="HK497" i="112"/>
  <c r="HK486" i="112"/>
  <c r="HK482" i="112"/>
  <c r="HK478" i="112"/>
  <c r="HK466" i="112"/>
  <c r="HK449" i="112"/>
  <c r="HK445" i="112"/>
  <c r="HK441" i="112"/>
  <c r="HK428" i="112"/>
  <c r="HK412" i="112"/>
  <c r="HK408" i="112"/>
  <c r="HK437" i="112"/>
  <c r="HK433" i="112"/>
  <c r="HK421" i="112"/>
  <c r="HK417" i="112"/>
  <c r="HK413" i="112"/>
  <c r="HK470" i="112"/>
  <c r="HK454" i="112"/>
  <c r="HK450" i="112"/>
  <c r="HK446" i="112"/>
  <c r="HK442" i="112"/>
  <c r="HK429" i="112"/>
  <c r="HK409" i="112"/>
  <c r="HK494" i="112"/>
  <c r="HK438" i="112"/>
  <c r="HK434" i="112"/>
  <c r="HK418" i="112"/>
  <c r="HK414" i="112"/>
  <c r="HK503" i="112"/>
  <c r="HK458" i="112"/>
  <c r="HK447" i="112"/>
  <c r="HK443" i="112"/>
  <c r="HK430" i="112"/>
  <c r="HK426" i="112"/>
  <c r="HK410" i="112"/>
  <c r="HK439" i="112"/>
  <c r="HK435" i="112"/>
  <c r="HK431" i="112"/>
  <c r="HK419" i="112"/>
  <c r="HK415" i="112"/>
  <c r="HK462" i="112"/>
  <c r="HK448" i="112"/>
  <c r="HK444" i="112"/>
  <c r="HK427" i="112"/>
  <c r="HK411" i="112"/>
  <c r="HK407" i="112"/>
  <c r="HK406" i="112"/>
  <c r="HK370" i="112"/>
  <c r="HK416" i="112"/>
  <c r="HK402" i="112"/>
  <c r="HK398" i="112"/>
  <c r="HK394" i="112"/>
  <c r="HK390" i="112"/>
  <c r="HK386" i="112"/>
  <c r="HK382" i="112"/>
  <c r="HK378" i="112"/>
  <c r="HK374" i="112"/>
  <c r="HK363" i="112"/>
  <c r="HK420" i="112"/>
  <c r="HK403" i="112"/>
  <c r="HK399" i="112"/>
  <c r="HK395" i="112"/>
  <c r="HK391" i="112"/>
  <c r="HK387" i="112"/>
  <c r="HK383" i="112"/>
  <c r="HK379" i="112"/>
  <c r="HK375" i="112"/>
  <c r="HK371" i="112"/>
  <c r="HK364" i="112"/>
  <c r="HK360" i="112"/>
  <c r="HK432" i="112"/>
  <c r="HK404" i="112"/>
  <c r="HK436" i="112"/>
  <c r="HK400" i="112"/>
  <c r="HK396" i="112"/>
  <c r="HK392" i="112"/>
  <c r="HK388" i="112"/>
  <c r="HK384" i="112"/>
  <c r="HK380" i="112"/>
  <c r="HK376" i="112"/>
  <c r="HK372" i="112"/>
  <c r="HK365" i="112"/>
  <c r="HK361" i="112"/>
  <c r="HK401" i="112"/>
  <c r="HK397" i="112"/>
  <c r="HK393" i="112"/>
  <c r="HK389" i="112"/>
  <c r="HK385" i="112"/>
  <c r="HK381" i="112"/>
  <c r="HK377" i="112"/>
  <c r="HK373" i="112"/>
  <c r="HK362" i="112"/>
  <c r="HK440" i="112"/>
  <c r="HK358" i="112"/>
  <c r="HK354" i="112"/>
  <c r="HK346" i="112"/>
  <c r="HK333" i="112"/>
  <c r="HK329" i="112"/>
  <c r="HK325" i="112"/>
  <c r="HK318" i="112"/>
  <c r="HK312" i="112"/>
  <c r="HK405" i="112"/>
  <c r="HK359" i="112"/>
  <c r="HK342" i="112"/>
  <c r="HK338" i="112"/>
  <c r="HK355" i="112"/>
  <c r="HK347" i="112"/>
  <c r="HK334" i="112"/>
  <c r="HK330" i="112"/>
  <c r="HK326" i="112"/>
  <c r="HK316" i="112"/>
  <c r="HK313" i="112"/>
  <c r="HK343" i="112"/>
  <c r="HK339" i="112"/>
  <c r="HK335" i="112"/>
  <c r="HK319" i="112"/>
  <c r="HK356" i="112"/>
  <c r="HK352" i="112"/>
  <c r="HK331" i="112"/>
  <c r="HK327" i="112"/>
  <c r="HK314" i="112"/>
  <c r="HK310" i="112"/>
  <c r="HK344" i="112"/>
  <c r="HK340" i="112"/>
  <c r="HK336" i="112"/>
  <c r="HK317" i="112"/>
  <c r="HK357" i="112"/>
  <c r="HK353" i="112"/>
  <c r="HK345" i="112"/>
  <c r="HK332" i="112"/>
  <c r="HK328" i="112"/>
  <c r="HK320" i="112"/>
  <c r="HK311" i="112"/>
  <c r="HH308" i="112"/>
  <c r="HP308" i="112"/>
  <c r="HK309" i="112"/>
  <c r="HN313" i="112"/>
  <c r="HL318" i="112"/>
  <c r="HH327" i="112"/>
  <c r="HP331" i="112"/>
  <c r="HI336" i="112"/>
  <c r="HQ340" i="112"/>
  <c r="HJ345" i="112"/>
  <c r="HG502" i="112"/>
  <c r="HG485" i="112"/>
  <c r="HG481" i="112"/>
  <c r="HG477" i="112"/>
  <c r="HG469" i="112"/>
  <c r="HG465" i="112"/>
  <c r="HG461" i="112"/>
  <c r="HG457" i="112"/>
  <c r="HG453" i="112"/>
  <c r="HG505" i="112"/>
  <c r="HG493" i="112"/>
  <c r="HG500" i="112"/>
  <c r="HG497" i="112"/>
  <c r="HG486" i="112"/>
  <c r="HG482" i="112"/>
  <c r="HG478" i="112"/>
  <c r="HG470" i="112"/>
  <c r="HG466" i="112"/>
  <c r="HG462" i="112"/>
  <c r="HG458" i="112"/>
  <c r="HG454" i="112"/>
  <c r="HG503" i="112"/>
  <c r="HG494" i="112"/>
  <c r="HG506" i="112"/>
  <c r="HG498" i="112"/>
  <c r="HG487" i="112"/>
  <c r="HG483" i="112"/>
  <c r="HG479" i="112"/>
  <c r="HG475" i="112"/>
  <c r="HG467" i="112"/>
  <c r="HG463" i="112"/>
  <c r="HG459" i="112"/>
  <c r="HG455" i="112"/>
  <c r="HG451" i="112"/>
  <c r="HG501" i="112"/>
  <c r="HG495" i="112"/>
  <c r="HG504" i="112"/>
  <c r="HG488" i="112"/>
  <c r="HG484" i="112"/>
  <c r="HG480" i="112"/>
  <c r="HG496" i="112"/>
  <c r="HG464" i="112"/>
  <c r="HG447" i="112"/>
  <c r="HG443" i="112"/>
  <c r="HG430" i="112"/>
  <c r="HG426" i="112"/>
  <c r="HG410" i="112"/>
  <c r="HG439" i="112"/>
  <c r="HG435" i="112"/>
  <c r="HG431" i="112"/>
  <c r="HG419" i="112"/>
  <c r="HG415" i="112"/>
  <c r="HG468" i="112"/>
  <c r="HG452" i="112"/>
  <c r="HG448" i="112"/>
  <c r="HG444" i="112"/>
  <c r="HG427" i="112"/>
  <c r="HG411" i="112"/>
  <c r="HG407" i="112"/>
  <c r="HG499" i="112"/>
  <c r="HG440" i="112"/>
  <c r="HG436" i="112"/>
  <c r="HG432" i="112"/>
  <c r="HG420" i="112"/>
  <c r="HG416" i="112"/>
  <c r="HG476" i="112"/>
  <c r="HG456" i="112"/>
  <c r="HG449" i="112"/>
  <c r="HG445" i="112"/>
  <c r="HG441" i="112"/>
  <c r="HG428" i="112"/>
  <c r="HG412" i="112"/>
  <c r="HG408" i="112"/>
  <c r="HG437" i="112"/>
  <c r="HG433" i="112"/>
  <c r="HG421" i="112"/>
  <c r="HG417" i="112"/>
  <c r="HG413" i="112"/>
  <c r="HG507" i="112"/>
  <c r="HG460" i="112"/>
  <c r="HG450" i="112"/>
  <c r="HG446" i="112"/>
  <c r="HG442" i="112"/>
  <c r="HG429" i="112"/>
  <c r="HG409" i="112"/>
  <c r="HG404" i="112"/>
  <c r="HG434" i="112"/>
  <c r="HG400" i="112"/>
  <c r="HG396" i="112"/>
  <c r="HG392" i="112"/>
  <c r="HG388" i="112"/>
  <c r="HG384" i="112"/>
  <c r="HG380" i="112"/>
  <c r="HG376" i="112"/>
  <c r="HG372" i="112"/>
  <c r="HG365" i="112"/>
  <c r="HG361" i="112"/>
  <c r="HG438" i="112"/>
  <c r="HG405" i="112"/>
  <c r="HG401" i="112"/>
  <c r="HG397" i="112"/>
  <c r="HG393" i="112"/>
  <c r="HG389" i="112"/>
  <c r="HG385" i="112"/>
  <c r="HG381" i="112"/>
  <c r="HG377" i="112"/>
  <c r="HG373" i="112"/>
  <c r="HG362" i="112"/>
  <c r="HG406" i="112"/>
  <c r="HG370" i="112"/>
  <c r="HG414" i="112"/>
  <c r="HG402" i="112"/>
  <c r="HG398" i="112"/>
  <c r="HG394" i="112"/>
  <c r="HG390" i="112"/>
  <c r="HG386" i="112"/>
  <c r="HG382" i="112"/>
  <c r="HG378" i="112"/>
  <c r="HG374" i="112"/>
  <c r="HG363" i="112"/>
  <c r="HG399" i="112"/>
  <c r="HG395" i="112"/>
  <c r="HG391" i="112"/>
  <c r="HG387" i="112"/>
  <c r="HG383" i="112"/>
  <c r="HG379" i="112"/>
  <c r="HG375" i="112"/>
  <c r="HG371" i="112"/>
  <c r="HG364" i="112"/>
  <c r="HG360" i="112"/>
  <c r="HG356" i="112"/>
  <c r="HG352" i="112"/>
  <c r="HG331" i="112"/>
  <c r="HG327" i="112"/>
  <c r="HG314" i="112"/>
  <c r="HG310" i="112"/>
  <c r="HG344" i="112"/>
  <c r="HG340" i="112"/>
  <c r="HG336" i="112"/>
  <c r="HG317" i="112"/>
  <c r="HG357" i="112"/>
  <c r="HG353" i="112"/>
  <c r="HG345" i="112"/>
  <c r="HG332" i="112"/>
  <c r="HG328" i="112"/>
  <c r="HG320" i="112"/>
  <c r="HG311" i="112"/>
  <c r="HG341" i="112"/>
  <c r="HG337" i="112"/>
  <c r="HG315" i="112"/>
  <c r="HG418" i="112"/>
  <c r="HG358" i="112"/>
  <c r="HG354" i="112"/>
  <c r="HG346" i="112"/>
  <c r="HG333" i="112"/>
  <c r="HG329" i="112"/>
  <c r="HG325" i="112"/>
  <c r="HG318" i="112"/>
  <c r="HG312" i="112"/>
  <c r="HG403" i="112"/>
  <c r="HG359" i="112"/>
  <c r="HG342" i="112"/>
  <c r="HG338" i="112"/>
  <c r="HG355" i="112"/>
  <c r="HG347" i="112"/>
  <c r="HG334" i="112"/>
  <c r="HG330" i="112"/>
  <c r="HG326" i="112"/>
  <c r="HG316" i="112"/>
  <c r="HG313" i="112"/>
  <c r="HP505" i="112"/>
  <c r="HP493" i="112"/>
  <c r="HP500" i="112"/>
  <c r="HP497" i="112"/>
  <c r="HP486" i="112"/>
  <c r="HP482" i="112"/>
  <c r="HP478" i="112"/>
  <c r="HP470" i="112"/>
  <c r="HP466" i="112"/>
  <c r="HP462" i="112"/>
  <c r="HP458" i="112"/>
  <c r="HP454" i="112"/>
  <c r="HP503" i="112"/>
  <c r="HP494" i="112"/>
  <c r="HP450" i="112"/>
  <c r="HP506" i="112"/>
  <c r="HP498" i="112"/>
  <c r="HP487" i="112"/>
  <c r="HP483" i="112"/>
  <c r="HP479" i="112"/>
  <c r="HP475" i="112"/>
  <c r="HP467" i="112"/>
  <c r="HP463" i="112"/>
  <c r="HP459" i="112"/>
  <c r="HP455" i="112"/>
  <c r="HP451" i="112"/>
  <c r="HP501" i="112"/>
  <c r="HP495" i="112"/>
  <c r="HP504" i="112"/>
  <c r="HP488" i="112"/>
  <c r="HP484" i="112"/>
  <c r="HP480" i="112"/>
  <c r="HP476" i="112"/>
  <c r="HP468" i="112"/>
  <c r="HP464" i="112"/>
  <c r="HP460" i="112"/>
  <c r="HP456" i="112"/>
  <c r="HP452" i="112"/>
  <c r="HP507" i="112"/>
  <c r="HP499" i="112"/>
  <c r="HP496" i="112"/>
  <c r="HP439" i="112"/>
  <c r="HP435" i="112"/>
  <c r="HP431" i="112"/>
  <c r="HP419" i="112"/>
  <c r="HP415" i="112"/>
  <c r="HP477" i="112"/>
  <c r="HP461" i="112"/>
  <c r="HP448" i="112"/>
  <c r="HP444" i="112"/>
  <c r="HP427" i="112"/>
  <c r="HP411" i="112"/>
  <c r="HP407" i="112"/>
  <c r="HP481" i="112"/>
  <c r="HP440" i="112"/>
  <c r="HP436" i="112"/>
  <c r="HP432" i="112"/>
  <c r="HP420" i="112"/>
  <c r="HP416" i="112"/>
  <c r="HP485" i="112"/>
  <c r="HP465" i="112"/>
  <c r="HP449" i="112"/>
  <c r="HP445" i="112"/>
  <c r="HP441" i="112"/>
  <c r="HP428" i="112"/>
  <c r="HP412" i="112"/>
  <c r="HP408" i="112"/>
  <c r="HP437" i="112"/>
  <c r="HP433" i="112"/>
  <c r="HP421" i="112"/>
  <c r="HP417" i="112"/>
  <c r="HP413" i="112"/>
  <c r="HP502" i="112"/>
  <c r="HP469" i="112"/>
  <c r="HP453" i="112"/>
  <c r="HP446" i="112"/>
  <c r="HP442" i="112"/>
  <c r="HP429" i="112"/>
  <c r="HP409" i="112"/>
  <c r="HP438" i="112"/>
  <c r="HP434" i="112"/>
  <c r="HP418" i="112"/>
  <c r="HP414" i="112"/>
  <c r="HP443" i="112"/>
  <c r="HP400" i="112"/>
  <c r="HP396" i="112"/>
  <c r="HP392" i="112"/>
  <c r="HP388" i="112"/>
  <c r="HP384" i="112"/>
  <c r="HP380" i="112"/>
  <c r="HP376" i="112"/>
  <c r="HP372" i="112"/>
  <c r="HP365" i="112"/>
  <c r="HP361" i="112"/>
  <c r="HP457" i="112"/>
  <c r="HP447" i="112"/>
  <c r="HP405" i="112"/>
  <c r="HP401" i="112"/>
  <c r="HP397" i="112"/>
  <c r="HP393" i="112"/>
  <c r="HP389" i="112"/>
  <c r="HP385" i="112"/>
  <c r="HP381" i="112"/>
  <c r="HP377" i="112"/>
  <c r="HP373" i="112"/>
  <c r="HP362" i="112"/>
  <c r="HP410" i="112"/>
  <c r="HP406" i="112"/>
  <c r="HP370" i="112"/>
  <c r="HP402" i="112"/>
  <c r="HP398" i="112"/>
  <c r="HP394" i="112"/>
  <c r="HP390" i="112"/>
  <c r="HP386" i="112"/>
  <c r="HP382" i="112"/>
  <c r="HP378" i="112"/>
  <c r="HP374" i="112"/>
  <c r="HP363" i="112"/>
  <c r="HP403" i="112"/>
  <c r="HP430" i="112"/>
  <c r="HP404" i="112"/>
  <c r="HP387" i="112"/>
  <c r="HP344" i="112"/>
  <c r="HP340" i="112"/>
  <c r="HP336" i="112"/>
  <c r="HP317" i="112"/>
  <c r="HP391" i="112"/>
  <c r="HP364" i="112"/>
  <c r="HP357" i="112"/>
  <c r="HP353" i="112"/>
  <c r="HP345" i="112"/>
  <c r="HP332" i="112"/>
  <c r="HP328" i="112"/>
  <c r="HP320" i="112"/>
  <c r="HP311" i="112"/>
  <c r="HP395" i="112"/>
  <c r="HP341" i="112"/>
  <c r="HP337" i="112"/>
  <c r="HP315" i="112"/>
  <c r="HP426" i="112"/>
  <c r="HP399" i="112"/>
  <c r="HP358" i="112"/>
  <c r="HP354" i="112"/>
  <c r="HP346" i="112"/>
  <c r="HP333" i="112"/>
  <c r="HP329" i="112"/>
  <c r="HP325" i="112"/>
  <c r="HP318" i="112"/>
  <c r="HP312" i="112"/>
  <c r="HP371" i="112"/>
  <c r="HP359" i="112"/>
  <c r="HP342" i="112"/>
  <c r="HP338" i="112"/>
  <c r="HP375" i="112"/>
  <c r="HP360" i="112"/>
  <c r="HP355" i="112"/>
  <c r="HP347" i="112"/>
  <c r="HP334" i="112"/>
  <c r="HP330" i="112"/>
  <c r="HP326" i="112"/>
  <c r="HP316" i="112"/>
  <c r="HP313" i="112"/>
  <c r="HP309" i="112"/>
  <c r="HP379" i="112"/>
  <c r="HP343" i="112"/>
  <c r="HP339" i="112"/>
  <c r="HP335" i="112"/>
  <c r="HP319" i="112"/>
  <c r="HG339" i="112"/>
  <c r="HD503" i="112"/>
  <c r="HD413" i="112"/>
  <c r="HD431" i="112"/>
  <c r="HD498" i="112"/>
  <c r="HD403" i="112"/>
  <c r="HD451" i="112"/>
  <c r="HD441" i="112"/>
  <c r="HD359" i="112"/>
  <c r="HD335" i="112"/>
  <c r="HD345" i="112"/>
  <c r="HL501" i="112"/>
  <c r="HL495" i="112"/>
  <c r="HL504" i="112"/>
  <c r="HL488" i="112"/>
  <c r="HL484" i="112"/>
  <c r="HL480" i="112"/>
  <c r="HL476" i="112"/>
  <c r="HL468" i="112"/>
  <c r="HL464" i="112"/>
  <c r="HL460" i="112"/>
  <c r="HL456" i="112"/>
  <c r="HL452" i="112"/>
  <c r="HL507" i="112"/>
  <c r="HL499" i="112"/>
  <c r="HL496" i="112"/>
  <c r="HL502" i="112"/>
  <c r="HL485" i="112"/>
  <c r="HL481" i="112"/>
  <c r="HL477" i="112"/>
  <c r="HL469" i="112"/>
  <c r="HL465" i="112"/>
  <c r="HL461" i="112"/>
  <c r="HL457" i="112"/>
  <c r="HL453" i="112"/>
  <c r="HL505" i="112"/>
  <c r="HL493" i="112"/>
  <c r="HL500" i="112"/>
  <c r="HL497" i="112"/>
  <c r="HL486" i="112"/>
  <c r="HL482" i="112"/>
  <c r="HL478" i="112"/>
  <c r="HL470" i="112"/>
  <c r="HL466" i="112"/>
  <c r="HL462" i="112"/>
  <c r="HL458" i="112"/>
  <c r="HL454" i="112"/>
  <c r="HL503" i="112"/>
  <c r="HL494" i="112"/>
  <c r="HL487" i="112"/>
  <c r="HL437" i="112"/>
  <c r="HL433" i="112"/>
  <c r="HL421" i="112"/>
  <c r="HL417" i="112"/>
  <c r="HL413" i="112"/>
  <c r="HL459" i="112"/>
  <c r="HL450" i="112"/>
  <c r="HL446" i="112"/>
  <c r="HL442" i="112"/>
  <c r="HL429" i="112"/>
  <c r="HL409" i="112"/>
  <c r="HL438" i="112"/>
  <c r="HL434" i="112"/>
  <c r="HL418" i="112"/>
  <c r="HL414" i="112"/>
  <c r="HL463" i="112"/>
  <c r="HL447" i="112"/>
  <c r="HL443" i="112"/>
  <c r="HL430" i="112"/>
  <c r="HL426" i="112"/>
  <c r="HL410" i="112"/>
  <c r="HL498" i="112"/>
  <c r="HL439" i="112"/>
  <c r="HL435" i="112"/>
  <c r="HL431" i="112"/>
  <c r="HL419" i="112"/>
  <c r="HL415" i="112"/>
  <c r="HL467" i="112"/>
  <c r="HL451" i="112"/>
  <c r="HL448" i="112"/>
  <c r="HL444" i="112"/>
  <c r="HL427" i="112"/>
  <c r="HL411" i="112"/>
  <c r="HL407" i="112"/>
  <c r="HL479" i="112"/>
  <c r="HL440" i="112"/>
  <c r="HL436" i="112"/>
  <c r="HL432" i="112"/>
  <c r="HL420" i="112"/>
  <c r="HL416" i="112"/>
  <c r="HL412" i="112"/>
  <c r="HL402" i="112"/>
  <c r="HL398" i="112"/>
  <c r="HL394" i="112"/>
  <c r="HL390" i="112"/>
  <c r="HL386" i="112"/>
  <c r="HL382" i="112"/>
  <c r="HL378" i="112"/>
  <c r="HL374" i="112"/>
  <c r="HL363" i="112"/>
  <c r="HL483" i="112"/>
  <c r="HL403" i="112"/>
  <c r="HL455" i="112"/>
  <c r="HL399" i="112"/>
  <c r="HL395" i="112"/>
  <c r="HL391" i="112"/>
  <c r="HL387" i="112"/>
  <c r="HL383" i="112"/>
  <c r="HL379" i="112"/>
  <c r="HL375" i="112"/>
  <c r="HL371" i="112"/>
  <c r="HL364" i="112"/>
  <c r="HL360" i="112"/>
  <c r="HL475" i="112"/>
  <c r="HL428" i="112"/>
  <c r="HL404" i="112"/>
  <c r="HL441" i="112"/>
  <c r="HL400" i="112"/>
  <c r="HL396" i="112"/>
  <c r="HL392" i="112"/>
  <c r="HL388" i="112"/>
  <c r="HL384" i="112"/>
  <c r="HL380" i="112"/>
  <c r="HL376" i="112"/>
  <c r="HL372" i="112"/>
  <c r="HL365" i="112"/>
  <c r="HL506" i="112"/>
  <c r="HL445" i="112"/>
  <c r="HL405" i="112"/>
  <c r="HL408" i="112"/>
  <c r="HL406" i="112"/>
  <c r="HL370" i="112"/>
  <c r="HL401" i="112"/>
  <c r="HL359" i="112"/>
  <c r="HL342" i="112"/>
  <c r="HL338" i="112"/>
  <c r="HL373" i="112"/>
  <c r="HL355" i="112"/>
  <c r="HL347" i="112"/>
  <c r="HL334" i="112"/>
  <c r="HL330" i="112"/>
  <c r="HL326" i="112"/>
  <c r="HL316" i="112"/>
  <c r="HL313" i="112"/>
  <c r="HL309" i="112"/>
  <c r="HL377" i="112"/>
  <c r="HL361" i="112"/>
  <c r="HL343" i="112"/>
  <c r="HL339" i="112"/>
  <c r="HL335" i="112"/>
  <c r="HL319" i="112"/>
  <c r="HL381" i="112"/>
  <c r="HL356" i="112"/>
  <c r="HL352" i="112"/>
  <c r="HL331" i="112"/>
  <c r="HL327" i="112"/>
  <c r="HL314" i="112"/>
  <c r="HL310" i="112"/>
  <c r="HL385" i="112"/>
  <c r="HL344" i="112"/>
  <c r="HL340" i="112"/>
  <c r="HL336" i="112"/>
  <c r="HL317" i="112"/>
  <c r="HL389" i="112"/>
  <c r="HL357" i="112"/>
  <c r="HL353" i="112"/>
  <c r="HL345" i="112"/>
  <c r="HL332" i="112"/>
  <c r="HL328" i="112"/>
  <c r="HL320" i="112"/>
  <c r="HL311" i="112"/>
  <c r="HL449" i="112"/>
  <c r="HL393" i="112"/>
  <c r="HL341" i="112"/>
  <c r="HL337" i="112"/>
  <c r="HL315" i="112"/>
  <c r="HF307" i="112"/>
  <c r="HN307" i="112"/>
  <c r="HQ308" i="112"/>
  <c r="HH314" i="112"/>
  <c r="HG319" i="112"/>
  <c r="HP327" i="112"/>
  <c r="HJ332" i="112"/>
  <c r="HK341" i="112"/>
  <c r="HL354" i="112"/>
  <c r="HJ388" i="112"/>
  <c r="HO343" i="112"/>
  <c r="HI500" i="112"/>
  <c r="HI497" i="112"/>
  <c r="HI486" i="112"/>
  <c r="HI482" i="112"/>
  <c r="HI478" i="112"/>
  <c r="HI470" i="112"/>
  <c r="HI466" i="112"/>
  <c r="HI462" i="112"/>
  <c r="HI458" i="112"/>
  <c r="HI454" i="112"/>
  <c r="HI503" i="112"/>
  <c r="HI494" i="112"/>
  <c r="HI506" i="112"/>
  <c r="HI498" i="112"/>
  <c r="HI487" i="112"/>
  <c r="HI483" i="112"/>
  <c r="HI479" i="112"/>
  <c r="HI475" i="112"/>
  <c r="HI467" i="112"/>
  <c r="HI463" i="112"/>
  <c r="HI459" i="112"/>
  <c r="HI455" i="112"/>
  <c r="HI451" i="112"/>
  <c r="HI501" i="112"/>
  <c r="HI495" i="112"/>
  <c r="HI504" i="112"/>
  <c r="HI488" i="112"/>
  <c r="HI484" i="112"/>
  <c r="HI480" i="112"/>
  <c r="HI476" i="112"/>
  <c r="HI468" i="112"/>
  <c r="HI464" i="112"/>
  <c r="HI460" i="112"/>
  <c r="HI456" i="112"/>
  <c r="HI452" i="112"/>
  <c r="HI507" i="112"/>
  <c r="HI499" i="112"/>
  <c r="HI496" i="112"/>
  <c r="HI502" i="112"/>
  <c r="HI485" i="112"/>
  <c r="HI481" i="112"/>
  <c r="HI477" i="112"/>
  <c r="HI457" i="112"/>
  <c r="HI448" i="112"/>
  <c r="HI444" i="112"/>
  <c r="HI427" i="112"/>
  <c r="HI411" i="112"/>
  <c r="HI407" i="112"/>
  <c r="HI505" i="112"/>
  <c r="HI440" i="112"/>
  <c r="HI436" i="112"/>
  <c r="HI432" i="112"/>
  <c r="HI420" i="112"/>
  <c r="HI416" i="112"/>
  <c r="HI461" i="112"/>
  <c r="HI449" i="112"/>
  <c r="HI445" i="112"/>
  <c r="HI441" i="112"/>
  <c r="HI428" i="112"/>
  <c r="HI412" i="112"/>
  <c r="HI408" i="112"/>
  <c r="HI437" i="112"/>
  <c r="HI433" i="112"/>
  <c r="HI421" i="112"/>
  <c r="HI417" i="112"/>
  <c r="HI413" i="112"/>
  <c r="HI465" i="112"/>
  <c r="HI450" i="112"/>
  <c r="HI446" i="112"/>
  <c r="HI442" i="112"/>
  <c r="HI429" i="112"/>
  <c r="HI409" i="112"/>
  <c r="HI493" i="112"/>
  <c r="HI438" i="112"/>
  <c r="HI434" i="112"/>
  <c r="HI418" i="112"/>
  <c r="HI414" i="112"/>
  <c r="HI469" i="112"/>
  <c r="HI453" i="112"/>
  <c r="HI447" i="112"/>
  <c r="HI443" i="112"/>
  <c r="HI430" i="112"/>
  <c r="HI426" i="112"/>
  <c r="HI410" i="112"/>
  <c r="HI439" i="112"/>
  <c r="HI405" i="112"/>
  <c r="HI401" i="112"/>
  <c r="HI397" i="112"/>
  <c r="HI393" i="112"/>
  <c r="HI389" i="112"/>
  <c r="HI385" i="112"/>
  <c r="HI381" i="112"/>
  <c r="HI377" i="112"/>
  <c r="HI373" i="112"/>
  <c r="HI362" i="112"/>
  <c r="HI406" i="112"/>
  <c r="HI370" i="112"/>
  <c r="HI415" i="112"/>
  <c r="HI402" i="112"/>
  <c r="HI398" i="112"/>
  <c r="HI394" i="112"/>
  <c r="HI390" i="112"/>
  <c r="HI386" i="112"/>
  <c r="HI382" i="112"/>
  <c r="HI378" i="112"/>
  <c r="HI374" i="112"/>
  <c r="HI363" i="112"/>
  <c r="HI419" i="112"/>
  <c r="HI403" i="112"/>
  <c r="HI399" i="112"/>
  <c r="HI395" i="112"/>
  <c r="HI391" i="112"/>
  <c r="HI387" i="112"/>
  <c r="HI383" i="112"/>
  <c r="HI379" i="112"/>
  <c r="HI375" i="112"/>
  <c r="HI371" i="112"/>
  <c r="HI364" i="112"/>
  <c r="HI360" i="112"/>
  <c r="HI435" i="112"/>
  <c r="HI400" i="112"/>
  <c r="HI396" i="112"/>
  <c r="HI392" i="112"/>
  <c r="HI388" i="112"/>
  <c r="HI384" i="112"/>
  <c r="HI380" i="112"/>
  <c r="HI376" i="112"/>
  <c r="HI372" i="112"/>
  <c r="HI365" i="112"/>
  <c r="HI361" i="112"/>
  <c r="HI357" i="112"/>
  <c r="HI353" i="112"/>
  <c r="HI345" i="112"/>
  <c r="HI332" i="112"/>
  <c r="HI328" i="112"/>
  <c r="HI320" i="112"/>
  <c r="HI311" i="112"/>
  <c r="HI341" i="112"/>
  <c r="HI337" i="112"/>
  <c r="HI315" i="112"/>
  <c r="HI431" i="112"/>
  <c r="HI358" i="112"/>
  <c r="HI354" i="112"/>
  <c r="HI346" i="112"/>
  <c r="HI333" i="112"/>
  <c r="HI329" i="112"/>
  <c r="HI325" i="112"/>
  <c r="HI318" i="112"/>
  <c r="HI312" i="112"/>
  <c r="HI404" i="112"/>
  <c r="HI359" i="112"/>
  <c r="HI342" i="112"/>
  <c r="HI338" i="112"/>
  <c r="HI355" i="112"/>
  <c r="HI347" i="112"/>
  <c r="HI334" i="112"/>
  <c r="HI330" i="112"/>
  <c r="HI326" i="112"/>
  <c r="HI316" i="112"/>
  <c r="HI313" i="112"/>
  <c r="HI309" i="112"/>
  <c r="HI343" i="112"/>
  <c r="HI339" i="112"/>
  <c r="HI335" i="112"/>
  <c r="HI319" i="112"/>
  <c r="HI356" i="112"/>
  <c r="HI352" i="112"/>
  <c r="HI331" i="112"/>
  <c r="HI327" i="112"/>
  <c r="HI314" i="112"/>
  <c r="HI310" i="112"/>
  <c r="HQ500" i="112"/>
  <c r="HQ497" i="112"/>
  <c r="HQ486" i="112"/>
  <c r="HQ482" i="112"/>
  <c r="HQ478" i="112"/>
  <c r="HQ470" i="112"/>
  <c r="HQ466" i="112"/>
  <c r="HQ462" i="112"/>
  <c r="HQ458" i="112"/>
  <c r="HQ454" i="112"/>
  <c r="HQ503" i="112"/>
  <c r="HQ494" i="112"/>
  <c r="HQ450" i="112"/>
  <c r="HQ506" i="112"/>
  <c r="HQ498" i="112"/>
  <c r="HQ487" i="112"/>
  <c r="HQ483" i="112"/>
  <c r="HQ479" i="112"/>
  <c r="HQ475" i="112"/>
  <c r="HQ467" i="112"/>
  <c r="HQ463" i="112"/>
  <c r="HQ459" i="112"/>
  <c r="HQ455" i="112"/>
  <c r="HQ451" i="112"/>
  <c r="HQ501" i="112"/>
  <c r="HQ495" i="112"/>
  <c r="HQ504" i="112"/>
  <c r="HQ488" i="112"/>
  <c r="HQ484" i="112"/>
  <c r="HQ480" i="112"/>
  <c r="HQ476" i="112"/>
  <c r="HQ468" i="112"/>
  <c r="HQ464" i="112"/>
  <c r="HQ460" i="112"/>
  <c r="HQ456" i="112"/>
  <c r="HQ452" i="112"/>
  <c r="HQ507" i="112"/>
  <c r="HQ499" i="112"/>
  <c r="HQ496" i="112"/>
  <c r="HQ502" i="112"/>
  <c r="HQ485" i="112"/>
  <c r="HQ481" i="112"/>
  <c r="HQ477" i="112"/>
  <c r="HQ505" i="112"/>
  <c r="HQ461" i="112"/>
  <c r="HQ448" i="112"/>
  <c r="HQ444" i="112"/>
  <c r="HQ427" i="112"/>
  <c r="HQ411" i="112"/>
  <c r="HQ407" i="112"/>
  <c r="HQ440" i="112"/>
  <c r="HQ436" i="112"/>
  <c r="HQ432" i="112"/>
  <c r="HQ420" i="112"/>
  <c r="HQ416" i="112"/>
  <c r="HQ465" i="112"/>
  <c r="HQ449" i="112"/>
  <c r="HQ445" i="112"/>
  <c r="HQ441" i="112"/>
  <c r="HQ428" i="112"/>
  <c r="HQ412" i="112"/>
  <c r="HQ408" i="112"/>
  <c r="HQ437" i="112"/>
  <c r="HQ433" i="112"/>
  <c r="HQ421" i="112"/>
  <c r="HQ417" i="112"/>
  <c r="HQ413" i="112"/>
  <c r="HQ493" i="112"/>
  <c r="HQ469" i="112"/>
  <c r="HQ453" i="112"/>
  <c r="HQ446" i="112"/>
  <c r="HQ442" i="112"/>
  <c r="HQ429" i="112"/>
  <c r="HQ409" i="112"/>
  <c r="HQ438" i="112"/>
  <c r="HQ434" i="112"/>
  <c r="HQ418" i="112"/>
  <c r="HQ414" i="112"/>
  <c r="HQ457" i="112"/>
  <c r="HQ447" i="112"/>
  <c r="HQ443" i="112"/>
  <c r="HQ430" i="112"/>
  <c r="HQ426" i="112"/>
  <c r="HQ410" i="112"/>
  <c r="HQ405" i="112"/>
  <c r="HQ401" i="112"/>
  <c r="HQ397" i="112"/>
  <c r="HQ393" i="112"/>
  <c r="HQ389" i="112"/>
  <c r="HQ385" i="112"/>
  <c r="HQ381" i="112"/>
  <c r="HQ377" i="112"/>
  <c r="HQ373" i="112"/>
  <c r="HQ362" i="112"/>
  <c r="HQ415" i="112"/>
  <c r="HQ406" i="112"/>
  <c r="HQ370" i="112"/>
  <c r="HQ419" i="112"/>
  <c r="HQ402" i="112"/>
  <c r="HQ398" i="112"/>
  <c r="HQ394" i="112"/>
  <c r="HQ390" i="112"/>
  <c r="HQ386" i="112"/>
  <c r="HQ382" i="112"/>
  <c r="HQ378" i="112"/>
  <c r="HQ374" i="112"/>
  <c r="HQ363" i="112"/>
  <c r="HQ403" i="112"/>
  <c r="HQ431" i="112"/>
  <c r="HQ399" i="112"/>
  <c r="HQ395" i="112"/>
  <c r="HQ391" i="112"/>
  <c r="HQ387" i="112"/>
  <c r="HQ383" i="112"/>
  <c r="HQ379" i="112"/>
  <c r="HQ375" i="112"/>
  <c r="HQ371" i="112"/>
  <c r="HQ364" i="112"/>
  <c r="HQ360" i="112"/>
  <c r="HQ439" i="112"/>
  <c r="HQ400" i="112"/>
  <c r="HQ396" i="112"/>
  <c r="HQ392" i="112"/>
  <c r="HQ388" i="112"/>
  <c r="HQ384" i="112"/>
  <c r="HQ380" i="112"/>
  <c r="HQ376" i="112"/>
  <c r="HQ372" i="112"/>
  <c r="HQ365" i="112"/>
  <c r="HQ361" i="112"/>
  <c r="HQ357" i="112"/>
  <c r="HQ353" i="112"/>
  <c r="HQ345" i="112"/>
  <c r="HQ332" i="112"/>
  <c r="HQ328" i="112"/>
  <c r="HQ320" i="112"/>
  <c r="HQ311" i="112"/>
  <c r="HQ435" i="112"/>
  <c r="HQ341" i="112"/>
  <c r="HQ337" i="112"/>
  <c r="HQ315" i="112"/>
  <c r="HQ404" i="112"/>
  <c r="HQ358" i="112"/>
  <c r="HQ354" i="112"/>
  <c r="HQ346" i="112"/>
  <c r="HQ333" i="112"/>
  <c r="HQ329" i="112"/>
  <c r="HQ325" i="112"/>
  <c r="HQ318" i="112"/>
  <c r="HQ312" i="112"/>
  <c r="HQ359" i="112"/>
  <c r="HQ342" i="112"/>
  <c r="HQ338" i="112"/>
  <c r="HQ355" i="112"/>
  <c r="HQ347" i="112"/>
  <c r="HQ334" i="112"/>
  <c r="HQ330" i="112"/>
  <c r="HQ326" i="112"/>
  <c r="HQ316" i="112"/>
  <c r="HQ313" i="112"/>
  <c r="HQ309" i="112"/>
  <c r="HQ343" i="112"/>
  <c r="HQ339" i="112"/>
  <c r="HQ335" i="112"/>
  <c r="HQ319" i="112"/>
  <c r="HQ356" i="112"/>
  <c r="HQ352" i="112"/>
  <c r="HQ331" i="112"/>
  <c r="HQ327" i="112"/>
  <c r="HQ314" i="112"/>
  <c r="HQ310" i="112"/>
  <c r="HE504" i="112"/>
  <c r="HE488" i="112"/>
  <c r="HE484" i="112"/>
  <c r="HE480" i="112"/>
  <c r="HE476" i="112"/>
  <c r="HE468" i="112"/>
  <c r="HE464" i="112"/>
  <c r="HE460" i="112"/>
  <c r="HE456" i="112"/>
  <c r="HE452" i="112"/>
  <c r="HE507" i="112"/>
  <c r="HE499" i="112"/>
  <c r="HE496" i="112"/>
  <c r="HE502" i="112"/>
  <c r="HE485" i="112"/>
  <c r="HE481" i="112"/>
  <c r="HE477" i="112"/>
  <c r="HE469" i="112"/>
  <c r="HE465" i="112"/>
  <c r="HE461" i="112"/>
  <c r="HE457" i="112"/>
  <c r="HE453" i="112"/>
  <c r="HE505" i="112"/>
  <c r="HE493" i="112"/>
  <c r="HE500" i="112"/>
  <c r="HE497" i="112"/>
  <c r="HE486" i="112"/>
  <c r="HE482" i="112"/>
  <c r="HE478" i="112"/>
  <c r="HE470" i="112"/>
  <c r="HE466" i="112"/>
  <c r="HE462" i="112"/>
  <c r="HE458" i="112"/>
  <c r="HE454" i="112"/>
  <c r="HE503" i="112"/>
  <c r="HE494" i="112"/>
  <c r="HE506" i="112"/>
  <c r="HE498" i="112"/>
  <c r="HE487" i="112"/>
  <c r="HE483" i="112"/>
  <c r="HE479" i="112"/>
  <c r="HE501" i="112"/>
  <c r="HE475" i="112"/>
  <c r="HE455" i="112"/>
  <c r="HE450" i="112"/>
  <c r="HE446" i="112"/>
  <c r="HE442" i="112"/>
  <c r="HE429" i="112"/>
  <c r="HE409" i="112"/>
  <c r="HE438" i="112"/>
  <c r="HE434" i="112"/>
  <c r="HE418" i="112"/>
  <c r="HE414" i="112"/>
  <c r="HE495" i="112"/>
  <c r="HE459" i="112"/>
  <c r="HE447" i="112"/>
  <c r="HE443" i="112"/>
  <c r="HE430" i="112"/>
  <c r="HE426" i="112"/>
  <c r="HE410" i="112"/>
  <c r="HE439" i="112"/>
  <c r="HE435" i="112"/>
  <c r="HE431" i="112"/>
  <c r="HE419" i="112"/>
  <c r="HE415" i="112"/>
  <c r="HE463" i="112"/>
  <c r="HE448" i="112"/>
  <c r="HE444" i="112"/>
  <c r="HE427" i="112"/>
  <c r="HE411" i="112"/>
  <c r="HE407" i="112"/>
  <c r="HE440" i="112"/>
  <c r="HE436" i="112"/>
  <c r="HE432" i="112"/>
  <c r="HE420" i="112"/>
  <c r="HE416" i="112"/>
  <c r="HE467" i="112"/>
  <c r="HE451" i="112"/>
  <c r="HE449" i="112"/>
  <c r="HE445" i="112"/>
  <c r="HE441" i="112"/>
  <c r="HE428" i="112"/>
  <c r="HE412" i="112"/>
  <c r="HE408" i="112"/>
  <c r="HE417" i="112"/>
  <c r="HE403" i="112"/>
  <c r="HE421" i="112"/>
  <c r="HE399" i="112"/>
  <c r="HE395" i="112"/>
  <c r="HE391" i="112"/>
  <c r="HE387" i="112"/>
  <c r="HE383" i="112"/>
  <c r="HE379" i="112"/>
  <c r="HE375" i="112"/>
  <c r="HE371" i="112"/>
  <c r="HE364" i="112"/>
  <c r="HE404" i="112"/>
  <c r="HE433" i="112"/>
  <c r="HE400" i="112"/>
  <c r="HE396" i="112"/>
  <c r="HE392" i="112"/>
  <c r="HE388" i="112"/>
  <c r="HE384" i="112"/>
  <c r="HE380" i="112"/>
  <c r="HE376" i="112"/>
  <c r="HE372" i="112"/>
  <c r="HE365" i="112"/>
  <c r="HE361" i="112"/>
  <c r="HE437" i="112"/>
  <c r="HE405" i="112"/>
  <c r="HE401" i="112"/>
  <c r="HE397" i="112"/>
  <c r="HE393" i="112"/>
  <c r="HE389" i="112"/>
  <c r="HE385" i="112"/>
  <c r="HE381" i="112"/>
  <c r="HE377" i="112"/>
  <c r="HE373" i="112"/>
  <c r="HE362" i="112"/>
  <c r="HE413" i="112"/>
  <c r="HE402" i="112"/>
  <c r="HE398" i="112"/>
  <c r="HE394" i="112"/>
  <c r="HE390" i="112"/>
  <c r="HE386" i="112"/>
  <c r="HE382" i="112"/>
  <c r="HE378" i="112"/>
  <c r="HE374" i="112"/>
  <c r="HE363" i="112"/>
  <c r="HE406" i="112"/>
  <c r="HE355" i="112"/>
  <c r="HE347" i="112"/>
  <c r="HE334" i="112"/>
  <c r="HE330" i="112"/>
  <c r="HE326" i="112"/>
  <c r="HE316" i="112"/>
  <c r="HE313" i="112"/>
  <c r="HE343" i="112"/>
  <c r="HE339" i="112"/>
  <c r="HE335" i="112"/>
  <c r="HE319" i="112"/>
  <c r="HE360" i="112"/>
  <c r="HE356" i="112"/>
  <c r="HE352" i="112"/>
  <c r="HE331" i="112"/>
  <c r="HE327" i="112"/>
  <c r="HE314" i="112"/>
  <c r="HE310" i="112"/>
  <c r="HE344" i="112"/>
  <c r="HE340" i="112"/>
  <c r="HE336" i="112"/>
  <c r="HE317" i="112"/>
  <c r="HE357" i="112"/>
  <c r="HE353" i="112"/>
  <c r="HE345" i="112"/>
  <c r="HE332" i="112"/>
  <c r="HE328" i="112"/>
  <c r="HE320" i="112"/>
  <c r="HE311" i="112"/>
  <c r="HE341" i="112"/>
  <c r="HE337" i="112"/>
  <c r="HE315" i="112"/>
  <c r="HE358" i="112"/>
  <c r="HE354" i="112"/>
  <c r="HE346" i="112"/>
  <c r="HE333" i="112"/>
  <c r="HE329" i="112"/>
  <c r="HE325" i="112"/>
  <c r="HE318" i="112"/>
  <c r="HE312" i="112"/>
  <c r="HM504" i="112"/>
  <c r="HM488" i="112"/>
  <c r="HM484" i="112"/>
  <c r="HM480" i="112"/>
  <c r="HM476" i="112"/>
  <c r="HM468" i="112"/>
  <c r="HM464" i="112"/>
  <c r="HM460" i="112"/>
  <c r="HM456" i="112"/>
  <c r="HM452" i="112"/>
  <c r="HM507" i="112"/>
  <c r="HM499" i="112"/>
  <c r="HM496" i="112"/>
  <c r="HM502" i="112"/>
  <c r="HM485" i="112"/>
  <c r="HM481" i="112"/>
  <c r="HM477" i="112"/>
  <c r="HM469" i="112"/>
  <c r="HM465" i="112"/>
  <c r="HM461" i="112"/>
  <c r="HM457" i="112"/>
  <c r="HM453" i="112"/>
  <c r="HM505" i="112"/>
  <c r="HM493" i="112"/>
  <c r="HM500" i="112"/>
  <c r="HM497" i="112"/>
  <c r="HM486" i="112"/>
  <c r="HM482" i="112"/>
  <c r="HM478" i="112"/>
  <c r="HM470" i="112"/>
  <c r="HM466" i="112"/>
  <c r="HM462" i="112"/>
  <c r="HM458" i="112"/>
  <c r="HM454" i="112"/>
  <c r="HM503" i="112"/>
  <c r="HM494" i="112"/>
  <c r="HM506" i="112"/>
  <c r="HM498" i="112"/>
  <c r="HM487" i="112"/>
  <c r="HM483" i="112"/>
  <c r="HM479" i="112"/>
  <c r="HM459" i="112"/>
  <c r="HM450" i="112"/>
  <c r="HM446" i="112"/>
  <c r="HM442" i="112"/>
  <c r="HM429" i="112"/>
  <c r="HM409" i="112"/>
  <c r="HM495" i="112"/>
  <c r="HM438" i="112"/>
  <c r="HM434" i="112"/>
  <c r="HM418" i="112"/>
  <c r="HM414" i="112"/>
  <c r="HM463" i="112"/>
  <c r="HM447" i="112"/>
  <c r="HM443" i="112"/>
  <c r="HM430" i="112"/>
  <c r="HM426" i="112"/>
  <c r="HM410" i="112"/>
  <c r="HM439" i="112"/>
  <c r="HM435" i="112"/>
  <c r="HM431" i="112"/>
  <c r="HM419" i="112"/>
  <c r="HM415" i="112"/>
  <c r="HM467" i="112"/>
  <c r="HM451" i="112"/>
  <c r="HM448" i="112"/>
  <c r="HM444" i="112"/>
  <c r="HM427" i="112"/>
  <c r="HM411" i="112"/>
  <c r="HM407" i="112"/>
  <c r="HM440" i="112"/>
  <c r="HM436" i="112"/>
  <c r="HM432" i="112"/>
  <c r="HM420" i="112"/>
  <c r="HM416" i="112"/>
  <c r="HM475" i="112"/>
  <c r="HM455" i="112"/>
  <c r="HM449" i="112"/>
  <c r="HM445" i="112"/>
  <c r="HM441" i="112"/>
  <c r="HM428" i="112"/>
  <c r="HM412" i="112"/>
  <c r="HM408" i="112"/>
  <c r="HM421" i="112"/>
  <c r="HM403" i="112"/>
  <c r="HM399" i="112"/>
  <c r="HM395" i="112"/>
  <c r="HM391" i="112"/>
  <c r="HM387" i="112"/>
  <c r="HM383" i="112"/>
  <c r="HM379" i="112"/>
  <c r="HM375" i="112"/>
  <c r="HM371" i="112"/>
  <c r="HM364" i="112"/>
  <c r="HM360" i="112"/>
  <c r="HM433" i="112"/>
  <c r="HM404" i="112"/>
  <c r="HM437" i="112"/>
  <c r="HM400" i="112"/>
  <c r="HM396" i="112"/>
  <c r="HM392" i="112"/>
  <c r="HM388" i="112"/>
  <c r="HM384" i="112"/>
  <c r="HM380" i="112"/>
  <c r="HM376" i="112"/>
  <c r="HM372" i="112"/>
  <c r="HM365" i="112"/>
  <c r="HM361" i="112"/>
  <c r="HM405" i="112"/>
  <c r="HM401" i="112"/>
  <c r="HM397" i="112"/>
  <c r="HM393" i="112"/>
  <c r="HM389" i="112"/>
  <c r="HM385" i="112"/>
  <c r="HM381" i="112"/>
  <c r="HM377" i="112"/>
  <c r="HM373" i="112"/>
  <c r="HM362" i="112"/>
  <c r="HM417" i="112"/>
  <c r="HM402" i="112"/>
  <c r="HM398" i="112"/>
  <c r="HM394" i="112"/>
  <c r="HM390" i="112"/>
  <c r="HM386" i="112"/>
  <c r="HM382" i="112"/>
  <c r="HM378" i="112"/>
  <c r="HM374" i="112"/>
  <c r="HM363" i="112"/>
  <c r="HM355" i="112"/>
  <c r="HM347" i="112"/>
  <c r="HM334" i="112"/>
  <c r="HM330" i="112"/>
  <c r="HM326" i="112"/>
  <c r="HM316" i="112"/>
  <c r="HM313" i="112"/>
  <c r="HM309" i="112"/>
  <c r="HM343" i="112"/>
  <c r="HM339" i="112"/>
  <c r="HM335" i="112"/>
  <c r="HM319" i="112"/>
  <c r="HM356" i="112"/>
  <c r="HM352" i="112"/>
  <c r="HM331" i="112"/>
  <c r="HM327" i="112"/>
  <c r="HM314" i="112"/>
  <c r="HM310" i="112"/>
  <c r="HM344" i="112"/>
  <c r="HM340" i="112"/>
  <c r="HM336" i="112"/>
  <c r="HM317" i="112"/>
  <c r="HM501" i="112"/>
  <c r="HM357" i="112"/>
  <c r="HM353" i="112"/>
  <c r="HM345" i="112"/>
  <c r="HM332" i="112"/>
  <c r="HM328" i="112"/>
  <c r="HM320" i="112"/>
  <c r="HM311" i="112"/>
  <c r="HM413" i="112"/>
  <c r="HM341" i="112"/>
  <c r="HM337" i="112"/>
  <c r="HM315" i="112"/>
  <c r="HM370" i="112"/>
  <c r="HM358" i="112"/>
  <c r="HM354" i="112"/>
  <c r="HM346" i="112"/>
  <c r="HM333" i="112"/>
  <c r="HM329" i="112"/>
  <c r="HM325" i="112"/>
  <c r="HM318" i="112"/>
  <c r="HM312" i="112"/>
  <c r="HG307" i="112"/>
  <c r="HO307" i="112"/>
  <c r="HJ308" i="112"/>
  <c r="HP314" i="112"/>
  <c r="HO319" i="112"/>
  <c r="HJ328" i="112"/>
  <c r="HK337" i="112"/>
  <c r="HE342" i="112"/>
  <c r="HL346" i="112"/>
  <c r="HM359" i="112"/>
  <c r="HH505" i="112"/>
  <c r="HH493" i="112"/>
  <c r="HH500" i="112"/>
  <c r="HH497" i="112"/>
  <c r="HH486" i="112"/>
  <c r="HH482" i="112"/>
  <c r="HH478" i="112"/>
  <c r="HH470" i="112"/>
  <c r="HH466" i="112"/>
  <c r="HH462" i="112"/>
  <c r="HH458" i="112"/>
  <c r="HH454" i="112"/>
  <c r="HH503" i="112"/>
  <c r="HH494" i="112"/>
  <c r="HH506" i="112"/>
  <c r="HH498" i="112"/>
  <c r="HH487" i="112"/>
  <c r="HH483" i="112"/>
  <c r="HH479" i="112"/>
  <c r="HH475" i="112"/>
  <c r="HH467" i="112"/>
  <c r="HH463" i="112"/>
  <c r="HH459" i="112"/>
  <c r="HH455" i="112"/>
  <c r="HH451" i="112"/>
  <c r="HH501" i="112"/>
  <c r="HH495" i="112"/>
  <c r="HH504" i="112"/>
  <c r="HH488" i="112"/>
  <c r="HH484" i="112"/>
  <c r="HH480" i="112"/>
  <c r="HH476" i="112"/>
  <c r="HH468" i="112"/>
  <c r="HH464" i="112"/>
  <c r="HH460" i="112"/>
  <c r="HH456" i="112"/>
  <c r="HH452" i="112"/>
  <c r="HH507" i="112"/>
  <c r="HH499" i="112"/>
  <c r="HH496" i="112"/>
  <c r="HH439" i="112"/>
  <c r="HH435" i="112"/>
  <c r="HH431" i="112"/>
  <c r="HH419" i="112"/>
  <c r="HH415" i="112"/>
  <c r="HH457" i="112"/>
  <c r="HH448" i="112"/>
  <c r="HH444" i="112"/>
  <c r="HH427" i="112"/>
  <c r="HH411" i="112"/>
  <c r="HH407" i="112"/>
  <c r="HH477" i="112"/>
  <c r="HH440" i="112"/>
  <c r="HH436" i="112"/>
  <c r="HH432" i="112"/>
  <c r="HH420" i="112"/>
  <c r="HH416" i="112"/>
  <c r="HH481" i="112"/>
  <c r="HH461" i="112"/>
  <c r="HH449" i="112"/>
  <c r="HH445" i="112"/>
  <c r="HH441" i="112"/>
  <c r="HH428" i="112"/>
  <c r="HH412" i="112"/>
  <c r="HH408" i="112"/>
  <c r="HH485" i="112"/>
  <c r="HH437" i="112"/>
  <c r="HH433" i="112"/>
  <c r="HH421" i="112"/>
  <c r="HH417" i="112"/>
  <c r="HH413" i="112"/>
  <c r="HH465" i="112"/>
  <c r="HH450" i="112"/>
  <c r="HH446" i="112"/>
  <c r="HH442" i="112"/>
  <c r="HH429" i="112"/>
  <c r="HH409" i="112"/>
  <c r="HH502" i="112"/>
  <c r="HH438" i="112"/>
  <c r="HH434" i="112"/>
  <c r="HH418" i="112"/>
  <c r="HH414" i="112"/>
  <c r="HH430" i="112"/>
  <c r="HH400" i="112"/>
  <c r="HH396" i="112"/>
  <c r="HH392" i="112"/>
  <c r="HH388" i="112"/>
  <c r="HH384" i="112"/>
  <c r="HH380" i="112"/>
  <c r="HH376" i="112"/>
  <c r="HH372" i="112"/>
  <c r="HH365" i="112"/>
  <c r="HH361" i="112"/>
  <c r="HH443" i="112"/>
  <c r="HH405" i="112"/>
  <c r="HH447" i="112"/>
  <c r="HH401" i="112"/>
  <c r="HH397" i="112"/>
  <c r="HH393" i="112"/>
  <c r="HH389" i="112"/>
  <c r="HH385" i="112"/>
  <c r="HH381" i="112"/>
  <c r="HH377" i="112"/>
  <c r="HH373" i="112"/>
  <c r="HH362" i="112"/>
  <c r="HH453" i="112"/>
  <c r="HH406" i="112"/>
  <c r="HH370" i="112"/>
  <c r="HH469" i="112"/>
  <c r="HH410" i="112"/>
  <c r="HH402" i="112"/>
  <c r="HH398" i="112"/>
  <c r="HH394" i="112"/>
  <c r="HH390" i="112"/>
  <c r="HH386" i="112"/>
  <c r="HH382" i="112"/>
  <c r="HH378" i="112"/>
  <c r="HH374" i="112"/>
  <c r="HH403" i="112"/>
  <c r="HH426" i="112"/>
  <c r="HH404" i="112"/>
  <c r="HH383" i="112"/>
  <c r="HH344" i="112"/>
  <c r="HH340" i="112"/>
  <c r="HH336" i="112"/>
  <c r="HH317" i="112"/>
  <c r="HH387" i="112"/>
  <c r="HH357" i="112"/>
  <c r="HH353" i="112"/>
  <c r="HH345" i="112"/>
  <c r="HH332" i="112"/>
  <c r="HH328" i="112"/>
  <c r="HH320" i="112"/>
  <c r="HH311" i="112"/>
  <c r="HH391" i="112"/>
  <c r="HH364" i="112"/>
  <c r="HH341" i="112"/>
  <c r="HH337" i="112"/>
  <c r="HH315" i="112"/>
  <c r="HH395" i="112"/>
  <c r="HH358" i="112"/>
  <c r="HH354" i="112"/>
  <c r="HH346" i="112"/>
  <c r="HH333" i="112"/>
  <c r="HH329" i="112"/>
  <c r="HH325" i="112"/>
  <c r="HH318" i="112"/>
  <c r="HH312" i="112"/>
  <c r="HH399" i="112"/>
  <c r="HH363" i="112"/>
  <c r="HH359" i="112"/>
  <c r="HH342" i="112"/>
  <c r="HH338" i="112"/>
  <c r="HH371" i="112"/>
  <c r="HH355" i="112"/>
  <c r="HH347" i="112"/>
  <c r="HH334" i="112"/>
  <c r="HH330" i="112"/>
  <c r="HH326" i="112"/>
  <c r="HH316" i="112"/>
  <c r="HH313" i="112"/>
  <c r="HH375" i="112"/>
  <c r="HH343" i="112"/>
  <c r="HH339" i="112"/>
  <c r="HH335" i="112"/>
  <c r="HH319" i="112"/>
  <c r="HG309" i="112"/>
  <c r="HF507" i="112"/>
  <c r="HF499" i="112"/>
  <c r="HF496" i="112"/>
  <c r="HF502" i="112"/>
  <c r="HF485" i="112"/>
  <c r="HF481" i="112"/>
  <c r="HF477" i="112"/>
  <c r="HF469" i="112"/>
  <c r="HF465" i="112"/>
  <c r="HF461" i="112"/>
  <c r="HF457" i="112"/>
  <c r="HF453" i="112"/>
  <c r="HF505" i="112"/>
  <c r="HF493" i="112"/>
  <c r="HF500" i="112"/>
  <c r="HF497" i="112"/>
  <c r="HF486" i="112"/>
  <c r="HF482" i="112"/>
  <c r="HF478" i="112"/>
  <c r="HF470" i="112"/>
  <c r="HF466" i="112"/>
  <c r="HF462" i="112"/>
  <c r="HF458" i="112"/>
  <c r="HF454" i="112"/>
  <c r="HF503" i="112"/>
  <c r="HF494" i="112"/>
  <c r="HF506" i="112"/>
  <c r="HF498" i="112"/>
  <c r="HF487" i="112"/>
  <c r="HF483" i="112"/>
  <c r="HF479" i="112"/>
  <c r="HF475" i="112"/>
  <c r="HF467" i="112"/>
  <c r="HF463" i="112"/>
  <c r="HF459" i="112"/>
  <c r="HF455" i="112"/>
  <c r="HF451" i="112"/>
  <c r="HF501" i="112"/>
  <c r="HF495" i="112"/>
  <c r="HF438" i="112"/>
  <c r="HF434" i="112"/>
  <c r="HF418" i="112"/>
  <c r="HF414" i="112"/>
  <c r="HF464" i="112"/>
  <c r="HF447" i="112"/>
  <c r="HF443" i="112"/>
  <c r="HF430" i="112"/>
  <c r="HF426" i="112"/>
  <c r="HF410" i="112"/>
  <c r="HF439" i="112"/>
  <c r="HF435" i="112"/>
  <c r="HF431" i="112"/>
  <c r="HF419" i="112"/>
  <c r="HF415" i="112"/>
  <c r="HF504" i="112"/>
  <c r="HF468" i="112"/>
  <c r="HF452" i="112"/>
  <c r="HF448" i="112"/>
  <c r="HF444" i="112"/>
  <c r="HF427" i="112"/>
  <c r="HF411" i="112"/>
  <c r="HF407" i="112"/>
  <c r="HF440" i="112"/>
  <c r="HF436" i="112"/>
  <c r="HF432" i="112"/>
  <c r="HF420" i="112"/>
  <c r="HF416" i="112"/>
  <c r="HF480" i="112"/>
  <c r="HF476" i="112"/>
  <c r="HF456" i="112"/>
  <c r="HF449" i="112"/>
  <c r="HF445" i="112"/>
  <c r="HF441" i="112"/>
  <c r="HF428" i="112"/>
  <c r="HF412" i="112"/>
  <c r="HF408" i="112"/>
  <c r="HF484" i="112"/>
  <c r="HF437" i="112"/>
  <c r="HF433" i="112"/>
  <c r="HF421" i="112"/>
  <c r="HF417" i="112"/>
  <c r="HF413" i="112"/>
  <c r="HF488" i="112"/>
  <c r="HF460" i="112"/>
  <c r="HF399" i="112"/>
  <c r="HF395" i="112"/>
  <c r="HF391" i="112"/>
  <c r="HF387" i="112"/>
  <c r="HF383" i="112"/>
  <c r="HF379" i="112"/>
  <c r="HF375" i="112"/>
  <c r="HF371" i="112"/>
  <c r="HF364" i="112"/>
  <c r="HF404" i="112"/>
  <c r="HF429" i="112"/>
  <c r="HF400" i="112"/>
  <c r="HF396" i="112"/>
  <c r="HF392" i="112"/>
  <c r="HF388" i="112"/>
  <c r="HF384" i="112"/>
  <c r="HF380" i="112"/>
  <c r="HF376" i="112"/>
  <c r="HF372" i="112"/>
  <c r="HF365" i="112"/>
  <c r="HF361" i="112"/>
  <c r="HF442" i="112"/>
  <c r="HF405" i="112"/>
  <c r="HF446" i="112"/>
  <c r="HF401" i="112"/>
  <c r="HF397" i="112"/>
  <c r="HF393" i="112"/>
  <c r="HF389" i="112"/>
  <c r="HF385" i="112"/>
  <c r="HF381" i="112"/>
  <c r="HF377" i="112"/>
  <c r="HF373" i="112"/>
  <c r="HF450" i="112"/>
  <c r="HF406" i="112"/>
  <c r="HF370" i="112"/>
  <c r="HF403" i="112"/>
  <c r="HF374" i="112"/>
  <c r="HF362" i="112"/>
  <c r="HF343" i="112"/>
  <c r="HF339" i="112"/>
  <c r="HF335" i="112"/>
  <c r="HF319" i="112"/>
  <c r="HF378" i="112"/>
  <c r="HF360" i="112"/>
  <c r="HF356" i="112"/>
  <c r="HF352" i="112"/>
  <c r="HF331" i="112"/>
  <c r="HF327" i="112"/>
  <c r="HF314" i="112"/>
  <c r="HF310" i="112"/>
  <c r="HF382" i="112"/>
  <c r="HF344" i="112"/>
  <c r="HF340" i="112"/>
  <c r="HF336" i="112"/>
  <c r="HF317" i="112"/>
  <c r="HF386" i="112"/>
  <c r="HF357" i="112"/>
  <c r="HF353" i="112"/>
  <c r="HF345" i="112"/>
  <c r="HF332" i="112"/>
  <c r="HF328" i="112"/>
  <c r="HF320" i="112"/>
  <c r="HF311" i="112"/>
  <c r="HF390" i="112"/>
  <c r="HF341" i="112"/>
  <c r="HF337" i="112"/>
  <c r="HF315" i="112"/>
  <c r="HF394" i="112"/>
  <c r="HF363" i="112"/>
  <c r="HF358" i="112"/>
  <c r="HF354" i="112"/>
  <c r="HF346" i="112"/>
  <c r="HF333" i="112"/>
  <c r="HF329" i="112"/>
  <c r="HF325" i="112"/>
  <c r="HF318" i="112"/>
  <c r="HF312" i="112"/>
  <c r="HF409" i="112"/>
  <c r="HF398" i="112"/>
  <c r="HF359" i="112"/>
  <c r="HF342" i="112"/>
  <c r="HF338" i="112"/>
  <c r="HN507" i="112"/>
  <c r="HN499" i="112"/>
  <c r="HN496" i="112"/>
  <c r="HN502" i="112"/>
  <c r="HN485" i="112"/>
  <c r="HN481" i="112"/>
  <c r="HN477" i="112"/>
  <c r="HN469" i="112"/>
  <c r="HN465" i="112"/>
  <c r="HN461" i="112"/>
  <c r="HN457" i="112"/>
  <c r="HN453" i="112"/>
  <c r="HN505" i="112"/>
  <c r="HN493" i="112"/>
  <c r="HN500" i="112"/>
  <c r="HN497" i="112"/>
  <c r="HN486" i="112"/>
  <c r="HN482" i="112"/>
  <c r="HN478" i="112"/>
  <c r="HN470" i="112"/>
  <c r="HN466" i="112"/>
  <c r="HN462" i="112"/>
  <c r="HN458" i="112"/>
  <c r="HN454" i="112"/>
  <c r="HN503" i="112"/>
  <c r="HN494" i="112"/>
  <c r="HN450" i="112"/>
  <c r="HN506" i="112"/>
  <c r="HN498" i="112"/>
  <c r="HN487" i="112"/>
  <c r="HN483" i="112"/>
  <c r="HN479" i="112"/>
  <c r="HN475" i="112"/>
  <c r="HN467" i="112"/>
  <c r="HN463" i="112"/>
  <c r="HN459" i="112"/>
  <c r="HN455" i="112"/>
  <c r="HN451" i="112"/>
  <c r="HN501" i="112"/>
  <c r="HN495" i="112"/>
  <c r="HN438" i="112"/>
  <c r="HN434" i="112"/>
  <c r="HN418" i="112"/>
  <c r="HN414" i="112"/>
  <c r="HN468" i="112"/>
  <c r="HN452" i="112"/>
  <c r="HN447" i="112"/>
  <c r="HN443" i="112"/>
  <c r="HN430" i="112"/>
  <c r="HN426" i="112"/>
  <c r="HN410" i="112"/>
  <c r="HN504" i="112"/>
  <c r="HN439" i="112"/>
  <c r="HN435" i="112"/>
  <c r="HN431" i="112"/>
  <c r="HN419" i="112"/>
  <c r="HN415" i="112"/>
  <c r="HN476" i="112"/>
  <c r="HN456" i="112"/>
  <c r="HN448" i="112"/>
  <c r="HN444" i="112"/>
  <c r="HN427" i="112"/>
  <c r="HN411" i="112"/>
  <c r="HN407" i="112"/>
  <c r="HN480" i="112"/>
  <c r="HN440" i="112"/>
  <c r="HN436" i="112"/>
  <c r="HN432" i="112"/>
  <c r="HN420" i="112"/>
  <c r="HN416" i="112"/>
  <c r="HN484" i="112"/>
  <c r="HN460" i="112"/>
  <c r="HN449" i="112"/>
  <c r="HN445" i="112"/>
  <c r="HN441" i="112"/>
  <c r="HN428" i="112"/>
  <c r="HN412" i="112"/>
  <c r="HN408" i="112"/>
  <c r="HN488" i="112"/>
  <c r="HN437" i="112"/>
  <c r="HN433" i="112"/>
  <c r="HN421" i="112"/>
  <c r="HN417" i="112"/>
  <c r="HN413" i="112"/>
  <c r="HN399" i="112"/>
  <c r="HN395" i="112"/>
  <c r="HN391" i="112"/>
  <c r="HN387" i="112"/>
  <c r="HN383" i="112"/>
  <c r="HN379" i="112"/>
  <c r="HN375" i="112"/>
  <c r="HN371" i="112"/>
  <c r="HN364" i="112"/>
  <c r="HN360" i="112"/>
  <c r="HN429" i="112"/>
  <c r="HN404" i="112"/>
  <c r="HN442" i="112"/>
  <c r="HN400" i="112"/>
  <c r="HN396" i="112"/>
  <c r="HN392" i="112"/>
  <c r="HN388" i="112"/>
  <c r="HN384" i="112"/>
  <c r="HN380" i="112"/>
  <c r="HN376" i="112"/>
  <c r="HN372" i="112"/>
  <c r="HN365" i="112"/>
  <c r="HN361" i="112"/>
  <c r="HN446" i="112"/>
  <c r="HN405" i="112"/>
  <c r="HN401" i="112"/>
  <c r="HN397" i="112"/>
  <c r="HN393" i="112"/>
  <c r="HN389" i="112"/>
  <c r="HN385" i="112"/>
  <c r="HN381" i="112"/>
  <c r="HN377" i="112"/>
  <c r="HN373" i="112"/>
  <c r="HN409" i="112"/>
  <c r="HN406" i="112"/>
  <c r="HN370" i="112"/>
  <c r="HN403" i="112"/>
  <c r="HN378" i="112"/>
  <c r="HN343" i="112"/>
  <c r="HN339" i="112"/>
  <c r="HN335" i="112"/>
  <c r="HN319" i="112"/>
  <c r="HN382" i="112"/>
  <c r="HN356" i="112"/>
  <c r="HN352" i="112"/>
  <c r="HN331" i="112"/>
  <c r="HN327" i="112"/>
  <c r="HN314" i="112"/>
  <c r="HN310" i="112"/>
  <c r="HN386" i="112"/>
  <c r="HN344" i="112"/>
  <c r="HN340" i="112"/>
  <c r="HN336" i="112"/>
  <c r="HN317" i="112"/>
  <c r="HN390" i="112"/>
  <c r="HN363" i="112"/>
  <c r="HN357" i="112"/>
  <c r="HN353" i="112"/>
  <c r="HN345" i="112"/>
  <c r="HN332" i="112"/>
  <c r="HN328" i="112"/>
  <c r="HN320" i="112"/>
  <c r="HN311" i="112"/>
  <c r="HN394" i="112"/>
  <c r="HN341" i="112"/>
  <c r="HN337" i="112"/>
  <c r="HN315" i="112"/>
  <c r="HN464" i="112"/>
  <c r="HN398" i="112"/>
  <c r="HN358" i="112"/>
  <c r="HN354" i="112"/>
  <c r="HN346" i="112"/>
  <c r="HN333" i="112"/>
  <c r="HN329" i="112"/>
  <c r="HN325" i="112"/>
  <c r="HN318" i="112"/>
  <c r="HN312" i="112"/>
  <c r="HN402" i="112"/>
  <c r="HN362" i="112"/>
  <c r="HN359" i="112"/>
  <c r="HN342" i="112"/>
  <c r="HN338" i="112"/>
  <c r="HH307" i="112"/>
  <c r="HP307" i="112"/>
  <c r="HK308" i="112"/>
  <c r="HP310" i="112"/>
  <c r="HK315" i="112"/>
  <c r="HJ320" i="112"/>
  <c r="HL333" i="112"/>
  <c r="HE338" i="112"/>
  <c r="HM342" i="112"/>
  <c r="HF347" i="112"/>
  <c r="HN355" i="112"/>
  <c r="HH360" i="112"/>
  <c r="HL397" i="112"/>
  <c r="HC373" i="112"/>
  <c r="HC381" i="112"/>
  <c r="HC389" i="112"/>
  <c r="HC397" i="112"/>
  <c r="HD311" i="112"/>
  <c r="HD363" i="112"/>
  <c r="HC372" i="112"/>
  <c r="HC380" i="112"/>
  <c r="HC388" i="112"/>
  <c r="HC396" i="112"/>
  <c r="HD455" i="112"/>
  <c r="HD465" i="112"/>
  <c r="HD479" i="112"/>
  <c r="HD502" i="112"/>
  <c r="HD315" i="112"/>
  <c r="HD329" i="112"/>
  <c r="HD339" i="112"/>
  <c r="HC371" i="112"/>
  <c r="HC379" i="112"/>
  <c r="HC387" i="112"/>
  <c r="HC395" i="112"/>
  <c r="HD407" i="112"/>
  <c r="HD435" i="112"/>
  <c r="HD483" i="112"/>
  <c r="HD343" i="112"/>
  <c r="HD357" i="112"/>
  <c r="HC378" i="112"/>
  <c r="HC386" i="112"/>
  <c r="HC394" i="112"/>
  <c r="HD411" i="112"/>
  <c r="HD421" i="112"/>
  <c r="HD439" i="112"/>
  <c r="HD449" i="112"/>
  <c r="HD459" i="112"/>
  <c r="HD496" i="112"/>
  <c r="HD506" i="112"/>
  <c r="HD309" i="112"/>
  <c r="HD319" i="112"/>
  <c r="HD370" i="112"/>
  <c r="HC377" i="112"/>
  <c r="HC385" i="112"/>
  <c r="HC393" i="112"/>
  <c r="HD463" i="112"/>
  <c r="HD477" i="112"/>
  <c r="HD487" i="112"/>
  <c r="HD327" i="112"/>
  <c r="HD337" i="112"/>
  <c r="HD347" i="112"/>
  <c r="HC376" i="112"/>
  <c r="HC384" i="112"/>
  <c r="HC392" i="112"/>
  <c r="HC400" i="112"/>
  <c r="HD405" i="112"/>
  <c r="HD415" i="112"/>
  <c r="HD433" i="112"/>
  <c r="HD443" i="112"/>
  <c r="HD355" i="112"/>
  <c r="HD365" i="112"/>
  <c r="HC375" i="112"/>
  <c r="HC383" i="112"/>
  <c r="HC391" i="112"/>
  <c r="HC399" i="112"/>
  <c r="HD419" i="112"/>
  <c r="HD447" i="112"/>
  <c r="HD457" i="112"/>
  <c r="HD467" i="112"/>
  <c r="HD494" i="112"/>
  <c r="HD504" i="112"/>
  <c r="HD317" i="112"/>
  <c r="HD331" i="112"/>
  <c r="HC374" i="112"/>
  <c r="HC382" i="112"/>
  <c r="HC390" i="112"/>
  <c r="HC398" i="112"/>
  <c r="HD427" i="112"/>
  <c r="HD475" i="112"/>
  <c r="HD485" i="112"/>
  <c r="HD314" i="112"/>
  <c r="HD326" i="112"/>
  <c r="HD334" i="112"/>
  <c r="HD342" i="112"/>
  <c r="HD354" i="112"/>
  <c r="HD362" i="112"/>
  <c r="HD402" i="112"/>
  <c r="HD410" i="112"/>
  <c r="HD418" i="112"/>
  <c r="HD430" i="112"/>
  <c r="HD438" i="112"/>
  <c r="HD446" i="112"/>
  <c r="HD454" i="112"/>
  <c r="HD462" i="112"/>
  <c r="HD470" i="112"/>
  <c r="HD482" i="112"/>
  <c r="HD501" i="112"/>
  <c r="HD313" i="112"/>
  <c r="HD325" i="112"/>
  <c r="HD333" i="112"/>
  <c r="HD341" i="112"/>
  <c r="HD353" i="112"/>
  <c r="HD361" i="112"/>
  <c r="HD401" i="112"/>
  <c r="HD409" i="112"/>
  <c r="HD417" i="112"/>
  <c r="HD429" i="112"/>
  <c r="HD437" i="112"/>
  <c r="HD445" i="112"/>
  <c r="HD453" i="112"/>
  <c r="HD461" i="112"/>
  <c r="HD469" i="112"/>
  <c r="HD481" i="112"/>
  <c r="HD500" i="112"/>
  <c r="HD312" i="112"/>
  <c r="HD320" i="112"/>
  <c r="HD332" i="112"/>
  <c r="HD340" i="112"/>
  <c r="HD352" i="112"/>
  <c r="HD360" i="112"/>
  <c r="HD371" i="112"/>
  <c r="HD372" i="112"/>
  <c r="HD373" i="112"/>
  <c r="HD374" i="112"/>
  <c r="HD375" i="112"/>
  <c r="HD376" i="112"/>
  <c r="HD377" i="112"/>
  <c r="HD378" i="112"/>
  <c r="HD379" i="112"/>
  <c r="HD380" i="112"/>
  <c r="HD381" i="112"/>
  <c r="HD382" i="112"/>
  <c r="HD383" i="112"/>
  <c r="HD384" i="112"/>
  <c r="HD385" i="112"/>
  <c r="HD386" i="112"/>
  <c r="HD387" i="112"/>
  <c r="HD388" i="112"/>
  <c r="HD389" i="112"/>
  <c r="HD390" i="112"/>
  <c r="HD391" i="112"/>
  <c r="HD392" i="112"/>
  <c r="HD393" i="112"/>
  <c r="HD394" i="112"/>
  <c r="HD395" i="112"/>
  <c r="HD396" i="112"/>
  <c r="HD397" i="112"/>
  <c r="HD398" i="112"/>
  <c r="HD399" i="112"/>
  <c r="HD400" i="112"/>
  <c r="HD408" i="112"/>
  <c r="HD416" i="112"/>
  <c r="HD428" i="112"/>
  <c r="HD436" i="112"/>
  <c r="HD444" i="112"/>
  <c r="HD452" i="112"/>
  <c r="HD460" i="112"/>
  <c r="HD468" i="112"/>
  <c r="HD480" i="112"/>
  <c r="HD488" i="112"/>
  <c r="HD499" i="112"/>
  <c r="HD507" i="112"/>
  <c r="HD310" i="112"/>
  <c r="HD318" i="112"/>
  <c r="HD330" i="112"/>
  <c r="HD338" i="112"/>
  <c r="HD346" i="112"/>
  <c r="HD358" i="112"/>
  <c r="HD406" i="112"/>
  <c r="HD414" i="112"/>
  <c r="HD426" i="112"/>
  <c r="HD434" i="112"/>
  <c r="HD442" i="112"/>
  <c r="HD450" i="112"/>
  <c r="HD458" i="112"/>
  <c r="HD466" i="112"/>
  <c r="HD478" i="112"/>
  <c r="HD486" i="112"/>
  <c r="HD497" i="112"/>
  <c r="HD505" i="112"/>
  <c r="HD308" i="112"/>
  <c r="HD316" i="112"/>
  <c r="HD328" i="112"/>
  <c r="HD336" i="112"/>
  <c r="HD344" i="112"/>
  <c r="HD356" i="112"/>
  <c r="HD364" i="112"/>
  <c r="HD404" i="112"/>
  <c r="HD412" i="112"/>
  <c r="HD420" i="112"/>
  <c r="HD432" i="112"/>
  <c r="HD440" i="112"/>
  <c r="HD448" i="112"/>
  <c r="HD456" i="112"/>
  <c r="HD464" i="112"/>
  <c r="HD476" i="112"/>
  <c r="HD484" i="112"/>
  <c r="HD495" i="112"/>
  <c r="HC401" i="112"/>
  <c r="HC402" i="112"/>
  <c r="HC403" i="112"/>
  <c r="HC404" i="112"/>
  <c r="HC405" i="112"/>
  <c r="HC406" i="112"/>
  <c r="HC407" i="112"/>
  <c r="HC408" i="112"/>
  <c r="HC409" i="112"/>
  <c r="HC410" i="112"/>
  <c r="HC411" i="112"/>
  <c r="HC412" i="112"/>
  <c r="HC413" i="112"/>
  <c r="HC414" i="112"/>
  <c r="HC415" i="112"/>
  <c r="HC416" i="112"/>
  <c r="HC417" i="112"/>
  <c r="HC418" i="112"/>
  <c r="HC419" i="112"/>
  <c r="HC420" i="112"/>
  <c r="HC421" i="112"/>
  <c r="HC426" i="112"/>
  <c r="HC427" i="112"/>
  <c r="HC428" i="112"/>
  <c r="HC429" i="112"/>
  <c r="HC430" i="112"/>
  <c r="HC431" i="112"/>
  <c r="HC432" i="112"/>
  <c r="HC433" i="112"/>
  <c r="HC434" i="112"/>
  <c r="HC435" i="112"/>
  <c r="HC436" i="112"/>
  <c r="HC437" i="112"/>
  <c r="HC438" i="112"/>
  <c r="HC439" i="112"/>
  <c r="HC440" i="112"/>
  <c r="HC441" i="112"/>
  <c r="HC442" i="112"/>
  <c r="HC443" i="112"/>
  <c r="HC444" i="112"/>
  <c r="HC445" i="112"/>
  <c r="HC446" i="112"/>
  <c r="HC447" i="112"/>
  <c r="HC448" i="112"/>
  <c r="HC449" i="112"/>
  <c r="HC450" i="112"/>
  <c r="HC451" i="112"/>
  <c r="HC452" i="112"/>
  <c r="HC453" i="112"/>
  <c r="HC454" i="112"/>
  <c r="HC455" i="112"/>
  <c r="HC456" i="112"/>
  <c r="HC457" i="112"/>
  <c r="HC458" i="112"/>
  <c r="HC459" i="112"/>
  <c r="HC460" i="112"/>
  <c r="HC461" i="112"/>
  <c r="HC462" i="112"/>
  <c r="HC463" i="112"/>
  <c r="HC464" i="112"/>
  <c r="HC465" i="112"/>
  <c r="HC466" i="112"/>
  <c r="HC467" i="112"/>
  <c r="HC468" i="112"/>
  <c r="HC469" i="112"/>
  <c r="HC470" i="112"/>
  <c r="HC475" i="112"/>
  <c r="HC476" i="112"/>
  <c r="HC477" i="112"/>
  <c r="HC478" i="112"/>
  <c r="HC479" i="112"/>
  <c r="HC480" i="112"/>
  <c r="HC481" i="112"/>
  <c r="HC482" i="112"/>
  <c r="HC483" i="112"/>
  <c r="HC484" i="112"/>
  <c r="HC485" i="112"/>
  <c r="HC486" i="112"/>
  <c r="HC487" i="112"/>
  <c r="HC488" i="112"/>
  <c r="HC493" i="112"/>
  <c r="HC309" i="112"/>
  <c r="HC311" i="112"/>
  <c r="HC313" i="112"/>
  <c r="HC316" i="112"/>
  <c r="HC318" i="112"/>
  <c r="HC320" i="112"/>
  <c r="HC325" i="112"/>
  <c r="HC329" i="112"/>
  <c r="HC332" i="112"/>
  <c r="HC335" i="112"/>
  <c r="HC336" i="112"/>
  <c r="HC337" i="112"/>
  <c r="HC338" i="112"/>
  <c r="HC339" i="112"/>
  <c r="HC340" i="112"/>
  <c r="HC341" i="112"/>
  <c r="HC342" i="112"/>
  <c r="HC345" i="112"/>
  <c r="HC346" i="112"/>
  <c r="HC347" i="112"/>
  <c r="HC352" i="112"/>
  <c r="HC353" i="112"/>
  <c r="HC354" i="112"/>
  <c r="HC355" i="112"/>
  <c r="HC356" i="112"/>
  <c r="HC357" i="112"/>
  <c r="HC358" i="112"/>
  <c r="HC359" i="112"/>
  <c r="HC360" i="112"/>
  <c r="HC361" i="112"/>
  <c r="HC362" i="112"/>
  <c r="HC363" i="112"/>
  <c r="HC364" i="112"/>
  <c r="HC507" i="112"/>
  <c r="HC506" i="112"/>
  <c r="HC505" i="112"/>
  <c r="HC504" i="112"/>
  <c r="HC503" i="112"/>
  <c r="HC502" i="112"/>
  <c r="HC501" i="112"/>
  <c r="HC500" i="112"/>
  <c r="HC499" i="112"/>
  <c r="HC498" i="112"/>
  <c r="HC497" i="112"/>
  <c r="HC496" i="112"/>
  <c r="HC495" i="112"/>
  <c r="HC494" i="112"/>
  <c r="HC308" i="112"/>
  <c r="HC312" i="112"/>
  <c r="HC314" i="112"/>
  <c r="HC326" i="112"/>
  <c r="HC330" i="112"/>
  <c r="HC333" i="112"/>
  <c r="HC344" i="112"/>
  <c r="HC310" i="112"/>
  <c r="HC315" i="112"/>
  <c r="HC317" i="112"/>
  <c r="HC319" i="112"/>
  <c r="HC327" i="112"/>
  <c r="HC328" i="112"/>
  <c r="HC331" i="112"/>
  <c r="HC334" i="112"/>
  <c r="HC343" i="112"/>
  <c r="O56" i="130"/>
  <c r="O55" i="130"/>
  <c r="B161" i="130"/>
  <c r="C161" i="130" s="1"/>
  <c r="O161" i="130"/>
  <c r="B162" i="130"/>
  <c r="C162" i="130" s="1"/>
  <c r="O162" i="130"/>
  <c r="B163" i="130"/>
  <c r="C163" i="130" s="1"/>
  <c r="O163" i="130"/>
  <c r="B164" i="130"/>
  <c r="C164" i="130" s="1"/>
  <c r="O164" i="130"/>
  <c r="B119" i="130"/>
  <c r="C119" i="130" s="1"/>
  <c r="O119" i="130"/>
  <c r="B120" i="130"/>
  <c r="C120" i="130" s="1"/>
  <c r="O120" i="130"/>
  <c r="B121" i="130"/>
  <c r="C121" i="130" s="1"/>
  <c r="O121" i="130"/>
  <c r="B122" i="130"/>
  <c r="C122" i="130" s="1"/>
  <c r="O122" i="130"/>
  <c r="B123" i="130"/>
  <c r="C123" i="130" s="1"/>
  <c r="O123" i="130"/>
  <c r="B124" i="130"/>
  <c r="C124" i="130" s="1"/>
  <c r="O124" i="130"/>
  <c r="B125" i="130"/>
  <c r="C125" i="130" s="1"/>
  <c r="O125" i="130"/>
  <c r="B126" i="130"/>
  <c r="C126" i="130" s="1"/>
  <c r="O126" i="130"/>
  <c r="B127" i="130"/>
  <c r="C127" i="130" s="1"/>
  <c r="O127" i="130"/>
  <c r="B128" i="130"/>
  <c r="C128" i="130" s="1"/>
  <c r="O128" i="130"/>
  <c r="B129" i="130"/>
  <c r="C129" i="130" s="1"/>
  <c r="O129" i="130"/>
  <c r="B130" i="130"/>
  <c r="C130" i="130" s="1"/>
  <c r="O130" i="130"/>
  <c r="B131" i="130"/>
  <c r="C131" i="130" s="1"/>
  <c r="O131" i="130"/>
  <c r="B132" i="130"/>
  <c r="C132" i="130" s="1"/>
  <c r="O132" i="130"/>
  <c r="O147" i="130"/>
  <c r="O148" i="130"/>
  <c r="O149" i="130"/>
  <c r="O150" i="130"/>
  <c r="O151" i="130"/>
  <c r="O152" i="130"/>
  <c r="O153" i="130"/>
  <c r="O154" i="130"/>
  <c r="O155" i="130"/>
  <c r="O156" i="130"/>
  <c r="O157" i="130"/>
  <c r="O158" i="130"/>
  <c r="O159" i="130"/>
  <c r="O160" i="130"/>
  <c r="O118" i="130"/>
  <c r="O117" i="130"/>
  <c r="O116" i="130"/>
  <c r="O115" i="130"/>
  <c r="O114" i="130"/>
  <c r="O113" i="130"/>
  <c r="O112" i="130"/>
  <c r="O104" i="130"/>
  <c r="O103" i="130"/>
  <c r="O102" i="130"/>
  <c r="O101" i="130"/>
  <c r="O100" i="130"/>
  <c r="O99" i="130"/>
  <c r="O98" i="130"/>
  <c r="O97" i="130"/>
  <c r="O96" i="130"/>
  <c r="B96" i="130"/>
  <c r="C96" i="130" s="1"/>
  <c r="O95" i="130"/>
  <c r="B95" i="130"/>
  <c r="C95" i="130" s="1"/>
  <c r="O94" i="130"/>
  <c r="B94" i="130"/>
  <c r="C94" i="130" s="1"/>
  <c r="O93" i="130"/>
  <c r="B93" i="130"/>
  <c r="C93" i="130" s="1"/>
  <c r="O92" i="130"/>
  <c r="B92" i="130"/>
  <c r="C92" i="130" s="1"/>
  <c r="O91" i="130"/>
  <c r="B91" i="130"/>
  <c r="C91" i="130" s="1"/>
  <c r="O90" i="130"/>
  <c r="B90" i="130"/>
  <c r="C90" i="130" s="1"/>
  <c r="O89" i="130"/>
  <c r="A89" i="130"/>
  <c r="B89" i="130" s="1"/>
  <c r="C89" i="130" s="1"/>
  <c r="O88" i="130"/>
  <c r="B88" i="130"/>
  <c r="C88" i="130" s="1"/>
  <c r="O87" i="130"/>
  <c r="B87" i="130"/>
  <c r="C87" i="130" s="1"/>
  <c r="O86" i="130"/>
  <c r="A86" i="130"/>
  <c r="B86" i="130" s="1"/>
  <c r="C86" i="130" s="1"/>
  <c r="O85" i="130"/>
  <c r="B85" i="130"/>
  <c r="C85" i="130" s="1"/>
  <c r="O84" i="130"/>
  <c r="A84" i="130"/>
  <c r="B84" i="130" s="1"/>
  <c r="C84" i="130" s="1"/>
  <c r="O83" i="130"/>
  <c r="B83" i="130"/>
  <c r="C83" i="130" s="1"/>
  <c r="O82" i="130"/>
  <c r="A82" i="130"/>
  <c r="B82" i="130" s="1"/>
  <c r="C82" i="130" s="1"/>
  <c r="O81" i="130"/>
  <c r="B81" i="130"/>
  <c r="C81" i="130" s="1"/>
  <c r="O80" i="130"/>
  <c r="B80" i="130"/>
  <c r="C80" i="130" s="1"/>
  <c r="O79" i="130"/>
  <c r="B79" i="130"/>
  <c r="C79" i="130" s="1"/>
  <c r="O78" i="130"/>
  <c r="O77" i="130"/>
  <c r="O76" i="130"/>
  <c r="O75" i="130"/>
  <c r="O74" i="130"/>
  <c r="O73" i="130"/>
  <c r="O72" i="130"/>
  <c r="O71" i="130"/>
  <c r="O70" i="130"/>
  <c r="O69" i="130"/>
  <c r="O68" i="130"/>
  <c r="O67" i="130"/>
  <c r="O66" i="130"/>
  <c r="O65" i="130"/>
  <c r="O64" i="130"/>
  <c r="O63" i="130"/>
  <c r="O62" i="130"/>
  <c r="O61" i="130"/>
  <c r="O60" i="130"/>
  <c r="O59" i="130"/>
  <c r="O58" i="130"/>
  <c r="O57" i="130"/>
  <c r="O54" i="130"/>
  <c r="B54" i="130"/>
  <c r="O53" i="130"/>
  <c r="B53" i="130"/>
  <c r="O52" i="130"/>
  <c r="B52" i="130"/>
  <c r="O51" i="130"/>
  <c r="B51" i="130"/>
  <c r="O50" i="130"/>
  <c r="B50" i="130"/>
  <c r="O49" i="130"/>
  <c r="B49" i="130"/>
  <c r="O48" i="130"/>
  <c r="B48" i="130"/>
  <c r="O47" i="130"/>
  <c r="B47" i="130"/>
  <c r="O46" i="130"/>
  <c r="B46" i="130"/>
  <c r="O45" i="130"/>
  <c r="B45" i="130"/>
  <c r="O44" i="130"/>
  <c r="B44" i="130"/>
  <c r="O43" i="130"/>
  <c r="B43" i="130"/>
  <c r="O42" i="130"/>
  <c r="B42" i="130"/>
  <c r="C42" i="130" s="1"/>
  <c r="O41" i="130"/>
  <c r="B41" i="130"/>
  <c r="C41" i="130" s="1"/>
  <c r="O40" i="130"/>
  <c r="B40" i="130"/>
  <c r="O39" i="130"/>
  <c r="B39" i="130"/>
  <c r="C39" i="130" s="1"/>
  <c r="O38" i="130"/>
  <c r="B38" i="130"/>
  <c r="C38" i="130" s="1"/>
  <c r="O37" i="130"/>
  <c r="B37" i="130"/>
  <c r="C37" i="130" s="1"/>
  <c r="O36" i="130"/>
  <c r="B36" i="130"/>
  <c r="C36" i="130" s="1"/>
  <c r="O35" i="130"/>
  <c r="B35" i="130"/>
  <c r="O34" i="130"/>
  <c r="B34" i="130"/>
  <c r="O33" i="130"/>
  <c r="O32" i="130"/>
  <c r="O31" i="130"/>
  <c r="O30" i="130"/>
  <c r="O29" i="130"/>
  <c r="B29" i="130"/>
  <c r="C29" i="130" s="1"/>
  <c r="O28" i="130"/>
  <c r="O27" i="130"/>
  <c r="A27" i="130"/>
  <c r="B27" i="130" s="1"/>
  <c r="C27" i="130" s="1"/>
  <c r="O26" i="130"/>
  <c r="O25" i="130"/>
  <c r="O24" i="130"/>
  <c r="O23" i="130"/>
  <c r="O22" i="130"/>
  <c r="O21" i="130"/>
  <c r="B21" i="130"/>
  <c r="C21" i="130" s="1"/>
  <c r="O20" i="130"/>
  <c r="O19" i="130"/>
  <c r="O18" i="130"/>
  <c r="O17" i="130"/>
  <c r="O16" i="130"/>
  <c r="B16" i="130"/>
  <c r="C16" i="130" s="1"/>
  <c r="O15" i="130"/>
  <c r="O14" i="130"/>
  <c r="O13" i="130"/>
  <c r="B13" i="130"/>
  <c r="C13" i="130" s="1"/>
  <c r="O12" i="130"/>
  <c r="B12" i="130"/>
  <c r="C12" i="130" s="1"/>
  <c r="O11" i="130"/>
  <c r="B11" i="130"/>
  <c r="C11" i="130" s="1"/>
  <c r="O10" i="130"/>
  <c r="B10" i="130"/>
  <c r="C10" i="130" s="1"/>
  <c r="O9" i="130"/>
  <c r="A9" i="130"/>
  <c r="B9" i="130" s="1"/>
  <c r="C9" i="130" s="1"/>
  <c r="O8" i="130"/>
  <c r="B8" i="130"/>
  <c r="C8" i="130" s="1"/>
  <c r="O7" i="130"/>
  <c r="B7" i="130"/>
  <c r="C7" i="130" s="1"/>
  <c r="O6" i="130"/>
  <c r="O5" i="130"/>
  <c r="B5" i="130"/>
  <c r="C5" i="130" s="1"/>
  <c r="O4" i="130"/>
  <c r="B4" i="130"/>
  <c r="C4" i="130" s="1"/>
  <c r="B739" i="127"/>
  <c r="C739" i="127" s="1"/>
  <c r="O183" i="127"/>
  <c r="O184" i="127"/>
  <c r="O125" i="127"/>
  <c r="O126" i="127"/>
  <c r="O127" i="127"/>
  <c r="O128" i="127"/>
  <c r="O129" i="127"/>
  <c r="O130" i="127"/>
  <c r="O131" i="127"/>
  <c r="O132" i="127"/>
  <c r="O133" i="127"/>
  <c r="O134" i="127"/>
  <c r="O135" i="127"/>
  <c r="O136" i="127"/>
  <c r="O137" i="127"/>
  <c r="O138" i="127"/>
  <c r="O139" i="127"/>
  <c r="O140" i="127"/>
  <c r="O141" i="127"/>
  <c r="O142" i="127"/>
  <c r="O143" i="127"/>
  <c r="O144" i="127"/>
  <c r="O145" i="127"/>
  <c r="O146" i="127"/>
  <c r="O147" i="127"/>
  <c r="O148" i="127"/>
  <c r="O149" i="127"/>
  <c r="O150" i="127"/>
  <c r="O151" i="127"/>
  <c r="O152" i="127"/>
  <c r="O153" i="127"/>
  <c r="O154" i="127"/>
  <c r="O155" i="127"/>
  <c r="O156" i="127"/>
  <c r="O157" i="127"/>
  <c r="O158" i="127"/>
  <c r="O159" i="127"/>
  <c r="O160" i="127"/>
  <c r="O161" i="127"/>
  <c r="O162" i="127"/>
  <c r="O163" i="127"/>
  <c r="O164" i="127"/>
  <c r="O165" i="127"/>
  <c r="O166" i="127"/>
  <c r="O167" i="127"/>
  <c r="O168" i="127"/>
  <c r="O169" i="127"/>
  <c r="O170" i="127"/>
  <c r="O171" i="127"/>
  <c r="O172" i="127"/>
  <c r="O173" i="127"/>
  <c r="O174" i="127"/>
  <c r="O175" i="127"/>
  <c r="O176" i="127"/>
  <c r="O177" i="127"/>
  <c r="O178" i="127"/>
  <c r="O179" i="127"/>
  <c r="O180" i="127"/>
  <c r="O181" i="127"/>
  <c r="O182" i="127"/>
  <c r="O185" i="127"/>
  <c r="O186" i="127"/>
  <c r="O187" i="127"/>
  <c r="O188" i="127"/>
  <c r="O189" i="127"/>
  <c r="O190" i="127"/>
  <c r="O198" i="127"/>
  <c r="O199" i="127"/>
  <c r="O200" i="127"/>
  <c r="O201" i="127"/>
  <c r="O202" i="127"/>
  <c r="O203" i="127"/>
  <c r="O204" i="127"/>
  <c r="O205" i="127"/>
  <c r="O206" i="127"/>
  <c r="O207" i="127"/>
  <c r="O208" i="127"/>
  <c r="O209" i="127"/>
  <c r="O210" i="127"/>
  <c r="O211" i="127"/>
  <c r="O212" i="127"/>
  <c r="O213" i="127"/>
  <c r="O214" i="127"/>
  <c r="O215" i="127"/>
  <c r="O216" i="127"/>
  <c r="O217" i="127"/>
  <c r="O218" i="127"/>
  <c r="O219" i="127"/>
  <c r="O220" i="127"/>
  <c r="O221" i="127"/>
  <c r="O222" i="127"/>
  <c r="O223" i="127"/>
  <c r="O224" i="127"/>
  <c r="O225" i="127"/>
  <c r="O226" i="127"/>
  <c r="O227" i="127"/>
  <c r="O228" i="127"/>
  <c r="O229" i="127"/>
  <c r="O230" i="127"/>
  <c r="O231" i="127"/>
  <c r="O232" i="127"/>
  <c r="O233" i="127"/>
  <c r="O234" i="127"/>
  <c r="O235" i="127"/>
  <c r="O236" i="127"/>
  <c r="O237" i="127"/>
  <c r="O238" i="127"/>
  <c r="O239" i="127"/>
  <c r="O240" i="127"/>
  <c r="O241" i="127"/>
  <c r="O242" i="127"/>
  <c r="O243" i="127"/>
  <c r="O244" i="127"/>
  <c r="O245" i="127"/>
  <c r="O246" i="127"/>
  <c r="O247" i="127"/>
  <c r="O248" i="127"/>
  <c r="O249" i="127"/>
  <c r="O250" i="127"/>
  <c r="O251" i="127"/>
  <c r="O252" i="127"/>
  <c r="O115" i="127"/>
  <c r="O116" i="127"/>
  <c r="O117" i="127"/>
  <c r="O118" i="127"/>
  <c r="O119" i="127"/>
  <c r="O120" i="127"/>
  <c r="O121" i="127"/>
  <c r="O122" i="127"/>
  <c r="O123" i="127"/>
  <c r="O124" i="127"/>
  <c r="Z14" i="37"/>
  <c r="O97" i="127"/>
  <c r="O98" i="127"/>
  <c r="O99" i="127"/>
  <c r="O100" i="127"/>
  <c r="O101" i="127"/>
  <c r="O102" i="127"/>
  <c r="O103" i="127"/>
  <c r="O104" i="127"/>
  <c r="O105" i="127"/>
  <c r="O106" i="127"/>
  <c r="O107" i="127"/>
  <c r="O108" i="127"/>
  <c r="O109" i="127"/>
  <c r="O110" i="127"/>
  <c r="O111" i="127"/>
  <c r="O112" i="127"/>
  <c r="O113" i="127"/>
  <c r="O114" i="127"/>
  <c r="Z28" i="37"/>
  <c r="Z30" i="37"/>
  <c r="Z29" i="37"/>
  <c r="Z27" i="37"/>
  <c r="AF14" i="37"/>
  <c r="AG14" i="37"/>
  <c r="AH14" i="37"/>
  <c r="AI14" i="37"/>
  <c r="AJ14" i="37"/>
  <c r="AK14" i="37"/>
  <c r="AL14" i="37"/>
  <c r="AF15" i="37"/>
  <c r="AG15" i="37"/>
  <c r="AH15" i="37"/>
  <c r="AI15" i="37"/>
  <c r="AJ15" i="37"/>
  <c r="AK15" i="37"/>
  <c r="AL15" i="37"/>
  <c r="AF16" i="37"/>
  <c r="AG16" i="37"/>
  <c r="AH16" i="37"/>
  <c r="AI16" i="37"/>
  <c r="AJ16" i="37"/>
  <c r="AK16" i="37"/>
  <c r="AL16" i="37"/>
  <c r="AF17" i="37"/>
  <c r="AG17" i="37"/>
  <c r="AH17" i="37"/>
  <c r="AI17" i="37"/>
  <c r="AJ17" i="37"/>
  <c r="AK17" i="37"/>
  <c r="AL17" i="37"/>
  <c r="AF18" i="37"/>
  <c r="AG18" i="37"/>
  <c r="AH18" i="37"/>
  <c r="AI18" i="37"/>
  <c r="AJ18" i="37"/>
  <c r="AK18" i="37"/>
  <c r="AL18" i="37"/>
  <c r="AF19" i="37"/>
  <c r="AG19" i="37"/>
  <c r="AH19" i="37"/>
  <c r="AI19" i="37"/>
  <c r="AJ19" i="37"/>
  <c r="AK19" i="37"/>
  <c r="AL19" i="37"/>
  <c r="AF20" i="37"/>
  <c r="AG20" i="37"/>
  <c r="AH20" i="37"/>
  <c r="AI20" i="37"/>
  <c r="AJ20" i="37"/>
  <c r="AK20" i="37"/>
  <c r="AL20" i="37"/>
  <c r="AF21" i="37"/>
  <c r="AG21" i="37"/>
  <c r="AH21" i="37"/>
  <c r="AI21" i="37"/>
  <c r="AJ21" i="37"/>
  <c r="AK21" i="37"/>
  <c r="AL21" i="37"/>
  <c r="AF22" i="37"/>
  <c r="AG22" i="37"/>
  <c r="AH22" i="37"/>
  <c r="AI22" i="37"/>
  <c r="AJ22" i="37"/>
  <c r="AK22" i="37"/>
  <c r="AL22" i="37"/>
  <c r="AF23" i="37"/>
  <c r="AG23" i="37"/>
  <c r="AH23" i="37"/>
  <c r="AI23" i="37"/>
  <c r="AJ23" i="37"/>
  <c r="AK23" i="37"/>
  <c r="AL23" i="37"/>
  <c r="AF24" i="37"/>
  <c r="AG24" i="37"/>
  <c r="AH24" i="37"/>
  <c r="AI24" i="37"/>
  <c r="AJ24" i="37"/>
  <c r="AK24" i="37"/>
  <c r="AL24" i="37"/>
  <c r="AF25" i="37"/>
  <c r="AG25" i="37"/>
  <c r="AH25" i="37"/>
  <c r="AI25" i="37"/>
  <c r="AJ25" i="37"/>
  <c r="AK25" i="37"/>
  <c r="AL25" i="37"/>
  <c r="AF26" i="37"/>
  <c r="AG26" i="37"/>
  <c r="AH26" i="37"/>
  <c r="AI26" i="37"/>
  <c r="AJ26" i="37"/>
  <c r="AK26" i="37"/>
  <c r="AL26" i="37"/>
  <c r="AF27" i="37"/>
  <c r="AG27" i="37"/>
  <c r="AH27" i="37"/>
  <c r="AI27" i="37"/>
  <c r="AJ27" i="37"/>
  <c r="AK27" i="37"/>
  <c r="AL27" i="37"/>
  <c r="AF28" i="37"/>
  <c r="AG28" i="37"/>
  <c r="AH28" i="37"/>
  <c r="AI28" i="37"/>
  <c r="AJ28" i="37"/>
  <c r="AK28" i="37"/>
  <c r="AL28" i="37"/>
  <c r="AF29" i="37"/>
  <c r="AG29" i="37"/>
  <c r="AH29" i="37"/>
  <c r="AI29" i="37"/>
  <c r="AJ29" i="37"/>
  <c r="AK29" i="37"/>
  <c r="AL29" i="37"/>
  <c r="AF30" i="37"/>
  <c r="AG30" i="37"/>
  <c r="AH30" i="37"/>
  <c r="AI30" i="37"/>
  <c r="AJ30" i="37"/>
  <c r="AK30" i="37"/>
  <c r="AL30" i="37"/>
  <c r="AF31" i="37"/>
  <c r="AG31" i="37"/>
  <c r="AH31" i="37"/>
  <c r="AI31" i="37"/>
  <c r="AJ31" i="37"/>
  <c r="AK31" i="37"/>
  <c r="AL31" i="37"/>
  <c r="AF32" i="37"/>
  <c r="AG32" i="37"/>
  <c r="AH32" i="37"/>
  <c r="AI32" i="37"/>
  <c r="AJ32" i="37"/>
  <c r="AK32" i="37"/>
  <c r="AL32" i="37"/>
  <c r="AF33" i="37"/>
  <c r="AG33" i="37"/>
  <c r="AH33" i="37"/>
  <c r="AI33" i="37"/>
  <c r="AJ33" i="37"/>
  <c r="AK33" i="37"/>
  <c r="AL33" i="37"/>
  <c r="AF34" i="37"/>
  <c r="AG34" i="37"/>
  <c r="AH34" i="37"/>
  <c r="AI34" i="37"/>
  <c r="AJ34" i="37"/>
  <c r="AK34" i="37"/>
  <c r="AL34" i="37"/>
  <c r="AF35" i="37"/>
  <c r="AG35" i="37"/>
  <c r="AH35" i="37"/>
  <c r="AI35" i="37"/>
  <c r="AJ35" i="37"/>
  <c r="AK35" i="37"/>
  <c r="AL35" i="37"/>
  <c r="AF36" i="37"/>
  <c r="AG36" i="37"/>
  <c r="AH36" i="37"/>
  <c r="AI36" i="37"/>
  <c r="AJ36" i="37"/>
  <c r="AK36" i="37"/>
  <c r="AL36" i="37"/>
  <c r="AF37" i="37"/>
  <c r="AG37" i="37"/>
  <c r="AH37" i="37"/>
  <c r="AI37" i="37"/>
  <c r="AJ37" i="37"/>
  <c r="AK37" i="37"/>
  <c r="AL37" i="37"/>
  <c r="AF38" i="37"/>
  <c r="AG38" i="37"/>
  <c r="AH38" i="37"/>
  <c r="AI38" i="37"/>
  <c r="AJ38" i="37"/>
  <c r="AK38" i="37"/>
  <c r="AL38" i="37"/>
  <c r="AF39" i="37"/>
  <c r="AG39" i="37"/>
  <c r="AH39" i="37"/>
  <c r="AI39" i="37"/>
  <c r="AJ39" i="37"/>
  <c r="AK39" i="37"/>
  <c r="AL39" i="37"/>
  <c r="AF40" i="37"/>
  <c r="AG40" i="37"/>
  <c r="AH40" i="37"/>
  <c r="AI40" i="37"/>
  <c r="AJ40" i="37"/>
  <c r="AK40" i="37"/>
  <c r="AL40" i="37"/>
  <c r="AF41" i="37"/>
  <c r="AG41" i="37"/>
  <c r="AH41" i="37"/>
  <c r="AI41" i="37"/>
  <c r="AJ41" i="37"/>
  <c r="AK41" i="37"/>
  <c r="AL41" i="37"/>
  <c r="AF42" i="37"/>
  <c r="AG42" i="37"/>
  <c r="AH42" i="37"/>
  <c r="AI42" i="37"/>
  <c r="AJ42" i="37"/>
  <c r="AK42" i="37"/>
  <c r="AL42" i="37"/>
  <c r="AF43" i="37"/>
  <c r="AG43" i="37"/>
  <c r="AH43" i="37"/>
  <c r="AI43" i="37"/>
  <c r="AJ43" i="37"/>
  <c r="AK43" i="37"/>
  <c r="AL43" i="37"/>
  <c r="AF44" i="37"/>
  <c r="AG44" i="37"/>
  <c r="AH44" i="37"/>
  <c r="AI44" i="37"/>
  <c r="AJ44" i="37"/>
  <c r="AK44" i="37"/>
  <c r="AL44" i="37"/>
  <c r="AF45" i="37"/>
  <c r="AG45" i="37"/>
  <c r="AH45" i="37"/>
  <c r="AI45" i="37"/>
  <c r="AJ45" i="37"/>
  <c r="AK45" i="37"/>
  <c r="AL45" i="37"/>
  <c r="AF46" i="37"/>
  <c r="AG46" i="37"/>
  <c r="AH46" i="37"/>
  <c r="AI46" i="37"/>
  <c r="AJ46" i="37"/>
  <c r="AK46" i="37"/>
  <c r="AL46" i="37"/>
  <c r="AF47" i="37"/>
  <c r="AG47" i="37"/>
  <c r="AH47" i="37"/>
  <c r="AI47" i="37"/>
  <c r="AJ47" i="37"/>
  <c r="AK47" i="37"/>
  <c r="AL47" i="37"/>
  <c r="AF48" i="37"/>
  <c r="AG48" i="37"/>
  <c r="AH48" i="37"/>
  <c r="AI48" i="37"/>
  <c r="AJ48" i="37"/>
  <c r="AK48" i="37"/>
  <c r="AL48" i="37"/>
  <c r="AF49" i="37"/>
  <c r="AG49" i="37"/>
  <c r="AH49" i="37"/>
  <c r="AI49" i="37"/>
  <c r="AJ49" i="37"/>
  <c r="AK49" i="37"/>
  <c r="AL49" i="37"/>
  <c r="AF50" i="37"/>
  <c r="AG50" i="37"/>
  <c r="AH50" i="37"/>
  <c r="AI50" i="37"/>
  <c r="AJ50" i="37"/>
  <c r="AK50" i="37"/>
  <c r="AL50" i="37"/>
  <c r="AF51" i="37"/>
  <c r="AG51" i="37"/>
  <c r="AH51" i="37"/>
  <c r="AI51" i="37"/>
  <c r="AJ51" i="37"/>
  <c r="AK51" i="37"/>
  <c r="AL51" i="37"/>
  <c r="AF52" i="37"/>
  <c r="AG52" i="37"/>
  <c r="AH52" i="37"/>
  <c r="AI52" i="37"/>
  <c r="AJ52" i="37"/>
  <c r="AK52" i="37"/>
  <c r="AL52" i="37"/>
  <c r="AF53" i="37"/>
  <c r="AG53" i="37"/>
  <c r="AH53" i="37"/>
  <c r="AI53" i="37"/>
  <c r="AJ53" i="37"/>
  <c r="AK53" i="37"/>
  <c r="AL53" i="37"/>
  <c r="AF54" i="37"/>
  <c r="AG54" i="37"/>
  <c r="AH54" i="37"/>
  <c r="AI54" i="37"/>
  <c r="AJ54" i="37"/>
  <c r="AK54" i="37"/>
  <c r="AL54" i="37"/>
  <c r="AF55" i="37"/>
  <c r="AG55" i="37"/>
  <c r="AH55" i="37"/>
  <c r="AI55" i="37"/>
  <c r="AJ55" i="37"/>
  <c r="AK55" i="37"/>
  <c r="AL55" i="37"/>
  <c r="AF56" i="37"/>
  <c r="AG56" i="37"/>
  <c r="AH56" i="37"/>
  <c r="AI56" i="37"/>
  <c r="AJ56" i="37"/>
  <c r="AK56" i="37"/>
  <c r="AL56" i="37"/>
  <c r="AF57" i="37"/>
  <c r="AG57" i="37"/>
  <c r="AH57" i="37"/>
  <c r="AI57" i="37"/>
  <c r="AJ57" i="37"/>
  <c r="AK57" i="37"/>
  <c r="AL57" i="37"/>
  <c r="AF58" i="37"/>
  <c r="AG58" i="37"/>
  <c r="AH58" i="37"/>
  <c r="AI58" i="37"/>
  <c r="AJ58" i="37"/>
  <c r="AK58" i="37"/>
  <c r="AL58" i="37"/>
  <c r="AF59" i="37"/>
  <c r="AG59" i="37"/>
  <c r="AH59" i="37"/>
  <c r="AI59" i="37"/>
  <c r="AJ59" i="37"/>
  <c r="AK59" i="37"/>
  <c r="AL59" i="37"/>
  <c r="AF60" i="37"/>
  <c r="AG60" i="37"/>
  <c r="AH60" i="37"/>
  <c r="AI60" i="37"/>
  <c r="AJ60" i="37"/>
  <c r="AK60" i="37"/>
  <c r="AL60" i="37"/>
  <c r="AF61" i="37"/>
  <c r="AG61" i="37"/>
  <c r="AH61" i="37"/>
  <c r="AI61" i="37"/>
  <c r="AJ61" i="37"/>
  <c r="AK61" i="37"/>
  <c r="AL61" i="37"/>
  <c r="AF62" i="37"/>
  <c r="AG62" i="37"/>
  <c r="AH62" i="37"/>
  <c r="AI62" i="37"/>
  <c r="AJ62" i="37"/>
  <c r="AK62" i="37"/>
  <c r="AL62" i="37"/>
  <c r="AF63" i="37"/>
  <c r="AG63" i="37"/>
  <c r="AH63" i="37"/>
  <c r="AI63" i="37"/>
  <c r="AJ63" i="37"/>
  <c r="AK63" i="37"/>
  <c r="AL63" i="37"/>
  <c r="AF64" i="37"/>
  <c r="AG64" i="37"/>
  <c r="AH64" i="37"/>
  <c r="AI64" i="37"/>
  <c r="AJ64" i="37"/>
  <c r="AK64" i="37"/>
  <c r="AL64" i="37"/>
  <c r="AF65" i="37"/>
  <c r="AG65" i="37"/>
  <c r="AH65" i="37"/>
  <c r="AI65" i="37"/>
  <c r="AJ65" i="37"/>
  <c r="AK65" i="37"/>
  <c r="AL65" i="37"/>
  <c r="AF66" i="37"/>
  <c r="AG66" i="37"/>
  <c r="AH66" i="37"/>
  <c r="AI66" i="37"/>
  <c r="AJ66" i="37"/>
  <c r="AK66" i="37"/>
  <c r="AL66" i="37"/>
  <c r="AF67" i="37"/>
  <c r="AG67" i="37"/>
  <c r="AH67" i="37"/>
  <c r="AI67" i="37"/>
  <c r="AJ67" i="37"/>
  <c r="AK67" i="37"/>
  <c r="AL67" i="37"/>
  <c r="AF68" i="37"/>
  <c r="AG68" i="37"/>
  <c r="AH68" i="37"/>
  <c r="AI68" i="37"/>
  <c r="AJ68" i="37"/>
  <c r="AK68" i="37"/>
  <c r="AL68" i="37"/>
  <c r="AF69" i="37"/>
  <c r="AG69" i="37"/>
  <c r="AH69" i="37"/>
  <c r="AI69" i="37"/>
  <c r="AJ69" i="37"/>
  <c r="AK69" i="37"/>
  <c r="AL69" i="37"/>
  <c r="AF70" i="37"/>
  <c r="AG70" i="37"/>
  <c r="AH70" i="37"/>
  <c r="AI70" i="37"/>
  <c r="AJ70" i="37"/>
  <c r="AK70" i="37"/>
  <c r="AL70" i="37"/>
  <c r="AF71" i="37"/>
  <c r="AG71" i="37"/>
  <c r="AH71" i="37"/>
  <c r="AI71" i="37"/>
  <c r="AJ71" i="37"/>
  <c r="AK71" i="37"/>
  <c r="AL71" i="37"/>
  <c r="AF72" i="37"/>
  <c r="AG72" i="37"/>
  <c r="AH72" i="37"/>
  <c r="AI72" i="37"/>
  <c r="AJ72" i="37"/>
  <c r="AK72" i="37"/>
  <c r="AL72" i="37"/>
  <c r="AL12" i="37"/>
  <c r="AK12" i="37"/>
  <c r="AJ12" i="37"/>
  <c r="AI12" i="37"/>
  <c r="AH12" i="37"/>
  <c r="AG12" i="37"/>
  <c r="AF12" i="37"/>
  <c r="AL8" i="37"/>
  <c r="AK8" i="37"/>
  <c r="AJ8" i="37"/>
  <c r="AI8" i="37"/>
  <c r="AH8" i="37"/>
  <c r="AG8" i="37"/>
  <c r="AF8" i="37"/>
  <c r="AL7" i="37"/>
  <c r="AK7" i="37"/>
  <c r="AJ7" i="37"/>
  <c r="AI7" i="37"/>
  <c r="AH7" i="37"/>
  <c r="AG7" i="37"/>
  <c r="AF7" i="37"/>
  <c r="AQ21" i="37"/>
  <c r="AP21" i="37"/>
  <c r="AQ19" i="37"/>
  <c r="AR19" i="37" s="1"/>
  <c r="BO179" i="37" s="1"/>
  <c r="BO181" i="37" s="1"/>
  <c r="AA28" i="37" s="1"/>
  <c r="Z46" i="37"/>
  <c r="Z43" i="37"/>
  <c r="Z44" i="37"/>
  <c r="Z45" i="37"/>
  <c r="Z42" i="37"/>
  <c r="Z17" i="37"/>
  <c r="BR145" i="37"/>
  <c r="BR148" i="37" s="1"/>
  <c r="BS145" i="37"/>
  <c r="BS148" i="37" s="1"/>
  <c r="Z40" i="37"/>
  <c r="Z16" i="37"/>
  <c r="Z19" i="37"/>
  <c r="Z22" i="37"/>
  <c r="Z25" i="37"/>
  <c r="AR14" i="37"/>
  <c r="BR179" i="37" s="1"/>
  <c r="AA22" i="37" s="1"/>
  <c r="AQ14" i="37"/>
  <c r="CI128" i="37" s="1"/>
  <c r="AA16" i="37" s="1"/>
  <c r="Z23" i="37"/>
  <c r="Z24" i="37"/>
  <c r="BR176" i="37"/>
  <c r="AA27" i="37" l="1"/>
  <c r="AR21" i="37"/>
  <c r="BP179" i="37" s="1"/>
  <c r="Z20" i="37"/>
  <c r="AP14" i="37"/>
  <c r="AO14" i="37"/>
  <c r="CI139" i="37" s="1"/>
  <c r="Z36" i="37"/>
  <c r="Z35" i="37"/>
  <c r="BP181" i="37" l="1"/>
  <c r="AA30" i="37" s="1"/>
  <c r="AA29" i="37"/>
  <c r="Z39" i="37"/>
  <c r="Z38" i="37"/>
  <c r="Z33" i="37"/>
  <c r="Z34" i="37"/>
  <c r="Z18" i="37"/>
  <c r="Z37" i="37"/>
  <c r="Z32" i="37"/>
  <c r="BR146" i="37" l="1"/>
  <c r="BS146" i="37"/>
  <c r="BR88" i="37"/>
  <c r="BT88" i="37"/>
  <c r="BV88" i="37"/>
  <c r="BW88" i="37"/>
  <c r="BX88" i="37"/>
  <c r="BY88" i="37"/>
  <c r="BO89" i="37"/>
  <c r="BR89" i="37"/>
  <c r="BT89" i="37"/>
  <c r="BV89" i="37"/>
  <c r="BW89" i="37"/>
  <c r="BX89" i="37"/>
  <c r="BY89" i="37"/>
  <c r="BR90" i="37"/>
  <c r="BT90" i="37"/>
  <c r="BV90" i="37"/>
  <c r="BO91" i="37"/>
  <c r="BP91" i="37"/>
  <c r="BQ91" i="37"/>
  <c r="BR91" i="37"/>
  <c r="BS91" i="37"/>
  <c r="BT91" i="37"/>
  <c r="BU91" i="37"/>
  <c r="BV91" i="37"/>
  <c r="BN89" i="37"/>
  <c r="BN91" i="37"/>
  <c r="F1" i="125" l="1"/>
  <c r="BF1" i="112"/>
  <c r="U1" i="37"/>
  <c r="CG3" i="37" l="1"/>
  <c r="CF3" i="37"/>
  <c r="CE3" i="37"/>
  <c r="CD3" i="37"/>
  <c r="CC3" i="37"/>
  <c r="CB3" i="37"/>
  <c r="CA3" i="37"/>
  <c r="BZ3" i="37"/>
  <c r="BY3" i="37"/>
  <c r="BX3" i="37"/>
  <c r="BW3" i="37"/>
  <c r="BV3" i="37"/>
  <c r="BU3" i="37"/>
  <c r="BT3" i="37"/>
  <c r="BS3" i="37"/>
  <c r="BR3" i="37"/>
  <c r="BQ3" i="37"/>
  <c r="BP3" i="37"/>
  <c r="BO3" i="37"/>
  <c r="BN3" i="37"/>
  <c r="CG24" i="37"/>
  <c r="CF24" i="37"/>
  <c r="CE24" i="37"/>
  <c r="CD24" i="37"/>
  <c r="CC24" i="37"/>
  <c r="CB24" i="37"/>
  <c r="CA24" i="37"/>
  <c r="BZ24" i="37"/>
  <c r="BY24" i="37"/>
  <c r="BX24" i="37"/>
  <c r="BW24" i="37"/>
  <c r="BV24" i="37"/>
  <c r="BU24" i="37"/>
  <c r="BT24" i="37"/>
  <c r="BS24" i="37"/>
  <c r="BR24" i="37"/>
  <c r="BQ24" i="37"/>
  <c r="BP24" i="37"/>
  <c r="BO24" i="37"/>
  <c r="CG23" i="37"/>
  <c r="CF23" i="37"/>
  <c r="CE23" i="37"/>
  <c r="CD23" i="37"/>
  <c r="CC23" i="37"/>
  <c r="CB23" i="37"/>
  <c r="CA23" i="37"/>
  <c r="BZ23" i="37"/>
  <c r="BY23" i="37"/>
  <c r="BX23" i="37"/>
  <c r="BW23" i="37"/>
  <c r="BV23" i="37"/>
  <c r="BU23" i="37"/>
  <c r="BT23" i="37"/>
  <c r="BS23" i="37"/>
  <c r="BR23" i="37"/>
  <c r="BQ23" i="37"/>
  <c r="BP23" i="37"/>
  <c r="BO23" i="37"/>
  <c r="CG22" i="37"/>
  <c r="CF22" i="37"/>
  <c r="CE22" i="37"/>
  <c r="CD22" i="37"/>
  <c r="CC22" i="37"/>
  <c r="CB22" i="37"/>
  <c r="CA22" i="37"/>
  <c r="BZ22" i="37"/>
  <c r="BY22" i="37"/>
  <c r="BX22" i="37"/>
  <c r="BW22" i="37"/>
  <c r="BV22" i="37"/>
  <c r="BU22" i="37"/>
  <c r="BT22" i="37"/>
  <c r="BS22" i="37"/>
  <c r="BR22" i="37"/>
  <c r="BQ22" i="37"/>
  <c r="BP22" i="37"/>
  <c r="BO22" i="37"/>
  <c r="CG21" i="37"/>
  <c r="CF21" i="37"/>
  <c r="CE21" i="37"/>
  <c r="CD21" i="37"/>
  <c r="CC21" i="37"/>
  <c r="CB21" i="37"/>
  <c r="CA21" i="37"/>
  <c r="BZ21" i="37"/>
  <c r="BY21" i="37"/>
  <c r="BX21" i="37"/>
  <c r="BW21" i="37"/>
  <c r="BV21" i="37"/>
  <c r="BU21" i="37"/>
  <c r="BT21" i="37"/>
  <c r="BS21" i="37"/>
  <c r="BR21" i="37"/>
  <c r="BQ21" i="37"/>
  <c r="BP21" i="37"/>
  <c r="BO21" i="37"/>
  <c r="CG20" i="37"/>
  <c r="CF20" i="37"/>
  <c r="CE20" i="37"/>
  <c r="CD20" i="37"/>
  <c r="CC20" i="37"/>
  <c r="CB20" i="37"/>
  <c r="CA20" i="37"/>
  <c r="BZ20" i="37"/>
  <c r="BY20" i="37"/>
  <c r="BX20" i="37"/>
  <c r="BW20" i="37"/>
  <c r="BV20" i="37"/>
  <c r="BU20" i="37"/>
  <c r="BT20" i="37"/>
  <c r="BS20" i="37"/>
  <c r="BR20" i="37"/>
  <c r="BQ20" i="37"/>
  <c r="BP20" i="37"/>
  <c r="BO20" i="37"/>
  <c r="CG19" i="37"/>
  <c r="CF19" i="37"/>
  <c r="CE19" i="37"/>
  <c r="CD19" i="37"/>
  <c r="CC19" i="37"/>
  <c r="CB19" i="37"/>
  <c r="CA19" i="37"/>
  <c r="BZ19" i="37"/>
  <c r="BY19" i="37"/>
  <c r="BX19" i="37"/>
  <c r="BW19" i="37"/>
  <c r="BV19" i="37"/>
  <c r="BU19" i="37"/>
  <c r="BT19" i="37"/>
  <c r="BS19" i="37"/>
  <c r="BR19" i="37"/>
  <c r="BQ19" i="37"/>
  <c r="BP19" i="37"/>
  <c r="BO19" i="37"/>
  <c r="CG18" i="37"/>
  <c r="CF18" i="37"/>
  <c r="CE18" i="37"/>
  <c r="CD18" i="37"/>
  <c r="CC18" i="37"/>
  <c r="CB18" i="37"/>
  <c r="CA18" i="37"/>
  <c r="BZ18" i="37"/>
  <c r="BY18" i="37"/>
  <c r="BX18" i="37"/>
  <c r="BW18" i="37"/>
  <c r="BV18" i="37"/>
  <c r="BU18" i="37"/>
  <c r="BT18" i="37"/>
  <c r="BS18" i="37"/>
  <c r="BR18" i="37"/>
  <c r="BQ18" i="37"/>
  <c r="BP18" i="37"/>
  <c r="BO18" i="37"/>
  <c r="CG17" i="37"/>
  <c r="CF17" i="37"/>
  <c r="CE17" i="37"/>
  <c r="CD17" i="37"/>
  <c r="CC17" i="37"/>
  <c r="CB17" i="37"/>
  <c r="CA17" i="37"/>
  <c r="BZ17" i="37"/>
  <c r="BY17" i="37"/>
  <c r="BX17" i="37"/>
  <c r="BW17" i="37"/>
  <c r="BV17" i="37"/>
  <c r="BU17" i="37"/>
  <c r="BT17" i="37"/>
  <c r="BS17" i="37"/>
  <c r="BR17" i="37"/>
  <c r="BQ17" i="37"/>
  <c r="BP17" i="37"/>
  <c r="BO17" i="37"/>
  <c r="CG16" i="37"/>
  <c r="CF16" i="37"/>
  <c r="CE16" i="37"/>
  <c r="CD16" i="37"/>
  <c r="CC16" i="37"/>
  <c r="CB16" i="37"/>
  <c r="CA16" i="37"/>
  <c r="BZ16" i="37"/>
  <c r="BY16" i="37"/>
  <c r="BX16" i="37"/>
  <c r="BW16" i="37"/>
  <c r="BV16" i="37"/>
  <c r="BU16" i="37"/>
  <c r="BT16" i="37"/>
  <c r="BS16" i="37"/>
  <c r="BR16" i="37"/>
  <c r="BQ16" i="37"/>
  <c r="BP16" i="37"/>
  <c r="BO16" i="37"/>
  <c r="CG15" i="37"/>
  <c r="CF15" i="37"/>
  <c r="CE15" i="37"/>
  <c r="CD15" i="37"/>
  <c r="CC15" i="37"/>
  <c r="CB15" i="37"/>
  <c r="CA15" i="37"/>
  <c r="BZ15" i="37"/>
  <c r="BY15" i="37"/>
  <c r="BX15" i="37"/>
  <c r="BW15" i="37"/>
  <c r="BV15" i="37"/>
  <c r="BU15" i="37"/>
  <c r="BT15" i="37"/>
  <c r="BS15" i="37"/>
  <c r="BR15" i="37"/>
  <c r="BQ15" i="37"/>
  <c r="BP15" i="37"/>
  <c r="BO15" i="37"/>
  <c r="CG14" i="37"/>
  <c r="CF14" i="37"/>
  <c r="CE14" i="37"/>
  <c r="CD14" i="37"/>
  <c r="CC14" i="37"/>
  <c r="CB14" i="37"/>
  <c r="CA14" i="37"/>
  <c r="BZ14" i="37"/>
  <c r="BY14" i="37"/>
  <c r="BX14" i="37"/>
  <c r="BW14" i="37"/>
  <c r="BV14" i="37"/>
  <c r="BU14" i="37"/>
  <c r="BT14" i="37"/>
  <c r="BS14" i="37"/>
  <c r="BR14" i="37"/>
  <c r="BQ14" i="37"/>
  <c r="BP14" i="37"/>
  <c r="BO14" i="37"/>
  <c r="CG13" i="37"/>
  <c r="CF13" i="37"/>
  <c r="CE13" i="37"/>
  <c r="CD13" i="37"/>
  <c r="CC13" i="37"/>
  <c r="CB13" i="37"/>
  <c r="CA13" i="37"/>
  <c r="BZ13" i="37"/>
  <c r="BY13" i="37"/>
  <c r="BX13" i="37"/>
  <c r="BW13" i="37"/>
  <c r="BV13" i="37"/>
  <c r="BU13" i="37"/>
  <c r="BT13" i="37"/>
  <c r="BS13" i="37"/>
  <c r="BR13" i="37"/>
  <c r="BQ13" i="37"/>
  <c r="BP13" i="37"/>
  <c r="BO13" i="37"/>
  <c r="CG12" i="37"/>
  <c r="CF12" i="37"/>
  <c r="CE12" i="37"/>
  <c r="CD12" i="37"/>
  <c r="CC12" i="37"/>
  <c r="CB12" i="37"/>
  <c r="CA12" i="37"/>
  <c r="BZ12" i="37"/>
  <c r="BY12" i="37"/>
  <c r="BX12" i="37"/>
  <c r="BW12" i="37"/>
  <c r="BV12" i="37"/>
  <c r="BU12" i="37"/>
  <c r="BT12" i="37"/>
  <c r="BS12" i="37"/>
  <c r="BR12" i="37"/>
  <c r="BQ12" i="37"/>
  <c r="BP12" i="37"/>
  <c r="BO12" i="37"/>
  <c r="CG11" i="37"/>
  <c r="CF11" i="37"/>
  <c r="CE11" i="37"/>
  <c r="CD11" i="37"/>
  <c r="CC11" i="37"/>
  <c r="CB11" i="37"/>
  <c r="CA11" i="37"/>
  <c r="BZ11" i="37"/>
  <c r="BY11" i="37"/>
  <c r="BX11" i="37"/>
  <c r="BW11" i="37"/>
  <c r="BV11" i="37"/>
  <c r="BU11" i="37"/>
  <c r="BT11" i="37"/>
  <c r="BS11" i="37"/>
  <c r="BR11" i="37"/>
  <c r="BQ11" i="37"/>
  <c r="BP11" i="37"/>
  <c r="BO11" i="37"/>
  <c r="CG10" i="37"/>
  <c r="CF10" i="37"/>
  <c r="CE10" i="37"/>
  <c r="CD10" i="37"/>
  <c r="CC10" i="37"/>
  <c r="CB10" i="37"/>
  <c r="CA10" i="37"/>
  <c r="BZ10" i="37"/>
  <c r="BY10" i="37"/>
  <c r="BX10" i="37"/>
  <c r="BW10" i="37"/>
  <c r="BV10" i="37"/>
  <c r="BU10" i="37"/>
  <c r="BT10" i="37"/>
  <c r="BS10" i="37"/>
  <c r="BR10" i="37"/>
  <c r="BQ10" i="37"/>
  <c r="BP10" i="37"/>
  <c r="BO10" i="37"/>
  <c r="CG9" i="37"/>
  <c r="CF9" i="37"/>
  <c r="CE9" i="37"/>
  <c r="CD9" i="37"/>
  <c r="CC9" i="37"/>
  <c r="CB9" i="37"/>
  <c r="CA9" i="37"/>
  <c r="BZ9" i="37"/>
  <c r="BY9" i="37"/>
  <c r="BX9" i="37"/>
  <c r="BW9" i="37"/>
  <c r="BV9" i="37"/>
  <c r="BU9" i="37"/>
  <c r="BT9" i="37"/>
  <c r="BS9" i="37"/>
  <c r="BR9" i="37"/>
  <c r="BQ9" i="37"/>
  <c r="BP9" i="37"/>
  <c r="BO9" i="37"/>
  <c r="CG8" i="37"/>
  <c r="CF8" i="37"/>
  <c r="CE8" i="37"/>
  <c r="CD8" i="37"/>
  <c r="CC8" i="37"/>
  <c r="CB8" i="37"/>
  <c r="CA8" i="37"/>
  <c r="BZ8" i="37"/>
  <c r="BY8" i="37"/>
  <c r="BX8" i="37"/>
  <c r="BW8" i="37"/>
  <c r="BV8" i="37"/>
  <c r="BU8" i="37"/>
  <c r="BT8" i="37"/>
  <c r="BS8" i="37"/>
  <c r="BR8" i="37"/>
  <c r="BQ8" i="37"/>
  <c r="BP8" i="37"/>
  <c r="BO8" i="37"/>
  <c r="CG7" i="37"/>
  <c r="CF7" i="37"/>
  <c r="CE7" i="37"/>
  <c r="CD7" i="37"/>
  <c r="CC7" i="37"/>
  <c r="CB7" i="37"/>
  <c r="CA7" i="37"/>
  <c r="BZ7" i="37"/>
  <c r="BY7" i="37"/>
  <c r="BX7" i="37"/>
  <c r="BW7" i="37"/>
  <c r="BV7" i="37"/>
  <c r="BU7" i="37"/>
  <c r="BT7" i="37"/>
  <c r="BS7" i="37"/>
  <c r="BR7" i="37"/>
  <c r="BQ7" i="37"/>
  <c r="BP7" i="37"/>
  <c r="BO7" i="37"/>
  <c r="CG6" i="37"/>
  <c r="CF6" i="37"/>
  <c r="CE6" i="37"/>
  <c r="CD6" i="37"/>
  <c r="CC6" i="37"/>
  <c r="CB6" i="37"/>
  <c r="CA6" i="37"/>
  <c r="BZ6" i="37"/>
  <c r="BY6" i="37"/>
  <c r="BX6" i="37"/>
  <c r="BW6" i="37"/>
  <c r="BV6" i="37"/>
  <c r="BU6" i="37"/>
  <c r="BT6" i="37"/>
  <c r="BS6" i="37"/>
  <c r="BR6" i="37"/>
  <c r="BQ6" i="37"/>
  <c r="BP6" i="37"/>
  <c r="BO6" i="37"/>
  <c r="CG5" i="37"/>
  <c r="CF5" i="37"/>
  <c r="CE5" i="37"/>
  <c r="CD5" i="37"/>
  <c r="CC5" i="37"/>
  <c r="CB5" i="37"/>
  <c r="CA5" i="37"/>
  <c r="BZ5" i="37"/>
  <c r="BY5" i="37"/>
  <c r="BX5" i="37"/>
  <c r="BW5" i="37"/>
  <c r="BV5" i="37"/>
  <c r="BU5" i="37"/>
  <c r="BT5" i="37"/>
  <c r="BS5" i="37"/>
  <c r="BR5" i="37"/>
  <c r="BQ5" i="37"/>
  <c r="BP5" i="37"/>
  <c r="BO5" i="37"/>
  <c r="BN6" i="37"/>
  <c r="BN7" i="37"/>
  <c r="BN8" i="37"/>
  <c r="BN9" i="37"/>
  <c r="BN10" i="37"/>
  <c r="BN11" i="37"/>
  <c r="BN12" i="37"/>
  <c r="BN13" i="37"/>
  <c r="BN14" i="37"/>
  <c r="BN15" i="37"/>
  <c r="BN16" i="37"/>
  <c r="BN17" i="37"/>
  <c r="BN18" i="37"/>
  <c r="BN19" i="37"/>
  <c r="BN20" i="37"/>
  <c r="BN21" i="37"/>
  <c r="BN22" i="37"/>
  <c r="BN23" i="37"/>
  <c r="BN24" i="37"/>
  <c r="BN5" i="37"/>
  <c r="AU9" i="37"/>
  <c r="AU10" i="37" s="1"/>
  <c r="AU11" i="37" s="1"/>
  <c r="AU12" i="37" s="1"/>
  <c r="AU13" i="37" s="1"/>
  <c r="AU22" i="37" s="1"/>
  <c r="AU23" i="37" s="1"/>
  <c r="AU24" i="37" s="1"/>
  <c r="AU25" i="37" s="1"/>
  <c r="AU26" i="37" s="1"/>
  <c r="AU27" i="37" s="1"/>
  <c r="AU28" i="37" s="1"/>
  <c r="AU29" i="37" s="1"/>
  <c r="AU30" i="37" s="1"/>
  <c r="AU31" i="37" s="1"/>
  <c r="AU32" i="37" s="1"/>
  <c r="AU33" i="37" s="1"/>
  <c r="AU34" i="37" s="1"/>
  <c r="AU35" i="37" s="1"/>
  <c r="AU36" i="37" s="1"/>
  <c r="AU37" i="37" s="1"/>
  <c r="AU38" i="37" s="1"/>
  <c r="AU39" i="37" s="1"/>
  <c r="AU40" i="37" s="1"/>
  <c r="AU41" i="37" s="1"/>
  <c r="AU42" i="37" s="1"/>
  <c r="AU43" i="37" s="1"/>
  <c r="AU44" i="37" s="1"/>
  <c r="AU45" i="37" s="1"/>
  <c r="AU46" i="37" s="1"/>
  <c r="AU47" i="37" s="1"/>
  <c r="AU48" i="37" s="1"/>
  <c r="AU49" i="37" s="1"/>
  <c r="AU50" i="37" s="1"/>
  <c r="AU51" i="37" s="1"/>
  <c r="AU52" i="37" s="1"/>
  <c r="AU53" i="37" s="1"/>
  <c r="AU54" i="37" s="1"/>
  <c r="AU55" i="37" s="1"/>
  <c r="AU56" i="37" s="1"/>
  <c r="AU57" i="37" s="1"/>
  <c r="AU58" i="37" s="1"/>
  <c r="AU59" i="37" s="1"/>
  <c r="AU60" i="37" s="1"/>
  <c r="AU61" i="37" s="1"/>
  <c r="AU62" i="37" s="1"/>
  <c r="AU63" i="37" s="1"/>
  <c r="AU64" i="37" s="1"/>
  <c r="AU65" i="37" s="1"/>
  <c r="AU66" i="37" s="1"/>
  <c r="AU67" i="37" s="1"/>
  <c r="AU68" i="37" s="1"/>
  <c r="AU69" i="37" s="1"/>
  <c r="AU70" i="37" s="1"/>
  <c r="AU71" i="37" s="1"/>
  <c r="AU72" i="37" s="1"/>
  <c r="AU73" i="37" s="1"/>
  <c r="AU74" i="37" s="1"/>
  <c r="AU75" i="37" s="1"/>
  <c r="AU76" i="37" s="1"/>
  <c r="AU77" i="37" s="1"/>
  <c r="AV9" i="37"/>
  <c r="AV10" i="37" s="1"/>
  <c r="AV11" i="37" s="1"/>
  <c r="AV12" i="37" s="1"/>
  <c r="AV13" i="37" s="1"/>
  <c r="AV22" i="37" s="1"/>
  <c r="AV23" i="37" s="1"/>
  <c r="AV24" i="37" s="1"/>
  <c r="AV25" i="37" s="1"/>
  <c r="AV26" i="37" s="1"/>
  <c r="AV27" i="37" s="1"/>
  <c r="AV28" i="37" s="1"/>
  <c r="AV29" i="37" s="1"/>
  <c r="AV30" i="37" s="1"/>
  <c r="AV31" i="37" s="1"/>
  <c r="AV32" i="37" s="1"/>
  <c r="AV33" i="37" s="1"/>
  <c r="AV34" i="37" s="1"/>
  <c r="AV35" i="37" s="1"/>
  <c r="AV36" i="37" s="1"/>
  <c r="AV37" i="37" s="1"/>
  <c r="AV38" i="37" s="1"/>
  <c r="AV39" i="37" s="1"/>
  <c r="AV40" i="37" s="1"/>
  <c r="AV41" i="37" s="1"/>
  <c r="AV42" i="37" s="1"/>
  <c r="AV43" i="37" s="1"/>
  <c r="AV44" i="37" s="1"/>
  <c r="AV45" i="37" s="1"/>
  <c r="AV46" i="37" s="1"/>
  <c r="AV47" i="37" s="1"/>
  <c r="AV48" i="37" s="1"/>
  <c r="AV49" i="37" s="1"/>
  <c r="AV50" i="37" s="1"/>
  <c r="AV51" i="37" s="1"/>
  <c r="AV52" i="37" s="1"/>
  <c r="AV53" i="37" s="1"/>
  <c r="AV54" i="37" s="1"/>
  <c r="AV55" i="37" s="1"/>
  <c r="AV56" i="37" s="1"/>
  <c r="AV57" i="37" s="1"/>
  <c r="AV58" i="37" s="1"/>
  <c r="AV59" i="37" s="1"/>
  <c r="AV60" i="37" s="1"/>
  <c r="AV61" i="37" s="1"/>
  <c r="AV62" i="37" s="1"/>
  <c r="AV63" i="37" s="1"/>
  <c r="AV64" i="37" s="1"/>
  <c r="AV65" i="37" s="1"/>
  <c r="AV66" i="37" s="1"/>
  <c r="AV67" i="37" s="1"/>
  <c r="AV68" i="37" s="1"/>
  <c r="AV69" i="37" s="1"/>
  <c r="AV70" i="37" s="1"/>
  <c r="AV71" i="37" s="1"/>
  <c r="AV72" i="37" s="1"/>
  <c r="AV73" i="37" s="1"/>
  <c r="AV74" i="37" s="1"/>
  <c r="AV75" i="37" s="1"/>
  <c r="AV76" i="37" s="1"/>
  <c r="AV77" i="37" s="1"/>
  <c r="AW9" i="37"/>
  <c r="AW10" i="37" s="1"/>
  <c r="AW11" i="37" s="1"/>
  <c r="AW12" i="37" s="1"/>
  <c r="AW13" i="37" s="1"/>
  <c r="AW22" i="37" s="1"/>
  <c r="AW23" i="37" s="1"/>
  <c r="AW24" i="37" s="1"/>
  <c r="AW25" i="37" s="1"/>
  <c r="AW26" i="37" s="1"/>
  <c r="AW27" i="37" s="1"/>
  <c r="AW28" i="37" s="1"/>
  <c r="AW29" i="37" s="1"/>
  <c r="AW30" i="37" s="1"/>
  <c r="AW31" i="37" s="1"/>
  <c r="AW32" i="37" s="1"/>
  <c r="AW33" i="37" s="1"/>
  <c r="AW34" i="37" s="1"/>
  <c r="AW35" i="37" s="1"/>
  <c r="AW36" i="37" s="1"/>
  <c r="AW37" i="37" s="1"/>
  <c r="AW38" i="37" s="1"/>
  <c r="AW39" i="37" s="1"/>
  <c r="AW40" i="37" s="1"/>
  <c r="AW41" i="37" s="1"/>
  <c r="AW42" i="37" s="1"/>
  <c r="AW43" i="37" s="1"/>
  <c r="AW44" i="37" s="1"/>
  <c r="AW45" i="37" s="1"/>
  <c r="AW46" i="37" s="1"/>
  <c r="AW47" i="37" s="1"/>
  <c r="AW48" i="37" s="1"/>
  <c r="AW49" i="37" s="1"/>
  <c r="AW50" i="37" s="1"/>
  <c r="AW51" i="37" s="1"/>
  <c r="AW52" i="37" s="1"/>
  <c r="AW53" i="37" s="1"/>
  <c r="AW54" i="37" s="1"/>
  <c r="AW55" i="37" s="1"/>
  <c r="AW56" i="37" s="1"/>
  <c r="AW57" i="37" s="1"/>
  <c r="AW58" i="37" s="1"/>
  <c r="AW59" i="37" s="1"/>
  <c r="AW60" i="37" s="1"/>
  <c r="AW61" i="37" s="1"/>
  <c r="AW62" i="37" s="1"/>
  <c r="AW63" i="37" s="1"/>
  <c r="AW64" i="37" s="1"/>
  <c r="AW65" i="37" s="1"/>
  <c r="AW66" i="37" s="1"/>
  <c r="AW67" i="37" s="1"/>
  <c r="AW68" i="37" s="1"/>
  <c r="AW69" i="37" s="1"/>
  <c r="AW70" i="37" s="1"/>
  <c r="AW71" i="37" s="1"/>
  <c r="AW72" i="37" s="1"/>
  <c r="AW73" i="37" s="1"/>
  <c r="AW74" i="37" s="1"/>
  <c r="AW75" i="37" s="1"/>
  <c r="AW76" i="37" s="1"/>
  <c r="AW77" i="37" s="1"/>
  <c r="AX9" i="37"/>
  <c r="AX10" i="37" s="1"/>
  <c r="AX11" i="37" s="1"/>
  <c r="AX12" i="37" s="1"/>
  <c r="AX13" i="37" s="1"/>
  <c r="AX22" i="37" s="1"/>
  <c r="AX23" i="37" s="1"/>
  <c r="AX24" i="37" s="1"/>
  <c r="AX25" i="37" s="1"/>
  <c r="AX26" i="37" s="1"/>
  <c r="AX27" i="37" s="1"/>
  <c r="AX28" i="37" s="1"/>
  <c r="AX29" i="37" s="1"/>
  <c r="AX30" i="37" s="1"/>
  <c r="AX31" i="37" s="1"/>
  <c r="AX32" i="37" s="1"/>
  <c r="AX33" i="37" s="1"/>
  <c r="AX34" i="37" s="1"/>
  <c r="AX35" i="37" s="1"/>
  <c r="AX36" i="37" s="1"/>
  <c r="AX37" i="37" s="1"/>
  <c r="AX38" i="37" s="1"/>
  <c r="AX39" i="37" s="1"/>
  <c r="AX40" i="37" s="1"/>
  <c r="AX41" i="37" s="1"/>
  <c r="AX42" i="37" s="1"/>
  <c r="AX43" i="37" s="1"/>
  <c r="AX44" i="37" s="1"/>
  <c r="AX45" i="37" s="1"/>
  <c r="AX46" i="37" s="1"/>
  <c r="AX47" i="37" s="1"/>
  <c r="AX48" i="37" s="1"/>
  <c r="AX49" i="37" s="1"/>
  <c r="AX50" i="37" s="1"/>
  <c r="AX51" i="37" s="1"/>
  <c r="AX52" i="37" s="1"/>
  <c r="AX53" i="37" s="1"/>
  <c r="AX54" i="37" s="1"/>
  <c r="AX55" i="37" s="1"/>
  <c r="AX56" i="37" s="1"/>
  <c r="AX57" i="37" s="1"/>
  <c r="AX58" i="37" s="1"/>
  <c r="AX59" i="37" s="1"/>
  <c r="AX60" i="37" s="1"/>
  <c r="AX61" i="37" s="1"/>
  <c r="AX62" i="37" s="1"/>
  <c r="AX63" i="37" s="1"/>
  <c r="AX64" i="37" s="1"/>
  <c r="AX65" i="37" s="1"/>
  <c r="AX66" i="37" s="1"/>
  <c r="AX67" i="37" s="1"/>
  <c r="AX68" i="37" s="1"/>
  <c r="AX69" i="37" s="1"/>
  <c r="AX70" i="37" s="1"/>
  <c r="AX71" i="37" s="1"/>
  <c r="AX72" i="37" s="1"/>
  <c r="AX73" i="37" s="1"/>
  <c r="AX74" i="37" s="1"/>
  <c r="AX75" i="37" s="1"/>
  <c r="AX76" i="37" s="1"/>
  <c r="AX77" i="37" s="1"/>
  <c r="AY9" i="37"/>
  <c r="AY10" i="37" s="1"/>
  <c r="AY11" i="37" s="1"/>
  <c r="AY12" i="37" s="1"/>
  <c r="AY13" i="37" s="1"/>
  <c r="AY22" i="37" s="1"/>
  <c r="AY23" i="37" s="1"/>
  <c r="AY24" i="37" s="1"/>
  <c r="AY25" i="37" s="1"/>
  <c r="AY26" i="37" s="1"/>
  <c r="AY27" i="37" s="1"/>
  <c r="AY28" i="37" s="1"/>
  <c r="AY29" i="37" s="1"/>
  <c r="AY30" i="37" s="1"/>
  <c r="AY31" i="37" s="1"/>
  <c r="AY32" i="37" s="1"/>
  <c r="AY33" i="37" s="1"/>
  <c r="AY34" i="37" s="1"/>
  <c r="AY35" i="37" s="1"/>
  <c r="AY36" i="37" s="1"/>
  <c r="AY37" i="37" s="1"/>
  <c r="AY38" i="37" s="1"/>
  <c r="AY39" i="37" s="1"/>
  <c r="AY40" i="37" s="1"/>
  <c r="AY41" i="37" s="1"/>
  <c r="AY42" i="37" s="1"/>
  <c r="AY43" i="37" s="1"/>
  <c r="AY44" i="37" s="1"/>
  <c r="AY45" i="37" s="1"/>
  <c r="AY46" i="37" s="1"/>
  <c r="AY47" i="37" s="1"/>
  <c r="AY48" i="37" s="1"/>
  <c r="AY49" i="37" s="1"/>
  <c r="AY50" i="37" s="1"/>
  <c r="AY51" i="37" s="1"/>
  <c r="AY52" i="37" s="1"/>
  <c r="AY53" i="37" s="1"/>
  <c r="AY54" i="37" s="1"/>
  <c r="AY55" i="37" s="1"/>
  <c r="AY56" i="37" s="1"/>
  <c r="AY57" i="37" s="1"/>
  <c r="AY58" i="37" s="1"/>
  <c r="AY59" i="37" s="1"/>
  <c r="AY60" i="37" s="1"/>
  <c r="AY61" i="37" s="1"/>
  <c r="AY62" i="37" s="1"/>
  <c r="AY63" i="37" s="1"/>
  <c r="AY64" i="37" s="1"/>
  <c r="AY65" i="37" s="1"/>
  <c r="AY66" i="37" s="1"/>
  <c r="AY67" i="37" s="1"/>
  <c r="AY68" i="37" s="1"/>
  <c r="AY69" i="37" s="1"/>
  <c r="AY70" i="37" s="1"/>
  <c r="AY71" i="37" s="1"/>
  <c r="AY72" i="37" s="1"/>
  <c r="AY73" i="37" s="1"/>
  <c r="AY74" i="37" s="1"/>
  <c r="AY75" i="37" s="1"/>
  <c r="AY76" i="37" s="1"/>
  <c r="AY77" i="37" s="1"/>
  <c r="AZ9" i="37"/>
  <c r="AZ10" i="37" s="1"/>
  <c r="AZ11" i="37" s="1"/>
  <c r="AZ12" i="37" s="1"/>
  <c r="AZ13" i="37" s="1"/>
  <c r="AZ22" i="37" s="1"/>
  <c r="AZ23" i="37" s="1"/>
  <c r="AZ24" i="37" s="1"/>
  <c r="AZ25" i="37" s="1"/>
  <c r="AZ26" i="37" s="1"/>
  <c r="AZ27" i="37" s="1"/>
  <c r="AZ28" i="37" s="1"/>
  <c r="AZ29" i="37" s="1"/>
  <c r="AZ30" i="37" s="1"/>
  <c r="AZ31" i="37" s="1"/>
  <c r="AZ32" i="37" s="1"/>
  <c r="AZ33" i="37" s="1"/>
  <c r="AZ34" i="37" s="1"/>
  <c r="AZ35" i="37" s="1"/>
  <c r="AZ36" i="37" s="1"/>
  <c r="AZ37" i="37" s="1"/>
  <c r="AZ38" i="37" s="1"/>
  <c r="AZ39" i="37" s="1"/>
  <c r="AZ40" i="37" s="1"/>
  <c r="AZ41" i="37" s="1"/>
  <c r="AZ42" i="37" s="1"/>
  <c r="AZ43" i="37" s="1"/>
  <c r="AZ44" i="37" s="1"/>
  <c r="AZ45" i="37" s="1"/>
  <c r="AZ46" i="37" s="1"/>
  <c r="AZ47" i="37" s="1"/>
  <c r="AZ48" i="37" s="1"/>
  <c r="AZ49" i="37" s="1"/>
  <c r="AZ50" i="37" s="1"/>
  <c r="AZ51" i="37" s="1"/>
  <c r="AZ52" i="37" s="1"/>
  <c r="AZ53" i="37" s="1"/>
  <c r="AZ54" i="37" s="1"/>
  <c r="AZ55" i="37" s="1"/>
  <c r="AZ56" i="37" s="1"/>
  <c r="AZ57" i="37" s="1"/>
  <c r="AZ58" i="37" s="1"/>
  <c r="AZ59" i="37" s="1"/>
  <c r="AZ60" i="37" s="1"/>
  <c r="AZ61" i="37" s="1"/>
  <c r="AZ62" i="37" s="1"/>
  <c r="AZ63" i="37" s="1"/>
  <c r="AZ64" i="37" s="1"/>
  <c r="AZ65" i="37" s="1"/>
  <c r="AZ66" i="37" s="1"/>
  <c r="AZ67" i="37" s="1"/>
  <c r="AZ68" i="37" s="1"/>
  <c r="AZ69" i="37" s="1"/>
  <c r="AZ70" i="37" s="1"/>
  <c r="AZ71" i="37" s="1"/>
  <c r="AZ72" i="37" s="1"/>
  <c r="AZ73" i="37" s="1"/>
  <c r="AZ74" i="37" s="1"/>
  <c r="AZ75" i="37" s="1"/>
  <c r="AZ76" i="37" s="1"/>
  <c r="AZ77" i="37" s="1"/>
  <c r="BA9" i="37"/>
  <c r="BA10" i="37" s="1"/>
  <c r="BA11" i="37" s="1"/>
  <c r="BA12" i="37" s="1"/>
  <c r="BA13" i="37" s="1"/>
  <c r="BA22" i="37" s="1"/>
  <c r="BA23" i="37" s="1"/>
  <c r="BA24" i="37" s="1"/>
  <c r="BA25" i="37" s="1"/>
  <c r="BA26" i="37" s="1"/>
  <c r="BA27" i="37" s="1"/>
  <c r="BA28" i="37" s="1"/>
  <c r="BA29" i="37" s="1"/>
  <c r="BA30" i="37" s="1"/>
  <c r="BA31" i="37" s="1"/>
  <c r="BA32" i="37" s="1"/>
  <c r="BA33" i="37" s="1"/>
  <c r="BA34" i="37" s="1"/>
  <c r="BA35" i="37" s="1"/>
  <c r="BA36" i="37" s="1"/>
  <c r="BA37" i="37" s="1"/>
  <c r="BA38" i="37" s="1"/>
  <c r="BA39" i="37" s="1"/>
  <c r="BA40" i="37" s="1"/>
  <c r="BA41" i="37" s="1"/>
  <c r="BA42" i="37" s="1"/>
  <c r="BA43" i="37" s="1"/>
  <c r="BA44" i="37" s="1"/>
  <c r="BA45" i="37" s="1"/>
  <c r="BA46" i="37" s="1"/>
  <c r="BA47" i="37" s="1"/>
  <c r="BA48" i="37" s="1"/>
  <c r="BA49" i="37" s="1"/>
  <c r="BA50" i="37" s="1"/>
  <c r="BA51" i="37" s="1"/>
  <c r="BA52" i="37" s="1"/>
  <c r="BA53" i="37" s="1"/>
  <c r="BA54" i="37" s="1"/>
  <c r="BA55" i="37" s="1"/>
  <c r="BA56" i="37" s="1"/>
  <c r="BA57" i="37" s="1"/>
  <c r="BA58" i="37" s="1"/>
  <c r="BA59" i="37" s="1"/>
  <c r="BA60" i="37" s="1"/>
  <c r="BA61" i="37" s="1"/>
  <c r="BA62" i="37" s="1"/>
  <c r="BA63" i="37" s="1"/>
  <c r="BA64" i="37" s="1"/>
  <c r="BA65" i="37" s="1"/>
  <c r="BA66" i="37" s="1"/>
  <c r="BA67" i="37" s="1"/>
  <c r="BA68" i="37" s="1"/>
  <c r="BA69" i="37" s="1"/>
  <c r="BA70" i="37" s="1"/>
  <c r="BA71" i="37" s="1"/>
  <c r="BA72" i="37" s="1"/>
  <c r="BA73" i="37" s="1"/>
  <c r="BA74" i="37" s="1"/>
  <c r="BA75" i="37" s="1"/>
  <c r="BA76" i="37" s="1"/>
  <c r="BA77" i="37" s="1"/>
  <c r="BN55" i="37"/>
  <c r="BO55" i="37"/>
  <c r="BP55" i="37"/>
  <c r="BQ55" i="37"/>
  <c r="BR55" i="37"/>
  <c r="BS55" i="37"/>
  <c r="BT55" i="37"/>
  <c r="BU55" i="37"/>
  <c r="BV55" i="37"/>
  <c r="BW55" i="37"/>
  <c r="BX55" i="37"/>
  <c r="BY55" i="37"/>
  <c r="BZ55" i="37"/>
  <c r="CA55" i="37"/>
  <c r="CB55" i="37"/>
  <c r="CC55" i="37"/>
  <c r="CD55" i="37"/>
  <c r="CE55" i="37"/>
  <c r="CF55" i="37"/>
  <c r="CG55" i="37"/>
  <c r="CH55" i="37"/>
  <c r="BD60" i="37"/>
  <c r="BE60" i="37"/>
  <c r="BF60" i="37"/>
  <c r="BG60" i="37"/>
  <c r="BH60" i="37"/>
  <c r="BI60" i="37"/>
  <c r="BJ60" i="37"/>
  <c r="AF75" i="37"/>
  <c r="B123" i="127" s="1"/>
  <c r="AG75" i="37"/>
  <c r="B129" i="127" s="1"/>
  <c r="AH75" i="37"/>
  <c r="B135" i="127" s="1"/>
  <c r="AI75" i="37"/>
  <c r="B141" i="127" s="1"/>
  <c r="AJ75" i="37"/>
  <c r="B147" i="127" s="1"/>
  <c r="AK75" i="37"/>
  <c r="B153" i="127" s="1"/>
  <c r="AL75" i="37"/>
  <c r="B159" i="127" s="1"/>
  <c r="AF76" i="37"/>
  <c r="B124" i="127" s="1"/>
  <c r="AG76" i="37"/>
  <c r="B130" i="127" s="1"/>
  <c r="AH76" i="37"/>
  <c r="B136" i="127" s="1"/>
  <c r="AI76" i="37"/>
  <c r="B142" i="127" s="1"/>
  <c r="AJ76" i="37"/>
  <c r="B148" i="127" s="1"/>
  <c r="AK76" i="37"/>
  <c r="B154" i="127" s="1"/>
  <c r="AL76" i="37"/>
  <c r="B160" i="127" s="1"/>
  <c r="CD161" i="37"/>
  <c r="CE161" i="37"/>
  <c r="B146" i="127" l="1"/>
  <c r="B75" i="130"/>
  <c r="B140" i="127"/>
  <c r="B74" i="130"/>
  <c r="B134" i="127"/>
  <c r="B73" i="130"/>
  <c r="B128" i="127"/>
  <c r="B72" i="130"/>
  <c r="B164" i="127"/>
  <c r="B78" i="130"/>
  <c r="B158" i="127"/>
  <c r="B77" i="130"/>
  <c r="B152" i="127"/>
  <c r="B76" i="130"/>
  <c r="CE162" i="37"/>
  <c r="CE164" i="37"/>
  <c r="CE165" i="37" s="1"/>
  <c r="CD162" i="37"/>
  <c r="CD164" i="37"/>
  <c r="CD165" i="37" s="1"/>
  <c r="AH9" i="37"/>
  <c r="AL9" i="37"/>
  <c r="BD56" i="37"/>
  <c r="AI11" i="37"/>
  <c r="AI9" i="37"/>
  <c r="AG11" i="37"/>
  <c r="AG82" i="37" s="1"/>
  <c r="AG9" i="37"/>
  <c r="AF11" i="37"/>
  <c r="AF82" i="37" s="1"/>
  <c r="AF9" i="37"/>
  <c r="AH11" i="37"/>
  <c r="AK11" i="37"/>
  <c r="AK82" i="37" s="1"/>
  <c r="AK9" i="37"/>
  <c r="AJ11" i="37"/>
  <c r="AJ9" i="37"/>
  <c r="BF56" i="37"/>
  <c r="BJ56" i="37"/>
  <c r="BI56" i="37"/>
  <c r="BE56" i="37"/>
  <c r="AL11" i="37"/>
  <c r="BH56" i="37"/>
  <c r="BG56" i="37"/>
  <c r="O736" i="127"/>
  <c r="O737" i="127"/>
  <c r="O738" i="127"/>
  <c r="O739" i="127"/>
  <c r="B738" i="127"/>
  <c r="C738" i="127" s="1"/>
  <c r="B737" i="127"/>
  <c r="C737" i="127" s="1"/>
  <c r="B736" i="127"/>
  <c r="C736" i="127" s="1"/>
  <c r="A5" i="116" a="1"/>
  <c r="A5" i="116" s="1"/>
  <c r="BI55" i="37" l="1"/>
  <c r="AM34" i="37"/>
  <c r="AL82" i="37"/>
  <c r="BD55" i="37"/>
  <c r="BH55" i="37"/>
  <c r="AJ82" i="37"/>
  <c r="BF55" i="37"/>
  <c r="AH82" i="37"/>
  <c r="AQ8" i="37"/>
  <c r="BE55" i="37"/>
  <c r="BG55" i="37"/>
  <c r="AI82" i="37"/>
  <c r="AM35" i="37"/>
  <c r="AM30" i="37"/>
  <c r="AM47" i="37"/>
  <c r="AM52" i="37"/>
  <c r="AM31" i="37"/>
  <c r="AM24" i="37"/>
  <c r="AM38" i="37"/>
  <c r="AM64" i="37"/>
  <c r="AM62" i="37"/>
  <c r="AM56" i="37"/>
  <c r="AM58" i="37"/>
  <c r="AM54" i="37"/>
  <c r="AM57" i="37"/>
  <c r="AM55" i="37"/>
  <c r="AM39" i="37"/>
  <c r="AM43" i="37"/>
  <c r="AM17" i="37"/>
  <c r="AM68" i="37"/>
  <c r="AM60" i="37"/>
  <c r="AM70" i="37"/>
  <c r="AM67" i="37"/>
  <c r="AM26" i="37"/>
  <c r="AM27" i="37"/>
  <c r="AM16" i="37"/>
  <c r="AM69" i="37"/>
  <c r="AM45" i="37"/>
  <c r="AM44" i="37"/>
  <c r="AM14" i="37"/>
  <c r="AM49" i="37"/>
  <c r="AM65" i="37"/>
  <c r="AM23" i="37"/>
  <c r="AM63" i="37"/>
  <c r="AR8" i="37"/>
  <c r="AM41" i="37"/>
  <c r="BJ55" i="37"/>
  <c r="AM53" i="37"/>
  <c r="AM72" i="37"/>
  <c r="AM48" i="37"/>
  <c r="AM37" i="37"/>
  <c r="AM36" i="37"/>
  <c r="AM40" i="37"/>
  <c r="AM59" i="37"/>
  <c r="AM29" i="37"/>
  <c r="AM66" i="37"/>
  <c r="AM28" i="37"/>
  <c r="AM33" i="37"/>
  <c r="AM50" i="37"/>
  <c r="AM71" i="37"/>
  <c r="AM32" i="37"/>
  <c r="AM46" i="37"/>
  <c r="AM15" i="37"/>
  <c r="AM61" i="37"/>
  <c r="AM25" i="37"/>
  <c r="AM42" i="37"/>
  <c r="AM51" i="37"/>
  <c r="AP8" i="37"/>
  <c r="BF303" i="112"/>
  <c r="DN291" i="112"/>
  <c r="AA4" i="37" s="1"/>
  <c r="O77" i="127"/>
  <c r="O78" i="127"/>
  <c r="O79" i="127"/>
  <c r="O80" i="127"/>
  <c r="O81" i="127"/>
  <c r="O82" i="127"/>
  <c r="O83" i="127"/>
  <c r="O84" i="127"/>
  <c r="O85" i="127"/>
  <c r="O86" i="127"/>
  <c r="O87" i="127"/>
  <c r="O88" i="127"/>
  <c r="O89" i="127"/>
  <c r="O90" i="127"/>
  <c r="O91" i="127"/>
  <c r="O92" i="127"/>
  <c r="O93" i="127"/>
  <c r="O94" i="127"/>
  <c r="O95" i="127"/>
  <c r="O96" i="127"/>
  <c r="AE82" i="37" l="1"/>
  <c r="AP9" i="37" s="1"/>
  <c r="AP11" i="37" s="1"/>
  <c r="BN73" i="37" s="1"/>
  <c r="BQ56" i="37"/>
  <c r="CA60" i="37"/>
  <c r="CC60" i="37"/>
  <c r="BN60" i="37"/>
  <c r="BY56" i="37"/>
  <c r="BT60" i="37"/>
  <c r="BV60" i="37"/>
  <c r="CB60" i="37"/>
  <c r="BR60" i="37"/>
  <c r="BY60" i="37"/>
  <c r="BU56" i="37"/>
  <c r="BZ60" i="37"/>
  <c r="CD56" i="37"/>
  <c r="BS56" i="37"/>
  <c r="CE60" i="37"/>
  <c r="CC56" i="37"/>
  <c r="BX60" i="37"/>
  <c r="BU60" i="37"/>
  <c r="BP60" i="37"/>
  <c r="BX56" i="37"/>
  <c r="CD60" i="37"/>
  <c r="CA56" i="37"/>
  <c r="CF60" i="37"/>
  <c r="BP56" i="37"/>
  <c r="BV56" i="37"/>
  <c r="CG60" i="37"/>
  <c r="CB56" i="37"/>
  <c r="BN56" i="37"/>
  <c r="BW60" i="37"/>
  <c r="CF56" i="37"/>
  <c r="BS60" i="37"/>
  <c r="BO60" i="37"/>
  <c r="CG56" i="37"/>
  <c r="BZ56" i="37"/>
  <c r="BT56" i="37"/>
  <c r="BQ60" i="37"/>
  <c r="BV291" i="112"/>
  <c r="AM85" i="37"/>
  <c r="CE98" i="37" s="1"/>
  <c r="BR56" i="37"/>
  <c r="BW56" i="37"/>
  <c r="BO56" i="37"/>
  <c r="CE56" i="37"/>
  <c r="B381" i="127"/>
  <c r="C381" i="127" s="1"/>
  <c r="B380" i="127"/>
  <c r="C380" i="127" s="1"/>
  <c r="B379" i="127"/>
  <c r="C379" i="127" s="1"/>
  <c r="B378" i="127"/>
  <c r="C378" i="127" s="1"/>
  <c r="B377" i="127"/>
  <c r="C377" i="127" s="1"/>
  <c r="B376" i="127"/>
  <c r="C376" i="127" s="1"/>
  <c r="B375" i="127"/>
  <c r="C375" i="127" s="1"/>
  <c r="B374" i="127"/>
  <c r="C374" i="127" s="1"/>
  <c r="B373" i="127"/>
  <c r="C373" i="127" s="1"/>
  <c r="B372" i="127"/>
  <c r="C372" i="127" s="1"/>
  <c r="B371" i="127"/>
  <c r="C371" i="127" s="1"/>
  <c r="B370" i="127"/>
  <c r="C370" i="127" s="1"/>
  <c r="B369" i="127"/>
  <c r="C369" i="127" s="1"/>
  <c r="B368" i="127"/>
  <c r="C368" i="127" s="1"/>
  <c r="B367" i="127"/>
  <c r="C367" i="127" s="1"/>
  <c r="B366" i="127"/>
  <c r="C366" i="127" s="1"/>
  <c r="B365" i="127"/>
  <c r="C365" i="127" s="1"/>
  <c r="B364" i="127"/>
  <c r="C364" i="127" s="1"/>
  <c r="B363" i="127"/>
  <c r="C363" i="127" s="1"/>
  <c r="B362" i="127"/>
  <c r="C362" i="127" s="1"/>
  <c r="B361" i="127"/>
  <c r="C361" i="127" s="1"/>
  <c r="B360" i="127"/>
  <c r="C360" i="127" s="1"/>
  <c r="B359" i="127"/>
  <c r="C359" i="127" s="1"/>
  <c r="B358" i="127"/>
  <c r="C358" i="127" s="1"/>
  <c r="B357" i="127"/>
  <c r="C357" i="127" s="1"/>
  <c r="B356" i="127"/>
  <c r="C356" i="127" s="1"/>
  <c r="B355" i="127"/>
  <c r="C355" i="127" s="1"/>
  <c r="B354" i="127"/>
  <c r="C354" i="127" s="1"/>
  <c r="B353" i="127"/>
  <c r="C353" i="127" s="1"/>
  <c r="B352" i="127"/>
  <c r="C352" i="127" s="1"/>
  <c r="B351" i="127"/>
  <c r="C351" i="127" s="1"/>
  <c r="B350" i="127"/>
  <c r="C350" i="127" s="1"/>
  <c r="B349" i="127"/>
  <c r="C349" i="127" s="1"/>
  <c r="B348" i="127"/>
  <c r="C348" i="127" s="1"/>
  <c r="B347" i="127"/>
  <c r="C347" i="127" s="1"/>
  <c r="B346" i="127"/>
  <c r="C346" i="127" s="1"/>
  <c r="B345" i="127"/>
  <c r="C345" i="127" s="1"/>
  <c r="B344" i="127"/>
  <c r="C344" i="127" s="1"/>
  <c r="B343" i="127"/>
  <c r="C343" i="127" s="1"/>
  <c r="B342" i="127"/>
  <c r="C342" i="127" s="1"/>
  <c r="B341" i="127"/>
  <c r="C341" i="127" s="1"/>
  <c r="B340" i="127"/>
  <c r="C340" i="127" s="1"/>
  <c r="B339" i="127"/>
  <c r="C339" i="127" s="1"/>
  <c r="B338" i="127"/>
  <c r="C338" i="127" s="1"/>
  <c r="B337" i="127"/>
  <c r="C337" i="127" s="1"/>
  <c r="B336" i="127"/>
  <c r="C336" i="127" s="1"/>
  <c r="B335" i="127"/>
  <c r="C335" i="127" s="1"/>
  <c r="B334" i="127"/>
  <c r="C334" i="127" s="1"/>
  <c r="B333" i="127"/>
  <c r="C333" i="127" s="1"/>
  <c r="B332" i="127"/>
  <c r="C332" i="127" s="1"/>
  <c r="B331" i="127"/>
  <c r="C331" i="127" s="1"/>
  <c r="B330" i="127"/>
  <c r="C330" i="127" s="1"/>
  <c r="B329" i="127"/>
  <c r="C329" i="127" s="1"/>
  <c r="B328" i="127"/>
  <c r="C328" i="127" s="1"/>
  <c r="B327" i="127"/>
  <c r="C327" i="127" s="1"/>
  <c r="B326" i="127"/>
  <c r="C326" i="127" s="1"/>
  <c r="B325" i="127"/>
  <c r="C325" i="127" s="1"/>
  <c r="B324" i="127"/>
  <c r="C324" i="127" s="1"/>
  <c r="B323" i="127"/>
  <c r="C323" i="127" s="1"/>
  <c r="B322" i="127"/>
  <c r="C322" i="127" s="1"/>
  <c r="B321" i="127"/>
  <c r="C321" i="127" s="1"/>
  <c r="B320" i="127"/>
  <c r="C320" i="127" s="1"/>
  <c r="B319" i="127"/>
  <c r="C319" i="127" s="1"/>
  <c r="B318" i="127"/>
  <c r="C318" i="127" s="1"/>
  <c r="B317" i="127"/>
  <c r="C317" i="127" s="1"/>
  <c r="B316" i="127"/>
  <c r="C316" i="127" s="1"/>
  <c r="B315" i="127"/>
  <c r="C315" i="127" s="1"/>
  <c r="B314" i="127"/>
  <c r="C314" i="127" s="1"/>
  <c r="B313" i="127"/>
  <c r="C313" i="127" s="1"/>
  <c r="B312" i="127"/>
  <c r="C312" i="127" s="1"/>
  <c r="B311" i="127"/>
  <c r="C311" i="127" s="1"/>
  <c r="B310" i="127"/>
  <c r="C310" i="127" s="1"/>
  <c r="B309" i="127"/>
  <c r="C309" i="127" s="1"/>
  <c r="B308" i="127"/>
  <c r="C308" i="127" s="1"/>
  <c r="B307" i="127"/>
  <c r="C307" i="127" s="1"/>
  <c r="B306" i="127"/>
  <c r="C306" i="127" s="1"/>
  <c r="B305" i="127"/>
  <c r="C305" i="127" s="1"/>
  <c r="B304" i="127"/>
  <c r="C304" i="127" s="1"/>
  <c r="B303" i="127"/>
  <c r="C303" i="127" s="1"/>
  <c r="B302" i="127"/>
  <c r="C302" i="127" s="1"/>
  <c r="B301" i="127"/>
  <c r="C301" i="127" s="1"/>
  <c r="B300" i="127"/>
  <c r="C300" i="127" s="1"/>
  <c r="B299" i="127"/>
  <c r="C299" i="127" s="1"/>
  <c r="B298" i="127"/>
  <c r="C298" i="127" s="1"/>
  <c r="B297" i="127"/>
  <c r="C297" i="127" s="1"/>
  <c r="B296" i="127"/>
  <c r="C296" i="127" s="1"/>
  <c r="B295" i="127"/>
  <c r="C295" i="127" s="1"/>
  <c r="B294" i="127"/>
  <c r="C294" i="127" s="1"/>
  <c r="B293" i="127"/>
  <c r="C293" i="127" s="1"/>
  <c r="B292" i="127"/>
  <c r="C292" i="127" s="1"/>
  <c r="B291" i="127"/>
  <c r="C291" i="127" s="1"/>
  <c r="B290" i="127"/>
  <c r="C290" i="127" s="1"/>
  <c r="B289" i="127"/>
  <c r="C289" i="127" s="1"/>
  <c r="B288" i="127"/>
  <c r="C288" i="127" s="1"/>
  <c r="B287" i="127"/>
  <c r="C287" i="127" s="1"/>
  <c r="B286" i="127"/>
  <c r="C286" i="127" s="1"/>
  <c r="B285" i="127"/>
  <c r="C285" i="127" s="1"/>
  <c r="B284" i="127"/>
  <c r="C284" i="127" s="1"/>
  <c r="B283" i="127"/>
  <c r="C283" i="127" s="1"/>
  <c r="B282" i="127"/>
  <c r="C282" i="127" s="1"/>
  <c r="B281" i="127"/>
  <c r="C281" i="127" s="1"/>
  <c r="B280" i="127"/>
  <c r="C280" i="127" s="1"/>
  <c r="B279" i="127"/>
  <c r="C279" i="127" s="1"/>
  <c r="B278" i="127"/>
  <c r="C278" i="127" s="1"/>
  <c r="B277" i="127"/>
  <c r="C277" i="127" s="1"/>
  <c r="B276" i="127"/>
  <c r="C276" i="127" s="1"/>
  <c r="B275" i="127"/>
  <c r="C275" i="127" s="1"/>
  <c r="B274" i="127"/>
  <c r="C274" i="127" s="1"/>
  <c r="B273" i="127"/>
  <c r="C273" i="127" s="1"/>
  <c r="B272" i="127"/>
  <c r="C272" i="127" s="1"/>
  <c r="B271" i="127"/>
  <c r="C271" i="127" s="1"/>
  <c r="B270" i="127"/>
  <c r="C270" i="127" s="1"/>
  <c r="B269" i="127"/>
  <c r="C269" i="127" s="1"/>
  <c r="B268" i="127"/>
  <c r="C268" i="127" s="1"/>
  <c r="B267" i="127"/>
  <c r="C267" i="127" s="1"/>
  <c r="B266" i="127"/>
  <c r="C266" i="127" s="1"/>
  <c r="B265" i="127"/>
  <c r="C265" i="127" s="1"/>
  <c r="B264" i="127"/>
  <c r="C264" i="127" s="1"/>
  <c r="B263" i="127"/>
  <c r="C263" i="127" s="1"/>
  <c r="B262" i="127"/>
  <c r="C262" i="127" s="1"/>
  <c r="B261" i="127"/>
  <c r="C261" i="127" s="1"/>
  <c r="B260" i="127"/>
  <c r="C260" i="127" s="1"/>
  <c r="B259" i="127"/>
  <c r="C259" i="127" s="1"/>
  <c r="B258" i="127"/>
  <c r="C258" i="127" s="1"/>
  <c r="B257" i="127"/>
  <c r="C257" i="127" s="1"/>
  <c r="B256" i="127"/>
  <c r="C256" i="127" s="1"/>
  <c r="B255" i="127"/>
  <c r="C255" i="127" s="1"/>
  <c r="B254" i="127"/>
  <c r="C254" i="127" s="1"/>
  <c r="B253" i="127"/>
  <c r="C253" i="127" s="1"/>
  <c r="B252" i="127"/>
  <c r="C252" i="127" s="1"/>
  <c r="B251" i="127"/>
  <c r="C251" i="127" s="1"/>
  <c r="B250" i="127"/>
  <c r="C250" i="127" s="1"/>
  <c r="B249" i="127"/>
  <c r="C249" i="127" s="1"/>
  <c r="B248" i="127"/>
  <c r="C248" i="127" s="1"/>
  <c r="B247" i="127"/>
  <c r="C247" i="127" s="1"/>
  <c r="B246" i="127"/>
  <c r="C246" i="127" s="1"/>
  <c r="B245" i="127"/>
  <c r="C245" i="127" s="1"/>
  <c r="B244" i="127"/>
  <c r="C244" i="127" s="1"/>
  <c r="B243" i="127"/>
  <c r="C243" i="127" s="1"/>
  <c r="B242" i="127"/>
  <c r="C242" i="127" s="1"/>
  <c r="B241" i="127"/>
  <c r="C241" i="127" s="1"/>
  <c r="B240" i="127"/>
  <c r="C240" i="127" s="1"/>
  <c r="B239" i="127"/>
  <c r="C239" i="127" s="1"/>
  <c r="B238" i="127"/>
  <c r="C238" i="127" s="1"/>
  <c r="B237" i="127"/>
  <c r="C237" i="127" s="1"/>
  <c r="B236" i="127"/>
  <c r="C236" i="127" s="1"/>
  <c r="B235" i="127"/>
  <c r="C235" i="127" s="1"/>
  <c r="B234" i="127"/>
  <c r="C234" i="127" s="1"/>
  <c r="B233" i="127"/>
  <c r="C233" i="127" s="1"/>
  <c r="B232" i="127"/>
  <c r="C232" i="127" s="1"/>
  <c r="B231" i="127"/>
  <c r="C231" i="127" s="1"/>
  <c r="B230" i="127"/>
  <c r="C230" i="127" s="1"/>
  <c r="B229" i="127"/>
  <c r="C229" i="127" s="1"/>
  <c r="B228" i="127"/>
  <c r="C228" i="127" s="1"/>
  <c r="B227" i="127"/>
  <c r="C227" i="127" s="1"/>
  <c r="B226" i="127"/>
  <c r="C226" i="127" s="1"/>
  <c r="B225" i="127"/>
  <c r="C225" i="127" s="1"/>
  <c r="B224" i="127"/>
  <c r="C224" i="127" s="1"/>
  <c r="B223" i="127"/>
  <c r="C223" i="127" s="1"/>
  <c r="B222" i="127"/>
  <c r="C222" i="127" s="1"/>
  <c r="B221" i="127"/>
  <c r="C221" i="127" s="1"/>
  <c r="B220" i="127"/>
  <c r="C220" i="127" s="1"/>
  <c r="B219" i="127"/>
  <c r="C219" i="127" s="1"/>
  <c r="B218" i="127"/>
  <c r="C218" i="127" s="1"/>
  <c r="B217" i="127"/>
  <c r="C217" i="127" s="1"/>
  <c r="B216" i="127"/>
  <c r="C216" i="127" s="1"/>
  <c r="B215" i="127"/>
  <c r="C215" i="127" s="1"/>
  <c r="B214" i="127"/>
  <c r="C214" i="127" s="1"/>
  <c r="B213" i="127"/>
  <c r="C213" i="127" s="1"/>
  <c r="B212" i="127"/>
  <c r="C212" i="127" s="1"/>
  <c r="B211" i="127"/>
  <c r="C211" i="127" s="1"/>
  <c r="B210" i="127"/>
  <c r="C210" i="127" s="1"/>
  <c r="B209" i="127"/>
  <c r="C209" i="127" s="1"/>
  <c r="B208" i="127"/>
  <c r="C208" i="127" s="1"/>
  <c r="B207" i="127"/>
  <c r="C207" i="127" s="1"/>
  <c r="B206" i="127"/>
  <c r="C206" i="127" s="1"/>
  <c r="B205" i="127"/>
  <c r="C205" i="127" s="1"/>
  <c r="GB498" i="112"/>
  <c r="GC498" i="112"/>
  <c r="GD498" i="112"/>
  <c r="GB499" i="112"/>
  <c r="GC499" i="112"/>
  <c r="GD499" i="112"/>
  <c r="GB500" i="112"/>
  <c r="GC500" i="112"/>
  <c r="GD500" i="112"/>
  <c r="GB501" i="112"/>
  <c r="GC501" i="112"/>
  <c r="GD501" i="112"/>
  <c r="GB502" i="112"/>
  <c r="GC502" i="112"/>
  <c r="GD502" i="112"/>
  <c r="GB503" i="112"/>
  <c r="GC503" i="112"/>
  <c r="GD503" i="112"/>
  <c r="GB504" i="112"/>
  <c r="GC504" i="112"/>
  <c r="GD504" i="112"/>
  <c r="GB505" i="112"/>
  <c r="GC505" i="112"/>
  <c r="GD505" i="112"/>
  <c r="GB506" i="112"/>
  <c r="GC506" i="112"/>
  <c r="GD506" i="112"/>
  <c r="GB507" i="112"/>
  <c r="GC507" i="112"/>
  <c r="GD507" i="112"/>
  <c r="GD497" i="112"/>
  <c r="GC497" i="112"/>
  <c r="GB497" i="112"/>
  <c r="GD496" i="112"/>
  <c r="GC496" i="112"/>
  <c r="GB496" i="112"/>
  <c r="GD495" i="112"/>
  <c r="GC495" i="112"/>
  <c r="GB495" i="112"/>
  <c r="GD494" i="112"/>
  <c r="GC494" i="112"/>
  <c r="GB494" i="112"/>
  <c r="GD493" i="112"/>
  <c r="GC493" i="112"/>
  <c r="GB493" i="112"/>
  <c r="GD488" i="112"/>
  <c r="GC488" i="112"/>
  <c r="GB488" i="112"/>
  <c r="GD487" i="112"/>
  <c r="GC487" i="112"/>
  <c r="GB487" i="112"/>
  <c r="GD486" i="112"/>
  <c r="GC486" i="112"/>
  <c r="GB486" i="112"/>
  <c r="GD485" i="112"/>
  <c r="GC485" i="112"/>
  <c r="GB485" i="112"/>
  <c r="GD484" i="112"/>
  <c r="GC484" i="112"/>
  <c r="GB484" i="112"/>
  <c r="GD483" i="112"/>
  <c r="GC483" i="112"/>
  <c r="GB483" i="112"/>
  <c r="GD482" i="112"/>
  <c r="GC482" i="112"/>
  <c r="GB482" i="112"/>
  <c r="GD481" i="112"/>
  <c r="GC481" i="112"/>
  <c r="GB481" i="112"/>
  <c r="GD480" i="112"/>
  <c r="GC480" i="112"/>
  <c r="GB480" i="112"/>
  <c r="GD479" i="112"/>
  <c r="GC479" i="112"/>
  <c r="GB479" i="112"/>
  <c r="GD478" i="112"/>
  <c r="GC478" i="112"/>
  <c r="GB478" i="112"/>
  <c r="GD477" i="112"/>
  <c r="GC477" i="112"/>
  <c r="GB477" i="112"/>
  <c r="GD476" i="112"/>
  <c r="GC476" i="112"/>
  <c r="GB476" i="112"/>
  <c r="GD475" i="112"/>
  <c r="GC475" i="112"/>
  <c r="GB475" i="112"/>
  <c r="GD470" i="112"/>
  <c r="GC470" i="112"/>
  <c r="GB470" i="112"/>
  <c r="GD469" i="112"/>
  <c r="GC469" i="112"/>
  <c r="GB469" i="112"/>
  <c r="GD468" i="112"/>
  <c r="GC468" i="112"/>
  <c r="GB468" i="112"/>
  <c r="GD467" i="112"/>
  <c r="GC467" i="112"/>
  <c r="GB467" i="112"/>
  <c r="GD466" i="112"/>
  <c r="GC466" i="112"/>
  <c r="GB466" i="112"/>
  <c r="GD465" i="112"/>
  <c r="GC465" i="112"/>
  <c r="GB465" i="112"/>
  <c r="GD464" i="112"/>
  <c r="GC464" i="112"/>
  <c r="GB464" i="112"/>
  <c r="GD463" i="112"/>
  <c r="GC463" i="112"/>
  <c r="GB463" i="112"/>
  <c r="GD462" i="112"/>
  <c r="GC462" i="112"/>
  <c r="GB462" i="112"/>
  <c r="GD461" i="112"/>
  <c r="GC461" i="112"/>
  <c r="GB461" i="112"/>
  <c r="GD460" i="112"/>
  <c r="GC460" i="112"/>
  <c r="GB460" i="112"/>
  <c r="GD459" i="112"/>
  <c r="GC459" i="112"/>
  <c r="GB459" i="112"/>
  <c r="GD458" i="112"/>
  <c r="GC458" i="112"/>
  <c r="GB458" i="112"/>
  <c r="GD457" i="112"/>
  <c r="GC457" i="112"/>
  <c r="GB457" i="112"/>
  <c r="GD456" i="112"/>
  <c r="GC456" i="112"/>
  <c r="GB456" i="112"/>
  <c r="GD455" i="112"/>
  <c r="GC455" i="112"/>
  <c r="GB455" i="112"/>
  <c r="GD454" i="112"/>
  <c r="GC454" i="112"/>
  <c r="GB454" i="112"/>
  <c r="GD453" i="112"/>
  <c r="GC453" i="112"/>
  <c r="GB453" i="112"/>
  <c r="GD452" i="112"/>
  <c r="GC452" i="112"/>
  <c r="GB452" i="112"/>
  <c r="GD451" i="112"/>
  <c r="GC451" i="112"/>
  <c r="GB451" i="112"/>
  <c r="GD450" i="112"/>
  <c r="GC450" i="112"/>
  <c r="GB450" i="112"/>
  <c r="GD449" i="112"/>
  <c r="GC449" i="112"/>
  <c r="GB449" i="112"/>
  <c r="GD448" i="112"/>
  <c r="GC448" i="112"/>
  <c r="GB448" i="112"/>
  <c r="GD447" i="112"/>
  <c r="GC447" i="112"/>
  <c r="GB447" i="112"/>
  <c r="GD446" i="112"/>
  <c r="GC446" i="112"/>
  <c r="GB446" i="112"/>
  <c r="GD445" i="112"/>
  <c r="GC445" i="112"/>
  <c r="GB445" i="112"/>
  <c r="GD444" i="112"/>
  <c r="GC444" i="112"/>
  <c r="GB444" i="112"/>
  <c r="GD443" i="112"/>
  <c r="GC443" i="112"/>
  <c r="GB443" i="112"/>
  <c r="GD442" i="112"/>
  <c r="GC442" i="112"/>
  <c r="GB442" i="112"/>
  <c r="GD441" i="112"/>
  <c r="GC441" i="112"/>
  <c r="GB441" i="112"/>
  <c r="GD440" i="112"/>
  <c r="GC440" i="112"/>
  <c r="GB440" i="112"/>
  <c r="GD439" i="112"/>
  <c r="GC439" i="112"/>
  <c r="GB439" i="112"/>
  <c r="GD438" i="112"/>
  <c r="GC438" i="112"/>
  <c r="GB438" i="112"/>
  <c r="GD437" i="112"/>
  <c r="GC437" i="112"/>
  <c r="GB437" i="112"/>
  <c r="GD436" i="112"/>
  <c r="GC436" i="112"/>
  <c r="GB436" i="112"/>
  <c r="GD435" i="112"/>
  <c r="GC435" i="112"/>
  <c r="GB435" i="112"/>
  <c r="GD434" i="112"/>
  <c r="GC434" i="112"/>
  <c r="GB434" i="112"/>
  <c r="GD433" i="112"/>
  <c r="GC433" i="112"/>
  <c r="GB433" i="112"/>
  <c r="GD432" i="112"/>
  <c r="GC432" i="112"/>
  <c r="GB432" i="112"/>
  <c r="GD431" i="112"/>
  <c r="GC431" i="112"/>
  <c r="GB431" i="112"/>
  <c r="GD430" i="112"/>
  <c r="GC430" i="112"/>
  <c r="GB430" i="112"/>
  <c r="GD429" i="112"/>
  <c r="GC429" i="112"/>
  <c r="GB429" i="112"/>
  <c r="GD428" i="112"/>
  <c r="GC428" i="112"/>
  <c r="GB428" i="112"/>
  <c r="GD427" i="112"/>
  <c r="GC427" i="112"/>
  <c r="GB427" i="112"/>
  <c r="GD426" i="112"/>
  <c r="GC426" i="112"/>
  <c r="GB426" i="112"/>
  <c r="GD421" i="112"/>
  <c r="GC421" i="112"/>
  <c r="GB421" i="112"/>
  <c r="GD420" i="112"/>
  <c r="GC420" i="112"/>
  <c r="GB420" i="112"/>
  <c r="GD419" i="112"/>
  <c r="GC419" i="112"/>
  <c r="GB419" i="112"/>
  <c r="GD418" i="112"/>
  <c r="GC418" i="112"/>
  <c r="GB418" i="112"/>
  <c r="GD417" i="112"/>
  <c r="GC417" i="112"/>
  <c r="GB417" i="112"/>
  <c r="GD416" i="112"/>
  <c r="GC416" i="112"/>
  <c r="GB416" i="112"/>
  <c r="GD415" i="112"/>
  <c r="GC415" i="112"/>
  <c r="GB415" i="112"/>
  <c r="GD414" i="112"/>
  <c r="GC414" i="112"/>
  <c r="GB414" i="112"/>
  <c r="GD413" i="112"/>
  <c r="GC413" i="112"/>
  <c r="GB413" i="112"/>
  <c r="GD412" i="112"/>
  <c r="GC412" i="112"/>
  <c r="GB412" i="112"/>
  <c r="GD411" i="112"/>
  <c r="GC411" i="112"/>
  <c r="GB411" i="112"/>
  <c r="GD410" i="112"/>
  <c r="GC410" i="112"/>
  <c r="GB410" i="112"/>
  <c r="GD409" i="112"/>
  <c r="GC409" i="112"/>
  <c r="GB409" i="112"/>
  <c r="GD408" i="112"/>
  <c r="GC408" i="112"/>
  <c r="GB408" i="112"/>
  <c r="GD407" i="112"/>
  <c r="GC407" i="112"/>
  <c r="GB407" i="112"/>
  <c r="GD406" i="112"/>
  <c r="GC406" i="112"/>
  <c r="GB406" i="112"/>
  <c r="GD405" i="112"/>
  <c r="GC405" i="112"/>
  <c r="GB405" i="112"/>
  <c r="GD404" i="112"/>
  <c r="GC404" i="112"/>
  <c r="GB404" i="112"/>
  <c r="GD403" i="112"/>
  <c r="GC403" i="112"/>
  <c r="GB403" i="112"/>
  <c r="GD402" i="112"/>
  <c r="GC402" i="112"/>
  <c r="GB402" i="112"/>
  <c r="GD401" i="112"/>
  <c r="GC401" i="112"/>
  <c r="GB401" i="112"/>
  <c r="GD400" i="112"/>
  <c r="GC400" i="112"/>
  <c r="GB400" i="112"/>
  <c r="GD399" i="112"/>
  <c r="GC399" i="112"/>
  <c r="GB399" i="112"/>
  <c r="GD398" i="112"/>
  <c r="GC398" i="112"/>
  <c r="GB398" i="112"/>
  <c r="GD397" i="112"/>
  <c r="GC397" i="112"/>
  <c r="GB397" i="112"/>
  <c r="GD396" i="112"/>
  <c r="GC396" i="112"/>
  <c r="GB396" i="112"/>
  <c r="GD395" i="112"/>
  <c r="GC395" i="112"/>
  <c r="GB395" i="112"/>
  <c r="GD394" i="112"/>
  <c r="GC394" i="112"/>
  <c r="GB394" i="112"/>
  <c r="GD393" i="112"/>
  <c r="GC393" i="112"/>
  <c r="GB393" i="112"/>
  <c r="GD392" i="112"/>
  <c r="GC392" i="112"/>
  <c r="GB392" i="112"/>
  <c r="GD391" i="112"/>
  <c r="GC391" i="112"/>
  <c r="GB391" i="112"/>
  <c r="GD390" i="112"/>
  <c r="GC390" i="112"/>
  <c r="GB390" i="112"/>
  <c r="GD389" i="112"/>
  <c r="GC389" i="112"/>
  <c r="GB389" i="112"/>
  <c r="GD388" i="112"/>
  <c r="GC388" i="112"/>
  <c r="GB388" i="112"/>
  <c r="GD387" i="112"/>
  <c r="GC387" i="112"/>
  <c r="GB387" i="112"/>
  <c r="GD386" i="112"/>
  <c r="GC386" i="112"/>
  <c r="GB386" i="112"/>
  <c r="GD385" i="112"/>
  <c r="GC385" i="112"/>
  <c r="GB385" i="112"/>
  <c r="GD384" i="112"/>
  <c r="GC384" i="112"/>
  <c r="GB384" i="112"/>
  <c r="GD383" i="112"/>
  <c r="GC383" i="112"/>
  <c r="GB383" i="112"/>
  <c r="GD382" i="112"/>
  <c r="GC382" i="112"/>
  <c r="GB382" i="112"/>
  <c r="GD381" i="112"/>
  <c r="GC381" i="112"/>
  <c r="GB381" i="112"/>
  <c r="GD380" i="112"/>
  <c r="GC380" i="112"/>
  <c r="GB380" i="112"/>
  <c r="GD379" i="112"/>
  <c r="GC379" i="112"/>
  <c r="GB379" i="112"/>
  <c r="GD378" i="112"/>
  <c r="GC378" i="112"/>
  <c r="GB378" i="112"/>
  <c r="GD377" i="112"/>
  <c r="GC377" i="112"/>
  <c r="GB377" i="112"/>
  <c r="GD376" i="112"/>
  <c r="GC376" i="112"/>
  <c r="GB376" i="112"/>
  <c r="GD375" i="112"/>
  <c r="GC375" i="112"/>
  <c r="GB375" i="112"/>
  <c r="GD374" i="112"/>
  <c r="GC374" i="112"/>
  <c r="GB374" i="112"/>
  <c r="GD373" i="112"/>
  <c r="GC373" i="112"/>
  <c r="GB373" i="112"/>
  <c r="GD372" i="112"/>
  <c r="GC372" i="112"/>
  <c r="GB372" i="112"/>
  <c r="GD371" i="112"/>
  <c r="GC371" i="112"/>
  <c r="GB371" i="112"/>
  <c r="GD370" i="112"/>
  <c r="GC370" i="112"/>
  <c r="GB370" i="112"/>
  <c r="GD365" i="112"/>
  <c r="GC365" i="112"/>
  <c r="GB365" i="112"/>
  <c r="GD364" i="112"/>
  <c r="GC364" i="112"/>
  <c r="GB364" i="112"/>
  <c r="GD363" i="112"/>
  <c r="GC363" i="112"/>
  <c r="GB363" i="112"/>
  <c r="GD362" i="112"/>
  <c r="GC362" i="112"/>
  <c r="GB362" i="112"/>
  <c r="GD361" i="112"/>
  <c r="GC361" i="112"/>
  <c r="GB361" i="112"/>
  <c r="GD360" i="112"/>
  <c r="GC360" i="112"/>
  <c r="GB360" i="112"/>
  <c r="GD359" i="112"/>
  <c r="GC359" i="112"/>
  <c r="GB359" i="112"/>
  <c r="GD358" i="112"/>
  <c r="GC358" i="112"/>
  <c r="GB358" i="112"/>
  <c r="GD357" i="112"/>
  <c r="GC357" i="112"/>
  <c r="GB357" i="112"/>
  <c r="GD356" i="112"/>
  <c r="GC356" i="112"/>
  <c r="GB356" i="112"/>
  <c r="GD355" i="112"/>
  <c r="GC355" i="112"/>
  <c r="GB355" i="112"/>
  <c r="GD354" i="112"/>
  <c r="GC354" i="112"/>
  <c r="GB354" i="112"/>
  <c r="GD353" i="112"/>
  <c r="GC353" i="112"/>
  <c r="GB353" i="112"/>
  <c r="GD352" i="112"/>
  <c r="GC352" i="112"/>
  <c r="GB352" i="112"/>
  <c r="GD347" i="112"/>
  <c r="GC347" i="112"/>
  <c r="GB347" i="112"/>
  <c r="GD346" i="112"/>
  <c r="GC346" i="112"/>
  <c r="GB346" i="112"/>
  <c r="GD345" i="112"/>
  <c r="GC345" i="112"/>
  <c r="GB345" i="112"/>
  <c r="GD344" i="112"/>
  <c r="GC344" i="112"/>
  <c r="GB344" i="112"/>
  <c r="GD343" i="112"/>
  <c r="GC343" i="112"/>
  <c r="GB343" i="112"/>
  <c r="GD342" i="112"/>
  <c r="GC342" i="112"/>
  <c r="GB342" i="112"/>
  <c r="GD341" i="112"/>
  <c r="GC341" i="112"/>
  <c r="GB341" i="112"/>
  <c r="GD340" i="112"/>
  <c r="GC340" i="112"/>
  <c r="GB340" i="112"/>
  <c r="GD339" i="112"/>
  <c r="GC339" i="112"/>
  <c r="GB339" i="112"/>
  <c r="GD338" i="112"/>
  <c r="GC338" i="112"/>
  <c r="GB338" i="112"/>
  <c r="GD337" i="112"/>
  <c r="GC337" i="112"/>
  <c r="GB337" i="112"/>
  <c r="GD336" i="112"/>
  <c r="GC336" i="112"/>
  <c r="GB336" i="112"/>
  <c r="GD335" i="112"/>
  <c r="GC335" i="112"/>
  <c r="GB335" i="112"/>
  <c r="GD334" i="112"/>
  <c r="GC334" i="112"/>
  <c r="GB334" i="112"/>
  <c r="GD333" i="112"/>
  <c r="GC333" i="112"/>
  <c r="GB333" i="112"/>
  <c r="GD332" i="112"/>
  <c r="GC332" i="112"/>
  <c r="GB332" i="112"/>
  <c r="GD331" i="112"/>
  <c r="GC331" i="112"/>
  <c r="GB331" i="112"/>
  <c r="GD330" i="112"/>
  <c r="GC330" i="112"/>
  <c r="GB330" i="112"/>
  <c r="GD329" i="112"/>
  <c r="GC329" i="112"/>
  <c r="GB329" i="112"/>
  <c r="GD328" i="112"/>
  <c r="GC328" i="112"/>
  <c r="GB328" i="112"/>
  <c r="GD327" i="112"/>
  <c r="GC327" i="112"/>
  <c r="GB327" i="112"/>
  <c r="GD326" i="112"/>
  <c r="GC326" i="112"/>
  <c r="GB326" i="112"/>
  <c r="GD325" i="112"/>
  <c r="GC325" i="112"/>
  <c r="GB325" i="112"/>
  <c r="GD320" i="112"/>
  <c r="GC320" i="112"/>
  <c r="GB320" i="112"/>
  <c r="GD319" i="112"/>
  <c r="GC319" i="112"/>
  <c r="GB319" i="112"/>
  <c r="GD318" i="112"/>
  <c r="GC318" i="112"/>
  <c r="GB318" i="112"/>
  <c r="GD317" i="112"/>
  <c r="GC317" i="112"/>
  <c r="GB317" i="112"/>
  <c r="GD316" i="112"/>
  <c r="GC316" i="112"/>
  <c r="GB316" i="112"/>
  <c r="GD315" i="112"/>
  <c r="GC315" i="112"/>
  <c r="GB315" i="112"/>
  <c r="GD314" i="112"/>
  <c r="GC314" i="112"/>
  <c r="GB314" i="112"/>
  <c r="GD313" i="112"/>
  <c r="GC313" i="112"/>
  <c r="GB313" i="112"/>
  <c r="GD312" i="112"/>
  <c r="GC312" i="112"/>
  <c r="GB312" i="112"/>
  <c r="GD311" i="112"/>
  <c r="GC311" i="112"/>
  <c r="GB311" i="112"/>
  <c r="GD310" i="112"/>
  <c r="GC310" i="112"/>
  <c r="GB310" i="112"/>
  <c r="GD309" i="112"/>
  <c r="GC309" i="112"/>
  <c r="GB309" i="112"/>
  <c r="GD308" i="112"/>
  <c r="GC308" i="112"/>
  <c r="GB308" i="112"/>
  <c r="GD307" i="112"/>
  <c r="GC307" i="112"/>
  <c r="GB307" i="112"/>
  <c r="GD366" i="112" l="1"/>
  <c r="GB422" i="112"/>
  <c r="GB366" i="112"/>
  <c r="GC366" i="112"/>
  <c r="GD508" i="112"/>
  <c r="GC422" i="112"/>
  <c r="GD422" i="112"/>
  <c r="GD471" i="112"/>
  <c r="GB489" i="112"/>
  <c r="GB471" i="112"/>
  <c r="GC489" i="112"/>
  <c r="GC471" i="112"/>
  <c r="GD489" i="112"/>
  <c r="GB348" i="112"/>
  <c r="GC348" i="112"/>
  <c r="GD348" i="112"/>
  <c r="GB508" i="112"/>
  <c r="GC508" i="112"/>
  <c r="GB321" i="112"/>
  <c r="GC321" i="112"/>
  <c r="GD321" i="112"/>
  <c r="DN287" i="112" l="1"/>
  <c r="DN255" i="112"/>
  <c r="BV256" i="112" s="1"/>
  <c r="B165" i="127"/>
  <c r="C165" i="127" s="1"/>
  <c r="B96" i="127"/>
  <c r="B95" i="127"/>
  <c r="B93" i="127"/>
  <c r="B92" i="127"/>
  <c r="B90" i="127"/>
  <c r="B89" i="127"/>
  <c r="B87" i="127"/>
  <c r="B86" i="127"/>
  <c r="B84" i="127"/>
  <c r="C84" i="127" s="1"/>
  <c r="B83" i="127"/>
  <c r="C83" i="127" s="1"/>
  <c r="B81" i="127"/>
  <c r="C81" i="127" s="1"/>
  <c r="B80" i="127"/>
  <c r="C80" i="127" s="1"/>
  <c r="B78" i="127"/>
  <c r="C78" i="127" s="1"/>
  <c r="B77" i="127"/>
  <c r="O735" i="127"/>
  <c r="O734" i="127"/>
  <c r="O733" i="127"/>
  <c r="O732" i="127"/>
  <c r="O731" i="127"/>
  <c r="O730" i="127"/>
  <c r="O729" i="127"/>
  <c r="O728" i="127"/>
  <c r="O727" i="127"/>
  <c r="O726" i="127"/>
  <c r="O725" i="127"/>
  <c r="O724" i="127"/>
  <c r="O723" i="127"/>
  <c r="O722" i="127"/>
  <c r="O721" i="127"/>
  <c r="O720" i="127"/>
  <c r="O719" i="127"/>
  <c r="O718" i="127"/>
  <c r="O717" i="127"/>
  <c r="O716" i="127"/>
  <c r="O715" i="127"/>
  <c r="O714" i="127"/>
  <c r="O713" i="127"/>
  <c r="O712" i="127"/>
  <c r="O711" i="127"/>
  <c r="O710" i="127"/>
  <c r="O709" i="127"/>
  <c r="O708" i="127"/>
  <c r="O707" i="127"/>
  <c r="O706" i="127"/>
  <c r="O705" i="127"/>
  <c r="O704" i="127"/>
  <c r="O703" i="127"/>
  <c r="O702" i="127"/>
  <c r="O701" i="127"/>
  <c r="O700" i="127"/>
  <c r="O699" i="127"/>
  <c r="O698" i="127"/>
  <c r="O697" i="127"/>
  <c r="O696" i="127"/>
  <c r="O695" i="127"/>
  <c r="O694" i="127"/>
  <c r="O693" i="127"/>
  <c r="O692" i="127"/>
  <c r="O691" i="127"/>
  <c r="O690" i="127"/>
  <c r="O689" i="127"/>
  <c r="O688" i="127"/>
  <c r="O687" i="127"/>
  <c r="O686" i="127"/>
  <c r="O685" i="127"/>
  <c r="O684" i="127"/>
  <c r="O683" i="127"/>
  <c r="O682" i="127"/>
  <c r="O681" i="127"/>
  <c r="O680" i="127"/>
  <c r="O679" i="127"/>
  <c r="O678" i="127"/>
  <c r="O677" i="127"/>
  <c r="O676" i="127"/>
  <c r="O675" i="127"/>
  <c r="O674" i="127"/>
  <c r="O673" i="127"/>
  <c r="O672" i="127"/>
  <c r="O671" i="127"/>
  <c r="O670" i="127"/>
  <c r="O669" i="127"/>
  <c r="O668" i="127"/>
  <c r="O667" i="127"/>
  <c r="O666" i="127"/>
  <c r="O665" i="127"/>
  <c r="O664" i="127"/>
  <c r="O663" i="127"/>
  <c r="O662" i="127"/>
  <c r="O661" i="127"/>
  <c r="O660" i="127"/>
  <c r="O659" i="127"/>
  <c r="O658" i="127"/>
  <c r="O657" i="127"/>
  <c r="O656" i="127"/>
  <c r="O655" i="127"/>
  <c r="O654" i="127"/>
  <c r="O653" i="127"/>
  <c r="O652" i="127"/>
  <c r="O651" i="127"/>
  <c r="O650" i="127"/>
  <c r="O649" i="127"/>
  <c r="O648" i="127"/>
  <c r="O647" i="127"/>
  <c r="O646" i="127"/>
  <c r="O645" i="127"/>
  <c r="O644" i="127"/>
  <c r="O643" i="127"/>
  <c r="O642" i="127"/>
  <c r="O641" i="127"/>
  <c r="O640" i="127"/>
  <c r="O639" i="127"/>
  <c r="O638" i="127"/>
  <c r="O637" i="127"/>
  <c r="O636" i="127"/>
  <c r="O635" i="127"/>
  <c r="O634" i="127"/>
  <c r="O633" i="127"/>
  <c r="O632" i="127"/>
  <c r="O631" i="127"/>
  <c r="O630" i="127"/>
  <c r="O629" i="127"/>
  <c r="O628" i="127"/>
  <c r="O627" i="127"/>
  <c r="O626" i="127"/>
  <c r="O625" i="127"/>
  <c r="O624" i="127"/>
  <c r="O623" i="127"/>
  <c r="O622" i="127"/>
  <c r="O621" i="127"/>
  <c r="O620" i="127"/>
  <c r="O619" i="127"/>
  <c r="O618" i="127"/>
  <c r="O617" i="127"/>
  <c r="O616" i="127"/>
  <c r="O615" i="127"/>
  <c r="O614" i="127"/>
  <c r="O613" i="127"/>
  <c r="O612" i="127"/>
  <c r="O611" i="127"/>
  <c r="O610" i="127"/>
  <c r="O609" i="127"/>
  <c r="O608" i="127"/>
  <c r="O607" i="127"/>
  <c r="O606" i="127"/>
  <c r="O605" i="127"/>
  <c r="O604" i="127"/>
  <c r="O603" i="127"/>
  <c r="O602" i="127"/>
  <c r="O601" i="127"/>
  <c r="O600" i="127"/>
  <c r="O599" i="127"/>
  <c r="O598" i="127"/>
  <c r="O597" i="127"/>
  <c r="O596" i="127"/>
  <c r="O595" i="127"/>
  <c r="O594" i="127"/>
  <c r="O593" i="127"/>
  <c r="O592" i="127"/>
  <c r="O591" i="127"/>
  <c r="O590" i="127"/>
  <c r="O589" i="127"/>
  <c r="O588" i="127"/>
  <c r="O587" i="127"/>
  <c r="O586" i="127"/>
  <c r="O585" i="127"/>
  <c r="O584" i="127"/>
  <c r="O583" i="127"/>
  <c r="O582" i="127"/>
  <c r="O581" i="127"/>
  <c r="O580" i="127"/>
  <c r="O579" i="127"/>
  <c r="O578" i="127"/>
  <c r="O577" i="127"/>
  <c r="O576" i="127"/>
  <c r="O575" i="127"/>
  <c r="O574" i="127"/>
  <c r="O573" i="127"/>
  <c r="O572" i="127"/>
  <c r="O571" i="127"/>
  <c r="O570" i="127"/>
  <c r="O569" i="127"/>
  <c r="O568" i="127"/>
  <c r="O567" i="127"/>
  <c r="O566" i="127"/>
  <c r="O565" i="127"/>
  <c r="O564" i="127"/>
  <c r="O563" i="127"/>
  <c r="O562" i="127"/>
  <c r="O561" i="127"/>
  <c r="O560" i="127"/>
  <c r="O559" i="127"/>
  <c r="O301" i="127"/>
  <c r="O300" i="127"/>
  <c r="O299" i="127"/>
  <c r="O298" i="127"/>
  <c r="O297" i="127"/>
  <c r="O296" i="127"/>
  <c r="O295" i="127"/>
  <c r="O294" i="127"/>
  <c r="O293" i="127"/>
  <c r="O292" i="127"/>
  <c r="O291" i="127"/>
  <c r="O290" i="127"/>
  <c r="O289" i="127"/>
  <c r="O288" i="127"/>
  <c r="O287" i="127"/>
  <c r="O286" i="127"/>
  <c r="O285" i="127"/>
  <c r="O284" i="127"/>
  <c r="O283" i="127"/>
  <c r="O282" i="127"/>
  <c r="O281" i="127"/>
  <c r="O280" i="127"/>
  <c r="O279" i="127"/>
  <c r="O278" i="127"/>
  <c r="O277" i="127"/>
  <c r="O276" i="127"/>
  <c r="O275" i="127"/>
  <c r="O274" i="127"/>
  <c r="O273" i="127"/>
  <c r="O272" i="127"/>
  <c r="O271" i="127"/>
  <c r="O270" i="127"/>
  <c r="O269" i="127"/>
  <c r="O268" i="127"/>
  <c r="O267" i="127"/>
  <c r="O266" i="127"/>
  <c r="O265" i="127"/>
  <c r="O264" i="127"/>
  <c r="O263" i="127"/>
  <c r="O262" i="127"/>
  <c r="O261" i="127"/>
  <c r="O260" i="127"/>
  <c r="O259" i="127"/>
  <c r="O258" i="127"/>
  <c r="O257" i="127"/>
  <c r="O256" i="127"/>
  <c r="O255" i="127"/>
  <c r="O254" i="127"/>
  <c r="O253" i="127"/>
  <c r="O76" i="127"/>
  <c r="O75" i="127"/>
  <c r="O74" i="127"/>
  <c r="O73" i="127"/>
  <c r="O72" i="127"/>
  <c r="O71" i="127"/>
  <c r="O70" i="127"/>
  <c r="O69" i="127"/>
  <c r="O68" i="127"/>
  <c r="O67" i="127"/>
  <c r="O66" i="127"/>
  <c r="O65" i="127"/>
  <c r="O64" i="127"/>
  <c r="O63" i="127"/>
  <c r="O62" i="127"/>
  <c r="O61" i="127"/>
  <c r="O60" i="127"/>
  <c r="O59" i="127"/>
  <c r="O58" i="127"/>
  <c r="O57" i="127"/>
  <c r="O56" i="127"/>
  <c r="O55" i="127"/>
  <c r="O54" i="127"/>
  <c r="O53" i="127"/>
  <c r="O52" i="127"/>
  <c r="O51" i="127"/>
  <c r="O50" i="127"/>
  <c r="O49" i="127"/>
  <c r="O48" i="127"/>
  <c r="O47" i="127"/>
  <c r="O46" i="127"/>
  <c r="O45" i="127"/>
  <c r="O44" i="127"/>
  <c r="O43" i="127"/>
  <c r="O42" i="127"/>
  <c r="O41" i="127"/>
  <c r="O40" i="127"/>
  <c r="O39" i="127"/>
  <c r="O38" i="127"/>
  <c r="O37" i="127"/>
  <c r="O36" i="127"/>
  <c r="O35" i="127"/>
  <c r="O34" i="127"/>
  <c r="O33" i="127"/>
  <c r="O32" i="127"/>
  <c r="O31" i="127"/>
  <c r="O30" i="127"/>
  <c r="O29" i="127"/>
  <c r="O28" i="127"/>
  <c r="O27" i="127"/>
  <c r="O26" i="127"/>
  <c r="O25" i="127"/>
  <c r="O24" i="127"/>
  <c r="O23" i="127"/>
  <c r="O22" i="127"/>
  <c r="O21" i="127"/>
  <c r="O20" i="127"/>
  <c r="O19" i="127"/>
  <c r="O18" i="127"/>
  <c r="O17" i="127"/>
  <c r="O16" i="127"/>
  <c r="O15" i="127"/>
  <c r="O14" i="127"/>
  <c r="O13" i="127"/>
  <c r="O12" i="127"/>
  <c r="O11" i="127"/>
  <c r="O10" i="127"/>
  <c r="O9" i="127"/>
  <c r="O8" i="127"/>
  <c r="O7" i="127"/>
  <c r="O6" i="127"/>
  <c r="O5" i="127"/>
  <c r="O4" i="127"/>
  <c r="GS306" i="112"/>
  <c r="GS308" i="112" s="1"/>
  <c r="GR306" i="112"/>
  <c r="GQ306" i="112"/>
  <c r="GP306" i="112"/>
  <c r="GO306" i="112"/>
  <c r="GN306" i="112"/>
  <c r="GM306" i="112"/>
  <c r="GL306" i="112"/>
  <c r="GK306" i="112"/>
  <c r="GJ306" i="112"/>
  <c r="GI306" i="112"/>
  <c r="GH306" i="112"/>
  <c r="GG306" i="112"/>
  <c r="GF306" i="112"/>
  <c r="GE306" i="112"/>
  <c r="B182" i="127"/>
  <c r="C182" i="127" s="1"/>
  <c r="B181" i="127"/>
  <c r="C181" i="127" s="1"/>
  <c r="B180" i="127"/>
  <c r="C180" i="127" s="1"/>
  <c r="B179" i="127"/>
  <c r="C179" i="127" s="1"/>
  <c r="B178" i="127"/>
  <c r="C178" i="127" s="1"/>
  <c r="A175" i="127"/>
  <c r="B175" i="127" s="1"/>
  <c r="C175" i="127" s="1"/>
  <c r="B173" i="127"/>
  <c r="C173" i="127" s="1"/>
  <c r="B177" i="127"/>
  <c r="C177" i="127" s="1"/>
  <c r="B176" i="127"/>
  <c r="C176" i="127" s="1"/>
  <c r="B174" i="127"/>
  <c r="C174" i="127" s="1"/>
  <c r="A172" i="127"/>
  <c r="B172" i="127" s="1"/>
  <c r="C172" i="127" s="1"/>
  <c r="A170" i="127"/>
  <c r="B170" i="127" s="1"/>
  <c r="C170" i="127" s="1"/>
  <c r="A168" i="127"/>
  <c r="B168" i="127" s="1"/>
  <c r="C168" i="127" s="1"/>
  <c r="A50" i="127"/>
  <c r="B50" i="127" s="1"/>
  <c r="C50" i="127" s="1"/>
  <c r="A45" i="127"/>
  <c r="B45" i="127" s="1"/>
  <c r="C45" i="127" s="1"/>
  <c r="A53" i="127"/>
  <c r="B53" i="127" s="1"/>
  <c r="C53" i="127" s="1"/>
  <c r="A52" i="127"/>
  <c r="B52" i="127" s="1"/>
  <c r="C52" i="127" s="1"/>
  <c r="A51" i="127"/>
  <c r="B51" i="127" s="1"/>
  <c r="C51" i="127" s="1"/>
  <c r="A44" i="127"/>
  <c r="B44" i="127" s="1"/>
  <c r="C44" i="127" s="1"/>
  <c r="A43" i="127"/>
  <c r="B43" i="127" s="1"/>
  <c r="C43" i="127" s="1"/>
  <c r="B37" i="127"/>
  <c r="C37" i="127" s="1"/>
  <c r="B36" i="127"/>
  <c r="C36" i="127" s="1"/>
  <c r="B35" i="127"/>
  <c r="C35" i="127" s="1"/>
  <c r="B71" i="127"/>
  <c r="C71" i="127" s="1"/>
  <c r="B70" i="127"/>
  <c r="C70" i="127" s="1"/>
  <c r="B69" i="127"/>
  <c r="C69" i="127" s="1"/>
  <c r="B68" i="127"/>
  <c r="C68" i="127" s="1"/>
  <c r="B67" i="127"/>
  <c r="C67" i="127" s="1"/>
  <c r="B94" i="127"/>
  <c r="B91" i="127"/>
  <c r="B88" i="127"/>
  <c r="B85" i="127"/>
  <c r="B82" i="127"/>
  <c r="B79" i="127"/>
  <c r="C79" i="127" s="1"/>
  <c r="B76" i="127"/>
  <c r="A48" i="127"/>
  <c r="B48" i="127" s="1"/>
  <c r="C48" i="127" s="1"/>
  <c r="A47" i="127"/>
  <c r="B47" i="127" s="1"/>
  <c r="C47" i="127" s="1"/>
  <c r="A39" i="127"/>
  <c r="B39" i="127" s="1"/>
  <c r="C39" i="127" s="1"/>
  <c r="A40" i="127"/>
  <c r="B40" i="127" s="1"/>
  <c r="C40" i="127" s="1"/>
  <c r="A32" i="127"/>
  <c r="B32" i="127" s="1"/>
  <c r="C32" i="127" s="1"/>
  <c r="A31" i="127"/>
  <c r="B31" i="127" s="1"/>
  <c r="C31" i="127" s="1"/>
  <c r="B171" i="127"/>
  <c r="C171" i="127" s="1"/>
  <c r="B169" i="127"/>
  <c r="C169" i="127" s="1"/>
  <c r="B167" i="127"/>
  <c r="C167" i="127" s="1"/>
  <c r="B166" i="127"/>
  <c r="C166" i="127" s="1"/>
  <c r="EB193" i="112"/>
  <c r="EB187" i="112"/>
  <c r="B66" i="127"/>
  <c r="C66" i="127" s="1"/>
  <c r="B65" i="127"/>
  <c r="C65" i="127" s="1"/>
  <c r="B64" i="127"/>
  <c r="C64" i="127" s="1"/>
  <c r="B63" i="127"/>
  <c r="C63" i="127" s="1"/>
  <c r="B62" i="127"/>
  <c r="C62" i="127" s="1"/>
  <c r="B61" i="127"/>
  <c r="C61" i="127" s="1"/>
  <c r="B60" i="127"/>
  <c r="C60" i="127" s="1"/>
  <c r="B59" i="127"/>
  <c r="C59" i="127" s="1"/>
  <c r="B58" i="127"/>
  <c r="C58" i="127" s="1"/>
  <c r="B57" i="127"/>
  <c r="C57" i="127" s="1"/>
  <c r="B56" i="127"/>
  <c r="C56" i="127" s="1"/>
  <c r="B55" i="127"/>
  <c r="C55" i="127" s="1"/>
  <c r="B54" i="127"/>
  <c r="C54" i="127" s="1"/>
  <c r="A42" i="127"/>
  <c r="B42" i="127" s="1"/>
  <c r="C42" i="127" s="1"/>
  <c r="DW22" i="112"/>
  <c r="B49" i="127"/>
  <c r="C49" i="127" s="1"/>
  <c r="B46" i="127"/>
  <c r="C46" i="127" s="1"/>
  <c r="B41" i="127"/>
  <c r="C41" i="127" s="1"/>
  <c r="B38" i="127"/>
  <c r="C38" i="127" s="1"/>
  <c r="B34" i="127"/>
  <c r="C34" i="127" s="1"/>
  <c r="B33" i="127"/>
  <c r="C33" i="127" s="1"/>
  <c r="B30" i="127"/>
  <c r="C30" i="127" s="1"/>
  <c r="A27" i="127"/>
  <c r="B27" i="127" s="1"/>
  <c r="C27" i="127" s="1"/>
  <c r="B21" i="127"/>
  <c r="C21" i="127" s="1"/>
  <c r="B16" i="127"/>
  <c r="C16" i="127" s="1"/>
  <c r="B29" i="127"/>
  <c r="C29" i="127" s="1"/>
  <c r="B13" i="127"/>
  <c r="C13" i="127" s="1"/>
  <c r="B12" i="127"/>
  <c r="C12" i="127" s="1"/>
  <c r="B11" i="127"/>
  <c r="C11" i="127" s="1"/>
  <c r="B10" i="127"/>
  <c r="C10" i="127" s="1"/>
  <c r="A9" i="127"/>
  <c r="B9" i="127" s="1"/>
  <c r="C9" i="127" s="1"/>
  <c r="B8" i="127"/>
  <c r="C8" i="127" s="1"/>
  <c r="B7" i="127"/>
  <c r="C7" i="127" s="1"/>
  <c r="B5" i="127"/>
  <c r="C5" i="127" s="1"/>
  <c r="B4" i="127"/>
  <c r="C4" i="127" s="1"/>
  <c r="B75" i="127" l="1"/>
  <c r="C75" i="127" s="1"/>
  <c r="B33" i="130"/>
  <c r="C33" i="130" s="1"/>
  <c r="A6" i="127"/>
  <c r="B6" i="127" s="1"/>
  <c r="C6" i="127" s="1"/>
  <c r="A6" i="130"/>
  <c r="B6" i="130" s="1"/>
  <c r="C6" i="130" s="1"/>
  <c r="B73" i="127"/>
  <c r="C73" i="127" s="1"/>
  <c r="B31" i="130"/>
  <c r="C31" i="130" s="1"/>
  <c r="GQ309" i="112"/>
  <c r="GQ501" i="112"/>
  <c r="GQ502" i="112"/>
  <c r="GQ503" i="112"/>
  <c r="GQ504" i="112"/>
  <c r="GQ505" i="112"/>
  <c r="GQ498" i="112"/>
  <c r="GQ506" i="112"/>
  <c r="GQ499" i="112"/>
  <c r="GQ507" i="112"/>
  <c r="GQ500" i="112"/>
  <c r="GJ500" i="112"/>
  <c r="GJ501" i="112"/>
  <c r="GJ507" i="112"/>
  <c r="GJ502" i="112"/>
  <c r="GJ499" i="112"/>
  <c r="GJ503" i="112"/>
  <c r="GJ504" i="112"/>
  <c r="GJ505" i="112"/>
  <c r="GJ498" i="112"/>
  <c r="GJ506" i="112"/>
  <c r="GR406" i="112"/>
  <c r="GR500" i="112"/>
  <c r="GR501" i="112"/>
  <c r="GR502" i="112"/>
  <c r="GR503" i="112"/>
  <c r="GR499" i="112"/>
  <c r="GR504" i="112"/>
  <c r="GR505" i="112"/>
  <c r="GR507" i="112"/>
  <c r="GR498" i="112"/>
  <c r="GR506" i="112"/>
  <c r="GK373" i="112"/>
  <c r="GK499" i="112"/>
  <c r="GK507" i="112"/>
  <c r="GK506" i="112"/>
  <c r="GK500" i="112"/>
  <c r="GK498" i="112"/>
  <c r="GK501" i="112"/>
  <c r="GK502" i="112"/>
  <c r="GK503" i="112"/>
  <c r="GK504" i="112"/>
  <c r="GK505" i="112"/>
  <c r="GS406" i="112"/>
  <c r="GS499" i="112"/>
  <c r="GS507" i="112"/>
  <c r="GS500" i="112"/>
  <c r="GS501" i="112"/>
  <c r="GS502" i="112"/>
  <c r="GS503" i="112"/>
  <c r="GS498" i="112"/>
  <c r="GS506" i="112"/>
  <c r="GS504" i="112"/>
  <c r="GS505" i="112"/>
  <c r="GR308" i="112"/>
  <c r="GL364" i="112"/>
  <c r="GL498" i="112"/>
  <c r="GL506" i="112"/>
  <c r="GL499" i="112"/>
  <c r="GL507" i="112"/>
  <c r="GL500" i="112"/>
  <c r="GL501" i="112"/>
  <c r="GL502" i="112"/>
  <c r="GL505" i="112"/>
  <c r="GL503" i="112"/>
  <c r="GL504" i="112"/>
  <c r="GI329" i="112"/>
  <c r="GI501" i="112"/>
  <c r="GI500" i="112"/>
  <c r="GI502" i="112"/>
  <c r="GI503" i="112"/>
  <c r="GI504" i="112"/>
  <c r="GI505" i="112"/>
  <c r="GI498" i="112"/>
  <c r="GI506" i="112"/>
  <c r="GI499" i="112"/>
  <c r="GI507" i="112"/>
  <c r="GM363" i="112"/>
  <c r="GM505" i="112"/>
  <c r="GM504" i="112"/>
  <c r="GM498" i="112"/>
  <c r="GM506" i="112"/>
  <c r="GM499" i="112"/>
  <c r="GM507" i="112"/>
  <c r="GM500" i="112"/>
  <c r="GM501" i="112"/>
  <c r="GM502" i="112"/>
  <c r="GM503" i="112"/>
  <c r="GF504" i="112"/>
  <c r="GF505" i="112"/>
  <c r="GF498" i="112"/>
  <c r="GF506" i="112"/>
  <c r="GF503" i="112"/>
  <c r="GF499" i="112"/>
  <c r="GF507" i="112"/>
  <c r="GF500" i="112"/>
  <c r="GF501" i="112"/>
  <c r="GF502" i="112"/>
  <c r="GN363" i="112"/>
  <c r="GN504" i="112"/>
  <c r="GN505" i="112"/>
  <c r="GN503" i="112"/>
  <c r="GN498" i="112"/>
  <c r="GN506" i="112"/>
  <c r="GN499" i="112"/>
  <c r="GN507" i="112"/>
  <c r="GN500" i="112"/>
  <c r="GN501" i="112"/>
  <c r="GN502" i="112"/>
  <c r="GG386" i="112"/>
  <c r="GG503" i="112"/>
  <c r="GG504" i="112"/>
  <c r="GG505" i="112"/>
  <c r="GG498" i="112"/>
  <c r="GG506" i="112"/>
  <c r="GG499" i="112"/>
  <c r="GG507" i="112"/>
  <c r="GG500" i="112"/>
  <c r="GG501" i="112"/>
  <c r="GG502" i="112"/>
  <c r="GO391" i="112"/>
  <c r="GO503" i="112"/>
  <c r="GO504" i="112"/>
  <c r="GO505" i="112"/>
  <c r="GO498" i="112"/>
  <c r="GO506" i="112"/>
  <c r="GO499" i="112"/>
  <c r="GO507" i="112"/>
  <c r="GO502" i="112"/>
  <c r="GO500" i="112"/>
  <c r="GO501" i="112"/>
  <c r="GH502" i="112"/>
  <c r="GH503" i="112"/>
  <c r="GH504" i="112"/>
  <c r="GH505" i="112"/>
  <c r="GH498" i="112"/>
  <c r="GH506" i="112"/>
  <c r="GH501" i="112"/>
  <c r="GH499" i="112"/>
  <c r="GH507" i="112"/>
  <c r="GH500" i="112"/>
  <c r="GP405" i="112"/>
  <c r="GP502" i="112"/>
  <c r="GP503" i="112"/>
  <c r="GP504" i="112"/>
  <c r="GP505" i="112"/>
  <c r="GP498" i="112"/>
  <c r="GP506" i="112"/>
  <c r="GP499" i="112"/>
  <c r="GP507" i="112"/>
  <c r="GP501" i="112"/>
  <c r="GP500" i="112"/>
  <c r="GE311" i="112"/>
  <c r="GE501" i="112"/>
  <c r="GE498" i="112"/>
  <c r="GE502" i="112"/>
  <c r="GE506" i="112"/>
  <c r="GE503" i="112"/>
  <c r="GE507" i="112"/>
  <c r="GE499" i="112"/>
  <c r="GE504" i="112"/>
  <c r="GE500" i="112"/>
  <c r="GE505" i="112"/>
  <c r="GR309" i="112"/>
  <c r="GQ312" i="112"/>
  <c r="GQ314" i="112"/>
  <c r="GL319" i="112"/>
  <c r="GP326" i="112"/>
  <c r="GM329" i="112"/>
  <c r="GS332" i="112"/>
  <c r="GM339" i="112"/>
  <c r="GK344" i="112"/>
  <c r="GP358" i="112"/>
  <c r="GR362" i="112"/>
  <c r="GK376" i="112"/>
  <c r="GS384" i="112"/>
  <c r="GS407" i="112"/>
  <c r="GK311" i="112"/>
  <c r="GS312" i="112"/>
  <c r="GR314" i="112"/>
  <c r="GS319" i="112"/>
  <c r="GR326" i="112"/>
  <c r="GR329" i="112"/>
  <c r="GM333" i="112"/>
  <c r="GP339" i="112"/>
  <c r="GM344" i="112"/>
  <c r="GK359" i="112"/>
  <c r="GS362" i="112"/>
  <c r="GR377" i="112"/>
  <c r="GR386" i="112"/>
  <c r="GP408" i="112"/>
  <c r="GK307" i="112"/>
  <c r="GL311" i="112"/>
  <c r="GL313" i="112"/>
  <c r="GL315" i="112"/>
  <c r="GP320" i="112"/>
  <c r="GK327" i="112"/>
  <c r="GS329" i="112"/>
  <c r="GK334" i="112"/>
  <c r="GS339" i="112"/>
  <c r="GS344" i="112"/>
  <c r="GL359" i="112"/>
  <c r="GP363" i="112"/>
  <c r="GK379" i="112"/>
  <c r="GS388" i="112"/>
  <c r="GP311" i="112"/>
  <c r="GM313" i="112"/>
  <c r="GM315" i="112"/>
  <c r="GR320" i="112"/>
  <c r="GM327" i="112"/>
  <c r="GP330" i="112"/>
  <c r="GL334" i="112"/>
  <c r="GL340" i="112"/>
  <c r="GP345" i="112"/>
  <c r="GS359" i="112"/>
  <c r="GM370" i="112"/>
  <c r="GM379" i="112"/>
  <c r="GM393" i="112"/>
  <c r="GS311" i="112"/>
  <c r="GP313" i="112"/>
  <c r="GK317" i="112"/>
  <c r="GK325" i="112"/>
  <c r="GR327" i="112"/>
  <c r="GR330" i="112"/>
  <c r="GK335" i="112"/>
  <c r="GL341" i="112"/>
  <c r="GR347" i="112"/>
  <c r="GK360" i="112"/>
  <c r="GM371" i="112"/>
  <c r="GK381" i="112"/>
  <c r="GP393" i="112"/>
  <c r="GK308" i="112"/>
  <c r="GL309" i="112"/>
  <c r="GK312" i="112"/>
  <c r="GI314" i="112"/>
  <c r="GL317" i="112"/>
  <c r="GM325" i="112"/>
  <c r="GS327" i="112"/>
  <c r="GM331" i="112"/>
  <c r="GK336" i="112"/>
  <c r="GP342" i="112"/>
  <c r="GK355" i="112"/>
  <c r="GP360" i="112"/>
  <c r="GP372" i="112"/>
  <c r="GS382" i="112"/>
  <c r="GK395" i="112"/>
  <c r="GP309" i="112"/>
  <c r="GL312" i="112"/>
  <c r="GL314" i="112"/>
  <c r="GS317" i="112"/>
  <c r="GR325" i="112"/>
  <c r="GP331" i="112"/>
  <c r="GS337" i="112"/>
  <c r="GM343" i="112"/>
  <c r="GM356" i="112"/>
  <c r="GS360" i="112"/>
  <c r="GR372" i="112"/>
  <c r="GL383" i="112"/>
  <c r="GR398" i="112"/>
  <c r="GP312" i="112"/>
  <c r="GP314" i="112"/>
  <c r="GK319" i="112"/>
  <c r="GS325" i="112"/>
  <c r="GK329" i="112"/>
  <c r="GL332" i="112"/>
  <c r="GR338" i="112"/>
  <c r="GP343" i="112"/>
  <c r="GK357" i="112"/>
  <c r="GP361" i="112"/>
  <c r="GS374" i="112"/>
  <c r="GR384" i="112"/>
  <c r="GP400" i="112"/>
  <c r="GI495" i="112"/>
  <c r="GI483" i="112"/>
  <c r="GI485" i="112"/>
  <c r="GI497" i="112"/>
  <c r="GI475" i="112"/>
  <c r="GI452" i="112"/>
  <c r="GI450" i="112"/>
  <c r="GI446" i="112"/>
  <c r="GI457" i="112"/>
  <c r="GI436" i="112"/>
  <c r="GI459" i="112"/>
  <c r="GI444" i="112"/>
  <c r="GI434" i="112"/>
  <c r="GI431" i="112"/>
  <c r="GI465" i="112"/>
  <c r="GI440" i="112"/>
  <c r="GI438" i="112"/>
  <c r="GI413" i="112"/>
  <c r="GI411" i="112"/>
  <c r="GI418" i="112"/>
  <c r="GI420" i="112"/>
  <c r="GI359" i="112"/>
  <c r="GI341" i="112"/>
  <c r="GI430" i="112"/>
  <c r="GI372" i="112"/>
  <c r="GI363" i="112"/>
  <c r="GI361" i="112"/>
  <c r="GI356" i="112"/>
  <c r="GI343" i="112"/>
  <c r="GI396" i="112"/>
  <c r="GI394" i="112"/>
  <c r="GI392" i="112"/>
  <c r="GQ308" i="112"/>
  <c r="GQ493" i="112"/>
  <c r="GQ487" i="112"/>
  <c r="GQ482" i="112"/>
  <c r="GQ494" i="112"/>
  <c r="GQ488" i="112"/>
  <c r="GQ486" i="112"/>
  <c r="GQ481" i="112"/>
  <c r="GQ483" i="112"/>
  <c r="GQ496" i="112"/>
  <c r="GQ485" i="112"/>
  <c r="GQ497" i="112"/>
  <c r="GQ469" i="112"/>
  <c r="GQ464" i="112"/>
  <c r="GQ461" i="112"/>
  <c r="GQ459" i="112"/>
  <c r="GQ456" i="112"/>
  <c r="GQ453" i="112"/>
  <c r="GQ451" i="112"/>
  <c r="GQ495" i="112"/>
  <c r="GQ466" i="112"/>
  <c r="GQ479" i="112"/>
  <c r="GQ463" i="112"/>
  <c r="GQ455" i="112"/>
  <c r="GQ475" i="112"/>
  <c r="GQ452" i="112"/>
  <c r="GQ444" i="112"/>
  <c r="GQ442" i="112"/>
  <c r="GQ454" i="112"/>
  <c r="GQ450" i="112"/>
  <c r="GQ446" i="112"/>
  <c r="GQ480" i="112"/>
  <c r="GQ468" i="112"/>
  <c r="GQ460" i="112"/>
  <c r="GQ458" i="112"/>
  <c r="GQ448" i="112"/>
  <c r="GQ439" i="112"/>
  <c r="GQ434" i="112"/>
  <c r="GQ465" i="112"/>
  <c r="GQ449" i="112"/>
  <c r="GQ441" i="112"/>
  <c r="GQ438" i="112"/>
  <c r="GQ437" i="112"/>
  <c r="GQ432" i="112"/>
  <c r="GQ429" i="112"/>
  <c r="GQ427" i="112"/>
  <c r="GQ477" i="112"/>
  <c r="GQ467" i="112"/>
  <c r="GQ431" i="112"/>
  <c r="GQ426" i="112"/>
  <c r="GQ435" i="112"/>
  <c r="GQ419" i="112"/>
  <c r="GQ416" i="112"/>
  <c r="GQ406" i="112"/>
  <c r="GQ401" i="112"/>
  <c r="GQ398" i="112"/>
  <c r="GQ391" i="112"/>
  <c r="GQ386" i="112"/>
  <c r="GQ381" i="112"/>
  <c r="GQ470" i="112"/>
  <c r="GQ408" i="112"/>
  <c r="GQ388" i="112"/>
  <c r="GQ383" i="112"/>
  <c r="GQ376" i="112"/>
  <c r="GQ443" i="112"/>
  <c r="GQ433" i="112"/>
  <c r="GQ407" i="112"/>
  <c r="GQ405" i="112"/>
  <c r="GQ397" i="112"/>
  <c r="GQ395" i="112"/>
  <c r="GQ392" i="112"/>
  <c r="GQ390" i="112"/>
  <c r="GQ373" i="112"/>
  <c r="GQ445" i="112"/>
  <c r="GQ417" i="112"/>
  <c r="GQ413" i="112"/>
  <c r="GQ409" i="112"/>
  <c r="GQ440" i="112"/>
  <c r="GQ421" i="112"/>
  <c r="GQ412" i="112"/>
  <c r="GQ377" i="112"/>
  <c r="GQ372" i="112"/>
  <c r="GQ365" i="112"/>
  <c r="GQ358" i="112"/>
  <c r="GQ345" i="112"/>
  <c r="GQ335" i="112"/>
  <c r="GQ484" i="112"/>
  <c r="GQ436" i="112"/>
  <c r="GQ415" i="112"/>
  <c r="GQ411" i="112"/>
  <c r="GQ462" i="112"/>
  <c r="GQ430" i="112"/>
  <c r="GQ476" i="112"/>
  <c r="GQ410" i="112"/>
  <c r="GQ404" i="112"/>
  <c r="GQ384" i="112"/>
  <c r="GQ362" i="112"/>
  <c r="GQ355" i="112"/>
  <c r="GQ353" i="112"/>
  <c r="GQ344" i="112"/>
  <c r="GQ339" i="112"/>
  <c r="GQ414" i="112"/>
  <c r="GQ374" i="112"/>
  <c r="GQ364" i="112"/>
  <c r="GQ359" i="112"/>
  <c r="GQ357" i="112"/>
  <c r="GQ341" i="112"/>
  <c r="GQ457" i="112"/>
  <c r="GQ447" i="112"/>
  <c r="GQ428" i="112"/>
  <c r="GQ418" i="112"/>
  <c r="GQ399" i="112"/>
  <c r="GQ387" i="112"/>
  <c r="GQ346" i="112"/>
  <c r="GQ338" i="112"/>
  <c r="GQ403" i="112"/>
  <c r="GQ393" i="112"/>
  <c r="GQ389" i="112"/>
  <c r="GQ385" i="112"/>
  <c r="GQ363" i="112"/>
  <c r="GQ361" i="112"/>
  <c r="GQ356" i="112"/>
  <c r="GQ343" i="112"/>
  <c r="GQ310" i="112"/>
  <c r="GN311" i="112"/>
  <c r="GO315" i="112"/>
  <c r="GG316" i="112"/>
  <c r="GQ316" i="112"/>
  <c r="GN317" i="112"/>
  <c r="GQ318" i="112"/>
  <c r="GN319" i="112"/>
  <c r="GG320" i="112"/>
  <c r="GQ328" i="112"/>
  <c r="GN334" i="112"/>
  <c r="GN335" i="112"/>
  <c r="GN336" i="112"/>
  <c r="GO340" i="112"/>
  <c r="GI353" i="112"/>
  <c r="GN357" i="112"/>
  <c r="GQ371" i="112"/>
  <c r="GO381" i="112"/>
  <c r="GR390" i="112"/>
  <c r="GO397" i="112"/>
  <c r="GK399" i="112"/>
  <c r="GK401" i="112"/>
  <c r="GS404" i="112"/>
  <c r="GO416" i="112"/>
  <c r="GS429" i="112"/>
  <c r="GS442" i="112"/>
  <c r="GQ307" i="112"/>
  <c r="GJ478" i="112"/>
  <c r="GJ466" i="112"/>
  <c r="GJ465" i="112"/>
  <c r="GJ426" i="112"/>
  <c r="GJ429" i="112"/>
  <c r="GJ413" i="112"/>
  <c r="GJ454" i="112"/>
  <c r="GJ438" i="112"/>
  <c r="GR495" i="112"/>
  <c r="GR477" i="112"/>
  <c r="GR494" i="112"/>
  <c r="GR488" i="112"/>
  <c r="GR486" i="112"/>
  <c r="GR481" i="112"/>
  <c r="GR483" i="112"/>
  <c r="GR478" i="112"/>
  <c r="GR496" i="112"/>
  <c r="GR485" i="112"/>
  <c r="GR493" i="112"/>
  <c r="GR487" i="112"/>
  <c r="GR482" i="112"/>
  <c r="GR466" i="112"/>
  <c r="GR479" i="112"/>
  <c r="GR463" i="112"/>
  <c r="GR455" i="112"/>
  <c r="GR480" i="112"/>
  <c r="GR468" i="112"/>
  <c r="GR458" i="112"/>
  <c r="GR452" i="112"/>
  <c r="GR450" i="112"/>
  <c r="GR448" i="112"/>
  <c r="GR454" i="112"/>
  <c r="GR446" i="112"/>
  <c r="GR497" i="112"/>
  <c r="GR460" i="112"/>
  <c r="GR439" i="112"/>
  <c r="GR434" i="112"/>
  <c r="GR462" i="112"/>
  <c r="GR456" i="112"/>
  <c r="GR436" i="112"/>
  <c r="GR467" i="112"/>
  <c r="GR453" i="112"/>
  <c r="GR451" i="112"/>
  <c r="GR431" i="112"/>
  <c r="GR426" i="112"/>
  <c r="GR417" i="112"/>
  <c r="GR470" i="112"/>
  <c r="GR428" i="112"/>
  <c r="GR432" i="112"/>
  <c r="GR408" i="112"/>
  <c r="GR388" i="112"/>
  <c r="GR383" i="112"/>
  <c r="GR376" i="112"/>
  <c r="GR476" i="112"/>
  <c r="GR465" i="112"/>
  <c r="GR420" i="112"/>
  <c r="GR410" i="112"/>
  <c r="GR403" i="112"/>
  <c r="GR400" i="112"/>
  <c r="GR393" i="112"/>
  <c r="GR378" i="112"/>
  <c r="GR371" i="112"/>
  <c r="GR461" i="112"/>
  <c r="GR449" i="112"/>
  <c r="GR445" i="112"/>
  <c r="GR438" i="112"/>
  <c r="GR427" i="112"/>
  <c r="GR413" i="112"/>
  <c r="GR409" i="112"/>
  <c r="GR402" i="112"/>
  <c r="GR399" i="112"/>
  <c r="GR382" i="112"/>
  <c r="GR375" i="112"/>
  <c r="GR484" i="112"/>
  <c r="GR475" i="112"/>
  <c r="GR457" i="112"/>
  <c r="GR447" i="112"/>
  <c r="GR418" i="112"/>
  <c r="GR415" i="112"/>
  <c r="GR411" i="112"/>
  <c r="GR444" i="112"/>
  <c r="GR442" i="112"/>
  <c r="GR433" i="112"/>
  <c r="GR429" i="112"/>
  <c r="GR407" i="112"/>
  <c r="GR360" i="112"/>
  <c r="GR342" i="112"/>
  <c r="GR337" i="112"/>
  <c r="GR469" i="112"/>
  <c r="GR459" i="112"/>
  <c r="GR430" i="112"/>
  <c r="GR414" i="112"/>
  <c r="GR374" i="112"/>
  <c r="GR364" i="112"/>
  <c r="GR359" i="112"/>
  <c r="GR357" i="112"/>
  <c r="GR341" i="112"/>
  <c r="GR443" i="112"/>
  <c r="GR441" i="112"/>
  <c r="GR387" i="112"/>
  <c r="GR346" i="112"/>
  <c r="GR464" i="112"/>
  <c r="GR437" i="112"/>
  <c r="GR397" i="112"/>
  <c r="GR389" i="112"/>
  <c r="GR385" i="112"/>
  <c r="GR363" i="112"/>
  <c r="GR361" i="112"/>
  <c r="GR356" i="112"/>
  <c r="GR343" i="112"/>
  <c r="GR334" i="112"/>
  <c r="GR332" i="112"/>
  <c r="GR435" i="112"/>
  <c r="GR419" i="112"/>
  <c r="GR416" i="112"/>
  <c r="GR405" i="112"/>
  <c r="GR401" i="112"/>
  <c r="GR395" i="112"/>
  <c r="GR391" i="112"/>
  <c r="GR381" i="112"/>
  <c r="GR379" i="112"/>
  <c r="GR370" i="112"/>
  <c r="GR354" i="112"/>
  <c r="GR352" i="112"/>
  <c r="GR340" i="112"/>
  <c r="GM309" i="112"/>
  <c r="GG310" i="112"/>
  <c r="GR310" i="112"/>
  <c r="GO311" i="112"/>
  <c r="GQ313" i="112"/>
  <c r="GM314" i="112"/>
  <c r="GP315" i="112"/>
  <c r="GJ316" i="112"/>
  <c r="GR316" i="112"/>
  <c r="GO317" i="112"/>
  <c r="GR318" i="112"/>
  <c r="GO319" i="112"/>
  <c r="GK320" i="112"/>
  <c r="GS320" i="112"/>
  <c r="GN325" i="112"/>
  <c r="GK326" i="112"/>
  <c r="GS326" i="112"/>
  <c r="GN327" i="112"/>
  <c r="GI328" i="112"/>
  <c r="GR328" i="112"/>
  <c r="GN329" i="112"/>
  <c r="GK330" i="112"/>
  <c r="GS330" i="112"/>
  <c r="GQ331" i="112"/>
  <c r="GM332" i="112"/>
  <c r="GO333" i="112"/>
  <c r="GP334" i="112"/>
  <c r="GO335" i="112"/>
  <c r="GP336" i="112"/>
  <c r="GK337" i="112"/>
  <c r="GQ340" i="112"/>
  <c r="GN341" i="112"/>
  <c r="GQ342" i="112"/>
  <c r="GK353" i="112"/>
  <c r="GN354" i="112"/>
  <c r="GM355" i="112"/>
  <c r="GN356" i="112"/>
  <c r="GS357" i="112"/>
  <c r="GR358" i="112"/>
  <c r="GK364" i="112"/>
  <c r="GJ365" i="112"/>
  <c r="GN370" i="112"/>
  <c r="GS376" i="112"/>
  <c r="GO383" i="112"/>
  <c r="GM385" i="112"/>
  <c r="GI387" i="112"/>
  <c r="GS390" i="112"/>
  <c r="GP392" i="112"/>
  <c r="GO399" i="112"/>
  <c r="GL401" i="112"/>
  <c r="GL403" i="112"/>
  <c r="GL417" i="112"/>
  <c r="GP470" i="112"/>
  <c r="GR307" i="112"/>
  <c r="GK497" i="112"/>
  <c r="GK484" i="112"/>
  <c r="GK483" i="112"/>
  <c r="GK496" i="112"/>
  <c r="GK485" i="112"/>
  <c r="GK493" i="112"/>
  <c r="GK487" i="112"/>
  <c r="GK482" i="112"/>
  <c r="GK495" i="112"/>
  <c r="GK494" i="112"/>
  <c r="GK463" i="112"/>
  <c r="GK455" i="112"/>
  <c r="GK476" i="112"/>
  <c r="GK475" i="112"/>
  <c r="GK468" i="112"/>
  <c r="GK458" i="112"/>
  <c r="GK452" i="112"/>
  <c r="GK450" i="112"/>
  <c r="GK448" i="112"/>
  <c r="GK488" i="112"/>
  <c r="GK465" i="112"/>
  <c r="GK460" i="112"/>
  <c r="GK477" i="112"/>
  <c r="GK457" i="112"/>
  <c r="GK453" i="112"/>
  <c r="GK449" i="112"/>
  <c r="GK436" i="112"/>
  <c r="GK467" i="112"/>
  <c r="GK461" i="112"/>
  <c r="GK451" i="112"/>
  <c r="GK443" i="112"/>
  <c r="GK441" i="112"/>
  <c r="GK438" i="112"/>
  <c r="GK479" i="112"/>
  <c r="GK442" i="112"/>
  <c r="GK439" i="112"/>
  <c r="GK434" i="112"/>
  <c r="GK431" i="112"/>
  <c r="GK426" i="112"/>
  <c r="GK462" i="112"/>
  <c r="GK440" i="112"/>
  <c r="GK435" i="112"/>
  <c r="GK428" i="112"/>
  <c r="GK480" i="112"/>
  <c r="GK447" i="112"/>
  <c r="GK445" i="112"/>
  <c r="GK419" i="112"/>
  <c r="GK446" i="112"/>
  <c r="GK437" i="112"/>
  <c r="GK427" i="112"/>
  <c r="GK410" i="112"/>
  <c r="GK403" i="112"/>
  <c r="GK400" i="112"/>
  <c r="GK393" i="112"/>
  <c r="GK378" i="112"/>
  <c r="GK414" i="112"/>
  <c r="GK412" i="112"/>
  <c r="GK387" i="112"/>
  <c r="GK385" i="112"/>
  <c r="GK380" i="112"/>
  <c r="GK486" i="112"/>
  <c r="GK478" i="112"/>
  <c r="GK470" i="112"/>
  <c r="GK454" i="112"/>
  <c r="GK432" i="112"/>
  <c r="GK415" i="112"/>
  <c r="GK411" i="112"/>
  <c r="GK394" i="112"/>
  <c r="GK389" i="112"/>
  <c r="GK372" i="112"/>
  <c r="GK456" i="112"/>
  <c r="GK417" i="112"/>
  <c r="GK413" i="112"/>
  <c r="GK409" i="112"/>
  <c r="GK374" i="112"/>
  <c r="GK347" i="112"/>
  <c r="GK333" i="112"/>
  <c r="GK466" i="112"/>
  <c r="GK420" i="112"/>
  <c r="GK416" i="112"/>
  <c r="GK469" i="112"/>
  <c r="GK459" i="112"/>
  <c r="GK444" i="112"/>
  <c r="GK433" i="112"/>
  <c r="GK429" i="112"/>
  <c r="GK421" i="112"/>
  <c r="GK408" i="112"/>
  <c r="GK481" i="112"/>
  <c r="GK430" i="112"/>
  <c r="GK407" i="112"/>
  <c r="GK377" i="112"/>
  <c r="GK375" i="112"/>
  <c r="GK370" i="112"/>
  <c r="GK346" i="112"/>
  <c r="GK338" i="112"/>
  <c r="GK371" i="112"/>
  <c r="GK363" i="112"/>
  <c r="GK361" i="112"/>
  <c r="GK356" i="112"/>
  <c r="GK343" i="112"/>
  <c r="GK398" i="112"/>
  <c r="GK396" i="112"/>
  <c r="GK392" i="112"/>
  <c r="GK354" i="112"/>
  <c r="GK352" i="112"/>
  <c r="GK340" i="112"/>
  <c r="GK464" i="112"/>
  <c r="GK406" i="112"/>
  <c r="GK404" i="112"/>
  <c r="GK402" i="112"/>
  <c r="GK390" i="112"/>
  <c r="GK388" i="112"/>
  <c r="GK386" i="112"/>
  <c r="GK384" i="112"/>
  <c r="GK382" i="112"/>
  <c r="GK365" i="112"/>
  <c r="GK358" i="112"/>
  <c r="GK345" i="112"/>
  <c r="GS497" i="112"/>
  <c r="GS484" i="112"/>
  <c r="GS483" i="112"/>
  <c r="GS496" i="112"/>
  <c r="GS485" i="112"/>
  <c r="GS493" i="112"/>
  <c r="GS487" i="112"/>
  <c r="GS482" i="112"/>
  <c r="GS495" i="112"/>
  <c r="GS488" i="112"/>
  <c r="GS479" i="112"/>
  <c r="GS463" i="112"/>
  <c r="GS455" i="112"/>
  <c r="GS480" i="112"/>
  <c r="GS468" i="112"/>
  <c r="GS458" i="112"/>
  <c r="GS452" i="112"/>
  <c r="GS450" i="112"/>
  <c r="GS448" i="112"/>
  <c r="GS486" i="112"/>
  <c r="GS481" i="112"/>
  <c r="GS476" i="112"/>
  <c r="GS475" i="112"/>
  <c r="GS465" i="112"/>
  <c r="GS460" i="112"/>
  <c r="GS462" i="112"/>
  <c r="GS456" i="112"/>
  <c r="GS436" i="112"/>
  <c r="GS494" i="112"/>
  <c r="GS470" i="112"/>
  <c r="GS466" i="112"/>
  <c r="GS464" i="112"/>
  <c r="GS443" i="112"/>
  <c r="GS441" i="112"/>
  <c r="GS438" i="112"/>
  <c r="GS477" i="112"/>
  <c r="GS467" i="112"/>
  <c r="GS453" i="112"/>
  <c r="GS451" i="112"/>
  <c r="GS431" i="112"/>
  <c r="GS426" i="112"/>
  <c r="GS454" i="112"/>
  <c r="GS428" i="112"/>
  <c r="GS478" i="112"/>
  <c r="GS469" i="112"/>
  <c r="GS457" i="112"/>
  <c r="GS446" i="112"/>
  <c r="GS444" i="112"/>
  <c r="GS439" i="112"/>
  <c r="GS434" i="112"/>
  <c r="GS419" i="112"/>
  <c r="GS420" i="112"/>
  <c r="GS410" i="112"/>
  <c r="GS403" i="112"/>
  <c r="GS400" i="112"/>
  <c r="GS393" i="112"/>
  <c r="GS378" i="112"/>
  <c r="GS440" i="112"/>
  <c r="GS421" i="112"/>
  <c r="GS414" i="112"/>
  <c r="GS412" i="112"/>
  <c r="GS387" i="112"/>
  <c r="GS385" i="112"/>
  <c r="GS380" i="112"/>
  <c r="GS447" i="112"/>
  <c r="GS418" i="112"/>
  <c r="GS417" i="112"/>
  <c r="GS415" i="112"/>
  <c r="GS411" i="112"/>
  <c r="GS394" i="112"/>
  <c r="GS389" i="112"/>
  <c r="GS372" i="112"/>
  <c r="GS459" i="112"/>
  <c r="GS437" i="112"/>
  <c r="GS430" i="112"/>
  <c r="GS449" i="112"/>
  <c r="GS398" i="112"/>
  <c r="GS396" i="112"/>
  <c r="GS392" i="112"/>
  <c r="GS347" i="112"/>
  <c r="GS333" i="112"/>
  <c r="GS346" i="112"/>
  <c r="GS338" i="112"/>
  <c r="GS461" i="112"/>
  <c r="GS445" i="112"/>
  <c r="GS427" i="112"/>
  <c r="GS413" i="112"/>
  <c r="GS409" i="112"/>
  <c r="GS399" i="112"/>
  <c r="GS397" i="112"/>
  <c r="GS363" i="112"/>
  <c r="GS361" i="112"/>
  <c r="GS356" i="112"/>
  <c r="GS343" i="112"/>
  <c r="GS435" i="112"/>
  <c r="GS416" i="112"/>
  <c r="GS405" i="112"/>
  <c r="GS401" i="112"/>
  <c r="GS395" i="112"/>
  <c r="GS391" i="112"/>
  <c r="GS383" i="112"/>
  <c r="GS381" i="112"/>
  <c r="GS379" i="112"/>
  <c r="GS370" i="112"/>
  <c r="GS354" i="112"/>
  <c r="GS352" i="112"/>
  <c r="GS340" i="112"/>
  <c r="GS432" i="112"/>
  <c r="GS408" i="112"/>
  <c r="GS377" i="112"/>
  <c r="GS375" i="112"/>
  <c r="GS371" i="112"/>
  <c r="GS365" i="112"/>
  <c r="GS358" i="112"/>
  <c r="GS345" i="112"/>
  <c r="GN309" i="112"/>
  <c r="GK310" i="112"/>
  <c r="GS310" i="112"/>
  <c r="GM312" i="112"/>
  <c r="GI313" i="112"/>
  <c r="GR313" i="112"/>
  <c r="GN314" i="112"/>
  <c r="GQ315" i="112"/>
  <c r="GK316" i="112"/>
  <c r="GS316" i="112"/>
  <c r="GP317" i="112"/>
  <c r="GK318" i="112"/>
  <c r="GS318" i="112"/>
  <c r="GP319" i="112"/>
  <c r="GL320" i="112"/>
  <c r="GO325" i="112"/>
  <c r="GL326" i="112"/>
  <c r="GO327" i="112"/>
  <c r="GK328" i="112"/>
  <c r="GS328" i="112"/>
  <c r="GO329" i="112"/>
  <c r="GL330" i="112"/>
  <c r="GR331" i="112"/>
  <c r="GN332" i="112"/>
  <c r="GP333" i="112"/>
  <c r="GQ334" i="112"/>
  <c r="GP335" i="112"/>
  <c r="GQ336" i="112"/>
  <c r="GN337" i="112"/>
  <c r="GS341" i="112"/>
  <c r="GS342" i="112"/>
  <c r="GI347" i="112"/>
  <c r="GN352" i="112"/>
  <c r="GM353" i="112"/>
  <c r="GO354" i="112"/>
  <c r="GR355" i="112"/>
  <c r="GP356" i="112"/>
  <c r="GG362" i="112"/>
  <c r="GO365" i="112"/>
  <c r="GQ370" i="112"/>
  <c r="GR373" i="112"/>
  <c r="GQ378" i="112"/>
  <c r="GO385" i="112"/>
  <c r="GJ387" i="112"/>
  <c r="GR392" i="112"/>
  <c r="GQ394" i="112"/>
  <c r="GG396" i="112"/>
  <c r="GO401" i="112"/>
  <c r="GM403" i="112"/>
  <c r="GK405" i="112"/>
  <c r="GK418" i="112"/>
  <c r="GM432" i="112"/>
  <c r="GQ478" i="112"/>
  <c r="GS307" i="112"/>
  <c r="GL307" i="112"/>
  <c r="GL479" i="112"/>
  <c r="GL476" i="112"/>
  <c r="GL496" i="112"/>
  <c r="GL485" i="112"/>
  <c r="GL480" i="112"/>
  <c r="GL493" i="112"/>
  <c r="GL487" i="112"/>
  <c r="GL482" i="112"/>
  <c r="GL495" i="112"/>
  <c r="GL497" i="112"/>
  <c r="GL484" i="112"/>
  <c r="GL475" i="112"/>
  <c r="GL468" i="112"/>
  <c r="GL458" i="112"/>
  <c r="GL452" i="112"/>
  <c r="GL450" i="112"/>
  <c r="GL448" i="112"/>
  <c r="GL488" i="112"/>
  <c r="GL465" i="112"/>
  <c r="GL460" i="112"/>
  <c r="GL483" i="112"/>
  <c r="GL477" i="112"/>
  <c r="GL457" i="112"/>
  <c r="GL454" i="112"/>
  <c r="GL453" i="112"/>
  <c r="GL449" i="112"/>
  <c r="GL467" i="112"/>
  <c r="GL461" i="112"/>
  <c r="GL455" i="112"/>
  <c r="GL451" i="112"/>
  <c r="GL443" i="112"/>
  <c r="GL441" i="112"/>
  <c r="GL438" i="112"/>
  <c r="GL469" i="112"/>
  <c r="GL463" i="112"/>
  <c r="GL459" i="112"/>
  <c r="GL445" i="112"/>
  <c r="GL462" i="112"/>
  <c r="GL440" i="112"/>
  <c r="GL435" i="112"/>
  <c r="GL428" i="112"/>
  <c r="GL447" i="112"/>
  <c r="GL419" i="112"/>
  <c r="GL464" i="112"/>
  <c r="GL436" i="112"/>
  <c r="GL433" i="112"/>
  <c r="GL430" i="112"/>
  <c r="GL421" i="112"/>
  <c r="GL414" i="112"/>
  <c r="GL412" i="112"/>
  <c r="GL387" i="112"/>
  <c r="GL385" i="112"/>
  <c r="GL380" i="112"/>
  <c r="GL481" i="112"/>
  <c r="GL418" i="112"/>
  <c r="GL407" i="112"/>
  <c r="GL405" i="112"/>
  <c r="GL397" i="112"/>
  <c r="GL395" i="112"/>
  <c r="GL392" i="112"/>
  <c r="GL390" i="112"/>
  <c r="GL373" i="112"/>
  <c r="GL456" i="112"/>
  <c r="GL434" i="112"/>
  <c r="GL404" i="112"/>
  <c r="GL396" i="112"/>
  <c r="GL384" i="112"/>
  <c r="GL379" i="112"/>
  <c r="GL377" i="112"/>
  <c r="GL370" i="112"/>
  <c r="GL466" i="112"/>
  <c r="GL420" i="112"/>
  <c r="GL416" i="112"/>
  <c r="GL486" i="112"/>
  <c r="GL478" i="112"/>
  <c r="GL470" i="112"/>
  <c r="GL432" i="112"/>
  <c r="GL399" i="112"/>
  <c r="GL362" i="112"/>
  <c r="GL355" i="112"/>
  <c r="GL353" i="112"/>
  <c r="GL344" i="112"/>
  <c r="GL339" i="112"/>
  <c r="GL336" i="112"/>
  <c r="GL444" i="112"/>
  <c r="GL442" i="112"/>
  <c r="GL429" i="112"/>
  <c r="GL408" i="112"/>
  <c r="GL446" i="112"/>
  <c r="GL371" i="112"/>
  <c r="GL363" i="112"/>
  <c r="GL361" i="112"/>
  <c r="GL356" i="112"/>
  <c r="GL343" i="112"/>
  <c r="GL426" i="112"/>
  <c r="GL415" i="112"/>
  <c r="GL411" i="112"/>
  <c r="GL398" i="112"/>
  <c r="GL372" i="112"/>
  <c r="GL354" i="112"/>
  <c r="GL352" i="112"/>
  <c r="GL494" i="112"/>
  <c r="GL406" i="112"/>
  <c r="GL402" i="112"/>
  <c r="GL400" i="112"/>
  <c r="GL394" i="112"/>
  <c r="GL388" i="112"/>
  <c r="GL386" i="112"/>
  <c r="GL382" i="112"/>
  <c r="GL365" i="112"/>
  <c r="GL358" i="112"/>
  <c r="GL345" i="112"/>
  <c r="GL335" i="112"/>
  <c r="GL439" i="112"/>
  <c r="GL437" i="112"/>
  <c r="GL431" i="112"/>
  <c r="GL427" i="112"/>
  <c r="GL410" i="112"/>
  <c r="GL378" i="112"/>
  <c r="GL376" i="112"/>
  <c r="GL360" i="112"/>
  <c r="GL342" i="112"/>
  <c r="GL337" i="112"/>
  <c r="GO309" i="112"/>
  <c r="GL310" i="112"/>
  <c r="GQ311" i="112"/>
  <c r="GN312" i="112"/>
  <c r="GK313" i="112"/>
  <c r="GS313" i="112"/>
  <c r="GO314" i="112"/>
  <c r="GR315" i="112"/>
  <c r="GL316" i="112"/>
  <c r="GQ317" i="112"/>
  <c r="GL318" i="112"/>
  <c r="GQ319" i="112"/>
  <c r="GM320" i="112"/>
  <c r="GP325" i="112"/>
  <c r="GM326" i="112"/>
  <c r="GP327" i="112"/>
  <c r="GL328" i="112"/>
  <c r="GP329" i="112"/>
  <c r="GM330" i="112"/>
  <c r="GK331" i="112"/>
  <c r="GS331" i="112"/>
  <c r="GP332" i="112"/>
  <c r="GQ333" i="112"/>
  <c r="GS334" i="112"/>
  <c r="GR335" i="112"/>
  <c r="GR336" i="112"/>
  <c r="GP337" i="112"/>
  <c r="GL338" i="112"/>
  <c r="GL346" i="112"/>
  <c r="GL347" i="112"/>
  <c r="GO352" i="112"/>
  <c r="GR353" i="112"/>
  <c r="GQ354" i="112"/>
  <c r="GS355" i="112"/>
  <c r="GK362" i="112"/>
  <c r="GN364" i="112"/>
  <c r="GP365" i="112"/>
  <c r="GS373" i="112"/>
  <c r="GL375" i="112"/>
  <c r="GQ380" i="112"/>
  <c r="GN387" i="112"/>
  <c r="GL389" i="112"/>
  <c r="GK391" i="112"/>
  <c r="GR394" i="112"/>
  <c r="GQ396" i="112"/>
  <c r="GP403" i="112"/>
  <c r="GN405" i="112"/>
  <c r="GN407" i="112"/>
  <c r="GR412" i="112"/>
  <c r="GO419" i="112"/>
  <c r="GS433" i="112"/>
  <c r="GM307" i="112"/>
  <c r="GM494" i="112"/>
  <c r="GM488" i="112"/>
  <c r="GM486" i="112"/>
  <c r="GM481" i="112"/>
  <c r="GM493" i="112"/>
  <c r="GM487" i="112"/>
  <c r="GM482" i="112"/>
  <c r="GM495" i="112"/>
  <c r="GM497" i="112"/>
  <c r="GM484" i="112"/>
  <c r="GM485" i="112"/>
  <c r="GM476" i="112"/>
  <c r="GM465" i="112"/>
  <c r="GM460" i="112"/>
  <c r="GM483" i="112"/>
  <c r="GM477" i="112"/>
  <c r="GM457" i="112"/>
  <c r="GM454" i="112"/>
  <c r="GM478" i="112"/>
  <c r="GM470" i="112"/>
  <c r="GM467" i="112"/>
  <c r="GM462" i="112"/>
  <c r="GM449" i="112"/>
  <c r="GM461" i="112"/>
  <c r="GM455" i="112"/>
  <c r="GM451" i="112"/>
  <c r="GM443" i="112"/>
  <c r="GM441" i="112"/>
  <c r="GM469" i="112"/>
  <c r="GM463" i="112"/>
  <c r="GM459" i="112"/>
  <c r="GM445" i="112"/>
  <c r="GM447" i="112"/>
  <c r="GM496" i="112"/>
  <c r="GM480" i="112"/>
  <c r="GM464" i="112"/>
  <c r="GM436" i="112"/>
  <c r="GM433" i="112"/>
  <c r="GM430" i="112"/>
  <c r="GM421" i="112"/>
  <c r="GM466" i="112"/>
  <c r="GM452" i="112"/>
  <c r="GM450" i="112"/>
  <c r="GM448" i="112"/>
  <c r="GM437" i="112"/>
  <c r="GM418" i="112"/>
  <c r="GM407" i="112"/>
  <c r="GM405" i="112"/>
  <c r="GM397" i="112"/>
  <c r="GM395" i="112"/>
  <c r="GM392" i="112"/>
  <c r="GM390" i="112"/>
  <c r="GM479" i="112"/>
  <c r="GM453" i="112"/>
  <c r="GM417" i="112"/>
  <c r="GM413" i="112"/>
  <c r="GM409" i="112"/>
  <c r="GM402" i="112"/>
  <c r="GM399" i="112"/>
  <c r="GM382" i="112"/>
  <c r="GM375" i="112"/>
  <c r="GM468" i="112"/>
  <c r="GM458" i="112"/>
  <c r="GM420" i="112"/>
  <c r="GM419" i="112"/>
  <c r="GM416" i="112"/>
  <c r="GM406" i="112"/>
  <c r="GM401" i="112"/>
  <c r="GM398" i="112"/>
  <c r="GM391" i="112"/>
  <c r="GM386" i="112"/>
  <c r="GM381" i="112"/>
  <c r="GM374" i="112"/>
  <c r="GM444" i="112"/>
  <c r="GM442" i="112"/>
  <c r="GM440" i="112"/>
  <c r="GM429" i="112"/>
  <c r="GM408" i="112"/>
  <c r="GM456" i="112"/>
  <c r="GM389" i="112"/>
  <c r="GM387" i="112"/>
  <c r="GM383" i="112"/>
  <c r="GM364" i="112"/>
  <c r="GM359" i="112"/>
  <c r="GM357" i="112"/>
  <c r="GM341" i="112"/>
  <c r="GM446" i="112"/>
  <c r="GM438" i="112"/>
  <c r="GM412" i="112"/>
  <c r="GM426" i="112"/>
  <c r="GM415" i="112"/>
  <c r="GM411" i="112"/>
  <c r="GM372" i="112"/>
  <c r="GM354" i="112"/>
  <c r="GM352" i="112"/>
  <c r="GM340" i="112"/>
  <c r="GM434" i="112"/>
  <c r="GM400" i="112"/>
  <c r="GM396" i="112"/>
  <c r="GM394" i="112"/>
  <c r="GM388" i="112"/>
  <c r="GM365" i="112"/>
  <c r="GM358" i="112"/>
  <c r="GM345" i="112"/>
  <c r="GM475" i="112"/>
  <c r="GM439" i="112"/>
  <c r="GM431" i="112"/>
  <c r="GM427" i="112"/>
  <c r="GM410" i="112"/>
  <c r="GM404" i="112"/>
  <c r="GM384" i="112"/>
  <c r="GM380" i="112"/>
  <c r="GM378" i="112"/>
  <c r="GM376" i="112"/>
  <c r="GM360" i="112"/>
  <c r="GM342" i="112"/>
  <c r="GM337" i="112"/>
  <c r="GM414" i="112"/>
  <c r="GM373" i="112"/>
  <c r="GM347" i="112"/>
  <c r="GM310" i="112"/>
  <c r="GR311" i="112"/>
  <c r="GO312" i="112"/>
  <c r="GK315" i="112"/>
  <c r="GS315" i="112"/>
  <c r="GM316" i="112"/>
  <c r="GG317" i="112"/>
  <c r="GR317" i="112"/>
  <c r="GM318" i="112"/>
  <c r="GG319" i="112"/>
  <c r="GR319" i="112"/>
  <c r="GN320" i="112"/>
  <c r="GQ325" i="112"/>
  <c r="GN326" i="112"/>
  <c r="GQ327" i="112"/>
  <c r="GM328" i="112"/>
  <c r="GQ329" i="112"/>
  <c r="GN330" i="112"/>
  <c r="GL331" i="112"/>
  <c r="GQ332" i="112"/>
  <c r="GR333" i="112"/>
  <c r="GS335" i="112"/>
  <c r="GS336" i="112"/>
  <c r="GQ337" i="112"/>
  <c r="GM338" i="112"/>
  <c r="GK339" i="112"/>
  <c r="GI345" i="112"/>
  <c r="GM346" i="112"/>
  <c r="GQ347" i="112"/>
  <c r="GQ352" i="112"/>
  <c r="GS353" i="112"/>
  <c r="GM361" i="112"/>
  <c r="GM362" i="112"/>
  <c r="GS364" i="112"/>
  <c r="GR365" i="112"/>
  <c r="GO372" i="112"/>
  <c r="GO375" i="112"/>
  <c r="GM377" i="112"/>
  <c r="GR380" i="112"/>
  <c r="GQ382" i="112"/>
  <c r="GP389" i="112"/>
  <c r="GL391" i="112"/>
  <c r="GL393" i="112"/>
  <c r="GR396" i="112"/>
  <c r="GO398" i="112"/>
  <c r="GO407" i="112"/>
  <c r="GL413" i="112"/>
  <c r="GQ420" i="112"/>
  <c r="GM435" i="112"/>
  <c r="GF442" i="112"/>
  <c r="GF399" i="112"/>
  <c r="GN307" i="112"/>
  <c r="GN483" i="112"/>
  <c r="GN478" i="112"/>
  <c r="GN475" i="112"/>
  <c r="GN493" i="112"/>
  <c r="GN487" i="112"/>
  <c r="GN482" i="112"/>
  <c r="GN495" i="112"/>
  <c r="GN477" i="112"/>
  <c r="GN497" i="112"/>
  <c r="GN484" i="112"/>
  <c r="GN494" i="112"/>
  <c r="GN488" i="112"/>
  <c r="GN486" i="112"/>
  <c r="GN481" i="112"/>
  <c r="GN457" i="112"/>
  <c r="GN454" i="112"/>
  <c r="GN470" i="112"/>
  <c r="GN467" i="112"/>
  <c r="GN462" i="112"/>
  <c r="GN449" i="112"/>
  <c r="GN469" i="112"/>
  <c r="GN463" i="112"/>
  <c r="GN459" i="112"/>
  <c r="GN445" i="112"/>
  <c r="GN476" i="112"/>
  <c r="GN465" i="112"/>
  <c r="GN447" i="112"/>
  <c r="GN485" i="112"/>
  <c r="GN440" i="112"/>
  <c r="GN435" i="112"/>
  <c r="GN480" i="112"/>
  <c r="GN464" i="112"/>
  <c r="GN436" i="112"/>
  <c r="GN433" i="112"/>
  <c r="GN430" i="112"/>
  <c r="GN466" i="112"/>
  <c r="GN452" i="112"/>
  <c r="GN450" i="112"/>
  <c r="GN448" i="112"/>
  <c r="GN437" i="112"/>
  <c r="GN418" i="112"/>
  <c r="GN453" i="112"/>
  <c r="GN451" i="112"/>
  <c r="GN443" i="112"/>
  <c r="GN479" i="112"/>
  <c r="GN455" i="112"/>
  <c r="GN417" i="112"/>
  <c r="GN413" i="112"/>
  <c r="GN409" i="112"/>
  <c r="GN402" i="112"/>
  <c r="GN399" i="112"/>
  <c r="GN382" i="112"/>
  <c r="GN375" i="112"/>
  <c r="GN432" i="112"/>
  <c r="GN428" i="112"/>
  <c r="GN426" i="112"/>
  <c r="GN415" i="112"/>
  <c r="GN411" i="112"/>
  <c r="GN394" i="112"/>
  <c r="GN389" i="112"/>
  <c r="GN372" i="112"/>
  <c r="GN444" i="112"/>
  <c r="GN442" i="112"/>
  <c r="GN441" i="112"/>
  <c r="GN429" i="112"/>
  <c r="GN408" i="112"/>
  <c r="GN388" i="112"/>
  <c r="GN383" i="112"/>
  <c r="GN376" i="112"/>
  <c r="GN496" i="112"/>
  <c r="GN461" i="112"/>
  <c r="GN446" i="112"/>
  <c r="GN439" i="112"/>
  <c r="GN438" i="112"/>
  <c r="GN431" i="112"/>
  <c r="GN427" i="112"/>
  <c r="GN410" i="112"/>
  <c r="GN420" i="112"/>
  <c r="GN419" i="112"/>
  <c r="GN416" i="112"/>
  <c r="GN403" i="112"/>
  <c r="GN401" i="112"/>
  <c r="GN397" i="112"/>
  <c r="GN393" i="112"/>
  <c r="GN391" i="112"/>
  <c r="GN385" i="112"/>
  <c r="GN381" i="112"/>
  <c r="GN379" i="112"/>
  <c r="GN346" i="112"/>
  <c r="GN338" i="112"/>
  <c r="GN421" i="112"/>
  <c r="GN412" i="112"/>
  <c r="GN434" i="112"/>
  <c r="GN400" i="112"/>
  <c r="GN398" i="112"/>
  <c r="GN396" i="112"/>
  <c r="GN365" i="112"/>
  <c r="GN358" i="112"/>
  <c r="GN345" i="112"/>
  <c r="GN468" i="112"/>
  <c r="GN458" i="112"/>
  <c r="GN406" i="112"/>
  <c r="GN404" i="112"/>
  <c r="GN392" i="112"/>
  <c r="GN386" i="112"/>
  <c r="GN384" i="112"/>
  <c r="GN380" i="112"/>
  <c r="GN378" i="112"/>
  <c r="GN360" i="112"/>
  <c r="GN342" i="112"/>
  <c r="GN414" i="112"/>
  <c r="GN390" i="112"/>
  <c r="GN373" i="112"/>
  <c r="GN347" i="112"/>
  <c r="GN333" i="112"/>
  <c r="GN374" i="112"/>
  <c r="GN362" i="112"/>
  <c r="GN355" i="112"/>
  <c r="GN353" i="112"/>
  <c r="GN344" i="112"/>
  <c r="GN339" i="112"/>
  <c r="GN310" i="112"/>
  <c r="GN316" i="112"/>
  <c r="GN318" i="112"/>
  <c r="GO320" i="112"/>
  <c r="GO326" i="112"/>
  <c r="GG327" i="112"/>
  <c r="GN328" i="112"/>
  <c r="GO330" i="112"/>
  <c r="GG333" i="112"/>
  <c r="GG336" i="112"/>
  <c r="GO338" i="112"/>
  <c r="GO345" i="112"/>
  <c r="GO346" i="112"/>
  <c r="GN361" i="112"/>
  <c r="GG374" i="112"/>
  <c r="GQ375" i="112"/>
  <c r="GN377" i="112"/>
  <c r="GR421" i="112"/>
  <c r="GN456" i="112"/>
  <c r="GG307" i="112"/>
  <c r="GG488" i="112"/>
  <c r="GG481" i="112"/>
  <c r="GG478" i="112"/>
  <c r="GG482" i="112"/>
  <c r="GG446" i="112"/>
  <c r="GG453" i="112"/>
  <c r="GG449" i="112"/>
  <c r="GG460" i="112"/>
  <c r="GG442" i="112"/>
  <c r="GG435" i="112"/>
  <c r="GG428" i="112"/>
  <c r="GG376" i="112"/>
  <c r="GG410" i="112"/>
  <c r="GG403" i="112"/>
  <c r="GG371" i="112"/>
  <c r="GG417" i="112"/>
  <c r="GG443" i="112"/>
  <c r="GG360" i="112"/>
  <c r="GG342" i="112"/>
  <c r="GG452" i="112"/>
  <c r="GG413" i="112"/>
  <c r="GG416" i="112"/>
  <c r="GG391" i="112"/>
  <c r="GG353" i="112"/>
  <c r="GG407" i="112"/>
  <c r="GG370" i="112"/>
  <c r="GG445" i="112"/>
  <c r="GG334" i="112"/>
  <c r="GG356" i="112"/>
  <c r="GG354" i="112"/>
  <c r="GO307" i="112"/>
  <c r="GO496" i="112"/>
  <c r="GO485" i="112"/>
  <c r="GO495" i="112"/>
  <c r="GO497" i="112"/>
  <c r="GO484" i="112"/>
  <c r="GO494" i="112"/>
  <c r="GO488" i="112"/>
  <c r="GO486" i="112"/>
  <c r="GO481" i="112"/>
  <c r="GO483" i="112"/>
  <c r="GO477" i="112"/>
  <c r="GO470" i="112"/>
  <c r="GO467" i="112"/>
  <c r="GO462" i="112"/>
  <c r="GO449" i="112"/>
  <c r="GO478" i="112"/>
  <c r="GO469" i="112"/>
  <c r="GO464" i="112"/>
  <c r="GO461" i="112"/>
  <c r="GO459" i="112"/>
  <c r="GO456" i="112"/>
  <c r="GO453" i="112"/>
  <c r="GO451" i="112"/>
  <c r="GO476" i="112"/>
  <c r="GO465" i="112"/>
  <c r="GO457" i="112"/>
  <c r="GO447" i="112"/>
  <c r="GO440" i="112"/>
  <c r="GO435" i="112"/>
  <c r="GO475" i="112"/>
  <c r="GO452" i="112"/>
  <c r="GO444" i="112"/>
  <c r="GO442" i="112"/>
  <c r="GO437" i="112"/>
  <c r="GO466" i="112"/>
  <c r="GO463" i="112"/>
  <c r="GO450" i="112"/>
  <c r="GO448" i="112"/>
  <c r="GO487" i="112"/>
  <c r="GO445" i="112"/>
  <c r="GO443" i="112"/>
  <c r="GO482" i="112"/>
  <c r="GO468" i="112"/>
  <c r="GO454" i="112"/>
  <c r="GO441" i="112"/>
  <c r="GO438" i="112"/>
  <c r="GO432" i="112"/>
  <c r="GO429" i="112"/>
  <c r="GO427" i="112"/>
  <c r="GO420" i="112"/>
  <c r="GO493" i="112"/>
  <c r="GO436" i="112"/>
  <c r="GO428" i="112"/>
  <c r="GO426" i="112"/>
  <c r="GO418" i="112"/>
  <c r="GO415" i="112"/>
  <c r="GO411" i="112"/>
  <c r="GO394" i="112"/>
  <c r="GO389" i="112"/>
  <c r="GO460" i="112"/>
  <c r="GO434" i="112"/>
  <c r="GO430" i="112"/>
  <c r="GO404" i="112"/>
  <c r="GO396" i="112"/>
  <c r="GO384" i="112"/>
  <c r="GO379" i="112"/>
  <c r="GO377" i="112"/>
  <c r="GO370" i="112"/>
  <c r="GO480" i="112"/>
  <c r="GO446" i="112"/>
  <c r="GO439" i="112"/>
  <c r="GO431" i="112"/>
  <c r="GO410" i="112"/>
  <c r="GO403" i="112"/>
  <c r="GO400" i="112"/>
  <c r="GO393" i="112"/>
  <c r="GO378" i="112"/>
  <c r="GO371" i="112"/>
  <c r="GO421" i="112"/>
  <c r="GO414" i="112"/>
  <c r="GO412" i="112"/>
  <c r="GO408" i="112"/>
  <c r="GO405" i="112"/>
  <c r="GO395" i="112"/>
  <c r="GO363" i="112"/>
  <c r="GO361" i="112"/>
  <c r="GO356" i="112"/>
  <c r="GO343" i="112"/>
  <c r="GO334" i="112"/>
  <c r="GO332" i="112"/>
  <c r="GO433" i="112"/>
  <c r="GO455" i="112"/>
  <c r="GO458" i="112"/>
  <c r="GO406" i="112"/>
  <c r="GO392" i="112"/>
  <c r="GO388" i="112"/>
  <c r="GO386" i="112"/>
  <c r="GO380" i="112"/>
  <c r="GO360" i="112"/>
  <c r="GO342" i="112"/>
  <c r="GO337" i="112"/>
  <c r="GO402" i="112"/>
  <c r="GO390" i="112"/>
  <c r="GO382" i="112"/>
  <c r="GO376" i="112"/>
  <c r="GO373" i="112"/>
  <c r="GO347" i="112"/>
  <c r="GO374" i="112"/>
  <c r="GO362" i="112"/>
  <c r="GO355" i="112"/>
  <c r="GO353" i="112"/>
  <c r="GO344" i="112"/>
  <c r="GO339" i="112"/>
  <c r="GO336" i="112"/>
  <c r="GO479" i="112"/>
  <c r="GO417" i="112"/>
  <c r="GO413" i="112"/>
  <c r="GO409" i="112"/>
  <c r="GO387" i="112"/>
  <c r="GO364" i="112"/>
  <c r="GO359" i="112"/>
  <c r="GO357" i="112"/>
  <c r="GO341" i="112"/>
  <c r="GO310" i="112"/>
  <c r="GN313" i="112"/>
  <c r="GO316" i="112"/>
  <c r="GO318" i="112"/>
  <c r="GO328" i="112"/>
  <c r="GN331" i="112"/>
  <c r="GI333" i="112"/>
  <c r="GI374" i="112"/>
  <c r="GN395" i="112"/>
  <c r="GQ400" i="112"/>
  <c r="GQ402" i="112"/>
  <c r="GN460" i="112"/>
  <c r="GJ307" i="112"/>
  <c r="GJ308" i="112"/>
  <c r="GH483" i="112"/>
  <c r="GH359" i="112"/>
  <c r="GP308" i="112"/>
  <c r="GP480" i="112"/>
  <c r="GP497" i="112"/>
  <c r="GP484" i="112"/>
  <c r="GP479" i="112"/>
  <c r="GP494" i="112"/>
  <c r="GP488" i="112"/>
  <c r="GP486" i="112"/>
  <c r="GP481" i="112"/>
  <c r="GP483" i="112"/>
  <c r="GP496" i="112"/>
  <c r="GP485" i="112"/>
  <c r="GP478" i="112"/>
  <c r="GP469" i="112"/>
  <c r="GP464" i="112"/>
  <c r="GP461" i="112"/>
  <c r="GP459" i="112"/>
  <c r="GP456" i="112"/>
  <c r="GP453" i="112"/>
  <c r="GP451" i="112"/>
  <c r="GP495" i="112"/>
  <c r="GP466" i="112"/>
  <c r="GP467" i="112"/>
  <c r="GP475" i="112"/>
  <c r="GP452" i="112"/>
  <c r="GP444" i="112"/>
  <c r="GP442" i="112"/>
  <c r="GP437" i="112"/>
  <c r="GP482" i="112"/>
  <c r="GP454" i="112"/>
  <c r="GP450" i="112"/>
  <c r="GP446" i="112"/>
  <c r="GP487" i="112"/>
  <c r="GP447" i="112"/>
  <c r="GP445" i="112"/>
  <c r="GP443" i="112"/>
  <c r="GP468" i="112"/>
  <c r="GP465" i="112"/>
  <c r="GP449" i="112"/>
  <c r="GP441" i="112"/>
  <c r="GP438" i="112"/>
  <c r="GP432" i="112"/>
  <c r="GP429" i="112"/>
  <c r="GP427" i="112"/>
  <c r="GP420" i="112"/>
  <c r="GP477" i="112"/>
  <c r="GP455" i="112"/>
  <c r="GP462" i="112"/>
  <c r="GP460" i="112"/>
  <c r="GP434" i="112"/>
  <c r="GP430" i="112"/>
  <c r="GP404" i="112"/>
  <c r="GP396" i="112"/>
  <c r="GP384" i="112"/>
  <c r="GP379" i="112"/>
  <c r="GP377" i="112"/>
  <c r="GP458" i="112"/>
  <c r="GP448" i="112"/>
  <c r="GP435" i="112"/>
  <c r="GP419" i="112"/>
  <c r="GP416" i="112"/>
  <c r="GP406" i="112"/>
  <c r="GP401" i="112"/>
  <c r="GP398" i="112"/>
  <c r="GP391" i="112"/>
  <c r="GP386" i="112"/>
  <c r="GP381" i="112"/>
  <c r="GP374" i="112"/>
  <c r="GP440" i="112"/>
  <c r="GP421" i="112"/>
  <c r="GP414" i="112"/>
  <c r="GP412" i="112"/>
  <c r="GP387" i="112"/>
  <c r="GP385" i="112"/>
  <c r="GP380" i="112"/>
  <c r="GP433" i="112"/>
  <c r="GP407" i="112"/>
  <c r="GP463" i="112"/>
  <c r="GP375" i="112"/>
  <c r="GP371" i="112"/>
  <c r="GP370" i="112"/>
  <c r="GP354" i="112"/>
  <c r="GP352" i="112"/>
  <c r="GP340" i="112"/>
  <c r="GP436" i="112"/>
  <c r="GP426" i="112"/>
  <c r="GP415" i="112"/>
  <c r="GP411" i="112"/>
  <c r="GP402" i="112"/>
  <c r="GP394" i="112"/>
  <c r="GP390" i="112"/>
  <c r="GP382" i="112"/>
  <c r="GP378" i="112"/>
  <c r="GP376" i="112"/>
  <c r="GP373" i="112"/>
  <c r="GP347" i="112"/>
  <c r="GP476" i="112"/>
  <c r="GP439" i="112"/>
  <c r="GP431" i="112"/>
  <c r="GP410" i="112"/>
  <c r="GP362" i="112"/>
  <c r="GP355" i="112"/>
  <c r="GP353" i="112"/>
  <c r="GP344" i="112"/>
  <c r="GP417" i="112"/>
  <c r="GP413" i="112"/>
  <c r="GP409" i="112"/>
  <c r="GP364" i="112"/>
  <c r="GP359" i="112"/>
  <c r="GP357" i="112"/>
  <c r="GP341" i="112"/>
  <c r="GP493" i="112"/>
  <c r="GP457" i="112"/>
  <c r="GP428" i="112"/>
  <c r="GP418" i="112"/>
  <c r="GP399" i="112"/>
  <c r="GP397" i="112"/>
  <c r="GP383" i="112"/>
  <c r="GP346" i="112"/>
  <c r="GP338" i="112"/>
  <c r="GK309" i="112"/>
  <c r="GS309" i="112"/>
  <c r="GP310" i="112"/>
  <c r="GM311" i="112"/>
  <c r="GJ312" i="112"/>
  <c r="GR312" i="112"/>
  <c r="GO313" i="112"/>
  <c r="GK314" i="112"/>
  <c r="GS314" i="112"/>
  <c r="GN315" i="112"/>
  <c r="GP316" i="112"/>
  <c r="GM317" i="112"/>
  <c r="GP318" i="112"/>
  <c r="GM319" i="112"/>
  <c r="GQ320" i="112"/>
  <c r="GL325" i="112"/>
  <c r="GQ326" i="112"/>
  <c r="GL327" i="112"/>
  <c r="GP328" i="112"/>
  <c r="GL329" i="112"/>
  <c r="GQ330" i="112"/>
  <c r="GO331" i="112"/>
  <c r="GK332" i="112"/>
  <c r="GL333" i="112"/>
  <c r="GM334" i="112"/>
  <c r="GM335" i="112"/>
  <c r="GM336" i="112"/>
  <c r="GR339" i="112"/>
  <c r="GN340" i="112"/>
  <c r="GK341" i="112"/>
  <c r="GK342" i="112"/>
  <c r="GN343" i="112"/>
  <c r="GR344" i="112"/>
  <c r="GR345" i="112"/>
  <c r="GL357" i="112"/>
  <c r="GO358" i="112"/>
  <c r="GN359" i="112"/>
  <c r="GQ360" i="112"/>
  <c r="GN371" i="112"/>
  <c r="GL374" i="112"/>
  <c r="GQ379" i="112"/>
  <c r="GL381" i="112"/>
  <c r="GK383" i="112"/>
  <c r="GS386" i="112"/>
  <c r="GP388" i="112"/>
  <c r="GP395" i="112"/>
  <c r="GK397" i="112"/>
  <c r="GS402" i="112"/>
  <c r="GR404" i="112"/>
  <c r="GG406" i="112"/>
  <c r="GL409" i="112"/>
  <c r="GM428" i="112"/>
  <c r="GR440" i="112"/>
  <c r="GF307" i="112"/>
  <c r="GF363" i="112"/>
  <c r="GF496" i="112"/>
  <c r="GF361" i="112"/>
  <c r="GF374" i="112"/>
  <c r="GF426" i="112"/>
  <c r="GF383" i="112"/>
  <c r="GE333" i="112"/>
  <c r="GF319" i="112"/>
  <c r="GF356" i="112"/>
  <c r="GF392" i="112"/>
  <c r="GF434" i="112"/>
  <c r="GF336" i="112"/>
  <c r="GF376" i="112"/>
  <c r="GF381" i="112"/>
  <c r="GI308" i="112"/>
  <c r="GI496" i="112"/>
  <c r="GI482" i="112"/>
  <c r="GI437" i="112"/>
  <c r="GI412" i="112"/>
  <c r="GI402" i="112"/>
  <c r="GI395" i="112"/>
  <c r="GI393" i="112"/>
  <c r="GI385" i="112"/>
  <c r="GI375" i="112"/>
  <c r="GI358" i="112"/>
  <c r="GI354" i="112"/>
  <c r="GI340" i="112"/>
  <c r="GI336" i="112"/>
  <c r="GI331" i="112"/>
  <c r="GI307" i="112"/>
  <c r="GI460" i="112"/>
  <c r="GI451" i="112"/>
  <c r="GI449" i="112"/>
  <c r="GI445" i="112"/>
  <c r="GI442" i="112"/>
  <c r="GI435" i="112"/>
  <c r="GI311" i="112"/>
  <c r="GI330" i="112"/>
  <c r="GI342" i="112"/>
  <c r="GI344" i="112"/>
  <c r="GI355" i="112"/>
  <c r="GH358" i="112"/>
  <c r="GI376" i="112"/>
  <c r="GI391" i="112"/>
  <c r="GF406" i="112"/>
  <c r="GI441" i="112"/>
  <c r="GI463" i="112"/>
  <c r="GF478" i="112"/>
  <c r="GJ462" i="112"/>
  <c r="GJ410" i="112"/>
  <c r="GJ343" i="112"/>
  <c r="GF325" i="112"/>
  <c r="GJ346" i="112"/>
  <c r="GJ358" i="112"/>
  <c r="GI378" i="112"/>
  <c r="GJ441" i="112"/>
  <c r="GI453" i="112"/>
  <c r="GI476" i="112"/>
  <c r="GI484" i="112"/>
  <c r="GJ325" i="112"/>
  <c r="GI352" i="112"/>
  <c r="GF354" i="112"/>
  <c r="GI357" i="112"/>
  <c r="GI360" i="112"/>
  <c r="GI362" i="112"/>
  <c r="GI371" i="112"/>
  <c r="GI373" i="112"/>
  <c r="GJ380" i="112"/>
  <c r="GF397" i="112"/>
  <c r="GI403" i="112"/>
  <c r="GI406" i="112"/>
  <c r="GI419" i="112"/>
  <c r="GI433" i="112"/>
  <c r="GI443" i="112"/>
  <c r="GF458" i="112"/>
  <c r="GF466" i="112"/>
  <c r="GI312" i="112"/>
  <c r="GJ320" i="112"/>
  <c r="GJ331" i="112"/>
  <c r="GF341" i="112"/>
  <c r="GF343" i="112"/>
  <c r="GJ357" i="112"/>
  <c r="GI377" i="112"/>
  <c r="GI384" i="112"/>
  <c r="GI386" i="112"/>
  <c r="GF390" i="112"/>
  <c r="GI397" i="112"/>
  <c r="GI401" i="112"/>
  <c r="GJ403" i="112"/>
  <c r="GF414" i="112"/>
  <c r="GJ417" i="112"/>
  <c r="GI429" i="112"/>
  <c r="GF450" i="112"/>
  <c r="GI458" i="112"/>
  <c r="GI464" i="112"/>
  <c r="GI466" i="112"/>
  <c r="GI470" i="112"/>
  <c r="GF494" i="112"/>
  <c r="GG357" i="112"/>
  <c r="GG380" i="112"/>
  <c r="GG387" i="112"/>
  <c r="GG400" i="112"/>
  <c r="GG467" i="112"/>
  <c r="GG475" i="112"/>
  <c r="GJ383" i="112"/>
  <c r="GJ352" i="112"/>
  <c r="GJ364" i="112"/>
  <c r="GJ382" i="112"/>
  <c r="GJ412" i="112"/>
  <c r="GJ434" i="112"/>
  <c r="GJ458" i="112"/>
  <c r="GJ480" i="112"/>
  <c r="GJ314" i="112"/>
  <c r="GJ360" i="112"/>
  <c r="GJ395" i="112"/>
  <c r="GJ402" i="112"/>
  <c r="GJ483" i="112"/>
  <c r="GJ311" i="112"/>
  <c r="GJ330" i="112"/>
  <c r="GJ338" i="112"/>
  <c r="GJ347" i="112"/>
  <c r="GJ363" i="112"/>
  <c r="GJ378" i="112"/>
  <c r="GJ399" i="112"/>
  <c r="GJ418" i="112"/>
  <c r="GJ430" i="112"/>
  <c r="GJ443" i="112"/>
  <c r="GJ455" i="112"/>
  <c r="GJ467" i="112"/>
  <c r="GJ479" i="112"/>
  <c r="GJ315" i="112"/>
  <c r="GJ372" i="112"/>
  <c r="GJ393" i="112"/>
  <c r="GJ440" i="112"/>
  <c r="GJ327" i="112"/>
  <c r="GJ388" i="112"/>
  <c r="GJ433" i="112"/>
  <c r="GJ326" i="112"/>
  <c r="GJ333" i="112"/>
  <c r="GJ344" i="112"/>
  <c r="GJ359" i="112"/>
  <c r="GJ374" i="112"/>
  <c r="GJ377" i="112"/>
  <c r="GJ398" i="112"/>
  <c r="GJ408" i="112"/>
  <c r="GJ414" i="112"/>
  <c r="GJ452" i="112"/>
  <c r="GJ476" i="112"/>
  <c r="GJ339" i="112"/>
  <c r="GJ379" i="112"/>
  <c r="GJ400" i="112"/>
  <c r="GJ450" i="112"/>
  <c r="GJ468" i="112"/>
  <c r="GJ475" i="112"/>
  <c r="GJ484" i="112"/>
  <c r="GJ487" i="112"/>
  <c r="GJ421" i="112"/>
  <c r="GJ437" i="112"/>
  <c r="GJ447" i="112"/>
  <c r="GJ355" i="112"/>
  <c r="GJ409" i="112"/>
  <c r="GJ493" i="112"/>
  <c r="GJ497" i="112"/>
  <c r="GJ310" i="112"/>
  <c r="GJ337" i="112"/>
  <c r="GJ373" i="112"/>
  <c r="GJ384" i="112"/>
  <c r="GJ394" i="112"/>
  <c r="GJ432" i="112"/>
  <c r="GJ442" i="112"/>
  <c r="GJ446" i="112"/>
  <c r="GJ451" i="112"/>
  <c r="GJ459" i="112"/>
  <c r="GJ460" i="112"/>
  <c r="GJ463" i="112"/>
  <c r="GJ485" i="112"/>
  <c r="GJ488" i="112"/>
  <c r="GJ309" i="112"/>
  <c r="GJ335" i="112"/>
  <c r="GJ342" i="112"/>
  <c r="GJ356" i="112"/>
  <c r="GJ362" i="112"/>
  <c r="GJ371" i="112"/>
  <c r="GJ386" i="112"/>
  <c r="GJ391" i="112"/>
  <c r="GJ392" i="112"/>
  <c r="GJ407" i="112"/>
  <c r="GJ420" i="112"/>
  <c r="GJ428" i="112"/>
  <c r="GJ436" i="112"/>
  <c r="GJ449" i="112"/>
  <c r="GJ457" i="112"/>
  <c r="GJ461" i="112"/>
  <c r="GJ470" i="112"/>
  <c r="GJ477" i="112"/>
  <c r="GJ486" i="112"/>
  <c r="GJ313" i="112"/>
  <c r="GJ318" i="112"/>
  <c r="GJ319" i="112"/>
  <c r="GJ334" i="112"/>
  <c r="GJ354" i="112"/>
  <c r="GJ370" i="112"/>
  <c r="GJ381" i="112"/>
  <c r="GJ390" i="112"/>
  <c r="GJ397" i="112"/>
  <c r="GJ405" i="112"/>
  <c r="GJ411" i="112"/>
  <c r="GJ415" i="112"/>
  <c r="GJ416" i="112"/>
  <c r="GJ427" i="112"/>
  <c r="GJ431" i="112"/>
  <c r="GJ439" i="112"/>
  <c r="GJ445" i="112"/>
  <c r="GJ448" i="112"/>
  <c r="GJ453" i="112"/>
  <c r="GJ469" i="112"/>
  <c r="GJ482" i="112"/>
  <c r="GJ495" i="112"/>
  <c r="GJ496" i="112"/>
  <c r="GJ317" i="112"/>
  <c r="GJ328" i="112"/>
  <c r="GJ329" i="112"/>
  <c r="GJ332" i="112"/>
  <c r="GJ336" i="112"/>
  <c r="GJ340" i="112"/>
  <c r="GJ341" i="112"/>
  <c r="GJ345" i="112"/>
  <c r="GJ353" i="112"/>
  <c r="GJ361" i="112"/>
  <c r="GJ375" i="112"/>
  <c r="GJ376" i="112"/>
  <c r="GJ385" i="112"/>
  <c r="GJ389" i="112"/>
  <c r="GJ396" i="112"/>
  <c r="GJ401" i="112"/>
  <c r="GJ404" i="112"/>
  <c r="GJ406" i="112"/>
  <c r="GJ419" i="112"/>
  <c r="GJ435" i="112"/>
  <c r="GJ444" i="112"/>
  <c r="GJ456" i="112"/>
  <c r="GJ464" i="112"/>
  <c r="GJ481" i="112"/>
  <c r="GJ494" i="112"/>
  <c r="GI309" i="112"/>
  <c r="GI310" i="112"/>
  <c r="GI339" i="112"/>
  <c r="GI370" i="112"/>
  <c r="GI382" i="112"/>
  <c r="GI383" i="112"/>
  <c r="GI389" i="112"/>
  <c r="GI390" i="112"/>
  <c r="GI410" i="112"/>
  <c r="GI427" i="112"/>
  <c r="GI428" i="112"/>
  <c r="GI448" i="112"/>
  <c r="GI456" i="112"/>
  <c r="GI462" i="112"/>
  <c r="GI469" i="112"/>
  <c r="GI479" i="112"/>
  <c r="GI480" i="112"/>
  <c r="GI481" i="112"/>
  <c r="GI493" i="112"/>
  <c r="GI494" i="112"/>
  <c r="GI317" i="112"/>
  <c r="GI318" i="112"/>
  <c r="GI320" i="112"/>
  <c r="GI326" i="112"/>
  <c r="GI327" i="112"/>
  <c r="GI338" i="112"/>
  <c r="GI346" i="112"/>
  <c r="GI365" i="112"/>
  <c r="GI381" i="112"/>
  <c r="GI388" i="112"/>
  <c r="GI400" i="112"/>
  <c r="GI409" i="112"/>
  <c r="GI415" i="112"/>
  <c r="GI417" i="112"/>
  <c r="GI426" i="112"/>
  <c r="GI432" i="112"/>
  <c r="GI439" i="112"/>
  <c r="GI455" i="112"/>
  <c r="GI461" i="112"/>
  <c r="GI468" i="112"/>
  <c r="GI488" i="112"/>
  <c r="GI315" i="112"/>
  <c r="GI316" i="112"/>
  <c r="GI319" i="112"/>
  <c r="GI325" i="112"/>
  <c r="GI332" i="112"/>
  <c r="GI334" i="112"/>
  <c r="GI335" i="112"/>
  <c r="GI337" i="112"/>
  <c r="GI364" i="112"/>
  <c r="GI379" i="112"/>
  <c r="GI380" i="112"/>
  <c r="GI398" i="112"/>
  <c r="GI399" i="112"/>
  <c r="GI404" i="112"/>
  <c r="GI405" i="112"/>
  <c r="GI407" i="112"/>
  <c r="GI408" i="112"/>
  <c r="GI414" i="112"/>
  <c r="GI416" i="112"/>
  <c r="GI421" i="112"/>
  <c r="GI447" i="112"/>
  <c r="GI454" i="112"/>
  <c r="GI467" i="112"/>
  <c r="GI477" i="112"/>
  <c r="GI478" i="112"/>
  <c r="GI486" i="112"/>
  <c r="GI487" i="112"/>
  <c r="GH494" i="112"/>
  <c r="GH388" i="112"/>
  <c r="GH329" i="112"/>
  <c r="GH404" i="112"/>
  <c r="GH389" i="112"/>
  <c r="GH357" i="112"/>
  <c r="GH442" i="112"/>
  <c r="GH443" i="112"/>
  <c r="GH433" i="112"/>
  <c r="GH449" i="112"/>
  <c r="GH450" i="112"/>
  <c r="GH451" i="112"/>
  <c r="GH340" i="112"/>
  <c r="GH432" i="112"/>
  <c r="GH434" i="112"/>
  <c r="GH435" i="112"/>
  <c r="GH459" i="112"/>
  <c r="GH461" i="112"/>
  <c r="GH462" i="112"/>
  <c r="GH319" i="112"/>
  <c r="GH320" i="112"/>
  <c r="GH376" i="112"/>
  <c r="GH377" i="112"/>
  <c r="GH380" i="112"/>
  <c r="GH381" i="112"/>
  <c r="GH382" i="112"/>
  <c r="GH431" i="112"/>
  <c r="GH458" i="112"/>
  <c r="GH460" i="112"/>
  <c r="GH335" i="112"/>
  <c r="GH353" i="112"/>
  <c r="GH421" i="112"/>
  <c r="GH426" i="112"/>
  <c r="GH309" i="112"/>
  <c r="GH354" i="112"/>
  <c r="GH396" i="112"/>
  <c r="GH412" i="112"/>
  <c r="GH418" i="112"/>
  <c r="GH477" i="112"/>
  <c r="GH308" i="112"/>
  <c r="GH487" i="112"/>
  <c r="GH480" i="112"/>
  <c r="GH467" i="112"/>
  <c r="GH457" i="112"/>
  <c r="GH456" i="112"/>
  <c r="GH448" i="112"/>
  <c r="GH447" i="112"/>
  <c r="GH446" i="112"/>
  <c r="GH441" i="112"/>
  <c r="GH430" i="112"/>
  <c r="GH429" i="112"/>
  <c r="GH428" i="112"/>
  <c r="GH407" i="112"/>
  <c r="GH399" i="112"/>
  <c r="GH393" i="112"/>
  <c r="GH386" i="112"/>
  <c r="GH379" i="112"/>
  <c r="GH362" i="112"/>
  <c r="GH356" i="112"/>
  <c r="GH352" i="112"/>
  <c r="GH339" i="112"/>
  <c r="GH334" i="112"/>
  <c r="GH313" i="112"/>
  <c r="GH307" i="112"/>
  <c r="GH485" i="112"/>
  <c r="GH478" i="112"/>
  <c r="GH453" i="112"/>
  <c r="GH383" i="112"/>
  <c r="GH372" i="112"/>
  <c r="GH336" i="112"/>
  <c r="GH325" i="112"/>
  <c r="GH484" i="112"/>
  <c r="GH465" i="112"/>
  <c r="GH464" i="112"/>
  <c r="GH391" i="112"/>
  <c r="GH497" i="112"/>
  <c r="GH496" i="112"/>
  <c r="GH466" i="112"/>
  <c r="GH455" i="112"/>
  <c r="GH445" i="112"/>
  <c r="GH440" i="112"/>
  <c r="GH439" i="112"/>
  <c r="GH438" i="112"/>
  <c r="GH415" i="112"/>
  <c r="GH406" i="112"/>
  <c r="GH392" i="112"/>
  <c r="GH385" i="112"/>
  <c r="GH378" i="112"/>
  <c r="GH373" i="112"/>
  <c r="GH361" i="112"/>
  <c r="GH347" i="112"/>
  <c r="GH346" i="112"/>
  <c r="GH345" i="112"/>
  <c r="GH338" i="112"/>
  <c r="GH333" i="112"/>
  <c r="GH326" i="112"/>
  <c r="GH318" i="112"/>
  <c r="GH312" i="112"/>
  <c r="GH311" i="112"/>
  <c r="GH486" i="112"/>
  <c r="GH479" i="112"/>
  <c r="GH454" i="112"/>
  <c r="GH437" i="112"/>
  <c r="GH427" i="112"/>
  <c r="GH414" i="112"/>
  <c r="GH398" i="112"/>
  <c r="GH384" i="112"/>
  <c r="GH360" i="112"/>
  <c r="GH344" i="112"/>
  <c r="GH337" i="112"/>
  <c r="GH310" i="112"/>
  <c r="GH495" i="112"/>
  <c r="GH463" i="112"/>
  <c r="GH452" i="112"/>
  <c r="GH444" i="112"/>
  <c r="GH436" i="112"/>
  <c r="GH413" i="112"/>
  <c r="GH397" i="112"/>
  <c r="GH363" i="112"/>
  <c r="GH364" i="112"/>
  <c r="GH365" i="112"/>
  <c r="GH370" i="112"/>
  <c r="GH371" i="112"/>
  <c r="GH390" i="112"/>
  <c r="GH394" i="112"/>
  <c r="GH402" i="112"/>
  <c r="GH405" i="112"/>
  <c r="GH419" i="112"/>
  <c r="GH314" i="112"/>
  <c r="GH315" i="112"/>
  <c r="GH331" i="112"/>
  <c r="GH332" i="112"/>
  <c r="GH375" i="112"/>
  <c r="GH400" i="112"/>
  <c r="GH411" i="112"/>
  <c r="GH416" i="112"/>
  <c r="GH417" i="112"/>
  <c r="GH476" i="112"/>
  <c r="GH481" i="112"/>
  <c r="GH482" i="112"/>
  <c r="GH341" i="112"/>
  <c r="GH342" i="112"/>
  <c r="GH343" i="112"/>
  <c r="GH387" i="112"/>
  <c r="GH395" i="112"/>
  <c r="GH403" i="112"/>
  <c r="GH420" i="112"/>
  <c r="GH355" i="112"/>
  <c r="GH401" i="112"/>
  <c r="GH316" i="112"/>
  <c r="GH317" i="112"/>
  <c r="GH327" i="112"/>
  <c r="GH328" i="112"/>
  <c r="GH330" i="112"/>
  <c r="GH374" i="112"/>
  <c r="GH408" i="112"/>
  <c r="GH409" i="112"/>
  <c r="GH410" i="112"/>
  <c r="GH468" i="112"/>
  <c r="GH469" i="112"/>
  <c r="GH470" i="112"/>
  <c r="GH475" i="112"/>
  <c r="GH488" i="112"/>
  <c r="GH493" i="112"/>
  <c r="GG313" i="112"/>
  <c r="GG329" i="112"/>
  <c r="GG339" i="112"/>
  <c r="GG377" i="112"/>
  <c r="GG393" i="112"/>
  <c r="GG404" i="112"/>
  <c r="GG414" i="112"/>
  <c r="GG420" i="112"/>
  <c r="GG431" i="112"/>
  <c r="GG479" i="112"/>
  <c r="GG330" i="112"/>
  <c r="GG345" i="112"/>
  <c r="GG359" i="112"/>
  <c r="GG363" i="112"/>
  <c r="GG421" i="112"/>
  <c r="GG432" i="112"/>
  <c r="GG438" i="112"/>
  <c r="GG450" i="112"/>
  <c r="GG456" i="112"/>
  <c r="GG463" i="112"/>
  <c r="GG485" i="112"/>
  <c r="GG314" i="112"/>
  <c r="GG326" i="112"/>
  <c r="GG346" i="112"/>
  <c r="GG383" i="112"/>
  <c r="GG390" i="112"/>
  <c r="GG399" i="112"/>
  <c r="GG409" i="112"/>
  <c r="GG439" i="112"/>
  <c r="GG457" i="112"/>
  <c r="GG464" i="112"/>
  <c r="GG470" i="112"/>
  <c r="GG495" i="112"/>
  <c r="GG331" i="112"/>
  <c r="GG384" i="112"/>
  <c r="GG394" i="112"/>
  <c r="GG436" i="112"/>
  <c r="GG447" i="112"/>
  <c r="GG493" i="112"/>
  <c r="GG315" i="112"/>
  <c r="GG318" i="112"/>
  <c r="GG328" i="112"/>
  <c r="GG355" i="112"/>
  <c r="GG364" i="112"/>
  <c r="GG372" i="112"/>
  <c r="GG378" i="112"/>
  <c r="GG381" i="112"/>
  <c r="GG401" i="112"/>
  <c r="GG415" i="112"/>
  <c r="GG426" i="112"/>
  <c r="GG451" i="112"/>
  <c r="GG458" i="112"/>
  <c r="GG496" i="112"/>
  <c r="GG340" i="112"/>
  <c r="GG347" i="112"/>
  <c r="GG461" i="112"/>
  <c r="GG312" i="112"/>
  <c r="GG325" i="112"/>
  <c r="GG332" i="112"/>
  <c r="GG335" i="112"/>
  <c r="GG344" i="112"/>
  <c r="GG352" i="112"/>
  <c r="GG358" i="112"/>
  <c r="GG361" i="112"/>
  <c r="GG385" i="112"/>
  <c r="GG389" i="112"/>
  <c r="GG395" i="112"/>
  <c r="GG398" i="112"/>
  <c r="GG405" i="112"/>
  <c r="GG408" i="112"/>
  <c r="GG412" i="112"/>
  <c r="GG419" i="112"/>
  <c r="GG430" i="112"/>
  <c r="GG437" i="112"/>
  <c r="GG441" i="112"/>
  <c r="GG444" i="112"/>
  <c r="GG448" i="112"/>
  <c r="GG455" i="112"/>
  <c r="GG462" i="112"/>
  <c r="GG469" i="112"/>
  <c r="GG477" i="112"/>
  <c r="GG480" i="112"/>
  <c r="GG311" i="112"/>
  <c r="GG337" i="112"/>
  <c r="GG343" i="112"/>
  <c r="GG375" i="112"/>
  <c r="GG388" i="112"/>
  <c r="GG397" i="112"/>
  <c r="GG411" i="112"/>
  <c r="GG418" i="112"/>
  <c r="GG429" i="112"/>
  <c r="GG433" i="112"/>
  <c r="GG440" i="112"/>
  <c r="GG454" i="112"/>
  <c r="GG465" i="112"/>
  <c r="GG468" i="112"/>
  <c r="GG476" i="112"/>
  <c r="GG483" i="112"/>
  <c r="GG486" i="112"/>
  <c r="GG308" i="112"/>
  <c r="GG309" i="112"/>
  <c r="GG338" i="112"/>
  <c r="GG341" i="112"/>
  <c r="GG365" i="112"/>
  <c r="GG373" i="112"/>
  <c r="GG379" i="112"/>
  <c r="GG382" i="112"/>
  <c r="GG392" i="112"/>
  <c r="GG402" i="112"/>
  <c r="GG427" i="112"/>
  <c r="GG434" i="112"/>
  <c r="GG459" i="112"/>
  <c r="GG466" i="112"/>
  <c r="GG484" i="112"/>
  <c r="GG487" i="112"/>
  <c r="GG494" i="112"/>
  <c r="GG497" i="112"/>
  <c r="GF395" i="112"/>
  <c r="GF337" i="112"/>
  <c r="GF346" i="112"/>
  <c r="GF357" i="112"/>
  <c r="GF370" i="112"/>
  <c r="GF377" i="112"/>
  <c r="GF386" i="112"/>
  <c r="GF393" i="112"/>
  <c r="GF402" i="112"/>
  <c r="GF412" i="112"/>
  <c r="GF420" i="112"/>
  <c r="GF432" i="112"/>
  <c r="GF440" i="112"/>
  <c r="GF448" i="112"/>
  <c r="GF456" i="112"/>
  <c r="GF464" i="112"/>
  <c r="GF476" i="112"/>
  <c r="GF486" i="112"/>
  <c r="GF313" i="112"/>
  <c r="GF335" i="112"/>
  <c r="GF344" i="112"/>
  <c r="GF355" i="112"/>
  <c r="GF364" i="112"/>
  <c r="GF375" i="112"/>
  <c r="GF384" i="112"/>
  <c r="GF391" i="112"/>
  <c r="GF400" i="112"/>
  <c r="GF484" i="112"/>
  <c r="GF339" i="112"/>
  <c r="GF352" i="112"/>
  <c r="GF359" i="112"/>
  <c r="GF404" i="112"/>
  <c r="GF488" i="112"/>
  <c r="GF311" i="112"/>
  <c r="GF331" i="112"/>
  <c r="GF333" i="112"/>
  <c r="GF342" i="112"/>
  <c r="GF353" i="112"/>
  <c r="GF362" i="112"/>
  <c r="GF373" i="112"/>
  <c r="GF382" i="112"/>
  <c r="GF389" i="112"/>
  <c r="GF398" i="112"/>
  <c r="GF410" i="112"/>
  <c r="GF418" i="112"/>
  <c r="GF430" i="112"/>
  <c r="GF438" i="112"/>
  <c r="GF446" i="112"/>
  <c r="GF454" i="112"/>
  <c r="GF462" i="112"/>
  <c r="GF470" i="112"/>
  <c r="GF482" i="112"/>
  <c r="GF317" i="112"/>
  <c r="GF372" i="112"/>
  <c r="GF379" i="112"/>
  <c r="GF388" i="112"/>
  <c r="GF315" i="112"/>
  <c r="GF309" i="112"/>
  <c r="GF329" i="112"/>
  <c r="GF340" i="112"/>
  <c r="GF347" i="112"/>
  <c r="GF360" i="112"/>
  <c r="GF371" i="112"/>
  <c r="GF380" i="112"/>
  <c r="GF387" i="112"/>
  <c r="GF396" i="112"/>
  <c r="GF403" i="112"/>
  <c r="GF327" i="112"/>
  <c r="GF338" i="112"/>
  <c r="GF345" i="112"/>
  <c r="GF358" i="112"/>
  <c r="GF365" i="112"/>
  <c r="GF378" i="112"/>
  <c r="GF385" i="112"/>
  <c r="GF394" i="112"/>
  <c r="GF401" i="112"/>
  <c r="GF408" i="112"/>
  <c r="GF416" i="112"/>
  <c r="GF428" i="112"/>
  <c r="GF436" i="112"/>
  <c r="GF444" i="112"/>
  <c r="GF452" i="112"/>
  <c r="GF460" i="112"/>
  <c r="GF468" i="112"/>
  <c r="GF480" i="112"/>
  <c r="GF407" i="112"/>
  <c r="GF409" i="112"/>
  <c r="GF413" i="112"/>
  <c r="GF421" i="112"/>
  <c r="GF429" i="112"/>
  <c r="GF431" i="112"/>
  <c r="GF433" i="112"/>
  <c r="GF441" i="112"/>
  <c r="GF312" i="112"/>
  <c r="GF314" i="112"/>
  <c r="GF316" i="112"/>
  <c r="GF318" i="112"/>
  <c r="GF320" i="112"/>
  <c r="GF326" i="112"/>
  <c r="GF328" i="112"/>
  <c r="GF330" i="112"/>
  <c r="GF332" i="112"/>
  <c r="GF485" i="112"/>
  <c r="GF487" i="112"/>
  <c r="GF493" i="112"/>
  <c r="GF495" i="112"/>
  <c r="GF497" i="112"/>
  <c r="GF310" i="112"/>
  <c r="GF405" i="112"/>
  <c r="GF411" i="112"/>
  <c r="GF415" i="112"/>
  <c r="GF417" i="112"/>
  <c r="GF419" i="112"/>
  <c r="GF427" i="112"/>
  <c r="GF435" i="112"/>
  <c r="GF437" i="112"/>
  <c r="GF439" i="112"/>
  <c r="GF443" i="112"/>
  <c r="GF445" i="112"/>
  <c r="GF447" i="112"/>
  <c r="GF449" i="112"/>
  <c r="GF451" i="112"/>
  <c r="GF453" i="112"/>
  <c r="GF455" i="112"/>
  <c r="GF457" i="112"/>
  <c r="GF459" i="112"/>
  <c r="GF461" i="112"/>
  <c r="GF463" i="112"/>
  <c r="GF465" i="112"/>
  <c r="GF467" i="112"/>
  <c r="GF469" i="112"/>
  <c r="GF475" i="112"/>
  <c r="GF477" i="112"/>
  <c r="GF479" i="112"/>
  <c r="GF481" i="112"/>
  <c r="GF483" i="112"/>
  <c r="GF308" i="112"/>
  <c r="GF334" i="112"/>
  <c r="GE452" i="112"/>
  <c r="GE482" i="112"/>
  <c r="GE467" i="112"/>
  <c r="GE444" i="112"/>
  <c r="GE419" i="112"/>
  <c r="GE402" i="112"/>
  <c r="GE387" i="112"/>
  <c r="GE381" i="112"/>
  <c r="GE373" i="112"/>
  <c r="GE362" i="112"/>
  <c r="GE356" i="112"/>
  <c r="GE328" i="112"/>
  <c r="GE319" i="112"/>
  <c r="GE354" i="112"/>
  <c r="GE344" i="112"/>
  <c r="GE339" i="112"/>
  <c r="GE317" i="112"/>
  <c r="GE314" i="112"/>
  <c r="GE483" i="112"/>
  <c r="GE406" i="112"/>
  <c r="GE384" i="112"/>
  <c r="GE334" i="112"/>
  <c r="GE312" i="112"/>
  <c r="GE309" i="112"/>
  <c r="GE382" i="112"/>
  <c r="GE379" i="112"/>
  <c r="GE329" i="112"/>
  <c r="GE320" i="112"/>
  <c r="GE315" i="112"/>
  <c r="GE488" i="112"/>
  <c r="GE463" i="112"/>
  <c r="GE454" i="112"/>
  <c r="GE438" i="112"/>
  <c r="GE431" i="112"/>
  <c r="GE409" i="112"/>
  <c r="GE398" i="112"/>
  <c r="GE450" i="112"/>
  <c r="GE443" i="112"/>
  <c r="GE346" i="112"/>
  <c r="GE332" i="112"/>
  <c r="GE327" i="112"/>
  <c r="GE386" i="112"/>
  <c r="GE380" i="112"/>
  <c r="GE372" i="112"/>
  <c r="GE361" i="112"/>
  <c r="GE341" i="112"/>
  <c r="GE338" i="112"/>
  <c r="GE464" i="112"/>
  <c r="GE439" i="112"/>
  <c r="GE432" i="112"/>
  <c r="GE412" i="112"/>
  <c r="GE392" i="112"/>
  <c r="GE359" i="112"/>
  <c r="GE353" i="112"/>
  <c r="GE480" i="112"/>
  <c r="GE462" i="112"/>
  <c r="GE435" i="112"/>
  <c r="GE428" i="112"/>
  <c r="GE408" i="112"/>
  <c r="GE400" i="112"/>
  <c r="GE460" i="112"/>
  <c r="GE447" i="112"/>
  <c r="GE440" i="112"/>
  <c r="GE413" i="112"/>
  <c r="GE403" i="112"/>
  <c r="GE376" i="112"/>
  <c r="GE357" i="112"/>
  <c r="GE496" i="112"/>
  <c r="GE468" i="112"/>
  <c r="GE456" i="112"/>
  <c r="GE420" i="112"/>
  <c r="GE390" i="112"/>
  <c r="GE371" i="112"/>
  <c r="GE345" i="112"/>
  <c r="GE385" i="112"/>
  <c r="GE377" i="112"/>
  <c r="GE358" i="112"/>
  <c r="GE352" i="112"/>
  <c r="GE340" i="112"/>
  <c r="GE335" i="112"/>
  <c r="GE310" i="112"/>
  <c r="GE475" i="112"/>
  <c r="GE466" i="112"/>
  <c r="GE434" i="112"/>
  <c r="GE399" i="112"/>
  <c r="GE394" i="112"/>
  <c r="GE330" i="112"/>
  <c r="GE325" i="112"/>
  <c r="GE316" i="112"/>
  <c r="GE446" i="112"/>
  <c r="GE405" i="112"/>
  <c r="GE375" i="112"/>
  <c r="GE418" i="112"/>
  <c r="GE404" i="112"/>
  <c r="GE396" i="112"/>
  <c r="GE391" i="112"/>
  <c r="GE336" i="112"/>
  <c r="GE370" i="112"/>
  <c r="GE374" i="112"/>
  <c r="GE426" i="112"/>
  <c r="GE430" i="112"/>
  <c r="GE437" i="112"/>
  <c r="GE442" i="112"/>
  <c r="GE307" i="112"/>
  <c r="GE493" i="112"/>
  <c r="GE484" i="112"/>
  <c r="GE479" i="112"/>
  <c r="GE470" i="112"/>
  <c r="GE465" i="112"/>
  <c r="GE459" i="112"/>
  <c r="GE494" i="112"/>
  <c r="GE485" i="112"/>
  <c r="GE495" i="112"/>
  <c r="GE486" i="112"/>
  <c r="GE487" i="112"/>
  <c r="GE477" i="112"/>
  <c r="GE457" i="112"/>
  <c r="GE497" i="112"/>
  <c r="GE481" i="112"/>
  <c r="GE478" i="112"/>
  <c r="GE461" i="112"/>
  <c r="GE453" i="112"/>
  <c r="GE449" i="112"/>
  <c r="GE445" i="112"/>
  <c r="GE427" i="112"/>
  <c r="GE417" i="112"/>
  <c r="GE407" i="112"/>
  <c r="GE395" i="112"/>
  <c r="GE389" i="112"/>
  <c r="GE363" i="112"/>
  <c r="GE343" i="112"/>
  <c r="GE318" i="112"/>
  <c r="GE355" i="112"/>
  <c r="GE360" i="112"/>
  <c r="GE364" i="112"/>
  <c r="GE416" i="112"/>
  <c r="GE433" i="112"/>
  <c r="GE441" i="112"/>
  <c r="GE455" i="112"/>
  <c r="GE458" i="112"/>
  <c r="GE469" i="112"/>
  <c r="GE476" i="112"/>
  <c r="GE342" i="112"/>
  <c r="GE347" i="112"/>
  <c r="GE365" i="112"/>
  <c r="GE383" i="112"/>
  <c r="GE388" i="112"/>
  <c r="GE393" i="112"/>
  <c r="GE397" i="112"/>
  <c r="GE401" i="112"/>
  <c r="GE411" i="112"/>
  <c r="GE313" i="112"/>
  <c r="GE326" i="112"/>
  <c r="GE331" i="112"/>
  <c r="GE337" i="112"/>
  <c r="GE378" i="112"/>
  <c r="GE410" i="112"/>
  <c r="GE414" i="112"/>
  <c r="GE415" i="112"/>
  <c r="GE421" i="112"/>
  <c r="GE429" i="112"/>
  <c r="GE436" i="112"/>
  <c r="GE448" i="112"/>
  <c r="GE451" i="112"/>
  <c r="GO308" i="112"/>
  <c r="EB186" i="112"/>
  <c r="A30" i="130" s="1"/>
  <c r="B30" i="130" s="1"/>
  <c r="C30" i="130" s="1"/>
  <c r="GN308" i="112"/>
  <c r="GP307" i="112"/>
  <c r="GE308" i="112"/>
  <c r="GL308" i="112"/>
  <c r="GM308" i="112"/>
  <c r="EB192" i="112"/>
  <c r="A32" i="130" s="1"/>
  <c r="B32" i="130" s="1"/>
  <c r="C32" i="130" s="1"/>
  <c r="A72" i="127" l="1"/>
  <c r="B72" i="127" s="1"/>
  <c r="C72" i="127" s="1"/>
  <c r="AD83" i="37"/>
  <c r="AE84" i="37" s="1"/>
  <c r="AR9" i="37" s="1"/>
  <c r="AR11" i="37" s="1"/>
  <c r="GT499" i="112"/>
  <c r="GW499" i="112" s="1"/>
  <c r="GV499" i="112"/>
  <c r="GY499" i="112" s="1"/>
  <c r="GU499" i="112"/>
  <c r="GX499" i="112" s="1"/>
  <c r="GV507" i="112"/>
  <c r="GY507" i="112" s="1"/>
  <c r="GU507" i="112"/>
  <c r="GX507" i="112" s="1"/>
  <c r="GT507" i="112"/>
  <c r="GW507" i="112" s="1"/>
  <c r="GU503" i="112"/>
  <c r="GX503" i="112" s="1"/>
  <c r="GV503" i="112"/>
  <c r="GY503" i="112" s="1"/>
  <c r="GT503" i="112"/>
  <c r="GW503" i="112" s="1"/>
  <c r="GT506" i="112"/>
  <c r="GW506" i="112" s="1"/>
  <c r="GU506" i="112"/>
  <c r="GX506" i="112" s="1"/>
  <c r="GV506" i="112"/>
  <c r="GY506" i="112" s="1"/>
  <c r="GT502" i="112"/>
  <c r="GW502" i="112" s="1"/>
  <c r="GU502" i="112"/>
  <c r="GX502" i="112" s="1"/>
  <c r="GV502" i="112"/>
  <c r="GY502" i="112" s="1"/>
  <c r="GV505" i="112"/>
  <c r="GY505" i="112" s="1"/>
  <c r="GT505" i="112"/>
  <c r="GW505" i="112" s="1"/>
  <c r="GU505" i="112"/>
  <c r="GX505" i="112" s="1"/>
  <c r="GT498" i="112"/>
  <c r="GW498" i="112" s="1"/>
  <c r="GV498" i="112"/>
  <c r="GY498" i="112" s="1"/>
  <c r="GU498" i="112"/>
  <c r="GX498" i="112" s="1"/>
  <c r="GV500" i="112"/>
  <c r="GY500" i="112" s="1"/>
  <c r="GT500" i="112"/>
  <c r="GW500" i="112" s="1"/>
  <c r="GU500" i="112"/>
  <c r="GX500" i="112" s="1"/>
  <c r="GV501" i="112"/>
  <c r="GY501" i="112" s="1"/>
  <c r="GU501" i="112"/>
  <c r="GX501" i="112" s="1"/>
  <c r="GT501" i="112"/>
  <c r="GW501" i="112" s="1"/>
  <c r="GU504" i="112"/>
  <c r="GX504" i="112" s="1"/>
  <c r="GT504" i="112"/>
  <c r="GW504" i="112" s="1"/>
  <c r="GV504" i="112"/>
  <c r="GY504" i="112" s="1"/>
  <c r="GV410" i="112"/>
  <c r="GY410" i="112" s="1"/>
  <c r="GU410" i="112"/>
  <c r="GX410" i="112" s="1"/>
  <c r="GT410" i="112"/>
  <c r="GW410" i="112" s="1"/>
  <c r="GT417" i="112"/>
  <c r="GW417" i="112" s="1"/>
  <c r="GV417" i="112"/>
  <c r="GY417" i="112" s="1"/>
  <c r="GU417" i="112"/>
  <c r="GX417" i="112" s="1"/>
  <c r="GT493" i="112"/>
  <c r="GW493" i="112" s="1"/>
  <c r="GU493" i="112"/>
  <c r="GX493" i="112" s="1"/>
  <c r="GV493" i="112"/>
  <c r="GY493" i="112" s="1"/>
  <c r="GV446" i="112"/>
  <c r="GY446" i="112" s="1"/>
  <c r="GU446" i="112"/>
  <c r="GX446" i="112" s="1"/>
  <c r="GT446" i="112"/>
  <c r="GW446" i="112" s="1"/>
  <c r="GU466" i="112"/>
  <c r="GX466" i="112" s="1"/>
  <c r="GT466" i="112"/>
  <c r="GW466" i="112" s="1"/>
  <c r="GV466" i="112"/>
  <c r="GY466" i="112" s="1"/>
  <c r="GV358" i="112"/>
  <c r="GU358" i="112"/>
  <c r="GX358" i="112" s="1"/>
  <c r="GT358" i="112"/>
  <c r="GW358" i="112" s="1"/>
  <c r="GV468" i="112"/>
  <c r="GY468" i="112" s="1"/>
  <c r="GU468" i="112"/>
  <c r="GX468" i="112" s="1"/>
  <c r="GT468" i="112"/>
  <c r="GW468" i="112" s="1"/>
  <c r="GV359" i="112"/>
  <c r="GY359" i="112" s="1"/>
  <c r="GU359" i="112"/>
  <c r="GX359" i="112" s="1"/>
  <c r="GT359" i="112"/>
  <c r="GV361" i="112"/>
  <c r="GY361" i="112" s="1"/>
  <c r="GU361" i="112"/>
  <c r="GX361" i="112" s="1"/>
  <c r="GT361" i="112"/>
  <c r="GW361" i="112" s="1"/>
  <c r="GU450" i="112"/>
  <c r="GX450" i="112" s="1"/>
  <c r="GT450" i="112"/>
  <c r="GW450" i="112" s="1"/>
  <c r="GV450" i="112"/>
  <c r="GY450" i="112" s="1"/>
  <c r="GV315" i="112"/>
  <c r="GY315" i="112" s="1"/>
  <c r="GU315" i="112"/>
  <c r="GT315" i="112"/>
  <c r="GW315" i="112" s="1"/>
  <c r="GV384" i="112"/>
  <c r="GY384" i="112" s="1"/>
  <c r="GU384" i="112"/>
  <c r="GX384" i="112" s="1"/>
  <c r="GT384" i="112"/>
  <c r="GW384" i="112" s="1"/>
  <c r="GU354" i="112"/>
  <c r="GX354" i="112" s="1"/>
  <c r="GT354" i="112"/>
  <c r="GW354" i="112" s="1"/>
  <c r="GV354" i="112"/>
  <c r="GY354" i="112" s="1"/>
  <c r="GV402" i="112"/>
  <c r="GU402" i="112"/>
  <c r="GX402" i="112" s="1"/>
  <c r="GT402" i="112"/>
  <c r="GW402" i="112" s="1"/>
  <c r="GU414" i="112"/>
  <c r="GX414" i="112" s="1"/>
  <c r="GT414" i="112"/>
  <c r="GW414" i="112" s="1"/>
  <c r="GV414" i="112"/>
  <c r="GY414" i="112" s="1"/>
  <c r="GT481" i="112"/>
  <c r="GW481" i="112" s="1"/>
  <c r="GU481" i="112"/>
  <c r="GX481" i="112" s="1"/>
  <c r="GV481" i="112"/>
  <c r="GV352" i="112"/>
  <c r="GY352" i="112" s="1"/>
  <c r="GU352" i="112"/>
  <c r="GX352" i="112" s="1"/>
  <c r="GT352" i="112"/>
  <c r="GW352" i="112" s="1"/>
  <c r="GV488" i="112"/>
  <c r="GY488" i="112" s="1"/>
  <c r="GU488" i="112"/>
  <c r="GX488" i="112" s="1"/>
  <c r="GT488" i="112"/>
  <c r="GW488" i="112" s="1"/>
  <c r="GV360" i="112"/>
  <c r="GY360" i="112" s="1"/>
  <c r="GU360" i="112"/>
  <c r="GT360" i="112"/>
  <c r="GW360" i="112" s="1"/>
  <c r="GV485" i="112"/>
  <c r="GY485" i="112" s="1"/>
  <c r="GU485" i="112"/>
  <c r="GX485" i="112" s="1"/>
  <c r="GT485" i="112"/>
  <c r="GW485" i="112" s="1"/>
  <c r="GV370" i="112"/>
  <c r="GY370" i="112" s="1"/>
  <c r="GU370" i="112"/>
  <c r="GX370" i="112" s="1"/>
  <c r="GT370" i="112"/>
  <c r="GW370" i="112" s="1"/>
  <c r="GV460" i="112"/>
  <c r="GU460" i="112"/>
  <c r="GX460" i="112" s="1"/>
  <c r="GT460" i="112"/>
  <c r="GW460" i="112" s="1"/>
  <c r="GT469" i="112"/>
  <c r="GW469" i="112" s="1"/>
  <c r="GU469" i="112"/>
  <c r="GX469" i="112" s="1"/>
  <c r="GV469" i="112"/>
  <c r="GY469" i="112" s="1"/>
  <c r="GV457" i="112"/>
  <c r="GY457" i="112" s="1"/>
  <c r="GU457" i="112"/>
  <c r="GX457" i="112" s="1"/>
  <c r="GT457" i="112"/>
  <c r="GV475" i="112"/>
  <c r="GY475" i="112" s="1"/>
  <c r="GU475" i="112"/>
  <c r="GX475" i="112" s="1"/>
  <c r="GT475" i="112"/>
  <c r="GW475" i="112" s="1"/>
  <c r="GV400" i="112"/>
  <c r="GY400" i="112" s="1"/>
  <c r="GU400" i="112"/>
  <c r="GX400" i="112" s="1"/>
  <c r="GT400" i="112"/>
  <c r="GW400" i="112" s="1"/>
  <c r="GT311" i="112"/>
  <c r="GW311" i="112" s="1"/>
  <c r="GV456" i="112"/>
  <c r="GU456" i="112"/>
  <c r="GX456" i="112" s="1"/>
  <c r="GT456" i="112"/>
  <c r="GW456" i="112" s="1"/>
  <c r="GV344" i="112"/>
  <c r="GY344" i="112" s="1"/>
  <c r="GU344" i="112"/>
  <c r="GX344" i="112" s="1"/>
  <c r="GT344" i="112"/>
  <c r="GW344" i="112" s="1"/>
  <c r="GV397" i="112"/>
  <c r="GY397" i="112" s="1"/>
  <c r="GU397" i="112"/>
  <c r="GX397" i="112" s="1"/>
  <c r="GT397" i="112"/>
  <c r="GT393" i="112"/>
  <c r="GW393" i="112" s="1"/>
  <c r="GV393" i="112"/>
  <c r="GY393" i="112" s="1"/>
  <c r="GU393" i="112"/>
  <c r="GX393" i="112" s="1"/>
  <c r="GV427" i="112"/>
  <c r="GY427" i="112" s="1"/>
  <c r="GU427" i="112"/>
  <c r="GX427" i="112" s="1"/>
  <c r="GT427" i="112"/>
  <c r="GW427" i="112" s="1"/>
  <c r="GV494" i="112"/>
  <c r="GY494" i="112" s="1"/>
  <c r="GU494" i="112"/>
  <c r="GT494" i="112"/>
  <c r="GW494" i="112" s="1"/>
  <c r="GV336" i="112"/>
  <c r="GY336" i="112" s="1"/>
  <c r="GU336" i="112"/>
  <c r="GX336" i="112" s="1"/>
  <c r="GT336" i="112"/>
  <c r="GW336" i="112" s="1"/>
  <c r="GT377" i="112"/>
  <c r="GW377" i="112" s="1"/>
  <c r="GV377" i="112"/>
  <c r="GY377" i="112" s="1"/>
  <c r="GU377" i="112"/>
  <c r="GX377" i="112" s="1"/>
  <c r="GV496" i="112"/>
  <c r="GT496" i="112"/>
  <c r="GW496" i="112" s="1"/>
  <c r="GU496" i="112"/>
  <c r="GX496" i="112" s="1"/>
  <c r="GV392" i="112"/>
  <c r="GY392" i="112" s="1"/>
  <c r="GU392" i="112"/>
  <c r="GX392" i="112" s="1"/>
  <c r="GT392" i="112"/>
  <c r="GW392" i="112" s="1"/>
  <c r="GV372" i="112"/>
  <c r="GY372" i="112" s="1"/>
  <c r="GU372" i="112"/>
  <c r="GX372" i="112" s="1"/>
  <c r="GT372" i="112"/>
  <c r="GU398" i="112"/>
  <c r="GX398" i="112" s="1"/>
  <c r="GT398" i="112"/>
  <c r="GW398" i="112" s="1"/>
  <c r="GV398" i="112"/>
  <c r="GY398" i="112" s="1"/>
  <c r="GV320" i="112"/>
  <c r="GY320" i="112" s="1"/>
  <c r="GU320" i="112"/>
  <c r="GX320" i="112" s="1"/>
  <c r="GT320" i="112"/>
  <c r="GW320" i="112" s="1"/>
  <c r="GU406" i="112"/>
  <c r="GX406" i="112" s="1"/>
  <c r="GT406" i="112"/>
  <c r="GV406" i="112"/>
  <c r="GY406" i="112" s="1"/>
  <c r="GV319" i="112"/>
  <c r="GY319" i="112" s="1"/>
  <c r="GU319" i="112"/>
  <c r="GX319" i="112" s="1"/>
  <c r="GT319" i="112"/>
  <c r="GW319" i="112" s="1"/>
  <c r="GV419" i="112"/>
  <c r="GY419" i="112" s="1"/>
  <c r="GU419" i="112"/>
  <c r="GX419" i="112" s="1"/>
  <c r="GT419" i="112"/>
  <c r="GW419" i="112" s="1"/>
  <c r="GV448" i="112"/>
  <c r="GU448" i="112"/>
  <c r="GX448" i="112" s="1"/>
  <c r="GT448" i="112"/>
  <c r="GW448" i="112" s="1"/>
  <c r="GT337" i="112"/>
  <c r="GW337" i="112" s="1"/>
  <c r="GV337" i="112"/>
  <c r="GY337" i="112" s="1"/>
  <c r="GU337" i="112"/>
  <c r="GX337" i="112" s="1"/>
  <c r="GV388" i="112"/>
  <c r="GY388" i="112" s="1"/>
  <c r="GU388" i="112"/>
  <c r="GX388" i="112" s="1"/>
  <c r="GT388" i="112"/>
  <c r="GU458" i="112"/>
  <c r="GX458" i="112" s="1"/>
  <c r="GT458" i="112"/>
  <c r="GW458" i="112" s="1"/>
  <c r="GV458" i="112"/>
  <c r="GY458" i="112" s="1"/>
  <c r="GV318" i="112"/>
  <c r="GY318" i="112" s="1"/>
  <c r="GU318" i="112"/>
  <c r="GX318" i="112" s="1"/>
  <c r="GT318" i="112"/>
  <c r="GW318" i="112" s="1"/>
  <c r="GT445" i="112"/>
  <c r="GW445" i="112" s="1"/>
  <c r="GV445" i="112"/>
  <c r="GU445" i="112"/>
  <c r="GX445" i="112" s="1"/>
  <c r="GV477" i="112"/>
  <c r="GY477" i="112" s="1"/>
  <c r="GU477" i="112"/>
  <c r="GX477" i="112" s="1"/>
  <c r="GT477" i="112"/>
  <c r="GW477" i="112" s="1"/>
  <c r="GU307" i="112"/>
  <c r="GX307" i="112" s="1"/>
  <c r="GV307" i="112"/>
  <c r="GY307" i="112" s="1"/>
  <c r="GT307" i="112"/>
  <c r="GW307" i="112" s="1"/>
  <c r="GV391" i="112"/>
  <c r="GU391" i="112"/>
  <c r="GX391" i="112" s="1"/>
  <c r="GT391" i="112"/>
  <c r="GW391" i="112" s="1"/>
  <c r="GV316" i="112"/>
  <c r="GY316" i="112" s="1"/>
  <c r="GU316" i="112"/>
  <c r="GX316" i="112" s="1"/>
  <c r="GT316" i="112"/>
  <c r="GW316" i="112" s="1"/>
  <c r="GT385" i="112"/>
  <c r="GW385" i="112" s="1"/>
  <c r="GV385" i="112"/>
  <c r="GY385" i="112" s="1"/>
  <c r="GU385" i="112"/>
  <c r="GT357" i="112"/>
  <c r="GW357" i="112" s="1"/>
  <c r="GV357" i="112"/>
  <c r="GY357" i="112" s="1"/>
  <c r="GU357" i="112"/>
  <c r="GX357" i="112" s="1"/>
  <c r="GV408" i="112"/>
  <c r="GY408" i="112" s="1"/>
  <c r="GU408" i="112"/>
  <c r="GX408" i="112" s="1"/>
  <c r="GT408" i="112"/>
  <c r="GW408" i="112" s="1"/>
  <c r="GV412" i="112"/>
  <c r="GY412" i="112" s="1"/>
  <c r="GU412" i="112"/>
  <c r="GT412" i="112"/>
  <c r="GW412" i="112" s="1"/>
  <c r="GV380" i="112"/>
  <c r="GY380" i="112" s="1"/>
  <c r="GU380" i="112"/>
  <c r="GX380" i="112" s="1"/>
  <c r="GT380" i="112"/>
  <c r="GW380" i="112" s="1"/>
  <c r="GT409" i="112"/>
  <c r="GW409" i="112" s="1"/>
  <c r="GV409" i="112"/>
  <c r="GY409" i="112" s="1"/>
  <c r="GU409" i="112"/>
  <c r="GX409" i="112" s="1"/>
  <c r="GT329" i="112"/>
  <c r="GV329" i="112"/>
  <c r="GY329" i="112" s="1"/>
  <c r="GU329" i="112"/>
  <c r="GX329" i="112" s="1"/>
  <c r="GV483" i="112"/>
  <c r="GY483" i="112" s="1"/>
  <c r="GU483" i="112"/>
  <c r="GX483" i="112" s="1"/>
  <c r="GT483" i="112"/>
  <c r="GW483" i="112" s="1"/>
  <c r="GV328" i="112"/>
  <c r="GY328" i="112" s="1"/>
  <c r="GU328" i="112"/>
  <c r="GX328" i="112" s="1"/>
  <c r="GT328" i="112"/>
  <c r="GV444" i="112"/>
  <c r="GY444" i="112" s="1"/>
  <c r="GU444" i="112"/>
  <c r="GX444" i="112" s="1"/>
  <c r="GT444" i="112"/>
  <c r="GW444" i="112" s="1"/>
  <c r="GU311" i="112"/>
  <c r="GX311" i="112" s="1"/>
  <c r="GU374" i="112"/>
  <c r="GX374" i="112" s="1"/>
  <c r="GT374" i="112"/>
  <c r="GW374" i="112" s="1"/>
  <c r="GV374" i="112"/>
  <c r="GY374" i="112" s="1"/>
  <c r="GV341" i="112"/>
  <c r="GU341" i="112"/>
  <c r="GX341" i="112" s="1"/>
  <c r="GT341" i="112"/>
  <c r="GV355" i="112"/>
  <c r="GY355" i="112" s="1"/>
  <c r="GU355" i="112"/>
  <c r="GX355" i="112" s="1"/>
  <c r="GT355" i="112"/>
  <c r="GW355" i="112" s="1"/>
  <c r="GV436" i="112"/>
  <c r="GY436" i="112" s="1"/>
  <c r="GU436" i="112"/>
  <c r="GX436" i="112" s="1"/>
  <c r="GT436" i="112"/>
  <c r="GV449" i="112"/>
  <c r="GY449" i="112" s="1"/>
  <c r="GU449" i="112"/>
  <c r="GT449" i="112"/>
  <c r="GW449" i="112" s="1"/>
  <c r="GV310" i="112"/>
  <c r="GY310" i="112" s="1"/>
  <c r="GU310" i="112"/>
  <c r="GX310" i="112" s="1"/>
  <c r="GT310" i="112"/>
  <c r="GW310" i="112" s="1"/>
  <c r="GV311" i="112"/>
  <c r="GV364" i="112"/>
  <c r="GU364" i="112"/>
  <c r="GX364" i="112" s="1"/>
  <c r="GT364" i="112"/>
  <c r="GV405" i="112"/>
  <c r="GY405" i="112" s="1"/>
  <c r="GU405" i="112"/>
  <c r="GX405" i="112" s="1"/>
  <c r="GT405" i="112"/>
  <c r="GW405" i="112" s="1"/>
  <c r="GV443" i="112"/>
  <c r="GY443" i="112" s="1"/>
  <c r="GU443" i="112"/>
  <c r="GX443" i="112" s="1"/>
  <c r="GT443" i="112"/>
  <c r="GV383" i="112"/>
  <c r="GY383" i="112" s="1"/>
  <c r="GU383" i="112"/>
  <c r="GT383" i="112"/>
  <c r="GW383" i="112" s="1"/>
  <c r="GV455" i="112"/>
  <c r="GY455" i="112" s="1"/>
  <c r="GU455" i="112"/>
  <c r="GX455" i="112" s="1"/>
  <c r="GT455" i="112"/>
  <c r="GW455" i="112" s="1"/>
  <c r="GV487" i="112"/>
  <c r="GY487" i="112" s="1"/>
  <c r="GU487" i="112"/>
  <c r="GT487" i="112"/>
  <c r="GW487" i="112" s="1"/>
  <c r="GV459" i="112"/>
  <c r="GU459" i="112"/>
  <c r="GX459" i="112" s="1"/>
  <c r="GT459" i="112"/>
  <c r="GW459" i="112" s="1"/>
  <c r="GU442" i="112"/>
  <c r="GX442" i="112" s="1"/>
  <c r="GT442" i="112"/>
  <c r="GW442" i="112" s="1"/>
  <c r="GV442" i="112"/>
  <c r="GY442" i="112" s="1"/>
  <c r="GV396" i="112"/>
  <c r="GU396" i="112"/>
  <c r="GT396" i="112"/>
  <c r="GV325" i="112"/>
  <c r="GY325" i="112" s="1"/>
  <c r="GU325" i="112"/>
  <c r="GX325" i="112" s="1"/>
  <c r="GT325" i="112"/>
  <c r="GW325" i="112" s="1"/>
  <c r="GT345" i="112"/>
  <c r="GW345" i="112" s="1"/>
  <c r="GV345" i="112"/>
  <c r="GY345" i="112" s="1"/>
  <c r="GU345" i="112"/>
  <c r="GV376" i="112"/>
  <c r="GY376" i="112" s="1"/>
  <c r="GU376" i="112"/>
  <c r="GT376" i="112"/>
  <c r="GW376" i="112" s="1"/>
  <c r="GV428" i="112"/>
  <c r="GY428" i="112" s="1"/>
  <c r="GU428" i="112"/>
  <c r="GX428" i="112" s="1"/>
  <c r="GT428" i="112"/>
  <c r="GW428" i="112" s="1"/>
  <c r="GV432" i="112"/>
  <c r="GY432" i="112" s="1"/>
  <c r="GU432" i="112"/>
  <c r="GT432" i="112"/>
  <c r="GW432" i="112" s="1"/>
  <c r="GV386" i="112"/>
  <c r="GU386" i="112"/>
  <c r="GX386" i="112" s="1"/>
  <c r="GT386" i="112"/>
  <c r="GW386" i="112" s="1"/>
  <c r="GV431" i="112"/>
  <c r="GY431" i="112" s="1"/>
  <c r="GU431" i="112"/>
  <c r="GX431" i="112" s="1"/>
  <c r="GT431" i="112"/>
  <c r="GW431" i="112" s="1"/>
  <c r="GV379" i="112"/>
  <c r="GU379" i="112"/>
  <c r="GX379" i="112" s="1"/>
  <c r="GT379" i="112"/>
  <c r="GV356" i="112"/>
  <c r="GY356" i="112" s="1"/>
  <c r="GU356" i="112"/>
  <c r="GX356" i="112" s="1"/>
  <c r="GT356" i="112"/>
  <c r="GW356" i="112" s="1"/>
  <c r="GV467" i="112"/>
  <c r="GY467" i="112" s="1"/>
  <c r="GU467" i="112"/>
  <c r="GX467" i="112" s="1"/>
  <c r="GT467" i="112"/>
  <c r="GT429" i="112"/>
  <c r="GW429" i="112" s="1"/>
  <c r="GV429" i="112"/>
  <c r="GU429" i="112"/>
  <c r="GX429" i="112" s="1"/>
  <c r="GV441" i="112"/>
  <c r="GY441" i="112" s="1"/>
  <c r="GU441" i="112"/>
  <c r="GX441" i="112" s="1"/>
  <c r="GT441" i="112"/>
  <c r="GW441" i="112" s="1"/>
  <c r="GV404" i="112"/>
  <c r="GY404" i="112" s="1"/>
  <c r="GU404" i="112"/>
  <c r="GT404" i="112"/>
  <c r="GW404" i="112" s="1"/>
  <c r="GV403" i="112"/>
  <c r="GU403" i="112"/>
  <c r="GX403" i="112" s="1"/>
  <c r="GT403" i="112"/>
  <c r="GW403" i="112" s="1"/>
  <c r="GV439" i="112"/>
  <c r="GY439" i="112" s="1"/>
  <c r="GU439" i="112"/>
  <c r="GX439" i="112" s="1"/>
  <c r="GT439" i="112"/>
  <c r="GW439" i="112" s="1"/>
  <c r="GV327" i="112"/>
  <c r="GU327" i="112"/>
  <c r="GX327" i="112" s="1"/>
  <c r="GT327" i="112"/>
  <c r="GW327" i="112" s="1"/>
  <c r="GV438" i="112"/>
  <c r="GY438" i="112" s="1"/>
  <c r="GU438" i="112"/>
  <c r="GT438" i="112"/>
  <c r="GW438" i="112" s="1"/>
  <c r="GU314" i="112"/>
  <c r="GX314" i="112" s="1"/>
  <c r="GT314" i="112"/>
  <c r="GW314" i="112" s="1"/>
  <c r="GV314" i="112"/>
  <c r="GU362" i="112"/>
  <c r="GX362" i="112" s="1"/>
  <c r="GT362" i="112"/>
  <c r="GV362" i="112"/>
  <c r="GY362" i="112" s="1"/>
  <c r="GV482" i="112"/>
  <c r="GY482" i="112" s="1"/>
  <c r="GU482" i="112"/>
  <c r="GX482" i="112" s="1"/>
  <c r="GT482" i="112"/>
  <c r="GW482" i="112" s="1"/>
  <c r="GV407" i="112"/>
  <c r="GY407" i="112" s="1"/>
  <c r="GU407" i="112"/>
  <c r="GT407" i="112"/>
  <c r="GW407" i="112" s="1"/>
  <c r="GU434" i="112"/>
  <c r="GT434" i="112"/>
  <c r="GW434" i="112" s="1"/>
  <c r="GV434" i="112"/>
  <c r="GY434" i="112" s="1"/>
  <c r="GV353" i="112"/>
  <c r="GY353" i="112" s="1"/>
  <c r="GU353" i="112"/>
  <c r="GX353" i="112" s="1"/>
  <c r="GT353" i="112"/>
  <c r="GW353" i="112" s="1"/>
  <c r="GV387" i="112"/>
  <c r="GU387" i="112"/>
  <c r="GX387" i="112" s="1"/>
  <c r="GT387" i="112"/>
  <c r="GV497" i="112"/>
  <c r="GY497" i="112" s="1"/>
  <c r="GU497" i="112"/>
  <c r="GX497" i="112" s="1"/>
  <c r="GT497" i="112"/>
  <c r="GW497" i="112" s="1"/>
  <c r="GV378" i="112"/>
  <c r="GY378" i="112" s="1"/>
  <c r="GU378" i="112"/>
  <c r="GX378" i="112" s="1"/>
  <c r="GT378" i="112"/>
  <c r="GV343" i="112"/>
  <c r="GY343" i="112" s="1"/>
  <c r="GU343" i="112"/>
  <c r="GT343" i="112"/>
  <c r="GW343" i="112" s="1"/>
  <c r="GT365" i="112"/>
  <c r="GW365" i="112" s="1"/>
  <c r="GV365" i="112"/>
  <c r="GY365" i="112" s="1"/>
  <c r="GU365" i="112"/>
  <c r="GX365" i="112" s="1"/>
  <c r="GV465" i="112"/>
  <c r="GY465" i="112" s="1"/>
  <c r="GU465" i="112"/>
  <c r="GT465" i="112"/>
  <c r="GW465" i="112" s="1"/>
  <c r="GV371" i="112"/>
  <c r="GY371" i="112" s="1"/>
  <c r="GU371" i="112"/>
  <c r="GX371" i="112" s="1"/>
  <c r="GT371" i="112"/>
  <c r="GW371" i="112" s="1"/>
  <c r="GV421" i="112"/>
  <c r="GY421" i="112" s="1"/>
  <c r="GU421" i="112"/>
  <c r="GX421" i="112" s="1"/>
  <c r="GT421" i="112"/>
  <c r="GW421" i="112" s="1"/>
  <c r="GV313" i="112"/>
  <c r="GU313" i="112"/>
  <c r="GX313" i="112" s="1"/>
  <c r="GT313" i="112"/>
  <c r="GV347" i="112"/>
  <c r="GY347" i="112" s="1"/>
  <c r="GU347" i="112"/>
  <c r="GX347" i="112" s="1"/>
  <c r="GT347" i="112"/>
  <c r="GW347" i="112" s="1"/>
  <c r="GV433" i="112"/>
  <c r="GY433" i="112" s="1"/>
  <c r="GU433" i="112"/>
  <c r="GX433" i="112" s="1"/>
  <c r="GT433" i="112"/>
  <c r="GV389" i="112"/>
  <c r="GU389" i="112"/>
  <c r="GT389" i="112"/>
  <c r="GW389" i="112" s="1"/>
  <c r="GT461" i="112"/>
  <c r="GW461" i="112" s="1"/>
  <c r="GV461" i="112"/>
  <c r="GY461" i="112" s="1"/>
  <c r="GU461" i="112"/>
  <c r="GX461" i="112" s="1"/>
  <c r="GU486" i="112"/>
  <c r="GX486" i="112" s="1"/>
  <c r="GT486" i="112"/>
  <c r="GV486" i="112"/>
  <c r="GV470" i="112"/>
  <c r="GU470" i="112"/>
  <c r="GX470" i="112" s="1"/>
  <c r="GT470" i="112"/>
  <c r="GW470" i="112" s="1"/>
  <c r="GV430" i="112"/>
  <c r="GU430" i="112"/>
  <c r="GX430" i="112" s="1"/>
  <c r="GT430" i="112"/>
  <c r="GW430" i="112" s="1"/>
  <c r="GV418" i="112"/>
  <c r="GU418" i="112"/>
  <c r="GT418" i="112"/>
  <c r="GV394" i="112"/>
  <c r="GY394" i="112" s="1"/>
  <c r="GU394" i="112"/>
  <c r="GX394" i="112" s="1"/>
  <c r="GT394" i="112"/>
  <c r="GV335" i="112"/>
  <c r="GY335" i="112" s="1"/>
  <c r="GU335" i="112"/>
  <c r="GX335" i="112" s="1"/>
  <c r="GT335" i="112"/>
  <c r="GU390" i="112"/>
  <c r="GX390" i="112" s="1"/>
  <c r="GT390" i="112"/>
  <c r="GV390" i="112"/>
  <c r="GY390" i="112" s="1"/>
  <c r="GV413" i="112"/>
  <c r="GY413" i="112" s="1"/>
  <c r="GU413" i="112"/>
  <c r="GT413" i="112"/>
  <c r="GW413" i="112" s="1"/>
  <c r="GV462" i="112"/>
  <c r="GY462" i="112" s="1"/>
  <c r="GU462" i="112"/>
  <c r="GT462" i="112"/>
  <c r="GW462" i="112" s="1"/>
  <c r="GV464" i="112"/>
  <c r="GU464" i="112"/>
  <c r="GX464" i="112" s="1"/>
  <c r="GT464" i="112"/>
  <c r="GW464" i="112" s="1"/>
  <c r="GV332" i="112"/>
  <c r="GY332" i="112" s="1"/>
  <c r="GU332" i="112"/>
  <c r="GX332" i="112" s="1"/>
  <c r="GT332" i="112"/>
  <c r="GW332" i="112" s="1"/>
  <c r="GV454" i="112"/>
  <c r="GU454" i="112"/>
  <c r="GX454" i="112" s="1"/>
  <c r="GT454" i="112"/>
  <c r="GT309" i="112"/>
  <c r="GW309" i="112" s="1"/>
  <c r="GV309" i="112"/>
  <c r="GY309" i="112" s="1"/>
  <c r="GU309" i="112"/>
  <c r="GT317" i="112"/>
  <c r="GW317" i="112" s="1"/>
  <c r="GV317" i="112"/>
  <c r="GU317" i="112"/>
  <c r="GV373" i="112"/>
  <c r="GU373" i="112"/>
  <c r="GX373" i="112" s="1"/>
  <c r="GT373" i="112"/>
  <c r="GW373" i="112" s="1"/>
  <c r="GV333" i="112"/>
  <c r="GY333" i="112" s="1"/>
  <c r="GU333" i="112"/>
  <c r="GT333" i="112"/>
  <c r="GT401" i="112"/>
  <c r="GW401" i="112" s="1"/>
  <c r="GV401" i="112"/>
  <c r="GU401" i="112"/>
  <c r="GT484" i="112"/>
  <c r="GW484" i="112" s="1"/>
  <c r="GV484" i="112"/>
  <c r="GY484" i="112" s="1"/>
  <c r="GU484" i="112"/>
  <c r="GX484" i="112" s="1"/>
  <c r="GV447" i="112"/>
  <c r="GU447" i="112"/>
  <c r="GX447" i="112" s="1"/>
  <c r="GT447" i="112"/>
  <c r="GW447" i="112" s="1"/>
  <c r="GU334" i="112"/>
  <c r="GT334" i="112"/>
  <c r="GV334" i="112"/>
  <c r="GV476" i="112"/>
  <c r="GY476" i="112" s="1"/>
  <c r="GU476" i="112"/>
  <c r="GX476" i="112" s="1"/>
  <c r="GT476" i="112"/>
  <c r="GV451" i="112"/>
  <c r="GU451" i="112"/>
  <c r="GT451" i="112"/>
  <c r="GV331" i="112"/>
  <c r="GU331" i="112"/>
  <c r="GX331" i="112" s="1"/>
  <c r="GT331" i="112"/>
  <c r="GW331" i="112" s="1"/>
  <c r="GV308" i="112"/>
  <c r="GY308" i="112" s="1"/>
  <c r="GU308" i="112"/>
  <c r="GT308" i="112"/>
  <c r="GW308" i="112" s="1"/>
  <c r="GU326" i="112"/>
  <c r="GT326" i="112"/>
  <c r="GV326" i="112"/>
  <c r="GV363" i="112"/>
  <c r="GU363" i="112"/>
  <c r="GX363" i="112" s="1"/>
  <c r="GT363" i="112"/>
  <c r="GW363" i="112" s="1"/>
  <c r="GT453" i="112"/>
  <c r="GV453" i="112"/>
  <c r="GU453" i="112"/>
  <c r="GT437" i="112"/>
  <c r="GV437" i="112"/>
  <c r="GU437" i="112"/>
  <c r="GV330" i="112"/>
  <c r="GY330" i="112" s="1"/>
  <c r="GU330" i="112"/>
  <c r="GX330" i="112" s="1"/>
  <c r="GT330" i="112"/>
  <c r="GV435" i="112"/>
  <c r="GY435" i="112" s="1"/>
  <c r="GU435" i="112"/>
  <c r="GX435" i="112" s="1"/>
  <c r="GT435" i="112"/>
  <c r="GU382" i="112"/>
  <c r="GT382" i="112"/>
  <c r="GV382" i="112"/>
  <c r="GY382" i="112" s="1"/>
  <c r="GV415" i="112"/>
  <c r="GY415" i="112" s="1"/>
  <c r="GU415" i="112"/>
  <c r="GX415" i="112" s="1"/>
  <c r="GT415" i="112"/>
  <c r="GW415" i="112" s="1"/>
  <c r="GV411" i="112"/>
  <c r="GY411" i="112" s="1"/>
  <c r="GU411" i="112"/>
  <c r="GT411" i="112"/>
  <c r="GU342" i="112"/>
  <c r="GT342" i="112"/>
  <c r="GW342" i="112" s="1"/>
  <c r="GV342" i="112"/>
  <c r="GY342" i="112" s="1"/>
  <c r="GV416" i="112"/>
  <c r="GU416" i="112"/>
  <c r="GT416" i="112"/>
  <c r="GV395" i="112"/>
  <c r="GU395" i="112"/>
  <c r="GT395" i="112"/>
  <c r="GU478" i="112"/>
  <c r="GX478" i="112" s="1"/>
  <c r="GT478" i="112"/>
  <c r="GW478" i="112" s="1"/>
  <c r="GV478" i="112"/>
  <c r="GV495" i="112"/>
  <c r="GU495" i="112"/>
  <c r="GX495" i="112" s="1"/>
  <c r="GT495" i="112"/>
  <c r="GV479" i="112"/>
  <c r="GU479" i="112"/>
  <c r="GT479" i="112"/>
  <c r="GW479" i="112" s="1"/>
  <c r="GU426" i="112"/>
  <c r="GX426" i="112" s="1"/>
  <c r="GT426" i="112"/>
  <c r="GW426" i="112" s="1"/>
  <c r="GV426" i="112"/>
  <c r="GY426" i="112" s="1"/>
  <c r="GV375" i="112"/>
  <c r="GY375" i="112" s="1"/>
  <c r="GU375" i="112"/>
  <c r="GT375" i="112"/>
  <c r="GV399" i="112"/>
  <c r="GU399" i="112"/>
  <c r="GT399" i="112"/>
  <c r="GW399" i="112" s="1"/>
  <c r="GV340" i="112"/>
  <c r="GY340" i="112" s="1"/>
  <c r="GU340" i="112"/>
  <c r="GX340" i="112" s="1"/>
  <c r="GT340" i="112"/>
  <c r="GW340" i="112" s="1"/>
  <c r="GV420" i="112"/>
  <c r="GU420" i="112"/>
  <c r="GT420" i="112"/>
  <c r="GV440" i="112"/>
  <c r="GY440" i="112" s="1"/>
  <c r="GU440" i="112"/>
  <c r="GX440" i="112" s="1"/>
  <c r="GT440" i="112"/>
  <c r="GV480" i="112"/>
  <c r="GU480" i="112"/>
  <c r="GT480" i="112"/>
  <c r="GV338" i="112"/>
  <c r="GU338" i="112"/>
  <c r="GT338" i="112"/>
  <c r="GW338" i="112" s="1"/>
  <c r="GV346" i="112"/>
  <c r="GY346" i="112" s="1"/>
  <c r="GU346" i="112"/>
  <c r="GT346" i="112"/>
  <c r="GW346" i="112" s="1"/>
  <c r="GV463" i="112"/>
  <c r="GU463" i="112"/>
  <c r="GT463" i="112"/>
  <c r="GV312" i="112"/>
  <c r="GU312" i="112"/>
  <c r="GX312" i="112" s="1"/>
  <c r="GT312" i="112"/>
  <c r="GW312" i="112" s="1"/>
  <c r="GV339" i="112"/>
  <c r="GU339" i="112"/>
  <c r="GT339" i="112"/>
  <c r="GV381" i="112"/>
  <c r="GU381" i="112"/>
  <c r="GT381" i="112"/>
  <c r="GV452" i="112"/>
  <c r="GY452" i="112" s="1"/>
  <c r="GU452" i="112"/>
  <c r="GT452" i="112"/>
  <c r="A74" i="127"/>
  <c r="B74" i="127" s="1"/>
  <c r="C74" i="127" s="1"/>
  <c r="GZ419" i="112" l="1"/>
  <c r="B659" i="127" s="1"/>
  <c r="C659" i="127" s="1"/>
  <c r="GZ384" i="112"/>
  <c r="GZ446" i="112"/>
  <c r="GZ475" i="112"/>
  <c r="GZ352" i="112"/>
  <c r="B596" i="127" s="1"/>
  <c r="C596" i="127" s="1"/>
  <c r="GZ361" i="112"/>
  <c r="B605" i="127" s="1"/>
  <c r="C605" i="127" s="1"/>
  <c r="GZ410" i="112"/>
  <c r="B650" i="127" s="1"/>
  <c r="C650" i="127" s="1"/>
  <c r="GZ503" i="112"/>
  <c r="B731" i="127" s="1"/>
  <c r="C731" i="127" s="1"/>
  <c r="GZ371" i="112"/>
  <c r="B149" i="130" s="1"/>
  <c r="C149" i="130" s="1"/>
  <c r="GZ336" i="112"/>
  <c r="GZ485" i="112"/>
  <c r="GZ414" i="112"/>
  <c r="GZ417" i="112"/>
  <c r="B657" i="127" s="1"/>
  <c r="C657" i="127" s="1"/>
  <c r="GZ444" i="112"/>
  <c r="B680" i="127" s="1"/>
  <c r="C680" i="127" s="1"/>
  <c r="GZ332" i="112"/>
  <c r="B580" i="127" s="1"/>
  <c r="C580" i="127" s="1"/>
  <c r="GZ421" i="112"/>
  <c r="B661" i="127" s="1"/>
  <c r="C661" i="127" s="1"/>
  <c r="GZ353" i="112"/>
  <c r="B597" i="127" s="1"/>
  <c r="C597" i="127" s="1"/>
  <c r="GZ439" i="112"/>
  <c r="GZ431" i="112"/>
  <c r="GZ370" i="112"/>
  <c r="B148" i="130" s="1"/>
  <c r="C148" i="130" s="1"/>
  <c r="GZ493" i="112"/>
  <c r="B158" i="130" s="1"/>
  <c r="C158" i="130" s="1"/>
  <c r="GZ504" i="112"/>
  <c r="GZ502" i="112"/>
  <c r="B730" i="127" s="1"/>
  <c r="C730" i="127" s="1"/>
  <c r="GZ461" i="112"/>
  <c r="B697" i="127" s="1"/>
  <c r="C697" i="127" s="1"/>
  <c r="GZ365" i="112"/>
  <c r="B609" i="127" s="1"/>
  <c r="C609" i="127" s="1"/>
  <c r="GZ380" i="112"/>
  <c r="B620" i="127" s="1"/>
  <c r="C620" i="127" s="1"/>
  <c r="GZ477" i="112"/>
  <c r="GZ319" i="112"/>
  <c r="B571" i="127" s="1"/>
  <c r="C571" i="127" s="1"/>
  <c r="GZ506" i="112"/>
  <c r="GZ415" i="112"/>
  <c r="B655" i="127" s="1"/>
  <c r="C655" i="127" s="1"/>
  <c r="GZ482" i="112"/>
  <c r="B714" i="127" s="1"/>
  <c r="C714" i="127" s="1"/>
  <c r="GZ441" i="112"/>
  <c r="B677" i="127" s="1"/>
  <c r="C677" i="127" s="1"/>
  <c r="GZ428" i="112"/>
  <c r="B664" i="127" s="1"/>
  <c r="C664" i="127" s="1"/>
  <c r="GZ442" i="112"/>
  <c r="B678" i="127" s="1"/>
  <c r="C678" i="127" s="1"/>
  <c r="GZ455" i="112"/>
  <c r="GZ310" i="112"/>
  <c r="B562" i="127" s="1"/>
  <c r="C562" i="127" s="1"/>
  <c r="GZ374" i="112"/>
  <c r="B614" i="127" s="1"/>
  <c r="C614" i="127" s="1"/>
  <c r="GZ408" i="112"/>
  <c r="B648" i="127" s="1"/>
  <c r="C648" i="127" s="1"/>
  <c r="GZ318" i="112"/>
  <c r="B570" i="127" s="1"/>
  <c r="C570" i="127" s="1"/>
  <c r="GZ320" i="112"/>
  <c r="B572" i="127" s="1"/>
  <c r="C572" i="127" s="1"/>
  <c r="GZ427" i="112"/>
  <c r="B663" i="127" s="1"/>
  <c r="C663" i="127" s="1"/>
  <c r="GZ400" i="112"/>
  <c r="B152" i="130" s="1"/>
  <c r="C152" i="130" s="1"/>
  <c r="GZ488" i="112"/>
  <c r="GZ354" i="112"/>
  <c r="GZ466" i="112"/>
  <c r="B702" i="127" s="1"/>
  <c r="C702" i="127" s="1"/>
  <c r="GZ426" i="112"/>
  <c r="B662" i="127" s="1"/>
  <c r="C662" i="127" s="1"/>
  <c r="GZ347" i="112"/>
  <c r="B595" i="127" s="1"/>
  <c r="C595" i="127" s="1"/>
  <c r="GZ497" i="112"/>
  <c r="B160" i="130" s="1"/>
  <c r="C160" i="130" s="1"/>
  <c r="GZ356" i="112"/>
  <c r="B600" i="127" s="1"/>
  <c r="C600" i="127" s="1"/>
  <c r="GZ325" i="112"/>
  <c r="B573" i="127" s="1"/>
  <c r="C573" i="127" s="1"/>
  <c r="GZ405" i="112"/>
  <c r="B645" i="127" s="1"/>
  <c r="C645" i="127" s="1"/>
  <c r="GZ355" i="112"/>
  <c r="B599" i="127" s="1"/>
  <c r="C599" i="127" s="1"/>
  <c r="GZ483" i="112"/>
  <c r="B715" i="127" s="1"/>
  <c r="C715" i="127" s="1"/>
  <c r="GZ409" i="112"/>
  <c r="B649" i="127" s="1"/>
  <c r="C649" i="127" s="1"/>
  <c r="GZ316" i="112"/>
  <c r="B568" i="127" s="1"/>
  <c r="C568" i="127" s="1"/>
  <c r="GZ392" i="112"/>
  <c r="B632" i="127" s="1"/>
  <c r="C632" i="127" s="1"/>
  <c r="GZ377" i="112"/>
  <c r="B617" i="127" s="1"/>
  <c r="C617" i="127" s="1"/>
  <c r="GZ344" i="112"/>
  <c r="B592" i="127" s="1"/>
  <c r="C592" i="127" s="1"/>
  <c r="GZ450" i="112"/>
  <c r="GZ468" i="112"/>
  <c r="GZ501" i="112"/>
  <c r="B729" i="127" s="1"/>
  <c r="C729" i="127" s="1"/>
  <c r="GZ498" i="112"/>
  <c r="B726" i="127" s="1"/>
  <c r="C726" i="127" s="1"/>
  <c r="GZ337" i="112"/>
  <c r="B585" i="127" s="1"/>
  <c r="C585" i="127" s="1"/>
  <c r="GZ469" i="112"/>
  <c r="B705" i="127" s="1"/>
  <c r="C705" i="127" s="1"/>
  <c r="GZ505" i="112"/>
  <c r="B733" i="127" s="1"/>
  <c r="C733" i="127" s="1"/>
  <c r="GZ499" i="112"/>
  <c r="B727" i="127" s="1"/>
  <c r="C727" i="127" s="1"/>
  <c r="GZ484" i="112"/>
  <c r="B716" i="127" s="1"/>
  <c r="C716" i="127" s="1"/>
  <c r="GZ458" i="112"/>
  <c r="B694" i="127" s="1"/>
  <c r="C694" i="127" s="1"/>
  <c r="GZ398" i="112"/>
  <c r="B638" i="127" s="1"/>
  <c r="C638" i="127" s="1"/>
  <c r="GZ357" i="112"/>
  <c r="B601" i="127" s="1"/>
  <c r="C601" i="127" s="1"/>
  <c r="GZ393" i="112"/>
  <c r="B633" i="127" s="1"/>
  <c r="C633" i="127" s="1"/>
  <c r="GZ500" i="112"/>
  <c r="B728" i="127" s="1"/>
  <c r="C728" i="127" s="1"/>
  <c r="GZ507" i="112"/>
  <c r="B735" i="127" s="1"/>
  <c r="C735" i="127" s="1"/>
  <c r="GZ340" i="112"/>
  <c r="B588" i="127" s="1"/>
  <c r="C588" i="127" s="1"/>
  <c r="BS96" i="37"/>
  <c r="BR96" i="37"/>
  <c r="B732" i="127"/>
  <c r="C732" i="127" s="1"/>
  <c r="B654" i="127"/>
  <c r="C654" i="127" s="1"/>
  <c r="GZ307" i="112"/>
  <c r="B559" i="127" s="1"/>
  <c r="C559" i="127" s="1"/>
  <c r="GW381" i="112"/>
  <c r="GW395" i="112"/>
  <c r="GY334" i="112"/>
  <c r="GY470" i="112"/>
  <c r="GZ470" i="112" s="1"/>
  <c r="GW362" i="112"/>
  <c r="GW396" i="112"/>
  <c r="GX381" i="112"/>
  <c r="GW463" i="112"/>
  <c r="GY338" i="112"/>
  <c r="GX420" i="112"/>
  <c r="GW375" i="112"/>
  <c r="GY479" i="112"/>
  <c r="GX395" i="112"/>
  <c r="GW411" i="112"/>
  <c r="GX382" i="112"/>
  <c r="GY437" i="112"/>
  <c r="GY326" i="112"/>
  <c r="GY331" i="112"/>
  <c r="GZ331" i="112" s="1"/>
  <c r="B579" i="127" s="1"/>
  <c r="C579" i="127" s="1"/>
  <c r="GW334" i="112"/>
  <c r="GX401" i="112"/>
  <c r="GY373" i="112"/>
  <c r="GZ373" i="112" s="1"/>
  <c r="GX418" i="112"/>
  <c r="GY486" i="112"/>
  <c r="GY389" i="112"/>
  <c r="GX396" i="112"/>
  <c r="GX479" i="112"/>
  <c r="GX389" i="112"/>
  <c r="GY459" i="112"/>
  <c r="GY381" i="112"/>
  <c r="GX463" i="112"/>
  <c r="GW480" i="112"/>
  <c r="GY420" i="112"/>
  <c r="GX375" i="112"/>
  <c r="GW495" i="112"/>
  <c r="GY395" i="112"/>
  <c r="GX411" i="112"/>
  <c r="GW435" i="112"/>
  <c r="GW437" i="112"/>
  <c r="GW326" i="112"/>
  <c r="GW451" i="112"/>
  <c r="GX334" i="112"/>
  <c r="GY401" i="112"/>
  <c r="GX317" i="112"/>
  <c r="GY454" i="112"/>
  <c r="GX462" i="112"/>
  <c r="GW335" i="112"/>
  <c r="GY418" i="112"/>
  <c r="GW486" i="112"/>
  <c r="GW433" i="112"/>
  <c r="GY313" i="112"/>
  <c r="GX465" i="112"/>
  <c r="GW378" i="112"/>
  <c r="GY387" i="112"/>
  <c r="GX407" i="112"/>
  <c r="GY314" i="112"/>
  <c r="GZ314" i="112" s="1"/>
  <c r="B566" i="127" s="1"/>
  <c r="C566" i="127" s="1"/>
  <c r="GY327" i="112"/>
  <c r="GX404" i="112"/>
  <c r="GZ404" i="112" s="1"/>
  <c r="GW467" i="112"/>
  <c r="GY379" i="112"/>
  <c r="GX432" i="112"/>
  <c r="GZ432" i="112" s="1"/>
  <c r="GX345" i="112"/>
  <c r="GY396" i="112"/>
  <c r="GX487" i="112"/>
  <c r="GW443" i="112"/>
  <c r="GY364" i="112"/>
  <c r="GW436" i="112"/>
  <c r="GY341" i="112"/>
  <c r="GW328" i="112"/>
  <c r="GW329" i="112"/>
  <c r="GX412" i="112"/>
  <c r="GZ412" i="112" s="1"/>
  <c r="GX385" i="112"/>
  <c r="GZ385" i="112" s="1"/>
  <c r="B625" i="127" s="1"/>
  <c r="C625" i="127" s="1"/>
  <c r="GY391" i="112"/>
  <c r="GZ391" i="112" s="1"/>
  <c r="B631" i="127" s="1"/>
  <c r="C631" i="127" s="1"/>
  <c r="GY445" i="112"/>
  <c r="GZ445" i="112" s="1"/>
  <c r="GW388" i="112"/>
  <c r="GY448" i="112"/>
  <c r="GZ448" i="112" s="1"/>
  <c r="B684" i="127" s="1"/>
  <c r="C684" i="127" s="1"/>
  <c r="GW406" i="112"/>
  <c r="GW372" i="112"/>
  <c r="GY496" i="112"/>
  <c r="GX494" i="112"/>
  <c r="GW397" i="112"/>
  <c r="GY456" i="112"/>
  <c r="GZ456" i="112" s="1"/>
  <c r="GW457" i="112"/>
  <c r="GY460" i="112"/>
  <c r="GZ460" i="112" s="1"/>
  <c r="B696" i="127" s="1"/>
  <c r="C696" i="127" s="1"/>
  <c r="GX360" i="112"/>
  <c r="GZ360" i="112" s="1"/>
  <c r="GY481" i="112"/>
  <c r="GY402" i="112"/>
  <c r="GZ402" i="112" s="1"/>
  <c r="B154" i="130" s="1"/>
  <c r="C154" i="130" s="1"/>
  <c r="GX315" i="112"/>
  <c r="GZ315" i="112" s="1"/>
  <c r="GW359" i="112"/>
  <c r="GY358" i="112"/>
  <c r="GZ358" i="112" s="1"/>
  <c r="GY399" i="112"/>
  <c r="GY363" i="112"/>
  <c r="GZ363" i="112" s="1"/>
  <c r="B607" i="127" s="1"/>
  <c r="C607" i="127" s="1"/>
  <c r="GY464" i="112"/>
  <c r="GW313" i="112"/>
  <c r="GY403" i="112"/>
  <c r="GX383" i="112"/>
  <c r="GW339" i="112"/>
  <c r="GY463" i="112"/>
  <c r="GX480" i="112"/>
  <c r="GW416" i="112"/>
  <c r="GX453" i="112"/>
  <c r="GX326" i="112"/>
  <c r="GX451" i="112"/>
  <c r="GY317" i="112"/>
  <c r="B675" i="127"/>
  <c r="C675" i="127" s="1"/>
  <c r="B667" i="127"/>
  <c r="C667" i="127" s="1"/>
  <c r="GY311" i="112"/>
  <c r="GX338" i="112"/>
  <c r="GW418" i="112"/>
  <c r="GW387" i="112"/>
  <c r="GW379" i="112"/>
  <c r="GX339" i="112"/>
  <c r="GY480" i="112"/>
  <c r="GY495" i="112"/>
  <c r="GX416" i="112"/>
  <c r="GY453" i="112"/>
  <c r="GY451" i="112"/>
  <c r="GW333" i="112"/>
  <c r="B691" i="127"/>
  <c r="C691" i="127" s="1"/>
  <c r="B720" i="127"/>
  <c r="C720" i="127" s="1"/>
  <c r="B598" i="127"/>
  <c r="C598" i="127" s="1"/>
  <c r="B734" i="127"/>
  <c r="C734" i="127" s="1"/>
  <c r="GX342" i="112"/>
  <c r="GZ342" i="112" s="1"/>
  <c r="GX343" i="112"/>
  <c r="GZ343" i="112" s="1"/>
  <c r="B591" i="127" s="1"/>
  <c r="C591" i="127" s="1"/>
  <c r="GY429" i="112"/>
  <c r="GZ429" i="112" s="1"/>
  <c r="GX449" i="112"/>
  <c r="GW452" i="112"/>
  <c r="GY339" i="112"/>
  <c r="GX346" i="112"/>
  <c r="GW440" i="112"/>
  <c r="GY478" i="112"/>
  <c r="GY416" i="112"/>
  <c r="GW330" i="112"/>
  <c r="GW453" i="112"/>
  <c r="GX308" i="112"/>
  <c r="GW476" i="112"/>
  <c r="GY447" i="112"/>
  <c r="GZ447" i="112" s="1"/>
  <c r="GX333" i="112"/>
  <c r="GX309" i="112"/>
  <c r="GZ309" i="112" s="1"/>
  <c r="B561" i="127" s="1"/>
  <c r="C561" i="127" s="1"/>
  <c r="GX413" i="112"/>
  <c r="GZ413" i="112" s="1"/>
  <c r="B155" i="130" s="1"/>
  <c r="C155" i="130" s="1"/>
  <c r="GW394" i="112"/>
  <c r="GY430" i="112"/>
  <c r="GZ430" i="112" s="1"/>
  <c r="B686" i="127"/>
  <c r="C686" i="127" s="1"/>
  <c r="B704" i="127"/>
  <c r="C704" i="127" s="1"/>
  <c r="GY312" i="112"/>
  <c r="GX437" i="112"/>
  <c r="GW454" i="112"/>
  <c r="GX434" i="112"/>
  <c r="GY386" i="112"/>
  <c r="GZ386" i="112" s="1"/>
  <c r="GW364" i="112"/>
  <c r="GX452" i="112"/>
  <c r="GX438" i="112"/>
  <c r="GZ438" i="112" s="1"/>
  <c r="B709" i="127"/>
  <c r="C709" i="127" s="1"/>
  <c r="B717" i="127"/>
  <c r="C717" i="127" s="1"/>
  <c r="B624" i="127"/>
  <c r="C624" i="127" s="1"/>
  <c r="B682" i="127"/>
  <c r="C682" i="127" s="1"/>
  <c r="GW420" i="112"/>
  <c r="GW382" i="112"/>
  <c r="GW390" i="112"/>
  <c r="GX376" i="112"/>
  <c r="GW341" i="112"/>
  <c r="GX399" i="112"/>
  <c r="B584" i="127"/>
  <c r="C584" i="127" s="1"/>
  <c r="B707" i="127"/>
  <c r="C707" i="127" s="1"/>
  <c r="GT508" i="112"/>
  <c r="GW508" i="112" s="1"/>
  <c r="GU508" i="112"/>
  <c r="GX508" i="112" s="1"/>
  <c r="GV471" i="112"/>
  <c r="GY471" i="112" s="1"/>
  <c r="GU471" i="112"/>
  <c r="GX471" i="112" s="1"/>
  <c r="GT471" i="112"/>
  <c r="GT489" i="112"/>
  <c r="GU489" i="112"/>
  <c r="GV489" i="112"/>
  <c r="GY489" i="112" s="1"/>
  <c r="GV508" i="112"/>
  <c r="GY508" i="112" s="1"/>
  <c r="GT422" i="112"/>
  <c r="GW422" i="112" s="1"/>
  <c r="GU422" i="112"/>
  <c r="GX422" i="112" s="1"/>
  <c r="GV422" i="112"/>
  <c r="GT348" i="112"/>
  <c r="GU348" i="112"/>
  <c r="GT366" i="112"/>
  <c r="GV348" i="112"/>
  <c r="GY348" i="112" s="1"/>
  <c r="GU366" i="112"/>
  <c r="GX366" i="112" s="1"/>
  <c r="GV366" i="112"/>
  <c r="GT321" i="112"/>
  <c r="GW321" i="112" s="1"/>
  <c r="GV321" i="112"/>
  <c r="GU321" i="112"/>
  <c r="E1799" i="123"/>
  <c r="T1799" i="123"/>
  <c r="E1737" i="123"/>
  <c r="T1737" i="123"/>
  <c r="E1675" i="123"/>
  <c r="T1675" i="123"/>
  <c r="E1613" i="123"/>
  <c r="T1613" i="123"/>
  <c r="E1551" i="123"/>
  <c r="F1551" i="123" s="1"/>
  <c r="T1551" i="123"/>
  <c r="E1489" i="123"/>
  <c r="F1489" i="123" s="1"/>
  <c r="T1489" i="123"/>
  <c r="E1427" i="123"/>
  <c r="F1427" i="123" s="1"/>
  <c r="T1427" i="123"/>
  <c r="BA574" i="111"/>
  <c r="BA551" i="111"/>
  <c r="BA514" i="111"/>
  <c r="BA491" i="111"/>
  <c r="BA454" i="111"/>
  <c r="BA431" i="111"/>
  <c r="BA394" i="111"/>
  <c r="BA371" i="111"/>
  <c r="BA334" i="111"/>
  <c r="BA311" i="111"/>
  <c r="BA274" i="111"/>
  <c r="BA251" i="111"/>
  <c r="BA214" i="111"/>
  <c r="BA191" i="111"/>
  <c r="BA154" i="111"/>
  <c r="B610" i="127" l="1"/>
  <c r="C610" i="127" s="1"/>
  <c r="B721" i="127"/>
  <c r="C721" i="127" s="1"/>
  <c r="GZ313" i="112"/>
  <c r="B565" i="127" s="1"/>
  <c r="C565" i="127" s="1"/>
  <c r="GZ338" i="112"/>
  <c r="B586" i="127" s="1"/>
  <c r="C586" i="127" s="1"/>
  <c r="GZ401" i="112"/>
  <c r="B153" i="130" s="1"/>
  <c r="C153" i="130" s="1"/>
  <c r="GZ479" i="112"/>
  <c r="GZ382" i="112"/>
  <c r="GZ454" i="112"/>
  <c r="B611" i="127"/>
  <c r="C611" i="127" s="1"/>
  <c r="GZ486" i="112"/>
  <c r="B718" i="127" s="1"/>
  <c r="C718" i="127" s="1"/>
  <c r="B725" i="127"/>
  <c r="C725" i="127" s="1"/>
  <c r="GZ387" i="112"/>
  <c r="B627" i="127" s="1"/>
  <c r="C627" i="127" s="1"/>
  <c r="GZ453" i="112"/>
  <c r="B157" i="130" s="1"/>
  <c r="C157" i="130" s="1"/>
  <c r="B640" i="127"/>
  <c r="C640" i="127" s="1"/>
  <c r="GZ364" i="112"/>
  <c r="GZ389" i="112"/>
  <c r="B629" i="127" s="1"/>
  <c r="C629" i="127" s="1"/>
  <c r="GZ399" i="112"/>
  <c r="B639" i="127" s="1"/>
  <c r="C639" i="127" s="1"/>
  <c r="GZ395" i="112"/>
  <c r="B151" i="130" s="1"/>
  <c r="C151" i="130" s="1"/>
  <c r="GZ317" i="112"/>
  <c r="B569" i="127" s="1"/>
  <c r="C569" i="127" s="1"/>
  <c r="GZ334" i="112"/>
  <c r="B582" i="127" s="1"/>
  <c r="C582" i="127" s="1"/>
  <c r="GZ375" i="112"/>
  <c r="B615" i="127" s="1"/>
  <c r="C615" i="127" s="1"/>
  <c r="GZ381" i="112"/>
  <c r="GZ437" i="112"/>
  <c r="B683" i="127"/>
  <c r="C683" i="127" s="1"/>
  <c r="GZ508" i="112"/>
  <c r="B118" i="130" s="1"/>
  <c r="C118" i="130" s="1"/>
  <c r="GZ341" i="112"/>
  <c r="B589" i="127" s="1"/>
  <c r="C589" i="127" s="1"/>
  <c r="GZ476" i="112"/>
  <c r="B708" i="127" s="1"/>
  <c r="C708" i="127" s="1"/>
  <c r="GZ339" i="112"/>
  <c r="B587" i="127" s="1"/>
  <c r="C587" i="127" s="1"/>
  <c r="GZ359" i="112"/>
  <c r="B603" i="127" s="1"/>
  <c r="C603" i="127" s="1"/>
  <c r="GZ397" i="112"/>
  <c r="B637" i="127" s="1"/>
  <c r="C637" i="127" s="1"/>
  <c r="GZ443" i="112"/>
  <c r="B679" i="127" s="1"/>
  <c r="C679" i="127" s="1"/>
  <c r="GZ451" i="112"/>
  <c r="B687" i="127" s="1"/>
  <c r="C687" i="127" s="1"/>
  <c r="GZ452" i="112"/>
  <c r="B156" i="130" s="1"/>
  <c r="C156" i="130" s="1"/>
  <c r="GZ418" i="112"/>
  <c r="B658" i="127" s="1"/>
  <c r="C658" i="127" s="1"/>
  <c r="B567" i="127"/>
  <c r="C567" i="127" s="1"/>
  <c r="GZ326" i="112"/>
  <c r="B574" i="127" s="1"/>
  <c r="C574" i="127" s="1"/>
  <c r="GZ480" i="112"/>
  <c r="B712" i="127" s="1"/>
  <c r="C712" i="127" s="1"/>
  <c r="GZ487" i="112"/>
  <c r="B719" i="127" s="1"/>
  <c r="C719" i="127" s="1"/>
  <c r="GZ390" i="112"/>
  <c r="B630" i="127" s="1"/>
  <c r="C630" i="127" s="1"/>
  <c r="GZ394" i="112"/>
  <c r="B634" i="127" s="1"/>
  <c r="C634" i="127" s="1"/>
  <c r="GZ330" i="112"/>
  <c r="B578" i="127" s="1"/>
  <c r="C578" i="127" s="1"/>
  <c r="GZ372" i="112"/>
  <c r="B150" i="130" s="1"/>
  <c r="C150" i="130" s="1"/>
  <c r="GZ329" i="112"/>
  <c r="B577" i="127" s="1"/>
  <c r="C577" i="127" s="1"/>
  <c r="GZ435" i="112"/>
  <c r="B671" i="127" s="1"/>
  <c r="C671" i="127" s="1"/>
  <c r="GZ463" i="112"/>
  <c r="B699" i="127" s="1"/>
  <c r="C699" i="127" s="1"/>
  <c r="GZ327" i="112"/>
  <c r="B575" i="127" s="1"/>
  <c r="C575" i="127" s="1"/>
  <c r="GZ449" i="112"/>
  <c r="B685" i="127" s="1"/>
  <c r="C685" i="127" s="1"/>
  <c r="GZ481" i="112"/>
  <c r="B713" i="127" s="1"/>
  <c r="C713" i="127" s="1"/>
  <c r="GZ420" i="112"/>
  <c r="B660" i="127" s="1"/>
  <c r="C660" i="127" s="1"/>
  <c r="B626" i="127"/>
  <c r="C626" i="127" s="1"/>
  <c r="B653" i="127"/>
  <c r="C653" i="127" s="1"/>
  <c r="B665" i="127"/>
  <c r="C665" i="127" s="1"/>
  <c r="GZ416" i="112"/>
  <c r="B656" i="127" s="1"/>
  <c r="C656" i="127" s="1"/>
  <c r="B604" i="127"/>
  <c r="C604" i="127" s="1"/>
  <c r="GZ406" i="112"/>
  <c r="B646" i="127" s="1"/>
  <c r="C646" i="127" s="1"/>
  <c r="GZ328" i="112"/>
  <c r="B576" i="127" s="1"/>
  <c r="C576" i="127" s="1"/>
  <c r="B668" i="127"/>
  <c r="C668" i="127" s="1"/>
  <c r="GZ378" i="112"/>
  <c r="B618" i="127" s="1"/>
  <c r="C618" i="127" s="1"/>
  <c r="GZ403" i="112"/>
  <c r="B643" i="127" s="1"/>
  <c r="C643" i="127" s="1"/>
  <c r="GZ383" i="112"/>
  <c r="B623" i="127" s="1"/>
  <c r="C623" i="127" s="1"/>
  <c r="B642" i="127"/>
  <c r="C642" i="127" s="1"/>
  <c r="B674" i="127"/>
  <c r="C674" i="127" s="1"/>
  <c r="GZ411" i="112"/>
  <c r="B651" i="127" s="1"/>
  <c r="C651" i="127" s="1"/>
  <c r="GZ396" i="112"/>
  <c r="B636" i="127" s="1"/>
  <c r="C636" i="127" s="1"/>
  <c r="GZ311" i="112"/>
  <c r="B563" i="127" s="1"/>
  <c r="C563" i="127" s="1"/>
  <c r="GZ464" i="112"/>
  <c r="B700" i="127" s="1"/>
  <c r="C700" i="127" s="1"/>
  <c r="GZ494" i="112"/>
  <c r="B722" i="127" s="1"/>
  <c r="C722" i="127" s="1"/>
  <c r="GZ407" i="112"/>
  <c r="B647" i="127" s="1"/>
  <c r="C647" i="127" s="1"/>
  <c r="GZ376" i="112"/>
  <c r="B616" i="127" s="1"/>
  <c r="C616" i="127" s="1"/>
  <c r="B666" i="127"/>
  <c r="C666" i="127" s="1"/>
  <c r="B652" i="127"/>
  <c r="C652" i="127" s="1"/>
  <c r="GZ335" i="112"/>
  <c r="B147" i="130" s="1"/>
  <c r="C147" i="130" s="1"/>
  <c r="GZ440" i="112"/>
  <c r="B676" i="127" s="1"/>
  <c r="C676" i="127" s="1"/>
  <c r="B590" i="127"/>
  <c r="C590" i="127" s="1"/>
  <c r="GZ333" i="112"/>
  <c r="B581" i="127" s="1"/>
  <c r="C581" i="127" s="1"/>
  <c r="GZ457" i="112"/>
  <c r="B693" i="127" s="1"/>
  <c r="C693" i="127" s="1"/>
  <c r="GZ388" i="112"/>
  <c r="B628" i="127" s="1"/>
  <c r="C628" i="127" s="1"/>
  <c r="GZ436" i="112"/>
  <c r="B672" i="127" s="1"/>
  <c r="C672" i="127" s="1"/>
  <c r="GZ467" i="112"/>
  <c r="B703" i="127" s="1"/>
  <c r="C703" i="127" s="1"/>
  <c r="GZ495" i="112"/>
  <c r="B723" i="127" s="1"/>
  <c r="C723" i="127" s="1"/>
  <c r="B711" i="127"/>
  <c r="C711" i="127" s="1"/>
  <c r="B613" i="127"/>
  <c r="C613" i="127" s="1"/>
  <c r="GZ362" i="112"/>
  <c r="B606" i="127" s="1"/>
  <c r="C606" i="127" s="1"/>
  <c r="GZ496" i="112"/>
  <c r="B159" i="130" s="1"/>
  <c r="C159" i="130" s="1"/>
  <c r="GZ465" i="112"/>
  <c r="B701" i="127" s="1"/>
  <c r="C701" i="127" s="1"/>
  <c r="GZ478" i="112"/>
  <c r="B710" i="127" s="1"/>
  <c r="C710" i="127" s="1"/>
  <c r="GZ434" i="112"/>
  <c r="B670" i="127" s="1"/>
  <c r="C670" i="127" s="1"/>
  <c r="GZ346" i="112"/>
  <c r="B594" i="127" s="1"/>
  <c r="C594" i="127" s="1"/>
  <c r="GZ379" i="112"/>
  <c r="B619" i="127" s="1"/>
  <c r="C619" i="127" s="1"/>
  <c r="B602" i="127"/>
  <c r="C602" i="127" s="1"/>
  <c r="B692" i="127"/>
  <c r="C692" i="127" s="1"/>
  <c r="B681" i="127"/>
  <c r="C681" i="127" s="1"/>
  <c r="B644" i="127"/>
  <c r="C644" i="127" s="1"/>
  <c r="GZ433" i="112"/>
  <c r="B669" i="127" s="1"/>
  <c r="C669" i="127" s="1"/>
  <c r="B706" i="127"/>
  <c r="C706" i="127" s="1"/>
  <c r="GZ459" i="112"/>
  <c r="B695" i="127" s="1"/>
  <c r="C695" i="127" s="1"/>
  <c r="GZ462" i="112"/>
  <c r="B698" i="127" s="1"/>
  <c r="C698" i="127" s="1"/>
  <c r="GZ308" i="112"/>
  <c r="B560" i="127" s="1"/>
  <c r="C560" i="127" s="1"/>
  <c r="GZ345" i="112"/>
  <c r="B593" i="127" s="1"/>
  <c r="C593" i="127" s="1"/>
  <c r="GZ312" i="112"/>
  <c r="B564" i="127" s="1"/>
  <c r="C564" i="127" s="1"/>
  <c r="B608" i="127"/>
  <c r="C608" i="127" s="1"/>
  <c r="B690" i="127"/>
  <c r="C690" i="127" s="1"/>
  <c r="GY366" i="112"/>
  <c r="B622" i="127"/>
  <c r="C622" i="127" s="1"/>
  <c r="B673" i="127"/>
  <c r="C673" i="127" s="1"/>
  <c r="GX348" i="112"/>
  <c r="GX489" i="112"/>
  <c r="GW366" i="112"/>
  <c r="GX321" i="112"/>
  <c r="GW348" i="112"/>
  <c r="GW489" i="112"/>
  <c r="B621" i="127"/>
  <c r="C621" i="127" s="1"/>
  <c r="GY321" i="112"/>
  <c r="GY422" i="112"/>
  <c r="GW471" i="112"/>
  <c r="BA131" i="111"/>
  <c r="E1873" i="123" s="1"/>
  <c r="BA94" i="111"/>
  <c r="E1870" i="123" s="1"/>
  <c r="BA71" i="111"/>
  <c r="E1867" i="123" s="1"/>
  <c r="BA35" i="111"/>
  <c r="E1864" i="123" s="1"/>
  <c r="BA12" i="111"/>
  <c r="E1919" i="123"/>
  <c r="E1916" i="123"/>
  <c r="E1915" i="123"/>
  <c r="E1913" i="123"/>
  <c r="E1912" i="123"/>
  <c r="E1910" i="123"/>
  <c r="E1909" i="123"/>
  <c r="E1907" i="123"/>
  <c r="E1906" i="123"/>
  <c r="E1904" i="123"/>
  <c r="E1903" i="123"/>
  <c r="E1901" i="123"/>
  <c r="E1900" i="123"/>
  <c r="E1898" i="123"/>
  <c r="E1897" i="123"/>
  <c r="E1895" i="123"/>
  <c r="E1894" i="123"/>
  <c r="E1892" i="123"/>
  <c r="E1891" i="123"/>
  <c r="E1889" i="123"/>
  <c r="E1888" i="123"/>
  <c r="E1886" i="123"/>
  <c r="E1885" i="123"/>
  <c r="E1883" i="123"/>
  <c r="E1882" i="123"/>
  <c r="E1880" i="123"/>
  <c r="E1879" i="123"/>
  <c r="E1877" i="123"/>
  <c r="E1876" i="123"/>
  <c r="E1874" i="123"/>
  <c r="E1871" i="123"/>
  <c r="E1868" i="123"/>
  <c r="E1865" i="123"/>
  <c r="T1918" i="123"/>
  <c r="T1917" i="123"/>
  <c r="T1915" i="123"/>
  <c r="T1914" i="123"/>
  <c r="T1912" i="123"/>
  <c r="T1911" i="123"/>
  <c r="T1909" i="123"/>
  <c r="T1908" i="123"/>
  <c r="T1906" i="123"/>
  <c r="T1905" i="123"/>
  <c r="T1903" i="123"/>
  <c r="T1902" i="123"/>
  <c r="T1900" i="123"/>
  <c r="T1899" i="123"/>
  <c r="T1897" i="123"/>
  <c r="T1896" i="123"/>
  <c r="T1894" i="123"/>
  <c r="T1893" i="123"/>
  <c r="T1891" i="123"/>
  <c r="T1890" i="123"/>
  <c r="T1888" i="123"/>
  <c r="T1887" i="123"/>
  <c r="T1885" i="123"/>
  <c r="T1884" i="123"/>
  <c r="T1882" i="123"/>
  <c r="T1881" i="123"/>
  <c r="T1879" i="123"/>
  <c r="T1878" i="123"/>
  <c r="T1876" i="123"/>
  <c r="T1875" i="123"/>
  <c r="T1873" i="123"/>
  <c r="T1872" i="123"/>
  <c r="T1870" i="123"/>
  <c r="T1869" i="123"/>
  <c r="T1867" i="123"/>
  <c r="T1866" i="123"/>
  <c r="T1863" i="123"/>
  <c r="T1864" i="123"/>
  <c r="T1859" i="123"/>
  <c r="T1860" i="123"/>
  <c r="T1861" i="123"/>
  <c r="T1862" i="123"/>
  <c r="T1865" i="123"/>
  <c r="T1868" i="123"/>
  <c r="E1918" i="123"/>
  <c r="E1861" i="123"/>
  <c r="E1862" i="123"/>
  <c r="D1919" i="123"/>
  <c r="D1916" i="123"/>
  <c r="D1913" i="123"/>
  <c r="D1910" i="123"/>
  <c r="D1907" i="123"/>
  <c r="D1904" i="123"/>
  <c r="D1901" i="123"/>
  <c r="D1898" i="123"/>
  <c r="D1895" i="123"/>
  <c r="D1892" i="123"/>
  <c r="D1889" i="123"/>
  <c r="D1886" i="123"/>
  <c r="D1883" i="123"/>
  <c r="D1880" i="123"/>
  <c r="D1877" i="123"/>
  <c r="D1874" i="123"/>
  <c r="D1871" i="123"/>
  <c r="D1868" i="123"/>
  <c r="D1865" i="123"/>
  <c r="D1862" i="123"/>
  <c r="B635" i="127" l="1"/>
  <c r="C635" i="127" s="1"/>
  <c r="B641" i="127"/>
  <c r="C641" i="127" s="1"/>
  <c r="B204" i="127"/>
  <c r="C204" i="127" s="1"/>
  <c r="B689" i="127"/>
  <c r="C689" i="127" s="1"/>
  <c r="B583" i="127"/>
  <c r="C583" i="127" s="1"/>
  <c r="GZ348" i="112"/>
  <c r="B113" i="130" s="1"/>
  <c r="C113" i="130" s="1"/>
  <c r="GZ489" i="112"/>
  <c r="B117" i="130" s="1"/>
  <c r="C117" i="130" s="1"/>
  <c r="GZ366" i="112"/>
  <c r="B114" i="130" s="1"/>
  <c r="C114" i="130" s="1"/>
  <c r="B612" i="127"/>
  <c r="C612" i="127" s="1"/>
  <c r="GZ471" i="112"/>
  <c r="B116" i="130" s="1"/>
  <c r="C116" i="130" s="1"/>
  <c r="B724" i="127"/>
  <c r="C724" i="127" s="1"/>
  <c r="B688" i="127"/>
  <c r="C688" i="127" s="1"/>
  <c r="GZ422" i="112"/>
  <c r="B115" i="130" s="1"/>
  <c r="C115" i="130" s="1"/>
  <c r="GZ321" i="112"/>
  <c r="B112" i="130" s="1"/>
  <c r="C112" i="130" s="1"/>
  <c r="AN2" i="121"/>
  <c r="AO7" i="111"/>
  <c r="AS5" i="114"/>
  <c r="B199" i="127" l="1"/>
  <c r="C199" i="127" s="1"/>
  <c r="B203" i="127"/>
  <c r="C203" i="127" s="1"/>
  <c r="B200" i="127"/>
  <c r="C200" i="127" s="1"/>
  <c r="B201" i="127"/>
  <c r="C201" i="127" s="1"/>
  <c r="B198" i="127"/>
  <c r="C198" i="127" s="1"/>
  <c r="B202" i="127"/>
  <c r="C202" i="127" s="1"/>
  <c r="AW3" i="124"/>
  <c r="T53" i="123"/>
  <c r="T54" i="123"/>
  <c r="T55" i="123"/>
  <c r="T56" i="123"/>
  <c r="T57" i="123"/>
  <c r="T58" i="123"/>
  <c r="T59" i="123"/>
  <c r="E54" i="123"/>
  <c r="F54" i="123" s="1"/>
  <c r="E278" i="123"/>
  <c r="F278" i="123" s="1"/>
  <c r="T278" i="123"/>
  <c r="E1424" i="123" l="1"/>
  <c r="F1424" i="123" s="1"/>
  <c r="E1415" i="123"/>
  <c r="F1415" i="123" s="1"/>
  <c r="E1406" i="123"/>
  <c r="F1406" i="123" s="1"/>
  <c r="E1397" i="123"/>
  <c r="F1397" i="123" s="1"/>
  <c r="E1421" i="123"/>
  <c r="F1421" i="123" s="1"/>
  <c r="E1420" i="123"/>
  <c r="F1420" i="123" s="1"/>
  <c r="E1419" i="123"/>
  <c r="F1419" i="123" s="1"/>
  <c r="E1412" i="123"/>
  <c r="F1412" i="123" s="1"/>
  <c r="E1411" i="123"/>
  <c r="F1411" i="123" s="1"/>
  <c r="E1410" i="123"/>
  <c r="F1410" i="123" s="1"/>
  <c r="E1403" i="123"/>
  <c r="F1403" i="123" s="1"/>
  <c r="E1402" i="123"/>
  <c r="F1402" i="123" s="1"/>
  <c r="E1401" i="123"/>
  <c r="F1401" i="123" s="1"/>
  <c r="E1394" i="123"/>
  <c r="F1394" i="123" s="1"/>
  <c r="E1393" i="123"/>
  <c r="F1393" i="123" s="1"/>
  <c r="E1392" i="123"/>
  <c r="F1392" i="123" s="1"/>
  <c r="D1424" i="123"/>
  <c r="D1423" i="123"/>
  <c r="C1423" i="123" s="1"/>
  <c r="D1422" i="123"/>
  <c r="C1422" i="123" s="1"/>
  <c r="D1421" i="123"/>
  <c r="D1420" i="123"/>
  <c r="D1419" i="123"/>
  <c r="D1415" i="123"/>
  <c r="D1414" i="123"/>
  <c r="C1414" i="123" s="1"/>
  <c r="D1413" i="123"/>
  <c r="E1413" i="123" s="1"/>
  <c r="F1413" i="123" s="1"/>
  <c r="D1412" i="123"/>
  <c r="D1411" i="123"/>
  <c r="D1410" i="123"/>
  <c r="D1406" i="123"/>
  <c r="D1405" i="123"/>
  <c r="C1405" i="123" s="1"/>
  <c r="D1404" i="123"/>
  <c r="E1404" i="123" s="1"/>
  <c r="F1404" i="123" s="1"/>
  <c r="D1403" i="123"/>
  <c r="D1402" i="123"/>
  <c r="D1401" i="123"/>
  <c r="D1397" i="123"/>
  <c r="D1396" i="123"/>
  <c r="C1396" i="123" s="1"/>
  <c r="D1395" i="123"/>
  <c r="E1395" i="123" s="1"/>
  <c r="F1395" i="123" s="1"/>
  <c r="D1394" i="123"/>
  <c r="D1393" i="123"/>
  <c r="D1392" i="123"/>
  <c r="B1424" i="123"/>
  <c r="C1424" i="123" s="1"/>
  <c r="B1423" i="123"/>
  <c r="B1422" i="123"/>
  <c r="B1421" i="123"/>
  <c r="C1421" i="123" s="1"/>
  <c r="B1420" i="123"/>
  <c r="C1420" i="123" s="1"/>
  <c r="B1419" i="123"/>
  <c r="C1419" i="123" s="1"/>
  <c r="B1418" i="123"/>
  <c r="C1418" i="123" s="1"/>
  <c r="D1418" i="123" s="1"/>
  <c r="E1418" i="123" s="1"/>
  <c r="F1418" i="123" s="1"/>
  <c r="B1415" i="123"/>
  <c r="C1415" i="123" s="1"/>
  <c r="B1414" i="123"/>
  <c r="B1413" i="123"/>
  <c r="B1412" i="123"/>
  <c r="C1412" i="123" s="1"/>
  <c r="B1411" i="123"/>
  <c r="C1411" i="123" s="1"/>
  <c r="B1410" i="123"/>
  <c r="C1410" i="123" s="1"/>
  <c r="B1409" i="123"/>
  <c r="C1409" i="123" s="1"/>
  <c r="D1409" i="123" s="1"/>
  <c r="E1409" i="123" s="1"/>
  <c r="F1409" i="123" s="1"/>
  <c r="B1406" i="123"/>
  <c r="C1406" i="123" s="1"/>
  <c r="B1405" i="123"/>
  <c r="B1404" i="123"/>
  <c r="B1403" i="123"/>
  <c r="C1403" i="123" s="1"/>
  <c r="B1402" i="123"/>
  <c r="C1402" i="123" s="1"/>
  <c r="B1401" i="123"/>
  <c r="C1401" i="123" s="1"/>
  <c r="B1400" i="123"/>
  <c r="C1400" i="123" s="1"/>
  <c r="D1400" i="123" s="1"/>
  <c r="E1400" i="123" s="1"/>
  <c r="F1400" i="123" s="1"/>
  <c r="B1394" i="123"/>
  <c r="C1394" i="123" s="1"/>
  <c r="B1393" i="123"/>
  <c r="C1393" i="123" s="1"/>
  <c r="B1397" i="123"/>
  <c r="C1397" i="123" s="1"/>
  <c r="B1396" i="123"/>
  <c r="B1395" i="123"/>
  <c r="B1392" i="123"/>
  <c r="C1392" i="123" s="1"/>
  <c r="B1391" i="123"/>
  <c r="C1391" i="123" s="1"/>
  <c r="D1391" i="123" s="1"/>
  <c r="E1391" i="123" s="1"/>
  <c r="F1391" i="123" s="1"/>
  <c r="E1416" i="123"/>
  <c r="F1416" i="123" s="1"/>
  <c r="E1407" i="123"/>
  <c r="F1407" i="123" s="1"/>
  <c r="E1398" i="123"/>
  <c r="F1398" i="123" s="1"/>
  <c r="E1389" i="123"/>
  <c r="F1389" i="123" s="1"/>
  <c r="T1424" i="123"/>
  <c r="T1423" i="123"/>
  <c r="T1422" i="123"/>
  <c r="E1422" i="123"/>
  <c r="F1422" i="123" s="1"/>
  <c r="T1421" i="123"/>
  <c r="T1420" i="123"/>
  <c r="T1419" i="123"/>
  <c r="T1418" i="123"/>
  <c r="T1417" i="123"/>
  <c r="T1416" i="123"/>
  <c r="T1415" i="123"/>
  <c r="T1414" i="123"/>
  <c r="T1413" i="123"/>
  <c r="T1412" i="123"/>
  <c r="T1411" i="123"/>
  <c r="T1410" i="123"/>
  <c r="T1409" i="123"/>
  <c r="T1408" i="123"/>
  <c r="T1407" i="123"/>
  <c r="T1406" i="123"/>
  <c r="T1405" i="123"/>
  <c r="T1404" i="123"/>
  <c r="T1403" i="123"/>
  <c r="T1402" i="123"/>
  <c r="T1401" i="123"/>
  <c r="T1400" i="123"/>
  <c r="T1399" i="123"/>
  <c r="T1398" i="123"/>
  <c r="T1397" i="123"/>
  <c r="T1396" i="123"/>
  <c r="T1395" i="123"/>
  <c r="T1394" i="123"/>
  <c r="T1393" i="123"/>
  <c r="T1392" i="123"/>
  <c r="T1391" i="123"/>
  <c r="T1390" i="123"/>
  <c r="T1389" i="123"/>
  <c r="T1290" i="123"/>
  <c r="T1291" i="123"/>
  <c r="T1292" i="123"/>
  <c r="T1293" i="123"/>
  <c r="T1294" i="123"/>
  <c r="T1295" i="123"/>
  <c r="T1296" i="123"/>
  <c r="T1297" i="123"/>
  <c r="T1298" i="123"/>
  <c r="T1299" i="123"/>
  <c r="T1300" i="123"/>
  <c r="T1301" i="123"/>
  <c r="T1302" i="123"/>
  <c r="T1303" i="123"/>
  <c r="T1304" i="123"/>
  <c r="T1305" i="123"/>
  <c r="T1306" i="123"/>
  <c r="T1307" i="123"/>
  <c r="T1308" i="123"/>
  <c r="T1309" i="123"/>
  <c r="T1310" i="123"/>
  <c r="T1311" i="123"/>
  <c r="T1312" i="123"/>
  <c r="T1313" i="123"/>
  <c r="T1314" i="123"/>
  <c r="T1315" i="123"/>
  <c r="T1316" i="123"/>
  <c r="T1317" i="123"/>
  <c r="T1318" i="123"/>
  <c r="T1319" i="123"/>
  <c r="T1320" i="123"/>
  <c r="T1321" i="123"/>
  <c r="T1322" i="123"/>
  <c r="T1323" i="123"/>
  <c r="T1324" i="123"/>
  <c r="T1325" i="123"/>
  <c r="T1326" i="123"/>
  <c r="T1327" i="123"/>
  <c r="T1328" i="123"/>
  <c r="T1329" i="123"/>
  <c r="T1330" i="123"/>
  <c r="T1331" i="123"/>
  <c r="T1332" i="123"/>
  <c r="T1333" i="123"/>
  <c r="T1334" i="123"/>
  <c r="T1335" i="123"/>
  <c r="T1336" i="123"/>
  <c r="T1337" i="123"/>
  <c r="T1338" i="123"/>
  <c r="T1339" i="123"/>
  <c r="T1340" i="123"/>
  <c r="T1341" i="123"/>
  <c r="T1342" i="123"/>
  <c r="T1343" i="123"/>
  <c r="T1344" i="123"/>
  <c r="T1345" i="123"/>
  <c r="T1346" i="123"/>
  <c r="T1347" i="123"/>
  <c r="T1348" i="123"/>
  <c r="T1349" i="123"/>
  <c r="T1350" i="123"/>
  <c r="T1351" i="123"/>
  <c r="T1352" i="123"/>
  <c r="T1353" i="123"/>
  <c r="T1354" i="123"/>
  <c r="T1355" i="123"/>
  <c r="T1356" i="123"/>
  <c r="T1357" i="123"/>
  <c r="T1358" i="123"/>
  <c r="T1359" i="123"/>
  <c r="T1360" i="123"/>
  <c r="T1361" i="123"/>
  <c r="T1362" i="123"/>
  <c r="T1363" i="123"/>
  <c r="T1364" i="123"/>
  <c r="T1365" i="123"/>
  <c r="T1366" i="123"/>
  <c r="T1367" i="123"/>
  <c r="T1368" i="123"/>
  <c r="T1369" i="123"/>
  <c r="T1370" i="123"/>
  <c r="T1371" i="123"/>
  <c r="T1372" i="123"/>
  <c r="T1373" i="123"/>
  <c r="T1374" i="123"/>
  <c r="T1375" i="123"/>
  <c r="T1376" i="123"/>
  <c r="T1377" i="123"/>
  <c r="T1378" i="123"/>
  <c r="T1379" i="123"/>
  <c r="T1380" i="123"/>
  <c r="T1381" i="123"/>
  <c r="T1382" i="123"/>
  <c r="T1383" i="123"/>
  <c r="T1384" i="123"/>
  <c r="T1385" i="123"/>
  <c r="T1386" i="123"/>
  <c r="T1387" i="123"/>
  <c r="T1388" i="123"/>
  <c r="T1425" i="123"/>
  <c r="T1426" i="123"/>
  <c r="T1428" i="123"/>
  <c r="T1429" i="123"/>
  <c r="T1430" i="123"/>
  <c r="T1431" i="123"/>
  <c r="T1432" i="123"/>
  <c r="T1433" i="123"/>
  <c r="T1434" i="123"/>
  <c r="T1435" i="123"/>
  <c r="T1436" i="123"/>
  <c r="T1437" i="123"/>
  <c r="T1438" i="123"/>
  <c r="T1439" i="123"/>
  <c r="T1440" i="123"/>
  <c r="T1441" i="123"/>
  <c r="T1442" i="123"/>
  <c r="T1443" i="123"/>
  <c r="T1444" i="123"/>
  <c r="T1445" i="123"/>
  <c r="B1382" i="123"/>
  <c r="C1382" i="123" s="1"/>
  <c r="D1382" i="123" s="1"/>
  <c r="E1382" i="123" s="1"/>
  <c r="F1382" i="123" s="1"/>
  <c r="B1388" i="123"/>
  <c r="C1388" i="123" s="1"/>
  <c r="B1387" i="123"/>
  <c r="B1386" i="123"/>
  <c r="B1385" i="123"/>
  <c r="C1385" i="123" s="1"/>
  <c r="B1384" i="123"/>
  <c r="C1384" i="123" s="1"/>
  <c r="B1383" i="123"/>
  <c r="C1383" i="123" s="1"/>
  <c r="D1387" i="123"/>
  <c r="C1387" i="123" s="1"/>
  <c r="D1386" i="123"/>
  <c r="E1386" i="123" s="1"/>
  <c r="F1386" i="123" s="1"/>
  <c r="D1388" i="123"/>
  <c r="D1385" i="123"/>
  <c r="D1384" i="123"/>
  <c r="D1383" i="123"/>
  <c r="E1388" i="123"/>
  <c r="F1388" i="123" s="1"/>
  <c r="E1385" i="123"/>
  <c r="F1385" i="123" s="1"/>
  <c r="E1383" i="123"/>
  <c r="F1383" i="123" s="1"/>
  <c r="E1384" i="123"/>
  <c r="F1384" i="123" s="1"/>
  <c r="E1380" i="123"/>
  <c r="F1380" i="123" s="1"/>
  <c r="E1290" i="123"/>
  <c r="F1290" i="123" s="1"/>
  <c r="E1299" i="123"/>
  <c r="F1299" i="123" s="1"/>
  <c r="E1308" i="123"/>
  <c r="F1308" i="123" s="1"/>
  <c r="E1317" i="123"/>
  <c r="F1317" i="123" s="1"/>
  <c r="E1326" i="123"/>
  <c r="F1326" i="123" s="1"/>
  <c r="E1335" i="123"/>
  <c r="F1335" i="123" s="1"/>
  <c r="E1344" i="123"/>
  <c r="F1344" i="123" s="1"/>
  <c r="E1353" i="123"/>
  <c r="F1353" i="123" s="1"/>
  <c r="E1362" i="123"/>
  <c r="F1362" i="123" s="1"/>
  <c r="E1371" i="123"/>
  <c r="F1371" i="123" s="1"/>
  <c r="E1423" i="123" l="1"/>
  <c r="F1423" i="123" s="1"/>
  <c r="C1413" i="123"/>
  <c r="E1414" i="123"/>
  <c r="F1414" i="123" s="1"/>
  <c r="C1404" i="123"/>
  <c r="E1405" i="123"/>
  <c r="F1405" i="123" s="1"/>
  <c r="C1386" i="123"/>
  <c r="C1395" i="123"/>
  <c r="E1396" i="123"/>
  <c r="F1396" i="123" s="1"/>
  <c r="E1387" i="123"/>
  <c r="F1387" i="123" s="1"/>
  <c r="FO526" i="112" l="1"/>
  <c r="DM526" i="112"/>
  <c r="FO525" i="112"/>
  <c r="DM525" i="112"/>
  <c r="FO524" i="112"/>
  <c r="DM524" i="112"/>
  <c r="FO523" i="112"/>
  <c r="DM523" i="112"/>
  <c r="FO522" i="112"/>
  <c r="DM522" i="112"/>
  <c r="FO521" i="112"/>
  <c r="DM521" i="112"/>
  <c r="FO520" i="112"/>
  <c r="DM520" i="112"/>
  <c r="FO519" i="112"/>
  <c r="DM519" i="112"/>
  <c r="FO518" i="112"/>
  <c r="DM518" i="112"/>
  <c r="FO517" i="112"/>
  <c r="DM517" i="112"/>
  <c r="FO516" i="112"/>
  <c r="DM516" i="112"/>
  <c r="FO515" i="112"/>
  <c r="DM515" i="112"/>
  <c r="FO514" i="112"/>
  <c r="DM514" i="112"/>
  <c r="FO513" i="112"/>
  <c r="DM513" i="112"/>
  <c r="FO512" i="112"/>
  <c r="FK512" i="112"/>
  <c r="DM512" i="112"/>
  <c r="FK507" i="112"/>
  <c r="DM507" i="112"/>
  <c r="FK506" i="112"/>
  <c r="DM506" i="112"/>
  <c r="FK505" i="112"/>
  <c r="DM505" i="112"/>
  <c r="FK504" i="112"/>
  <c r="DM504" i="112"/>
  <c r="FK503" i="112"/>
  <c r="DM503" i="112"/>
  <c r="FK502" i="112"/>
  <c r="DM502" i="112"/>
  <c r="FK501" i="112"/>
  <c r="DM501" i="112"/>
  <c r="FK500" i="112"/>
  <c r="DM500" i="112"/>
  <c r="FK499" i="112"/>
  <c r="DM499" i="112"/>
  <c r="FK498" i="112"/>
  <c r="DM498" i="112"/>
  <c r="FO497" i="112"/>
  <c r="FK497" i="112"/>
  <c r="DM497" i="112"/>
  <c r="FO496" i="112"/>
  <c r="FK496" i="112"/>
  <c r="DM496" i="112"/>
  <c r="CB496" i="112"/>
  <c r="FO495" i="112"/>
  <c r="FK495" i="112"/>
  <c r="DM495" i="112"/>
  <c r="FO494" i="112"/>
  <c r="FK494" i="112"/>
  <c r="DM494" i="112"/>
  <c r="FO493" i="112"/>
  <c r="FK493" i="112"/>
  <c r="DM493" i="112"/>
  <c r="FO488" i="112"/>
  <c r="FK488" i="112"/>
  <c r="DM488" i="112"/>
  <c r="FO487" i="112"/>
  <c r="FK487" i="112"/>
  <c r="DM487" i="112"/>
  <c r="FO486" i="112"/>
  <c r="FK486" i="112"/>
  <c r="DM486" i="112"/>
  <c r="FO485" i="112"/>
  <c r="FK485" i="112"/>
  <c r="DM485" i="112"/>
  <c r="FO484" i="112"/>
  <c r="FK484" i="112"/>
  <c r="DM484" i="112"/>
  <c r="FO483" i="112"/>
  <c r="FK483" i="112"/>
  <c r="DM483" i="112"/>
  <c r="FO482" i="112"/>
  <c r="FK482" i="112"/>
  <c r="DM482" i="112"/>
  <c r="FO481" i="112"/>
  <c r="FK481" i="112"/>
  <c r="DM481" i="112"/>
  <c r="FO480" i="112"/>
  <c r="FK480" i="112"/>
  <c r="DM480" i="112"/>
  <c r="FO479" i="112"/>
  <c r="FK479" i="112"/>
  <c r="DM479" i="112"/>
  <c r="FO478" i="112"/>
  <c r="FK478" i="112"/>
  <c r="DM478" i="112"/>
  <c r="FO477" i="112"/>
  <c r="FK477" i="112"/>
  <c r="DM477" i="112"/>
  <c r="FO476" i="112"/>
  <c r="FK476" i="112"/>
  <c r="DM476" i="112"/>
  <c r="FO475" i="112"/>
  <c r="FK475" i="112"/>
  <c r="DM475" i="112"/>
  <c r="FO470" i="112"/>
  <c r="FK470" i="112"/>
  <c r="DM470" i="112"/>
  <c r="FO469" i="112"/>
  <c r="FK469" i="112"/>
  <c r="DM469" i="112"/>
  <c r="FO468" i="112"/>
  <c r="FK468" i="112"/>
  <c r="DM468" i="112"/>
  <c r="FO467" i="112"/>
  <c r="FK467" i="112"/>
  <c r="DM467" i="112"/>
  <c r="FO466" i="112"/>
  <c r="FK466" i="112"/>
  <c r="DM466" i="112"/>
  <c r="FO465" i="112"/>
  <c r="FK465" i="112"/>
  <c r="DM465" i="112"/>
  <c r="FO464" i="112"/>
  <c r="FK464" i="112"/>
  <c r="DM464" i="112"/>
  <c r="FO463" i="112"/>
  <c r="FK463" i="112"/>
  <c r="DM463" i="112"/>
  <c r="FO462" i="112"/>
  <c r="FK462" i="112"/>
  <c r="DM462" i="112"/>
  <c r="FO461" i="112"/>
  <c r="FK461" i="112"/>
  <c r="DM461" i="112"/>
  <c r="FO460" i="112"/>
  <c r="FK460" i="112"/>
  <c r="DM460" i="112"/>
  <c r="FO459" i="112"/>
  <c r="FK459" i="112"/>
  <c r="DM459" i="112"/>
  <c r="FO458" i="112"/>
  <c r="FK458" i="112"/>
  <c r="DM458" i="112"/>
  <c r="FO457" i="112"/>
  <c r="FK457" i="112"/>
  <c r="DM457" i="112"/>
  <c r="FO456" i="112"/>
  <c r="FK456" i="112"/>
  <c r="DM456" i="112"/>
  <c r="FO455" i="112"/>
  <c r="FK455" i="112"/>
  <c r="DM455" i="112"/>
  <c r="FO454" i="112"/>
  <c r="FK454" i="112"/>
  <c r="DM454" i="112"/>
  <c r="FO453" i="112"/>
  <c r="FK453" i="112"/>
  <c r="DM453" i="112"/>
  <c r="FO452" i="112"/>
  <c r="FK452" i="112"/>
  <c r="DM452" i="112"/>
  <c r="FO451" i="112"/>
  <c r="FK451" i="112"/>
  <c r="DM451" i="112"/>
  <c r="FO450" i="112"/>
  <c r="FK450" i="112"/>
  <c r="DM450" i="112"/>
  <c r="FO449" i="112"/>
  <c r="FK449" i="112"/>
  <c r="DM449" i="112"/>
  <c r="FO448" i="112"/>
  <c r="FK448" i="112"/>
  <c r="DM448" i="112"/>
  <c r="FO447" i="112"/>
  <c r="FK447" i="112"/>
  <c r="DM447" i="112"/>
  <c r="FO446" i="112"/>
  <c r="FK446" i="112"/>
  <c r="DM446" i="112"/>
  <c r="FO445" i="112"/>
  <c r="FK445" i="112"/>
  <c r="DM445" i="112"/>
  <c r="FO444" i="112"/>
  <c r="FK444" i="112"/>
  <c r="DM444" i="112"/>
  <c r="FO443" i="112"/>
  <c r="FK443" i="112"/>
  <c r="DM443" i="112"/>
  <c r="FO442" i="112"/>
  <c r="FK442" i="112"/>
  <c r="DM442" i="112"/>
  <c r="FO441" i="112"/>
  <c r="FK441" i="112"/>
  <c r="DM441" i="112"/>
  <c r="FO440" i="112"/>
  <c r="FK440" i="112"/>
  <c r="DM440" i="112"/>
  <c r="FO439" i="112"/>
  <c r="FK439" i="112"/>
  <c r="DM439" i="112"/>
  <c r="FO438" i="112"/>
  <c r="FK438" i="112"/>
  <c r="DM438" i="112"/>
  <c r="FO437" i="112"/>
  <c r="FK437" i="112"/>
  <c r="DM437" i="112"/>
  <c r="FO436" i="112"/>
  <c r="FK436" i="112"/>
  <c r="DM436" i="112"/>
  <c r="FO435" i="112"/>
  <c r="FK435" i="112"/>
  <c r="DM435" i="112"/>
  <c r="FO434" i="112"/>
  <c r="FK434" i="112"/>
  <c r="DM434" i="112"/>
  <c r="FO433" i="112"/>
  <c r="FK433" i="112"/>
  <c r="DM433" i="112"/>
  <c r="FO432" i="112"/>
  <c r="FK432" i="112"/>
  <c r="DM432" i="112"/>
  <c r="FO431" i="112"/>
  <c r="FK431" i="112"/>
  <c r="DM431" i="112"/>
  <c r="FO430" i="112"/>
  <c r="FK430" i="112"/>
  <c r="DM430" i="112"/>
  <c r="FO429" i="112"/>
  <c r="FK429" i="112"/>
  <c r="DM429" i="112"/>
  <c r="FO428" i="112"/>
  <c r="FK428" i="112"/>
  <c r="DM428" i="112"/>
  <c r="FO427" i="112"/>
  <c r="FK427" i="112"/>
  <c r="DM427" i="112"/>
  <c r="FO426" i="112"/>
  <c r="FK426" i="112"/>
  <c r="DM426" i="112"/>
  <c r="FO421" i="112"/>
  <c r="FK421" i="112"/>
  <c r="DM421" i="112"/>
  <c r="FO420" i="112"/>
  <c r="FK420" i="112"/>
  <c r="DM420" i="112"/>
  <c r="FO419" i="112"/>
  <c r="FK419" i="112"/>
  <c r="DM419" i="112"/>
  <c r="FO418" i="112"/>
  <c r="FK418" i="112"/>
  <c r="DM418" i="112"/>
  <c r="FO417" i="112"/>
  <c r="FK417" i="112"/>
  <c r="DM417" i="112"/>
  <c r="FO416" i="112"/>
  <c r="FK416" i="112"/>
  <c r="DM416" i="112"/>
  <c r="FO415" i="112"/>
  <c r="FK415" i="112"/>
  <c r="DM415" i="112"/>
  <c r="FO414" i="112"/>
  <c r="FK414" i="112"/>
  <c r="DM414" i="112"/>
  <c r="FO413" i="112"/>
  <c r="FK413" i="112"/>
  <c r="DM413" i="112"/>
  <c r="FO412" i="112"/>
  <c r="FK412" i="112"/>
  <c r="DM412" i="112"/>
  <c r="FO411" i="112"/>
  <c r="FK411" i="112"/>
  <c r="DM411" i="112"/>
  <c r="FO410" i="112"/>
  <c r="FK410" i="112"/>
  <c r="DM410" i="112"/>
  <c r="FO409" i="112"/>
  <c r="FK409" i="112"/>
  <c r="DM409" i="112"/>
  <c r="FO408" i="112"/>
  <c r="FK408" i="112"/>
  <c r="DM408" i="112"/>
  <c r="FO407" i="112"/>
  <c r="FK407" i="112"/>
  <c r="DM407" i="112"/>
  <c r="FO406" i="112"/>
  <c r="FK406" i="112"/>
  <c r="DM406" i="112"/>
  <c r="FO405" i="112"/>
  <c r="FK405" i="112"/>
  <c r="DM405" i="112"/>
  <c r="FO404" i="112"/>
  <c r="FK404" i="112"/>
  <c r="DM404" i="112"/>
  <c r="FO403" i="112"/>
  <c r="FK403" i="112"/>
  <c r="DM403" i="112"/>
  <c r="FO402" i="112"/>
  <c r="FK402" i="112"/>
  <c r="DM402" i="112"/>
  <c r="FO401" i="112"/>
  <c r="FK401" i="112"/>
  <c r="DM401" i="112"/>
  <c r="FO400" i="112"/>
  <c r="FK400" i="112"/>
  <c r="DM400" i="112"/>
  <c r="FO399" i="112"/>
  <c r="FK399" i="112"/>
  <c r="DM399" i="112"/>
  <c r="FO398" i="112"/>
  <c r="FK398" i="112"/>
  <c r="DM398" i="112"/>
  <c r="FO397" i="112"/>
  <c r="FK397" i="112"/>
  <c r="DM397" i="112"/>
  <c r="FO396" i="112"/>
  <c r="FK396" i="112"/>
  <c r="DM396" i="112"/>
  <c r="FO395" i="112"/>
  <c r="FK395" i="112"/>
  <c r="DM395" i="112"/>
  <c r="FO394" i="112"/>
  <c r="FK394" i="112"/>
  <c r="DM394" i="112"/>
  <c r="FO393" i="112"/>
  <c r="FK393" i="112"/>
  <c r="DM393" i="112"/>
  <c r="FO392" i="112"/>
  <c r="FK392" i="112"/>
  <c r="DM392" i="112"/>
  <c r="FO391" i="112"/>
  <c r="FK391" i="112"/>
  <c r="DM391" i="112"/>
  <c r="FO390" i="112"/>
  <c r="FK390" i="112"/>
  <c r="DM390" i="112"/>
  <c r="FO389" i="112"/>
  <c r="FK389" i="112"/>
  <c r="DM389" i="112"/>
  <c r="FO388" i="112"/>
  <c r="FK388" i="112"/>
  <c r="DM388" i="112"/>
  <c r="FO387" i="112"/>
  <c r="FK387" i="112"/>
  <c r="DM387" i="112"/>
  <c r="FO386" i="112"/>
  <c r="FK386" i="112"/>
  <c r="DM386" i="112"/>
  <c r="FO385" i="112"/>
  <c r="FK385" i="112"/>
  <c r="DM385" i="112"/>
  <c r="FO384" i="112"/>
  <c r="FK384" i="112"/>
  <c r="DM384" i="112"/>
  <c r="FO383" i="112"/>
  <c r="FK383" i="112"/>
  <c r="DM383" i="112"/>
  <c r="FO382" i="112"/>
  <c r="FK382" i="112"/>
  <c r="DM382" i="112"/>
  <c r="FO381" i="112"/>
  <c r="FK381" i="112"/>
  <c r="DM381" i="112"/>
  <c r="FO380" i="112"/>
  <c r="FK380" i="112"/>
  <c r="DM380" i="112"/>
  <c r="FO379" i="112"/>
  <c r="FK379" i="112"/>
  <c r="DM379" i="112"/>
  <c r="FO378" i="112"/>
  <c r="FK378" i="112"/>
  <c r="DM378" i="112"/>
  <c r="FO377" i="112"/>
  <c r="FK377" i="112"/>
  <c r="DM377" i="112"/>
  <c r="FO376" i="112"/>
  <c r="FK376" i="112"/>
  <c r="DM376" i="112"/>
  <c r="FO375" i="112"/>
  <c r="FK375" i="112"/>
  <c r="DM375" i="112"/>
  <c r="FO374" i="112"/>
  <c r="FK374" i="112"/>
  <c r="DM374" i="112"/>
  <c r="FO373" i="112"/>
  <c r="FK373" i="112"/>
  <c r="DM373" i="112"/>
  <c r="FO372" i="112"/>
  <c r="FK372" i="112"/>
  <c r="DM372" i="112"/>
  <c r="FO371" i="112"/>
  <c r="FK371" i="112"/>
  <c r="DM371" i="112"/>
  <c r="FO370" i="112"/>
  <c r="FK370" i="112"/>
  <c r="DM370" i="112"/>
  <c r="FO365" i="112"/>
  <c r="FK365" i="112"/>
  <c r="DM365" i="112"/>
  <c r="FO364" i="112"/>
  <c r="FK364" i="112"/>
  <c r="DM364" i="112"/>
  <c r="FO363" i="112"/>
  <c r="FK363" i="112"/>
  <c r="DM363" i="112"/>
  <c r="FO362" i="112"/>
  <c r="FK362" i="112"/>
  <c r="DM362" i="112"/>
  <c r="FO361" i="112"/>
  <c r="FK361" i="112"/>
  <c r="DM361" i="112"/>
  <c r="FO360" i="112"/>
  <c r="FK360" i="112"/>
  <c r="DM360" i="112"/>
  <c r="FO359" i="112"/>
  <c r="FK359" i="112"/>
  <c r="DM359" i="112"/>
  <c r="FO358" i="112"/>
  <c r="FK358" i="112"/>
  <c r="DM358" i="112"/>
  <c r="FO357" i="112"/>
  <c r="FK357" i="112"/>
  <c r="DM357" i="112"/>
  <c r="FO356" i="112"/>
  <c r="FK356" i="112"/>
  <c r="DM356" i="112"/>
  <c r="FO355" i="112"/>
  <c r="FK355" i="112"/>
  <c r="DM355" i="112"/>
  <c r="FO354" i="112"/>
  <c r="FK354" i="112"/>
  <c r="DM354" i="112"/>
  <c r="FO353" i="112"/>
  <c r="FK353" i="112"/>
  <c r="DM353" i="112"/>
  <c r="FO352" i="112"/>
  <c r="FK352" i="112"/>
  <c r="DM352" i="112"/>
  <c r="FO347" i="112"/>
  <c r="FK347" i="112"/>
  <c r="DM347" i="112"/>
  <c r="FO346" i="112"/>
  <c r="FK346" i="112"/>
  <c r="DM346" i="112"/>
  <c r="FO345" i="112"/>
  <c r="FK345" i="112"/>
  <c r="DM345" i="112"/>
  <c r="FO344" i="112"/>
  <c r="FK344" i="112"/>
  <c r="DM344" i="112"/>
  <c r="FO343" i="112"/>
  <c r="FK343" i="112"/>
  <c r="DM343" i="112"/>
  <c r="FO342" i="112"/>
  <c r="FK342" i="112"/>
  <c r="DM342" i="112"/>
  <c r="FO341" i="112"/>
  <c r="FK341" i="112"/>
  <c r="DM341" i="112"/>
  <c r="FO340" i="112"/>
  <c r="FK340" i="112"/>
  <c r="DM340" i="112"/>
  <c r="FO339" i="112"/>
  <c r="FK339" i="112"/>
  <c r="DM339" i="112"/>
  <c r="FO338" i="112"/>
  <c r="FK338" i="112"/>
  <c r="DM338" i="112"/>
  <c r="FO337" i="112"/>
  <c r="FK337" i="112"/>
  <c r="DM337" i="112"/>
  <c r="FO336" i="112"/>
  <c r="FK336" i="112"/>
  <c r="DM336" i="112"/>
  <c r="FO335" i="112"/>
  <c r="FK335" i="112"/>
  <c r="DM335" i="112"/>
  <c r="FO334" i="112"/>
  <c r="FK334" i="112"/>
  <c r="DM334" i="112"/>
  <c r="FO333" i="112"/>
  <c r="FK333" i="112"/>
  <c r="DM333" i="112"/>
  <c r="FO332" i="112"/>
  <c r="FK332" i="112"/>
  <c r="DM332" i="112"/>
  <c r="FO331" i="112"/>
  <c r="FK331" i="112"/>
  <c r="DM331" i="112"/>
  <c r="FO330" i="112"/>
  <c r="FK330" i="112"/>
  <c r="DM330" i="112"/>
  <c r="FO329" i="112"/>
  <c r="FK329" i="112"/>
  <c r="DM329" i="112"/>
  <c r="FO328" i="112"/>
  <c r="FK328" i="112"/>
  <c r="DM328" i="112"/>
  <c r="FO327" i="112"/>
  <c r="FK327" i="112"/>
  <c r="DM327" i="112"/>
  <c r="FO326" i="112"/>
  <c r="FK326" i="112"/>
  <c r="DM326" i="112"/>
  <c r="FO325" i="112"/>
  <c r="FK325" i="112"/>
  <c r="DM325" i="112"/>
  <c r="FO320" i="112"/>
  <c r="FK320" i="112"/>
  <c r="DM320" i="112"/>
  <c r="FO319" i="112"/>
  <c r="FK319" i="112"/>
  <c r="DM319" i="112"/>
  <c r="FO318" i="112"/>
  <c r="FK318" i="112"/>
  <c r="DM318" i="112"/>
  <c r="FO317" i="112"/>
  <c r="FK317" i="112"/>
  <c r="DM317" i="112"/>
  <c r="FO316" i="112"/>
  <c r="FK316" i="112"/>
  <c r="DM316" i="112"/>
  <c r="FO315" i="112"/>
  <c r="FK315" i="112"/>
  <c r="DM315" i="112"/>
  <c r="FO314" i="112"/>
  <c r="FK314" i="112"/>
  <c r="DM314" i="112"/>
  <c r="FO313" i="112"/>
  <c r="FK313" i="112"/>
  <c r="DM313" i="112"/>
  <c r="FO312" i="112"/>
  <c r="FK312" i="112"/>
  <c r="DM312" i="112"/>
  <c r="FO311" i="112"/>
  <c r="FK311" i="112"/>
  <c r="DM311" i="112"/>
  <c r="FO310" i="112"/>
  <c r="FK310" i="112"/>
  <c r="DM310" i="112"/>
  <c r="FO309" i="112"/>
  <c r="FK309" i="112"/>
  <c r="DM309" i="112"/>
  <c r="FO308" i="112"/>
  <c r="FK308" i="112"/>
  <c r="DM308" i="112"/>
  <c r="FO307" i="112"/>
  <c r="FK307" i="112"/>
  <c r="DM307" i="112"/>
  <c r="AW1" i="111"/>
  <c r="AN1" i="115" l="1"/>
  <c r="AN1" i="114"/>
  <c r="AR1" i="124"/>
  <c r="T1" i="122"/>
  <c r="F5" i="125"/>
  <c r="DN234" i="112"/>
  <c r="DN232" i="112"/>
  <c r="Q33" i="124" l="1"/>
  <c r="H20" i="124"/>
  <c r="H17" i="124"/>
  <c r="AB46" i="112" l="1"/>
  <c r="E1417" i="123" l="1"/>
  <c r="F1417" i="123" s="1"/>
  <c r="P525" i="112"/>
  <c r="E1408" i="123" s="1"/>
  <c r="F1408" i="123" s="1"/>
  <c r="P524" i="112"/>
  <c r="E1399" i="123" s="1"/>
  <c r="F1399" i="123" s="1"/>
  <c r="P523" i="112"/>
  <c r="E1390" i="123" s="1"/>
  <c r="F1390" i="123" s="1"/>
  <c r="P522" i="112"/>
  <c r="E1381" i="123" s="1"/>
  <c r="F1381" i="123" s="1"/>
  <c r="P521" i="112"/>
  <c r="E1372" i="123" s="1"/>
  <c r="F1372" i="123" s="1"/>
  <c r="P520" i="112"/>
  <c r="E1363" i="123" s="1"/>
  <c r="F1363" i="123" s="1"/>
  <c r="DR497" i="112"/>
  <c r="HH513" i="112" l="1"/>
  <c r="HH514" i="112"/>
  <c r="HH515" i="112"/>
  <c r="HH512" i="112"/>
  <c r="L54" i="125"/>
  <c r="N54" i="125" s="1"/>
  <c r="L43" i="125"/>
  <c r="N43" i="125" s="1"/>
  <c r="L49" i="125"/>
  <c r="N49" i="125" s="1"/>
  <c r="P34" i="126" l="1"/>
  <c r="F34" i="126" s="1"/>
  <c r="AO546" i="111" l="1"/>
  <c r="AO486" i="111"/>
  <c r="AO426" i="111"/>
  <c r="AO366" i="111"/>
  <c r="AO306" i="111"/>
  <c r="AO246" i="111"/>
  <c r="AO186" i="111"/>
  <c r="AO126" i="111"/>
  <c r="AO66" i="111"/>
  <c r="P30" i="126"/>
  <c r="F30" i="126" s="1"/>
  <c r="P31" i="126"/>
  <c r="F31" i="126" s="1"/>
  <c r="P32" i="126"/>
  <c r="F32" i="126" s="1"/>
  <c r="P33" i="126"/>
  <c r="F33" i="126" s="1"/>
  <c r="P35" i="126"/>
  <c r="F35" i="126" s="1"/>
  <c r="P36" i="126"/>
  <c r="F36" i="126" s="1"/>
  <c r="P37" i="126"/>
  <c r="F37" i="126" s="1"/>
  <c r="P29" i="126"/>
  <c r="F29" i="126" s="1"/>
  <c r="H5" i="125" l="1"/>
  <c r="N55" i="125"/>
  <c r="M55" i="125"/>
  <c r="O54" i="125"/>
  <c r="N50" i="125"/>
  <c r="M50" i="125"/>
  <c r="O49" i="125"/>
  <c r="N44" i="125"/>
  <c r="M44" i="125"/>
  <c r="O43" i="125"/>
  <c r="N39" i="125"/>
  <c r="O39" i="125" s="1"/>
  <c r="N33" i="125"/>
  <c r="O33" i="125" s="1"/>
  <c r="N32" i="125"/>
  <c r="O32" i="125" s="1"/>
  <c r="N28" i="125"/>
  <c r="O28" i="125" s="1"/>
  <c r="N26" i="125"/>
  <c r="O26" i="125" s="1"/>
  <c r="N25" i="125"/>
  <c r="O25" i="125" s="1"/>
  <c r="N24" i="125"/>
  <c r="O24" i="125" s="1"/>
  <c r="N23" i="125"/>
  <c r="O23" i="125" s="1"/>
  <c r="N22" i="125"/>
  <c r="O22" i="125" s="1"/>
  <c r="N18" i="125"/>
  <c r="O18" i="125" s="1"/>
  <c r="N17" i="125"/>
  <c r="O17" i="125" s="1"/>
  <c r="O50" i="125" l="1"/>
  <c r="O55" i="125"/>
  <c r="O44" i="125"/>
  <c r="O58" i="125" l="1"/>
  <c r="C9" i="125" s="1"/>
  <c r="AE177" i="112" l="1"/>
  <c r="AE176" i="112"/>
  <c r="CB495" i="112" l="1"/>
  <c r="AV224" i="112" l="1"/>
  <c r="DN226" i="112"/>
  <c r="AL182" i="112"/>
  <c r="AR546" i="111" l="1"/>
  <c r="AQ546" i="111"/>
  <c r="AP546" i="111"/>
  <c r="AR486" i="111"/>
  <c r="AQ486" i="111"/>
  <c r="AP486" i="111"/>
  <c r="AR426" i="111"/>
  <c r="AQ426" i="111"/>
  <c r="AP426" i="111"/>
  <c r="AR366" i="111"/>
  <c r="AQ366" i="111"/>
  <c r="AP366" i="111"/>
  <c r="AR306" i="111"/>
  <c r="AQ306" i="111"/>
  <c r="AP306" i="111"/>
  <c r="AR246" i="111"/>
  <c r="AQ246" i="111"/>
  <c r="AP246" i="111"/>
  <c r="AR186" i="111"/>
  <c r="AQ186" i="111"/>
  <c r="AP186" i="111"/>
  <c r="AR126" i="111"/>
  <c r="AQ126" i="111"/>
  <c r="AP126" i="111"/>
  <c r="AR66" i="111"/>
  <c r="AQ66" i="111"/>
  <c r="AP66" i="111"/>
  <c r="AR7" i="111"/>
  <c r="U2" i="122" s="1"/>
  <c r="AQ7" i="111"/>
  <c r="AP7" i="111"/>
  <c r="AP4" i="114"/>
  <c r="AO4" i="114"/>
  <c r="AN4" i="114"/>
  <c r="T2" i="122" l="1"/>
  <c r="AS4" i="115" l="1"/>
  <c r="AR4" i="115"/>
  <c r="AQ4" i="115"/>
  <c r="E151" i="121"/>
  <c r="K8" i="124" l="1"/>
  <c r="H8" i="124"/>
  <c r="AO4" i="115"/>
  <c r="DN235" i="112"/>
  <c r="AS235" i="112" s="1"/>
  <c r="DN233" i="112"/>
  <c r="AS233" i="112" s="1"/>
  <c r="DP235" i="112"/>
  <c r="DP233" i="112"/>
  <c r="AO234" i="112"/>
  <c r="AO232" i="112"/>
  <c r="AY16" i="112"/>
  <c r="AP4" i="115" l="1"/>
  <c r="AP2" i="121"/>
  <c r="AN4" i="115"/>
  <c r="AO2" i="121"/>
  <c r="AO235" i="112"/>
  <c r="AO233" i="112"/>
  <c r="DO233" i="112"/>
  <c r="H15" i="124" l="1"/>
  <c r="DW24" i="112"/>
  <c r="DW18" i="112"/>
  <c r="A14" i="130" s="1"/>
  <c r="B14" i="130" s="1"/>
  <c r="C14" i="130" s="1"/>
  <c r="T22" i="123"/>
  <c r="T23" i="123"/>
  <c r="E23" i="123"/>
  <c r="F23" i="123" s="1"/>
  <c r="E22" i="123"/>
  <c r="F22" i="123" s="1"/>
  <c r="Q41" i="124"/>
  <c r="P8" i="124"/>
  <c r="DZ192" i="112"/>
  <c r="AD57" i="124" s="1"/>
  <c r="DY192" i="112"/>
  <c r="Y57" i="124" s="1"/>
  <c r="DX192" i="112"/>
  <c r="T57" i="124" s="1"/>
  <c r="DW192" i="112"/>
  <c r="Q57" i="124" s="1"/>
  <c r="DZ186" i="112"/>
  <c r="AD51" i="124" s="1"/>
  <c r="DY186" i="112"/>
  <c r="Y51" i="124" s="1"/>
  <c r="DX186" i="112"/>
  <c r="T51" i="124" s="1"/>
  <c r="DW195" i="112"/>
  <c r="DW194" i="112"/>
  <c r="DW193" i="112"/>
  <c r="DW191" i="112"/>
  <c r="Q56" i="124" s="1"/>
  <c r="DW190" i="112"/>
  <c r="Q55" i="124" s="1"/>
  <c r="DW189" i="112"/>
  <c r="DW188" i="112"/>
  <c r="DW187" i="112"/>
  <c r="DW186" i="112"/>
  <c r="DW185" i="112"/>
  <c r="DW184" i="112"/>
  <c r="Q49" i="124" s="1"/>
  <c r="DW183" i="112"/>
  <c r="Q48" i="124" s="1"/>
  <c r="Q46" i="124"/>
  <c r="Q45" i="124"/>
  <c r="Q44" i="124"/>
  <c r="Q43" i="124"/>
  <c r="Q42" i="124"/>
  <c r="AD30" i="124"/>
  <c r="V31" i="124"/>
  <c r="Y30" i="124"/>
  <c r="V30" i="124"/>
  <c r="Q29" i="124"/>
  <c r="Q28" i="124"/>
  <c r="H10" i="124"/>
  <c r="AU4" i="124"/>
  <c r="AA59" i="124"/>
  <c r="C297" i="114" l="1"/>
  <c r="Q51" i="124"/>
  <c r="H14" i="124"/>
  <c r="A14" i="127"/>
  <c r="B14" i="127" s="1"/>
  <c r="C14" i="127" s="1"/>
  <c r="Q58" i="124"/>
  <c r="Q50" i="124"/>
  <c r="AA53" i="124"/>
  <c r="DN203" i="112" l="1"/>
  <c r="AA3" i="37" s="1"/>
  <c r="GB526" i="112"/>
  <c r="GB525" i="112"/>
  <c r="GJ525" i="112" s="1"/>
  <c r="GB524" i="112"/>
  <c r="GJ524" i="112" s="1"/>
  <c r="GB523" i="112"/>
  <c r="GB522" i="112"/>
  <c r="GJ522" i="112" s="1"/>
  <c r="GB521" i="112"/>
  <c r="GJ521" i="112" s="1"/>
  <c r="GB520" i="112"/>
  <c r="GB519" i="112"/>
  <c r="GB518" i="112"/>
  <c r="GB517" i="112"/>
  <c r="GB516" i="112"/>
  <c r="GB515" i="112"/>
  <c r="GB514" i="112"/>
  <c r="GB513" i="112"/>
  <c r="GB512" i="112"/>
  <c r="BV203" i="112" l="1"/>
  <c r="Q52" i="124"/>
  <c r="HC521" i="112"/>
  <c r="GT521" i="112"/>
  <c r="HC522" i="112"/>
  <c r="GT522" i="112"/>
  <c r="HC525" i="112"/>
  <c r="GT525" i="112"/>
  <c r="HC524" i="112"/>
  <c r="GT524" i="112"/>
  <c r="AH225" i="112"/>
  <c r="E12" i="123"/>
  <c r="F12" i="123" s="1"/>
  <c r="D14" i="123" l="1"/>
  <c r="E14" i="123" s="1"/>
  <c r="F14" i="123" s="1"/>
  <c r="D70" i="123" l="1"/>
  <c r="E70" i="123"/>
  <c r="F70" i="123" s="1"/>
  <c r="DR503" i="112" l="1"/>
  <c r="DS503" i="112"/>
  <c r="DR504" i="112"/>
  <c r="DS504" i="112"/>
  <c r="DR505" i="112"/>
  <c r="DS505" i="112"/>
  <c r="DR506" i="112"/>
  <c r="DS506" i="112"/>
  <c r="DR507" i="112"/>
  <c r="DS507" i="112"/>
  <c r="DK506" i="112" l="1"/>
  <c r="DL506" i="112"/>
  <c r="DL504" i="112"/>
  <c r="DK504" i="112"/>
  <c r="DK505" i="112"/>
  <c r="DL505" i="112"/>
  <c r="DL503" i="112"/>
  <c r="DK503" i="112"/>
  <c r="DL507" i="112"/>
  <c r="DK507" i="112"/>
  <c r="AD219" i="115"/>
  <c r="V219" i="115"/>
  <c r="DN141" i="112" l="1"/>
  <c r="DN142" i="112"/>
  <c r="DN143" i="112"/>
  <c r="DN144" i="112"/>
  <c r="DN145" i="112"/>
  <c r="DN140" i="112"/>
  <c r="R584" i="114" l="1"/>
  <c r="AA260" i="114" l="1"/>
  <c r="AA259" i="114"/>
  <c r="BQ264" i="112"/>
  <c r="DY246" i="112"/>
  <c r="DY247" i="112"/>
  <c r="DY248" i="112"/>
  <c r="DY249" i="112"/>
  <c r="DY245" i="112"/>
  <c r="AS281" i="112" l="1"/>
  <c r="DN259" i="112" l="1"/>
  <c r="AV263" i="112" s="1"/>
  <c r="AA257" i="114" l="1"/>
  <c r="AA258" i="114"/>
  <c r="DO235" i="112" l="1"/>
  <c r="DR315" i="112" l="1"/>
  <c r="DS315" i="112"/>
  <c r="DR316" i="112"/>
  <c r="DS316" i="112"/>
  <c r="DR317" i="112"/>
  <c r="DS317" i="112"/>
  <c r="DR318" i="112"/>
  <c r="DS318" i="112"/>
  <c r="DR319" i="112"/>
  <c r="DS319" i="112"/>
  <c r="DL316" i="112" l="1"/>
  <c r="DK316" i="112"/>
  <c r="DL318" i="112"/>
  <c r="DK318" i="112"/>
  <c r="DL317" i="112"/>
  <c r="DK317" i="112"/>
  <c r="DL319" i="112"/>
  <c r="DK319" i="112"/>
  <c r="DL315" i="112"/>
  <c r="DK315" i="112"/>
  <c r="DP261" i="112"/>
  <c r="I151" i="121" l="1"/>
  <c r="I152" i="121"/>
  <c r="DR483" i="112" l="1"/>
  <c r="DR481" i="112"/>
  <c r="DR478" i="112"/>
  <c r="DR476" i="112"/>
  <c r="DR465" i="112"/>
  <c r="DR464" i="112"/>
  <c r="DR462" i="112"/>
  <c r="DR461" i="112"/>
  <c r="DR460" i="112"/>
  <c r="DR459" i="112"/>
  <c r="DR458" i="112"/>
  <c r="DR456" i="112"/>
  <c r="DR454" i="112"/>
  <c r="DR453" i="112"/>
  <c r="DR448" i="112"/>
  <c r="DR447" i="112"/>
  <c r="DR446" i="112"/>
  <c r="DR445" i="112"/>
  <c r="DR443" i="112"/>
  <c r="DR437" i="112"/>
  <c r="DR436" i="112"/>
  <c r="DR440" i="112"/>
  <c r="DR438" i="112"/>
  <c r="DR439" i="112"/>
  <c r="DR393" i="112"/>
  <c r="DR391" i="112"/>
  <c r="DR390" i="112"/>
  <c r="DR388" i="112"/>
  <c r="DR387" i="112"/>
  <c r="DR383" i="112"/>
  <c r="DR382" i="112"/>
  <c r="DR381" i="112"/>
  <c r="DR379" i="112"/>
  <c r="DR378" i="112"/>
  <c r="DR377" i="112"/>
  <c r="DR376" i="112"/>
  <c r="DR374" i="112"/>
  <c r="DR360" i="112"/>
  <c r="DR359" i="112"/>
  <c r="DR358" i="112"/>
  <c r="DR357" i="112"/>
  <c r="DR356" i="112"/>
  <c r="DR355" i="112"/>
  <c r="DR354" i="112"/>
  <c r="DR353" i="112"/>
  <c r="DR352" i="112"/>
  <c r="DR342" i="112"/>
  <c r="DR340" i="112"/>
  <c r="DR338" i="112"/>
  <c r="DR337" i="112"/>
  <c r="DR336" i="112"/>
  <c r="DR334" i="112"/>
  <c r="DR333" i="112"/>
  <c r="DR332" i="112"/>
  <c r="DR331" i="112"/>
  <c r="DR330" i="112"/>
  <c r="DR328" i="112"/>
  <c r="DR327" i="112"/>
  <c r="DR326" i="112"/>
  <c r="DR325" i="112"/>
  <c r="DR314" i="112"/>
  <c r="DR313" i="112"/>
  <c r="DR312" i="112"/>
  <c r="DR311" i="112"/>
  <c r="DR310" i="112"/>
  <c r="DR309" i="112"/>
  <c r="DR308" i="112"/>
  <c r="DR307" i="112"/>
  <c r="P512" i="112" l="1"/>
  <c r="E1291" i="123" s="1"/>
  <c r="F1291" i="123" s="1"/>
  <c r="P518" i="112"/>
  <c r="E1345" i="123" s="1"/>
  <c r="F1345" i="123" s="1"/>
  <c r="P517" i="112"/>
  <c r="E1336" i="123" s="1"/>
  <c r="F1336" i="123" s="1"/>
  <c r="P516" i="112"/>
  <c r="E1327" i="123" s="1"/>
  <c r="F1327" i="123" s="1"/>
  <c r="P515" i="112"/>
  <c r="E1318" i="123" s="1"/>
  <c r="F1318" i="123" s="1"/>
  <c r="P514" i="112"/>
  <c r="E1309" i="123" s="1"/>
  <c r="F1309" i="123" s="1"/>
  <c r="P513" i="112"/>
  <c r="E1300" i="123" s="1"/>
  <c r="F1300" i="123" s="1"/>
  <c r="P519" i="112"/>
  <c r="E1354" i="123" s="1"/>
  <c r="F1354" i="123" s="1"/>
  <c r="FW526" i="112" l="1"/>
  <c r="FS526" i="112"/>
  <c r="FN526" i="112"/>
  <c r="FM526" i="112"/>
  <c r="FL526" i="112"/>
  <c r="FK526" i="112"/>
  <c r="DT526" i="112"/>
  <c r="DS526" i="112"/>
  <c r="DR526" i="112"/>
  <c r="DQ526" i="112"/>
  <c r="GJ526" i="112" s="1"/>
  <c r="DP526" i="112"/>
  <c r="DO526" i="112"/>
  <c r="DN526" i="112"/>
  <c r="FW525" i="112"/>
  <c r="FS525" i="112"/>
  <c r="FT525" i="112" s="1"/>
  <c r="FN525" i="112"/>
  <c r="FM525" i="112"/>
  <c r="FL525" i="112"/>
  <c r="FK525" i="112"/>
  <c r="DT525" i="112"/>
  <c r="DS525" i="112"/>
  <c r="DR525" i="112"/>
  <c r="DQ525" i="112"/>
  <c r="DP525" i="112"/>
  <c r="DO525" i="112"/>
  <c r="DN525" i="112"/>
  <c r="FW524" i="112"/>
  <c r="FS524" i="112"/>
  <c r="FN524" i="112"/>
  <c r="FM524" i="112"/>
  <c r="FL524" i="112"/>
  <c r="FK524" i="112"/>
  <c r="DT524" i="112"/>
  <c r="DS524" i="112"/>
  <c r="DR524" i="112"/>
  <c r="DQ524" i="112"/>
  <c r="DP524" i="112"/>
  <c r="DO524" i="112"/>
  <c r="DN524" i="112"/>
  <c r="FW523" i="112"/>
  <c r="FS523" i="112"/>
  <c r="FN523" i="112"/>
  <c r="FM523" i="112"/>
  <c r="FL523" i="112"/>
  <c r="FK523" i="112"/>
  <c r="DT523" i="112"/>
  <c r="DS523" i="112"/>
  <c r="DR523" i="112"/>
  <c r="DQ523" i="112"/>
  <c r="GJ523" i="112" s="1"/>
  <c r="DP523" i="112"/>
  <c r="DO523" i="112"/>
  <c r="DN523" i="112"/>
  <c r="FW522" i="112"/>
  <c r="FS522" i="112"/>
  <c r="FN522" i="112"/>
  <c r="FM522" i="112"/>
  <c r="FL522" i="112"/>
  <c r="FK522" i="112"/>
  <c r="DT522" i="112"/>
  <c r="DS522" i="112"/>
  <c r="DR522" i="112"/>
  <c r="DQ522" i="112"/>
  <c r="DP522" i="112"/>
  <c r="DO522" i="112"/>
  <c r="DN522" i="112"/>
  <c r="FW507" i="112"/>
  <c r="HB507" i="112" s="1"/>
  <c r="HR507" i="112" s="1"/>
  <c r="B558" i="127" s="1"/>
  <c r="C558" i="127" s="1"/>
  <c r="FS507" i="112"/>
  <c r="FN507" i="112"/>
  <c r="FM507" i="112"/>
  <c r="FL507" i="112"/>
  <c r="DW507" i="112"/>
  <c r="DT507" i="112"/>
  <c r="DP507" i="112"/>
  <c r="DO507" i="112"/>
  <c r="DN507" i="112"/>
  <c r="FW506" i="112"/>
  <c r="HB506" i="112" s="1"/>
  <c r="HR506" i="112" s="1"/>
  <c r="B557" i="127" s="1"/>
  <c r="C557" i="127" s="1"/>
  <c r="FS506" i="112"/>
  <c r="FN506" i="112"/>
  <c r="FM506" i="112"/>
  <c r="FL506" i="112"/>
  <c r="DW506" i="112"/>
  <c r="DT506" i="112"/>
  <c r="DP506" i="112"/>
  <c r="DO506" i="112"/>
  <c r="DN506" i="112"/>
  <c r="FW505" i="112"/>
  <c r="HB505" i="112" s="1"/>
  <c r="HR505" i="112" s="1"/>
  <c r="B556" i="127" s="1"/>
  <c r="C556" i="127" s="1"/>
  <c r="FS505" i="112"/>
  <c r="FN505" i="112"/>
  <c r="FM505" i="112"/>
  <c r="FL505" i="112"/>
  <c r="DW505" i="112"/>
  <c r="DT505" i="112"/>
  <c r="DP505" i="112"/>
  <c r="DO505" i="112"/>
  <c r="DN505" i="112"/>
  <c r="FW504" i="112"/>
  <c r="HB504" i="112" s="1"/>
  <c r="HR504" i="112" s="1"/>
  <c r="B555" i="127" s="1"/>
  <c r="C555" i="127" s="1"/>
  <c r="FS504" i="112"/>
  <c r="FN504" i="112"/>
  <c r="FM504" i="112"/>
  <c r="FL504" i="112"/>
  <c r="DW504" i="112"/>
  <c r="DT504" i="112"/>
  <c r="DP504" i="112"/>
  <c r="DO504" i="112"/>
  <c r="DN504" i="112"/>
  <c r="FW503" i="112"/>
  <c r="HB503" i="112" s="1"/>
  <c r="HR503" i="112" s="1"/>
  <c r="B554" i="127" s="1"/>
  <c r="C554" i="127" s="1"/>
  <c r="FS503" i="112"/>
  <c r="FN503" i="112"/>
  <c r="FM503" i="112"/>
  <c r="FL503" i="112"/>
  <c r="DW503" i="112"/>
  <c r="DT503" i="112"/>
  <c r="DP503" i="112"/>
  <c r="DO503" i="112"/>
  <c r="DN503" i="112"/>
  <c r="FW488" i="112"/>
  <c r="HB488" i="112" s="1"/>
  <c r="HR488" i="112" s="1"/>
  <c r="B543" i="127" s="1"/>
  <c r="C543" i="127" s="1"/>
  <c r="FS488" i="112"/>
  <c r="FN488" i="112"/>
  <c r="FM488" i="112"/>
  <c r="FL488" i="112"/>
  <c r="DW488" i="112"/>
  <c r="DT488" i="112"/>
  <c r="DS488" i="112"/>
  <c r="DR488" i="112"/>
  <c r="DP488" i="112"/>
  <c r="DO488" i="112"/>
  <c r="DN488" i="112"/>
  <c r="FW487" i="112"/>
  <c r="HB487" i="112" s="1"/>
  <c r="HR487" i="112" s="1"/>
  <c r="B542" i="127" s="1"/>
  <c r="C542" i="127" s="1"/>
  <c r="FS487" i="112"/>
  <c r="FN487" i="112"/>
  <c r="FM487" i="112"/>
  <c r="FL487" i="112"/>
  <c r="DW487" i="112"/>
  <c r="DT487" i="112"/>
  <c r="DS487" i="112"/>
  <c r="DR487" i="112"/>
  <c r="DP487" i="112"/>
  <c r="DO487" i="112"/>
  <c r="DN487" i="112"/>
  <c r="FW486" i="112"/>
  <c r="HB486" i="112" s="1"/>
  <c r="HR486" i="112" s="1"/>
  <c r="B541" i="127" s="1"/>
  <c r="C541" i="127" s="1"/>
  <c r="FS486" i="112"/>
  <c r="FN486" i="112"/>
  <c r="FM486" i="112"/>
  <c r="FL486" i="112"/>
  <c r="DW486" i="112"/>
  <c r="DT486" i="112"/>
  <c r="DS486" i="112"/>
  <c r="DR486" i="112"/>
  <c r="DP486" i="112"/>
  <c r="DO486" i="112"/>
  <c r="DN486" i="112"/>
  <c r="FW485" i="112"/>
  <c r="HB485" i="112" s="1"/>
  <c r="HR485" i="112" s="1"/>
  <c r="B540" i="127" s="1"/>
  <c r="C540" i="127" s="1"/>
  <c r="FS485" i="112"/>
  <c r="FN485" i="112"/>
  <c r="FM485" i="112"/>
  <c r="FL485" i="112"/>
  <c r="DW485" i="112"/>
  <c r="DT485" i="112"/>
  <c r="DS485" i="112"/>
  <c r="DR485" i="112"/>
  <c r="DP485" i="112"/>
  <c r="DO485" i="112"/>
  <c r="DN485" i="112"/>
  <c r="FW484" i="112"/>
  <c r="HB484" i="112" s="1"/>
  <c r="HR484" i="112" s="1"/>
  <c r="B539" i="127" s="1"/>
  <c r="C539" i="127" s="1"/>
  <c r="FS484" i="112"/>
  <c r="FN484" i="112"/>
  <c r="FM484" i="112"/>
  <c r="FL484" i="112"/>
  <c r="DW484" i="112"/>
  <c r="DT484" i="112"/>
  <c r="DS484" i="112"/>
  <c r="DR484" i="112"/>
  <c r="DP484" i="112"/>
  <c r="DO484" i="112"/>
  <c r="DN484" i="112"/>
  <c r="FW470" i="112"/>
  <c r="HB470" i="112" s="1"/>
  <c r="HR470" i="112" s="1"/>
  <c r="B529" i="127" s="1"/>
  <c r="C529" i="127" s="1"/>
  <c r="FS470" i="112"/>
  <c r="FN470" i="112"/>
  <c r="FM470" i="112"/>
  <c r="FL470" i="112"/>
  <c r="DW470" i="112"/>
  <c r="DT470" i="112"/>
  <c r="DS470" i="112"/>
  <c r="DR470" i="112"/>
  <c r="DP470" i="112"/>
  <c r="DO470" i="112"/>
  <c r="DN470" i="112"/>
  <c r="FW469" i="112"/>
  <c r="HB469" i="112" s="1"/>
  <c r="HR469" i="112" s="1"/>
  <c r="B528" i="127" s="1"/>
  <c r="C528" i="127" s="1"/>
  <c r="FS469" i="112"/>
  <c r="FN469" i="112"/>
  <c r="FM469" i="112"/>
  <c r="FL469" i="112"/>
  <c r="DW469" i="112"/>
  <c r="DT469" i="112"/>
  <c r="DS469" i="112"/>
  <c r="DR469" i="112"/>
  <c r="DP469" i="112"/>
  <c r="DO469" i="112"/>
  <c r="DN469" i="112"/>
  <c r="CB469" i="112"/>
  <c r="FW468" i="112"/>
  <c r="HB468" i="112" s="1"/>
  <c r="HR468" i="112" s="1"/>
  <c r="B527" i="127" s="1"/>
  <c r="C527" i="127" s="1"/>
  <c r="FS468" i="112"/>
  <c r="FT468" i="112" s="1"/>
  <c r="FN468" i="112"/>
  <c r="FM468" i="112"/>
  <c r="FL468" i="112"/>
  <c r="DW468" i="112"/>
  <c r="DT468" i="112"/>
  <c r="DS468" i="112"/>
  <c r="DR468" i="112"/>
  <c r="DP468" i="112"/>
  <c r="DO468" i="112"/>
  <c r="DN468" i="112"/>
  <c r="CB468" i="112"/>
  <c r="FW467" i="112"/>
  <c r="HB467" i="112" s="1"/>
  <c r="HR467" i="112" s="1"/>
  <c r="B526" i="127" s="1"/>
  <c r="C526" i="127" s="1"/>
  <c r="FS467" i="112"/>
  <c r="FN467" i="112"/>
  <c r="FM467" i="112"/>
  <c r="FL467" i="112"/>
  <c r="DW467" i="112"/>
  <c r="DT467" i="112"/>
  <c r="DS467" i="112"/>
  <c r="DR467" i="112"/>
  <c r="DP467" i="112"/>
  <c r="DO467" i="112"/>
  <c r="DN467" i="112"/>
  <c r="FW466" i="112"/>
  <c r="HB466" i="112" s="1"/>
  <c r="HR466" i="112" s="1"/>
  <c r="B525" i="127" s="1"/>
  <c r="C525" i="127" s="1"/>
  <c r="FS466" i="112"/>
  <c r="FN466" i="112"/>
  <c r="FM466" i="112"/>
  <c r="FL466" i="112"/>
  <c r="DW466" i="112"/>
  <c r="DT466" i="112"/>
  <c r="DS466" i="112"/>
  <c r="DR466" i="112"/>
  <c r="DP466" i="112"/>
  <c r="DO466" i="112"/>
  <c r="DN466" i="112"/>
  <c r="FW421" i="112"/>
  <c r="HB421" i="112" s="1"/>
  <c r="HR421" i="112" s="1"/>
  <c r="B484" i="127" s="1"/>
  <c r="C484" i="127" s="1"/>
  <c r="FN421" i="112"/>
  <c r="FM421" i="112"/>
  <c r="FL421" i="112"/>
  <c r="DW421" i="112"/>
  <c r="DT421" i="112"/>
  <c r="DS421" i="112"/>
  <c r="DR421" i="112"/>
  <c r="DP421" i="112"/>
  <c r="DO421" i="112"/>
  <c r="DN421" i="112"/>
  <c r="CB421" i="112"/>
  <c r="FW420" i="112"/>
  <c r="HB420" i="112" s="1"/>
  <c r="HR420" i="112" s="1"/>
  <c r="B483" i="127" s="1"/>
  <c r="C483" i="127" s="1"/>
  <c r="FN420" i="112"/>
  <c r="FM420" i="112"/>
  <c r="FL420" i="112"/>
  <c r="DW420" i="112"/>
  <c r="DT420" i="112"/>
  <c r="DS420" i="112"/>
  <c r="DR420" i="112"/>
  <c r="DP420" i="112"/>
  <c r="DO420" i="112"/>
  <c r="DN420" i="112"/>
  <c r="CB420" i="112"/>
  <c r="FW419" i="112"/>
  <c r="HB419" i="112" s="1"/>
  <c r="HR419" i="112" s="1"/>
  <c r="B482" i="127" s="1"/>
  <c r="C482" i="127" s="1"/>
  <c r="FN419" i="112"/>
  <c r="FM419" i="112"/>
  <c r="FL419" i="112"/>
  <c r="DW419" i="112"/>
  <c r="DT419" i="112"/>
  <c r="DS419" i="112"/>
  <c r="DR419" i="112"/>
  <c r="DP419" i="112"/>
  <c r="DO419" i="112"/>
  <c r="DN419" i="112"/>
  <c r="CB419" i="112"/>
  <c r="FW418" i="112"/>
  <c r="HB418" i="112" s="1"/>
  <c r="HR418" i="112" s="1"/>
  <c r="B481" i="127" s="1"/>
  <c r="C481" i="127" s="1"/>
  <c r="FN418" i="112"/>
  <c r="FM418" i="112"/>
  <c r="FL418" i="112"/>
  <c r="DW418" i="112"/>
  <c r="DT418" i="112"/>
  <c r="DS418" i="112"/>
  <c r="DR418" i="112"/>
  <c r="DP418" i="112"/>
  <c r="DO418" i="112"/>
  <c r="DN418" i="112"/>
  <c r="CB418" i="112"/>
  <c r="FW417" i="112"/>
  <c r="HB417" i="112" s="1"/>
  <c r="HR417" i="112" s="1"/>
  <c r="B480" i="127" s="1"/>
  <c r="C480" i="127" s="1"/>
  <c r="FN417" i="112"/>
  <c r="FM417" i="112"/>
  <c r="FL417" i="112"/>
  <c r="DW417" i="112"/>
  <c r="DT417" i="112"/>
  <c r="DS417" i="112"/>
  <c r="DR417" i="112"/>
  <c r="DP417" i="112"/>
  <c r="DO417" i="112"/>
  <c r="DN417" i="112"/>
  <c r="CB417" i="112"/>
  <c r="FW365" i="112"/>
  <c r="HB365" i="112" s="1"/>
  <c r="HR365" i="112" s="1"/>
  <c r="B432" i="127" s="1"/>
  <c r="C432" i="127" s="1"/>
  <c r="FS365" i="112"/>
  <c r="FT365" i="112" s="1"/>
  <c r="FN365" i="112"/>
  <c r="FM365" i="112"/>
  <c r="FL365" i="112"/>
  <c r="DW365" i="112"/>
  <c r="DT365" i="112"/>
  <c r="DS365" i="112"/>
  <c r="DR365" i="112"/>
  <c r="DP365" i="112"/>
  <c r="DO365" i="112"/>
  <c r="DN365" i="112"/>
  <c r="FW364" i="112"/>
  <c r="HB364" i="112" s="1"/>
  <c r="HR364" i="112" s="1"/>
  <c r="B431" i="127" s="1"/>
  <c r="C431" i="127" s="1"/>
  <c r="FS364" i="112"/>
  <c r="FN364" i="112"/>
  <c r="FM364" i="112"/>
  <c r="FL364" i="112"/>
  <c r="DW364" i="112"/>
  <c r="DT364" i="112"/>
  <c r="DS364" i="112"/>
  <c r="DR364" i="112"/>
  <c r="DP364" i="112"/>
  <c r="DO364" i="112"/>
  <c r="DN364" i="112"/>
  <c r="FW363" i="112"/>
  <c r="HB363" i="112" s="1"/>
  <c r="HR363" i="112" s="1"/>
  <c r="B430" i="127" s="1"/>
  <c r="C430" i="127" s="1"/>
  <c r="FS363" i="112"/>
  <c r="FN363" i="112"/>
  <c r="FM363" i="112"/>
  <c r="FL363" i="112"/>
  <c r="DW363" i="112"/>
  <c r="DT363" i="112"/>
  <c r="DS363" i="112"/>
  <c r="DR363" i="112"/>
  <c r="DP363" i="112"/>
  <c r="DO363" i="112"/>
  <c r="DN363" i="112"/>
  <c r="FW362" i="112"/>
  <c r="HB362" i="112" s="1"/>
  <c r="HR362" i="112" s="1"/>
  <c r="B429" i="127" s="1"/>
  <c r="C429" i="127" s="1"/>
  <c r="FS362" i="112"/>
  <c r="FN362" i="112"/>
  <c r="FM362" i="112"/>
  <c r="FL362" i="112"/>
  <c r="DW362" i="112"/>
  <c r="DT362" i="112"/>
  <c r="DS362" i="112"/>
  <c r="DR362" i="112"/>
  <c r="DP362" i="112"/>
  <c r="DO362" i="112"/>
  <c r="DN362" i="112"/>
  <c r="FW361" i="112"/>
  <c r="HB361" i="112" s="1"/>
  <c r="HR361" i="112" s="1"/>
  <c r="B428" i="127" s="1"/>
  <c r="C428" i="127" s="1"/>
  <c r="FS361" i="112"/>
  <c r="FN361" i="112"/>
  <c r="FM361" i="112"/>
  <c r="FL361" i="112"/>
  <c r="DW361" i="112"/>
  <c r="DT361" i="112"/>
  <c r="DS361" i="112"/>
  <c r="DR361" i="112"/>
  <c r="DP361" i="112"/>
  <c r="DO361" i="112"/>
  <c r="DN361" i="112"/>
  <c r="FW347" i="112"/>
  <c r="HB347" i="112" s="1"/>
  <c r="HR347" i="112" s="1"/>
  <c r="B418" i="127" s="1"/>
  <c r="C418" i="127" s="1"/>
  <c r="FS347" i="112"/>
  <c r="FN347" i="112"/>
  <c r="FM347" i="112"/>
  <c r="FL347" i="112"/>
  <c r="DW347" i="112"/>
  <c r="DT347" i="112"/>
  <c r="DS347" i="112"/>
  <c r="DR347" i="112"/>
  <c r="DP347" i="112"/>
  <c r="DO347" i="112"/>
  <c r="DN347" i="112"/>
  <c r="FW346" i="112"/>
  <c r="HB346" i="112" s="1"/>
  <c r="HR346" i="112" s="1"/>
  <c r="B417" i="127" s="1"/>
  <c r="C417" i="127" s="1"/>
  <c r="FS346" i="112"/>
  <c r="FN346" i="112"/>
  <c r="FM346" i="112"/>
  <c r="FL346" i="112"/>
  <c r="DW346" i="112"/>
  <c r="DT346" i="112"/>
  <c r="DS346" i="112"/>
  <c r="DR346" i="112"/>
  <c r="DP346" i="112"/>
  <c r="DO346" i="112"/>
  <c r="DN346" i="112"/>
  <c r="FW345" i="112"/>
  <c r="HB345" i="112" s="1"/>
  <c r="HR345" i="112" s="1"/>
  <c r="B416" i="127" s="1"/>
  <c r="C416" i="127" s="1"/>
  <c r="FS345" i="112"/>
  <c r="FN345" i="112"/>
  <c r="FM345" i="112"/>
  <c r="FL345" i="112"/>
  <c r="DW345" i="112"/>
  <c r="DT345" i="112"/>
  <c r="DS345" i="112"/>
  <c r="DR345" i="112"/>
  <c r="DP345" i="112"/>
  <c r="DO345" i="112"/>
  <c r="DN345" i="112"/>
  <c r="FW344" i="112"/>
  <c r="HB344" i="112" s="1"/>
  <c r="HR344" i="112" s="1"/>
  <c r="B415" i="127" s="1"/>
  <c r="C415" i="127" s="1"/>
  <c r="FS344" i="112"/>
  <c r="FN344" i="112"/>
  <c r="FM344" i="112"/>
  <c r="FL344" i="112"/>
  <c r="DW344" i="112"/>
  <c r="DT344" i="112"/>
  <c r="DS344" i="112"/>
  <c r="DR344" i="112"/>
  <c r="DP344" i="112"/>
  <c r="DO344" i="112"/>
  <c r="DN344" i="112"/>
  <c r="FW343" i="112"/>
  <c r="HB343" i="112" s="1"/>
  <c r="HR343" i="112" s="1"/>
  <c r="B414" i="127" s="1"/>
  <c r="C414" i="127" s="1"/>
  <c r="FS343" i="112"/>
  <c r="FN343" i="112"/>
  <c r="FM343" i="112"/>
  <c r="FL343" i="112"/>
  <c r="DW343" i="112"/>
  <c r="DT343" i="112"/>
  <c r="DS343" i="112"/>
  <c r="DR343" i="112"/>
  <c r="DP343" i="112"/>
  <c r="DO343" i="112"/>
  <c r="DN343" i="112"/>
  <c r="FW320" i="112"/>
  <c r="HB320" i="112" s="1"/>
  <c r="HR320" i="112" s="1"/>
  <c r="B395" i="127" s="1"/>
  <c r="C395" i="127" s="1"/>
  <c r="FS320" i="112"/>
  <c r="FN320" i="112"/>
  <c r="FM320" i="112"/>
  <c r="FL320" i="112"/>
  <c r="DW320" i="112"/>
  <c r="DT320" i="112"/>
  <c r="DS320" i="112"/>
  <c r="DR320" i="112"/>
  <c r="DP320" i="112"/>
  <c r="DO320" i="112"/>
  <c r="DN320" i="112"/>
  <c r="FW319" i="112"/>
  <c r="HB319" i="112" s="1"/>
  <c r="HR319" i="112" s="1"/>
  <c r="B394" i="127" s="1"/>
  <c r="C394" i="127" s="1"/>
  <c r="FS319" i="112"/>
  <c r="FN319" i="112"/>
  <c r="FM319" i="112"/>
  <c r="FL319" i="112"/>
  <c r="DW319" i="112"/>
  <c r="DT319" i="112"/>
  <c r="DP319" i="112"/>
  <c r="DO319" i="112"/>
  <c r="DN319" i="112"/>
  <c r="FW318" i="112"/>
  <c r="HB318" i="112" s="1"/>
  <c r="HR318" i="112" s="1"/>
  <c r="B393" i="127" s="1"/>
  <c r="C393" i="127" s="1"/>
  <c r="FS318" i="112"/>
  <c r="FN318" i="112"/>
  <c r="FM318" i="112"/>
  <c r="FL318" i="112"/>
  <c r="DW318" i="112"/>
  <c r="DT318" i="112"/>
  <c r="DP318" i="112"/>
  <c r="DO318" i="112"/>
  <c r="DN318" i="112"/>
  <c r="FW317" i="112"/>
  <c r="HB317" i="112" s="1"/>
  <c r="HR317" i="112" s="1"/>
  <c r="B392" i="127" s="1"/>
  <c r="C392" i="127" s="1"/>
  <c r="FS317" i="112"/>
  <c r="FN317" i="112"/>
  <c r="FM317" i="112"/>
  <c r="FL317" i="112"/>
  <c r="DW317" i="112"/>
  <c r="DT317" i="112"/>
  <c r="DP317" i="112"/>
  <c r="DO317" i="112"/>
  <c r="DN317" i="112"/>
  <c r="FW316" i="112"/>
  <c r="HB316" i="112" s="1"/>
  <c r="HR316" i="112" s="1"/>
  <c r="B391" i="127" s="1"/>
  <c r="C391" i="127" s="1"/>
  <c r="FS316" i="112"/>
  <c r="FN316" i="112"/>
  <c r="FM316" i="112"/>
  <c r="FL316" i="112"/>
  <c r="DW316" i="112"/>
  <c r="DT316" i="112"/>
  <c r="DP316" i="112"/>
  <c r="DO316" i="112"/>
  <c r="DN316" i="112"/>
  <c r="EG417" i="112" l="1"/>
  <c r="EH417" i="112" s="1"/>
  <c r="EB417" i="112"/>
  <c r="EC417" i="112" s="1"/>
  <c r="DK343" i="112"/>
  <c r="DL343" i="112"/>
  <c r="DL347" i="112"/>
  <c r="DK347" i="112"/>
  <c r="DL362" i="112"/>
  <c r="DK362" i="112"/>
  <c r="EG319" i="112"/>
  <c r="EH319" i="112" s="1"/>
  <c r="EB319" i="112"/>
  <c r="EC319" i="112" s="1"/>
  <c r="EG343" i="112"/>
  <c r="EH343" i="112" s="1"/>
  <c r="EB343" i="112"/>
  <c r="EC343" i="112" s="1"/>
  <c r="EG345" i="112"/>
  <c r="EH345" i="112" s="1"/>
  <c r="EB345" i="112"/>
  <c r="EC345" i="112" s="1"/>
  <c r="EG347" i="112"/>
  <c r="EH347" i="112" s="1"/>
  <c r="EB347" i="112"/>
  <c r="EC347" i="112" s="1"/>
  <c r="EG362" i="112"/>
  <c r="EH362" i="112" s="1"/>
  <c r="EB362" i="112"/>
  <c r="EC362" i="112" s="1"/>
  <c r="EG364" i="112"/>
  <c r="EH364" i="112" s="1"/>
  <c r="EB364" i="112"/>
  <c r="EC364" i="112" s="1"/>
  <c r="DL417" i="112"/>
  <c r="DK417" i="112"/>
  <c r="DL419" i="112"/>
  <c r="DK419" i="112"/>
  <c r="DL421" i="112"/>
  <c r="DK421" i="112"/>
  <c r="EG467" i="112"/>
  <c r="EH467" i="112" s="1"/>
  <c r="EB467" i="112"/>
  <c r="EC467" i="112" s="1"/>
  <c r="EG507" i="112"/>
  <c r="EH507" i="112" s="1"/>
  <c r="EB507" i="112"/>
  <c r="EC507" i="112" s="1"/>
  <c r="DL526" i="112"/>
  <c r="DK526" i="112"/>
  <c r="EG469" i="112"/>
  <c r="EH469" i="112" s="1"/>
  <c r="EB469" i="112"/>
  <c r="EC469" i="112" s="1"/>
  <c r="EB484" i="112"/>
  <c r="EC484" i="112" s="1"/>
  <c r="EG484" i="112"/>
  <c r="EH484" i="112" s="1"/>
  <c r="EB486" i="112"/>
  <c r="EC486" i="112" s="1"/>
  <c r="EG486" i="112"/>
  <c r="EH486" i="112" s="1"/>
  <c r="EG488" i="112"/>
  <c r="EH488" i="112" s="1"/>
  <c r="EB488" i="112"/>
  <c r="EC488" i="112" s="1"/>
  <c r="EG505" i="112"/>
  <c r="EH505" i="112" s="1"/>
  <c r="EB505" i="112"/>
  <c r="EC505" i="112" s="1"/>
  <c r="EB523" i="112"/>
  <c r="EC523" i="112" s="1"/>
  <c r="EG523" i="112"/>
  <c r="EH523" i="112" s="1"/>
  <c r="DL523" i="112"/>
  <c r="DK523" i="112"/>
  <c r="EB526" i="112"/>
  <c r="EC526" i="112" s="1"/>
  <c r="EG526" i="112"/>
  <c r="EH526" i="112" s="1"/>
  <c r="EG316" i="112"/>
  <c r="EH316" i="112" s="1"/>
  <c r="EB316" i="112"/>
  <c r="EC316" i="112" s="1"/>
  <c r="DL320" i="112"/>
  <c r="DK320" i="112"/>
  <c r="DL344" i="112"/>
  <c r="DK344" i="112"/>
  <c r="DL346" i="112"/>
  <c r="DK346" i="112"/>
  <c r="DL361" i="112"/>
  <c r="DK361" i="112"/>
  <c r="DL363" i="112"/>
  <c r="DK363" i="112"/>
  <c r="DL365" i="112"/>
  <c r="DK365" i="112"/>
  <c r="DL466" i="112"/>
  <c r="DK466" i="112"/>
  <c r="DL525" i="112"/>
  <c r="DK525" i="112"/>
  <c r="EI419" i="112"/>
  <c r="EJ419" i="112" s="1"/>
  <c r="EG419" i="112"/>
  <c r="EH419" i="112" s="1"/>
  <c r="EB419" i="112"/>
  <c r="EC419" i="112" s="1"/>
  <c r="EG320" i="112"/>
  <c r="EH320" i="112" s="1"/>
  <c r="EB320" i="112"/>
  <c r="EC320" i="112" s="1"/>
  <c r="EG363" i="112"/>
  <c r="EH363" i="112" s="1"/>
  <c r="EB363" i="112"/>
  <c r="EC363" i="112" s="1"/>
  <c r="DX365" i="112"/>
  <c r="EG365" i="112"/>
  <c r="EH365" i="112" s="1"/>
  <c r="EB365" i="112"/>
  <c r="EC365" i="112" s="1"/>
  <c r="DL418" i="112"/>
  <c r="DK418" i="112"/>
  <c r="DZ466" i="112"/>
  <c r="EG466" i="112"/>
  <c r="EH466" i="112" s="1"/>
  <c r="EB466" i="112"/>
  <c r="EC466" i="112" s="1"/>
  <c r="DL468" i="112"/>
  <c r="DK468" i="112"/>
  <c r="DL522" i="112"/>
  <c r="DK522" i="112"/>
  <c r="EB525" i="112"/>
  <c r="EC525" i="112" s="1"/>
  <c r="EG525" i="112"/>
  <c r="EH525" i="112" s="1"/>
  <c r="EI421" i="112"/>
  <c r="EJ421" i="112" s="1"/>
  <c r="EG421" i="112"/>
  <c r="EH421" i="112" s="1"/>
  <c r="EB421" i="112"/>
  <c r="EC421" i="112" s="1"/>
  <c r="DL488" i="112"/>
  <c r="DK488" i="112"/>
  <c r="EG346" i="112"/>
  <c r="EH346" i="112" s="1"/>
  <c r="EB346" i="112"/>
  <c r="EC346" i="112" s="1"/>
  <c r="DL420" i="112"/>
  <c r="DK420" i="112"/>
  <c r="DX418" i="112"/>
  <c r="EB418" i="112"/>
  <c r="EC418" i="112" s="1"/>
  <c r="EG418" i="112"/>
  <c r="EH418" i="112" s="1"/>
  <c r="FS420" i="112"/>
  <c r="EG420" i="112"/>
  <c r="EH420" i="112" s="1"/>
  <c r="EB420" i="112"/>
  <c r="EC420" i="112" s="1"/>
  <c r="ED468" i="112"/>
  <c r="EG468" i="112"/>
  <c r="EH468" i="112" s="1"/>
  <c r="EB468" i="112"/>
  <c r="EC468" i="112" s="1"/>
  <c r="DL470" i="112"/>
  <c r="DK470" i="112"/>
  <c r="DL485" i="112"/>
  <c r="DK485" i="112"/>
  <c r="DL487" i="112"/>
  <c r="DK487" i="112"/>
  <c r="EB503" i="112"/>
  <c r="EC503" i="112" s="1"/>
  <c r="EG503" i="112"/>
  <c r="EH503" i="112" s="1"/>
  <c r="EG506" i="112"/>
  <c r="EH506" i="112" s="1"/>
  <c r="EB506" i="112"/>
  <c r="EC506" i="112" s="1"/>
  <c r="EB522" i="112"/>
  <c r="EC522" i="112" s="1"/>
  <c r="EG522" i="112"/>
  <c r="EH522" i="112" s="1"/>
  <c r="DK469" i="112"/>
  <c r="DL469" i="112"/>
  <c r="DL484" i="112"/>
  <c r="DK484" i="112"/>
  <c r="EG317" i="112"/>
  <c r="EH317" i="112" s="1"/>
  <c r="EB317" i="112"/>
  <c r="EC317" i="112" s="1"/>
  <c r="EG361" i="112"/>
  <c r="EH361" i="112" s="1"/>
  <c r="EB361" i="112"/>
  <c r="EC361" i="112" s="1"/>
  <c r="EB470" i="112"/>
  <c r="EC470" i="112" s="1"/>
  <c r="EG470" i="112"/>
  <c r="EH470" i="112" s="1"/>
  <c r="EB485" i="112"/>
  <c r="EC485" i="112" s="1"/>
  <c r="EG485" i="112"/>
  <c r="EH485" i="112" s="1"/>
  <c r="EG487" i="112"/>
  <c r="EH487" i="112" s="1"/>
  <c r="EB487" i="112"/>
  <c r="EC487" i="112" s="1"/>
  <c r="DL524" i="112"/>
  <c r="DK524" i="112"/>
  <c r="DL486" i="112"/>
  <c r="DK486" i="112"/>
  <c r="EG344" i="112"/>
  <c r="EH344" i="112" s="1"/>
  <c r="EB344" i="112"/>
  <c r="EC344" i="112" s="1"/>
  <c r="EG318" i="112"/>
  <c r="EH318" i="112" s="1"/>
  <c r="EB318" i="112"/>
  <c r="EC318" i="112" s="1"/>
  <c r="DL345" i="112"/>
  <c r="DK345" i="112"/>
  <c r="DL364" i="112"/>
  <c r="DK364" i="112"/>
  <c r="DL467" i="112"/>
  <c r="DK467" i="112"/>
  <c r="EG504" i="112"/>
  <c r="EH504" i="112" s="1"/>
  <c r="EB504" i="112"/>
  <c r="EC504" i="112" s="1"/>
  <c r="EB524" i="112"/>
  <c r="EC524" i="112" s="1"/>
  <c r="EG524" i="112"/>
  <c r="EH524" i="112" s="1"/>
  <c r="ED505" i="112"/>
  <c r="ED318" i="112"/>
  <c r="ED317" i="112"/>
  <c r="GT526" i="112"/>
  <c r="HC526" i="112"/>
  <c r="HC523" i="112"/>
  <c r="GT523" i="112"/>
  <c r="EI523" i="112"/>
  <c r="EJ523" i="112" s="1"/>
  <c r="DW523" i="112"/>
  <c r="GF523" i="112"/>
  <c r="HF523" i="112" s="1"/>
  <c r="HI523" i="112" s="1"/>
  <c r="GC523" i="112"/>
  <c r="GH523" i="112"/>
  <c r="GG523" i="112"/>
  <c r="GD523" i="112"/>
  <c r="GE523" i="112"/>
  <c r="GI523" i="112"/>
  <c r="GE525" i="112"/>
  <c r="GF525" i="112"/>
  <c r="HF525" i="112" s="1"/>
  <c r="HI525" i="112" s="1"/>
  <c r="GC525" i="112"/>
  <c r="GI525" i="112"/>
  <c r="GH525" i="112"/>
  <c r="GG525" i="112"/>
  <c r="GD525" i="112"/>
  <c r="DW522" i="112"/>
  <c r="GF522" i="112"/>
  <c r="HF522" i="112" s="1"/>
  <c r="HI522" i="112" s="1"/>
  <c r="GG522" i="112"/>
  <c r="GE522" i="112"/>
  <c r="GH522" i="112"/>
  <c r="GD522" i="112"/>
  <c r="GC522" i="112"/>
  <c r="GI522" i="112"/>
  <c r="DW524" i="112"/>
  <c r="GC524" i="112"/>
  <c r="GH524" i="112"/>
  <c r="GG524" i="112"/>
  <c r="GE524" i="112"/>
  <c r="GD524" i="112"/>
  <c r="GI524" i="112"/>
  <c r="GF524" i="112"/>
  <c r="HF524" i="112" s="1"/>
  <c r="HI524" i="112" s="1"/>
  <c r="DW526" i="112"/>
  <c r="GC526" i="112"/>
  <c r="GD526" i="112"/>
  <c r="GF526" i="112"/>
  <c r="HF526" i="112" s="1"/>
  <c r="HI526" i="112" s="1"/>
  <c r="GE526" i="112"/>
  <c r="GI526" i="112"/>
  <c r="GH526" i="112"/>
  <c r="GG526" i="112"/>
  <c r="FT486" i="112"/>
  <c r="FT523" i="112"/>
  <c r="FT524" i="112"/>
  <c r="ED320" i="112"/>
  <c r="EI319" i="112"/>
  <c r="ED319" i="112"/>
  <c r="ED316" i="112"/>
  <c r="FT504" i="112"/>
  <c r="FT505" i="112"/>
  <c r="FT487" i="112"/>
  <c r="ED486" i="112"/>
  <c r="FT485" i="112"/>
  <c r="FT470" i="112"/>
  <c r="FT364" i="112"/>
  <c r="FT362" i="112"/>
  <c r="ED364" i="112"/>
  <c r="ED361" i="112"/>
  <c r="FT347" i="112"/>
  <c r="FT345" i="112"/>
  <c r="ED345" i="112"/>
  <c r="FT317" i="112"/>
  <c r="EI317" i="112"/>
  <c r="FT319" i="112"/>
  <c r="FT318" i="112"/>
  <c r="ED506" i="112"/>
  <c r="FT506" i="112"/>
  <c r="FT507" i="112"/>
  <c r="FT488" i="112"/>
  <c r="FT469" i="112"/>
  <c r="FT467" i="112"/>
  <c r="FT363" i="112"/>
  <c r="ED346" i="112"/>
  <c r="FT346" i="112"/>
  <c r="FT344" i="112"/>
  <c r="FT320" i="112"/>
  <c r="EF469" i="112"/>
  <c r="FU503" i="112"/>
  <c r="FU505" i="112"/>
  <c r="EF507" i="112"/>
  <c r="EK523" i="112"/>
  <c r="FT526" i="112"/>
  <c r="ED524" i="112"/>
  <c r="EE524" i="112" s="1"/>
  <c r="EK525" i="112"/>
  <c r="FT316" i="112"/>
  <c r="FT343" i="112"/>
  <c r="FT361" i="112"/>
  <c r="ED417" i="112"/>
  <c r="EK420" i="112"/>
  <c r="DY418" i="112"/>
  <c r="ED420" i="112"/>
  <c r="FT466" i="112"/>
  <c r="DZ484" i="112"/>
  <c r="DX486" i="112"/>
  <c r="FT484" i="112"/>
  <c r="DY486" i="112"/>
  <c r="DZ486" i="112"/>
  <c r="FT503" i="112"/>
  <c r="DZ503" i="112"/>
  <c r="DX505" i="112"/>
  <c r="DY503" i="112"/>
  <c r="DY505" i="112"/>
  <c r="EI503" i="112"/>
  <c r="DZ505" i="112"/>
  <c r="DX503" i="112"/>
  <c r="EK503" i="112"/>
  <c r="EE505" i="112"/>
  <c r="ED507" i="112"/>
  <c r="EK505" i="112"/>
  <c r="EK506" i="112"/>
  <c r="FU525" i="112"/>
  <c r="DZ523" i="112"/>
  <c r="EF524" i="112"/>
  <c r="FU504" i="112"/>
  <c r="FU506" i="112"/>
  <c r="EK522" i="112"/>
  <c r="FT522" i="112"/>
  <c r="FU526" i="112"/>
  <c r="DX526" i="112"/>
  <c r="DZ525" i="112"/>
  <c r="EI525" i="112"/>
  <c r="EJ525" i="112" s="1"/>
  <c r="DY525" i="112"/>
  <c r="EI524" i="112"/>
  <c r="EJ524" i="112" s="1"/>
  <c r="DX524" i="112"/>
  <c r="DZ524" i="112"/>
  <c r="ED523" i="112"/>
  <c r="EE523" i="112" s="1"/>
  <c r="ED522" i="112"/>
  <c r="FU522" i="112"/>
  <c r="DZ522" i="112"/>
  <c r="FU524" i="112"/>
  <c r="FU523" i="112"/>
  <c r="DX523" i="112"/>
  <c r="EK318" i="112"/>
  <c r="DY523" i="112"/>
  <c r="DW525" i="112"/>
  <c r="DY524" i="112"/>
  <c r="EK524" i="112"/>
  <c r="DX525" i="112"/>
  <c r="EI526" i="112"/>
  <c r="EJ526" i="112" s="1"/>
  <c r="DY526" i="112"/>
  <c r="EK526" i="112"/>
  <c r="DZ526" i="112"/>
  <c r="DX504" i="112"/>
  <c r="DV468" i="112"/>
  <c r="FU488" i="112"/>
  <c r="DY504" i="112"/>
  <c r="EI507" i="112"/>
  <c r="EJ507" i="112" s="1"/>
  <c r="EF522" i="112"/>
  <c r="EI486" i="112"/>
  <c r="EJ486" i="112" s="1"/>
  <c r="DZ504" i="112"/>
  <c r="EF523" i="112"/>
  <c r="ED525" i="112"/>
  <c r="EE525" i="112" s="1"/>
  <c r="EF487" i="112"/>
  <c r="ED526" i="112"/>
  <c r="FS418" i="112"/>
  <c r="ED484" i="112"/>
  <c r="EI504" i="112"/>
  <c r="EJ504" i="112" s="1"/>
  <c r="DY506" i="112"/>
  <c r="FU507" i="112"/>
  <c r="EI522" i="112"/>
  <c r="EJ522" i="112" s="1"/>
  <c r="EF525" i="112"/>
  <c r="FU468" i="112"/>
  <c r="EK485" i="112"/>
  <c r="EK486" i="112"/>
  <c r="DZ506" i="112"/>
  <c r="DX522" i="112"/>
  <c r="EF526" i="112"/>
  <c r="FS417" i="112"/>
  <c r="EK504" i="112"/>
  <c r="DY522" i="112"/>
  <c r="DX420" i="112"/>
  <c r="FU420" i="112"/>
  <c r="ED467" i="112"/>
  <c r="DX469" i="112"/>
  <c r="DX487" i="112"/>
  <c r="FU487" i="112"/>
  <c r="EI488" i="112"/>
  <c r="EJ488" i="112" s="1"/>
  <c r="ED504" i="112"/>
  <c r="EF506" i="112"/>
  <c r="EI418" i="112"/>
  <c r="EJ418" i="112" s="1"/>
  <c r="DY420" i="112"/>
  <c r="EK421" i="112"/>
  <c r="EI466" i="112"/>
  <c r="DY469" i="112"/>
  <c r="DY487" i="112"/>
  <c r="ED503" i="112"/>
  <c r="EF505" i="112"/>
  <c r="EK345" i="112"/>
  <c r="DZ469" i="112"/>
  <c r="EF504" i="112"/>
  <c r="FU484" i="112"/>
  <c r="ED485" i="112"/>
  <c r="ED487" i="112"/>
  <c r="EF503" i="112"/>
  <c r="EI506" i="112"/>
  <c r="EJ506" i="112" s="1"/>
  <c r="DX507" i="112"/>
  <c r="EF486" i="112"/>
  <c r="EI505" i="112"/>
  <c r="EJ505" i="112" s="1"/>
  <c r="DX506" i="112"/>
  <c r="DY507" i="112"/>
  <c r="EK507" i="112"/>
  <c r="EK418" i="112"/>
  <c r="EI420" i="112"/>
  <c r="EJ420" i="112" s="1"/>
  <c r="FU466" i="112"/>
  <c r="EI487" i="112"/>
  <c r="EJ487" i="112" s="1"/>
  <c r="DZ507" i="112"/>
  <c r="FU485" i="112"/>
  <c r="EK487" i="112"/>
  <c r="FU418" i="112"/>
  <c r="FS421" i="112"/>
  <c r="DX467" i="112"/>
  <c r="DX468" i="112"/>
  <c r="DV469" i="112"/>
  <c r="DV470" i="112" s="1"/>
  <c r="DX488" i="112"/>
  <c r="ED418" i="112"/>
  <c r="EK419" i="112"/>
  <c r="DZ467" i="112"/>
  <c r="FU486" i="112"/>
  <c r="DZ488" i="112"/>
  <c r="DZ485" i="112"/>
  <c r="FU469" i="112"/>
  <c r="DZ487" i="112"/>
  <c r="DY488" i="112"/>
  <c r="EK488" i="112"/>
  <c r="FU467" i="112"/>
  <c r="DZ345" i="112"/>
  <c r="EF484" i="112"/>
  <c r="DZ417" i="112"/>
  <c r="DX419" i="112"/>
  <c r="FS419" i="112"/>
  <c r="EF485" i="112"/>
  <c r="EF364" i="112"/>
  <c r="FU364" i="112"/>
  <c r="ED362" i="112"/>
  <c r="EE362" i="112" s="1"/>
  <c r="DY419" i="112"/>
  <c r="FU419" i="112"/>
  <c r="ED488" i="112"/>
  <c r="FU361" i="112"/>
  <c r="EK343" i="112"/>
  <c r="EI484" i="112"/>
  <c r="EF417" i="112"/>
  <c r="FU417" i="112"/>
  <c r="ED419" i="112"/>
  <c r="DX421" i="112"/>
  <c r="EI469" i="112"/>
  <c r="EJ469" i="112" s="1"/>
  <c r="DX484" i="112"/>
  <c r="EI485" i="112"/>
  <c r="EJ485" i="112" s="1"/>
  <c r="EF488" i="112"/>
  <c r="FU346" i="112"/>
  <c r="DY421" i="112"/>
  <c r="DX466" i="112"/>
  <c r="EF468" i="112"/>
  <c r="EK469" i="112"/>
  <c r="FU470" i="112"/>
  <c r="DY484" i="112"/>
  <c r="EK484" i="112"/>
  <c r="DX485" i="112"/>
  <c r="DY485" i="112"/>
  <c r="EI318" i="112"/>
  <c r="DX363" i="112"/>
  <c r="EK417" i="112"/>
  <c r="EF418" i="112"/>
  <c r="EF419" i="112"/>
  <c r="EF420" i="112"/>
  <c r="EF421" i="112"/>
  <c r="DY466" i="112"/>
  <c r="EK466" i="112"/>
  <c r="DZ363" i="112"/>
  <c r="FU363" i="112"/>
  <c r="ED365" i="112"/>
  <c r="ED470" i="112"/>
  <c r="EE470" i="112" s="1"/>
  <c r="EI468" i="112"/>
  <c r="EJ468" i="112" s="1"/>
  <c r="ED363" i="112"/>
  <c r="EF467" i="112"/>
  <c r="EF470" i="112"/>
  <c r="DX417" i="112"/>
  <c r="DY468" i="112"/>
  <c r="EK468" i="112"/>
  <c r="EI344" i="112"/>
  <c r="EI343" i="112"/>
  <c r="DZ364" i="112"/>
  <c r="DY417" i="112"/>
  <c r="DZ418" i="112"/>
  <c r="DZ419" i="112"/>
  <c r="DZ420" i="112"/>
  <c r="ED421" i="112"/>
  <c r="ED466" i="112"/>
  <c r="DZ468" i="112"/>
  <c r="ED469" i="112"/>
  <c r="FU362" i="112"/>
  <c r="EI467" i="112"/>
  <c r="EJ467" i="112" s="1"/>
  <c r="EI470" i="112"/>
  <c r="EJ470" i="112" s="1"/>
  <c r="EF466" i="112"/>
  <c r="EE468" i="112"/>
  <c r="DX470" i="112"/>
  <c r="DY467" i="112"/>
  <c r="EK467" i="112"/>
  <c r="DY470" i="112"/>
  <c r="EK470" i="112"/>
  <c r="DZ470" i="112"/>
  <c r="EI417" i="112"/>
  <c r="EF362" i="112"/>
  <c r="EF361" i="112"/>
  <c r="DY343" i="112"/>
  <c r="DZ318" i="112"/>
  <c r="EI320" i="112"/>
  <c r="EJ320" i="112" s="1"/>
  <c r="DZ343" i="112"/>
  <c r="FU343" i="112"/>
  <c r="DX361" i="112"/>
  <c r="EF365" i="112"/>
  <c r="DY318" i="112"/>
  <c r="EE318" i="112"/>
  <c r="DZ361" i="112"/>
  <c r="DX362" i="112"/>
  <c r="ED343" i="112"/>
  <c r="DZ362" i="112"/>
  <c r="DX364" i="112"/>
  <c r="DZ421" i="112"/>
  <c r="FU421" i="112"/>
  <c r="EF363" i="112"/>
  <c r="FU317" i="112"/>
  <c r="EI361" i="112"/>
  <c r="EI362" i="112"/>
  <c r="EJ362" i="112" s="1"/>
  <c r="EI363" i="112"/>
  <c r="EJ363" i="112" s="1"/>
  <c r="EI364" i="112"/>
  <c r="EI365" i="112"/>
  <c r="EJ365" i="112" s="1"/>
  <c r="ED344" i="112"/>
  <c r="DY346" i="112"/>
  <c r="DZ346" i="112"/>
  <c r="DY361" i="112"/>
  <c r="EK361" i="112"/>
  <c r="DY362" i="112"/>
  <c r="EK362" i="112"/>
  <c r="DY363" i="112"/>
  <c r="EK363" i="112"/>
  <c r="DY364" i="112"/>
  <c r="EK364" i="112"/>
  <c r="DY365" i="112"/>
  <c r="EK365" i="112"/>
  <c r="DZ365" i="112"/>
  <c r="FU365" i="112"/>
  <c r="DX317" i="112"/>
  <c r="DX319" i="112"/>
  <c r="FU319" i="112"/>
  <c r="EK344" i="112"/>
  <c r="EK346" i="112"/>
  <c r="EF347" i="112"/>
  <c r="DY317" i="112"/>
  <c r="FU344" i="112"/>
  <c r="DZ317" i="112"/>
  <c r="EF318" i="112"/>
  <c r="DX344" i="112"/>
  <c r="DY344" i="112"/>
  <c r="DX345" i="112"/>
  <c r="EF319" i="112"/>
  <c r="DX318" i="112"/>
  <c r="DX343" i="112"/>
  <c r="DZ344" i="112"/>
  <c r="DY345" i="112"/>
  <c r="FU345" i="112"/>
  <c r="EF346" i="112"/>
  <c r="EF344" i="112"/>
  <c r="EI347" i="112"/>
  <c r="EJ347" i="112" s="1"/>
  <c r="EF320" i="112"/>
  <c r="EK320" i="112"/>
  <c r="FU320" i="112"/>
  <c r="DX320" i="112"/>
  <c r="EF343" i="112"/>
  <c r="EI346" i="112"/>
  <c r="DX347" i="112"/>
  <c r="EF345" i="112"/>
  <c r="DZ316" i="112"/>
  <c r="EF317" i="112"/>
  <c r="DY320" i="112"/>
  <c r="EI345" i="112"/>
  <c r="EJ345" i="112" s="1"/>
  <c r="DX346" i="112"/>
  <c r="DY347" i="112"/>
  <c r="EK347" i="112"/>
  <c r="DZ320" i="112"/>
  <c r="DZ347" i="112"/>
  <c r="FU347" i="112"/>
  <c r="ED347" i="112"/>
  <c r="EF316" i="112"/>
  <c r="EK317" i="112"/>
  <c r="FU316" i="112"/>
  <c r="DY319" i="112"/>
  <c r="EK319" i="112"/>
  <c r="DZ319" i="112"/>
  <c r="FU318" i="112"/>
  <c r="EI316" i="112"/>
  <c r="DX316" i="112"/>
  <c r="DY316" i="112"/>
  <c r="EK316" i="112"/>
  <c r="DM68" i="112"/>
  <c r="HB523" i="112" l="1"/>
  <c r="GS523" i="112"/>
  <c r="HR523" i="112" s="1"/>
  <c r="GZ526" i="112"/>
  <c r="GQ526" i="112"/>
  <c r="HP526" i="112" s="1"/>
  <c r="GP524" i="112"/>
  <c r="HO524" i="112" s="1"/>
  <c r="GY524" i="112"/>
  <c r="HB522" i="112"/>
  <c r="GS522" i="112"/>
  <c r="HR522" i="112" s="1"/>
  <c r="GN525" i="112"/>
  <c r="HM525" i="112" s="1"/>
  <c r="GW525" i="112"/>
  <c r="GO523" i="112"/>
  <c r="HN523" i="112" s="1"/>
  <c r="GX523" i="112"/>
  <c r="HA526" i="112"/>
  <c r="GR526" i="112"/>
  <c r="HQ526" i="112" s="1"/>
  <c r="HB524" i="112"/>
  <c r="GS524" i="112"/>
  <c r="HR524" i="112" s="1"/>
  <c r="GV522" i="112"/>
  <c r="GM522" i="112"/>
  <c r="HL522" i="112" s="1"/>
  <c r="GQ525" i="112"/>
  <c r="HP525" i="112" s="1"/>
  <c r="GZ525" i="112"/>
  <c r="GN523" i="112"/>
  <c r="HM523" i="112" s="1"/>
  <c r="GW523" i="112"/>
  <c r="GS526" i="112"/>
  <c r="HR526" i="112" s="1"/>
  <c r="HB526" i="112"/>
  <c r="GW524" i="112"/>
  <c r="GN524" i="112"/>
  <c r="HM524" i="112" s="1"/>
  <c r="GW522" i="112"/>
  <c r="GN522" i="112"/>
  <c r="HM522" i="112" s="1"/>
  <c r="HA525" i="112"/>
  <c r="GR525" i="112"/>
  <c r="HQ525" i="112" s="1"/>
  <c r="GQ523" i="112"/>
  <c r="HP523" i="112" s="1"/>
  <c r="GZ523" i="112"/>
  <c r="GX526" i="112"/>
  <c r="GO526" i="112"/>
  <c r="HN526" i="112" s="1"/>
  <c r="GX524" i="112"/>
  <c r="GO524" i="112"/>
  <c r="HN524" i="112" s="1"/>
  <c r="HA522" i="112"/>
  <c r="GR522" i="112"/>
  <c r="HQ522" i="112" s="1"/>
  <c r="HB525" i="112"/>
  <c r="GS525" i="112"/>
  <c r="HR525" i="112" s="1"/>
  <c r="HA523" i="112"/>
  <c r="GR523" i="112"/>
  <c r="HQ523" i="112" s="1"/>
  <c r="GY526" i="112"/>
  <c r="GP526" i="112"/>
  <c r="HO526" i="112" s="1"/>
  <c r="GZ524" i="112"/>
  <c r="GQ524" i="112"/>
  <c r="HP524" i="112" s="1"/>
  <c r="GO522" i="112"/>
  <c r="HN522" i="112" s="1"/>
  <c r="GX522" i="112"/>
  <c r="GM525" i="112"/>
  <c r="HL525" i="112" s="1"/>
  <c r="GV525" i="112"/>
  <c r="GM523" i="112"/>
  <c r="HL523" i="112" s="1"/>
  <c r="GV523" i="112"/>
  <c r="GW526" i="112"/>
  <c r="GN526" i="112"/>
  <c r="HM526" i="112" s="1"/>
  <c r="HA524" i="112"/>
  <c r="GR524" i="112"/>
  <c r="HQ524" i="112" s="1"/>
  <c r="GQ522" i="112"/>
  <c r="HP522" i="112" s="1"/>
  <c r="GZ522" i="112"/>
  <c r="GY525" i="112"/>
  <c r="GP525" i="112"/>
  <c r="HO525" i="112" s="1"/>
  <c r="GY523" i="112"/>
  <c r="GP523" i="112"/>
  <c r="GM526" i="112"/>
  <c r="HL526" i="112" s="1"/>
  <c r="GV526" i="112"/>
  <c r="GM524" i="112"/>
  <c r="HL524" i="112" s="1"/>
  <c r="GV524" i="112"/>
  <c r="GY522" i="112"/>
  <c r="GP522" i="112"/>
  <c r="HO522" i="112" s="1"/>
  <c r="GX525" i="112"/>
  <c r="GO525" i="112"/>
  <c r="HN525" i="112" s="1"/>
  <c r="EE522" i="112"/>
  <c r="EE504" i="112"/>
  <c r="EE485" i="112"/>
  <c r="FT421" i="112"/>
  <c r="EE420" i="112"/>
  <c r="FT420" i="112"/>
  <c r="EJ319" i="112"/>
  <c r="EJ316" i="112"/>
  <c r="EJ364" i="112"/>
  <c r="EJ318" i="112"/>
  <c r="EJ346" i="112"/>
  <c r="EJ344" i="112"/>
  <c r="DV421" i="112"/>
  <c r="EE487" i="112"/>
  <c r="EE486" i="112"/>
  <c r="DV488" i="112"/>
  <c r="EE467" i="112"/>
  <c r="EE419" i="112"/>
  <c r="FT419" i="112"/>
  <c r="FT418" i="112"/>
  <c r="EE418" i="112"/>
  <c r="EE364" i="112"/>
  <c r="EE361" i="112"/>
  <c r="EE365" i="112"/>
  <c r="EE347" i="112"/>
  <c r="EE345" i="112"/>
  <c r="EE344" i="112"/>
  <c r="EE317" i="112"/>
  <c r="EJ317" i="112"/>
  <c r="DV318" i="112"/>
  <c r="DV319" i="112" s="1"/>
  <c r="EE319" i="112"/>
  <c r="EE506" i="112"/>
  <c r="EE507" i="112"/>
  <c r="EE488" i="112"/>
  <c r="EE469" i="112"/>
  <c r="EE421" i="112"/>
  <c r="EE363" i="112"/>
  <c r="EE346" i="112"/>
  <c r="EE320" i="112"/>
  <c r="EE526" i="112"/>
  <c r="EE316" i="112"/>
  <c r="EJ343" i="112"/>
  <c r="EE343" i="112"/>
  <c r="EJ361" i="112"/>
  <c r="FT417" i="112"/>
  <c r="EE417" i="112"/>
  <c r="EJ417" i="112"/>
  <c r="EJ466" i="112"/>
  <c r="EE466" i="112"/>
  <c r="EJ484" i="112"/>
  <c r="EE484" i="112"/>
  <c r="EJ503" i="112"/>
  <c r="EE503" i="112"/>
  <c r="DM104" i="112"/>
  <c r="DM80" i="112"/>
  <c r="HO523" i="112" l="1"/>
  <c r="DV320" i="112"/>
  <c r="FW307" i="112"/>
  <c r="HB307" i="112" s="1"/>
  <c r="O84" i="114"/>
  <c r="O84" i="115" s="1"/>
  <c r="S13" i="37" l="1"/>
  <c r="B71" i="130" s="1"/>
  <c r="Q13" i="37"/>
  <c r="B70" i="130" s="1"/>
  <c r="O13" i="37"/>
  <c r="B69" i="130" s="1"/>
  <c r="M13" i="37"/>
  <c r="B68" i="130" s="1"/>
  <c r="K13" i="37"/>
  <c r="B67" i="130" s="1"/>
  <c r="I13" i="37"/>
  <c r="B66" i="130" s="1"/>
  <c r="G13" i="37"/>
  <c r="B65" i="130" s="1"/>
  <c r="AG13" i="37" l="1"/>
  <c r="BE59" i="37" s="1"/>
  <c r="B117" i="127"/>
  <c r="AI13" i="37"/>
  <c r="BG59" i="37" s="1"/>
  <c r="B119" i="127"/>
  <c r="AJ13" i="37"/>
  <c r="BH59" i="37" s="1"/>
  <c r="B120" i="127"/>
  <c r="AK13" i="37"/>
  <c r="BI59" i="37" s="1"/>
  <c r="CD59" i="37" s="1"/>
  <c r="B121" i="127"/>
  <c r="AH13" i="37"/>
  <c r="BF59" i="37" s="1"/>
  <c r="B118" i="127"/>
  <c r="AL13" i="37"/>
  <c r="BJ59" i="37" s="1"/>
  <c r="B122" i="127"/>
  <c r="AF13" i="37"/>
  <c r="BD59" i="37" s="1"/>
  <c r="BR59" i="37" s="1"/>
  <c r="B116" i="127"/>
  <c r="BX59" i="37"/>
  <c r="CC59" i="37"/>
  <c r="BU59" i="37"/>
  <c r="CE59" i="37"/>
  <c r="CE62" i="37" s="1"/>
  <c r="CB59" i="37"/>
  <c r="BO59" i="37"/>
  <c r="BP59" i="37"/>
  <c r="CA59" i="37"/>
  <c r="DQ4" i="112"/>
  <c r="BY59" i="37" l="1"/>
  <c r="BW59" i="37"/>
  <c r="BQ59" i="37"/>
  <c r="BQ71" i="37" s="1"/>
  <c r="BT59" i="37"/>
  <c r="BV59" i="37"/>
  <c r="BV71" i="37" s="1"/>
  <c r="BN59" i="37"/>
  <c r="AQ9" i="37" s="1"/>
  <c r="AQ11" i="37" s="1"/>
  <c r="BN75" i="37" s="1"/>
  <c r="BS59" i="37"/>
  <c r="BS62" i="37" s="1"/>
  <c r="CF59" i="37"/>
  <c r="CF65" i="37" s="1"/>
  <c r="CG59" i="37"/>
  <c r="CG62" i="37" s="1"/>
  <c r="BZ59" i="37"/>
  <c r="BO62" i="37"/>
  <c r="BO65" i="37"/>
  <c r="BO71" i="37"/>
  <c r="BU62" i="37"/>
  <c r="BU71" i="37"/>
  <c r="BU65" i="37"/>
  <c r="BU155" i="37"/>
  <c r="BY62" i="37"/>
  <c r="BY65" i="37"/>
  <c r="BY71" i="37"/>
  <c r="BT62" i="37"/>
  <c r="BT65" i="37"/>
  <c r="BT71" i="37"/>
  <c r="BW62" i="37"/>
  <c r="BW71" i="37"/>
  <c r="BW65" i="37"/>
  <c r="BQ65" i="37"/>
  <c r="BQ62" i="37"/>
  <c r="BZ101" i="37"/>
  <c r="CD62" i="37"/>
  <c r="CD65" i="37"/>
  <c r="BZ62" i="37"/>
  <c r="BZ65" i="37"/>
  <c r="BZ71" i="37"/>
  <c r="BR62" i="37"/>
  <c r="BR71" i="37"/>
  <c r="BR65" i="37"/>
  <c r="CA65" i="37"/>
  <c r="CA71" i="37"/>
  <c r="CA62" i="37"/>
  <c r="CB62" i="37"/>
  <c r="CB71" i="37"/>
  <c r="CB65" i="37"/>
  <c r="CC62" i="37"/>
  <c r="CC71" i="37"/>
  <c r="CC65" i="37"/>
  <c r="BP155" i="37"/>
  <c r="BP65" i="37"/>
  <c r="BP62" i="37"/>
  <c r="BP71" i="37"/>
  <c r="BX62" i="37"/>
  <c r="BX65" i="37"/>
  <c r="BX71" i="37"/>
  <c r="FL521" i="112"/>
  <c r="DT521" i="112"/>
  <c r="DO521" i="112"/>
  <c r="FL520" i="112"/>
  <c r="DT520" i="112"/>
  <c r="DO520" i="112"/>
  <c r="FL519" i="112"/>
  <c r="DT519" i="112"/>
  <c r="DO519" i="112"/>
  <c r="FL518" i="112"/>
  <c r="DT518" i="112"/>
  <c r="DO518" i="112"/>
  <c r="FL517" i="112"/>
  <c r="DT517" i="112"/>
  <c r="DO517" i="112"/>
  <c r="FL516" i="112"/>
  <c r="DT516" i="112"/>
  <c r="DO516" i="112"/>
  <c r="FL515" i="112"/>
  <c r="DT515" i="112"/>
  <c r="DO515" i="112"/>
  <c r="FL514" i="112"/>
  <c r="DT514" i="112"/>
  <c r="DO514" i="112"/>
  <c r="FL513" i="112"/>
  <c r="DT513" i="112"/>
  <c r="DO513" i="112"/>
  <c r="FL512" i="112"/>
  <c r="DT512" i="112"/>
  <c r="DO512" i="112"/>
  <c r="FL502" i="112"/>
  <c r="DW502" i="112"/>
  <c r="DT502" i="112"/>
  <c r="DO502" i="112"/>
  <c r="FL501" i="112"/>
  <c r="DW501" i="112"/>
  <c r="DT501" i="112"/>
  <c r="DO501" i="112"/>
  <c r="FL500" i="112"/>
  <c r="DW500" i="112"/>
  <c r="DT500" i="112"/>
  <c r="DO500" i="112"/>
  <c r="FL499" i="112"/>
  <c r="DW499" i="112"/>
  <c r="DT499" i="112"/>
  <c r="DO499" i="112"/>
  <c r="FL498" i="112"/>
  <c r="DW498" i="112"/>
  <c r="DT498" i="112"/>
  <c r="DO498" i="112"/>
  <c r="FL497" i="112"/>
  <c r="DW497" i="112"/>
  <c r="DT497" i="112"/>
  <c r="DO497" i="112"/>
  <c r="FL496" i="112"/>
  <c r="DW496" i="112"/>
  <c r="DT496" i="112"/>
  <c r="DO496" i="112"/>
  <c r="FL495" i="112"/>
  <c r="DW495" i="112"/>
  <c r="DT495" i="112"/>
  <c r="DO495" i="112"/>
  <c r="FL494" i="112"/>
  <c r="DW494" i="112"/>
  <c r="DT494" i="112"/>
  <c r="DO494" i="112"/>
  <c r="FL493" i="112"/>
  <c r="DW493" i="112"/>
  <c r="DT493" i="112"/>
  <c r="DO493" i="112"/>
  <c r="FL483" i="112"/>
  <c r="DW483" i="112"/>
  <c r="DT483" i="112"/>
  <c r="DO483" i="112"/>
  <c r="FL482" i="112"/>
  <c r="DW482" i="112"/>
  <c r="DT482" i="112"/>
  <c r="DO482" i="112"/>
  <c r="FL481" i="112"/>
  <c r="DW481" i="112"/>
  <c r="DT481" i="112"/>
  <c r="DO481" i="112"/>
  <c r="FL480" i="112"/>
  <c r="DW480" i="112"/>
  <c r="DT480" i="112"/>
  <c r="DO480" i="112"/>
  <c r="FL479" i="112"/>
  <c r="DW479" i="112"/>
  <c r="DT479" i="112"/>
  <c r="DO479" i="112"/>
  <c r="FL478" i="112"/>
  <c r="DW478" i="112"/>
  <c r="DT478" i="112"/>
  <c r="DO478" i="112"/>
  <c r="FL477" i="112"/>
  <c r="DW477" i="112"/>
  <c r="DT477" i="112"/>
  <c r="DO477" i="112"/>
  <c r="FL476" i="112"/>
  <c r="DW476" i="112"/>
  <c r="DT476" i="112"/>
  <c r="DO476" i="112"/>
  <c r="FL475" i="112"/>
  <c r="DW475" i="112"/>
  <c r="DT475" i="112"/>
  <c r="DO475" i="112"/>
  <c r="FL465" i="112"/>
  <c r="DW465" i="112"/>
  <c r="DT465" i="112"/>
  <c r="DO465" i="112"/>
  <c r="FL464" i="112"/>
  <c r="DW464" i="112"/>
  <c r="DT464" i="112"/>
  <c r="DO464" i="112"/>
  <c r="FL463" i="112"/>
  <c r="DW463" i="112"/>
  <c r="DT463" i="112"/>
  <c r="DO463" i="112"/>
  <c r="FL462" i="112"/>
  <c r="DW462" i="112"/>
  <c r="DT462" i="112"/>
  <c r="DO462" i="112"/>
  <c r="FL461" i="112"/>
  <c r="DW461" i="112"/>
  <c r="DT461" i="112"/>
  <c r="DO461" i="112"/>
  <c r="FL460" i="112"/>
  <c r="DW460" i="112"/>
  <c r="DT460" i="112"/>
  <c r="DO460" i="112"/>
  <c r="FL459" i="112"/>
  <c r="DW459" i="112"/>
  <c r="DT459" i="112"/>
  <c r="DO459" i="112"/>
  <c r="FL458" i="112"/>
  <c r="DW458" i="112"/>
  <c r="DT458" i="112"/>
  <c r="DO458" i="112"/>
  <c r="FL457" i="112"/>
  <c r="DW457" i="112"/>
  <c r="DT457" i="112"/>
  <c r="DO457" i="112"/>
  <c r="FL456" i="112"/>
  <c r="DW456" i="112"/>
  <c r="DT456" i="112"/>
  <c r="DO456" i="112"/>
  <c r="FL455" i="112"/>
  <c r="DW455" i="112"/>
  <c r="DT455" i="112"/>
  <c r="DO455" i="112"/>
  <c r="FL454" i="112"/>
  <c r="DW454" i="112"/>
  <c r="DT454" i="112"/>
  <c r="DO454" i="112"/>
  <c r="FL453" i="112"/>
  <c r="DW453" i="112"/>
  <c r="DT453" i="112"/>
  <c r="DO453" i="112"/>
  <c r="FL452" i="112"/>
  <c r="DW452" i="112"/>
  <c r="DT452" i="112"/>
  <c r="DO452" i="112"/>
  <c r="FL451" i="112"/>
  <c r="DW451" i="112"/>
  <c r="DT451" i="112"/>
  <c r="DO451" i="112"/>
  <c r="FL450" i="112"/>
  <c r="DW450" i="112"/>
  <c r="DT450" i="112"/>
  <c r="DO450" i="112"/>
  <c r="FL449" i="112"/>
  <c r="DW449" i="112"/>
  <c r="DT449" i="112"/>
  <c r="DO449" i="112"/>
  <c r="FL448" i="112"/>
  <c r="DW448" i="112"/>
  <c r="DT448" i="112"/>
  <c r="DO448" i="112"/>
  <c r="FL447" i="112"/>
  <c r="DW447" i="112"/>
  <c r="DT447" i="112"/>
  <c r="DO447" i="112"/>
  <c r="FL446" i="112"/>
  <c r="DW446" i="112"/>
  <c r="DT446" i="112"/>
  <c r="DO446" i="112"/>
  <c r="FL445" i="112"/>
  <c r="DW445" i="112"/>
  <c r="DT445" i="112"/>
  <c r="DO445" i="112"/>
  <c r="FL444" i="112"/>
  <c r="DW444" i="112"/>
  <c r="DT444" i="112"/>
  <c r="DO444" i="112"/>
  <c r="FL443" i="112"/>
  <c r="DW443" i="112"/>
  <c r="DT443" i="112"/>
  <c r="DO443" i="112"/>
  <c r="FL442" i="112"/>
  <c r="DW442" i="112"/>
  <c r="DT442" i="112"/>
  <c r="DO442" i="112"/>
  <c r="FL441" i="112"/>
  <c r="DW441" i="112"/>
  <c r="DT441" i="112"/>
  <c r="DO441" i="112"/>
  <c r="FL440" i="112"/>
  <c r="DW440" i="112"/>
  <c r="DT440" i="112"/>
  <c r="DO440" i="112"/>
  <c r="FL439" i="112"/>
  <c r="DW439" i="112"/>
  <c r="DT439" i="112"/>
  <c r="DO439" i="112"/>
  <c r="FL438" i="112"/>
  <c r="DW438" i="112"/>
  <c r="DT438" i="112"/>
  <c r="DO438" i="112"/>
  <c r="FL437" i="112"/>
  <c r="DW437" i="112"/>
  <c r="DT437" i="112"/>
  <c r="DO437" i="112"/>
  <c r="FL436" i="112"/>
  <c r="DW436" i="112"/>
  <c r="DT436" i="112"/>
  <c r="DO436" i="112"/>
  <c r="FL435" i="112"/>
  <c r="DW435" i="112"/>
  <c r="DT435" i="112"/>
  <c r="DO435" i="112"/>
  <c r="FL434" i="112"/>
  <c r="DW434" i="112"/>
  <c r="DT434" i="112"/>
  <c r="DO434" i="112"/>
  <c r="FL433" i="112"/>
  <c r="DW433" i="112"/>
  <c r="DT433" i="112"/>
  <c r="DO433" i="112"/>
  <c r="FL432" i="112"/>
  <c r="DW432" i="112"/>
  <c r="DT432" i="112"/>
  <c r="DO432" i="112"/>
  <c r="FL431" i="112"/>
  <c r="DW431" i="112"/>
  <c r="DT431" i="112"/>
  <c r="DO431" i="112"/>
  <c r="FL430" i="112"/>
  <c r="DW430" i="112"/>
  <c r="DT430" i="112"/>
  <c r="DO430" i="112"/>
  <c r="FL429" i="112"/>
  <c r="DW429" i="112"/>
  <c r="DT429" i="112"/>
  <c r="DO429" i="112"/>
  <c r="FL428" i="112"/>
  <c r="DW428" i="112"/>
  <c r="DT428" i="112"/>
  <c r="DO428" i="112"/>
  <c r="FL427" i="112"/>
  <c r="DW427" i="112"/>
  <c r="DT427" i="112"/>
  <c r="DO427" i="112"/>
  <c r="FL426" i="112"/>
  <c r="DW426" i="112"/>
  <c r="DT426" i="112"/>
  <c r="DO426" i="112"/>
  <c r="FL416" i="112"/>
  <c r="DW416" i="112"/>
  <c r="DT416" i="112"/>
  <c r="DO416" i="112"/>
  <c r="FL415" i="112"/>
  <c r="DW415" i="112"/>
  <c r="DT415" i="112"/>
  <c r="DO415" i="112"/>
  <c r="FL414" i="112"/>
  <c r="DW414" i="112"/>
  <c r="DT414" i="112"/>
  <c r="DO414" i="112"/>
  <c r="FL413" i="112"/>
  <c r="DW413" i="112"/>
  <c r="DT413" i="112"/>
  <c r="DO413" i="112"/>
  <c r="FL412" i="112"/>
  <c r="DW412" i="112"/>
  <c r="DT412" i="112"/>
  <c r="DO412" i="112"/>
  <c r="FL411" i="112"/>
  <c r="DW411" i="112"/>
  <c r="DT411" i="112"/>
  <c r="DO411" i="112"/>
  <c r="FL410" i="112"/>
  <c r="DW410" i="112"/>
  <c r="DT410" i="112"/>
  <c r="DO410" i="112"/>
  <c r="FL409" i="112"/>
  <c r="DW409" i="112"/>
  <c r="DT409" i="112"/>
  <c r="DO409" i="112"/>
  <c r="FL408" i="112"/>
  <c r="DW408" i="112"/>
  <c r="DT408" i="112"/>
  <c r="DO408" i="112"/>
  <c r="FL407" i="112"/>
  <c r="DW407" i="112"/>
  <c r="DT407" i="112"/>
  <c r="DO407" i="112"/>
  <c r="FL406" i="112"/>
  <c r="DW406" i="112"/>
  <c r="DT406" i="112"/>
  <c r="DO406" i="112"/>
  <c r="FL405" i="112"/>
  <c r="DW405" i="112"/>
  <c r="DT405" i="112"/>
  <c r="DO405" i="112"/>
  <c r="FL404" i="112"/>
  <c r="DW404" i="112"/>
  <c r="DT404" i="112"/>
  <c r="DO404" i="112"/>
  <c r="FL403" i="112"/>
  <c r="DW403" i="112"/>
  <c r="DT403" i="112"/>
  <c r="DO403" i="112"/>
  <c r="FL402" i="112"/>
  <c r="DW402" i="112"/>
  <c r="DT402" i="112"/>
  <c r="DO402" i="112"/>
  <c r="FL401" i="112"/>
  <c r="DW401" i="112"/>
  <c r="DT401" i="112"/>
  <c r="DO401" i="112"/>
  <c r="FL400" i="112"/>
  <c r="DW400" i="112"/>
  <c r="DT400" i="112"/>
  <c r="DO400" i="112"/>
  <c r="FL399" i="112"/>
  <c r="DW399" i="112"/>
  <c r="DT399" i="112"/>
  <c r="DO399" i="112"/>
  <c r="FL398" i="112"/>
  <c r="DW398" i="112"/>
  <c r="DT398" i="112"/>
  <c r="DO398" i="112"/>
  <c r="FL397" i="112"/>
  <c r="DW397" i="112"/>
  <c r="DT397" i="112"/>
  <c r="DO397" i="112"/>
  <c r="FL396" i="112"/>
  <c r="DW396" i="112"/>
  <c r="DT396" i="112"/>
  <c r="DO396" i="112"/>
  <c r="FL395" i="112"/>
  <c r="DW395" i="112"/>
  <c r="DT395" i="112"/>
  <c r="DO395" i="112"/>
  <c r="FL394" i="112"/>
  <c r="DW394" i="112"/>
  <c r="DT394" i="112"/>
  <c r="DO394" i="112"/>
  <c r="FL393" i="112"/>
  <c r="DW393" i="112"/>
  <c r="DT393" i="112"/>
  <c r="DO393" i="112"/>
  <c r="FL392" i="112"/>
  <c r="DW392" i="112"/>
  <c r="DT392" i="112"/>
  <c r="DO392" i="112"/>
  <c r="FL391" i="112"/>
  <c r="DW391" i="112"/>
  <c r="DT391" i="112"/>
  <c r="DO391" i="112"/>
  <c r="FL390" i="112"/>
  <c r="DW390" i="112"/>
  <c r="DT390" i="112"/>
  <c r="DO390" i="112"/>
  <c r="FL389" i="112"/>
  <c r="DW389" i="112"/>
  <c r="DT389" i="112"/>
  <c r="DO389" i="112"/>
  <c r="FL388" i="112"/>
  <c r="DW388" i="112"/>
  <c r="DT388" i="112"/>
  <c r="DO388" i="112"/>
  <c r="FL387" i="112"/>
  <c r="DW387" i="112"/>
  <c r="DT387" i="112"/>
  <c r="DO387" i="112"/>
  <c r="FL386" i="112"/>
  <c r="DW386" i="112"/>
  <c r="DT386" i="112"/>
  <c r="DO386" i="112"/>
  <c r="FL385" i="112"/>
  <c r="DW385" i="112"/>
  <c r="DT385" i="112"/>
  <c r="DO385" i="112"/>
  <c r="FL384" i="112"/>
  <c r="DW384" i="112"/>
  <c r="DT384" i="112"/>
  <c r="DO384" i="112"/>
  <c r="FL383" i="112"/>
  <c r="DW383" i="112"/>
  <c r="DT383" i="112"/>
  <c r="DO383" i="112"/>
  <c r="FL382" i="112"/>
  <c r="DW382" i="112"/>
  <c r="DT382" i="112"/>
  <c r="DO382" i="112"/>
  <c r="FL381" i="112"/>
  <c r="DW381" i="112"/>
  <c r="DT381" i="112"/>
  <c r="DO381" i="112"/>
  <c r="FL380" i="112"/>
  <c r="DW380" i="112"/>
  <c r="DT380" i="112"/>
  <c r="DO380" i="112"/>
  <c r="FL379" i="112"/>
  <c r="DW379" i="112"/>
  <c r="DT379" i="112"/>
  <c r="DO379" i="112"/>
  <c r="FL378" i="112"/>
  <c r="DW378" i="112"/>
  <c r="DT378" i="112"/>
  <c r="DO378" i="112"/>
  <c r="FL377" i="112"/>
  <c r="DW377" i="112"/>
  <c r="DT377" i="112"/>
  <c r="DO377" i="112"/>
  <c r="FL376" i="112"/>
  <c r="DW376" i="112"/>
  <c r="DT376" i="112"/>
  <c r="DO376" i="112"/>
  <c r="FL375" i="112"/>
  <c r="DW375" i="112"/>
  <c r="DT375" i="112"/>
  <c r="DO375" i="112"/>
  <c r="FL374" i="112"/>
  <c r="DW374" i="112"/>
  <c r="DT374" i="112"/>
  <c r="DO374" i="112"/>
  <c r="FL373" i="112"/>
  <c r="DW373" i="112"/>
  <c r="DT373" i="112"/>
  <c r="DO373" i="112"/>
  <c r="FL372" i="112"/>
  <c r="DW372" i="112"/>
  <c r="DT372" i="112"/>
  <c r="DO372" i="112"/>
  <c r="FL371" i="112"/>
  <c r="DW371" i="112"/>
  <c r="DT371" i="112"/>
  <c r="DO371" i="112"/>
  <c r="FL370" i="112"/>
  <c r="DW370" i="112"/>
  <c r="DT370" i="112"/>
  <c r="DO370" i="112"/>
  <c r="FL360" i="112"/>
  <c r="DW360" i="112"/>
  <c r="DT360" i="112"/>
  <c r="DO360" i="112"/>
  <c r="FL359" i="112"/>
  <c r="DW359" i="112"/>
  <c r="DT359" i="112"/>
  <c r="DO359" i="112"/>
  <c r="FL358" i="112"/>
  <c r="DW358" i="112"/>
  <c r="DT358" i="112"/>
  <c r="DO358" i="112"/>
  <c r="FL357" i="112"/>
  <c r="DW357" i="112"/>
  <c r="DT357" i="112"/>
  <c r="DO357" i="112"/>
  <c r="FL356" i="112"/>
  <c r="DW356" i="112"/>
  <c r="DT356" i="112"/>
  <c r="DO356" i="112"/>
  <c r="FL355" i="112"/>
  <c r="DW355" i="112"/>
  <c r="DT355" i="112"/>
  <c r="DO355" i="112"/>
  <c r="FL354" i="112"/>
  <c r="DW354" i="112"/>
  <c r="DT354" i="112"/>
  <c r="DO354" i="112"/>
  <c r="FL353" i="112"/>
  <c r="DW353" i="112"/>
  <c r="DT353" i="112"/>
  <c r="DO353" i="112"/>
  <c r="FL352" i="112"/>
  <c r="DW352" i="112"/>
  <c r="DT352" i="112"/>
  <c r="DO352" i="112"/>
  <c r="FL342" i="112"/>
  <c r="DW342" i="112"/>
  <c r="DT342" i="112"/>
  <c r="DO342" i="112"/>
  <c r="FL341" i="112"/>
  <c r="DW341" i="112"/>
  <c r="DT341" i="112"/>
  <c r="DO341" i="112"/>
  <c r="FL340" i="112"/>
  <c r="DW340" i="112"/>
  <c r="DT340" i="112"/>
  <c r="DO340" i="112"/>
  <c r="FL339" i="112"/>
  <c r="DW339" i="112"/>
  <c r="DT339" i="112"/>
  <c r="DO339" i="112"/>
  <c r="FL338" i="112"/>
  <c r="DW338" i="112"/>
  <c r="DT338" i="112"/>
  <c r="DO338" i="112"/>
  <c r="FL337" i="112"/>
  <c r="DW337" i="112"/>
  <c r="DT337" i="112"/>
  <c r="DO337" i="112"/>
  <c r="FL336" i="112"/>
  <c r="DW336" i="112"/>
  <c r="DT336" i="112"/>
  <c r="DO336" i="112"/>
  <c r="FL335" i="112"/>
  <c r="DW335" i="112"/>
  <c r="DT335" i="112"/>
  <c r="DO335" i="112"/>
  <c r="FL334" i="112"/>
  <c r="DW334" i="112"/>
  <c r="DT334" i="112"/>
  <c r="DO334" i="112"/>
  <c r="FL333" i="112"/>
  <c r="DW333" i="112"/>
  <c r="DT333" i="112"/>
  <c r="DO333" i="112"/>
  <c r="FL332" i="112"/>
  <c r="DW332" i="112"/>
  <c r="DT332" i="112"/>
  <c r="DO332" i="112"/>
  <c r="FL331" i="112"/>
  <c r="DW331" i="112"/>
  <c r="DT331" i="112"/>
  <c r="DO331" i="112"/>
  <c r="FL330" i="112"/>
  <c r="DW330" i="112"/>
  <c r="DT330" i="112"/>
  <c r="DO330" i="112"/>
  <c r="FL329" i="112"/>
  <c r="DW329" i="112"/>
  <c r="DT329" i="112"/>
  <c r="DO329" i="112"/>
  <c r="FL328" i="112"/>
  <c r="DW328" i="112"/>
  <c r="DT328" i="112"/>
  <c r="DO328" i="112"/>
  <c r="FL327" i="112"/>
  <c r="DW327" i="112"/>
  <c r="DT327" i="112"/>
  <c r="DO327" i="112"/>
  <c r="FL326" i="112"/>
  <c r="DW326" i="112"/>
  <c r="DT326" i="112"/>
  <c r="DO326" i="112"/>
  <c r="FL325" i="112"/>
  <c r="DW325" i="112"/>
  <c r="DT325" i="112"/>
  <c r="DO325" i="112"/>
  <c r="FL315" i="112"/>
  <c r="DW315" i="112"/>
  <c r="DT315" i="112"/>
  <c r="DO315" i="112"/>
  <c r="FL314" i="112"/>
  <c r="DW314" i="112"/>
  <c r="DT314" i="112"/>
  <c r="DO314" i="112"/>
  <c r="FL313" i="112"/>
  <c r="DW313" i="112"/>
  <c r="DT313" i="112"/>
  <c r="DO313" i="112"/>
  <c r="FL312" i="112"/>
  <c r="DW312" i="112"/>
  <c r="DT312" i="112"/>
  <c r="DO312" i="112"/>
  <c r="FL311" i="112"/>
  <c r="DW311" i="112"/>
  <c r="DT311" i="112"/>
  <c r="DO311" i="112"/>
  <c r="FL310" i="112"/>
  <c r="DW310" i="112"/>
  <c r="DT310" i="112"/>
  <c r="DO310" i="112"/>
  <c r="FL309" i="112"/>
  <c r="DW309" i="112"/>
  <c r="DT309" i="112"/>
  <c r="DO309" i="112"/>
  <c r="FL308" i="112"/>
  <c r="DW308" i="112"/>
  <c r="DT308" i="112"/>
  <c r="DO308" i="112"/>
  <c r="FL307" i="112"/>
  <c r="DW307" i="112"/>
  <c r="DT307" i="112"/>
  <c r="DO307" i="112"/>
  <c r="HW513" i="112" l="1"/>
  <c r="HX513" i="112" s="1"/>
  <c r="HU513" i="112"/>
  <c r="HV513" i="112" s="1"/>
  <c r="DU513" i="112" s="1"/>
  <c r="HU514" i="112"/>
  <c r="HW514" i="112"/>
  <c r="HU512" i="112"/>
  <c r="HW512" i="112"/>
  <c r="HU493" i="112"/>
  <c r="HW493" i="112"/>
  <c r="HW309" i="112"/>
  <c r="HU309" i="112"/>
  <c r="HU308" i="112"/>
  <c r="HV308" i="112" s="1"/>
  <c r="HW308" i="112"/>
  <c r="HW307" i="112"/>
  <c r="HU307" i="112"/>
  <c r="EG518" i="112"/>
  <c r="EH518" i="112" s="1"/>
  <c r="EB518" i="112"/>
  <c r="EC518" i="112" s="1"/>
  <c r="EG513" i="112"/>
  <c r="EH513" i="112" s="1"/>
  <c r="EB513" i="112"/>
  <c r="EC513" i="112" s="1"/>
  <c r="EG521" i="112"/>
  <c r="EH521" i="112" s="1"/>
  <c r="EB521" i="112"/>
  <c r="EC521" i="112" s="1"/>
  <c r="EG308" i="112"/>
  <c r="EH308" i="112" s="1"/>
  <c r="EG310" i="112"/>
  <c r="EH310" i="112" s="1"/>
  <c r="EB310" i="112"/>
  <c r="EC310" i="112" s="1"/>
  <c r="EG312" i="112"/>
  <c r="EH312" i="112" s="1"/>
  <c r="EB312" i="112"/>
  <c r="EC312" i="112" s="1"/>
  <c r="EG314" i="112"/>
  <c r="EH314" i="112" s="1"/>
  <c r="EB314" i="112"/>
  <c r="EC314" i="112" s="1"/>
  <c r="EG325" i="112"/>
  <c r="EH325" i="112" s="1"/>
  <c r="EB325" i="112"/>
  <c r="EC325" i="112" s="1"/>
  <c r="EB327" i="112"/>
  <c r="EC327" i="112" s="1"/>
  <c r="EG327" i="112"/>
  <c r="EH327" i="112" s="1"/>
  <c r="EG329" i="112"/>
  <c r="EH329" i="112" s="1"/>
  <c r="EB329" i="112"/>
  <c r="EC329" i="112" s="1"/>
  <c r="EG331" i="112"/>
  <c r="EH331" i="112" s="1"/>
  <c r="EB331" i="112"/>
  <c r="EC331" i="112" s="1"/>
  <c r="EB333" i="112"/>
  <c r="EC333" i="112" s="1"/>
  <c r="EG333" i="112"/>
  <c r="EH333" i="112" s="1"/>
  <c r="EB335" i="112"/>
  <c r="EC335" i="112" s="1"/>
  <c r="EG335" i="112"/>
  <c r="EH335" i="112" s="1"/>
  <c r="EG337" i="112"/>
  <c r="EH337" i="112" s="1"/>
  <c r="EB337" i="112"/>
  <c r="EC337" i="112" s="1"/>
  <c r="EG339" i="112"/>
  <c r="EH339" i="112" s="1"/>
  <c r="EB339" i="112"/>
  <c r="EC339" i="112" s="1"/>
  <c r="EB341" i="112"/>
  <c r="EC341" i="112" s="1"/>
  <c r="EG341" i="112"/>
  <c r="EH341" i="112" s="1"/>
  <c r="EG352" i="112"/>
  <c r="EH352" i="112" s="1"/>
  <c r="EB352" i="112"/>
  <c r="EC352" i="112" s="1"/>
  <c r="EG354" i="112"/>
  <c r="EH354" i="112" s="1"/>
  <c r="EB354" i="112"/>
  <c r="EC354" i="112" s="1"/>
  <c r="EG356" i="112"/>
  <c r="EH356" i="112" s="1"/>
  <c r="EB356" i="112"/>
  <c r="EC356" i="112" s="1"/>
  <c r="EG358" i="112"/>
  <c r="EH358" i="112" s="1"/>
  <c r="EB358" i="112"/>
  <c r="EC358" i="112" s="1"/>
  <c r="EG360" i="112"/>
  <c r="EH360" i="112" s="1"/>
  <c r="EB360" i="112"/>
  <c r="EC360" i="112" s="1"/>
  <c r="EG371" i="112"/>
  <c r="EH371" i="112" s="1"/>
  <c r="EB371" i="112"/>
  <c r="EC371" i="112" s="1"/>
  <c r="EG373" i="112"/>
  <c r="EH373" i="112" s="1"/>
  <c r="EB373" i="112"/>
  <c r="EC373" i="112" s="1"/>
  <c r="EG375" i="112"/>
  <c r="EH375" i="112" s="1"/>
  <c r="EB375" i="112"/>
  <c r="EC375" i="112" s="1"/>
  <c r="EG377" i="112"/>
  <c r="EH377" i="112" s="1"/>
  <c r="EB377" i="112"/>
  <c r="EC377" i="112" s="1"/>
  <c r="EB379" i="112"/>
  <c r="EC379" i="112" s="1"/>
  <c r="EG379" i="112"/>
  <c r="EH379" i="112" s="1"/>
  <c r="EB381" i="112"/>
  <c r="EC381" i="112" s="1"/>
  <c r="EG381" i="112"/>
  <c r="EH381" i="112" s="1"/>
  <c r="EB383" i="112"/>
  <c r="EC383" i="112" s="1"/>
  <c r="EG383" i="112"/>
  <c r="EH383" i="112" s="1"/>
  <c r="EG385" i="112"/>
  <c r="EH385" i="112" s="1"/>
  <c r="EB385" i="112"/>
  <c r="EC385" i="112" s="1"/>
  <c r="EB387" i="112"/>
  <c r="EC387" i="112" s="1"/>
  <c r="EG387" i="112"/>
  <c r="EH387" i="112" s="1"/>
  <c r="EG389" i="112"/>
  <c r="EH389" i="112" s="1"/>
  <c r="EB389" i="112"/>
  <c r="EC389" i="112" s="1"/>
  <c r="EG391" i="112"/>
  <c r="EH391" i="112" s="1"/>
  <c r="EB391" i="112"/>
  <c r="EC391" i="112" s="1"/>
  <c r="EG393" i="112"/>
  <c r="EH393" i="112" s="1"/>
  <c r="EB393" i="112"/>
  <c r="EC393" i="112" s="1"/>
  <c r="EG395" i="112"/>
  <c r="EH395" i="112" s="1"/>
  <c r="EB395" i="112"/>
  <c r="EC395" i="112" s="1"/>
  <c r="EG397" i="112"/>
  <c r="EH397" i="112" s="1"/>
  <c r="EB397" i="112"/>
  <c r="EC397" i="112" s="1"/>
  <c r="EG399" i="112"/>
  <c r="EH399" i="112" s="1"/>
  <c r="EB399" i="112"/>
  <c r="EC399" i="112" s="1"/>
  <c r="EG401" i="112"/>
  <c r="EH401" i="112" s="1"/>
  <c r="EB401" i="112"/>
  <c r="EC401" i="112" s="1"/>
  <c r="EB403" i="112"/>
  <c r="EC403" i="112" s="1"/>
  <c r="EG403" i="112"/>
  <c r="EH403" i="112" s="1"/>
  <c r="EB405" i="112"/>
  <c r="EC405" i="112" s="1"/>
  <c r="EG405" i="112"/>
  <c r="EH405" i="112" s="1"/>
  <c r="EB407" i="112"/>
  <c r="EC407" i="112" s="1"/>
  <c r="EG407" i="112"/>
  <c r="EH407" i="112" s="1"/>
  <c r="DV407" i="112"/>
  <c r="EG409" i="112"/>
  <c r="EH409" i="112" s="1"/>
  <c r="EB409" i="112"/>
  <c r="EC409" i="112" s="1"/>
  <c r="EB411" i="112"/>
  <c r="EC411" i="112" s="1"/>
  <c r="EG411" i="112"/>
  <c r="EH411" i="112" s="1"/>
  <c r="EG413" i="112"/>
  <c r="EH413" i="112" s="1"/>
  <c r="EB413" i="112"/>
  <c r="EC413" i="112" s="1"/>
  <c r="EG415" i="112"/>
  <c r="EH415" i="112" s="1"/>
  <c r="EB415" i="112"/>
  <c r="EC415" i="112" s="1"/>
  <c r="EG426" i="112"/>
  <c r="EH426" i="112" s="1"/>
  <c r="EB426" i="112"/>
  <c r="EC426" i="112" s="1"/>
  <c r="EG428" i="112"/>
  <c r="EH428" i="112" s="1"/>
  <c r="EB428" i="112"/>
  <c r="EC428" i="112" s="1"/>
  <c r="EG430" i="112"/>
  <c r="EH430" i="112" s="1"/>
  <c r="EB430" i="112"/>
  <c r="EC430" i="112" s="1"/>
  <c r="EG432" i="112"/>
  <c r="EH432" i="112" s="1"/>
  <c r="EB432" i="112"/>
  <c r="EC432" i="112" s="1"/>
  <c r="EB434" i="112"/>
  <c r="EC434" i="112" s="1"/>
  <c r="EG434" i="112"/>
  <c r="EH434" i="112" s="1"/>
  <c r="EG436" i="112"/>
  <c r="EH436" i="112" s="1"/>
  <c r="EB436" i="112"/>
  <c r="EC436" i="112" s="1"/>
  <c r="EB438" i="112"/>
  <c r="EC438" i="112" s="1"/>
  <c r="EG438" i="112"/>
  <c r="EH438" i="112" s="1"/>
  <c r="EB440" i="112"/>
  <c r="EC440" i="112" s="1"/>
  <c r="EG440" i="112"/>
  <c r="EH440" i="112" s="1"/>
  <c r="EG442" i="112"/>
  <c r="EH442" i="112" s="1"/>
  <c r="EB442" i="112"/>
  <c r="EC442" i="112" s="1"/>
  <c r="EG444" i="112"/>
  <c r="EH444" i="112" s="1"/>
  <c r="EB444" i="112"/>
  <c r="EC444" i="112" s="1"/>
  <c r="EB446" i="112"/>
  <c r="EC446" i="112" s="1"/>
  <c r="EG446" i="112"/>
  <c r="EH446" i="112" s="1"/>
  <c r="EG448" i="112"/>
  <c r="EH448" i="112" s="1"/>
  <c r="EB448" i="112"/>
  <c r="EC448" i="112" s="1"/>
  <c r="EG450" i="112"/>
  <c r="EH450" i="112" s="1"/>
  <c r="EB450" i="112"/>
  <c r="EC450" i="112" s="1"/>
  <c r="EG452" i="112"/>
  <c r="EH452" i="112" s="1"/>
  <c r="EB452" i="112"/>
  <c r="EC452" i="112" s="1"/>
  <c r="EG454" i="112"/>
  <c r="EH454" i="112" s="1"/>
  <c r="EB454" i="112"/>
  <c r="EC454" i="112" s="1"/>
  <c r="EG456" i="112"/>
  <c r="EH456" i="112" s="1"/>
  <c r="EB456" i="112"/>
  <c r="EC456" i="112" s="1"/>
  <c r="EB458" i="112"/>
  <c r="EC458" i="112" s="1"/>
  <c r="EG458" i="112"/>
  <c r="EH458" i="112" s="1"/>
  <c r="EG460" i="112"/>
  <c r="EH460" i="112" s="1"/>
  <c r="EB460" i="112"/>
  <c r="EC460" i="112" s="1"/>
  <c r="EB462" i="112"/>
  <c r="EC462" i="112" s="1"/>
  <c r="EG462" i="112"/>
  <c r="EH462" i="112" s="1"/>
  <c r="EB464" i="112"/>
  <c r="EC464" i="112" s="1"/>
  <c r="EG464" i="112"/>
  <c r="EH464" i="112" s="1"/>
  <c r="EG475" i="112"/>
  <c r="EH475" i="112" s="1"/>
  <c r="EB475" i="112"/>
  <c r="EC475" i="112" s="1"/>
  <c r="EG477" i="112"/>
  <c r="EH477" i="112" s="1"/>
  <c r="EB477" i="112"/>
  <c r="EC477" i="112" s="1"/>
  <c r="EG479" i="112"/>
  <c r="EH479" i="112" s="1"/>
  <c r="EB479" i="112"/>
  <c r="EC479" i="112" s="1"/>
  <c r="EG481" i="112"/>
  <c r="EH481" i="112" s="1"/>
  <c r="EB481" i="112"/>
  <c r="EC481" i="112" s="1"/>
  <c r="EB483" i="112"/>
  <c r="EC483" i="112" s="1"/>
  <c r="EG483" i="112"/>
  <c r="EH483" i="112" s="1"/>
  <c r="EB494" i="112"/>
  <c r="EC494" i="112" s="1"/>
  <c r="EG494" i="112"/>
  <c r="EH494" i="112" s="1"/>
  <c r="EB496" i="112"/>
  <c r="EC496" i="112" s="1"/>
  <c r="EG496" i="112"/>
  <c r="EH496" i="112" s="1"/>
  <c r="EG498" i="112"/>
  <c r="EH498" i="112" s="1"/>
  <c r="EB498" i="112"/>
  <c r="EC498" i="112" s="1"/>
  <c r="EG500" i="112"/>
  <c r="EH500" i="112" s="1"/>
  <c r="EB500" i="112"/>
  <c r="EC500" i="112" s="1"/>
  <c r="EB502" i="112"/>
  <c r="EC502" i="112" s="1"/>
  <c r="EG502" i="112"/>
  <c r="EH502" i="112" s="1"/>
  <c r="EG516" i="112"/>
  <c r="EH516" i="112" s="1"/>
  <c r="EB516" i="112"/>
  <c r="EC516" i="112" s="1"/>
  <c r="EG519" i="112"/>
  <c r="EH519" i="112" s="1"/>
  <c r="EB519" i="112"/>
  <c r="EC519" i="112" s="1"/>
  <c r="EG514" i="112"/>
  <c r="EH514" i="112" s="1"/>
  <c r="EB514" i="112"/>
  <c r="EC514" i="112" s="1"/>
  <c r="EG517" i="112"/>
  <c r="EH517" i="112" s="1"/>
  <c r="EB517" i="112"/>
  <c r="EC517" i="112" s="1"/>
  <c r="EG307" i="112"/>
  <c r="EH307" i="112" s="1"/>
  <c r="EG309" i="112"/>
  <c r="EH309" i="112" s="1"/>
  <c r="EB309" i="112"/>
  <c r="EC309" i="112" s="1"/>
  <c r="EG311" i="112"/>
  <c r="EH311" i="112" s="1"/>
  <c r="EB311" i="112"/>
  <c r="EC311" i="112" s="1"/>
  <c r="EG313" i="112"/>
  <c r="EH313" i="112" s="1"/>
  <c r="EB313" i="112"/>
  <c r="EC313" i="112" s="1"/>
  <c r="EG315" i="112"/>
  <c r="EH315" i="112" s="1"/>
  <c r="EB315" i="112"/>
  <c r="EC315" i="112" s="1"/>
  <c r="EB326" i="112"/>
  <c r="EC326" i="112" s="1"/>
  <c r="EG326" i="112"/>
  <c r="EH326" i="112" s="1"/>
  <c r="EB328" i="112"/>
  <c r="EC328" i="112" s="1"/>
  <c r="EG328" i="112"/>
  <c r="EH328" i="112" s="1"/>
  <c r="EG330" i="112"/>
  <c r="EH330" i="112" s="1"/>
  <c r="EB330" i="112"/>
  <c r="EC330" i="112" s="1"/>
  <c r="EG332" i="112"/>
  <c r="EH332" i="112" s="1"/>
  <c r="EB332" i="112"/>
  <c r="EC332" i="112" s="1"/>
  <c r="EB334" i="112"/>
  <c r="EC334" i="112" s="1"/>
  <c r="EG334" i="112"/>
  <c r="EH334" i="112" s="1"/>
  <c r="EG336" i="112"/>
  <c r="EH336" i="112" s="1"/>
  <c r="EB336" i="112"/>
  <c r="EC336" i="112" s="1"/>
  <c r="EG338" i="112"/>
  <c r="EH338" i="112" s="1"/>
  <c r="EB338" i="112"/>
  <c r="EC338" i="112" s="1"/>
  <c r="EG340" i="112"/>
  <c r="EH340" i="112" s="1"/>
  <c r="EB340" i="112"/>
  <c r="EC340" i="112" s="1"/>
  <c r="EG342" i="112"/>
  <c r="EH342" i="112" s="1"/>
  <c r="EB342" i="112"/>
  <c r="EC342" i="112" s="1"/>
  <c r="EB353" i="112"/>
  <c r="EC353" i="112" s="1"/>
  <c r="EG353" i="112"/>
  <c r="EH353" i="112" s="1"/>
  <c r="EG355" i="112"/>
  <c r="EH355" i="112" s="1"/>
  <c r="EB355" i="112"/>
  <c r="EC355" i="112" s="1"/>
  <c r="EG357" i="112"/>
  <c r="EH357" i="112" s="1"/>
  <c r="EB357" i="112"/>
  <c r="EC357" i="112" s="1"/>
  <c r="EG359" i="112"/>
  <c r="EH359" i="112" s="1"/>
  <c r="EB359" i="112"/>
  <c r="EC359" i="112" s="1"/>
  <c r="EB370" i="112"/>
  <c r="EC370" i="112" s="1"/>
  <c r="EG370" i="112"/>
  <c r="EH370" i="112" s="1"/>
  <c r="EG372" i="112"/>
  <c r="EH372" i="112" s="1"/>
  <c r="EB372" i="112"/>
  <c r="EC372" i="112" s="1"/>
  <c r="EG374" i="112"/>
  <c r="EH374" i="112" s="1"/>
  <c r="EB374" i="112"/>
  <c r="EC374" i="112" s="1"/>
  <c r="EG376" i="112"/>
  <c r="EH376" i="112" s="1"/>
  <c r="EB376" i="112"/>
  <c r="EC376" i="112" s="1"/>
  <c r="EB378" i="112"/>
  <c r="EC378" i="112" s="1"/>
  <c r="EG378" i="112"/>
  <c r="EH378" i="112" s="1"/>
  <c r="EB380" i="112"/>
  <c r="EC380" i="112" s="1"/>
  <c r="EG380" i="112"/>
  <c r="EH380" i="112" s="1"/>
  <c r="EB382" i="112"/>
  <c r="EC382" i="112" s="1"/>
  <c r="EG382" i="112"/>
  <c r="EH382" i="112" s="1"/>
  <c r="EG384" i="112"/>
  <c r="EH384" i="112" s="1"/>
  <c r="EB384" i="112"/>
  <c r="EC384" i="112" s="1"/>
  <c r="EB386" i="112"/>
  <c r="EC386" i="112" s="1"/>
  <c r="EG386" i="112"/>
  <c r="EH386" i="112" s="1"/>
  <c r="EB388" i="112"/>
  <c r="EC388" i="112" s="1"/>
  <c r="EG388" i="112"/>
  <c r="EH388" i="112" s="1"/>
  <c r="EG390" i="112"/>
  <c r="EH390" i="112" s="1"/>
  <c r="EB390" i="112"/>
  <c r="EC390" i="112" s="1"/>
  <c r="EG392" i="112"/>
  <c r="EH392" i="112" s="1"/>
  <c r="EB392" i="112"/>
  <c r="EC392" i="112" s="1"/>
  <c r="EG394" i="112"/>
  <c r="EH394" i="112" s="1"/>
  <c r="EB394" i="112"/>
  <c r="EC394" i="112" s="1"/>
  <c r="EG396" i="112"/>
  <c r="EH396" i="112" s="1"/>
  <c r="EB396" i="112"/>
  <c r="EC396" i="112" s="1"/>
  <c r="EG398" i="112"/>
  <c r="EH398" i="112" s="1"/>
  <c r="EB398" i="112"/>
  <c r="EC398" i="112" s="1"/>
  <c r="EG400" i="112"/>
  <c r="EH400" i="112" s="1"/>
  <c r="EB400" i="112"/>
  <c r="EC400" i="112" s="1"/>
  <c r="EB402" i="112"/>
  <c r="EC402" i="112" s="1"/>
  <c r="EG402" i="112"/>
  <c r="EH402" i="112" s="1"/>
  <c r="EB404" i="112"/>
  <c r="EC404" i="112" s="1"/>
  <c r="EG404" i="112"/>
  <c r="EH404" i="112" s="1"/>
  <c r="EB406" i="112"/>
  <c r="EC406" i="112" s="1"/>
  <c r="EG406" i="112"/>
  <c r="EH406" i="112" s="1"/>
  <c r="EG408" i="112"/>
  <c r="EH408" i="112" s="1"/>
  <c r="EB408" i="112"/>
  <c r="EC408" i="112" s="1"/>
  <c r="EB410" i="112"/>
  <c r="EC410" i="112" s="1"/>
  <c r="EG410" i="112"/>
  <c r="EH410" i="112" s="1"/>
  <c r="EB412" i="112"/>
  <c r="EC412" i="112" s="1"/>
  <c r="EG412" i="112"/>
  <c r="EH412" i="112" s="1"/>
  <c r="EG414" i="112"/>
  <c r="EH414" i="112" s="1"/>
  <c r="EB414" i="112"/>
  <c r="EC414" i="112" s="1"/>
  <c r="EG416" i="112"/>
  <c r="EH416" i="112" s="1"/>
  <c r="EB416" i="112"/>
  <c r="EC416" i="112" s="1"/>
  <c r="EG427" i="112"/>
  <c r="EH427" i="112" s="1"/>
  <c r="EB427" i="112"/>
  <c r="EC427" i="112" s="1"/>
  <c r="EG429" i="112"/>
  <c r="EH429" i="112" s="1"/>
  <c r="EB429" i="112"/>
  <c r="EC429" i="112" s="1"/>
  <c r="EG431" i="112"/>
  <c r="EH431" i="112" s="1"/>
  <c r="EB431" i="112"/>
  <c r="EC431" i="112" s="1"/>
  <c r="EG433" i="112"/>
  <c r="EH433" i="112" s="1"/>
  <c r="EB433" i="112"/>
  <c r="EC433" i="112" s="1"/>
  <c r="EG435" i="112"/>
  <c r="EH435" i="112" s="1"/>
  <c r="EB435" i="112"/>
  <c r="EC435" i="112" s="1"/>
  <c r="EG437" i="112"/>
  <c r="EH437" i="112" s="1"/>
  <c r="EB437" i="112"/>
  <c r="EC437" i="112" s="1"/>
  <c r="EB439" i="112"/>
  <c r="EC439" i="112" s="1"/>
  <c r="EG439" i="112"/>
  <c r="EH439" i="112" s="1"/>
  <c r="EB441" i="112"/>
  <c r="EC441" i="112" s="1"/>
  <c r="EG441" i="112"/>
  <c r="EH441" i="112" s="1"/>
  <c r="EG443" i="112"/>
  <c r="EH443" i="112" s="1"/>
  <c r="EB443" i="112"/>
  <c r="EC443" i="112" s="1"/>
  <c r="EG445" i="112"/>
  <c r="EH445" i="112" s="1"/>
  <c r="EB445" i="112"/>
  <c r="EC445" i="112" s="1"/>
  <c r="EB447" i="112"/>
  <c r="EC447" i="112" s="1"/>
  <c r="EG447" i="112"/>
  <c r="EH447" i="112" s="1"/>
  <c r="EG449" i="112"/>
  <c r="EH449" i="112" s="1"/>
  <c r="EB449" i="112"/>
  <c r="EC449" i="112" s="1"/>
  <c r="EG451" i="112"/>
  <c r="EH451" i="112" s="1"/>
  <c r="EB451" i="112"/>
  <c r="EC451" i="112" s="1"/>
  <c r="EG453" i="112"/>
  <c r="EH453" i="112" s="1"/>
  <c r="EB453" i="112"/>
  <c r="EC453" i="112" s="1"/>
  <c r="EG455" i="112"/>
  <c r="EH455" i="112" s="1"/>
  <c r="EB455" i="112"/>
  <c r="EC455" i="112" s="1"/>
  <c r="EB457" i="112"/>
  <c r="EC457" i="112" s="1"/>
  <c r="EG457" i="112"/>
  <c r="EH457" i="112" s="1"/>
  <c r="EG459" i="112"/>
  <c r="EH459" i="112" s="1"/>
  <c r="EB459" i="112"/>
  <c r="EC459" i="112" s="1"/>
  <c r="EG461" i="112"/>
  <c r="EH461" i="112" s="1"/>
  <c r="EB461" i="112"/>
  <c r="EC461" i="112" s="1"/>
  <c r="EB463" i="112"/>
  <c r="EC463" i="112" s="1"/>
  <c r="EG463" i="112"/>
  <c r="EH463" i="112" s="1"/>
  <c r="EG465" i="112"/>
  <c r="EH465" i="112" s="1"/>
  <c r="EB465" i="112"/>
  <c r="EC465" i="112" s="1"/>
  <c r="EG476" i="112"/>
  <c r="EH476" i="112" s="1"/>
  <c r="EB476" i="112"/>
  <c r="EC476" i="112" s="1"/>
  <c r="EG478" i="112"/>
  <c r="EH478" i="112" s="1"/>
  <c r="EB478" i="112"/>
  <c r="EC478" i="112" s="1"/>
  <c r="EG480" i="112"/>
  <c r="EH480" i="112" s="1"/>
  <c r="EB480" i="112"/>
  <c r="EC480" i="112" s="1"/>
  <c r="EG482" i="112"/>
  <c r="EH482" i="112" s="1"/>
  <c r="EB482" i="112"/>
  <c r="EC482" i="112" s="1"/>
  <c r="EG493" i="112"/>
  <c r="EH493" i="112" s="1"/>
  <c r="EB493" i="112"/>
  <c r="EC493" i="112" s="1"/>
  <c r="EB495" i="112"/>
  <c r="EC495" i="112" s="1"/>
  <c r="EG495" i="112"/>
  <c r="EH495" i="112" s="1"/>
  <c r="EG497" i="112"/>
  <c r="EH497" i="112" s="1"/>
  <c r="EB497" i="112"/>
  <c r="EC497" i="112" s="1"/>
  <c r="EG499" i="112"/>
  <c r="EH499" i="112" s="1"/>
  <c r="EB499" i="112"/>
  <c r="EC499" i="112" s="1"/>
  <c r="EG501" i="112"/>
  <c r="EH501" i="112" s="1"/>
  <c r="EB501" i="112"/>
  <c r="EC501" i="112" s="1"/>
  <c r="EG512" i="112"/>
  <c r="EH512" i="112" s="1"/>
  <c r="EB512" i="112"/>
  <c r="EC512" i="112" s="1"/>
  <c r="EG520" i="112"/>
  <c r="EH520" i="112" s="1"/>
  <c r="EB520" i="112"/>
  <c r="EC520" i="112" s="1"/>
  <c r="EG515" i="112"/>
  <c r="EH515" i="112" s="1"/>
  <c r="EB515" i="112"/>
  <c r="EC515" i="112" s="1"/>
  <c r="BY79" i="37"/>
  <c r="BR79" i="37"/>
  <c r="BS79" i="37"/>
  <c r="BV79" i="37"/>
  <c r="BP79" i="37"/>
  <c r="BU79" i="37"/>
  <c r="BN71" i="37"/>
  <c r="BV101" i="37"/>
  <c r="BV102" i="37" s="1"/>
  <c r="BS71" i="37"/>
  <c r="CD101" i="37"/>
  <c r="BU101" i="37"/>
  <c r="BR101" i="37"/>
  <c r="CE101" i="37"/>
  <c r="BT101" i="37"/>
  <c r="BT102" i="37" s="1"/>
  <c r="CB79" i="37"/>
  <c r="CB80" i="37" s="1"/>
  <c r="CC79" i="37"/>
  <c r="CC80" i="37" s="1"/>
  <c r="BW79" i="37"/>
  <c r="BW80" i="37" s="1"/>
  <c r="CA101" i="37"/>
  <c r="CA102" i="37" s="1"/>
  <c r="BS101" i="37"/>
  <c r="BS102" i="37" s="1"/>
  <c r="BN101" i="37"/>
  <c r="CC101" i="37"/>
  <c r="BQ79" i="37"/>
  <c r="BQ80" i="37" s="1"/>
  <c r="BS65" i="37"/>
  <c r="BN65" i="37"/>
  <c r="BQ101" i="37"/>
  <c r="BQ102" i="37" s="1"/>
  <c r="BX79" i="37"/>
  <c r="BX80" i="37" s="1"/>
  <c r="BN79" i="37"/>
  <c r="BN80" i="37" s="1"/>
  <c r="CA79" i="37"/>
  <c r="CA80" i="37" s="1"/>
  <c r="BT79" i="37"/>
  <c r="BT80" i="37" s="1"/>
  <c r="BV62" i="37"/>
  <c r="BN62" i="37"/>
  <c r="BP101" i="37"/>
  <c r="BP102" i="37" s="1"/>
  <c r="CF62" i="37"/>
  <c r="CB101" i="37"/>
  <c r="CB102" i="37" s="1"/>
  <c r="BZ79" i="37"/>
  <c r="BZ80" i="37" s="1"/>
  <c r="BX101" i="37"/>
  <c r="BX102" i="37" s="1"/>
  <c r="BY101" i="37"/>
  <c r="BY102" i="37" s="1"/>
  <c r="BV65" i="37"/>
  <c r="BW101" i="37"/>
  <c r="BW102" i="37" s="1"/>
  <c r="BO101" i="37"/>
  <c r="BO102" i="37" s="1"/>
  <c r="BO79" i="37"/>
  <c r="BO80" i="37" s="1"/>
  <c r="BY80" i="37"/>
  <c r="BV80" i="37"/>
  <c r="BU80" i="37"/>
  <c r="CD102" i="37"/>
  <c r="BU102" i="37"/>
  <c r="BR102" i="37"/>
  <c r="CE102" i="37"/>
  <c r="BP80" i="37"/>
  <c r="BR80" i="37"/>
  <c r="BS80" i="37"/>
  <c r="BZ102" i="37"/>
  <c r="BN102" i="37"/>
  <c r="CC102" i="37"/>
  <c r="ED315" i="112"/>
  <c r="DO489" i="112"/>
  <c r="GR529" i="112" s="1"/>
  <c r="DO508" i="112"/>
  <c r="DO471" i="112"/>
  <c r="GQ529" i="112" s="1"/>
  <c r="DO366" i="112"/>
  <c r="GO529" i="112" s="1"/>
  <c r="DO348" i="112"/>
  <c r="GN529" i="112" s="1"/>
  <c r="DO321" i="112"/>
  <c r="GM529" i="112" s="1"/>
  <c r="DO422" i="112"/>
  <c r="GP529" i="112" s="1"/>
  <c r="DO527" i="112"/>
  <c r="HX512" i="112" l="1"/>
  <c r="HX514" i="112"/>
  <c r="HV514" i="112"/>
  <c r="DU514" i="112" s="1"/>
  <c r="HX307" i="112"/>
  <c r="HV512" i="112"/>
  <c r="DU512" i="112" s="1"/>
  <c r="HX308" i="112"/>
  <c r="HX493" i="112"/>
  <c r="HX309" i="112"/>
  <c r="HV493" i="112"/>
  <c r="DU493" i="112" s="1"/>
  <c r="HV309" i="112"/>
  <c r="DU309" i="112" s="1"/>
  <c r="HV307" i="112"/>
  <c r="DU307" i="112" s="1"/>
  <c r="DU308" i="112"/>
  <c r="BM71" i="37"/>
  <c r="BM65" i="37"/>
  <c r="BS187" i="37" s="1"/>
  <c r="B62" i="130" s="1"/>
  <c r="C62" i="130" s="1"/>
  <c r="CJ62" i="37"/>
  <c r="B55" i="130" s="1"/>
  <c r="C55" i="130" s="1"/>
  <c r="BS103" i="37"/>
  <c r="BS105" i="37" s="1"/>
  <c r="BS143" i="37" s="1"/>
  <c r="BS149" i="37" s="1"/>
  <c r="BT81" i="37"/>
  <c r="BT93" i="37" s="1"/>
  <c r="BR81" i="37"/>
  <c r="BR86" i="37" s="1"/>
  <c r="BQ81" i="37"/>
  <c r="CA81" i="37"/>
  <c r="CA83" i="37" s="1"/>
  <c r="CA88" i="37" s="1"/>
  <c r="CA103" i="37"/>
  <c r="CA105" i="37" s="1"/>
  <c r="CA143" i="37" s="1"/>
  <c r="BT103" i="37"/>
  <c r="BT105" i="37" s="1"/>
  <c r="CD103" i="37"/>
  <c r="CD105" i="37" s="1"/>
  <c r="BY81" i="37"/>
  <c r="BY103" i="37"/>
  <c r="BY105" i="37" s="1"/>
  <c r="BP81" i="37"/>
  <c r="CE103" i="37"/>
  <c r="CE105" i="37" s="1"/>
  <c r="BV103" i="37"/>
  <c r="BV105" i="37" s="1"/>
  <c r="BO81" i="37"/>
  <c r="BX103" i="37"/>
  <c r="BX105" i="37" s="1"/>
  <c r="CC103" i="37"/>
  <c r="CC105" i="37" s="1"/>
  <c r="BQ103" i="37"/>
  <c r="BQ105" i="37" s="1"/>
  <c r="BZ103" i="37"/>
  <c r="BZ105" i="37" s="1"/>
  <c r="CC81" i="37"/>
  <c r="BR103" i="37"/>
  <c r="BR105" i="37" s="1"/>
  <c r="BU81" i="37"/>
  <c r="BO103" i="37"/>
  <c r="BO105" i="37" s="1"/>
  <c r="BZ81" i="37"/>
  <c r="BN81" i="37"/>
  <c r="BN103" i="37"/>
  <c r="BN105" i="37" s="1"/>
  <c r="BP103" i="37"/>
  <c r="BP105" i="37" s="1"/>
  <c r="BS81" i="37"/>
  <c r="BQ83" i="37"/>
  <c r="BQ88" i="37" s="1"/>
  <c r="BQ86" i="37"/>
  <c r="CB81" i="37"/>
  <c r="BU103" i="37"/>
  <c r="BU105" i="37" s="1"/>
  <c r="BV81" i="37"/>
  <c r="BW103" i="37"/>
  <c r="BW105" i="37" s="1"/>
  <c r="CB103" i="37"/>
  <c r="CB105" i="37" s="1"/>
  <c r="BX81" i="37"/>
  <c r="BW81" i="37"/>
  <c r="GS529" i="112"/>
  <c r="DO530" i="112"/>
  <c r="DO531" i="112" s="1"/>
  <c r="DY307" i="112"/>
  <c r="AP241" i="121" l="1"/>
  <c r="B167" i="121"/>
  <c r="AP187" i="121"/>
  <c r="AE181" i="121"/>
  <c r="AP182" i="121"/>
  <c r="AE195" i="121"/>
  <c r="O208" i="121"/>
  <c r="E221" i="121"/>
  <c r="B234" i="121"/>
  <c r="B199" i="121"/>
  <c r="B196" i="121"/>
  <c r="E172" i="121"/>
  <c r="B185" i="121"/>
  <c r="AP197" i="121"/>
  <c r="AE210" i="121"/>
  <c r="O223" i="121"/>
  <c r="E236" i="121"/>
  <c r="AE232" i="121"/>
  <c r="AP170" i="121"/>
  <c r="AE183" i="121"/>
  <c r="O196" i="121"/>
  <c r="E209" i="121"/>
  <c r="B222" i="121"/>
  <c r="AP234" i="121"/>
  <c r="AE200" i="121"/>
  <c r="AE189" i="121"/>
  <c r="AE172" i="121"/>
  <c r="O185" i="121"/>
  <c r="E198" i="121"/>
  <c r="B211" i="121"/>
  <c r="AP223" i="121"/>
  <c r="AE236" i="121"/>
  <c r="E234" i="121"/>
  <c r="O234" i="121"/>
  <c r="E179" i="121"/>
  <c r="B192" i="121"/>
  <c r="AP204" i="121"/>
  <c r="AE217" i="121"/>
  <c r="O230" i="121"/>
  <c r="B175" i="121"/>
  <c r="O237" i="121"/>
  <c r="B236" i="121"/>
  <c r="O179" i="121"/>
  <c r="E192" i="121"/>
  <c r="B205" i="121"/>
  <c r="AP217" i="121"/>
  <c r="AE230" i="121"/>
  <c r="O197" i="121"/>
  <c r="E191" i="121"/>
  <c r="AE171" i="121"/>
  <c r="O184" i="121"/>
  <c r="E197" i="121"/>
  <c r="B210" i="121"/>
  <c r="AP222" i="121"/>
  <c r="AE235" i="121"/>
  <c r="AE208" i="121"/>
  <c r="AE205" i="121"/>
  <c r="AP173" i="121"/>
  <c r="AE186" i="121"/>
  <c r="O199" i="121"/>
  <c r="E212" i="121"/>
  <c r="B225" i="121"/>
  <c r="AP237" i="121"/>
  <c r="AP168" i="121"/>
  <c r="O172" i="121"/>
  <c r="E185" i="121"/>
  <c r="B198" i="121"/>
  <c r="AP210" i="121"/>
  <c r="AE223" i="121"/>
  <c r="O236" i="121"/>
  <c r="E210" i="121"/>
  <c r="AP200" i="121"/>
  <c r="E174" i="121"/>
  <c r="B187" i="121"/>
  <c r="AP199" i="121"/>
  <c r="AE212" i="121"/>
  <c r="O225" i="121"/>
  <c r="E238" i="121"/>
  <c r="AP176" i="121"/>
  <c r="AP180" i="121"/>
  <c r="AE193" i="121"/>
  <c r="O206" i="121"/>
  <c r="E219" i="121"/>
  <c r="B232" i="121"/>
  <c r="AE184" i="121"/>
  <c r="AE173" i="121"/>
  <c r="B181" i="121"/>
  <c r="AP193" i="121"/>
  <c r="AE206" i="121"/>
  <c r="O219" i="121"/>
  <c r="E232" i="121"/>
  <c r="E167" i="121"/>
  <c r="O167" i="121"/>
  <c r="B207" i="121"/>
  <c r="O202" i="121"/>
  <c r="E173" i="121"/>
  <c r="B186" i="121"/>
  <c r="AP198" i="121"/>
  <c r="AE211" i="121"/>
  <c r="O224" i="121"/>
  <c r="E237" i="121"/>
  <c r="B215" i="121"/>
  <c r="B212" i="121"/>
  <c r="O175" i="121"/>
  <c r="E188" i="121"/>
  <c r="B201" i="121"/>
  <c r="AP213" i="121"/>
  <c r="AE226" i="121"/>
  <c r="O239" i="121"/>
  <c r="O178" i="121"/>
  <c r="B174" i="121"/>
  <c r="AP186" i="121"/>
  <c r="AE199" i="121"/>
  <c r="O212" i="121"/>
  <c r="E225" i="121"/>
  <c r="B238" i="121"/>
  <c r="AE216" i="121"/>
  <c r="AP208" i="121"/>
  <c r="AP175" i="121"/>
  <c r="AE188" i="121"/>
  <c r="O201" i="121"/>
  <c r="E214" i="121"/>
  <c r="B227" i="121"/>
  <c r="AP239" i="121"/>
  <c r="AP184" i="121"/>
  <c r="AE169" i="121"/>
  <c r="O182" i="121"/>
  <c r="E195" i="121"/>
  <c r="B208" i="121"/>
  <c r="AP220" i="121"/>
  <c r="AE233" i="121"/>
  <c r="E194" i="121"/>
  <c r="E183" i="121"/>
  <c r="AP169" i="121"/>
  <c r="AE182" i="121"/>
  <c r="O195" i="121"/>
  <c r="E208" i="121"/>
  <c r="B221" i="121"/>
  <c r="AP233" i="121"/>
  <c r="AE167" i="121"/>
  <c r="O213" i="121"/>
  <c r="AE213" i="121"/>
  <c r="AP174" i="121"/>
  <c r="AE187" i="121"/>
  <c r="O200" i="121"/>
  <c r="E213" i="121"/>
  <c r="B226" i="121"/>
  <c r="AP238" i="121"/>
  <c r="O221" i="121"/>
  <c r="AE221" i="121"/>
  <c r="B177" i="121"/>
  <c r="AP189" i="121"/>
  <c r="AE202" i="121"/>
  <c r="O215" i="121"/>
  <c r="E228" i="121"/>
  <c r="B241" i="121"/>
  <c r="B188" i="121"/>
  <c r="AE175" i="121"/>
  <c r="O188" i="121"/>
  <c r="E201" i="121"/>
  <c r="B214" i="121"/>
  <c r="AP226" i="121"/>
  <c r="AE239" i="121"/>
  <c r="B223" i="121"/>
  <c r="O218" i="121"/>
  <c r="O177" i="121"/>
  <c r="E190" i="121"/>
  <c r="B203" i="121"/>
  <c r="AP215" i="121"/>
  <c r="AE228" i="121"/>
  <c r="O241" i="121"/>
  <c r="AP192" i="121"/>
  <c r="B184" i="121"/>
  <c r="AP196" i="121"/>
  <c r="AE209" i="121"/>
  <c r="O222" i="121"/>
  <c r="E235" i="121"/>
  <c r="E202" i="121"/>
  <c r="O194" i="121"/>
  <c r="O171" i="121"/>
  <c r="E184" i="121"/>
  <c r="B197" i="121"/>
  <c r="AP209" i="121"/>
  <c r="AE222" i="121"/>
  <c r="O235" i="121"/>
  <c r="AP219" i="121"/>
  <c r="E223" i="121"/>
  <c r="O176" i="121"/>
  <c r="E189" i="121"/>
  <c r="B202" i="121"/>
  <c r="AP214" i="121"/>
  <c r="AE227" i="121"/>
  <c r="O240" i="121"/>
  <c r="E226" i="121"/>
  <c r="E231" i="121"/>
  <c r="AE178" i="121"/>
  <c r="O191" i="121"/>
  <c r="E204" i="121"/>
  <c r="B217" i="121"/>
  <c r="AP229" i="121"/>
  <c r="E199" i="121"/>
  <c r="E177" i="121"/>
  <c r="B190" i="121"/>
  <c r="AP202" i="121"/>
  <c r="AE215" i="121"/>
  <c r="O228" i="121"/>
  <c r="E241" i="121"/>
  <c r="AP227" i="121"/>
  <c r="O226" i="121"/>
  <c r="B179" i="121"/>
  <c r="AP191" i="121"/>
  <c r="AE204" i="121"/>
  <c r="O217" i="121"/>
  <c r="E230" i="121"/>
  <c r="AE176" i="121"/>
  <c r="AE197" i="121"/>
  <c r="AP172" i="121"/>
  <c r="AE185" i="121"/>
  <c r="O198" i="121"/>
  <c r="E211" i="121"/>
  <c r="B224" i="121"/>
  <c r="AP236" i="121"/>
  <c r="AP211" i="121"/>
  <c r="B204" i="121"/>
  <c r="B173" i="121"/>
  <c r="AP185" i="121"/>
  <c r="AE198" i="121"/>
  <c r="O211" i="121"/>
  <c r="E224" i="121"/>
  <c r="B237" i="121"/>
  <c r="O229" i="121"/>
  <c r="AE229" i="121"/>
  <c r="B178" i="121"/>
  <c r="AP190" i="121"/>
  <c r="AE203" i="121"/>
  <c r="O216" i="121"/>
  <c r="E229" i="121"/>
  <c r="AP171" i="121"/>
  <c r="AE240" i="121"/>
  <c r="AP240" i="121"/>
  <c r="E180" i="121"/>
  <c r="B193" i="121"/>
  <c r="AP205" i="121"/>
  <c r="AE218" i="121"/>
  <c r="O231" i="121"/>
  <c r="O181" i="121"/>
  <c r="E215" i="121"/>
  <c r="AP178" i="121"/>
  <c r="AE191" i="121"/>
  <c r="O204" i="121"/>
  <c r="E217" i="121"/>
  <c r="B230" i="121"/>
  <c r="O173" i="121"/>
  <c r="AP235" i="121"/>
  <c r="AE237" i="121"/>
  <c r="AE180" i="121"/>
  <c r="O193" i="121"/>
  <c r="E206" i="121"/>
  <c r="B219" i="121"/>
  <c r="AP231" i="121"/>
  <c r="E186" i="121"/>
  <c r="E207" i="121"/>
  <c r="O174" i="121"/>
  <c r="E187" i="121"/>
  <c r="B200" i="121"/>
  <c r="AP212" i="121"/>
  <c r="AE225" i="121"/>
  <c r="O238" i="121"/>
  <c r="E218" i="121"/>
  <c r="O210" i="121"/>
  <c r="AE174" i="121"/>
  <c r="O187" i="121"/>
  <c r="E200" i="121"/>
  <c r="B213" i="121"/>
  <c r="AP225" i="121"/>
  <c r="AE238" i="121"/>
  <c r="AE168" i="121"/>
  <c r="B239" i="121"/>
  <c r="AP232" i="121"/>
  <c r="AE179" i="121"/>
  <c r="O192" i="121"/>
  <c r="E205" i="121"/>
  <c r="B218" i="121"/>
  <c r="AP230" i="121"/>
  <c r="AP179" i="121"/>
  <c r="E175" i="121"/>
  <c r="AP181" i="121"/>
  <c r="AE194" i="121"/>
  <c r="O207" i="121"/>
  <c r="E220" i="121"/>
  <c r="B233" i="121"/>
  <c r="B191" i="121"/>
  <c r="E239" i="121"/>
  <c r="O180" i="121"/>
  <c r="E193" i="121"/>
  <c r="B206" i="121"/>
  <c r="AP218" i="121"/>
  <c r="AE231" i="121"/>
  <c r="B183" i="121"/>
  <c r="E182" i="121"/>
  <c r="B195" i="121"/>
  <c r="AP207" i="121"/>
  <c r="AE220" i="121"/>
  <c r="O233" i="121"/>
  <c r="AP195" i="121"/>
  <c r="AP216" i="121"/>
  <c r="B176" i="121"/>
  <c r="AP188" i="121"/>
  <c r="AE201" i="121"/>
  <c r="O214" i="121"/>
  <c r="E227" i="121"/>
  <c r="B240" i="121"/>
  <c r="AE224" i="121"/>
  <c r="B220" i="121"/>
  <c r="E176" i="121"/>
  <c r="B189" i="121"/>
  <c r="AP201" i="121"/>
  <c r="AE214" i="121"/>
  <c r="O227" i="121"/>
  <c r="E240" i="121"/>
  <c r="E178" i="121"/>
  <c r="B172" i="121"/>
  <c r="E181" i="121"/>
  <c r="B194" i="121"/>
  <c r="AP206" i="121"/>
  <c r="AE219" i="121"/>
  <c r="O232" i="121"/>
  <c r="O189" i="121"/>
  <c r="O186" i="121"/>
  <c r="AE170" i="121"/>
  <c r="O183" i="121"/>
  <c r="E196" i="121"/>
  <c r="B209" i="121"/>
  <c r="AP221" i="121"/>
  <c r="AE234" i="121"/>
  <c r="AP203" i="121"/>
  <c r="E169" i="121"/>
  <c r="B182" i="121"/>
  <c r="AP194" i="121"/>
  <c r="AE207" i="121"/>
  <c r="O220" i="121"/>
  <c r="E233" i="121"/>
  <c r="AE192" i="121"/>
  <c r="B180" i="121"/>
  <c r="AP183" i="121"/>
  <c r="AE196" i="121"/>
  <c r="O209" i="121"/>
  <c r="E222" i="121"/>
  <c r="B235" i="121"/>
  <c r="O205" i="121"/>
  <c r="AP224" i="121"/>
  <c r="AE177" i="121"/>
  <c r="O190" i="121"/>
  <c r="E203" i="121"/>
  <c r="B216" i="121"/>
  <c r="AP228" i="121"/>
  <c r="AE241" i="121"/>
  <c r="B231" i="121"/>
  <c r="B228" i="121"/>
  <c r="AP177" i="121"/>
  <c r="AE190" i="121"/>
  <c r="O203" i="121"/>
  <c r="E216" i="121"/>
  <c r="B229" i="121"/>
  <c r="BR83" i="37"/>
  <c r="BM67" i="37"/>
  <c r="B97" i="127"/>
  <c r="C97" i="127" s="1"/>
  <c r="BR93" i="37"/>
  <c r="BS107" i="37"/>
  <c r="BS116" i="37" s="1"/>
  <c r="BS117" i="37" s="1"/>
  <c r="BT83" i="37"/>
  <c r="AA14" i="37"/>
  <c r="BT86" i="37"/>
  <c r="CA86" i="37"/>
  <c r="CA91" i="37" s="1"/>
  <c r="AA45" i="37"/>
  <c r="B113" i="127"/>
  <c r="C113" i="127" s="1"/>
  <c r="CA107" i="37"/>
  <c r="CA116" i="37" s="1"/>
  <c r="CA117" i="37" s="1"/>
  <c r="BW143" i="37"/>
  <c r="BW107" i="37"/>
  <c r="BW116" i="37" s="1"/>
  <c r="BW117" i="37" s="1"/>
  <c r="BV93" i="37"/>
  <c r="BV110" i="37" s="1"/>
  <c r="BV83" i="37"/>
  <c r="BV86" i="37"/>
  <c r="BN83" i="37"/>
  <c r="BN88" i="37" s="1"/>
  <c r="BN86" i="37"/>
  <c r="BU107" i="37"/>
  <c r="BU116" i="37" s="1"/>
  <c r="BU117" i="37" s="1"/>
  <c r="BU143" i="37"/>
  <c r="BU145" i="37" s="1"/>
  <c r="BZ83" i="37"/>
  <c r="BZ88" i="37" s="1"/>
  <c r="BZ86" i="37"/>
  <c r="BZ91" i="37" s="1"/>
  <c r="BP143" i="37"/>
  <c r="BP145" i="37" s="1"/>
  <c r="BP107" i="37"/>
  <c r="BP116" i="37" s="1"/>
  <c r="BP117" i="37" s="1"/>
  <c r="BT110" i="37"/>
  <c r="BN143" i="37"/>
  <c r="BN107" i="37"/>
  <c r="BN116" i="37" s="1"/>
  <c r="BN117" i="37" s="1"/>
  <c r="CH105" i="37"/>
  <c r="CH107" i="37" s="1"/>
  <c r="CH116" i="37" s="1"/>
  <c r="CB83" i="37"/>
  <c r="CB88" i="37" s="1"/>
  <c r="CB86" i="37"/>
  <c r="CB91" i="37" s="1"/>
  <c r="BO143" i="37"/>
  <c r="BO107" i="37"/>
  <c r="BO116" i="37" s="1"/>
  <c r="BO117" i="37" s="1"/>
  <c r="BU86" i="37"/>
  <c r="BU83" i="37"/>
  <c r="BU88" i="37" s="1"/>
  <c r="BR107" i="37"/>
  <c r="BR116" i="37" s="1"/>
  <c r="BR117" i="37" s="1"/>
  <c r="BR143" i="37"/>
  <c r="BR149" i="37" s="1"/>
  <c r="BX143" i="37"/>
  <c r="BX107" i="37"/>
  <c r="BX116" i="37" s="1"/>
  <c r="BX117" i="37" s="1"/>
  <c r="CA145" i="37"/>
  <c r="CA149" i="37" s="1"/>
  <c r="BX83" i="37"/>
  <c r="BX86" i="37"/>
  <c r="BX91" i="37" s="1"/>
  <c r="BS83" i="37"/>
  <c r="BS88" i="37" s="1"/>
  <c r="BS86" i="37"/>
  <c r="CC83" i="37"/>
  <c r="CC88" i="37" s="1"/>
  <c r="CC86" i="37"/>
  <c r="CC91" i="37" s="1"/>
  <c r="BO83" i="37"/>
  <c r="BO88" i="37" s="1"/>
  <c r="BO86" i="37"/>
  <c r="BY143" i="37"/>
  <c r="BY107" i="37"/>
  <c r="BY116" i="37" s="1"/>
  <c r="BY117" i="37" s="1"/>
  <c r="CB143" i="37"/>
  <c r="CB107" i="37"/>
  <c r="CB116" i="37" s="1"/>
  <c r="CB117" i="37" s="1"/>
  <c r="BZ143" i="37"/>
  <c r="BZ107" i="37"/>
  <c r="BZ116" i="37" s="1"/>
  <c r="BZ117" i="37" s="1"/>
  <c r="BV107" i="37"/>
  <c r="BV116" i="37" s="1"/>
  <c r="BV117" i="37" s="1"/>
  <c r="BV143" i="37"/>
  <c r="BV145" i="37" s="1"/>
  <c r="BY83" i="37"/>
  <c r="BY86" i="37"/>
  <c r="BY91" i="37" s="1"/>
  <c r="BR110" i="37"/>
  <c r="BQ107" i="37"/>
  <c r="BQ116" i="37" s="1"/>
  <c r="BQ117" i="37" s="1"/>
  <c r="BQ143" i="37"/>
  <c r="BQ145" i="37" s="1"/>
  <c r="CE143" i="37"/>
  <c r="CE107" i="37"/>
  <c r="CE116" i="37" s="1"/>
  <c r="CD107" i="37"/>
  <c r="CD116" i="37" s="1"/>
  <c r="CD143" i="37"/>
  <c r="CD145" i="37" s="1"/>
  <c r="BW83" i="37"/>
  <c r="BW86" i="37"/>
  <c r="BW91" i="37" s="1"/>
  <c r="CC143" i="37"/>
  <c r="CC107" i="37"/>
  <c r="CC116" i="37" s="1"/>
  <c r="CC117" i="37" s="1"/>
  <c r="BP83" i="37"/>
  <c r="BP88" i="37" s="1"/>
  <c r="BP86" i="37"/>
  <c r="BT107" i="37"/>
  <c r="BT116" i="37" s="1"/>
  <c r="BT117" i="37" s="1"/>
  <c r="BT143" i="37"/>
  <c r="BT145" i="37" s="1"/>
  <c r="E291" i="123"/>
  <c r="F291" i="123" s="1"/>
  <c r="D291" i="123"/>
  <c r="E292" i="123"/>
  <c r="F292" i="123" s="1"/>
  <c r="D292" i="123"/>
  <c r="T292" i="123"/>
  <c r="CD149" i="37" l="1"/>
  <c r="CD148" i="37"/>
  <c r="CD146" i="37"/>
  <c r="CE129" i="37"/>
  <c r="CE117" i="37"/>
  <c r="CE119" i="37"/>
  <c r="CE145" i="37"/>
  <c r="BQ149" i="37"/>
  <c r="BQ146" i="37"/>
  <c r="BQ148" i="37"/>
  <c r="BZ145" i="37"/>
  <c r="BZ149" i="37" s="1"/>
  <c r="BO145" i="37"/>
  <c r="BT153" i="37"/>
  <c r="BT158" i="37" s="1"/>
  <c r="BT111" i="37"/>
  <c r="BX145" i="37"/>
  <c r="BX149" i="37" s="1"/>
  <c r="CC145" i="37"/>
  <c r="BR153" i="37"/>
  <c r="BR158" i="37" s="1"/>
  <c r="BR111" i="37"/>
  <c r="CB145" i="37"/>
  <c r="CB149" i="37" s="1"/>
  <c r="BT149" i="37"/>
  <c r="BT146" i="37"/>
  <c r="BT148" i="37"/>
  <c r="CH119" i="37"/>
  <c r="CH117" i="37"/>
  <c r="BY145" i="37"/>
  <c r="BY149" i="37" s="1"/>
  <c r="BP149" i="37"/>
  <c r="BP148" i="37"/>
  <c r="BP146" i="37"/>
  <c r="BN145" i="37"/>
  <c r="CH143" i="37"/>
  <c r="CH145" i="37" s="1"/>
  <c r="BV153" i="37"/>
  <c r="BV158" i="37" s="1"/>
  <c r="BV111" i="37"/>
  <c r="CD129" i="37"/>
  <c r="CD119" i="37"/>
  <c r="CD117" i="37"/>
  <c r="BV149" i="37"/>
  <c r="BV148" i="37"/>
  <c r="BV146" i="37"/>
  <c r="CA148" i="37"/>
  <c r="CA146" i="37"/>
  <c r="BU149" i="37"/>
  <c r="BU148" i="37"/>
  <c r="BU146" i="37"/>
  <c r="BW145" i="37"/>
  <c r="BW149" i="37" s="1"/>
  <c r="DM4" i="112"/>
  <c r="CJ117" i="37" l="1"/>
  <c r="AA34" i="37" s="1"/>
  <c r="CD120" i="37"/>
  <c r="CD122" i="37"/>
  <c r="BN148" i="37"/>
  <c r="BN146" i="37"/>
  <c r="CC148" i="37"/>
  <c r="CC146" i="37"/>
  <c r="BO146" i="37"/>
  <c r="BO148" i="37"/>
  <c r="CE148" i="37"/>
  <c r="CE146" i="37"/>
  <c r="CH120" i="37"/>
  <c r="CH122" i="37"/>
  <c r="CE120" i="37"/>
  <c r="CE122" i="37"/>
  <c r="CB148" i="37"/>
  <c r="CB146" i="37"/>
  <c r="BX148" i="37"/>
  <c r="BX146" i="37"/>
  <c r="BZ148" i="37"/>
  <c r="BZ146" i="37"/>
  <c r="BW148" i="37"/>
  <c r="BW146" i="37"/>
  <c r="BT159" i="37"/>
  <c r="CH149" i="37"/>
  <c r="CH146" i="37"/>
  <c r="CH148" i="37"/>
  <c r="BR159" i="37"/>
  <c r="BV159" i="37"/>
  <c r="BN149" i="37"/>
  <c r="BY148" i="37"/>
  <c r="BY146" i="37"/>
  <c r="CC149" i="37"/>
  <c r="BO149" i="37"/>
  <c r="CE149" i="37"/>
  <c r="DN4" i="112"/>
  <c r="B103" i="127" l="1"/>
  <c r="C103" i="127" s="1"/>
  <c r="CE150" i="37"/>
  <c r="BT150" i="37"/>
  <c r="BP150" i="37"/>
  <c r="BQ150" i="37"/>
  <c r="BW150" i="37"/>
  <c r="BO150" i="37"/>
  <c r="BZ150" i="37"/>
  <c r="CB150" i="37"/>
  <c r="CA150" i="37"/>
  <c r="BU150" i="37"/>
  <c r="BV150" i="37"/>
  <c r="BN150" i="37"/>
  <c r="CD150" i="37"/>
  <c r="BX150" i="37"/>
  <c r="BR150" i="37"/>
  <c r="BS150" i="37"/>
  <c r="CC150" i="37"/>
  <c r="BY150" i="37"/>
  <c r="CE125" i="37"/>
  <c r="CE123" i="37"/>
  <c r="CH125" i="37"/>
  <c r="CH123" i="37"/>
  <c r="CH126" i="37"/>
  <c r="CJ146" i="37"/>
  <c r="B106" i="127" s="1"/>
  <c r="C106" i="127" s="1"/>
  <c r="CD123" i="37"/>
  <c r="CD125" i="37"/>
  <c r="CD126" i="37"/>
  <c r="O195" i="114"/>
  <c r="BO189" i="37" l="1"/>
  <c r="AA37" i="37"/>
  <c r="BO177" i="37"/>
  <c r="CH135" i="37"/>
  <c r="CH134" i="37"/>
  <c r="CH136" i="37"/>
  <c r="CJ150" i="37"/>
  <c r="CE126" i="37"/>
  <c r="CE135" i="37"/>
  <c r="CE134" i="37"/>
  <c r="CE136" i="37"/>
  <c r="CD135" i="37"/>
  <c r="CD136" i="37"/>
  <c r="CD134" i="37"/>
  <c r="DZ243" i="112"/>
  <c r="DX245" i="112"/>
  <c r="DY243" i="112"/>
  <c r="BS185" i="37" l="1"/>
  <c r="B60" i="130" s="1"/>
  <c r="C60" i="130" s="1"/>
  <c r="BS186" i="37"/>
  <c r="B61" i="130" s="1"/>
  <c r="C61" i="130" s="1"/>
  <c r="DN10" i="112"/>
  <c r="AA44" i="37" l="1"/>
  <c r="B112" i="127"/>
  <c r="C112" i="127" s="1"/>
  <c r="AA43" i="37"/>
  <c r="B111" i="127"/>
  <c r="C111" i="127" s="1"/>
  <c r="DW36" i="112"/>
  <c r="B18" i="127" l="1"/>
  <c r="C18" i="127" s="1"/>
  <c r="B18" i="130"/>
  <c r="C18" i="130" s="1"/>
  <c r="DM25" i="112"/>
  <c r="D6" i="123"/>
  <c r="E6" i="123" s="1"/>
  <c r="F6" i="123" s="1"/>
  <c r="E1858" i="123"/>
  <c r="E1857" i="123"/>
  <c r="E1856" i="123"/>
  <c r="E1855" i="123"/>
  <c r="E1854" i="123"/>
  <c r="E1853" i="123"/>
  <c r="E1852" i="123"/>
  <c r="E1851" i="123"/>
  <c r="E1850" i="123"/>
  <c r="E1849" i="123"/>
  <c r="E1848" i="123"/>
  <c r="E1847" i="123"/>
  <c r="E1846" i="123"/>
  <c r="E1845" i="123"/>
  <c r="E1844" i="123"/>
  <c r="E1843" i="123"/>
  <c r="E1842" i="123"/>
  <c r="E1841" i="123"/>
  <c r="E1840" i="123"/>
  <c r="E1839" i="123"/>
  <c r="E1838" i="123"/>
  <c r="E1837" i="123"/>
  <c r="E1836" i="123"/>
  <c r="E1835" i="123"/>
  <c r="E1834" i="123"/>
  <c r="E1833" i="123"/>
  <c r="E1832" i="123"/>
  <c r="E1831" i="123"/>
  <c r="E1830" i="123"/>
  <c r="E1829" i="123"/>
  <c r="E1828" i="123"/>
  <c r="E1827" i="123"/>
  <c r="E1826" i="123"/>
  <c r="E1825" i="123"/>
  <c r="E1824" i="123"/>
  <c r="E1823" i="123"/>
  <c r="E1822" i="123"/>
  <c r="E1821" i="123"/>
  <c r="E1820" i="123"/>
  <c r="E1819" i="123"/>
  <c r="E1818" i="123"/>
  <c r="E1817" i="123"/>
  <c r="E1816" i="123"/>
  <c r="E1815" i="123"/>
  <c r="E1814" i="123"/>
  <c r="E1813" i="123"/>
  <c r="E1812" i="123"/>
  <c r="E1811" i="123"/>
  <c r="E1810" i="123"/>
  <c r="E1809" i="123"/>
  <c r="E1808" i="123"/>
  <c r="E1807" i="123"/>
  <c r="E1806" i="123"/>
  <c r="E1805" i="123"/>
  <c r="E1804" i="123"/>
  <c r="E1803" i="123"/>
  <c r="E1802" i="123"/>
  <c r="E1801" i="123"/>
  <c r="E1800" i="123"/>
  <c r="E1798" i="123"/>
  <c r="E1797" i="123"/>
  <c r="E1796" i="123"/>
  <c r="E1795" i="123"/>
  <c r="E1794" i="123"/>
  <c r="E1793" i="123"/>
  <c r="E1792" i="123"/>
  <c r="E1791" i="123"/>
  <c r="E1790" i="123"/>
  <c r="E1789" i="123"/>
  <c r="E1788" i="123"/>
  <c r="E1787" i="123"/>
  <c r="E1786" i="123"/>
  <c r="E1785" i="123"/>
  <c r="E1784" i="123"/>
  <c r="E1783" i="123"/>
  <c r="E1782" i="123"/>
  <c r="E1781" i="123"/>
  <c r="E1780" i="123"/>
  <c r="E1779" i="123"/>
  <c r="E1778" i="123"/>
  <c r="E1777" i="123"/>
  <c r="E1776" i="123"/>
  <c r="E1775" i="123"/>
  <c r="E1774" i="123"/>
  <c r="E1773" i="123"/>
  <c r="E1772" i="123"/>
  <c r="E1771" i="123"/>
  <c r="E1770" i="123"/>
  <c r="E1769" i="123"/>
  <c r="E1768" i="123"/>
  <c r="E1767" i="123"/>
  <c r="E1766" i="123"/>
  <c r="E1765" i="123"/>
  <c r="E1764" i="123"/>
  <c r="E1763" i="123"/>
  <c r="E1762" i="123"/>
  <c r="E1761" i="123"/>
  <c r="E1760" i="123"/>
  <c r="E1759" i="123"/>
  <c r="E1758" i="123"/>
  <c r="E1757" i="123"/>
  <c r="E1756" i="123"/>
  <c r="E1755" i="123"/>
  <c r="E1754" i="123"/>
  <c r="E1753" i="123"/>
  <c r="E1752" i="123"/>
  <c r="E1751" i="123"/>
  <c r="E1750" i="123"/>
  <c r="E1749" i="123"/>
  <c r="E1748" i="123"/>
  <c r="E1747" i="123"/>
  <c r="E1746" i="123"/>
  <c r="E1745" i="123"/>
  <c r="E1744" i="123"/>
  <c r="E1743" i="123"/>
  <c r="E1742" i="123"/>
  <c r="E1741" i="123"/>
  <c r="E1740" i="123"/>
  <c r="E1739" i="123"/>
  <c r="E1738" i="123"/>
  <c r="E1736" i="123"/>
  <c r="E1735" i="123"/>
  <c r="E1734" i="123"/>
  <c r="E1733" i="123"/>
  <c r="E1732" i="123"/>
  <c r="E1731" i="123"/>
  <c r="E1730" i="123"/>
  <c r="E1729" i="123"/>
  <c r="E1728" i="123"/>
  <c r="E1727" i="123"/>
  <c r="E1726" i="123"/>
  <c r="E1725" i="123"/>
  <c r="E1724" i="123"/>
  <c r="E1723" i="123"/>
  <c r="E1722" i="123"/>
  <c r="E1721" i="123"/>
  <c r="E1720" i="123"/>
  <c r="E1719" i="123"/>
  <c r="E1718" i="123"/>
  <c r="E1717" i="123"/>
  <c r="E1716" i="123"/>
  <c r="E1715" i="123"/>
  <c r="E1714" i="123"/>
  <c r="E1713" i="123"/>
  <c r="E1712" i="123"/>
  <c r="E1711" i="123"/>
  <c r="E1710" i="123"/>
  <c r="E1709" i="123"/>
  <c r="E1708" i="123"/>
  <c r="E1707" i="123"/>
  <c r="E1706" i="123"/>
  <c r="E1705" i="123"/>
  <c r="E1704" i="123"/>
  <c r="E1703" i="123"/>
  <c r="E1702" i="123"/>
  <c r="E1701" i="123"/>
  <c r="E1700" i="123"/>
  <c r="E1699" i="123"/>
  <c r="E1698" i="123"/>
  <c r="E1697" i="123"/>
  <c r="E1696" i="123"/>
  <c r="E1695" i="123"/>
  <c r="E1694" i="123"/>
  <c r="E1693" i="123"/>
  <c r="E1692" i="123"/>
  <c r="E1691" i="123"/>
  <c r="E1690" i="123"/>
  <c r="E1689" i="123"/>
  <c r="E1688" i="123"/>
  <c r="E1687" i="123"/>
  <c r="E1686" i="123"/>
  <c r="E1685" i="123"/>
  <c r="E1684" i="123"/>
  <c r="E1683" i="123"/>
  <c r="E1682" i="123"/>
  <c r="E1681" i="123"/>
  <c r="E1680" i="123"/>
  <c r="E1679" i="123"/>
  <c r="E1678" i="123"/>
  <c r="E1677" i="123"/>
  <c r="E1676" i="123"/>
  <c r="E1674" i="123"/>
  <c r="E1673" i="123"/>
  <c r="E1672" i="123"/>
  <c r="E1671" i="123"/>
  <c r="E1670" i="123"/>
  <c r="E1669" i="123"/>
  <c r="E1668" i="123"/>
  <c r="E1667" i="123"/>
  <c r="E1666" i="123"/>
  <c r="E1665" i="123"/>
  <c r="E1664" i="123"/>
  <c r="E1663" i="123"/>
  <c r="E1662" i="123"/>
  <c r="E1661" i="123"/>
  <c r="E1660" i="123"/>
  <c r="E1659" i="123"/>
  <c r="E1658" i="123"/>
  <c r="E1657" i="123"/>
  <c r="E1656" i="123"/>
  <c r="E1655" i="123"/>
  <c r="E1654" i="123"/>
  <c r="E1653" i="123"/>
  <c r="E1652" i="123"/>
  <c r="E1651" i="123"/>
  <c r="E1650" i="123"/>
  <c r="E1649" i="123"/>
  <c r="E1648" i="123"/>
  <c r="E1647" i="123"/>
  <c r="E1646" i="123"/>
  <c r="E1645" i="123"/>
  <c r="E1644" i="123"/>
  <c r="E1643" i="123"/>
  <c r="E1642" i="123"/>
  <c r="E1641" i="123"/>
  <c r="E1640" i="123"/>
  <c r="E1639" i="123"/>
  <c r="E1638" i="123"/>
  <c r="E1637" i="123"/>
  <c r="E1636" i="123"/>
  <c r="E1635" i="123"/>
  <c r="E1634" i="123"/>
  <c r="E1633" i="123"/>
  <c r="E1632" i="123"/>
  <c r="E1631" i="123"/>
  <c r="E1630" i="123"/>
  <c r="E1629" i="123"/>
  <c r="E1628" i="123"/>
  <c r="E1627" i="123"/>
  <c r="E1626" i="123"/>
  <c r="E1625" i="123"/>
  <c r="E1624" i="123"/>
  <c r="E1623" i="123"/>
  <c r="E1622" i="123"/>
  <c r="E1621" i="123"/>
  <c r="E1620" i="123"/>
  <c r="E1619" i="123"/>
  <c r="E1618" i="123"/>
  <c r="E1617" i="123"/>
  <c r="E1616" i="123"/>
  <c r="E1615" i="123"/>
  <c r="E1614" i="123"/>
  <c r="E1612" i="123"/>
  <c r="E1611" i="123"/>
  <c r="E1610" i="123"/>
  <c r="E1609" i="123"/>
  <c r="E1608" i="123"/>
  <c r="E1607" i="123"/>
  <c r="E1606" i="123"/>
  <c r="E1605" i="123"/>
  <c r="E1604" i="123"/>
  <c r="E1603" i="123"/>
  <c r="E1602" i="123"/>
  <c r="E1601" i="123"/>
  <c r="E1600" i="123"/>
  <c r="E1599" i="123"/>
  <c r="E1598" i="123"/>
  <c r="E1597" i="123"/>
  <c r="E1596" i="123"/>
  <c r="E1595" i="123"/>
  <c r="E1594" i="123"/>
  <c r="E1593" i="123"/>
  <c r="E1592" i="123"/>
  <c r="E1591" i="123"/>
  <c r="E1590" i="123"/>
  <c r="E1589" i="123"/>
  <c r="E1588" i="123"/>
  <c r="E1587" i="123"/>
  <c r="E1586" i="123"/>
  <c r="E1585" i="123"/>
  <c r="E1584" i="123"/>
  <c r="E1583" i="123"/>
  <c r="E1582" i="123"/>
  <c r="E1581" i="123"/>
  <c r="E1580" i="123"/>
  <c r="E1579" i="123"/>
  <c r="E1578" i="123"/>
  <c r="E1577" i="123"/>
  <c r="E1576" i="123"/>
  <c r="E1575" i="123"/>
  <c r="E1574" i="123"/>
  <c r="E1573" i="123"/>
  <c r="E1572" i="123"/>
  <c r="E1571" i="123"/>
  <c r="E1570" i="123"/>
  <c r="E1569" i="123"/>
  <c r="E1568" i="123"/>
  <c r="E1567" i="123"/>
  <c r="E1566" i="123"/>
  <c r="E1565" i="123"/>
  <c r="E1564" i="123"/>
  <c r="E1563" i="123"/>
  <c r="E1562" i="123"/>
  <c r="E1561" i="123"/>
  <c r="E1560" i="123"/>
  <c r="E1559" i="123"/>
  <c r="E1558" i="123"/>
  <c r="E1557" i="123"/>
  <c r="E1556" i="123"/>
  <c r="E1555" i="123"/>
  <c r="E1554" i="123"/>
  <c r="E1553" i="123"/>
  <c r="E1552" i="123"/>
  <c r="E1550" i="123"/>
  <c r="F1550" i="123" s="1"/>
  <c r="E1549" i="123"/>
  <c r="E1548" i="123"/>
  <c r="E1547" i="123"/>
  <c r="E1546" i="123"/>
  <c r="E1545" i="123"/>
  <c r="E1544" i="123"/>
  <c r="E1543" i="123"/>
  <c r="E1542" i="123"/>
  <c r="E1541" i="123"/>
  <c r="E1540" i="123"/>
  <c r="E1539" i="123"/>
  <c r="E1538" i="123"/>
  <c r="E1537" i="123"/>
  <c r="E1536" i="123"/>
  <c r="E1535" i="123"/>
  <c r="E1534" i="123"/>
  <c r="E1533" i="123"/>
  <c r="E1532" i="123"/>
  <c r="E1531" i="123"/>
  <c r="E1530" i="123"/>
  <c r="E1529" i="123"/>
  <c r="E1528" i="123"/>
  <c r="E1527" i="123"/>
  <c r="E1526" i="123"/>
  <c r="E1525" i="123"/>
  <c r="E1524" i="123"/>
  <c r="E1523" i="123"/>
  <c r="E1522" i="123"/>
  <c r="E1521" i="123"/>
  <c r="E1520" i="123"/>
  <c r="E1519" i="123"/>
  <c r="E1518" i="123"/>
  <c r="E1517" i="123"/>
  <c r="E1516" i="123"/>
  <c r="E1515" i="123"/>
  <c r="E1514" i="123"/>
  <c r="E1513" i="123"/>
  <c r="E1512" i="123"/>
  <c r="E1511" i="123"/>
  <c r="E1510" i="123"/>
  <c r="E1509" i="123"/>
  <c r="E1508" i="123"/>
  <c r="E1507" i="123"/>
  <c r="E1506" i="123"/>
  <c r="E1505" i="123"/>
  <c r="E1504" i="123"/>
  <c r="E1503" i="123"/>
  <c r="E1502" i="123"/>
  <c r="E1501" i="123"/>
  <c r="E1500" i="123"/>
  <c r="E1499" i="123"/>
  <c r="E1498" i="123"/>
  <c r="E1497" i="123"/>
  <c r="E1496" i="123"/>
  <c r="E1495" i="123"/>
  <c r="E1494" i="123"/>
  <c r="E1493" i="123"/>
  <c r="E1492" i="123"/>
  <c r="E1491" i="123"/>
  <c r="E1490" i="123"/>
  <c r="E1488" i="123"/>
  <c r="F1488" i="123" s="1"/>
  <c r="E1487" i="123"/>
  <c r="F1487" i="123" s="1"/>
  <c r="E1486" i="123"/>
  <c r="E1485" i="123"/>
  <c r="E1484" i="123"/>
  <c r="E1483" i="123"/>
  <c r="E1482" i="123"/>
  <c r="E1481" i="123"/>
  <c r="E1480" i="123"/>
  <c r="E1479" i="123"/>
  <c r="E1478" i="123"/>
  <c r="E1477" i="123"/>
  <c r="E1476" i="123"/>
  <c r="E1475" i="123"/>
  <c r="E1474" i="123"/>
  <c r="E1473" i="123"/>
  <c r="E1472" i="123"/>
  <c r="E1471" i="123"/>
  <c r="E1470" i="123"/>
  <c r="E1469" i="123"/>
  <c r="E1468" i="123"/>
  <c r="E1467" i="123"/>
  <c r="E1466" i="123"/>
  <c r="E1465" i="123"/>
  <c r="E1464" i="123"/>
  <c r="E1463" i="123"/>
  <c r="E1462" i="123"/>
  <c r="E1461" i="123"/>
  <c r="E1460" i="123"/>
  <c r="E1459" i="123"/>
  <c r="E1458" i="123"/>
  <c r="E1457" i="123"/>
  <c r="E1456" i="123"/>
  <c r="E1455" i="123"/>
  <c r="E1454" i="123"/>
  <c r="E1453" i="123"/>
  <c r="E1452" i="123"/>
  <c r="E1451" i="123"/>
  <c r="E1450" i="123"/>
  <c r="E1449" i="123"/>
  <c r="E1448" i="123"/>
  <c r="E1447" i="123"/>
  <c r="E1446" i="123"/>
  <c r="E1445" i="123"/>
  <c r="E1444" i="123"/>
  <c r="E1443" i="123"/>
  <c r="E1442" i="123"/>
  <c r="E1441" i="123"/>
  <c r="E1440" i="123"/>
  <c r="E1439" i="123"/>
  <c r="E1438" i="123"/>
  <c r="E1437" i="123"/>
  <c r="E1436" i="123"/>
  <c r="E1435" i="123"/>
  <c r="E1434" i="123"/>
  <c r="E1433" i="123"/>
  <c r="E1432" i="123"/>
  <c r="E1431" i="123"/>
  <c r="E1430" i="123"/>
  <c r="E1429" i="123"/>
  <c r="E1428" i="123"/>
  <c r="E1426" i="123"/>
  <c r="E1425" i="123"/>
  <c r="E1379" i="123"/>
  <c r="F1379" i="123" s="1"/>
  <c r="E1376" i="123"/>
  <c r="F1376" i="123" s="1"/>
  <c r="E1375" i="123"/>
  <c r="F1375" i="123" s="1"/>
  <c r="E1374" i="123"/>
  <c r="F1374" i="123" s="1"/>
  <c r="E1370" i="123"/>
  <c r="F1370" i="123" s="1"/>
  <c r="E1367" i="123"/>
  <c r="F1367" i="123" s="1"/>
  <c r="E1366" i="123"/>
  <c r="F1366" i="123" s="1"/>
  <c r="E1365" i="123"/>
  <c r="F1365" i="123" s="1"/>
  <c r="E1361" i="123"/>
  <c r="F1361" i="123" s="1"/>
  <c r="E1358" i="123"/>
  <c r="F1358" i="123" s="1"/>
  <c r="E1357" i="123"/>
  <c r="F1357" i="123" s="1"/>
  <c r="E1356" i="123"/>
  <c r="F1356" i="123" s="1"/>
  <c r="E1352" i="123"/>
  <c r="F1352" i="123" s="1"/>
  <c r="E1349" i="123"/>
  <c r="F1349" i="123" s="1"/>
  <c r="E1348" i="123"/>
  <c r="F1348" i="123" s="1"/>
  <c r="E1347" i="123"/>
  <c r="F1347" i="123" s="1"/>
  <c r="E1343" i="123"/>
  <c r="F1343" i="123" s="1"/>
  <c r="E1340" i="123"/>
  <c r="F1340" i="123" s="1"/>
  <c r="E1339" i="123"/>
  <c r="F1339" i="123" s="1"/>
  <c r="E1338" i="123"/>
  <c r="F1338" i="123" s="1"/>
  <c r="E1334" i="123"/>
  <c r="F1334" i="123" s="1"/>
  <c r="E1331" i="123"/>
  <c r="F1331" i="123" s="1"/>
  <c r="E1330" i="123"/>
  <c r="F1330" i="123" s="1"/>
  <c r="E1329" i="123"/>
  <c r="F1329" i="123" s="1"/>
  <c r="E1325" i="123"/>
  <c r="F1325" i="123" s="1"/>
  <c r="E1322" i="123"/>
  <c r="F1322" i="123" s="1"/>
  <c r="E1321" i="123"/>
  <c r="F1321" i="123" s="1"/>
  <c r="E1320" i="123"/>
  <c r="F1320" i="123" s="1"/>
  <c r="E1316" i="123"/>
  <c r="F1316" i="123" s="1"/>
  <c r="E1313" i="123"/>
  <c r="F1313" i="123" s="1"/>
  <c r="E1312" i="123"/>
  <c r="F1312" i="123" s="1"/>
  <c r="E1311" i="123"/>
  <c r="F1311" i="123" s="1"/>
  <c r="E1307" i="123"/>
  <c r="F1307" i="123" s="1"/>
  <c r="E1304" i="123"/>
  <c r="F1304" i="123" s="1"/>
  <c r="E1303" i="123"/>
  <c r="F1303" i="123" s="1"/>
  <c r="E1302" i="123"/>
  <c r="F1302" i="123" s="1"/>
  <c r="E1298" i="123"/>
  <c r="F1298" i="123" s="1"/>
  <c r="E1295" i="123"/>
  <c r="F1295" i="123" s="1"/>
  <c r="E1294" i="123"/>
  <c r="F1294" i="123" s="1"/>
  <c r="E1293" i="123"/>
  <c r="F1293" i="123" s="1"/>
  <c r="E1289" i="123"/>
  <c r="F1289" i="123" s="1"/>
  <c r="E1286" i="123"/>
  <c r="F1286" i="123" s="1"/>
  <c r="E1285" i="123"/>
  <c r="F1285" i="123" s="1"/>
  <c r="E1284" i="123"/>
  <c r="F1284" i="123" s="1"/>
  <c r="E1282" i="123"/>
  <c r="F1282" i="123" s="1"/>
  <c r="E1279" i="123"/>
  <c r="F1279" i="123" s="1"/>
  <c r="E1278" i="123"/>
  <c r="F1278" i="123" s="1"/>
  <c r="E1277" i="123"/>
  <c r="F1277" i="123" s="1"/>
  <c r="E1275" i="123"/>
  <c r="F1275" i="123" s="1"/>
  <c r="E1272" i="123"/>
  <c r="F1272" i="123" s="1"/>
  <c r="E1271" i="123"/>
  <c r="F1271" i="123" s="1"/>
  <c r="E1270" i="123"/>
  <c r="F1270" i="123" s="1"/>
  <c r="E1268" i="123"/>
  <c r="F1268" i="123" s="1"/>
  <c r="E1265" i="123"/>
  <c r="F1265" i="123" s="1"/>
  <c r="E1264" i="123"/>
  <c r="F1264" i="123" s="1"/>
  <c r="E1263" i="123"/>
  <c r="F1263" i="123" s="1"/>
  <c r="E1261" i="123"/>
  <c r="F1261" i="123" s="1"/>
  <c r="E1258" i="123"/>
  <c r="F1258" i="123" s="1"/>
  <c r="E1257" i="123"/>
  <c r="F1257" i="123" s="1"/>
  <c r="E1256" i="123"/>
  <c r="F1256" i="123" s="1"/>
  <c r="E1254" i="123"/>
  <c r="F1254" i="123" s="1"/>
  <c r="E1251" i="123"/>
  <c r="F1251" i="123" s="1"/>
  <c r="E1250" i="123"/>
  <c r="F1250" i="123" s="1"/>
  <c r="E1249" i="123"/>
  <c r="F1249" i="123" s="1"/>
  <c r="E1247" i="123"/>
  <c r="F1247" i="123" s="1"/>
  <c r="E1244" i="123"/>
  <c r="F1244" i="123" s="1"/>
  <c r="E1243" i="123"/>
  <c r="F1243" i="123" s="1"/>
  <c r="E1242" i="123"/>
  <c r="F1242" i="123" s="1"/>
  <c r="E1240" i="123"/>
  <c r="F1240" i="123" s="1"/>
  <c r="E1237" i="123"/>
  <c r="F1237" i="123" s="1"/>
  <c r="E1236" i="123"/>
  <c r="F1236" i="123" s="1"/>
  <c r="E1235" i="123"/>
  <c r="F1235" i="123" s="1"/>
  <c r="E1233" i="123"/>
  <c r="F1233" i="123" s="1"/>
  <c r="E1230" i="123"/>
  <c r="F1230" i="123" s="1"/>
  <c r="E1229" i="123"/>
  <c r="F1229" i="123" s="1"/>
  <c r="E1228" i="123"/>
  <c r="F1228" i="123" s="1"/>
  <c r="E1226" i="123"/>
  <c r="F1226" i="123" s="1"/>
  <c r="E1223" i="123"/>
  <c r="F1223" i="123" s="1"/>
  <c r="E1222" i="123"/>
  <c r="F1222" i="123" s="1"/>
  <c r="E1221" i="123"/>
  <c r="F1221" i="123" s="1"/>
  <c r="E1219" i="123"/>
  <c r="F1219" i="123" s="1"/>
  <c r="E1216" i="123"/>
  <c r="F1216" i="123" s="1"/>
  <c r="E1215" i="123"/>
  <c r="F1215" i="123" s="1"/>
  <c r="E1214" i="123"/>
  <c r="F1214" i="123" s="1"/>
  <c r="E1212" i="123"/>
  <c r="F1212" i="123" s="1"/>
  <c r="E1209" i="123"/>
  <c r="F1209" i="123" s="1"/>
  <c r="E1208" i="123"/>
  <c r="F1208" i="123" s="1"/>
  <c r="E1207" i="123"/>
  <c r="F1207" i="123" s="1"/>
  <c r="E1205" i="123"/>
  <c r="F1205" i="123" s="1"/>
  <c r="E1202" i="123"/>
  <c r="F1202" i="123" s="1"/>
  <c r="E1201" i="123"/>
  <c r="F1201" i="123" s="1"/>
  <c r="E1200" i="123"/>
  <c r="F1200" i="123" s="1"/>
  <c r="E1198" i="123"/>
  <c r="F1198" i="123" s="1"/>
  <c r="E1195" i="123"/>
  <c r="F1195" i="123" s="1"/>
  <c r="E1194" i="123"/>
  <c r="F1194" i="123" s="1"/>
  <c r="E1193" i="123"/>
  <c r="F1193" i="123" s="1"/>
  <c r="E1191" i="123"/>
  <c r="F1191" i="123" s="1"/>
  <c r="E1188" i="123"/>
  <c r="F1188" i="123" s="1"/>
  <c r="E1187" i="123"/>
  <c r="F1187" i="123" s="1"/>
  <c r="E1186" i="123"/>
  <c r="F1186" i="123" s="1"/>
  <c r="E1184" i="123"/>
  <c r="F1184" i="123" s="1"/>
  <c r="E1181" i="123"/>
  <c r="F1181" i="123" s="1"/>
  <c r="E1180" i="123"/>
  <c r="F1180" i="123" s="1"/>
  <c r="E1179" i="123"/>
  <c r="F1179" i="123" s="1"/>
  <c r="E1177" i="123"/>
  <c r="F1177" i="123" s="1"/>
  <c r="E1174" i="123"/>
  <c r="F1174" i="123" s="1"/>
  <c r="E1173" i="123"/>
  <c r="F1173" i="123" s="1"/>
  <c r="E1172" i="123"/>
  <c r="F1172" i="123" s="1"/>
  <c r="E1170" i="123"/>
  <c r="F1170" i="123" s="1"/>
  <c r="E1167" i="123"/>
  <c r="F1167" i="123" s="1"/>
  <c r="E1166" i="123"/>
  <c r="F1166" i="123" s="1"/>
  <c r="E1165" i="123"/>
  <c r="F1165" i="123" s="1"/>
  <c r="E1163" i="123"/>
  <c r="F1163" i="123" s="1"/>
  <c r="E1160" i="123"/>
  <c r="F1160" i="123" s="1"/>
  <c r="E1159" i="123"/>
  <c r="F1159" i="123" s="1"/>
  <c r="E1158" i="123"/>
  <c r="F1158" i="123" s="1"/>
  <c r="E1156" i="123"/>
  <c r="F1156" i="123" s="1"/>
  <c r="E1153" i="123"/>
  <c r="F1153" i="123" s="1"/>
  <c r="E1152" i="123"/>
  <c r="F1152" i="123" s="1"/>
  <c r="E1151" i="123"/>
  <c r="F1151" i="123" s="1"/>
  <c r="E1149" i="123"/>
  <c r="F1149" i="123" s="1"/>
  <c r="E1146" i="123"/>
  <c r="F1146" i="123" s="1"/>
  <c r="E1145" i="123"/>
  <c r="F1145" i="123" s="1"/>
  <c r="E1144" i="123"/>
  <c r="F1144" i="123" s="1"/>
  <c r="E1142" i="123"/>
  <c r="F1142" i="123" s="1"/>
  <c r="E1139" i="123"/>
  <c r="F1139" i="123" s="1"/>
  <c r="E1138" i="123"/>
  <c r="F1138" i="123" s="1"/>
  <c r="E1137" i="123"/>
  <c r="F1137" i="123" s="1"/>
  <c r="E1135" i="123"/>
  <c r="F1135" i="123" s="1"/>
  <c r="E1132" i="123"/>
  <c r="F1132" i="123" s="1"/>
  <c r="E1131" i="123"/>
  <c r="F1131" i="123" s="1"/>
  <c r="E1130" i="123"/>
  <c r="F1130" i="123" s="1"/>
  <c r="E1128" i="123"/>
  <c r="F1128" i="123" s="1"/>
  <c r="E1125" i="123"/>
  <c r="F1125" i="123" s="1"/>
  <c r="E1124" i="123"/>
  <c r="F1124" i="123" s="1"/>
  <c r="E1123" i="123"/>
  <c r="F1123" i="123" s="1"/>
  <c r="E1121" i="123"/>
  <c r="F1121" i="123" s="1"/>
  <c r="E1118" i="123"/>
  <c r="F1118" i="123" s="1"/>
  <c r="E1117" i="123"/>
  <c r="F1117" i="123" s="1"/>
  <c r="E1116" i="123"/>
  <c r="F1116" i="123" s="1"/>
  <c r="E1114" i="123"/>
  <c r="F1114" i="123" s="1"/>
  <c r="E1111" i="123"/>
  <c r="F1111" i="123" s="1"/>
  <c r="E1110" i="123"/>
  <c r="F1110" i="123" s="1"/>
  <c r="E1109" i="123"/>
  <c r="F1109" i="123" s="1"/>
  <c r="E1107" i="123"/>
  <c r="F1107" i="123" s="1"/>
  <c r="E1104" i="123"/>
  <c r="F1104" i="123" s="1"/>
  <c r="E1103" i="123"/>
  <c r="F1103" i="123" s="1"/>
  <c r="E1102" i="123"/>
  <c r="F1102" i="123" s="1"/>
  <c r="E1100" i="123"/>
  <c r="F1100" i="123" s="1"/>
  <c r="E1097" i="123"/>
  <c r="F1097" i="123" s="1"/>
  <c r="E1096" i="123"/>
  <c r="F1096" i="123" s="1"/>
  <c r="E1095" i="123"/>
  <c r="F1095" i="123" s="1"/>
  <c r="E1093" i="123"/>
  <c r="F1093" i="123" s="1"/>
  <c r="E1090" i="123"/>
  <c r="F1090" i="123" s="1"/>
  <c r="E1089" i="123"/>
  <c r="F1089" i="123" s="1"/>
  <c r="E1088" i="123"/>
  <c r="F1088" i="123" s="1"/>
  <c r="E1086" i="123"/>
  <c r="F1086" i="123" s="1"/>
  <c r="E1083" i="123"/>
  <c r="F1083" i="123" s="1"/>
  <c r="E1082" i="123"/>
  <c r="F1082" i="123" s="1"/>
  <c r="E1081" i="123"/>
  <c r="F1081" i="123" s="1"/>
  <c r="E1079" i="123"/>
  <c r="F1079" i="123" s="1"/>
  <c r="E1076" i="123"/>
  <c r="F1076" i="123" s="1"/>
  <c r="E1075" i="123"/>
  <c r="F1075" i="123" s="1"/>
  <c r="E1074" i="123"/>
  <c r="F1074" i="123" s="1"/>
  <c r="E1072" i="123"/>
  <c r="F1072" i="123" s="1"/>
  <c r="E1069" i="123"/>
  <c r="F1069" i="123" s="1"/>
  <c r="E1068" i="123"/>
  <c r="F1068" i="123" s="1"/>
  <c r="E1067" i="123"/>
  <c r="F1067" i="123" s="1"/>
  <c r="E1065" i="123"/>
  <c r="F1065" i="123" s="1"/>
  <c r="E1062" i="123"/>
  <c r="F1062" i="123" s="1"/>
  <c r="E1061" i="123"/>
  <c r="F1061" i="123" s="1"/>
  <c r="E1060" i="123"/>
  <c r="F1060" i="123" s="1"/>
  <c r="E1058" i="123"/>
  <c r="F1058" i="123" s="1"/>
  <c r="E1055" i="123"/>
  <c r="F1055" i="123" s="1"/>
  <c r="E1054" i="123"/>
  <c r="F1054" i="123" s="1"/>
  <c r="E1053" i="123"/>
  <c r="F1053" i="123" s="1"/>
  <c r="E1051" i="123"/>
  <c r="F1051" i="123" s="1"/>
  <c r="E1048" i="123"/>
  <c r="F1048" i="123" s="1"/>
  <c r="E1047" i="123"/>
  <c r="F1047" i="123" s="1"/>
  <c r="E1046" i="123"/>
  <c r="F1046" i="123" s="1"/>
  <c r="E1044" i="123"/>
  <c r="F1044" i="123" s="1"/>
  <c r="E1041" i="123"/>
  <c r="F1041" i="123" s="1"/>
  <c r="E1040" i="123"/>
  <c r="F1040" i="123" s="1"/>
  <c r="E1039" i="123"/>
  <c r="F1039" i="123" s="1"/>
  <c r="E1037" i="123"/>
  <c r="F1037" i="123" s="1"/>
  <c r="E1034" i="123"/>
  <c r="F1034" i="123" s="1"/>
  <c r="E1033" i="123"/>
  <c r="F1033" i="123" s="1"/>
  <c r="E1032" i="123"/>
  <c r="F1032" i="123" s="1"/>
  <c r="E1030" i="123"/>
  <c r="F1030" i="123" s="1"/>
  <c r="E1027" i="123"/>
  <c r="F1027" i="123" s="1"/>
  <c r="E1026" i="123"/>
  <c r="F1026" i="123" s="1"/>
  <c r="E1025" i="123"/>
  <c r="F1025" i="123" s="1"/>
  <c r="E1023" i="123"/>
  <c r="F1023" i="123" s="1"/>
  <c r="E1020" i="123"/>
  <c r="F1020" i="123" s="1"/>
  <c r="E1019" i="123"/>
  <c r="F1019" i="123" s="1"/>
  <c r="E1018" i="123"/>
  <c r="F1018" i="123" s="1"/>
  <c r="E1016" i="123"/>
  <c r="F1016" i="123" s="1"/>
  <c r="E1013" i="123"/>
  <c r="F1013" i="123" s="1"/>
  <c r="E1012" i="123"/>
  <c r="F1012" i="123" s="1"/>
  <c r="E1011" i="123"/>
  <c r="F1011" i="123" s="1"/>
  <c r="E1009" i="123"/>
  <c r="F1009" i="123" s="1"/>
  <c r="E1006" i="123"/>
  <c r="F1006" i="123" s="1"/>
  <c r="E1005" i="123"/>
  <c r="F1005" i="123" s="1"/>
  <c r="E1004" i="123"/>
  <c r="F1004" i="123" s="1"/>
  <c r="E1002" i="123"/>
  <c r="F1002" i="123" s="1"/>
  <c r="E999" i="123"/>
  <c r="F999" i="123" s="1"/>
  <c r="E998" i="123"/>
  <c r="F998" i="123" s="1"/>
  <c r="E997" i="123"/>
  <c r="F997" i="123" s="1"/>
  <c r="E995" i="123"/>
  <c r="F995" i="123" s="1"/>
  <c r="E992" i="123"/>
  <c r="F992" i="123" s="1"/>
  <c r="E991" i="123"/>
  <c r="F991" i="123" s="1"/>
  <c r="E990" i="123"/>
  <c r="F990" i="123" s="1"/>
  <c r="E988" i="123"/>
  <c r="F988" i="123" s="1"/>
  <c r="E985" i="123"/>
  <c r="F985" i="123" s="1"/>
  <c r="E984" i="123"/>
  <c r="F984" i="123" s="1"/>
  <c r="E983" i="123"/>
  <c r="F983" i="123" s="1"/>
  <c r="E981" i="123"/>
  <c r="F981" i="123" s="1"/>
  <c r="E978" i="123"/>
  <c r="F978" i="123" s="1"/>
  <c r="E977" i="123"/>
  <c r="F977" i="123" s="1"/>
  <c r="E976" i="123"/>
  <c r="F976" i="123" s="1"/>
  <c r="E974" i="123"/>
  <c r="F974" i="123" s="1"/>
  <c r="E971" i="123"/>
  <c r="F971" i="123" s="1"/>
  <c r="E970" i="123"/>
  <c r="F970" i="123" s="1"/>
  <c r="E969" i="123"/>
  <c r="F969" i="123" s="1"/>
  <c r="E967" i="123"/>
  <c r="F967" i="123" s="1"/>
  <c r="E964" i="123"/>
  <c r="F964" i="123" s="1"/>
  <c r="E963" i="123"/>
  <c r="F963" i="123" s="1"/>
  <c r="E962" i="123"/>
  <c r="F962" i="123" s="1"/>
  <c r="E960" i="123"/>
  <c r="F960" i="123" s="1"/>
  <c r="E957" i="123"/>
  <c r="F957" i="123" s="1"/>
  <c r="E956" i="123"/>
  <c r="F956" i="123" s="1"/>
  <c r="E955" i="123"/>
  <c r="F955" i="123" s="1"/>
  <c r="E953" i="123"/>
  <c r="F953" i="123" s="1"/>
  <c r="E950" i="123"/>
  <c r="F950" i="123" s="1"/>
  <c r="E949" i="123"/>
  <c r="F949" i="123" s="1"/>
  <c r="E948" i="123"/>
  <c r="F948" i="123" s="1"/>
  <c r="E946" i="123"/>
  <c r="F946" i="123" s="1"/>
  <c r="E943" i="123"/>
  <c r="F943" i="123" s="1"/>
  <c r="E942" i="123"/>
  <c r="F942" i="123" s="1"/>
  <c r="E941" i="123"/>
  <c r="F941" i="123" s="1"/>
  <c r="E939" i="123"/>
  <c r="F939" i="123" s="1"/>
  <c r="E936" i="123"/>
  <c r="F936" i="123" s="1"/>
  <c r="E935" i="123"/>
  <c r="F935" i="123" s="1"/>
  <c r="E934" i="123"/>
  <c r="F934" i="123" s="1"/>
  <c r="E932" i="123"/>
  <c r="F932" i="123" s="1"/>
  <c r="E929" i="123"/>
  <c r="F929" i="123" s="1"/>
  <c r="E928" i="123"/>
  <c r="F928" i="123" s="1"/>
  <c r="E927" i="123"/>
  <c r="F927" i="123" s="1"/>
  <c r="E925" i="123"/>
  <c r="F925" i="123" s="1"/>
  <c r="E922" i="123"/>
  <c r="F922" i="123" s="1"/>
  <c r="E921" i="123"/>
  <c r="F921" i="123" s="1"/>
  <c r="E920" i="123"/>
  <c r="F920" i="123" s="1"/>
  <c r="E918" i="123"/>
  <c r="F918" i="123" s="1"/>
  <c r="E915" i="123"/>
  <c r="F915" i="123" s="1"/>
  <c r="E914" i="123"/>
  <c r="F914" i="123" s="1"/>
  <c r="E913" i="123"/>
  <c r="F913" i="123" s="1"/>
  <c r="E911" i="123"/>
  <c r="F911" i="123" s="1"/>
  <c r="E908" i="123"/>
  <c r="F908" i="123" s="1"/>
  <c r="E907" i="123"/>
  <c r="F907" i="123" s="1"/>
  <c r="E906" i="123"/>
  <c r="F906" i="123" s="1"/>
  <c r="E904" i="123"/>
  <c r="F904" i="123" s="1"/>
  <c r="E901" i="123"/>
  <c r="F901" i="123" s="1"/>
  <c r="E900" i="123"/>
  <c r="F900" i="123" s="1"/>
  <c r="E899" i="123"/>
  <c r="F899" i="123" s="1"/>
  <c r="E897" i="123"/>
  <c r="F897" i="123" s="1"/>
  <c r="E894" i="123"/>
  <c r="F894" i="123" s="1"/>
  <c r="E893" i="123"/>
  <c r="F893" i="123" s="1"/>
  <c r="E892" i="123"/>
  <c r="F892" i="123" s="1"/>
  <c r="E890" i="123"/>
  <c r="F890" i="123" s="1"/>
  <c r="E887" i="123"/>
  <c r="F887" i="123" s="1"/>
  <c r="E886" i="123"/>
  <c r="F886" i="123" s="1"/>
  <c r="E885" i="123"/>
  <c r="F885" i="123" s="1"/>
  <c r="E883" i="123"/>
  <c r="F883" i="123" s="1"/>
  <c r="E880" i="123"/>
  <c r="F880" i="123" s="1"/>
  <c r="E879" i="123"/>
  <c r="F879" i="123" s="1"/>
  <c r="E878" i="123"/>
  <c r="F878" i="123" s="1"/>
  <c r="E876" i="123"/>
  <c r="F876" i="123" s="1"/>
  <c r="E873" i="123"/>
  <c r="F873" i="123" s="1"/>
  <c r="E872" i="123"/>
  <c r="F872" i="123" s="1"/>
  <c r="E871" i="123"/>
  <c r="F871" i="123" s="1"/>
  <c r="E869" i="123"/>
  <c r="F869" i="123" s="1"/>
  <c r="E866" i="123"/>
  <c r="F866" i="123" s="1"/>
  <c r="E865" i="123"/>
  <c r="F865" i="123" s="1"/>
  <c r="E864" i="123"/>
  <c r="F864" i="123" s="1"/>
  <c r="E862" i="123"/>
  <c r="F862" i="123" s="1"/>
  <c r="E859" i="123"/>
  <c r="F859" i="123" s="1"/>
  <c r="E858" i="123"/>
  <c r="F858" i="123" s="1"/>
  <c r="E857" i="123"/>
  <c r="F857" i="123" s="1"/>
  <c r="E855" i="123"/>
  <c r="F855" i="123" s="1"/>
  <c r="E852" i="123"/>
  <c r="F852" i="123" s="1"/>
  <c r="E851" i="123"/>
  <c r="F851" i="123" s="1"/>
  <c r="E850" i="123"/>
  <c r="F850" i="123" s="1"/>
  <c r="E848" i="123"/>
  <c r="F848" i="123" s="1"/>
  <c r="E845" i="123"/>
  <c r="F845" i="123" s="1"/>
  <c r="E844" i="123"/>
  <c r="F844" i="123" s="1"/>
  <c r="E843" i="123"/>
  <c r="F843" i="123" s="1"/>
  <c r="E841" i="123"/>
  <c r="F841" i="123" s="1"/>
  <c r="E838" i="123"/>
  <c r="F838" i="123" s="1"/>
  <c r="E837" i="123"/>
  <c r="F837" i="123" s="1"/>
  <c r="E836" i="123"/>
  <c r="F836" i="123" s="1"/>
  <c r="E834" i="123"/>
  <c r="F834" i="123" s="1"/>
  <c r="E831" i="123"/>
  <c r="F831" i="123" s="1"/>
  <c r="E830" i="123"/>
  <c r="F830" i="123" s="1"/>
  <c r="E829" i="123"/>
  <c r="F829" i="123" s="1"/>
  <c r="E827" i="123"/>
  <c r="F827" i="123" s="1"/>
  <c r="E824" i="123"/>
  <c r="F824" i="123" s="1"/>
  <c r="E823" i="123"/>
  <c r="F823" i="123" s="1"/>
  <c r="E822" i="123"/>
  <c r="F822" i="123" s="1"/>
  <c r="E820" i="123"/>
  <c r="F820" i="123" s="1"/>
  <c r="E817" i="123"/>
  <c r="F817" i="123" s="1"/>
  <c r="E816" i="123"/>
  <c r="F816" i="123" s="1"/>
  <c r="E815" i="123"/>
  <c r="F815" i="123" s="1"/>
  <c r="E813" i="123"/>
  <c r="F813" i="123" s="1"/>
  <c r="E810" i="123"/>
  <c r="F810" i="123" s="1"/>
  <c r="E809" i="123"/>
  <c r="F809" i="123" s="1"/>
  <c r="E808" i="123"/>
  <c r="F808" i="123" s="1"/>
  <c r="E806" i="123"/>
  <c r="F806" i="123" s="1"/>
  <c r="E803" i="123"/>
  <c r="F803" i="123" s="1"/>
  <c r="E802" i="123"/>
  <c r="F802" i="123" s="1"/>
  <c r="E801" i="123"/>
  <c r="F801" i="123" s="1"/>
  <c r="E799" i="123"/>
  <c r="F799" i="123" s="1"/>
  <c r="E796" i="123"/>
  <c r="F796" i="123" s="1"/>
  <c r="E795" i="123"/>
  <c r="F795" i="123" s="1"/>
  <c r="E794" i="123"/>
  <c r="F794" i="123" s="1"/>
  <c r="E792" i="123"/>
  <c r="F792" i="123" s="1"/>
  <c r="E789" i="123"/>
  <c r="F789" i="123" s="1"/>
  <c r="E788" i="123"/>
  <c r="F788" i="123" s="1"/>
  <c r="E787" i="123"/>
  <c r="F787" i="123" s="1"/>
  <c r="E785" i="123"/>
  <c r="F785" i="123" s="1"/>
  <c r="E782" i="123"/>
  <c r="F782" i="123" s="1"/>
  <c r="E781" i="123"/>
  <c r="F781" i="123" s="1"/>
  <c r="E780" i="123"/>
  <c r="F780" i="123" s="1"/>
  <c r="E778" i="123"/>
  <c r="F778" i="123" s="1"/>
  <c r="E775" i="123"/>
  <c r="F775" i="123" s="1"/>
  <c r="E774" i="123"/>
  <c r="F774" i="123" s="1"/>
  <c r="E773" i="123"/>
  <c r="F773" i="123" s="1"/>
  <c r="E771" i="123"/>
  <c r="F771" i="123" s="1"/>
  <c r="E768" i="123"/>
  <c r="F768" i="123" s="1"/>
  <c r="E767" i="123"/>
  <c r="F767" i="123" s="1"/>
  <c r="E766" i="123"/>
  <c r="F766" i="123" s="1"/>
  <c r="E764" i="123"/>
  <c r="F764" i="123" s="1"/>
  <c r="E761" i="123"/>
  <c r="F761" i="123" s="1"/>
  <c r="E760" i="123"/>
  <c r="F760" i="123" s="1"/>
  <c r="E759" i="123"/>
  <c r="F759" i="123" s="1"/>
  <c r="E757" i="123"/>
  <c r="F757" i="123" s="1"/>
  <c r="E754" i="123"/>
  <c r="F754" i="123" s="1"/>
  <c r="E753" i="123"/>
  <c r="F753" i="123" s="1"/>
  <c r="E752" i="123"/>
  <c r="F752" i="123" s="1"/>
  <c r="E750" i="123"/>
  <c r="F750" i="123" s="1"/>
  <c r="E747" i="123"/>
  <c r="F747" i="123" s="1"/>
  <c r="E746" i="123"/>
  <c r="F746" i="123" s="1"/>
  <c r="E745" i="123"/>
  <c r="F745" i="123" s="1"/>
  <c r="E743" i="123"/>
  <c r="F743" i="123" s="1"/>
  <c r="E740" i="123"/>
  <c r="F740" i="123" s="1"/>
  <c r="E739" i="123"/>
  <c r="F739" i="123" s="1"/>
  <c r="E738" i="123"/>
  <c r="F738" i="123" s="1"/>
  <c r="E736" i="123"/>
  <c r="F736" i="123" s="1"/>
  <c r="E733" i="123"/>
  <c r="F733" i="123" s="1"/>
  <c r="E732" i="123"/>
  <c r="F732" i="123" s="1"/>
  <c r="E731" i="123"/>
  <c r="F731" i="123" s="1"/>
  <c r="E729" i="123"/>
  <c r="F729" i="123" s="1"/>
  <c r="E726" i="123"/>
  <c r="F726" i="123" s="1"/>
  <c r="E725" i="123"/>
  <c r="F725" i="123" s="1"/>
  <c r="E724" i="123"/>
  <c r="F724" i="123" s="1"/>
  <c r="E722" i="123"/>
  <c r="F722" i="123" s="1"/>
  <c r="E719" i="123"/>
  <c r="F719" i="123" s="1"/>
  <c r="E718" i="123"/>
  <c r="F718" i="123" s="1"/>
  <c r="E717" i="123"/>
  <c r="F717" i="123" s="1"/>
  <c r="E715" i="123"/>
  <c r="F715" i="123" s="1"/>
  <c r="E712" i="123"/>
  <c r="F712" i="123" s="1"/>
  <c r="E711" i="123"/>
  <c r="F711" i="123" s="1"/>
  <c r="E710" i="123"/>
  <c r="F710" i="123" s="1"/>
  <c r="E708" i="123"/>
  <c r="F708" i="123" s="1"/>
  <c r="E705" i="123"/>
  <c r="F705" i="123" s="1"/>
  <c r="E704" i="123"/>
  <c r="F704" i="123" s="1"/>
  <c r="E703" i="123"/>
  <c r="F703" i="123" s="1"/>
  <c r="E701" i="123"/>
  <c r="F701" i="123" s="1"/>
  <c r="E698" i="123"/>
  <c r="F698" i="123" s="1"/>
  <c r="E697" i="123"/>
  <c r="F697" i="123" s="1"/>
  <c r="E696" i="123"/>
  <c r="F696" i="123" s="1"/>
  <c r="E694" i="123"/>
  <c r="F694" i="123" s="1"/>
  <c r="E691" i="123"/>
  <c r="F691" i="123" s="1"/>
  <c r="E690" i="123"/>
  <c r="F690" i="123" s="1"/>
  <c r="E689" i="123"/>
  <c r="F689" i="123" s="1"/>
  <c r="E687" i="123"/>
  <c r="F687" i="123" s="1"/>
  <c r="E684" i="123"/>
  <c r="F684" i="123" s="1"/>
  <c r="E683" i="123"/>
  <c r="F683" i="123" s="1"/>
  <c r="E682" i="123"/>
  <c r="F682" i="123" s="1"/>
  <c r="E680" i="123"/>
  <c r="F680" i="123" s="1"/>
  <c r="E677" i="123"/>
  <c r="F677" i="123" s="1"/>
  <c r="E676" i="123"/>
  <c r="F676" i="123" s="1"/>
  <c r="E675" i="123"/>
  <c r="F675" i="123" s="1"/>
  <c r="E673" i="123"/>
  <c r="F673" i="123" s="1"/>
  <c r="E670" i="123"/>
  <c r="F670" i="123" s="1"/>
  <c r="E669" i="123"/>
  <c r="F669" i="123" s="1"/>
  <c r="E668" i="123"/>
  <c r="F668" i="123" s="1"/>
  <c r="E666" i="123"/>
  <c r="F666" i="123" s="1"/>
  <c r="E663" i="123"/>
  <c r="F663" i="123" s="1"/>
  <c r="E662" i="123"/>
  <c r="F662" i="123" s="1"/>
  <c r="E661" i="123"/>
  <c r="F661" i="123" s="1"/>
  <c r="E659" i="123"/>
  <c r="F659" i="123" s="1"/>
  <c r="E656" i="123"/>
  <c r="F656" i="123" s="1"/>
  <c r="E655" i="123"/>
  <c r="F655" i="123" s="1"/>
  <c r="E654" i="123"/>
  <c r="F654" i="123" s="1"/>
  <c r="E652" i="123"/>
  <c r="F652" i="123" s="1"/>
  <c r="E649" i="123"/>
  <c r="F649" i="123" s="1"/>
  <c r="E648" i="123"/>
  <c r="F648" i="123" s="1"/>
  <c r="E647" i="123"/>
  <c r="F647" i="123" s="1"/>
  <c r="E645" i="123"/>
  <c r="F645" i="123" s="1"/>
  <c r="E642" i="123"/>
  <c r="F642" i="123" s="1"/>
  <c r="E641" i="123"/>
  <c r="F641" i="123" s="1"/>
  <c r="E640" i="123"/>
  <c r="F640" i="123" s="1"/>
  <c r="E638" i="123"/>
  <c r="F638" i="123" s="1"/>
  <c r="E635" i="123"/>
  <c r="F635" i="123" s="1"/>
  <c r="E634" i="123"/>
  <c r="F634" i="123" s="1"/>
  <c r="E633" i="123"/>
  <c r="F633" i="123" s="1"/>
  <c r="E631" i="123"/>
  <c r="F631" i="123" s="1"/>
  <c r="E628" i="123"/>
  <c r="F628" i="123" s="1"/>
  <c r="E627" i="123"/>
  <c r="F627" i="123" s="1"/>
  <c r="E626" i="123"/>
  <c r="F626" i="123" s="1"/>
  <c r="E624" i="123"/>
  <c r="F624" i="123" s="1"/>
  <c r="E621" i="123"/>
  <c r="F621" i="123" s="1"/>
  <c r="E620" i="123"/>
  <c r="F620" i="123" s="1"/>
  <c r="E619" i="123"/>
  <c r="F619" i="123" s="1"/>
  <c r="E617" i="123"/>
  <c r="F617" i="123" s="1"/>
  <c r="E614" i="123"/>
  <c r="F614" i="123" s="1"/>
  <c r="E613" i="123"/>
  <c r="F613" i="123" s="1"/>
  <c r="E612" i="123"/>
  <c r="F612" i="123" s="1"/>
  <c r="E610" i="123"/>
  <c r="F610" i="123" s="1"/>
  <c r="E607" i="123"/>
  <c r="F607" i="123" s="1"/>
  <c r="E606" i="123"/>
  <c r="F606" i="123" s="1"/>
  <c r="E605" i="123"/>
  <c r="F605" i="123" s="1"/>
  <c r="E603" i="123"/>
  <c r="F603" i="123" s="1"/>
  <c r="E600" i="123"/>
  <c r="F600" i="123" s="1"/>
  <c r="E599" i="123"/>
  <c r="F599" i="123" s="1"/>
  <c r="E598" i="123"/>
  <c r="F598" i="123" s="1"/>
  <c r="E596" i="123"/>
  <c r="F596" i="123" s="1"/>
  <c r="E593" i="123"/>
  <c r="F593" i="123" s="1"/>
  <c r="E592" i="123"/>
  <c r="F592" i="123" s="1"/>
  <c r="E591" i="123"/>
  <c r="F591" i="123" s="1"/>
  <c r="E589" i="123"/>
  <c r="F589" i="123" s="1"/>
  <c r="E586" i="123"/>
  <c r="F586" i="123" s="1"/>
  <c r="E585" i="123"/>
  <c r="F585" i="123" s="1"/>
  <c r="E584" i="123"/>
  <c r="F584" i="123" s="1"/>
  <c r="E582" i="123"/>
  <c r="F582" i="123" s="1"/>
  <c r="E579" i="123"/>
  <c r="F579" i="123" s="1"/>
  <c r="E578" i="123"/>
  <c r="F578" i="123" s="1"/>
  <c r="E577" i="123"/>
  <c r="F577" i="123" s="1"/>
  <c r="E575" i="123"/>
  <c r="F575" i="123" s="1"/>
  <c r="E572" i="123"/>
  <c r="F572" i="123" s="1"/>
  <c r="E571" i="123"/>
  <c r="F571" i="123" s="1"/>
  <c r="E570" i="123"/>
  <c r="F570" i="123" s="1"/>
  <c r="E568" i="123"/>
  <c r="F568" i="123" s="1"/>
  <c r="E565" i="123"/>
  <c r="F565" i="123" s="1"/>
  <c r="E564" i="123"/>
  <c r="F564" i="123" s="1"/>
  <c r="E563" i="123"/>
  <c r="F563" i="123" s="1"/>
  <c r="E561" i="123"/>
  <c r="F561" i="123" s="1"/>
  <c r="E558" i="123"/>
  <c r="F558" i="123" s="1"/>
  <c r="E557" i="123"/>
  <c r="F557" i="123" s="1"/>
  <c r="E556" i="123"/>
  <c r="F556" i="123" s="1"/>
  <c r="E554" i="123"/>
  <c r="F554" i="123" s="1"/>
  <c r="E551" i="123"/>
  <c r="F551" i="123" s="1"/>
  <c r="E550" i="123"/>
  <c r="F550" i="123" s="1"/>
  <c r="E549" i="123"/>
  <c r="F549" i="123" s="1"/>
  <c r="E547" i="123"/>
  <c r="F547" i="123" s="1"/>
  <c r="E544" i="123"/>
  <c r="F544" i="123" s="1"/>
  <c r="E543" i="123"/>
  <c r="F543" i="123" s="1"/>
  <c r="E542" i="123"/>
  <c r="F542" i="123" s="1"/>
  <c r="E540" i="123"/>
  <c r="F540" i="123" s="1"/>
  <c r="E537" i="123"/>
  <c r="F537" i="123" s="1"/>
  <c r="E536" i="123"/>
  <c r="F536" i="123" s="1"/>
  <c r="E535" i="123"/>
  <c r="F535" i="123" s="1"/>
  <c r="E533" i="123"/>
  <c r="F533" i="123" s="1"/>
  <c r="E530" i="123"/>
  <c r="F530" i="123" s="1"/>
  <c r="E529" i="123"/>
  <c r="F529" i="123" s="1"/>
  <c r="E528" i="123"/>
  <c r="F528" i="123" s="1"/>
  <c r="E526" i="123"/>
  <c r="F526" i="123" s="1"/>
  <c r="E523" i="123"/>
  <c r="F523" i="123" s="1"/>
  <c r="E522" i="123"/>
  <c r="F522" i="123" s="1"/>
  <c r="E521" i="123"/>
  <c r="F521" i="123" s="1"/>
  <c r="E519" i="123"/>
  <c r="F519" i="123" s="1"/>
  <c r="E516" i="123"/>
  <c r="F516" i="123" s="1"/>
  <c r="E515" i="123"/>
  <c r="F515" i="123" s="1"/>
  <c r="E514" i="123"/>
  <c r="F514" i="123" s="1"/>
  <c r="E512" i="123"/>
  <c r="F512" i="123" s="1"/>
  <c r="E509" i="123"/>
  <c r="F509" i="123" s="1"/>
  <c r="E508" i="123"/>
  <c r="F508" i="123" s="1"/>
  <c r="E507" i="123"/>
  <c r="F507" i="123" s="1"/>
  <c r="E505" i="123"/>
  <c r="F505" i="123" s="1"/>
  <c r="E502" i="123"/>
  <c r="F502" i="123" s="1"/>
  <c r="E501" i="123"/>
  <c r="F501" i="123" s="1"/>
  <c r="E500" i="123"/>
  <c r="F500" i="123" s="1"/>
  <c r="E498" i="123"/>
  <c r="F498" i="123" s="1"/>
  <c r="E495" i="123"/>
  <c r="F495" i="123" s="1"/>
  <c r="E494" i="123"/>
  <c r="F494" i="123" s="1"/>
  <c r="E493" i="123"/>
  <c r="F493" i="123" s="1"/>
  <c r="E491" i="123"/>
  <c r="F491" i="123" s="1"/>
  <c r="E488" i="123"/>
  <c r="F488" i="123" s="1"/>
  <c r="E487" i="123"/>
  <c r="F487" i="123" s="1"/>
  <c r="E486" i="123"/>
  <c r="F486" i="123" s="1"/>
  <c r="E484" i="123"/>
  <c r="F484" i="123" s="1"/>
  <c r="E481" i="123"/>
  <c r="F481" i="123" s="1"/>
  <c r="E480" i="123"/>
  <c r="F480" i="123" s="1"/>
  <c r="E479" i="123"/>
  <c r="F479" i="123" s="1"/>
  <c r="E477" i="123"/>
  <c r="F477" i="123" s="1"/>
  <c r="E474" i="123"/>
  <c r="F474" i="123" s="1"/>
  <c r="E473" i="123"/>
  <c r="F473" i="123" s="1"/>
  <c r="E472" i="123"/>
  <c r="F472" i="123" s="1"/>
  <c r="E470" i="123"/>
  <c r="F470" i="123" s="1"/>
  <c r="E467" i="123"/>
  <c r="F467" i="123" s="1"/>
  <c r="E466" i="123"/>
  <c r="F466" i="123" s="1"/>
  <c r="E465" i="123"/>
  <c r="F465" i="123" s="1"/>
  <c r="E463" i="123"/>
  <c r="F463" i="123" s="1"/>
  <c r="E460" i="123"/>
  <c r="F460" i="123" s="1"/>
  <c r="E459" i="123"/>
  <c r="F459" i="123" s="1"/>
  <c r="E458" i="123"/>
  <c r="F458" i="123" s="1"/>
  <c r="E456" i="123"/>
  <c r="F456" i="123" s="1"/>
  <c r="E453" i="123"/>
  <c r="F453" i="123" s="1"/>
  <c r="E452" i="123"/>
  <c r="F452" i="123" s="1"/>
  <c r="E451" i="123"/>
  <c r="F451" i="123" s="1"/>
  <c r="E449" i="123"/>
  <c r="F449" i="123" s="1"/>
  <c r="E446" i="123"/>
  <c r="F446" i="123" s="1"/>
  <c r="E445" i="123"/>
  <c r="F445" i="123" s="1"/>
  <c r="E444" i="123"/>
  <c r="F444" i="123" s="1"/>
  <c r="E442" i="123"/>
  <c r="F442" i="123" s="1"/>
  <c r="E439" i="123"/>
  <c r="F439" i="123" s="1"/>
  <c r="E438" i="123"/>
  <c r="F438" i="123" s="1"/>
  <c r="E437" i="123"/>
  <c r="F437" i="123" s="1"/>
  <c r="E435" i="123"/>
  <c r="F435" i="123" s="1"/>
  <c r="E432" i="123"/>
  <c r="F432" i="123" s="1"/>
  <c r="E431" i="123"/>
  <c r="F431" i="123" s="1"/>
  <c r="E430" i="123"/>
  <c r="F430" i="123" s="1"/>
  <c r="E428" i="123"/>
  <c r="F428" i="123" s="1"/>
  <c r="E425" i="123"/>
  <c r="F425" i="123" s="1"/>
  <c r="E424" i="123"/>
  <c r="F424" i="123" s="1"/>
  <c r="E423" i="123"/>
  <c r="F423" i="123" s="1"/>
  <c r="E421" i="123"/>
  <c r="F421" i="123" s="1"/>
  <c r="E418" i="123"/>
  <c r="F418" i="123" s="1"/>
  <c r="E417" i="123"/>
  <c r="F417" i="123" s="1"/>
  <c r="E416" i="123"/>
  <c r="F416" i="123" s="1"/>
  <c r="E414" i="123"/>
  <c r="F414" i="123" s="1"/>
  <c r="E411" i="123"/>
  <c r="F411" i="123" s="1"/>
  <c r="E410" i="123"/>
  <c r="F410" i="123" s="1"/>
  <c r="E409" i="123"/>
  <c r="F409" i="123" s="1"/>
  <c r="E407" i="123"/>
  <c r="F407" i="123" s="1"/>
  <c r="E404" i="123"/>
  <c r="F404" i="123" s="1"/>
  <c r="E403" i="123"/>
  <c r="F403" i="123" s="1"/>
  <c r="E402" i="123"/>
  <c r="F402" i="123" s="1"/>
  <c r="E400" i="123"/>
  <c r="F400" i="123" s="1"/>
  <c r="E397" i="123"/>
  <c r="F397" i="123" s="1"/>
  <c r="E396" i="123"/>
  <c r="F396" i="123" s="1"/>
  <c r="E395" i="123"/>
  <c r="F395" i="123" s="1"/>
  <c r="E393" i="123"/>
  <c r="F393" i="123" s="1"/>
  <c r="E390" i="123"/>
  <c r="F390" i="123" s="1"/>
  <c r="E389" i="123"/>
  <c r="F389" i="123" s="1"/>
  <c r="E388" i="123"/>
  <c r="F388" i="123" s="1"/>
  <c r="E386" i="123"/>
  <c r="F386" i="123" s="1"/>
  <c r="E383" i="123"/>
  <c r="F383" i="123" s="1"/>
  <c r="E382" i="123"/>
  <c r="F382" i="123" s="1"/>
  <c r="E381" i="123"/>
  <c r="F381" i="123" s="1"/>
  <c r="E379" i="123"/>
  <c r="F379" i="123" s="1"/>
  <c r="E376" i="123"/>
  <c r="F376" i="123" s="1"/>
  <c r="E375" i="123"/>
  <c r="F375" i="123" s="1"/>
  <c r="E374" i="123"/>
  <c r="F374" i="123" s="1"/>
  <c r="E372" i="123"/>
  <c r="F372" i="123" s="1"/>
  <c r="E369" i="123"/>
  <c r="F369" i="123" s="1"/>
  <c r="E368" i="123"/>
  <c r="F368" i="123" s="1"/>
  <c r="E367" i="123"/>
  <c r="F367" i="123" s="1"/>
  <c r="E365" i="123"/>
  <c r="F365" i="123" s="1"/>
  <c r="E362" i="123"/>
  <c r="F362" i="123" s="1"/>
  <c r="E361" i="123"/>
  <c r="F361" i="123" s="1"/>
  <c r="E360" i="123"/>
  <c r="F360" i="123" s="1"/>
  <c r="E358" i="123"/>
  <c r="F358" i="123" s="1"/>
  <c r="E355" i="123"/>
  <c r="F355" i="123" s="1"/>
  <c r="E354" i="123"/>
  <c r="F354" i="123" s="1"/>
  <c r="E353" i="123"/>
  <c r="F353" i="123" s="1"/>
  <c r="E351" i="123"/>
  <c r="F351" i="123" s="1"/>
  <c r="E348" i="123"/>
  <c r="F348" i="123" s="1"/>
  <c r="E347" i="123"/>
  <c r="F347" i="123" s="1"/>
  <c r="E346" i="123"/>
  <c r="F346" i="123" s="1"/>
  <c r="E344" i="123"/>
  <c r="F344" i="123" s="1"/>
  <c r="E341" i="123"/>
  <c r="F341" i="123" s="1"/>
  <c r="E340" i="123"/>
  <c r="F340" i="123" s="1"/>
  <c r="E339" i="123"/>
  <c r="F339" i="123" s="1"/>
  <c r="E337" i="123"/>
  <c r="F337" i="123" s="1"/>
  <c r="E334" i="123"/>
  <c r="F334" i="123" s="1"/>
  <c r="E333" i="123"/>
  <c r="F333" i="123" s="1"/>
  <c r="E332" i="123"/>
  <c r="F332" i="123" s="1"/>
  <c r="E330" i="123"/>
  <c r="F330" i="123" s="1"/>
  <c r="E327" i="123"/>
  <c r="F327" i="123" s="1"/>
  <c r="E326" i="123"/>
  <c r="F326" i="123" s="1"/>
  <c r="E325" i="123"/>
  <c r="F325" i="123" s="1"/>
  <c r="E323" i="123"/>
  <c r="F323" i="123" s="1"/>
  <c r="E320" i="123"/>
  <c r="F320" i="123" s="1"/>
  <c r="E319" i="123"/>
  <c r="F319" i="123" s="1"/>
  <c r="E318" i="123"/>
  <c r="F318" i="123" s="1"/>
  <c r="E316" i="123"/>
  <c r="F316" i="123" s="1"/>
  <c r="E313" i="123"/>
  <c r="F313" i="123" s="1"/>
  <c r="E312" i="123"/>
  <c r="F312" i="123" s="1"/>
  <c r="E311" i="123"/>
  <c r="F311" i="123" s="1"/>
  <c r="E309" i="123"/>
  <c r="F309" i="123" s="1"/>
  <c r="E306" i="123"/>
  <c r="F306" i="123" s="1"/>
  <c r="E305" i="123"/>
  <c r="F305" i="123" s="1"/>
  <c r="E304" i="123"/>
  <c r="F304" i="123" s="1"/>
  <c r="E302" i="123"/>
  <c r="F302" i="123" s="1"/>
  <c r="E299" i="123"/>
  <c r="F299" i="123" s="1"/>
  <c r="E298" i="123"/>
  <c r="F298" i="123" s="1"/>
  <c r="E297" i="123"/>
  <c r="F297" i="123" s="1"/>
  <c r="E290" i="123"/>
  <c r="F290" i="123" s="1"/>
  <c r="E289" i="123"/>
  <c r="F289" i="123" s="1"/>
  <c r="E288" i="123"/>
  <c r="F288" i="123" s="1"/>
  <c r="E287" i="123"/>
  <c r="F287" i="123" s="1"/>
  <c r="E286" i="123"/>
  <c r="F286" i="123" s="1"/>
  <c r="E285" i="123"/>
  <c r="F285" i="123" s="1"/>
  <c r="E284" i="123"/>
  <c r="F284" i="123" s="1"/>
  <c r="E283" i="123"/>
  <c r="F283" i="123" s="1"/>
  <c r="E282" i="123"/>
  <c r="F282" i="123" s="1"/>
  <c r="E281" i="123"/>
  <c r="F281" i="123" s="1"/>
  <c r="E280" i="123"/>
  <c r="F280" i="123" s="1"/>
  <c r="E279" i="123"/>
  <c r="F279" i="123" s="1"/>
  <c r="E277" i="123"/>
  <c r="F277" i="123" s="1"/>
  <c r="E274" i="123"/>
  <c r="F274" i="123" s="1"/>
  <c r="E273" i="123"/>
  <c r="F273" i="123" s="1"/>
  <c r="E272" i="123"/>
  <c r="F272" i="123" s="1"/>
  <c r="E271" i="123"/>
  <c r="F271" i="123" s="1"/>
  <c r="E270" i="123"/>
  <c r="F270" i="123" s="1"/>
  <c r="E267" i="123"/>
  <c r="F267" i="123" s="1"/>
  <c r="E266" i="123"/>
  <c r="F266" i="123" s="1"/>
  <c r="E265" i="123"/>
  <c r="F265" i="123" s="1"/>
  <c r="E262" i="123"/>
  <c r="F262" i="123" s="1"/>
  <c r="E261" i="123"/>
  <c r="F261" i="123" s="1"/>
  <c r="E258" i="123"/>
  <c r="F258" i="123" s="1"/>
  <c r="E257" i="123"/>
  <c r="F257" i="123" s="1"/>
  <c r="E256" i="123"/>
  <c r="F256" i="123" s="1"/>
  <c r="E253" i="123"/>
  <c r="F253" i="123" s="1"/>
  <c r="E252" i="123"/>
  <c r="F252" i="123" s="1"/>
  <c r="E249" i="123"/>
  <c r="F249" i="123" s="1"/>
  <c r="E248" i="123"/>
  <c r="F248" i="123" s="1"/>
  <c r="E247" i="123"/>
  <c r="F247" i="123" s="1"/>
  <c r="E244" i="123"/>
  <c r="F244" i="123" s="1"/>
  <c r="E243" i="123"/>
  <c r="F243" i="123" s="1"/>
  <c r="E240" i="123"/>
  <c r="F240" i="123" s="1"/>
  <c r="E239" i="123"/>
  <c r="F239" i="123" s="1"/>
  <c r="E238" i="123"/>
  <c r="F238" i="123" s="1"/>
  <c r="E235" i="123"/>
  <c r="F235" i="123" s="1"/>
  <c r="E234" i="123"/>
  <c r="F234" i="123" s="1"/>
  <c r="E231" i="123"/>
  <c r="F231" i="123" s="1"/>
  <c r="E230" i="123"/>
  <c r="F230" i="123" s="1"/>
  <c r="E229" i="123"/>
  <c r="F229" i="123" s="1"/>
  <c r="E226" i="123"/>
  <c r="F226" i="123" s="1"/>
  <c r="E225" i="123"/>
  <c r="F225" i="123" s="1"/>
  <c r="E224" i="123"/>
  <c r="F224" i="123" s="1"/>
  <c r="E221" i="123"/>
  <c r="F221" i="123" s="1"/>
  <c r="E220" i="123"/>
  <c r="F220" i="123" s="1"/>
  <c r="E217" i="123"/>
  <c r="F217" i="123" s="1"/>
  <c r="E216" i="123"/>
  <c r="F216" i="123" s="1"/>
  <c r="E213" i="123"/>
  <c r="F213" i="123" s="1"/>
  <c r="E212" i="123"/>
  <c r="F212" i="123" s="1"/>
  <c r="E211" i="123"/>
  <c r="F211" i="123" s="1"/>
  <c r="E210" i="123"/>
  <c r="F210" i="123" s="1"/>
  <c r="E206" i="123"/>
  <c r="F206" i="123" s="1"/>
  <c r="E205" i="123"/>
  <c r="F205" i="123" s="1"/>
  <c r="E201" i="123"/>
  <c r="F201" i="123" s="1"/>
  <c r="E200" i="123"/>
  <c r="F200" i="123" s="1"/>
  <c r="E196" i="123"/>
  <c r="F196" i="123" s="1"/>
  <c r="E195" i="123"/>
  <c r="F195" i="123" s="1"/>
  <c r="E191" i="123"/>
  <c r="F191" i="123" s="1"/>
  <c r="E190" i="123"/>
  <c r="F190" i="123" s="1"/>
  <c r="E186" i="123"/>
  <c r="F186" i="123" s="1"/>
  <c r="E185" i="123"/>
  <c r="F185" i="123" s="1"/>
  <c r="E184" i="123"/>
  <c r="F184" i="123" s="1"/>
  <c r="E183" i="123"/>
  <c r="F183" i="123" s="1"/>
  <c r="E182" i="123"/>
  <c r="F182" i="123" s="1"/>
  <c r="E181" i="123"/>
  <c r="F181" i="123" s="1"/>
  <c r="E176" i="123"/>
  <c r="F176" i="123" s="1"/>
  <c r="E175" i="123"/>
  <c r="F175" i="123" s="1"/>
  <c r="E174" i="123"/>
  <c r="F174" i="123" s="1"/>
  <c r="E173" i="123"/>
  <c r="F173" i="123" s="1"/>
  <c r="E172" i="123"/>
  <c r="F172" i="123" s="1"/>
  <c r="E167" i="123"/>
  <c r="F167" i="123" s="1"/>
  <c r="E166" i="123"/>
  <c r="F166" i="123" s="1"/>
  <c r="E165" i="123"/>
  <c r="F165" i="123" s="1"/>
  <c r="E164" i="123"/>
  <c r="F164" i="123" s="1"/>
  <c r="E163" i="123"/>
  <c r="F163" i="123" s="1"/>
  <c r="E162" i="123"/>
  <c r="F162" i="123" s="1"/>
  <c r="E161" i="123"/>
  <c r="F161" i="123" s="1"/>
  <c r="E156" i="123"/>
  <c r="F156" i="123" s="1"/>
  <c r="E155" i="123"/>
  <c r="F155" i="123" s="1"/>
  <c r="E154" i="123"/>
  <c r="F154" i="123" s="1"/>
  <c r="E153" i="123"/>
  <c r="F153" i="123" s="1"/>
  <c r="E152" i="123"/>
  <c r="F152" i="123" s="1"/>
  <c r="E147" i="123"/>
  <c r="F147" i="123" s="1"/>
  <c r="E146" i="123"/>
  <c r="F146" i="123" s="1"/>
  <c r="E145" i="123"/>
  <c r="F145" i="123" s="1"/>
  <c r="E144" i="123"/>
  <c r="F144" i="123" s="1"/>
  <c r="E143" i="123"/>
  <c r="F143" i="123" s="1"/>
  <c r="E142" i="123"/>
  <c r="F142" i="123" s="1"/>
  <c r="E138" i="123"/>
  <c r="F138" i="123" s="1"/>
  <c r="E137" i="123"/>
  <c r="F137" i="123" s="1"/>
  <c r="E136" i="123"/>
  <c r="F136" i="123" s="1"/>
  <c r="E132" i="123"/>
  <c r="F132" i="123" s="1"/>
  <c r="E131" i="123"/>
  <c r="F131" i="123" s="1"/>
  <c r="E130" i="123"/>
  <c r="F130" i="123" s="1"/>
  <c r="E126" i="123"/>
  <c r="F126" i="123" s="1"/>
  <c r="E125" i="123"/>
  <c r="F125" i="123" s="1"/>
  <c r="E124" i="123"/>
  <c r="F124" i="123" s="1"/>
  <c r="E120" i="123"/>
  <c r="F120" i="123" s="1"/>
  <c r="E119" i="123"/>
  <c r="F119" i="123" s="1"/>
  <c r="E118" i="123"/>
  <c r="F118" i="123" s="1"/>
  <c r="E117" i="123"/>
  <c r="F117" i="123" s="1"/>
  <c r="E116" i="123"/>
  <c r="F116" i="123" s="1"/>
  <c r="E115" i="123"/>
  <c r="F115" i="123" s="1"/>
  <c r="E114" i="123"/>
  <c r="F114" i="123" s="1"/>
  <c r="E113" i="123"/>
  <c r="F113" i="123" s="1"/>
  <c r="E112" i="123"/>
  <c r="F112" i="123" s="1"/>
  <c r="E111" i="123"/>
  <c r="F111" i="123" s="1"/>
  <c r="E110" i="123"/>
  <c r="F110" i="123" s="1"/>
  <c r="E109" i="123"/>
  <c r="F109" i="123" s="1"/>
  <c r="E108" i="123"/>
  <c r="F108" i="123" s="1"/>
  <c r="E107" i="123"/>
  <c r="F107" i="123" s="1"/>
  <c r="E106" i="123"/>
  <c r="F106" i="123" s="1"/>
  <c r="E105" i="123"/>
  <c r="F105" i="123" s="1"/>
  <c r="E104" i="123"/>
  <c r="F104" i="123" s="1"/>
  <c r="E103" i="123"/>
  <c r="F103" i="123" s="1"/>
  <c r="E102" i="123"/>
  <c r="F102" i="123" s="1"/>
  <c r="E101" i="123"/>
  <c r="F101" i="123" s="1"/>
  <c r="E100" i="123"/>
  <c r="F100" i="123" s="1"/>
  <c r="E99" i="123"/>
  <c r="F99" i="123" s="1"/>
  <c r="E98" i="123"/>
  <c r="F98" i="123" s="1"/>
  <c r="E97" i="123"/>
  <c r="F97" i="123" s="1"/>
  <c r="E96" i="123"/>
  <c r="F96" i="123" s="1"/>
  <c r="E94" i="123"/>
  <c r="F94" i="123" s="1"/>
  <c r="E92" i="123"/>
  <c r="F92" i="123" s="1"/>
  <c r="E91" i="123"/>
  <c r="F91" i="123" s="1"/>
  <c r="E90" i="123"/>
  <c r="F90" i="123" s="1"/>
  <c r="E89" i="123"/>
  <c r="F89" i="123" s="1"/>
  <c r="E88" i="123"/>
  <c r="F88" i="123" s="1"/>
  <c r="E87" i="123"/>
  <c r="F87" i="123" s="1"/>
  <c r="E86" i="123"/>
  <c r="F86" i="123" s="1"/>
  <c r="E85" i="123"/>
  <c r="F85" i="123" s="1"/>
  <c r="E84" i="123"/>
  <c r="F84" i="123" s="1"/>
  <c r="E83" i="123"/>
  <c r="F83" i="123" s="1"/>
  <c r="E82" i="123"/>
  <c r="F82" i="123" s="1"/>
  <c r="E80" i="123"/>
  <c r="F80" i="123" s="1"/>
  <c r="E78" i="123"/>
  <c r="F78" i="123" s="1"/>
  <c r="E77" i="123"/>
  <c r="F77" i="123" s="1"/>
  <c r="E76" i="123"/>
  <c r="F76" i="123" s="1"/>
  <c r="E75" i="123"/>
  <c r="F75" i="123" s="1"/>
  <c r="E74" i="123"/>
  <c r="F74" i="123" s="1"/>
  <c r="E73" i="123"/>
  <c r="F73" i="123" s="1"/>
  <c r="E72" i="123"/>
  <c r="F72" i="123" s="1"/>
  <c r="E71" i="123"/>
  <c r="F71" i="123" s="1"/>
  <c r="E69" i="123"/>
  <c r="F69" i="123" s="1"/>
  <c r="E68" i="123"/>
  <c r="F68" i="123" s="1"/>
  <c r="E66" i="123"/>
  <c r="F66" i="123" s="1"/>
  <c r="E64" i="123"/>
  <c r="F64" i="123" s="1"/>
  <c r="E63" i="123"/>
  <c r="F63" i="123" s="1"/>
  <c r="E62" i="123"/>
  <c r="F62" i="123" s="1"/>
  <c r="E61" i="123"/>
  <c r="F61" i="123" s="1"/>
  <c r="E60" i="123"/>
  <c r="F60" i="123" s="1"/>
  <c r="E59" i="123"/>
  <c r="F59" i="123" s="1"/>
  <c r="E58" i="123"/>
  <c r="F58" i="123" s="1"/>
  <c r="E57" i="123"/>
  <c r="F57" i="123" s="1"/>
  <c r="E56" i="123"/>
  <c r="F56" i="123" s="1"/>
  <c r="E55" i="123"/>
  <c r="F55" i="123" s="1"/>
  <c r="E52" i="123"/>
  <c r="F52" i="123" s="1"/>
  <c r="E50" i="123"/>
  <c r="F50" i="123" s="1"/>
  <c r="E49" i="123"/>
  <c r="F49" i="123" s="1"/>
  <c r="E48" i="123"/>
  <c r="F48" i="123" s="1"/>
  <c r="E47" i="123"/>
  <c r="F47" i="123" s="1"/>
  <c r="E46" i="123"/>
  <c r="F46" i="123" s="1"/>
  <c r="E45" i="123"/>
  <c r="F45" i="123" s="1"/>
  <c r="E44" i="123"/>
  <c r="F44" i="123" s="1"/>
  <c r="E42" i="123"/>
  <c r="F42" i="123" s="1"/>
  <c r="E40" i="123"/>
  <c r="F40" i="123" s="1"/>
  <c r="E39" i="123"/>
  <c r="F39" i="123" s="1"/>
  <c r="E38" i="123"/>
  <c r="F38" i="123" s="1"/>
  <c r="E37" i="123"/>
  <c r="F37" i="123" s="1"/>
  <c r="E36" i="123"/>
  <c r="F36" i="123" s="1"/>
  <c r="E35" i="123"/>
  <c r="F35" i="123" s="1"/>
  <c r="E34" i="123"/>
  <c r="F34" i="123" s="1"/>
  <c r="E31" i="123"/>
  <c r="F31" i="123" s="1"/>
  <c r="E29" i="123"/>
  <c r="F29" i="123" s="1"/>
  <c r="E28" i="123"/>
  <c r="F28" i="123" s="1"/>
  <c r="E27" i="123"/>
  <c r="F27" i="123" s="1"/>
  <c r="E26" i="123"/>
  <c r="F26" i="123" s="1"/>
  <c r="E25" i="123"/>
  <c r="F25" i="123" s="1"/>
  <c r="E24" i="123"/>
  <c r="F24" i="123" s="1"/>
  <c r="E21" i="123"/>
  <c r="F21" i="123" s="1"/>
  <c r="E20" i="123"/>
  <c r="F20" i="123" s="1"/>
  <c r="E19" i="123"/>
  <c r="F19" i="123" s="1"/>
  <c r="E18" i="123"/>
  <c r="F18" i="123" s="1"/>
  <c r="E17" i="123"/>
  <c r="F17" i="123" s="1"/>
  <c r="E16" i="123"/>
  <c r="F16" i="123" s="1"/>
  <c r="E15" i="123"/>
  <c r="F15" i="123" s="1"/>
  <c r="E13" i="123"/>
  <c r="F13" i="123" s="1"/>
  <c r="E8" i="123"/>
  <c r="F8" i="123" s="1"/>
  <c r="E7" i="123"/>
  <c r="F7" i="123" s="1"/>
  <c r="E5" i="123"/>
  <c r="F5" i="123" s="1"/>
  <c r="B95" i="123"/>
  <c r="B93" i="123"/>
  <c r="B81" i="123"/>
  <c r="B79" i="123"/>
  <c r="B67" i="123"/>
  <c r="B65" i="123"/>
  <c r="B53" i="123"/>
  <c r="B51" i="123"/>
  <c r="B43" i="123"/>
  <c r="B41" i="123"/>
  <c r="B33" i="123"/>
  <c r="B32" i="123"/>
  <c r="B30" i="123"/>
  <c r="FW308" i="112" l="1"/>
  <c r="HB308" i="112" s="1"/>
  <c r="HR308" i="112" s="1"/>
  <c r="B383" i="127" s="1"/>
  <c r="C383" i="127" s="1"/>
  <c r="FW309" i="112"/>
  <c r="HB309" i="112" s="1"/>
  <c r="FW310" i="112"/>
  <c r="HB310" i="112" s="1"/>
  <c r="HR310" i="112" s="1"/>
  <c r="B385" i="127" s="1"/>
  <c r="C385" i="127" s="1"/>
  <c r="FW311" i="112"/>
  <c r="HB311" i="112" s="1"/>
  <c r="HR311" i="112" s="1"/>
  <c r="B386" i="127" s="1"/>
  <c r="C386" i="127" s="1"/>
  <c r="FW312" i="112"/>
  <c r="HB312" i="112" s="1"/>
  <c r="HR312" i="112" s="1"/>
  <c r="B387" i="127" s="1"/>
  <c r="C387" i="127" s="1"/>
  <c r="FW313" i="112"/>
  <c r="HB313" i="112" s="1"/>
  <c r="HR313" i="112" s="1"/>
  <c r="B388" i="127" s="1"/>
  <c r="C388" i="127" s="1"/>
  <c r="FW314" i="112"/>
  <c r="HB314" i="112" s="1"/>
  <c r="HR314" i="112" s="1"/>
  <c r="B389" i="127" s="1"/>
  <c r="C389" i="127" s="1"/>
  <c r="FW315" i="112"/>
  <c r="HB315" i="112" s="1"/>
  <c r="HR315" i="112" s="1"/>
  <c r="B390" i="127" s="1"/>
  <c r="C390" i="127" s="1"/>
  <c r="FW321" i="112"/>
  <c r="FW322" i="112"/>
  <c r="FW323" i="112"/>
  <c r="FW324" i="112"/>
  <c r="FW325" i="112"/>
  <c r="HB325" i="112" s="1"/>
  <c r="HR325" i="112" s="1"/>
  <c r="B396" i="127" s="1"/>
  <c r="C396" i="127" s="1"/>
  <c r="FW326" i="112"/>
  <c r="HB326" i="112" s="1"/>
  <c r="HR326" i="112" s="1"/>
  <c r="B397" i="127" s="1"/>
  <c r="C397" i="127" s="1"/>
  <c r="FW327" i="112"/>
  <c r="HB327" i="112" s="1"/>
  <c r="HR327" i="112" s="1"/>
  <c r="B398" i="127" s="1"/>
  <c r="C398" i="127" s="1"/>
  <c r="FW328" i="112"/>
  <c r="HB328" i="112" s="1"/>
  <c r="HR328" i="112" s="1"/>
  <c r="B399" i="127" s="1"/>
  <c r="C399" i="127" s="1"/>
  <c r="FW329" i="112"/>
  <c r="HB329" i="112" s="1"/>
  <c r="HR329" i="112" s="1"/>
  <c r="B400" i="127" s="1"/>
  <c r="C400" i="127" s="1"/>
  <c r="FW330" i="112"/>
  <c r="HB330" i="112" s="1"/>
  <c r="HR330" i="112" s="1"/>
  <c r="B401" i="127" s="1"/>
  <c r="C401" i="127" s="1"/>
  <c r="FW331" i="112"/>
  <c r="FW332" i="112"/>
  <c r="HB332" i="112" s="1"/>
  <c r="HR332" i="112" s="1"/>
  <c r="B403" i="127" s="1"/>
  <c r="C403" i="127" s="1"/>
  <c r="FW333" i="112"/>
  <c r="HB333" i="112" s="1"/>
  <c r="HR333" i="112" s="1"/>
  <c r="B404" i="127" s="1"/>
  <c r="C404" i="127" s="1"/>
  <c r="FW334" i="112"/>
  <c r="HB334" i="112" s="1"/>
  <c r="HR334" i="112" s="1"/>
  <c r="B405" i="127" s="1"/>
  <c r="C405" i="127" s="1"/>
  <c r="FW335" i="112"/>
  <c r="HB335" i="112" s="1"/>
  <c r="HR335" i="112" s="1"/>
  <c r="FW336" i="112"/>
  <c r="HB336" i="112" s="1"/>
  <c r="HR336" i="112" s="1"/>
  <c r="B407" i="127" s="1"/>
  <c r="C407" i="127" s="1"/>
  <c r="FW337" i="112"/>
  <c r="HB337" i="112" s="1"/>
  <c r="HR337" i="112" s="1"/>
  <c r="B408" i="127" s="1"/>
  <c r="C408" i="127" s="1"/>
  <c r="FW338" i="112"/>
  <c r="HB338" i="112" s="1"/>
  <c r="HR338" i="112" s="1"/>
  <c r="B409" i="127" s="1"/>
  <c r="C409" i="127" s="1"/>
  <c r="FW339" i="112"/>
  <c r="HB339" i="112" s="1"/>
  <c r="HR339" i="112" s="1"/>
  <c r="B410" i="127" s="1"/>
  <c r="C410" i="127" s="1"/>
  <c r="FW340" i="112"/>
  <c r="FW341" i="112"/>
  <c r="HB341" i="112" s="1"/>
  <c r="HR341" i="112" s="1"/>
  <c r="B412" i="127" s="1"/>
  <c r="C412" i="127" s="1"/>
  <c r="FW342" i="112"/>
  <c r="FW348" i="112"/>
  <c r="FW349" i="112"/>
  <c r="FW350" i="112"/>
  <c r="FW351" i="112"/>
  <c r="FW352" i="112"/>
  <c r="HB352" i="112" s="1"/>
  <c r="HR352" i="112" s="1"/>
  <c r="B419" i="127" s="1"/>
  <c r="C419" i="127" s="1"/>
  <c r="FW353" i="112"/>
  <c r="HB353" i="112" s="1"/>
  <c r="HR353" i="112" s="1"/>
  <c r="B420" i="127" s="1"/>
  <c r="C420" i="127" s="1"/>
  <c r="FW354" i="112"/>
  <c r="FW355" i="112"/>
  <c r="FW356" i="112"/>
  <c r="FW357" i="112"/>
  <c r="FW358" i="112"/>
  <c r="FW359" i="112"/>
  <c r="FW360" i="112"/>
  <c r="HB360" i="112" s="1"/>
  <c r="HR360" i="112" s="1"/>
  <c r="B427" i="127" s="1"/>
  <c r="C427" i="127" s="1"/>
  <c r="FW366" i="112"/>
  <c r="FW367" i="112"/>
  <c r="FW368" i="112"/>
  <c r="FW369" i="112"/>
  <c r="FW370" i="112"/>
  <c r="HB370" i="112" s="1"/>
  <c r="FW371" i="112"/>
  <c r="FW372" i="112"/>
  <c r="FW373" i="112"/>
  <c r="FW374" i="112"/>
  <c r="HB374" i="112" s="1"/>
  <c r="HR374" i="112" s="1"/>
  <c r="B437" i="127" s="1"/>
  <c r="C437" i="127" s="1"/>
  <c r="FW375" i="112"/>
  <c r="HB375" i="112" s="1"/>
  <c r="HR375" i="112" s="1"/>
  <c r="B438" i="127" s="1"/>
  <c r="C438" i="127" s="1"/>
  <c r="FW376" i="112"/>
  <c r="HB376" i="112" s="1"/>
  <c r="HR376" i="112" s="1"/>
  <c r="B439" i="127" s="1"/>
  <c r="C439" i="127" s="1"/>
  <c r="FW377" i="112"/>
  <c r="FW378" i="112"/>
  <c r="HB378" i="112" s="1"/>
  <c r="HR378" i="112" s="1"/>
  <c r="B441" i="127" s="1"/>
  <c r="C441" i="127" s="1"/>
  <c r="FW379" i="112"/>
  <c r="HB379" i="112" s="1"/>
  <c r="HR379" i="112" s="1"/>
  <c r="B442" i="127" s="1"/>
  <c r="C442" i="127" s="1"/>
  <c r="FW380" i="112"/>
  <c r="HB380" i="112" s="1"/>
  <c r="HR380" i="112" s="1"/>
  <c r="B443" i="127" s="1"/>
  <c r="C443" i="127" s="1"/>
  <c r="FW381" i="112"/>
  <c r="HB381" i="112" s="1"/>
  <c r="HR381" i="112" s="1"/>
  <c r="B444" i="127" s="1"/>
  <c r="C444" i="127" s="1"/>
  <c r="FW382" i="112"/>
  <c r="HB382" i="112" s="1"/>
  <c r="HR382" i="112" s="1"/>
  <c r="B445" i="127" s="1"/>
  <c r="C445" i="127" s="1"/>
  <c r="FW383" i="112"/>
  <c r="HB383" i="112" s="1"/>
  <c r="HR383" i="112" s="1"/>
  <c r="B446" i="127" s="1"/>
  <c r="C446" i="127" s="1"/>
  <c r="FW384" i="112"/>
  <c r="FW385" i="112"/>
  <c r="FW386" i="112"/>
  <c r="FW387" i="112"/>
  <c r="HB387" i="112" s="1"/>
  <c r="HR387" i="112" s="1"/>
  <c r="B450" i="127" s="1"/>
  <c r="C450" i="127" s="1"/>
  <c r="FW388" i="112"/>
  <c r="HB388" i="112" s="1"/>
  <c r="HR388" i="112" s="1"/>
  <c r="B451" i="127" s="1"/>
  <c r="C451" i="127" s="1"/>
  <c r="FW389" i="112"/>
  <c r="HB389" i="112" s="1"/>
  <c r="HR389" i="112" s="1"/>
  <c r="B452" i="127" s="1"/>
  <c r="C452" i="127" s="1"/>
  <c r="FW390" i="112"/>
  <c r="HB390" i="112" s="1"/>
  <c r="HR390" i="112" s="1"/>
  <c r="B453" i="127" s="1"/>
  <c r="C453" i="127" s="1"/>
  <c r="FW391" i="112"/>
  <c r="HB391" i="112" s="1"/>
  <c r="HR391" i="112" s="1"/>
  <c r="B454" i="127" s="1"/>
  <c r="C454" i="127" s="1"/>
  <c r="FW392" i="112"/>
  <c r="FW393" i="112"/>
  <c r="FW394" i="112"/>
  <c r="HB394" i="112" s="1"/>
  <c r="HR394" i="112" s="1"/>
  <c r="B457" i="127" s="1"/>
  <c r="C457" i="127" s="1"/>
  <c r="FW395" i="112"/>
  <c r="HB395" i="112" s="1"/>
  <c r="HR395" i="112" s="1"/>
  <c r="FW396" i="112"/>
  <c r="HB396" i="112" s="1"/>
  <c r="HR396" i="112" s="1"/>
  <c r="B459" i="127" s="1"/>
  <c r="C459" i="127" s="1"/>
  <c r="FW397" i="112"/>
  <c r="HB397" i="112" s="1"/>
  <c r="HR397" i="112" s="1"/>
  <c r="B460" i="127" s="1"/>
  <c r="C460" i="127" s="1"/>
  <c r="FW398" i="112"/>
  <c r="HB398" i="112" s="1"/>
  <c r="HR398" i="112" s="1"/>
  <c r="B461" i="127" s="1"/>
  <c r="C461" i="127" s="1"/>
  <c r="FW399" i="112"/>
  <c r="HB399" i="112" s="1"/>
  <c r="HR399" i="112" s="1"/>
  <c r="B462" i="127" s="1"/>
  <c r="C462" i="127" s="1"/>
  <c r="FW400" i="112"/>
  <c r="HB400" i="112" s="1"/>
  <c r="HR400" i="112" s="1"/>
  <c r="FW401" i="112"/>
  <c r="HB401" i="112" s="1"/>
  <c r="HR401" i="112" s="1"/>
  <c r="FW402" i="112"/>
  <c r="HB402" i="112" s="1"/>
  <c r="HR402" i="112" s="1"/>
  <c r="FW403" i="112"/>
  <c r="HB403" i="112" s="1"/>
  <c r="HR403" i="112" s="1"/>
  <c r="B466" i="127" s="1"/>
  <c r="C466" i="127" s="1"/>
  <c r="FW404" i="112"/>
  <c r="HB404" i="112" s="1"/>
  <c r="HR404" i="112" s="1"/>
  <c r="B467" i="127" s="1"/>
  <c r="C467" i="127" s="1"/>
  <c r="FW405" i="112"/>
  <c r="FW406" i="112"/>
  <c r="FW407" i="112"/>
  <c r="FW408" i="112"/>
  <c r="FW409" i="112"/>
  <c r="HB409" i="112" s="1"/>
  <c r="HR409" i="112" s="1"/>
  <c r="B472" i="127" s="1"/>
  <c r="C472" i="127" s="1"/>
  <c r="FW410" i="112"/>
  <c r="HB410" i="112" s="1"/>
  <c r="HR410" i="112" s="1"/>
  <c r="B473" i="127" s="1"/>
  <c r="C473" i="127" s="1"/>
  <c r="FW411" i="112"/>
  <c r="HB411" i="112" s="1"/>
  <c r="HR411" i="112" s="1"/>
  <c r="B474" i="127" s="1"/>
  <c r="C474" i="127" s="1"/>
  <c r="FW412" i="112"/>
  <c r="HB412" i="112" s="1"/>
  <c r="HR412" i="112" s="1"/>
  <c r="B475" i="127" s="1"/>
  <c r="C475" i="127" s="1"/>
  <c r="FW413" i="112"/>
  <c r="HB413" i="112" s="1"/>
  <c r="HR413" i="112" s="1"/>
  <c r="FW414" i="112"/>
  <c r="HB414" i="112" s="1"/>
  <c r="HR414" i="112" s="1"/>
  <c r="B477" i="127" s="1"/>
  <c r="C477" i="127" s="1"/>
  <c r="FW415" i="112"/>
  <c r="HB415" i="112" s="1"/>
  <c r="HR415" i="112" s="1"/>
  <c r="B478" i="127" s="1"/>
  <c r="C478" i="127" s="1"/>
  <c r="FW416" i="112"/>
  <c r="HB416" i="112" s="1"/>
  <c r="HR416" i="112" s="1"/>
  <c r="B479" i="127" s="1"/>
  <c r="C479" i="127" s="1"/>
  <c r="FW422" i="112"/>
  <c r="FW423" i="112"/>
  <c r="FW424" i="112"/>
  <c r="FW425" i="112"/>
  <c r="FW426" i="112"/>
  <c r="HB426" i="112" s="1"/>
  <c r="HR426" i="112" s="1"/>
  <c r="B485" i="127" s="1"/>
  <c r="C485" i="127" s="1"/>
  <c r="FW427" i="112"/>
  <c r="HB427" i="112" s="1"/>
  <c r="HR427" i="112" s="1"/>
  <c r="B486" i="127" s="1"/>
  <c r="C486" i="127" s="1"/>
  <c r="FW428" i="112"/>
  <c r="HB428" i="112" s="1"/>
  <c r="HR428" i="112" s="1"/>
  <c r="B487" i="127" s="1"/>
  <c r="C487" i="127" s="1"/>
  <c r="FW429" i="112"/>
  <c r="HB429" i="112" s="1"/>
  <c r="HR429" i="112" s="1"/>
  <c r="B488" i="127" s="1"/>
  <c r="C488" i="127" s="1"/>
  <c r="FW430" i="112"/>
  <c r="HB430" i="112" s="1"/>
  <c r="HR430" i="112" s="1"/>
  <c r="B489" i="127" s="1"/>
  <c r="C489" i="127" s="1"/>
  <c r="FW431" i="112"/>
  <c r="HB431" i="112" s="1"/>
  <c r="HR431" i="112" s="1"/>
  <c r="B490" i="127" s="1"/>
  <c r="C490" i="127" s="1"/>
  <c r="FW432" i="112"/>
  <c r="HB432" i="112" s="1"/>
  <c r="HR432" i="112" s="1"/>
  <c r="B491" i="127" s="1"/>
  <c r="C491" i="127" s="1"/>
  <c r="FW433" i="112"/>
  <c r="HB433" i="112" s="1"/>
  <c r="HR433" i="112" s="1"/>
  <c r="B492" i="127" s="1"/>
  <c r="C492" i="127" s="1"/>
  <c r="FW434" i="112"/>
  <c r="HB434" i="112" s="1"/>
  <c r="HR434" i="112" s="1"/>
  <c r="B493" i="127" s="1"/>
  <c r="C493" i="127" s="1"/>
  <c r="FW435" i="112"/>
  <c r="HB435" i="112" s="1"/>
  <c r="HR435" i="112" s="1"/>
  <c r="B494" i="127" s="1"/>
  <c r="C494" i="127" s="1"/>
  <c r="FW436" i="112"/>
  <c r="HB436" i="112" s="1"/>
  <c r="HR436" i="112" s="1"/>
  <c r="B495" i="127" s="1"/>
  <c r="C495" i="127" s="1"/>
  <c r="FW437" i="112"/>
  <c r="HB437" i="112" s="1"/>
  <c r="HR437" i="112" s="1"/>
  <c r="B496" i="127" s="1"/>
  <c r="C496" i="127" s="1"/>
  <c r="FW438" i="112"/>
  <c r="HB438" i="112" s="1"/>
  <c r="HR438" i="112" s="1"/>
  <c r="B497" i="127" s="1"/>
  <c r="C497" i="127" s="1"/>
  <c r="FW439" i="112"/>
  <c r="HB439" i="112" s="1"/>
  <c r="HR439" i="112" s="1"/>
  <c r="B498" i="127" s="1"/>
  <c r="C498" i="127" s="1"/>
  <c r="FW440" i="112"/>
  <c r="HB440" i="112" s="1"/>
  <c r="HR440" i="112" s="1"/>
  <c r="B499" i="127" s="1"/>
  <c r="C499" i="127" s="1"/>
  <c r="FW441" i="112"/>
  <c r="HB441" i="112" s="1"/>
  <c r="HR441" i="112" s="1"/>
  <c r="B500" i="127" s="1"/>
  <c r="C500" i="127" s="1"/>
  <c r="FW442" i="112"/>
  <c r="HB442" i="112" s="1"/>
  <c r="HR442" i="112" s="1"/>
  <c r="B501" i="127" s="1"/>
  <c r="C501" i="127" s="1"/>
  <c r="FW443" i="112"/>
  <c r="HB443" i="112" s="1"/>
  <c r="HR443" i="112" s="1"/>
  <c r="B502" i="127" s="1"/>
  <c r="C502" i="127" s="1"/>
  <c r="FW444" i="112"/>
  <c r="HB444" i="112" s="1"/>
  <c r="HR444" i="112" s="1"/>
  <c r="B503" i="127" s="1"/>
  <c r="C503" i="127" s="1"/>
  <c r="FW445" i="112"/>
  <c r="HB445" i="112" s="1"/>
  <c r="HR445" i="112" s="1"/>
  <c r="B504" i="127" s="1"/>
  <c r="C504" i="127" s="1"/>
  <c r="FW446" i="112"/>
  <c r="HB446" i="112" s="1"/>
  <c r="HR446" i="112" s="1"/>
  <c r="B505" i="127" s="1"/>
  <c r="C505" i="127" s="1"/>
  <c r="FW447" i="112"/>
  <c r="HB447" i="112" s="1"/>
  <c r="HR447" i="112" s="1"/>
  <c r="B506" i="127" s="1"/>
  <c r="C506" i="127" s="1"/>
  <c r="FW448" i="112"/>
  <c r="HB448" i="112" s="1"/>
  <c r="HR448" i="112" s="1"/>
  <c r="B507" i="127" s="1"/>
  <c r="C507" i="127" s="1"/>
  <c r="FW449" i="112"/>
  <c r="HB449" i="112" s="1"/>
  <c r="HR449" i="112" s="1"/>
  <c r="B508" i="127" s="1"/>
  <c r="C508" i="127" s="1"/>
  <c r="FW450" i="112"/>
  <c r="HB450" i="112" s="1"/>
  <c r="HR450" i="112" s="1"/>
  <c r="B509" i="127" s="1"/>
  <c r="C509" i="127" s="1"/>
  <c r="FW451" i="112"/>
  <c r="HB451" i="112" s="1"/>
  <c r="HR451" i="112" s="1"/>
  <c r="B510" i="127" s="1"/>
  <c r="C510" i="127" s="1"/>
  <c r="FW452" i="112"/>
  <c r="HB452" i="112" s="1"/>
  <c r="HR452" i="112" s="1"/>
  <c r="FW453" i="112"/>
  <c r="HB453" i="112" s="1"/>
  <c r="HR453" i="112" s="1"/>
  <c r="FW454" i="112"/>
  <c r="HB454" i="112" s="1"/>
  <c r="HR454" i="112" s="1"/>
  <c r="B513" i="127" s="1"/>
  <c r="C513" i="127" s="1"/>
  <c r="FW455" i="112"/>
  <c r="HB455" i="112" s="1"/>
  <c r="HR455" i="112" s="1"/>
  <c r="B514" i="127" s="1"/>
  <c r="C514" i="127" s="1"/>
  <c r="FW456" i="112"/>
  <c r="HB456" i="112" s="1"/>
  <c r="HR456" i="112" s="1"/>
  <c r="B515" i="127" s="1"/>
  <c r="C515" i="127" s="1"/>
  <c r="FW457" i="112"/>
  <c r="HB457" i="112" s="1"/>
  <c r="HR457" i="112" s="1"/>
  <c r="B516" i="127" s="1"/>
  <c r="C516" i="127" s="1"/>
  <c r="FW458" i="112"/>
  <c r="HB458" i="112" s="1"/>
  <c r="HR458" i="112" s="1"/>
  <c r="B517" i="127" s="1"/>
  <c r="C517" i="127" s="1"/>
  <c r="FW459" i="112"/>
  <c r="HB459" i="112" s="1"/>
  <c r="HR459" i="112" s="1"/>
  <c r="B518" i="127" s="1"/>
  <c r="C518" i="127" s="1"/>
  <c r="FW460" i="112"/>
  <c r="HB460" i="112" s="1"/>
  <c r="HR460" i="112" s="1"/>
  <c r="B519" i="127" s="1"/>
  <c r="C519" i="127" s="1"/>
  <c r="FW461" i="112"/>
  <c r="HB461" i="112" s="1"/>
  <c r="HR461" i="112" s="1"/>
  <c r="B520" i="127" s="1"/>
  <c r="C520" i="127" s="1"/>
  <c r="FW462" i="112"/>
  <c r="HB462" i="112" s="1"/>
  <c r="HR462" i="112" s="1"/>
  <c r="B521" i="127" s="1"/>
  <c r="C521" i="127" s="1"/>
  <c r="FW463" i="112"/>
  <c r="HB463" i="112" s="1"/>
  <c r="HR463" i="112" s="1"/>
  <c r="B522" i="127" s="1"/>
  <c r="C522" i="127" s="1"/>
  <c r="FW464" i="112"/>
  <c r="HB464" i="112" s="1"/>
  <c r="HR464" i="112" s="1"/>
  <c r="B523" i="127" s="1"/>
  <c r="C523" i="127" s="1"/>
  <c r="FW465" i="112"/>
  <c r="HB465" i="112" s="1"/>
  <c r="HR465" i="112" s="1"/>
  <c r="B524" i="127" s="1"/>
  <c r="C524" i="127" s="1"/>
  <c r="FW471" i="112"/>
  <c r="FW472" i="112"/>
  <c r="FW473" i="112"/>
  <c r="FW474" i="112"/>
  <c r="FW475" i="112"/>
  <c r="HB475" i="112" s="1"/>
  <c r="HR475" i="112" s="1"/>
  <c r="B530" i="127" s="1"/>
  <c r="C530" i="127" s="1"/>
  <c r="FW476" i="112"/>
  <c r="HB476" i="112" s="1"/>
  <c r="HR476" i="112" s="1"/>
  <c r="B531" i="127" s="1"/>
  <c r="C531" i="127" s="1"/>
  <c r="FW477" i="112"/>
  <c r="HB477" i="112" s="1"/>
  <c r="HR477" i="112" s="1"/>
  <c r="B532" i="127" s="1"/>
  <c r="C532" i="127" s="1"/>
  <c r="FW478" i="112"/>
  <c r="HB478" i="112" s="1"/>
  <c r="HR478" i="112" s="1"/>
  <c r="B533" i="127" s="1"/>
  <c r="C533" i="127" s="1"/>
  <c r="FW479" i="112"/>
  <c r="HB479" i="112" s="1"/>
  <c r="HR479" i="112" s="1"/>
  <c r="B534" i="127" s="1"/>
  <c r="C534" i="127" s="1"/>
  <c r="FW480" i="112"/>
  <c r="HB480" i="112" s="1"/>
  <c r="HR480" i="112" s="1"/>
  <c r="B535" i="127" s="1"/>
  <c r="C535" i="127" s="1"/>
  <c r="FW481" i="112"/>
  <c r="HB481" i="112" s="1"/>
  <c r="HR481" i="112" s="1"/>
  <c r="B536" i="127" s="1"/>
  <c r="C536" i="127" s="1"/>
  <c r="FW482" i="112"/>
  <c r="HB482" i="112" s="1"/>
  <c r="HR482" i="112" s="1"/>
  <c r="B537" i="127" s="1"/>
  <c r="C537" i="127" s="1"/>
  <c r="FW483" i="112"/>
  <c r="HB483" i="112" s="1"/>
  <c r="HR483" i="112" s="1"/>
  <c r="B538" i="127" s="1"/>
  <c r="C538" i="127" s="1"/>
  <c r="FW489" i="112"/>
  <c r="FW490" i="112"/>
  <c r="FW491" i="112"/>
  <c r="FW492" i="112"/>
  <c r="FW493" i="112"/>
  <c r="FW494" i="112"/>
  <c r="HB494" i="112" s="1"/>
  <c r="HR494" i="112" s="1"/>
  <c r="B545" i="127" s="1"/>
  <c r="C545" i="127" s="1"/>
  <c r="FW495" i="112"/>
  <c r="HB495" i="112" s="1"/>
  <c r="HR495" i="112" s="1"/>
  <c r="B546" i="127" s="1"/>
  <c r="C546" i="127" s="1"/>
  <c r="FW496" i="112"/>
  <c r="HB496" i="112" s="1"/>
  <c r="HR496" i="112" s="1"/>
  <c r="FW497" i="112"/>
  <c r="HB497" i="112" s="1"/>
  <c r="HR497" i="112" s="1"/>
  <c r="FW498" i="112"/>
  <c r="HB498" i="112" s="1"/>
  <c r="HR498" i="112" s="1"/>
  <c r="B549" i="127" s="1"/>
  <c r="C549" i="127" s="1"/>
  <c r="FW499" i="112"/>
  <c r="HB499" i="112" s="1"/>
  <c r="HR499" i="112" s="1"/>
  <c r="B550" i="127" s="1"/>
  <c r="C550" i="127" s="1"/>
  <c r="FW500" i="112"/>
  <c r="HB500" i="112" s="1"/>
  <c r="HR500" i="112" s="1"/>
  <c r="B551" i="127" s="1"/>
  <c r="C551" i="127" s="1"/>
  <c r="FW501" i="112"/>
  <c r="HB501" i="112" s="1"/>
  <c r="HR501" i="112" s="1"/>
  <c r="B552" i="127" s="1"/>
  <c r="C552" i="127" s="1"/>
  <c r="FW502" i="112"/>
  <c r="HB502" i="112" s="1"/>
  <c r="HR502" i="112" s="1"/>
  <c r="B553" i="127" s="1"/>
  <c r="C553" i="127" s="1"/>
  <c r="FW508" i="112"/>
  <c r="FW509" i="112"/>
  <c r="FW510" i="112"/>
  <c r="FW511" i="112"/>
  <c r="FW512" i="112"/>
  <c r="O168" i="121" s="1"/>
  <c r="FW513" i="112"/>
  <c r="HD493" i="112" s="1"/>
  <c r="FW514" i="112"/>
  <c r="HE309" i="112" s="1"/>
  <c r="FW515" i="112"/>
  <c r="FW516" i="112"/>
  <c r="FW517" i="112"/>
  <c r="FW518" i="112"/>
  <c r="FW519" i="112"/>
  <c r="FW520" i="112"/>
  <c r="FW521" i="112"/>
  <c r="FW527" i="112"/>
  <c r="HR309" i="112" l="1"/>
  <c r="B384" i="127" s="1"/>
  <c r="C384" i="127" s="1"/>
  <c r="HE307" i="112"/>
  <c r="O169" i="121"/>
  <c r="HB493" i="112"/>
  <c r="O170" i="121"/>
  <c r="B465" i="127"/>
  <c r="C465" i="127" s="1"/>
  <c r="B140" i="130"/>
  <c r="C140" i="130" s="1"/>
  <c r="HB386" i="112"/>
  <c r="HR386" i="112" s="1"/>
  <c r="B449" i="127" s="1"/>
  <c r="C449" i="127" s="1"/>
  <c r="HB357" i="112"/>
  <c r="HR357" i="112" s="1"/>
  <c r="B424" i="127" s="1"/>
  <c r="C424" i="127" s="1"/>
  <c r="B547" i="127"/>
  <c r="C547" i="127" s="1"/>
  <c r="B145" i="130"/>
  <c r="C145" i="130" s="1"/>
  <c r="B464" i="127"/>
  <c r="C464" i="127" s="1"/>
  <c r="B139" i="130"/>
  <c r="C139" i="130" s="1"/>
  <c r="HB393" i="112"/>
  <c r="HR393" i="112" s="1"/>
  <c r="B456" i="127" s="1"/>
  <c r="C456" i="127" s="1"/>
  <c r="HB385" i="112"/>
  <c r="HR385" i="112" s="1"/>
  <c r="B448" i="127" s="1"/>
  <c r="C448" i="127" s="1"/>
  <c r="HB377" i="112"/>
  <c r="HR377" i="112" s="1"/>
  <c r="B440" i="127" s="1"/>
  <c r="C440" i="127" s="1"/>
  <c r="HB356" i="112"/>
  <c r="HR356" i="112" s="1"/>
  <c r="B423" i="127" s="1"/>
  <c r="C423" i="127" s="1"/>
  <c r="B133" i="130"/>
  <c r="C133" i="130" s="1"/>
  <c r="B406" i="127"/>
  <c r="C406" i="127" s="1"/>
  <c r="B143" i="130"/>
  <c r="C143" i="130" s="1"/>
  <c r="B512" i="127"/>
  <c r="C512" i="127" s="1"/>
  <c r="HB408" i="112"/>
  <c r="HR408" i="112" s="1"/>
  <c r="B471" i="127" s="1"/>
  <c r="C471" i="127" s="1"/>
  <c r="B138" i="130"/>
  <c r="C138" i="130" s="1"/>
  <c r="B463" i="127"/>
  <c r="C463" i="127" s="1"/>
  <c r="HB392" i="112"/>
  <c r="HR392" i="112" s="1"/>
  <c r="B455" i="127" s="1"/>
  <c r="C455" i="127" s="1"/>
  <c r="HB384" i="112"/>
  <c r="HR384" i="112" s="1"/>
  <c r="B447" i="127" s="1"/>
  <c r="C447" i="127" s="1"/>
  <c r="HB355" i="112"/>
  <c r="HR355" i="112" s="1"/>
  <c r="B422" i="127" s="1"/>
  <c r="C422" i="127" s="1"/>
  <c r="HB342" i="112"/>
  <c r="HR342" i="112" s="1"/>
  <c r="B413" i="127" s="1"/>
  <c r="C413" i="127" s="1"/>
  <c r="B511" i="127"/>
  <c r="C511" i="127" s="1"/>
  <c r="B142" i="130"/>
  <c r="C142" i="130" s="1"/>
  <c r="HB407" i="112"/>
  <c r="HR407" i="112" s="1"/>
  <c r="B470" i="127" s="1"/>
  <c r="C470" i="127" s="1"/>
  <c r="HB354" i="112"/>
  <c r="HR354" i="112" s="1"/>
  <c r="B421" i="127" s="1"/>
  <c r="C421" i="127" s="1"/>
  <c r="HB406" i="112"/>
  <c r="HR406" i="112" s="1"/>
  <c r="B469" i="127" s="1"/>
  <c r="C469" i="127" s="1"/>
  <c r="HB340" i="112"/>
  <c r="HR340" i="112" s="1"/>
  <c r="B411" i="127" s="1"/>
  <c r="C411" i="127" s="1"/>
  <c r="B476" i="127"/>
  <c r="C476" i="127" s="1"/>
  <c r="B141" i="130"/>
  <c r="C141" i="130" s="1"/>
  <c r="HB405" i="112"/>
  <c r="HR405" i="112" s="1"/>
  <c r="B468" i="127" s="1"/>
  <c r="C468" i="127" s="1"/>
  <c r="HB373" i="112"/>
  <c r="HR373" i="112" s="1"/>
  <c r="B436" i="127" s="1"/>
  <c r="C436" i="127" s="1"/>
  <c r="HB331" i="112"/>
  <c r="HR331" i="112" s="1"/>
  <c r="B402" i="127" s="1"/>
  <c r="C402" i="127" s="1"/>
  <c r="HB372" i="112"/>
  <c r="HR372" i="112" s="1"/>
  <c r="HB359" i="112"/>
  <c r="HR359" i="112" s="1"/>
  <c r="B426" i="127" s="1"/>
  <c r="C426" i="127" s="1"/>
  <c r="B458" i="127"/>
  <c r="C458" i="127" s="1"/>
  <c r="B137" i="130"/>
  <c r="C137" i="130" s="1"/>
  <c r="HB358" i="112"/>
  <c r="HR358" i="112" s="1"/>
  <c r="B425" i="127" s="1"/>
  <c r="C425" i="127" s="1"/>
  <c r="B146" i="130"/>
  <c r="C146" i="130" s="1"/>
  <c r="B548" i="127"/>
  <c r="C548" i="127" s="1"/>
  <c r="HC370" i="112"/>
  <c r="HR370" i="112" s="1"/>
  <c r="HC307" i="112"/>
  <c r="HR307" i="112" s="1"/>
  <c r="B382" i="127" s="1"/>
  <c r="C382" i="127" s="1"/>
  <c r="HR493" i="112"/>
  <c r="HB371" i="112"/>
  <c r="HR371" i="112" s="1"/>
  <c r="DW48" i="112"/>
  <c r="DW49" i="112"/>
  <c r="DW50" i="112"/>
  <c r="DW51" i="112"/>
  <c r="DW52" i="112"/>
  <c r="DW47" i="112"/>
  <c r="DW34" i="112"/>
  <c r="DW35" i="112"/>
  <c r="DW37" i="112"/>
  <c r="DW38" i="112"/>
  <c r="DW33" i="112"/>
  <c r="B136" i="130" l="1"/>
  <c r="C136" i="130" s="1"/>
  <c r="B435" i="127"/>
  <c r="C435" i="127" s="1"/>
  <c r="B144" i="130"/>
  <c r="C144" i="130" s="1"/>
  <c r="B544" i="127"/>
  <c r="C544" i="127" s="1"/>
  <c r="B135" i="130"/>
  <c r="C135" i="130" s="1"/>
  <c r="B434" i="127"/>
  <c r="C434" i="127" s="1"/>
  <c r="B134" i="130"/>
  <c r="C134" i="130" s="1"/>
  <c r="B433" i="127"/>
  <c r="C433" i="127" s="1"/>
  <c r="A25" i="127"/>
  <c r="B25" i="127" s="1"/>
  <c r="C25" i="127" s="1"/>
  <c r="A25" i="130"/>
  <c r="B25" i="130" s="1"/>
  <c r="C25" i="130" s="1"/>
  <c r="A24" i="127"/>
  <c r="B24" i="127" s="1"/>
  <c r="C24" i="127" s="1"/>
  <c r="A24" i="130"/>
  <c r="B24" i="130" s="1"/>
  <c r="C24" i="130" s="1"/>
  <c r="B19" i="127"/>
  <c r="C19" i="127" s="1"/>
  <c r="B19" i="130"/>
  <c r="C19" i="130" s="1"/>
  <c r="A23" i="127"/>
  <c r="B23" i="127" s="1"/>
  <c r="C23" i="127" s="1"/>
  <c r="A23" i="130"/>
  <c r="B23" i="130" s="1"/>
  <c r="C23" i="130" s="1"/>
  <c r="B17" i="127"/>
  <c r="C17" i="127" s="1"/>
  <c r="B17" i="130"/>
  <c r="C17" i="130" s="1"/>
  <c r="DY48" i="112"/>
  <c r="DZ48" i="112" s="1"/>
  <c r="DY33" i="112"/>
  <c r="DZ33" i="112" s="1"/>
  <c r="O31" i="114" s="1"/>
  <c r="DY47" i="112"/>
  <c r="DZ47" i="112" s="1"/>
  <c r="O42" i="114" s="1"/>
  <c r="DY34" i="112"/>
  <c r="DZ34" i="112" s="1"/>
  <c r="O32" i="114" s="1"/>
  <c r="FK513" i="112"/>
  <c r="FK514" i="112"/>
  <c r="FK515" i="112"/>
  <c r="FK516" i="112"/>
  <c r="FK517" i="112"/>
  <c r="FK518" i="112"/>
  <c r="FK519" i="112"/>
  <c r="FK520" i="112"/>
  <c r="FK521" i="112"/>
  <c r="O43" i="114" l="1"/>
  <c r="DP273" i="112"/>
  <c r="CB466" i="112" s="1"/>
  <c r="T5" i="123"/>
  <c r="T6" i="123"/>
  <c r="T7" i="123"/>
  <c r="D7" i="123"/>
  <c r="D5" i="123"/>
  <c r="FS513" i="112" l="1"/>
  <c r="FS514" i="112"/>
  <c r="FS515" i="112"/>
  <c r="FS516" i="112"/>
  <c r="FS517" i="112"/>
  <c r="FS518" i="112"/>
  <c r="FS519" i="112"/>
  <c r="FS520" i="112"/>
  <c r="FS521" i="112"/>
  <c r="FS512" i="112"/>
  <c r="FS494" i="112"/>
  <c r="FS495" i="112"/>
  <c r="FS496" i="112"/>
  <c r="FS497" i="112"/>
  <c r="FS498" i="112"/>
  <c r="FS499" i="112"/>
  <c r="FS500" i="112"/>
  <c r="FS501" i="112"/>
  <c r="FS502" i="112"/>
  <c r="FS493" i="112"/>
  <c r="FS476" i="112"/>
  <c r="FS477" i="112"/>
  <c r="FS478" i="112"/>
  <c r="FS479" i="112"/>
  <c r="FS480" i="112"/>
  <c r="FS481" i="112"/>
  <c r="FS482" i="112"/>
  <c r="FS483" i="112"/>
  <c r="FS475" i="112"/>
  <c r="FS427" i="112"/>
  <c r="FS428" i="112"/>
  <c r="FS429" i="112"/>
  <c r="FS430" i="112"/>
  <c r="FS431" i="112"/>
  <c r="FS432" i="112"/>
  <c r="FS433" i="112"/>
  <c r="FS434" i="112"/>
  <c r="FS435" i="112"/>
  <c r="FS436" i="112"/>
  <c r="FS437" i="112"/>
  <c r="FS438" i="112"/>
  <c r="FS439" i="112"/>
  <c r="FS440" i="112"/>
  <c r="FS441" i="112"/>
  <c r="FS442" i="112"/>
  <c r="FS443" i="112"/>
  <c r="FS444" i="112"/>
  <c r="FS445" i="112"/>
  <c r="FS446" i="112"/>
  <c r="FS447" i="112"/>
  <c r="FS448" i="112"/>
  <c r="FS449" i="112"/>
  <c r="FS450" i="112"/>
  <c r="FS451" i="112"/>
  <c r="FS452" i="112"/>
  <c r="FS453" i="112"/>
  <c r="FS454" i="112"/>
  <c r="FS455" i="112"/>
  <c r="FS456" i="112"/>
  <c r="FS457" i="112"/>
  <c r="FS458" i="112"/>
  <c r="FS459" i="112"/>
  <c r="FS460" i="112"/>
  <c r="FS461" i="112"/>
  <c r="FS462" i="112"/>
  <c r="FS463" i="112"/>
  <c r="FS464" i="112"/>
  <c r="FS465" i="112"/>
  <c r="FS426" i="112"/>
  <c r="FS371" i="112"/>
  <c r="FS372" i="112"/>
  <c r="FS373" i="112"/>
  <c r="FS374" i="112"/>
  <c r="FS375" i="112"/>
  <c r="FS376" i="112"/>
  <c r="FS377" i="112"/>
  <c r="FS378" i="112"/>
  <c r="FS379" i="112"/>
  <c r="FS380" i="112"/>
  <c r="FS381" i="112"/>
  <c r="FS382" i="112"/>
  <c r="FS383" i="112"/>
  <c r="FS384" i="112"/>
  <c r="FS385" i="112"/>
  <c r="FS386" i="112"/>
  <c r="FS387" i="112"/>
  <c r="FS388" i="112"/>
  <c r="FS389" i="112"/>
  <c r="FS390" i="112"/>
  <c r="FS391" i="112"/>
  <c r="FS392" i="112"/>
  <c r="FS393" i="112"/>
  <c r="FS394" i="112"/>
  <c r="FS395" i="112"/>
  <c r="FS396" i="112"/>
  <c r="FS397" i="112"/>
  <c r="FS398" i="112"/>
  <c r="FS399" i="112"/>
  <c r="FS400" i="112"/>
  <c r="FS401" i="112"/>
  <c r="FS402" i="112"/>
  <c r="FS403" i="112"/>
  <c r="FS404" i="112"/>
  <c r="FS405" i="112"/>
  <c r="FS406" i="112"/>
  <c r="FS407" i="112"/>
  <c r="FS408" i="112"/>
  <c r="FS409" i="112"/>
  <c r="FS410" i="112"/>
  <c r="FS411" i="112"/>
  <c r="FS412" i="112"/>
  <c r="FS370" i="112"/>
  <c r="FS353" i="112"/>
  <c r="FS354" i="112"/>
  <c r="FS355" i="112"/>
  <c r="FS356" i="112"/>
  <c r="FS357" i="112"/>
  <c r="FS358" i="112"/>
  <c r="FS359" i="112"/>
  <c r="FS360" i="112"/>
  <c r="FS352" i="112"/>
  <c r="FS326" i="112"/>
  <c r="FS327" i="112"/>
  <c r="FS328" i="112"/>
  <c r="FS329" i="112"/>
  <c r="FS330" i="112"/>
  <c r="FS331" i="112"/>
  <c r="FS332" i="112"/>
  <c r="FS333" i="112"/>
  <c r="FS334" i="112"/>
  <c r="FS335" i="112"/>
  <c r="FS336" i="112"/>
  <c r="FS337" i="112"/>
  <c r="FS338" i="112"/>
  <c r="FS339" i="112"/>
  <c r="FS340" i="112"/>
  <c r="FS341" i="112"/>
  <c r="FS342" i="112"/>
  <c r="FS325" i="112"/>
  <c r="FS308" i="112"/>
  <c r="FS309" i="112"/>
  <c r="FS310" i="112"/>
  <c r="FS311" i="112"/>
  <c r="FS312" i="112"/>
  <c r="FS313" i="112"/>
  <c r="FS314" i="112"/>
  <c r="FS315" i="112"/>
  <c r="FS307" i="112"/>
  <c r="FT476" i="112" l="1"/>
  <c r="FT463" i="112"/>
  <c r="FT480" i="112"/>
  <c r="FT428" i="112"/>
  <c r="FT432" i="112"/>
  <c r="FT434" i="112"/>
  <c r="FT440" i="112"/>
  <c r="FT439" i="112"/>
  <c r="FT438" i="112"/>
  <c r="FT442" i="112"/>
  <c r="FT444" i="112"/>
  <c r="FT446" i="112"/>
  <c r="FT451" i="112"/>
  <c r="FT450" i="112"/>
  <c r="FT452" i="112"/>
  <c r="FT454" i="112"/>
  <c r="FT456" i="112"/>
  <c r="FT458" i="112"/>
  <c r="FT459" i="112"/>
  <c r="FT464" i="112"/>
  <c r="FT477" i="112"/>
  <c r="FT481" i="112"/>
  <c r="FS508" i="112"/>
  <c r="FQ490" i="112"/>
  <c r="FS489" i="112"/>
  <c r="FQ472" i="112"/>
  <c r="FS471" i="112"/>
  <c r="FQ423" i="112"/>
  <c r="FS366" i="112"/>
  <c r="FQ349" i="112"/>
  <c r="FS321" i="112"/>
  <c r="FQ304" i="112"/>
  <c r="FQ322" i="112"/>
  <c r="FS348" i="112"/>
  <c r="FS527" i="112"/>
  <c r="FQ509" i="112"/>
  <c r="FT427" i="112"/>
  <c r="FT311" i="112"/>
  <c r="FT315" i="112"/>
  <c r="FT314" i="112"/>
  <c r="FT313" i="112"/>
  <c r="FT312" i="112"/>
  <c r="FT435" i="112"/>
  <c r="FT436" i="112"/>
  <c r="FT448" i="112"/>
  <c r="FT447" i="112"/>
  <c r="FT430" i="112"/>
  <c r="FT309" i="112"/>
  <c r="FT426" i="112"/>
  <c r="FT478" i="112"/>
  <c r="FT460" i="112"/>
  <c r="FT475" i="112"/>
  <c r="FT310" i="112"/>
  <c r="FT479" i="112"/>
  <c r="FT465" i="112"/>
  <c r="FT457" i="112"/>
  <c r="FT449" i="112"/>
  <c r="FT441" i="112"/>
  <c r="FT429" i="112"/>
  <c r="FT461" i="112"/>
  <c r="FT453" i="112"/>
  <c r="FT445" i="112"/>
  <c r="FT437" i="112"/>
  <c r="FT433" i="112"/>
  <c r="FT483" i="112"/>
  <c r="FT462" i="112"/>
  <c r="FT482" i="112"/>
  <c r="FT455" i="112"/>
  <c r="FT443" i="112"/>
  <c r="FT431" i="112"/>
  <c r="FT489" i="112" l="1" a="1"/>
  <c r="FT489" i="112" s="1"/>
  <c r="FT471" i="112" a="1"/>
  <c r="FT471" i="112" s="1"/>
  <c r="O165" i="114"/>
  <c r="O164" i="114"/>
  <c r="AM163" i="114"/>
  <c r="AM163" i="115" s="1"/>
  <c r="AM162" i="114"/>
  <c r="AM162" i="115" s="1"/>
  <c r="AM67" i="114"/>
  <c r="AM66" i="114"/>
  <c r="Z66" i="114"/>
  <c r="O68" i="114"/>
  <c r="O69" i="114"/>
  <c r="DS224" i="112" l="1"/>
  <c r="AO226" i="112" s="1"/>
  <c r="Q426" i="114" l="1"/>
  <c r="B1379" i="123"/>
  <c r="C1379" i="123" s="1"/>
  <c r="B1378" i="123"/>
  <c r="B1377" i="123"/>
  <c r="B1376" i="123"/>
  <c r="C1376" i="123" s="1"/>
  <c r="B1375" i="123"/>
  <c r="C1375" i="123" s="1"/>
  <c r="B1374" i="123"/>
  <c r="C1374" i="123" s="1"/>
  <c r="B1373" i="123"/>
  <c r="C1373" i="123" s="1"/>
  <c r="D1373" i="123" s="1"/>
  <c r="B1370" i="123"/>
  <c r="C1370" i="123" s="1"/>
  <c r="B1369" i="123"/>
  <c r="B1368" i="123"/>
  <c r="B1367" i="123"/>
  <c r="C1367" i="123" s="1"/>
  <c r="B1366" i="123"/>
  <c r="C1366" i="123" s="1"/>
  <c r="B1365" i="123"/>
  <c r="C1365" i="123" s="1"/>
  <c r="B1364" i="123"/>
  <c r="C1364" i="123" s="1"/>
  <c r="D1364" i="123" s="1"/>
  <c r="B1361" i="123"/>
  <c r="C1361" i="123" s="1"/>
  <c r="B1360" i="123"/>
  <c r="B1359" i="123"/>
  <c r="B1358" i="123"/>
  <c r="C1358" i="123" s="1"/>
  <c r="B1357" i="123"/>
  <c r="C1357" i="123" s="1"/>
  <c r="B1356" i="123"/>
  <c r="C1356" i="123" s="1"/>
  <c r="B1355" i="123"/>
  <c r="C1355" i="123" s="1"/>
  <c r="D1355" i="123" s="1"/>
  <c r="B1352" i="123"/>
  <c r="C1352" i="123" s="1"/>
  <c r="B1351" i="123"/>
  <c r="B1350" i="123"/>
  <c r="B1349" i="123"/>
  <c r="C1349" i="123" s="1"/>
  <c r="B1348" i="123"/>
  <c r="C1348" i="123" s="1"/>
  <c r="B1347" i="123"/>
  <c r="C1347" i="123" s="1"/>
  <c r="B1346" i="123"/>
  <c r="C1346" i="123" s="1"/>
  <c r="D1346" i="123" s="1"/>
  <c r="B1343" i="123"/>
  <c r="C1343" i="123" s="1"/>
  <c r="B1342" i="123"/>
  <c r="B1341" i="123"/>
  <c r="B1340" i="123"/>
  <c r="C1340" i="123" s="1"/>
  <c r="B1339" i="123"/>
  <c r="C1339" i="123" s="1"/>
  <c r="B1338" i="123"/>
  <c r="C1338" i="123" s="1"/>
  <c r="B1337" i="123"/>
  <c r="C1337" i="123" s="1"/>
  <c r="D1337" i="123" s="1"/>
  <c r="B1334" i="123"/>
  <c r="C1334" i="123" s="1"/>
  <c r="B1333" i="123"/>
  <c r="B1332" i="123"/>
  <c r="B1331" i="123"/>
  <c r="C1331" i="123" s="1"/>
  <c r="B1330" i="123"/>
  <c r="C1330" i="123" s="1"/>
  <c r="B1329" i="123"/>
  <c r="C1329" i="123" s="1"/>
  <c r="B1328" i="123"/>
  <c r="C1328" i="123" s="1"/>
  <c r="D1328" i="123" s="1"/>
  <c r="B1325" i="123"/>
  <c r="C1325" i="123" s="1"/>
  <c r="B1324" i="123"/>
  <c r="B1323" i="123"/>
  <c r="B1322" i="123"/>
  <c r="C1322" i="123" s="1"/>
  <c r="B1321" i="123"/>
  <c r="C1321" i="123" s="1"/>
  <c r="B1320" i="123"/>
  <c r="C1320" i="123" s="1"/>
  <c r="B1319" i="123"/>
  <c r="C1319" i="123" s="1"/>
  <c r="D1319" i="123" s="1"/>
  <c r="B1316" i="123"/>
  <c r="C1316" i="123" s="1"/>
  <c r="B1315" i="123"/>
  <c r="B1314" i="123"/>
  <c r="B1313" i="123"/>
  <c r="C1313" i="123" s="1"/>
  <c r="B1312" i="123"/>
  <c r="C1312" i="123" s="1"/>
  <c r="B1311" i="123"/>
  <c r="C1311" i="123" s="1"/>
  <c r="B1310" i="123"/>
  <c r="C1310" i="123" s="1"/>
  <c r="D1310" i="123" s="1"/>
  <c r="B1307" i="123"/>
  <c r="C1307" i="123" s="1"/>
  <c r="B1306" i="123"/>
  <c r="B1305" i="123"/>
  <c r="B1304" i="123"/>
  <c r="C1304" i="123" s="1"/>
  <c r="B1303" i="123"/>
  <c r="C1303" i="123" s="1"/>
  <c r="B1302" i="123"/>
  <c r="C1302" i="123" s="1"/>
  <c r="B1301" i="123"/>
  <c r="C1301" i="123" s="1"/>
  <c r="D1301" i="123" s="1"/>
  <c r="B1298" i="123"/>
  <c r="C1298" i="123" s="1"/>
  <c r="B1297" i="123"/>
  <c r="B1296" i="123"/>
  <c r="B1295" i="123"/>
  <c r="C1295" i="123" s="1"/>
  <c r="B1294" i="123"/>
  <c r="C1294" i="123" s="1"/>
  <c r="B1293" i="123"/>
  <c r="C1293" i="123" s="1"/>
  <c r="B1292" i="123"/>
  <c r="C1292" i="123" s="1"/>
  <c r="D1292" i="123" s="1"/>
  <c r="B1289" i="123"/>
  <c r="C1289" i="123" s="1"/>
  <c r="B1288" i="123"/>
  <c r="B1287" i="123"/>
  <c r="B1286" i="123"/>
  <c r="C1286" i="123" s="1"/>
  <c r="B1285" i="123"/>
  <c r="C1285" i="123" s="1"/>
  <c r="B1284" i="123"/>
  <c r="C1284" i="123" s="1"/>
  <c r="B1283" i="123"/>
  <c r="C1283" i="123" s="1"/>
  <c r="D1283" i="123" s="1"/>
  <c r="B1282" i="123"/>
  <c r="C1282" i="123" s="1"/>
  <c r="B1281" i="123"/>
  <c r="B1280" i="123"/>
  <c r="B1279" i="123"/>
  <c r="C1279" i="123" s="1"/>
  <c r="B1278" i="123"/>
  <c r="C1278" i="123" s="1"/>
  <c r="B1277" i="123"/>
  <c r="C1277" i="123" s="1"/>
  <c r="B1276" i="123"/>
  <c r="C1276" i="123" s="1"/>
  <c r="D1276" i="123" s="1"/>
  <c r="B1275" i="123"/>
  <c r="C1275" i="123" s="1"/>
  <c r="B1274" i="123"/>
  <c r="B1273" i="123"/>
  <c r="B1272" i="123"/>
  <c r="C1272" i="123" s="1"/>
  <c r="B1271" i="123"/>
  <c r="C1271" i="123" s="1"/>
  <c r="B1270" i="123"/>
  <c r="C1270" i="123" s="1"/>
  <c r="B1269" i="123"/>
  <c r="C1269" i="123" s="1"/>
  <c r="D1269" i="123" s="1"/>
  <c r="B1268" i="123"/>
  <c r="C1268" i="123" s="1"/>
  <c r="B1267" i="123"/>
  <c r="B1266" i="123"/>
  <c r="B1265" i="123"/>
  <c r="C1265" i="123" s="1"/>
  <c r="B1264" i="123"/>
  <c r="C1264" i="123" s="1"/>
  <c r="B1263" i="123"/>
  <c r="C1263" i="123" s="1"/>
  <c r="B1262" i="123"/>
  <c r="C1262" i="123" s="1"/>
  <c r="D1262" i="123" s="1"/>
  <c r="B1261" i="123"/>
  <c r="C1261" i="123" s="1"/>
  <c r="B1260" i="123"/>
  <c r="B1259" i="123"/>
  <c r="B1258" i="123"/>
  <c r="C1258" i="123" s="1"/>
  <c r="B1257" i="123"/>
  <c r="C1257" i="123" s="1"/>
  <c r="B1256" i="123"/>
  <c r="C1256" i="123" s="1"/>
  <c r="B1255" i="123"/>
  <c r="C1255" i="123" s="1"/>
  <c r="D1255" i="123" s="1"/>
  <c r="B1254" i="123"/>
  <c r="C1254" i="123" s="1"/>
  <c r="B1253" i="123"/>
  <c r="B1252" i="123"/>
  <c r="B1251" i="123"/>
  <c r="C1251" i="123" s="1"/>
  <c r="B1250" i="123"/>
  <c r="C1250" i="123" s="1"/>
  <c r="B1249" i="123"/>
  <c r="C1249" i="123" s="1"/>
  <c r="B1248" i="123"/>
  <c r="C1248" i="123" s="1"/>
  <c r="D1248" i="123" s="1"/>
  <c r="B1247" i="123"/>
  <c r="C1247" i="123" s="1"/>
  <c r="B1246" i="123"/>
  <c r="B1245" i="123"/>
  <c r="B1244" i="123"/>
  <c r="C1244" i="123" s="1"/>
  <c r="B1243" i="123"/>
  <c r="C1243" i="123" s="1"/>
  <c r="B1242" i="123"/>
  <c r="C1242" i="123" s="1"/>
  <c r="B1241" i="123"/>
  <c r="C1241" i="123" s="1"/>
  <c r="D1241" i="123" s="1"/>
  <c r="B1240" i="123"/>
  <c r="C1240" i="123" s="1"/>
  <c r="B1239" i="123"/>
  <c r="B1238" i="123"/>
  <c r="B1237" i="123"/>
  <c r="C1237" i="123" s="1"/>
  <c r="B1236" i="123"/>
  <c r="C1236" i="123" s="1"/>
  <c r="B1235" i="123"/>
  <c r="C1235" i="123" s="1"/>
  <c r="B1234" i="123"/>
  <c r="C1234" i="123" s="1"/>
  <c r="D1234" i="123" s="1"/>
  <c r="B1233" i="123"/>
  <c r="C1233" i="123" s="1"/>
  <c r="B1232" i="123"/>
  <c r="B1231" i="123"/>
  <c r="B1230" i="123"/>
  <c r="C1230" i="123" s="1"/>
  <c r="B1229" i="123"/>
  <c r="C1229" i="123" s="1"/>
  <c r="B1228" i="123"/>
  <c r="C1228" i="123" s="1"/>
  <c r="B1227" i="123"/>
  <c r="C1227" i="123" s="1"/>
  <c r="D1227" i="123" s="1"/>
  <c r="B1226" i="123"/>
  <c r="C1226" i="123" s="1"/>
  <c r="B1225" i="123"/>
  <c r="B1224" i="123"/>
  <c r="B1223" i="123"/>
  <c r="C1223" i="123" s="1"/>
  <c r="B1222" i="123"/>
  <c r="C1222" i="123" s="1"/>
  <c r="B1221" i="123"/>
  <c r="C1221" i="123" s="1"/>
  <c r="B1220" i="123"/>
  <c r="C1220" i="123" s="1"/>
  <c r="D1220" i="123" s="1"/>
  <c r="B1219" i="123"/>
  <c r="C1219" i="123" s="1"/>
  <c r="B1218" i="123"/>
  <c r="B1217" i="123"/>
  <c r="B1216" i="123"/>
  <c r="C1216" i="123" s="1"/>
  <c r="B1215" i="123"/>
  <c r="C1215" i="123" s="1"/>
  <c r="B1214" i="123"/>
  <c r="C1214" i="123" s="1"/>
  <c r="B1213" i="123"/>
  <c r="C1213" i="123" s="1"/>
  <c r="D1213" i="123" s="1"/>
  <c r="B1212" i="123"/>
  <c r="C1212" i="123" s="1"/>
  <c r="B1211" i="123"/>
  <c r="B1210" i="123"/>
  <c r="B1209" i="123"/>
  <c r="C1209" i="123" s="1"/>
  <c r="B1208" i="123"/>
  <c r="C1208" i="123" s="1"/>
  <c r="B1207" i="123"/>
  <c r="C1207" i="123" s="1"/>
  <c r="B1206" i="123"/>
  <c r="C1206" i="123" s="1"/>
  <c r="D1206" i="123" s="1"/>
  <c r="B1205" i="123"/>
  <c r="C1205" i="123" s="1"/>
  <c r="B1204" i="123"/>
  <c r="B1203" i="123"/>
  <c r="B1202" i="123"/>
  <c r="C1202" i="123" s="1"/>
  <c r="B1201" i="123"/>
  <c r="C1201" i="123" s="1"/>
  <c r="B1200" i="123"/>
  <c r="C1200" i="123" s="1"/>
  <c r="B1199" i="123"/>
  <c r="C1199" i="123" s="1"/>
  <c r="D1199" i="123" s="1"/>
  <c r="B1198" i="123"/>
  <c r="C1198" i="123" s="1"/>
  <c r="B1197" i="123"/>
  <c r="B1196" i="123"/>
  <c r="B1195" i="123"/>
  <c r="C1195" i="123" s="1"/>
  <c r="B1194" i="123"/>
  <c r="C1194" i="123" s="1"/>
  <c r="B1193" i="123"/>
  <c r="C1193" i="123" s="1"/>
  <c r="B1192" i="123"/>
  <c r="C1192" i="123" s="1"/>
  <c r="D1192" i="123" s="1"/>
  <c r="B1191" i="123"/>
  <c r="C1191" i="123" s="1"/>
  <c r="B1190" i="123"/>
  <c r="B1189" i="123"/>
  <c r="B1188" i="123"/>
  <c r="C1188" i="123" s="1"/>
  <c r="B1187" i="123"/>
  <c r="C1187" i="123" s="1"/>
  <c r="B1186" i="123"/>
  <c r="C1186" i="123" s="1"/>
  <c r="B1185" i="123"/>
  <c r="C1185" i="123" s="1"/>
  <c r="D1185" i="123" s="1"/>
  <c r="B1184" i="123"/>
  <c r="C1184" i="123" s="1"/>
  <c r="B1183" i="123"/>
  <c r="B1182" i="123"/>
  <c r="B1181" i="123"/>
  <c r="C1181" i="123" s="1"/>
  <c r="B1180" i="123"/>
  <c r="C1180" i="123" s="1"/>
  <c r="B1179" i="123"/>
  <c r="C1179" i="123" s="1"/>
  <c r="B1178" i="123"/>
  <c r="C1178" i="123" s="1"/>
  <c r="D1178" i="123" s="1"/>
  <c r="B1177" i="123"/>
  <c r="C1177" i="123" s="1"/>
  <c r="B1176" i="123"/>
  <c r="B1175" i="123"/>
  <c r="B1174" i="123"/>
  <c r="C1174" i="123" s="1"/>
  <c r="B1173" i="123"/>
  <c r="C1173" i="123" s="1"/>
  <c r="B1172" i="123"/>
  <c r="C1172" i="123" s="1"/>
  <c r="B1171" i="123"/>
  <c r="C1171" i="123" s="1"/>
  <c r="D1171" i="123" s="1"/>
  <c r="B1170" i="123"/>
  <c r="C1170" i="123" s="1"/>
  <c r="B1169" i="123"/>
  <c r="B1168" i="123"/>
  <c r="B1167" i="123"/>
  <c r="C1167" i="123" s="1"/>
  <c r="B1166" i="123"/>
  <c r="C1166" i="123" s="1"/>
  <c r="B1165" i="123"/>
  <c r="C1165" i="123" s="1"/>
  <c r="B1164" i="123"/>
  <c r="C1164" i="123" s="1"/>
  <c r="D1164" i="123" s="1"/>
  <c r="B1163" i="123"/>
  <c r="C1163" i="123" s="1"/>
  <c r="B1162" i="123"/>
  <c r="B1161" i="123"/>
  <c r="B1160" i="123"/>
  <c r="C1160" i="123" s="1"/>
  <c r="B1159" i="123"/>
  <c r="C1159" i="123" s="1"/>
  <c r="B1158" i="123"/>
  <c r="C1158" i="123" s="1"/>
  <c r="B1157" i="123"/>
  <c r="C1157" i="123" s="1"/>
  <c r="D1157" i="123" s="1"/>
  <c r="B1156" i="123"/>
  <c r="C1156" i="123" s="1"/>
  <c r="B1155" i="123"/>
  <c r="B1154" i="123"/>
  <c r="B1153" i="123"/>
  <c r="C1153" i="123" s="1"/>
  <c r="B1152" i="123"/>
  <c r="C1152" i="123" s="1"/>
  <c r="B1151" i="123"/>
  <c r="C1151" i="123" s="1"/>
  <c r="B1150" i="123"/>
  <c r="C1150" i="123" s="1"/>
  <c r="D1150" i="123" s="1"/>
  <c r="B1149" i="123"/>
  <c r="C1149" i="123" s="1"/>
  <c r="B1148" i="123"/>
  <c r="B1147" i="123"/>
  <c r="B1146" i="123"/>
  <c r="C1146" i="123" s="1"/>
  <c r="B1145" i="123"/>
  <c r="C1145" i="123" s="1"/>
  <c r="B1144" i="123"/>
  <c r="C1144" i="123" s="1"/>
  <c r="B1143" i="123"/>
  <c r="C1143" i="123" s="1"/>
  <c r="D1143" i="123" s="1"/>
  <c r="B1142" i="123"/>
  <c r="C1142" i="123" s="1"/>
  <c r="B1141" i="123"/>
  <c r="B1140" i="123"/>
  <c r="B1139" i="123"/>
  <c r="C1139" i="123" s="1"/>
  <c r="B1138" i="123"/>
  <c r="C1138" i="123" s="1"/>
  <c r="B1137" i="123"/>
  <c r="C1137" i="123" s="1"/>
  <c r="B1136" i="123"/>
  <c r="C1136" i="123" s="1"/>
  <c r="D1136" i="123" s="1"/>
  <c r="B1135" i="123"/>
  <c r="C1135" i="123" s="1"/>
  <c r="B1134" i="123"/>
  <c r="B1133" i="123"/>
  <c r="B1132" i="123"/>
  <c r="C1132" i="123" s="1"/>
  <c r="B1131" i="123"/>
  <c r="C1131" i="123" s="1"/>
  <c r="B1130" i="123"/>
  <c r="C1130" i="123" s="1"/>
  <c r="B1129" i="123"/>
  <c r="C1129" i="123" s="1"/>
  <c r="D1129" i="123" s="1"/>
  <c r="B1128" i="123"/>
  <c r="C1128" i="123" s="1"/>
  <c r="B1127" i="123"/>
  <c r="B1126" i="123"/>
  <c r="B1125" i="123"/>
  <c r="C1125" i="123" s="1"/>
  <c r="B1124" i="123"/>
  <c r="C1124" i="123" s="1"/>
  <c r="B1123" i="123"/>
  <c r="C1123" i="123" s="1"/>
  <c r="B1122" i="123"/>
  <c r="C1122" i="123" s="1"/>
  <c r="D1122" i="123" s="1"/>
  <c r="B1121" i="123"/>
  <c r="C1121" i="123" s="1"/>
  <c r="B1120" i="123"/>
  <c r="B1119" i="123"/>
  <c r="B1118" i="123"/>
  <c r="C1118" i="123" s="1"/>
  <c r="B1117" i="123"/>
  <c r="C1117" i="123" s="1"/>
  <c r="B1116" i="123"/>
  <c r="C1116" i="123" s="1"/>
  <c r="B1115" i="123"/>
  <c r="C1115" i="123" s="1"/>
  <c r="D1115" i="123" s="1"/>
  <c r="B1114" i="123"/>
  <c r="C1114" i="123" s="1"/>
  <c r="B1113" i="123"/>
  <c r="B1112" i="123"/>
  <c r="B1111" i="123"/>
  <c r="C1111" i="123" s="1"/>
  <c r="B1110" i="123"/>
  <c r="C1110" i="123" s="1"/>
  <c r="B1109" i="123"/>
  <c r="C1109" i="123" s="1"/>
  <c r="B1108" i="123"/>
  <c r="C1108" i="123" s="1"/>
  <c r="D1108" i="123" s="1"/>
  <c r="B1107" i="123"/>
  <c r="C1107" i="123" s="1"/>
  <c r="B1106" i="123"/>
  <c r="B1105" i="123"/>
  <c r="B1104" i="123"/>
  <c r="C1104" i="123" s="1"/>
  <c r="B1103" i="123"/>
  <c r="C1103" i="123" s="1"/>
  <c r="B1102" i="123"/>
  <c r="C1102" i="123" s="1"/>
  <c r="B1101" i="123"/>
  <c r="C1101" i="123" s="1"/>
  <c r="D1101" i="123" s="1"/>
  <c r="B1100" i="123"/>
  <c r="C1100" i="123" s="1"/>
  <c r="B1099" i="123"/>
  <c r="B1098" i="123"/>
  <c r="B1097" i="123"/>
  <c r="C1097" i="123" s="1"/>
  <c r="B1096" i="123"/>
  <c r="C1096" i="123" s="1"/>
  <c r="B1095" i="123"/>
  <c r="C1095" i="123" s="1"/>
  <c r="B1094" i="123"/>
  <c r="C1094" i="123" s="1"/>
  <c r="D1094" i="123" s="1"/>
  <c r="B1093" i="123"/>
  <c r="C1093" i="123" s="1"/>
  <c r="B1092" i="123"/>
  <c r="B1091" i="123"/>
  <c r="B1090" i="123"/>
  <c r="C1090" i="123" s="1"/>
  <c r="B1089" i="123"/>
  <c r="C1089" i="123" s="1"/>
  <c r="B1088" i="123"/>
  <c r="C1088" i="123" s="1"/>
  <c r="B1087" i="123"/>
  <c r="C1087" i="123" s="1"/>
  <c r="D1087" i="123" s="1"/>
  <c r="B1086" i="123"/>
  <c r="C1086" i="123" s="1"/>
  <c r="B1085" i="123"/>
  <c r="B1084" i="123"/>
  <c r="B1083" i="123"/>
  <c r="C1083" i="123" s="1"/>
  <c r="B1082" i="123"/>
  <c r="C1082" i="123" s="1"/>
  <c r="B1081" i="123"/>
  <c r="C1081" i="123" s="1"/>
  <c r="B1080" i="123"/>
  <c r="C1080" i="123" s="1"/>
  <c r="D1080" i="123" s="1"/>
  <c r="B1079" i="123"/>
  <c r="C1079" i="123" s="1"/>
  <c r="B1078" i="123"/>
  <c r="B1077" i="123"/>
  <c r="B1076" i="123"/>
  <c r="C1076" i="123" s="1"/>
  <c r="B1075" i="123"/>
  <c r="C1075" i="123" s="1"/>
  <c r="B1074" i="123"/>
  <c r="C1074" i="123" s="1"/>
  <c r="B1073" i="123"/>
  <c r="C1073" i="123" s="1"/>
  <c r="D1073" i="123" s="1"/>
  <c r="B1072" i="123"/>
  <c r="C1072" i="123" s="1"/>
  <c r="B1071" i="123"/>
  <c r="B1070" i="123"/>
  <c r="B1069" i="123"/>
  <c r="C1069" i="123" s="1"/>
  <c r="B1068" i="123"/>
  <c r="C1068" i="123" s="1"/>
  <c r="B1067" i="123"/>
  <c r="C1067" i="123" s="1"/>
  <c r="B1066" i="123"/>
  <c r="C1066" i="123" s="1"/>
  <c r="D1066" i="123" s="1"/>
  <c r="B1065" i="123"/>
  <c r="C1065" i="123" s="1"/>
  <c r="B1064" i="123"/>
  <c r="B1063" i="123"/>
  <c r="B1062" i="123"/>
  <c r="C1062" i="123" s="1"/>
  <c r="B1061" i="123"/>
  <c r="C1061" i="123" s="1"/>
  <c r="B1060" i="123"/>
  <c r="C1060" i="123" s="1"/>
  <c r="B1059" i="123"/>
  <c r="C1059" i="123" s="1"/>
  <c r="D1059" i="123" s="1"/>
  <c r="B1058" i="123"/>
  <c r="C1058" i="123" s="1"/>
  <c r="B1057" i="123"/>
  <c r="B1056" i="123"/>
  <c r="B1055" i="123"/>
  <c r="C1055" i="123" s="1"/>
  <c r="B1054" i="123"/>
  <c r="C1054" i="123" s="1"/>
  <c r="B1053" i="123"/>
  <c r="C1053" i="123" s="1"/>
  <c r="B1052" i="123"/>
  <c r="C1052" i="123" s="1"/>
  <c r="D1052" i="123" s="1"/>
  <c r="B1051" i="123"/>
  <c r="C1051" i="123" s="1"/>
  <c r="B1050" i="123"/>
  <c r="B1049" i="123"/>
  <c r="B1048" i="123"/>
  <c r="C1048" i="123" s="1"/>
  <c r="B1047" i="123"/>
  <c r="C1047" i="123" s="1"/>
  <c r="B1046" i="123"/>
  <c r="C1046" i="123" s="1"/>
  <c r="B1045" i="123"/>
  <c r="C1045" i="123" s="1"/>
  <c r="D1045" i="123" s="1"/>
  <c r="B1044" i="123"/>
  <c r="C1044" i="123" s="1"/>
  <c r="B1043" i="123"/>
  <c r="B1042" i="123"/>
  <c r="B1041" i="123"/>
  <c r="C1041" i="123" s="1"/>
  <c r="B1040" i="123"/>
  <c r="C1040" i="123" s="1"/>
  <c r="B1039" i="123"/>
  <c r="C1039" i="123" s="1"/>
  <c r="B1038" i="123"/>
  <c r="C1038" i="123" s="1"/>
  <c r="D1038" i="123" s="1"/>
  <c r="B1037" i="123"/>
  <c r="C1037" i="123" s="1"/>
  <c r="B1036" i="123"/>
  <c r="B1035" i="123"/>
  <c r="B1034" i="123"/>
  <c r="C1034" i="123" s="1"/>
  <c r="B1033" i="123"/>
  <c r="C1033" i="123" s="1"/>
  <c r="B1032" i="123"/>
  <c r="C1032" i="123" s="1"/>
  <c r="B1031" i="123"/>
  <c r="C1031" i="123" s="1"/>
  <c r="D1031" i="123" s="1"/>
  <c r="B1030" i="123"/>
  <c r="C1030" i="123" s="1"/>
  <c r="B1029" i="123"/>
  <c r="B1028" i="123"/>
  <c r="B1027" i="123"/>
  <c r="C1027" i="123" s="1"/>
  <c r="B1026" i="123"/>
  <c r="C1026" i="123" s="1"/>
  <c r="B1025" i="123"/>
  <c r="C1025" i="123" s="1"/>
  <c r="B1024" i="123"/>
  <c r="C1024" i="123" s="1"/>
  <c r="D1024" i="123" s="1"/>
  <c r="B1023" i="123"/>
  <c r="C1023" i="123" s="1"/>
  <c r="B1022" i="123"/>
  <c r="B1021" i="123"/>
  <c r="B1020" i="123"/>
  <c r="C1020" i="123" s="1"/>
  <c r="B1019" i="123"/>
  <c r="C1019" i="123" s="1"/>
  <c r="B1018" i="123"/>
  <c r="C1018" i="123" s="1"/>
  <c r="B1017" i="123"/>
  <c r="C1017" i="123" s="1"/>
  <c r="D1017" i="123" s="1"/>
  <c r="B1016" i="123"/>
  <c r="C1016" i="123" s="1"/>
  <c r="B1015" i="123"/>
  <c r="B1014" i="123"/>
  <c r="B1013" i="123"/>
  <c r="C1013" i="123" s="1"/>
  <c r="B1012" i="123"/>
  <c r="C1012" i="123" s="1"/>
  <c r="B1011" i="123"/>
  <c r="C1011" i="123" s="1"/>
  <c r="B1010" i="123"/>
  <c r="C1010" i="123" s="1"/>
  <c r="D1010" i="123" s="1"/>
  <c r="B1009" i="123"/>
  <c r="C1009" i="123" s="1"/>
  <c r="B1008" i="123"/>
  <c r="B1007" i="123"/>
  <c r="B1006" i="123"/>
  <c r="C1006" i="123" s="1"/>
  <c r="B1005" i="123"/>
  <c r="C1005" i="123" s="1"/>
  <c r="B1004" i="123"/>
  <c r="C1004" i="123" s="1"/>
  <c r="B1003" i="123"/>
  <c r="C1003" i="123" s="1"/>
  <c r="D1003" i="123" s="1"/>
  <c r="B1002" i="123"/>
  <c r="C1002" i="123" s="1"/>
  <c r="B1001" i="123"/>
  <c r="B1000" i="123"/>
  <c r="B999" i="123"/>
  <c r="C999" i="123" s="1"/>
  <c r="B998" i="123"/>
  <c r="C998" i="123" s="1"/>
  <c r="B997" i="123"/>
  <c r="C997" i="123" s="1"/>
  <c r="B996" i="123"/>
  <c r="C996" i="123" s="1"/>
  <c r="D996" i="123" s="1"/>
  <c r="B995" i="123"/>
  <c r="C995" i="123" s="1"/>
  <c r="B994" i="123"/>
  <c r="B993" i="123"/>
  <c r="B992" i="123"/>
  <c r="C992" i="123" s="1"/>
  <c r="B991" i="123"/>
  <c r="C991" i="123" s="1"/>
  <c r="B990" i="123"/>
  <c r="C990" i="123" s="1"/>
  <c r="B989" i="123"/>
  <c r="C989" i="123" s="1"/>
  <c r="D989" i="123" s="1"/>
  <c r="B988" i="123"/>
  <c r="C988" i="123" s="1"/>
  <c r="B987" i="123"/>
  <c r="B986" i="123"/>
  <c r="B985" i="123"/>
  <c r="C985" i="123" s="1"/>
  <c r="B984" i="123"/>
  <c r="C984" i="123" s="1"/>
  <c r="B983" i="123"/>
  <c r="C983" i="123" s="1"/>
  <c r="B982" i="123"/>
  <c r="C982" i="123" s="1"/>
  <c r="D982" i="123" s="1"/>
  <c r="B981" i="123"/>
  <c r="C981" i="123" s="1"/>
  <c r="B980" i="123"/>
  <c r="B979" i="123"/>
  <c r="B978" i="123"/>
  <c r="C978" i="123" s="1"/>
  <c r="B977" i="123"/>
  <c r="C977" i="123" s="1"/>
  <c r="B976" i="123"/>
  <c r="C976" i="123" s="1"/>
  <c r="B975" i="123"/>
  <c r="C975" i="123" s="1"/>
  <c r="D975" i="123" s="1"/>
  <c r="B974" i="123"/>
  <c r="C974" i="123" s="1"/>
  <c r="B973" i="123"/>
  <c r="B972" i="123"/>
  <c r="B971" i="123"/>
  <c r="C971" i="123" s="1"/>
  <c r="B970" i="123"/>
  <c r="C970" i="123" s="1"/>
  <c r="B969" i="123"/>
  <c r="C969" i="123" s="1"/>
  <c r="B968" i="123"/>
  <c r="C968" i="123" s="1"/>
  <c r="D968" i="123" s="1"/>
  <c r="B967" i="123"/>
  <c r="C967" i="123" s="1"/>
  <c r="B966" i="123"/>
  <c r="B965" i="123"/>
  <c r="B964" i="123"/>
  <c r="C964" i="123" s="1"/>
  <c r="B963" i="123"/>
  <c r="C963" i="123" s="1"/>
  <c r="B962" i="123"/>
  <c r="C962" i="123" s="1"/>
  <c r="B961" i="123"/>
  <c r="C961" i="123" s="1"/>
  <c r="D961" i="123" s="1"/>
  <c r="B960" i="123"/>
  <c r="C960" i="123" s="1"/>
  <c r="B959" i="123"/>
  <c r="B958" i="123"/>
  <c r="B957" i="123"/>
  <c r="C957" i="123" s="1"/>
  <c r="B956" i="123"/>
  <c r="C956" i="123" s="1"/>
  <c r="B955" i="123"/>
  <c r="C955" i="123" s="1"/>
  <c r="B954" i="123"/>
  <c r="C954" i="123" s="1"/>
  <c r="D954" i="123" s="1"/>
  <c r="B953" i="123"/>
  <c r="C953" i="123" s="1"/>
  <c r="B952" i="123"/>
  <c r="B951" i="123"/>
  <c r="B950" i="123"/>
  <c r="C950" i="123" s="1"/>
  <c r="B949" i="123"/>
  <c r="C949" i="123" s="1"/>
  <c r="B948" i="123"/>
  <c r="C948" i="123" s="1"/>
  <c r="B947" i="123"/>
  <c r="C947" i="123" s="1"/>
  <c r="D947" i="123" s="1"/>
  <c r="B946" i="123"/>
  <c r="C946" i="123" s="1"/>
  <c r="B945" i="123"/>
  <c r="B944" i="123"/>
  <c r="B943" i="123"/>
  <c r="C943" i="123" s="1"/>
  <c r="B942" i="123"/>
  <c r="C942" i="123" s="1"/>
  <c r="B941" i="123"/>
  <c r="C941" i="123" s="1"/>
  <c r="B940" i="123"/>
  <c r="C940" i="123" s="1"/>
  <c r="D940" i="123" s="1"/>
  <c r="B939" i="123"/>
  <c r="C939" i="123" s="1"/>
  <c r="B938" i="123"/>
  <c r="B937" i="123"/>
  <c r="B936" i="123"/>
  <c r="C936" i="123" s="1"/>
  <c r="B935" i="123"/>
  <c r="C935" i="123" s="1"/>
  <c r="B934" i="123"/>
  <c r="C934" i="123" s="1"/>
  <c r="B933" i="123"/>
  <c r="C933" i="123" s="1"/>
  <c r="D933" i="123" s="1"/>
  <c r="B932" i="123"/>
  <c r="C932" i="123" s="1"/>
  <c r="B931" i="123"/>
  <c r="B930" i="123"/>
  <c r="B929" i="123"/>
  <c r="C929" i="123" s="1"/>
  <c r="B928" i="123"/>
  <c r="C928" i="123" s="1"/>
  <c r="B927" i="123"/>
  <c r="C927" i="123" s="1"/>
  <c r="B926" i="123"/>
  <c r="C926" i="123" s="1"/>
  <c r="D926" i="123" s="1"/>
  <c r="B925" i="123"/>
  <c r="C925" i="123" s="1"/>
  <c r="B924" i="123"/>
  <c r="B923" i="123"/>
  <c r="B922" i="123"/>
  <c r="C922" i="123" s="1"/>
  <c r="B921" i="123"/>
  <c r="C921" i="123" s="1"/>
  <c r="B920" i="123"/>
  <c r="C920" i="123" s="1"/>
  <c r="B919" i="123"/>
  <c r="C919" i="123" s="1"/>
  <c r="D919" i="123" s="1"/>
  <c r="B918" i="123"/>
  <c r="C918" i="123" s="1"/>
  <c r="B917" i="123"/>
  <c r="B916" i="123"/>
  <c r="B915" i="123"/>
  <c r="C915" i="123" s="1"/>
  <c r="B914" i="123"/>
  <c r="C914" i="123" s="1"/>
  <c r="B913" i="123"/>
  <c r="C913" i="123" s="1"/>
  <c r="B912" i="123"/>
  <c r="C912" i="123" s="1"/>
  <c r="D912" i="123" s="1"/>
  <c r="B911" i="123"/>
  <c r="C911" i="123" s="1"/>
  <c r="B910" i="123"/>
  <c r="B909" i="123"/>
  <c r="B908" i="123"/>
  <c r="C908" i="123" s="1"/>
  <c r="B907" i="123"/>
  <c r="C907" i="123" s="1"/>
  <c r="B906" i="123"/>
  <c r="C906" i="123" s="1"/>
  <c r="B905" i="123"/>
  <c r="C905" i="123" s="1"/>
  <c r="D905" i="123" s="1"/>
  <c r="B904" i="123"/>
  <c r="C904" i="123" s="1"/>
  <c r="B903" i="123"/>
  <c r="B902" i="123"/>
  <c r="B901" i="123"/>
  <c r="C901" i="123" s="1"/>
  <c r="B900" i="123"/>
  <c r="C900" i="123" s="1"/>
  <c r="B899" i="123"/>
  <c r="C899" i="123" s="1"/>
  <c r="B898" i="123"/>
  <c r="C898" i="123" s="1"/>
  <c r="D898" i="123" s="1"/>
  <c r="B897" i="123"/>
  <c r="C897" i="123" s="1"/>
  <c r="B896" i="123"/>
  <c r="B895" i="123"/>
  <c r="B894" i="123"/>
  <c r="C894" i="123" s="1"/>
  <c r="B893" i="123"/>
  <c r="C893" i="123" s="1"/>
  <c r="B892" i="123"/>
  <c r="C892" i="123" s="1"/>
  <c r="B891" i="123"/>
  <c r="C891" i="123" s="1"/>
  <c r="D891" i="123" s="1"/>
  <c r="B890" i="123"/>
  <c r="C890" i="123" s="1"/>
  <c r="B889" i="123"/>
  <c r="B888" i="123"/>
  <c r="B887" i="123"/>
  <c r="C887" i="123" s="1"/>
  <c r="B886" i="123"/>
  <c r="C886" i="123" s="1"/>
  <c r="B885" i="123"/>
  <c r="C885" i="123" s="1"/>
  <c r="B884" i="123"/>
  <c r="C884" i="123" s="1"/>
  <c r="D884" i="123" s="1"/>
  <c r="B883" i="123"/>
  <c r="C883" i="123" s="1"/>
  <c r="B882" i="123"/>
  <c r="B881" i="123"/>
  <c r="B880" i="123"/>
  <c r="C880" i="123" s="1"/>
  <c r="B879" i="123"/>
  <c r="C879" i="123" s="1"/>
  <c r="B878" i="123"/>
  <c r="C878" i="123" s="1"/>
  <c r="B877" i="123"/>
  <c r="C877" i="123" s="1"/>
  <c r="D877" i="123" s="1"/>
  <c r="B876" i="123"/>
  <c r="C876" i="123" s="1"/>
  <c r="B875" i="123"/>
  <c r="B874" i="123"/>
  <c r="B873" i="123"/>
  <c r="C873" i="123" s="1"/>
  <c r="B872" i="123"/>
  <c r="C872" i="123" s="1"/>
  <c r="B871" i="123"/>
  <c r="C871" i="123" s="1"/>
  <c r="B870" i="123"/>
  <c r="C870" i="123" s="1"/>
  <c r="D870" i="123" s="1"/>
  <c r="B869" i="123"/>
  <c r="C869" i="123" s="1"/>
  <c r="B868" i="123"/>
  <c r="B867" i="123"/>
  <c r="B866" i="123"/>
  <c r="C866" i="123" s="1"/>
  <c r="B865" i="123"/>
  <c r="C865" i="123" s="1"/>
  <c r="B864" i="123"/>
  <c r="C864" i="123" s="1"/>
  <c r="B863" i="123"/>
  <c r="C863" i="123" s="1"/>
  <c r="D863" i="123" s="1"/>
  <c r="B862" i="123"/>
  <c r="C862" i="123" s="1"/>
  <c r="B861" i="123"/>
  <c r="B860" i="123"/>
  <c r="B859" i="123"/>
  <c r="C859" i="123" s="1"/>
  <c r="B858" i="123"/>
  <c r="C858" i="123" s="1"/>
  <c r="B857" i="123"/>
  <c r="C857" i="123" s="1"/>
  <c r="B856" i="123"/>
  <c r="C856" i="123" s="1"/>
  <c r="D856" i="123" s="1"/>
  <c r="B855" i="123"/>
  <c r="C855" i="123" s="1"/>
  <c r="B854" i="123"/>
  <c r="B853" i="123"/>
  <c r="B852" i="123"/>
  <c r="C852" i="123" s="1"/>
  <c r="B851" i="123"/>
  <c r="C851" i="123" s="1"/>
  <c r="B850" i="123"/>
  <c r="C850" i="123" s="1"/>
  <c r="B849" i="123"/>
  <c r="C849" i="123" s="1"/>
  <c r="D849" i="123" s="1"/>
  <c r="B848" i="123"/>
  <c r="C848" i="123" s="1"/>
  <c r="B847" i="123"/>
  <c r="B846" i="123"/>
  <c r="B845" i="123"/>
  <c r="C845" i="123" s="1"/>
  <c r="B844" i="123"/>
  <c r="C844" i="123" s="1"/>
  <c r="B843" i="123"/>
  <c r="C843" i="123" s="1"/>
  <c r="B842" i="123"/>
  <c r="C842" i="123" s="1"/>
  <c r="D842" i="123" s="1"/>
  <c r="B841" i="123"/>
  <c r="C841" i="123" s="1"/>
  <c r="B840" i="123"/>
  <c r="B839" i="123"/>
  <c r="B838" i="123"/>
  <c r="C838" i="123" s="1"/>
  <c r="B837" i="123"/>
  <c r="C837" i="123" s="1"/>
  <c r="B836" i="123"/>
  <c r="C836" i="123" s="1"/>
  <c r="B835" i="123"/>
  <c r="C835" i="123" s="1"/>
  <c r="D835" i="123" s="1"/>
  <c r="B834" i="123"/>
  <c r="C834" i="123" s="1"/>
  <c r="B833" i="123"/>
  <c r="B832" i="123"/>
  <c r="B831" i="123"/>
  <c r="C831" i="123" s="1"/>
  <c r="B830" i="123"/>
  <c r="C830" i="123" s="1"/>
  <c r="B829" i="123"/>
  <c r="C829" i="123" s="1"/>
  <c r="B828" i="123"/>
  <c r="C828" i="123" s="1"/>
  <c r="D828" i="123" s="1"/>
  <c r="B827" i="123"/>
  <c r="C827" i="123" s="1"/>
  <c r="B826" i="123"/>
  <c r="B825" i="123"/>
  <c r="B824" i="123"/>
  <c r="C824" i="123" s="1"/>
  <c r="B823" i="123"/>
  <c r="C823" i="123" s="1"/>
  <c r="B822" i="123"/>
  <c r="C822" i="123" s="1"/>
  <c r="B821" i="123"/>
  <c r="C821" i="123" s="1"/>
  <c r="D821" i="123" s="1"/>
  <c r="B820" i="123"/>
  <c r="C820" i="123" s="1"/>
  <c r="B819" i="123"/>
  <c r="B818" i="123"/>
  <c r="B817" i="123"/>
  <c r="C817" i="123" s="1"/>
  <c r="B816" i="123"/>
  <c r="C816" i="123" s="1"/>
  <c r="B815" i="123"/>
  <c r="C815" i="123" s="1"/>
  <c r="B814" i="123"/>
  <c r="C814" i="123" s="1"/>
  <c r="D814" i="123" s="1"/>
  <c r="B813" i="123"/>
  <c r="C813" i="123" s="1"/>
  <c r="B812" i="123"/>
  <c r="B811" i="123"/>
  <c r="B810" i="123"/>
  <c r="C810" i="123" s="1"/>
  <c r="B809" i="123"/>
  <c r="C809" i="123" s="1"/>
  <c r="B808" i="123"/>
  <c r="C808" i="123" s="1"/>
  <c r="B807" i="123"/>
  <c r="C807" i="123" s="1"/>
  <c r="D807" i="123" s="1"/>
  <c r="B806" i="123"/>
  <c r="C806" i="123" s="1"/>
  <c r="B805" i="123"/>
  <c r="B804" i="123"/>
  <c r="B803" i="123"/>
  <c r="C803" i="123" s="1"/>
  <c r="B802" i="123"/>
  <c r="C802" i="123" s="1"/>
  <c r="B801" i="123"/>
  <c r="C801" i="123" s="1"/>
  <c r="B800" i="123"/>
  <c r="C800" i="123" s="1"/>
  <c r="D800" i="123" s="1"/>
  <c r="B799" i="123"/>
  <c r="C799" i="123" s="1"/>
  <c r="B798" i="123"/>
  <c r="B797" i="123"/>
  <c r="B796" i="123"/>
  <c r="C796" i="123" s="1"/>
  <c r="B795" i="123"/>
  <c r="C795" i="123" s="1"/>
  <c r="B794" i="123"/>
  <c r="C794" i="123" s="1"/>
  <c r="B793" i="123"/>
  <c r="C793" i="123" s="1"/>
  <c r="D793" i="123" s="1"/>
  <c r="B792" i="123"/>
  <c r="C792" i="123" s="1"/>
  <c r="B791" i="123"/>
  <c r="B790" i="123"/>
  <c r="B789" i="123"/>
  <c r="C789" i="123" s="1"/>
  <c r="B788" i="123"/>
  <c r="C788" i="123" s="1"/>
  <c r="B787" i="123"/>
  <c r="C787" i="123" s="1"/>
  <c r="B786" i="123"/>
  <c r="C786" i="123" s="1"/>
  <c r="D786" i="123" s="1"/>
  <c r="B785" i="123"/>
  <c r="C785" i="123" s="1"/>
  <c r="B784" i="123"/>
  <c r="B783" i="123"/>
  <c r="B782" i="123"/>
  <c r="C782" i="123" s="1"/>
  <c r="B781" i="123"/>
  <c r="C781" i="123" s="1"/>
  <c r="B780" i="123"/>
  <c r="C780" i="123" s="1"/>
  <c r="B779" i="123"/>
  <c r="C779" i="123" s="1"/>
  <c r="D779" i="123" s="1"/>
  <c r="B778" i="123"/>
  <c r="C778" i="123" s="1"/>
  <c r="B777" i="123"/>
  <c r="B776" i="123"/>
  <c r="B775" i="123"/>
  <c r="C775" i="123" s="1"/>
  <c r="B774" i="123"/>
  <c r="C774" i="123" s="1"/>
  <c r="B773" i="123"/>
  <c r="C773" i="123" s="1"/>
  <c r="B772" i="123"/>
  <c r="C772" i="123" s="1"/>
  <c r="D772" i="123" s="1"/>
  <c r="B771" i="123"/>
  <c r="C771" i="123" s="1"/>
  <c r="B770" i="123"/>
  <c r="B769" i="123"/>
  <c r="B768" i="123"/>
  <c r="C768" i="123" s="1"/>
  <c r="B767" i="123"/>
  <c r="C767" i="123" s="1"/>
  <c r="B766" i="123"/>
  <c r="C766" i="123" s="1"/>
  <c r="B765" i="123"/>
  <c r="C765" i="123" s="1"/>
  <c r="D765" i="123" s="1"/>
  <c r="B764" i="123"/>
  <c r="C764" i="123" s="1"/>
  <c r="B763" i="123"/>
  <c r="B762" i="123"/>
  <c r="B761" i="123"/>
  <c r="C761" i="123" s="1"/>
  <c r="B760" i="123"/>
  <c r="C760" i="123" s="1"/>
  <c r="B759" i="123"/>
  <c r="C759" i="123" s="1"/>
  <c r="B758" i="123"/>
  <c r="C758" i="123" s="1"/>
  <c r="D758" i="123" s="1"/>
  <c r="B757" i="123"/>
  <c r="C757" i="123" s="1"/>
  <c r="B756" i="123"/>
  <c r="B755" i="123"/>
  <c r="B754" i="123"/>
  <c r="C754" i="123" s="1"/>
  <c r="B753" i="123"/>
  <c r="C753" i="123" s="1"/>
  <c r="B752" i="123"/>
  <c r="C752" i="123" s="1"/>
  <c r="B751" i="123"/>
  <c r="C751" i="123" s="1"/>
  <c r="D751" i="123" s="1"/>
  <c r="B750" i="123"/>
  <c r="C750" i="123" s="1"/>
  <c r="B749" i="123"/>
  <c r="B748" i="123"/>
  <c r="B747" i="123"/>
  <c r="C747" i="123" s="1"/>
  <c r="B746" i="123"/>
  <c r="C746" i="123" s="1"/>
  <c r="B745" i="123"/>
  <c r="C745" i="123" s="1"/>
  <c r="B744" i="123"/>
  <c r="C744" i="123" s="1"/>
  <c r="D744" i="123" s="1"/>
  <c r="B743" i="123"/>
  <c r="C743" i="123" s="1"/>
  <c r="B742" i="123"/>
  <c r="B741" i="123"/>
  <c r="B740" i="123"/>
  <c r="C740" i="123" s="1"/>
  <c r="B739" i="123"/>
  <c r="C739" i="123" s="1"/>
  <c r="B738" i="123"/>
  <c r="C738" i="123" s="1"/>
  <c r="B737" i="123"/>
  <c r="C737" i="123" s="1"/>
  <c r="D737" i="123" s="1"/>
  <c r="B736" i="123"/>
  <c r="C736" i="123" s="1"/>
  <c r="B735" i="123"/>
  <c r="B734" i="123"/>
  <c r="B733" i="123"/>
  <c r="C733" i="123" s="1"/>
  <c r="B732" i="123"/>
  <c r="C732" i="123" s="1"/>
  <c r="B731" i="123"/>
  <c r="C731" i="123" s="1"/>
  <c r="B730" i="123"/>
  <c r="C730" i="123" s="1"/>
  <c r="D730" i="123" s="1"/>
  <c r="B729" i="123"/>
  <c r="C729" i="123" s="1"/>
  <c r="B728" i="123"/>
  <c r="B727" i="123"/>
  <c r="B726" i="123"/>
  <c r="C726" i="123" s="1"/>
  <c r="B725" i="123"/>
  <c r="C725" i="123" s="1"/>
  <c r="B724" i="123"/>
  <c r="C724" i="123" s="1"/>
  <c r="B723" i="123"/>
  <c r="C723" i="123" s="1"/>
  <c r="D723" i="123" s="1"/>
  <c r="B722" i="123"/>
  <c r="C722" i="123" s="1"/>
  <c r="B721" i="123"/>
  <c r="B720" i="123"/>
  <c r="B719" i="123"/>
  <c r="C719" i="123" s="1"/>
  <c r="B718" i="123"/>
  <c r="C718" i="123" s="1"/>
  <c r="B717" i="123"/>
  <c r="C717" i="123" s="1"/>
  <c r="B716" i="123"/>
  <c r="C716" i="123" s="1"/>
  <c r="D716" i="123" s="1"/>
  <c r="B715" i="123"/>
  <c r="C715" i="123" s="1"/>
  <c r="B714" i="123"/>
  <c r="B713" i="123"/>
  <c r="B712" i="123"/>
  <c r="C712" i="123" s="1"/>
  <c r="B711" i="123"/>
  <c r="C711" i="123" s="1"/>
  <c r="B710" i="123"/>
  <c r="C710" i="123" s="1"/>
  <c r="B709" i="123"/>
  <c r="C709" i="123" s="1"/>
  <c r="D709" i="123" s="1"/>
  <c r="B708" i="123"/>
  <c r="C708" i="123" s="1"/>
  <c r="B707" i="123"/>
  <c r="B706" i="123"/>
  <c r="B705" i="123"/>
  <c r="C705" i="123" s="1"/>
  <c r="B704" i="123"/>
  <c r="C704" i="123" s="1"/>
  <c r="B703" i="123"/>
  <c r="C703" i="123" s="1"/>
  <c r="B702" i="123"/>
  <c r="C702" i="123" s="1"/>
  <c r="D702" i="123" s="1"/>
  <c r="B701" i="123"/>
  <c r="C701" i="123" s="1"/>
  <c r="B700" i="123"/>
  <c r="B699" i="123"/>
  <c r="B698" i="123"/>
  <c r="C698" i="123" s="1"/>
  <c r="B697" i="123"/>
  <c r="C697" i="123" s="1"/>
  <c r="B696" i="123"/>
  <c r="C696" i="123" s="1"/>
  <c r="B695" i="123"/>
  <c r="C695" i="123" s="1"/>
  <c r="D695" i="123" s="1"/>
  <c r="B694" i="123"/>
  <c r="C694" i="123" s="1"/>
  <c r="B693" i="123"/>
  <c r="B692" i="123"/>
  <c r="B691" i="123"/>
  <c r="C691" i="123" s="1"/>
  <c r="B690" i="123"/>
  <c r="C690" i="123" s="1"/>
  <c r="B689" i="123"/>
  <c r="C689" i="123" s="1"/>
  <c r="B688" i="123"/>
  <c r="C688" i="123" s="1"/>
  <c r="D688" i="123" s="1"/>
  <c r="B687" i="123"/>
  <c r="C687" i="123" s="1"/>
  <c r="B686" i="123"/>
  <c r="B685" i="123"/>
  <c r="B684" i="123"/>
  <c r="C684" i="123" s="1"/>
  <c r="B683" i="123"/>
  <c r="C683" i="123" s="1"/>
  <c r="B682" i="123"/>
  <c r="C682" i="123" s="1"/>
  <c r="B681" i="123"/>
  <c r="C681" i="123" s="1"/>
  <c r="D681" i="123" s="1"/>
  <c r="B680" i="123"/>
  <c r="C680" i="123" s="1"/>
  <c r="B679" i="123"/>
  <c r="B678" i="123"/>
  <c r="B677" i="123"/>
  <c r="C677" i="123" s="1"/>
  <c r="B676" i="123"/>
  <c r="C676" i="123" s="1"/>
  <c r="B675" i="123"/>
  <c r="C675" i="123" s="1"/>
  <c r="B674" i="123"/>
  <c r="C674" i="123" s="1"/>
  <c r="D674" i="123" s="1"/>
  <c r="B673" i="123"/>
  <c r="C673" i="123" s="1"/>
  <c r="B672" i="123"/>
  <c r="B671" i="123"/>
  <c r="B670" i="123"/>
  <c r="C670" i="123" s="1"/>
  <c r="B669" i="123"/>
  <c r="C669" i="123" s="1"/>
  <c r="B668" i="123"/>
  <c r="C668" i="123" s="1"/>
  <c r="B667" i="123"/>
  <c r="C667" i="123" s="1"/>
  <c r="D667" i="123" s="1"/>
  <c r="B666" i="123"/>
  <c r="C666" i="123" s="1"/>
  <c r="B665" i="123"/>
  <c r="B664" i="123"/>
  <c r="B663" i="123"/>
  <c r="C663" i="123" s="1"/>
  <c r="B662" i="123"/>
  <c r="C662" i="123" s="1"/>
  <c r="B661" i="123"/>
  <c r="C661" i="123" s="1"/>
  <c r="B660" i="123"/>
  <c r="C660" i="123" s="1"/>
  <c r="D660" i="123" s="1"/>
  <c r="B659" i="123"/>
  <c r="C659" i="123" s="1"/>
  <c r="B658" i="123"/>
  <c r="B657" i="123"/>
  <c r="B656" i="123"/>
  <c r="C656" i="123" s="1"/>
  <c r="B655" i="123"/>
  <c r="C655" i="123" s="1"/>
  <c r="B654" i="123"/>
  <c r="C654" i="123" s="1"/>
  <c r="B653" i="123"/>
  <c r="C653" i="123" s="1"/>
  <c r="D653" i="123" s="1"/>
  <c r="B652" i="123"/>
  <c r="C652" i="123" s="1"/>
  <c r="B651" i="123"/>
  <c r="B650" i="123"/>
  <c r="B649" i="123"/>
  <c r="C649" i="123" s="1"/>
  <c r="B648" i="123"/>
  <c r="C648" i="123" s="1"/>
  <c r="B647" i="123"/>
  <c r="C647" i="123" s="1"/>
  <c r="B646" i="123"/>
  <c r="C646" i="123" s="1"/>
  <c r="D646" i="123" s="1"/>
  <c r="B645" i="123"/>
  <c r="C645" i="123" s="1"/>
  <c r="B644" i="123"/>
  <c r="B643" i="123"/>
  <c r="B642" i="123"/>
  <c r="C642" i="123" s="1"/>
  <c r="B641" i="123"/>
  <c r="C641" i="123" s="1"/>
  <c r="B640" i="123"/>
  <c r="C640" i="123" s="1"/>
  <c r="B639" i="123"/>
  <c r="C639" i="123" s="1"/>
  <c r="D639" i="123" s="1"/>
  <c r="B638" i="123"/>
  <c r="C638" i="123" s="1"/>
  <c r="B637" i="123"/>
  <c r="B636" i="123"/>
  <c r="B635" i="123"/>
  <c r="C635" i="123" s="1"/>
  <c r="B634" i="123"/>
  <c r="C634" i="123" s="1"/>
  <c r="B633" i="123"/>
  <c r="C633" i="123" s="1"/>
  <c r="B632" i="123"/>
  <c r="C632" i="123" s="1"/>
  <c r="D632" i="123" s="1"/>
  <c r="B631" i="123"/>
  <c r="C631" i="123" s="1"/>
  <c r="B630" i="123"/>
  <c r="B629" i="123"/>
  <c r="B628" i="123"/>
  <c r="C628" i="123" s="1"/>
  <c r="B627" i="123"/>
  <c r="C627" i="123" s="1"/>
  <c r="B626" i="123"/>
  <c r="C626" i="123" s="1"/>
  <c r="B625" i="123"/>
  <c r="C625" i="123" s="1"/>
  <c r="D625" i="123" s="1"/>
  <c r="B624" i="123"/>
  <c r="C624" i="123" s="1"/>
  <c r="B623" i="123"/>
  <c r="B622" i="123"/>
  <c r="B621" i="123"/>
  <c r="C621" i="123" s="1"/>
  <c r="B620" i="123"/>
  <c r="C620" i="123" s="1"/>
  <c r="B619" i="123"/>
  <c r="C619" i="123" s="1"/>
  <c r="B618" i="123"/>
  <c r="C618" i="123" s="1"/>
  <c r="D618" i="123" s="1"/>
  <c r="B617" i="123"/>
  <c r="C617" i="123" s="1"/>
  <c r="B616" i="123"/>
  <c r="B615" i="123"/>
  <c r="B614" i="123"/>
  <c r="C614" i="123" s="1"/>
  <c r="B613" i="123"/>
  <c r="C613" i="123" s="1"/>
  <c r="B612" i="123"/>
  <c r="C612" i="123" s="1"/>
  <c r="B611" i="123"/>
  <c r="C611" i="123" s="1"/>
  <c r="D611" i="123" s="1"/>
  <c r="B610" i="123"/>
  <c r="C610" i="123" s="1"/>
  <c r="B609" i="123"/>
  <c r="B608" i="123"/>
  <c r="B607" i="123"/>
  <c r="C607" i="123" s="1"/>
  <c r="B606" i="123"/>
  <c r="C606" i="123" s="1"/>
  <c r="B605" i="123"/>
  <c r="C605" i="123" s="1"/>
  <c r="B604" i="123"/>
  <c r="C604" i="123" s="1"/>
  <c r="D604" i="123" s="1"/>
  <c r="B603" i="123"/>
  <c r="C603" i="123" s="1"/>
  <c r="B602" i="123"/>
  <c r="B601" i="123"/>
  <c r="B600" i="123"/>
  <c r="C600" i="123" s="1"/>
  <c r="B599" i="123"/>
  <c r="C599" i="123" s="1"/>
  <c r="B598" i="123"/>
  <c r="C598" i="123" s="1"/>
  <c r="B597" i="123"/>
  <c r="C597" i="123" s="1"/>
  <c r="D597" i="123" s="1"/>
  <c r="B596" i="123"/>
  <c r="C596" i="123" s="1"/>
  <c r="B595" i="123"/>
  <c r="B594" i="123"/>
  <c r="B593" i="123"/>
  <c r="C593" i="123" s="1"/>
  <c r="B592" i="123"/>
  <c r="C592" i="123" s="1"/>
  <c r="B591" i="123"/>
  <c r="C591" i="123" s="1"/>
  <c r="B590" i="123"/>
  <c r="C590" i="123" s="1"/>
  <c r="D590" i="123" s="1"/>
  <c r="B589" i="123"/>
  <c r="C589" i="123" s="1"/>
  <c r="B588" i="123"/>
  <c r="B587" i="123"/>
  <c r="B586" i="123"/>
  <c r="C586" i="123" s="1"/>
  <c r="B585" i="123"/>
  <c r="C585" i="123" s="1"/>
  <c r="B584" i="123"/>
  <c r="C584" i="123" s="1"/>
  <c r="B583" i="123"/>
  <c r="C583" i="123" s="1"/>
  <c r="D583" i="123" s="1"/>
  <c r="B582" i="123"/>
  <c r="C582" i="123" s="1"/>
  <c r="B581" i="123"/>
  <c r="B580" i="123"/>
  <c r="B579" i="123"/>
  <c r="C579" i="123" s="1"/>
  <c r="B578" i="123"/>
  <c r="C578" i="123" s="1"/>
  <c r="B577" i="123"/>
  <c r="C577" i="123" s="1"/>
  <c r="B576" i="123"/>
  <c r="C576" i="123" s="1"/>
  <c r="D576" i="123" s="1"/>
  <c r="B575" i="123"/>
  <c r="C575" i="123" s="1"/>
  <c r="B574" i="123"/>
  <c r="B573" i="123"/>
  <c r="B572" i="123"/>
  <c r="C572" i="123" s="1"/>
  <c r="B571" i="123"/>
  <c r="C571" i="123" s="1"/>
  <c r="B570" i="123"/>
  <c r="C570" i="123" s="1"/>
  <c r="B569" i="123"/>
  <c r="C569" i="123" s="1"/>
  <c r="D569" i="123" s="1"/>
  <c r="B568" i="123"/>
  <c r="C568" i="123" s="1"/>
  <c r="B567" i="123"/>
  <c r="B566" i="123"/>
  <c r="B565" i="123"/>
  <c r="C565" i="123" s="1"/>
  <c r="B564" i="123"/>
  <c r="C564" i="123" s="1"/>
  <c r="B563" i="123"/>
  <c r="C563" i="123" s="1"/>
  <c r="B562" i="123"/>
  <c r="C562" i="123" s="1"/>
  <c r="D562" i="123" s="1"/>
  <c r="B561" i="123"/>
  <c r="C561" i="123" s="1"/>
  <c r="B560" i="123"/>
  <c r="B559" i="123"/>
  <c r="B558" i="123"/>
  <c r="C558" i="123" s="1"/>
  <c r="B557" i="123"/>
  <c r="C557" i="123" s="1"/>
  <c r="B556" i="123"/>
  <c r="C556" i="123" s="1"/>
  <c r="B555" i="123"/>
  <c r="C555" i="123" s="1"/>
  <c r="D555" i="123" s="1"/>
  <c r="B554" i="123"/>
  <c r="C554" i="123" s="1"/>
  <c r="B553" i="123"/>
  <c r="B552" i="123"/>
  <c r="B551" i="123"/>
  <c r="C551" i="123" s="1"/>
  <c r="B550" i="123"/>
  <c r="C550" i="123" s="1"/>
  <c r="B549" i="123"/>
  <c r="C549" i="123" s="1"/>
  <c r="B548" i="123"/>
  <c r="C548" i="123" s="1"/>
  <c r="D548" i="123" s="1"/>
  <c r="B547" i="123"/>
  <c r="C547" i="123" s="1"/>
  <c r="B546" i="123"/>
  <c r="B545" i="123"/>
  <c r="B544" i="123"/>
  <c r="C544" i="123" s="1"/>
  <c r="B543" i="123"/>
  <c r="C543" i="123" s="1"/>
  <c r="B542" i="123"/>
  <c r="C542" i="123" s="1"/>
  <c r="B541" i="123"/>
  <c r="C541" i="123" s="1"/>
  <c r="D541" i="123" s="1"/>
  <c r="B540" i="123"/>
  <c r="C540" i="123" s="1"/>
  <c r="B539" i="123"/>
  <c r="B538" i="123"/>
  <c r="B537" i="123"/>
  <c r="C537" i="123" s="1"/>
  <c r="B536" i="123"/>
  <c r="C536" i="123" s="1"/>
  <c r="B535" i="123"/>
  <c r="C535" i="123" s="1"/>
  <c r="B534" i="123"/>
  <c r="C534" i="123" s="1"/>
  <c r="D534" i="123" s="1"/>
  <c r="B533" i="123"/>
  <c r="C533" i="123" s="1"/>
  <c r="B532" i="123"/>
  <c r="B531" i="123"/>
  <c r="B530" i="123"/>
  <c r="C530" i="123" s="1"/>
  <c r="B529" i="123"/>
  <c r="C529" i="123" s="1"/>
  <c r="B528" i="123"/>
  <c r="C528" i="123" s="1"/>
  <c r="B527" i="123"/>
  <c r="C527" i="123" s="1"/>
  <c r="D527" i="123" s="1"/>
  <c r="B526" i="123"/>
  <c r="C526" i="123" s="1"/>
  <c r="B525" i="123"/>
  <c r="B524" i="123"/>
  <c r="B523" i="123"/>
  <c r="C523" i="123" s="1"/>
  <c r="B522" i="123"/>
  <c r="C522" i="123" s="1"/>
  <c r="B521" i="123"/>
  <c r="C521" i="123" s="1"/>
  <c r="B520" i="123"/>
  <c r="C520" i="123" s="1"/>
  <c r="D520" i="123" s="1"/>
  <c r="B519" i="123"/>
  <c r="C519" i="123" s="1"/>
  <c r="B518" i="123"/>
  <c r="B517" i="123"/>
  <c r="B516" i="123"/>
  <c r="C516" i="123" s="1"/>
  <c r="B515" i="123"/>
  <c r="C515" i="123" s="1"/>
  <c r="B514" i="123"/>
  <c r="C514" i="123" s="1"/>
  <c r="B513" i="123"/>
  <c r="C513" i="123" s="1"/>
  <c r="D513" i="123" s="1"/>
  <c r="B512" i="123"/>
  <c r="C512" i="123" s="1"/>
  <c r="B511" i="123"/>
  <c r="B510" i="123"/>
  <c r="B509" i="123"/>
  <c r="C509" i="123" s="1"/>
  <c r="B508" i="123"/>
  <c r="C508" i="123" s="1"/>
  <c r="B507" i="123"/>
  <c r="C507" i="123" s="1"/>
  <c r="B506" i="123"/>
  <c r="C506" i="123" s="1"/>
  <c r="D506" i="123" s="1"/>
  <c r="B505" i="123"/>
  <c r="C505" i="123" s="1"/>
  <c r="B504" i="123"/>
  <c r="B503" i="123"/>
  <c r="B502" i="123"/>
  <c r="C502" i="123" s="1"/>
  <c r="B501" i="123"/>
  <c r="C501" i="123" s="1"/>
  <c r="B500" i="123"/>
  <c r="C500" i="123" s="1"/>
  <c r="B499" i="123"/>
  <c r="C499" i="123" s="1"/>
  <c r="D499" i="123" s="1"/>
  <c r="B498" i="123"/>
  <c r="C498" i="123" s="1"/>
  <c r="B497" i="123"/>
  <c r="B496" i="123"/>
  <c r="B495" i="123"/>
  <c r="C495" i="123" s="1"/>
  <c r="B494" i="123"/>
  <c r="C494" i="123" s="1"/>
  <c r="B493" i="123"/>
  <c r="C493" i="123" s="1"/>
  <c r="B492" i="123"/>
  <c r="C492" i="123" s="1"/>
  <c r="D492" i="123" s="1"/>
  <c r="B491" i="123"/>
  <c r="C491" i="123" s="1"/>
  <c r="B490" i="123"/>
  <c r="B489" i="123"/>
  <c r="B488" i="123"/>
  <c r="C488" i="123" s="1"/>
  <c r="B487" i="123"/>
  <c r="C487" i="123" s="1"/>
  <c r="B486" i="123"/>
  <c r="C486" i="123" s="1"/>
  <c r="B485" i="123"/>
  <c r="C485" i="123" s="1"/>
  <c r="D485" i="123" s="1"/>
  <c r="B484" i="123"/>
  <c r="C484" i="123" s="1"/>
  <c r="B483" i="123"/>
  <c r="B482" i="123"/>
  <c r="B481" i="123"/>
  <c r="C481" i="123" s="1"/>
  <c r="B480" i="123"/>
  <c r="C480" i="123" s="1"/>
  <c r="B479" i="123"/>
  <c r="C479" i="123" s="1"/>
  <c r="B478" i="123"/>
  <c r="C478" i="123" s="1"/>
  <c r="D478" i="123" s="1"/>
  <c r="B477" i="123"/>
  <c r="C477" i="123" s="1"/>
  <c r="B476" i="123"/>
  <c r="B475" i="123"/>
  <c r="B474" i="123"/>
  <c r="C474" i="123" s="1"/>
  <c r="B473" i="123"/>
  <c r="C473" i="123" s="1"/>
  <c r="B472" i="123"/>
  <c r="C472" i="123" s="1"/>
  <c r="B471" i="123"/>
  <c r="C471" i="123" s="1"/>
  <c r="D471" i="123" s="1"/>
  <c r="B470" i="123"/>
  <c r="C470" i="123" s="1"/>
  <c r="B469" i="123"/>
  <c r="B468" i="123"/>
  <c r="B467" i="123"/>
  <c r="C467" i="123" s="1"/>
  <c r="B466" i="123"/>
  <c r="C466" i="123" s="1"/>
  <c r="B465" i="123"/>
  <c r="C465" i="123" s="1"/>
  <c r="B464" i="123"/>
  <c r="C464" i="123" s="1"/>
  <c r="D464" i="123" s="1"/>
  <c r="B463" i="123"/>
  <c r="C463" i="123" s="1"/>
  <c r="B462" i="123"/>
  <c r="B461" i="123"/>
  <c r="B460" i="123"/>
  <c r="C460" i="123" s="1"/>
  <c r="B459" i="123"/>
  <c r="C459" i="123" s="1"/>
  <c r="B458" i="123"/>
  <c r="C458" i="123" s="1"/>
  <c r="B457" i="123"/>
  <c r="C457" i="123" s="1"/>
  <c r="D457" i="123" s="1"/>
  <c r="B456" i="123"/>
  <c r="C456" i="123" s="1"/>
  <c r="B455" i="123"/>
  <c r="B454" i="123"/>
  <c r="B453" i="123"/>
  <c r="C453" i="123" s="1"/>
  <c r="B452" i="123"/>
  <c r="C452" i="123" s="1"/>
  <c r="B451" i="123"/>
  <c r="C451" i="123" s="1"/>
  <c r="B450" i="123"/>
  <c r="C450" i="123" s="1"/>
  <c r="D450" i="123" s="1"/>
  <c r="B449" i="123"/>
  <c r="C449" i="123" s="1"/>
  <c r="B448" i="123"/>
  <c r="B447" i="123"/>
  <c r="B446" i="123"/>
  <c r="C446" i="123" s="1"/>
  <c r="B445" i="123"/>
  <c r="C445" i="123" s="1"/>
  <c r="B444" i="123"/>
  <c r="C444" i="123" s="1"/>
  <c r="B443" i="123"/>
  <c r="C443" i="123" s="1"/>
  <c r="D443" i="123" s="1"/>
  <c r="B442" i="123"/>
  <c r="C442" i="123" s="1"/>
  <c r="B441" i="123"/>
  <c r="B440" i="123"/>
  <c r="B439" i="123"/>
  <c r="C439" i="123" s="1"/>
  <c r="B438" i="123"/>
  <c r="C438" i="123" s="1"/>
  <c r="B437" i="123"/>
  <c r="C437" i="123" s="1"/>
  <c r="B436" i="123"/>
  <c r="C436" i="123" s="1"/>
  <c r="D436" i="123" s="1"/>
  <c r="B435" i="123"/>
  <c r="C435" i="123" s="1"/>
  <c r="B434" i="123"/>
  <c r="B433" i="123"/>
  <c r="B432" i="123"/>
  <c r="C432" i="123" s="1"/>
  <c r="B431" i="123"/>
  <c r="C431" i="123" s="1"/>
  <c r="B430" i="123"/>
  <c r="C430" i="123" s="1"/>
  <c r="B429" i="123"/>
  <c r="C429" i="123" s="1"/>
  <c r="D429" i="123" s="1"/>
  <c r="B428" i="123"/>
  <c r="C428" i="123" s="1"/>
  <c r="B427" i="123"/>
  <c r="B426" i="123"/>
  <c r="B425" i="123"/>
  <c r="C425" i="123" s="1"/>
  <c r="B424" i="123"/>
  <c r="C424" i="123" s="1"/>
  <c r="B423" i="123"/>
  <c r="C423" i="123" s="1"/>
  <c r="B422" i="123"/>
  <c r="C422" i="123" s="1"/>
  <c r="D422" i="123" s="1"/>
  <c r="B421" i="123"/>
  <c r="C421" i="123" s="1"/>
  <c r="B420" i="123"/>
  <c r="B419" i="123"/>
  <c r="B418" i="123"/>
  <c r="C418" i="123" s="1"/>
  <c r="B417" i="123"/>
  <c r="C417" i="123" s="1"/>
  <c r="B416" i="123"/>
  <c r="C416" i="123" s="1"/>
  <c r="B415" i="123"/>
  <c r="C415" i="123" s="1"/>
  <c r="D415" i="123" s="1"/>
  <c r="B414" i="123"/>
  <c r="C414" i="123" s="1"/>
  <c r="B413" i="123"/>
  <c r="B412" i="123"/>
  <c r="B411" i="123"/>
  <c r="C411" i="123" s="1"/>
  <c r="B410" i="123"/>
  <c r="C410" i="123" s="1"/>
  <c r="B409" i="123"/>
  <c r="C409" i="123" s="1"/>
  <c r="B408" i="123"/>
  <c r="C408" i="123" s="1"/>
  <c r="D408" i="123" s="1"/>
  <c r="B407" i="123"/>
  <c r="C407" i="123" s="1"/>
  <c r="B406" i="123"/>
  <c r="B405" i="123"/>
  <c r="B404" i="123"/>
  <c r="C404" i="123" s="1"/>
  <c r="B403" i="123"/>
  <c r="C403" i="123" s="1"/>
  <c r="B402" i="123"/>
  <c r="C402" i="123" s="1"/>
  <c r="B401" i="123"/>
  <c r="C401" i="123" s="1"/>
  <c r="D401" i="123" s="1"/>
  <c r="B400" i="123"/>
  <c r="C400" i="123" s="1"/>
  <c r="B399" i="123"/>
  <c r="B398" i="123"/>
  <c r="B397" i="123"/>
  <c r="C397" i="123" s="1"/>
  <c r="B396" i="123"/>
  <c r="C396" i="123" s="1"/>
  <c r="B395" i="123"/>
  <c r="C395" i="123" s="1"/>
  <c r="B394" i="123"/>
  <c r="C394" i="123" s="1"/>
  <c r="D394" i="123" s="1"/>
  <c r="B393" i="123"/>
  <c r="C393" i="123" s="1"/>
  <c r="B392" i="123"/>
  <c r="B391" i="123"/>
  <c r="B390" i="123"/>
  <c r="C390" i="123" s="1"/>
  <c r="B389" i="123"/>
  <c r="C389" i="123" s="1"/>
  <c r="B388" i="123"/>
  <c r="C388" i="123" s="1"/>
  <c r="B387" i="123"/>
  <c r="C387" i="123" s="1"/>
  <c r="D387" i="123" s="1"/>
  <c r="B386" i="123"/>
  <c r="C386" i="123" s="1"/>
  <c r="B385" i="123"/>
  <c r="B384" i="123"/>
  <c r="B383" i="123"/>
  <c r="C383" i="123" s="1"/>
  <c r="B382" i="123"/>
  <c r="C382" i="123" s="1"/>
  <c r="B381" i="123"/>
  <c r="C381" i="123" s="1"/>
  <c r="B380" i="123"/>
  <c r="C380" i="123" s="1"/>
  <c r="D380" i="123" s="1"/>
  <c r="B379" i="123"/>
  <c r="C379" i="123" s="1"/>
  <c r="B378" i="123"/>
  <c r="B377" i="123"/>
  <c r="B376" i="123"/>
  <c r="C376" i="123" s="1"/>
  <c r="B375" i="123"/>
  <c r="C375" i="123" s="1"/>
  <c r="B374" i="123"/>
  <c r="C374" i="123" s="1"/>
  <c r="B373" i="123"/>
  <c r="C373" i="123" s="1"/>
  <c r="D373" i="123" s="1"/>
  <c r="B372" i="123"/>
  <c r="C372" i="123" s="1"/>
  <c r="B371" i="123"/>
  <c r="B370" i="123"/>
  <c r="B369" i="123"/>
  <c r="C369" i="123" s="1"/>
  <c r="B368" i="123"/>
  <c r="C368" i="123" s="1"/>
  <c r="B367" i="123"/>
  <c r="C367" i="123" s="1"/>
  <c r="B366" i="123"/>
  <c r="C366" i="123" s="1"/>
  <c r="D366" i="123" s="1"/>
  <c r="B365" i="123"/>
  <c r="C365" i="123" s="1"/>
  <c r="B364" i="123"/>
  <c r="B363" i="123"/>
  <c r="B362" i="123"/>
  <c r="C362" i="123" s="1"/>
  <c r="B361" i="123"/>
  <c r="C361" i="123" s="1"/>
  <c r="B360" i="123"/>
  <c r="C360" i="123" s="1"/>
  <c r="B359" i="123"/>
  <c r="C359" i="123" s="1"/>
  <c r="D359" i="123" s="1"/>
  <c r="B358" i="123"/>
  <c r="C358" i="123" s="1"/>
  <c r="B357" i="123"/>
  <c r="B356" i="123"/>
  <c r="B355" i="123"/>
  <c r="C355" i="123" s="1"/>
  <c r="B354" i="123"/>
  <c r="C354" i="123" s="1"/>
  <c r="B353" i="123"/>
  <c r="C353" i="123" s="1"/>
  <c r="B352" i="123"/>
  <c r="C352" i="123" s="1"/>
  <c r="D352" i="123" s="1"/>
  <c r="B351" i="123"/>
  <c r="C351" i="123" s="1"/>
  <c r="B350" i="123"/>
  <c r="B349" i="123"/>
  <c r="B348" i="123"/>
  <c r="C348" i="123" s="1"/>
  <c r="B347" i="123"/>
  <c r="C347" i="123" s="1"/>
  <c r="B346" i="123"/>
  <c r="C346" i="123" s="1"/>
  <c r="B345" i="123"/>
  <c r="C345" i="123" s="1"/>
  <c r="D345" i="123" s="1"/>
  <c r="B344" i="123"/>
  <c r="C344" i="123" s="1"/>
  <c r="B343" i="123"/>
  <c r="B342" i="123"/>
  <c r="B341" i="123"/>
  <c r="C341" i="123" s="1"/>
  <c r="B340" i="123"/>
  <c r="C340" i="123" s="1"/>
  <c r="B339" i="123"/>
  <c r="C339" i="123" s="1"/>
  <c r="B338" i="123"/>
  <c r="C338" i="123" s="1"/>
  <c r="D338" i="123" s="1"/>
  <c r="B337" i="123"/>
  <c r="C337" i="123" s="1"/>
  <c r="B336" i="123"/>
  <c r="B335" i="123"/>
  <c r="B334" i="123"/>
  <c r="C334" i="123" s="1"/>
  <c r="B333" i="123"/>
  <c r="C333" i="123" s="1"/>
  <c r="B332" i="123"/>
  <c r="C332" i="123" s="1"/>
  <c r="B331" i="123"/>
  <c r="C331" i="123" s="1"/>
  <c r="D331" i="123" s="1"/>
  <c r="B330" i="123"/>
  <c r="B329" i="123"/>
  <c r="B328" i="123"/>
  <c r="B327" i="123"/>
  <c r="C327" i="123" s="1"/>
  <c r="B326" i="123"/>
  <c r="C326" i="123" s="1"/>
  <c r="B325" i="123"/>
  <c r="C325" i="123" s="1"/>
  <c r="B324" i="123"/>
  <c r="C324" i="123" s="1"/>
  <c r="D324" i="123" s="1"/>
  <c r="B323" i="123"/>
  <c r="C323" i="123" s="1"/>
  <c r="B322" i="123"/>
  <c r="B321" i="123"/>
  <c r="B320" i="123"/>
  <c r="C320" i="123" s="1"/>
  <c r="B319" i="123"/>
  <c r="C319" i="123" s="1"/>
  <c r="B318" i="123"/>
  <c r="C318" i="123" s="1"/>
  <c r="B317" i="123"/>
  <c r="C317" i="123" s="1"/>
  <c r="D317" i="123" s="1"/>
  <c r="B316" i="123"/>
  <c r="C316" i="123" s="1"/>
  <c r="B315" i="123"/>
  <c r="B314" i="123"/>
  <c r="B313" i="123"/>
  <c r="C313" i="123" s="1"/>
  <c r="B312" i="123"/>
  <c r="C312" i="123" s="1"/>
  <c r="B311" i="123"/>
  <c r="C311" i="123" s="1"/>
  <c r="B310" i="123"/>
  <c r="C310" i="123" s="1"/>
  <c r="D310" i="123" s="1"/>
  <c r="B309" i="123"/>
  <c r="C309" i="123" s="1"/>
  <c r="B308" i="123"/>
  <c r="B307" i="123"/>
  <c r="B306" i="123"/>
  <c r="C306" i="123" s="1"/>
  <c r="B305" i="123"/>
  <c r="C305" i="123" s="1"/>
  <c r="B304" i="123"/>
  <c r="C304" i="123" s="1"/>
  <c r="B303" i="123"/>
  <c r="C303" i="123" s="1"/>
  <c r="D303" i="123" s="1"/>
  <c r="B302" i="123"/>
  <c r="C302" i="123" s="1"/>
  <c r="B301" i="123"/>
  <c r="B300" i="123"/>
  <c r="B299" i="123"/>
  <c r="C299" i="123" s="1"/>
  <c r="B298" i="123"/>
  <c r="C298" i="123" s="1"/>
  <c r="B297" i="123"/>
  <c r="C297" i="123" s="1"/>
  <c r="B296" i="123"/>
  <c r="C296" i="123" s="1"/>
  <c r="D296" i="123" s="1"/>
  <c r="T1901" i="123"/>
  <c r="T1904" i="123"/>
  <c r="T1907" i="123"/>
  <c r="T1910" i="123"/>
  <c r="T1913" i="123"/>
  <c r="T1916" i="123"/>
  <c r="T1919" i="123"/>
  <c r="T1871" i="123"/>
  <c r="T1874" i="123"/>
  <c r="T1877" i="123"/>
  <c r="T1880" i="123"/>
  <c r="T1883" i="123"/>
  <c r="T1886" i="123"/>
  <c r="T1889" i="123"/>
  <c r="T1892" i="123"/>
  <c r="T1895" i="123"/>
  <c r="T1898" i="123"/>
  <c r="T1698" i="123"/>
  <c r="T1699" i="123"/>
  <c r="T1700" i="123"/>
  <c r="T1701" i="123"/>
  <c r="T1702" i="123"/>
  <c r="T1703" i="123"/>
  <c r="T1704" i="123"/>
  <c r="T1705" i="123"/>
  <c r="T1706" i="123"/>
  <c r="T1707" i="123"/>
  <c r="T1708" i="123"/>
  <c r="T1709" i="123"/>
  <c r="T1710" i="123"/>
  <c r="T1711" i="123"/>
  <c r="T1712" i="123"/>
  <c r="T1713" i="123"/>
  <c r="T1714" i="123"/>
  <c r="T1715" i="123"/>
  <c r="T1716" i="123"/>
  <c r="T1717" i="123"/>
  <c r="T1718" i="123"/>
  <c r="T1719" i="123"/>
  <c r="T1720" i="123"/>
  <c r="T1721" i="123"/>
  <c r="T1722" i="123"/>
  <c r="T1723" i="123"/>
  <c r="T1724" i="123"/>
  <c r="T1725" i="123"/>
  <c r="T1726" i="123"/>
  <c r="T1727" i="123"/>
  <c r="T1728" i="123"/>
  <c r="T1729" i="123"/>
  <c r="T1730" i="123"/>
  <c r="T1731" i="123"/>
  <c r="T1732" i="123"/>
  <c r="T1733" i="123"/>
  <c r="T1734" i="123"/>
  <c r="T1735" i="123"/>
  <c r="T1736" i="123"/>
  <c r="T1738" i="123"/>
  <c r="T1739" i="123"/>
  <c r="T1740" i="123"/>
  <c r="T1741" i="123"/>
  <c r="T1742" i="123"/>
  <c r="T1743" i="123"/>
  <c r="T1744" i="123"/>
  <c r="T1745" i="123"/>
  <c r="T1746" i="123"/>
  <c r="T1747" i="123"/>
  <c r="T1748" i="123"/>
  <c r="T1749" i="123"/>
  <c r="T1750" i="123"/>
  <c r="T1751" i="123"/>
  <c r="T1752" i="123"/>
  <c r="T1753" i="123"/>
  <c r="T1754" i="123"/>
  <c r="T1755" i="123"/>
  <c r="T1756" i="123"/>
  <c r="T1757" i="123"/>
  <c r="T1758" i="123"/>
  <c r="T1759" i="123"/>
  <c r="T1760" i="123"/>
  <c r="T1761" i="123"/>
  <c r="T1762" i="123"/>
  <c r="T1763" i="123"/>
  <c r="T1764" i="123"/>
  <c r="T1765" i="123"/>
  <c r="T1766" i="123"/>
  <c r="T1767" i="123"/>
  <c r="T1768" i="123"/>
  <c r="T1769" i="123"/>
  <c r="T1770" i="123"/>
  <c r="T1771" i="123"/>
  <c r="T1772" i="123"/>
  <c r="T1773" i="123"/>
  <c r="T1774" i="123"/>
  <c r="T1775" i="123"/>
  <c r="T1776" i="123"/>
  <c r="T1777" i="123"/>
  <c r="T1778" i="123"/>
  <c r="T1779" i="123"/>
  <c r="T1780" i="123"/>
  <c r="T1781" i="123"/>
  <c r="T1782" i="123"/>
  <c r="T1783" i="123"/>
  <c r="T1784" i="123"/>
  <c r="T1785" i="123"/>
  <c r="T1786" i="123"/>
  <c r="T1787" i="123"/>
  <c r="T1788" i="123"/>
  <c r="T1789" i="123"/>
  <c r="T1790" i="123"/>
  <c r="T1791" i="123"/>
  <c r="T1792" i="123"/>
  <c r="T1793" i="123"/>
  <c r="T1794" i="123"/>
  <c r="T1795" i="123"/>
  <c r="T1796" i="123"/>
  <c r="T1797" i="123"/>
  <c r="T1798" i="123"/>
  <c r="T1800" i="123"/>
  <c r="T1801" i="123"/>
  <c r="T1802" i="123"/>
  <c r="T1803" i="123"/>
  <c r="T1804" i="123"/>
  <c r="T1805" i="123"/>
  <c r="T1806" i="123"/>
  <c r="T1807" i="123"/>
  <c r="T1808" i="123"/>
  <c r="T1809" i="123"/>
  <c r="T1810" i="123"/>
  <c r="T1811" i="123"/>
  <c r="T1812" i="123"/>
  <c r="T1813" i="123"/>
  <c r="T1814" i="123"/>
  <c r="T1815" i="123"/>
  <c r="T1816" i="123"/>
  <c r="T1817" i="123"/>
  <c r="T1818" i="123"/>
  <c r="T1819" i="123"/>
  <c r="T1820" i="123"/>
  <c r="T1821" i="123"/>
  <c r="T1822" i="123"/>
  <c r="T1823" i="123"/>
  <c r="T1824" i="123"/>
  <c r="T1825" i="123"/>
  <c r="T1826" i="123"/>
  <c r="T1827" i="123"/>
  <c r="T1828" i="123"/>
  <c r="T1829" i="123"/>
  <c r="T1830" i="123"/>
  <c r="T1831" i="123"/>
  <c r="T1832" i="123"/>
  <c r="T1833" i="123"/>
  <c r="T1834" i="123"/>
  <c r="T1835" i="123"/>
  <c r="T1836" i="123"/>
  <c r="T1837" i="123"/>
  <c r="T1838" i="123"/>
  <c r="T1839" i="123"/>
  <c r="T1840" i="123"/>
  <c r="T1841" i="123"/>
  <c r="T1842" i="123"/>
  <c r="T1843" i="123"/>
  <c r="T1844" i="123"/>
  <c r="T1845" i="123"/>
  <c r="T1846" i="123"/>
  <c r="T1847" i="123"/>
  <c r="T1848" i="123"/>
  <c r="T1849" i="123"/>
  <c r="T1850" i="123"/>
  <c r="T1851" i="123"/>
  <c r="T1852" i="123"/>
  <c r="T1853" i="123"/>
  <c r="T1854" i="123"/>
  <c r="T1855" i="123"/>
  <c r="T1856" i="123"/>
  <c r="T1857" i="123"/>
  <c r="T1858" i="123"/>
  <c r="T1667" i="123"/>
  <c r="T1668" i="123"/>
  <c r="T1669" i="123"/>
  <c r="T1670" i="123"/>
  <c r="T1671" i="123"/>
  <c r="T1672" i="123"/>
  <c r="T1673" i="123"/>
  <c r="T1674" i="123"/>
  <c r="T1676" i="123"/>
  <c r="T1677" i="123"/>
  <c r="T1678" i="123"/>
  <c r="T1679" i="123"/>
  <c r="T1680" i="123"/>
  <c r="T1681" i="123"/>
  <c r="T1682" i="123"/>
  <c r="T1683" i="123"/>
  <c r="T1684" i="123"/>
  <c r="T1685" i="123"/>
  <c r="T1686" i="123"/>
  <c r="T1687" i="123"/>
  <c r="T1688" i="123"/>
  <c r="T1689" i="123"/>
  <c r="T1690" i="123"/>
  <c r="T1691" i="123"/>
  <c r="T1692" i="123"/>
  <c r="T1693" i="123"/>
  <c r="T1694" i="123"/>
  <c r="T1695" i="123"/>
  <c r="T1696" i="123"/>
  <c r="T1697" i="123"/>
  <c r="D1801" i="123"/>
  <c r="D1802" i="123"/>
  <c r="D1803" i="123"/>
  <c r="D1804" i="123"/>
  <c r="D1805" i="123"/>
  <c r="D1806" i="123"/>
  <c r="D1807" i="123"/>
  <c r="D1808" i="123"/>
  <c r="D1809" i="123"/>
  <c r="D1810" i="123"/>
  <c r="D1811" i="123"/>
  <c r="D1812" i="123"/>
  <c r="D1813" i="123"/>
  <c r="D1814" i="123"/>
  <c r="D1815" i="123"/>
  <c r="D1816" i="123"/>
  <c r="D1817" i="123"/>
  <c r="D1818" i="123"/>
  <c r="D1819" i="123"/>
  <c r="D1820" i="123"/>
  <c r="D1821" i="123"/>
  <c r="D1822" i="123"/>
  <c r="D1823" i="123"/>
  <c r="D1824" i="123"/>
  <c r="D1825" i="123"/>
  <c r="D1826" i="123"/>
  <c r="D1827" i="123"/>
  <c r="D1828" i="123"/>
  <c r="D1829" i="123"/>
  <c r="D1830" i="123"/>
  <c r="D1831" i="123"/>
  <c r="D1832" i="123"/>
  <c r="D1833" i="123"/>
  <c r="D1834" i="123"/>
  <c r="D1835" i="123"/>
  <c r="D1836" i="123"/>
  <c r="D1837" i="123"/>
  <c r="D1838" i="123"/>
  <c r="D1839" i="123"/>
  <c r="D1840" i="123"/>
  <c r="D1841" i="123"/>
  <c r="D1842" i="123"/>
  <c r="D1843" i="123"/>
  <c r="D1844" i="123"/>
  <c r="D1845" i="123"/>
  <c r="D1846" i="123"/>
  <c r="D1847" i="123"/>
  <c r="D1848" i="123"/>
  <c r="D1849" i="123"/>
  <c r="D1850" i="123"/>
  <c r="D1851" i="123"/>
  <c r="D1852" i="123"/>
  <c r="D1853" i="123"/>
  <c r="D1854" i="123"/>
  <c r="D1855" i="123"/>
  <c r="D1856" i="123"/>
  <c r="D1857" i="123"/>
  <c r="D1858" i="123"/>
  <c r="D1800" i="123"/>
  <c r="D1798" i="123"/>
  <c r="D1797" i="123"/>
  <c r="D1739" i="123"/>
  <c r="D1740" i="123"/>
  <c r="D1741" i="123"/>
  <c r="D1742" i="123"/>
  <c r="D1743" i="123"/>
  <c r="D1744" i="123"/>
  <c r="D1745" i="123"/>
  <c r="D1746" i="123"/>
  <c r="D1747" i="123"/>
  <c r="D1748" i="123"/>
  <c r="D1749" i="123"/>
  <c r="D1750" i="123"/>
  <c r="D1751" i="123"/>
  <c r="D1752" i="123"/>
  <c r="D1753" i="123"/>
  <c r="D1754" i="123"/>
  <c r="D1755" i="123"/>
  <c r="D1756" i="123"/>
  <c r="D1757" i="123"/>
  <c r="D1758" i="123"/>
  <c r="D1759" i="123"/>
  <c r="D1760" i="123"/>
  <c r="D1761" i="123"/>
  <c r="D1762" i="123"/>
  <c r="D1763" i="123"/>
  <c r="D1764" i="123"/>
  <c r="D1765" i="123"/>
  <c r="D1766" i="123"/>
  <c r="D1767" i="123"/>
  <c r="D1768" i="123"/>
  <c r="D1769" i="123"/>
  <c r="D1770" i="123"/>
  <c r="D1771" i="123"/>
  <c r="D1772" i="123"/>
  <c r="D1773" i="123"/>
  <c r="D1774" i="123"/>
  <c r="D1775" i="123"/>
  <c r="D1776" i="123"/>
  <c r="D1777" i="123"/>
  <c r="D1778" i="123"/>
  <c r="D1779" i="123"/>
  <c r="D1780" i="123"/>
  <c r="D1781" i="123"/>
  <c r="D1782" i="123"/>
  <c r="D1783" i="123"/>
  <c r="D1784" i="123"/>
  <c r="D1785" i="123"/>
  <c r="D1786" i="123"/>
  <c r="D1787" i="123"/>
  <c r="D1788" i="123"/>
  <c r="D1789" i="123"/>
  <c r="D1790" i="123"/>
  <c r="D1791" i="123"/>
  <c r="D1792" i="123"/>
  <c r="D1793" i="123"/>
  <c r="D1794" i="123"/>
  <c r="D1795" i="123"/>
  <c r="D1796" i="123"/>
  <c r="D1738" i="123"/>
  <c r="D1736" i="123"/>
  <c r="D1735" i="123"/>
  <c r="D1677" i="123"/>
  <c r="D1678" i="123"/>
  <c r="D1679" i="123"/>
  <c r="D1680" i="123"/>
  <c r="D1681" i="123"/>
  <c r="D1682" i="123"/>
  <c r="D1683" i="123"/>
  <c r="D1684" i="123"/>
  <c r="D1685" i="123"/>
  <c r="D1686" i="123"/>
  <c r="D1687" i="123"/>
  <c r="D1688" i="123"/>
  <c r="D1689" i="123"/>
  <c r="D1690" i="123"/>
  <c r="D1691" i="123"/>
  <c r="D1692" i="123"/>
  <c r="D1693" i="123"/>
  <c r="D1694" i="123"/>
  <c r="D1695" i="123"/>
  <c r="D1696" i="123"/>
  <c r="D1697" i="123"/>
  <c r="D1698" i="123"/>
  <c r="D1699" i="123"/>
  <c r="D1700" i="123"/>
  <c r="D1701" i="123"/>
  <c r="D1702" i="123"/>
  <c r="D1703" i="123"/>
  <c r="D1704" i="123"/>
  <c r="D1705" i="123"/>
  <c r="D1706" i="123"/>
  <c r="D1707" i="123"/>
  <c r="D1708" i="123"/>
  <c r="D1709" i="123"/>
  <c r="D1710" i="123"/>
  <c r="D1711" i="123"/>
  <c r="D1712" i="123"/>
  <c r="D1713" i="123"/>
  <c r="D1714" i="123"/>
  <c r="D1715" i="123"/>
  <c r="D1716" i="123"/>
  <c r="D1717" i="123"/>
  <c r="D1718" i="123"/>
  <c r="D1719" i="123"/>
  <c r="D1720" i="123"/>
  <c r="D1721" i="123"/>
  <c r="D1722" i="123"/>
  <c r="D1723" i="123"/>
  <c r="D1724" i="123"/>
  <c r="D1725" i="123"/>
  <c r="D1726" i="123"/>
  <c r="D1727" i="123"/>
  <c r="D1728" i="123"/>
  <c r="D1729" i="123"/>
  <c r="D1730" i="123"/>
  <c r="D1731" i="123"/>
  <c r="D1732" i="123"/>
  <c r="D1733" i="123"/>
  <c r="D1734" i="123"/>
  <c r="D1676" i="123"/>
  <c r="D1674" i="123"/>
  <c r="D1673" i="123"/>
  <c r="D1615" i="123"/>
  <c r="D1616" i="123"/>
  <c r="D1617" i="123"/>
  <c r="D1618" i="123"/>
  <c r="D1619" i="123"/>
  <c r="D1620" i="123"/>
  <c r="D1621" i="123"/>
  <c r="D1622" i="123"/>
  <c r="D1623" i="123"/>
  <c r="D1624" i="123"/>
  <c r="D1625" i="123"/>
  <c r="D1626" i="123"/>
  <c r="D1627" i="123"/>
  <c r="D1628" i="123"/>
  <c r="D1629" i="123"/>
  <c r="D1630" i="123"/>
  <c r="D1631" i="123"/>
  <c r="D1632" i="123"/>
  <c r="D1633" i="123"/>
  <c r="D1634" i="123"/>
  <c r="D1635" i="123"/>
  <c r="D1636" i="123"/>
  <c r="D1637" i="123"/>
  <c r="D1638" i="123"/>
  <c r="D1639" i="123"/>
  <c r="D1640" i="123"/>
  <c r="D1641" i="123"/>
  <c r="D1642" i="123"/>
  <c r="D1643" i="123"/>
  <c r="D1644" i="123"/>
  <c r="D1645" i="123"/>
  <c r="D1646" i="123"/>
  <c r="D1647" i="123"/>
  <c r="D1648" i="123"/>
  <c r="D1649" i="123"/>
  <c r="D1650" i="123"/>
  <c r="D1651" i="123"/>
  <c r="D1652" i="123"/>
  <c r="D1653" i="123"/>
  <c r="D1654" i="123"/>
  <c r="D1655" i="123"/>
  <c r="D1656" i="123"/>
  <c r="D1657" i="123"/>
  <c r="D1658" i="123"/>
  <c r="D1659" i="123"/>
  <c r="D1660" i="123"/>
  <c r="D1661" i="123"/>
  <c r="D1662" i="123"/>
  <c r="D1663" i="123"/>
  <c r="D1664" i="123"/>
  <c r="D1665" i="123"/>
  <c r="D1666" i="123"/>
  <c r="D1667" i="123"/>
  <c r="D1668" i="123"/>
  <c r="D1669" i="123"/>
  <c r="D1670" i="123"/>
  <c r="D1671" i="123"/>
  <c r="D1672" i="123"/>
  <c r="D1614" i="123"/>
  <c r="D1612" i="123"/>
  <c r="D1611" i="123"/>
  <c r="D1553" i="123"/>
  <c r="D1554" i="123"/>
  <c r="D1555" i="123"/>
  <c r="D1556" i="123"/>
  <c r="D1557" i="123"/>
  <c r="D1558" i="123"/>
  <c r="D1559" i="123"/>
  <c r="D1560" i="123"/>
  <c r="D1561" i="123"/>
  <c r="D1562" i="123"/>
  <c r="D1563" i="123"/>
  <c r="D1564" i="123"/>
  <c r="D1565" i="123"/>
  <c r="D1566" i="123"/>
  <c r="D1567" i="123"/>
  <c r="D1568" i="123"/>
  <c r="D1569" i="123"/>
  <c r="D1570" i="123"/>
  <c r="D1571" i="123"/>
  <c r="D1572" i="123"/>
  <c r="D1573" i="123"/>
  <c r="D1574" i="123"/>
  <c r="D1575" i="123"/>
  <c r="D1576" i="123"/>
  <c r="D1577" i="123"/>
  <c r="D1578" i="123"/>
  <c r="D1579" i="123"/>
  <c r="D1580" i="123"/>
  <c r="D1581" i="123"/>
  <c r="D1582" i="123"/>
  <c r="D1583" i="123"/>
  <c r="D1584" i="123"/>
  <c r="D1585" i="123"/>
  <c r="D1586" i="123"/>
  <c r="D1587" i="123"/>
  <c r="D1588" i="123"/>
  <c r="D1589" i="123"/>
  <c r="D1590" i="123"/>
  <c r="D1591" i="123"/>
  <c r="D1592" i="123"/>
  <c r="D1593" i="123"/>
  <c r="D1594" i="123"/>
  <c r="D1595" i="123"/>
  <c r="D1596" i="123"/>
  <c r="D1597" i="123"/>
  <c r="D1598" i="123"/>
  <c r="D1599" i="123"/>
  <c r="D1600" i="123"/>
  <c r="D1601" i="123"/>
  <c r="D1602" i="123"/>
  <c r="D1603" i="123"/>
  <c r="D1604" i="123"/>
  <c r="D1605" i="123"/>
  <c r="D1606" i="123"/>
  <c r="D1607" i="123"/>
  <c r="D1608" i="123"/>
  <c r="D1609" i="123"/>
  <c r="D1610" i="123"/>
  <c r="D1552" i="123"/>
  <c r="D1550" i="123"/>
  <c r="D1549" i="123"/>
  <c r="D1491" i="123"/>
  <c r="D1492" i="123"/>
  <c r="D1493" i="123"/>
  <c r="D1494" i="123"/>
  <c r="D1495" i="123"/>
  <c r="D1496" i="123"/>
  <c r="D1497" i="123"/>
  <c r="D1498" i="123"/>
  <c r="D1499" i="123"/>
  <c r="D1500" i="123"/>
  <c r="D1501" i="123"/>
  <c r="D1502" i="123"/>
  <c r="D1503" i="123"/>
  <c r="D1504" i="123"/>
  <c r="D1505" i="123"/>
  <c r="D1506" i="123"/>
  <c r="D1507" i="123"/>
  <c r="D1508" i="123"/>
  <c r="D1509" i="123"/>
  <c r="D1510" i="123"/>
  <c r="D1511" i="123"/>
  <c r="D1512" i="123"/>
  <c r="D1513" i="123"/>
  <c r="D1514" i="123"/>
  <c r="D1515" i="123"/>
  <c r="D1516" i="123"/>
  <c r="D1517" i="123"/>
  <c r="D1518" i="123"/>
  <c r="D1519" i="123"/>
  <c r="D1520" i="123"/>
  <c r="D1521" i="123"/>
  <c r="D1522" i="123"/>
  <c r="D1523" i="123"/>
  <c r="D1524" i="123"/>
  <c r="D1525" i="123"/>
  <c r="D1526" i="123"/>
  <c r="D1527" i="123"/>
  <c r="D1528" i="123"/>
  <c r="D1529" i="123"/>
  <c r="D1530" i="123"/>
  <c r="D1531" i="123"/>
  <c r="D1532" i="123"/>
  <c r="D1533" i="123"/>
  <c r="D1534" i="123"/>
  <c r="D1535" i="123"/>
  <c r="D1536" i="123"/>
  <c r="D1537" i="123"/>
  <c r="D1538" i="123"/>
  <c r="D1539" i="123"/>
  <c r="D1540" i="123"/>
  <c r="D1541" i="123"/>
  <c r="D1542" i="123"/>
  <c r="D1543" i="123"/>
  <c r="D1544" i="123"/>
  <c r="D1545" i="123"/>
  <c r="D1546" i="123"/>
  <c r="D1547" i="123"/>
  <c r="D1548" i="123"/>
  <c r="D1490" i="123"/>
  <c r="D1488" i="123"/>
  <c r="D1487" i="123"/>
  <c r="D1429" i="123"/>
  <c r="D1430" i="123"/>
  <c r="D1431" i="123"/>
  <c r="D1432" i="123"/>
  <c r="D1433" i="123"/>
  <c r="D1434" i="123"/>
  <c r="D1435" i="123"/>
  <c r="D1436" i="123"/>
  <c r="D1437" i="123"/>
  <c r="D1438" i="123"/>
  <c r="D1439" i="123"/>
  <c r="D1440" i="123"/>
  <c r="D1441" i="123"/>
  <c r="D1442" i="123"/>
  <c r="D1443" i="123"/>
  <c r="D1444" i="123"/>
  <c r="D1445" i="123"/>
  <c r="D1446" i="123"/>
  <c r="D1447" i="123"/>
  <c r="D1448" i="123"/>
  <c r="D1449" i="123"/>
  <c r="D1450" i="123"/>
  <c r="D1451" i="123"/>
  <c r="D1452" i="123"/>
  <c r="D1453" i="123"/>
  <c r="D1454" i="123"/>
  <c r="D1455" i="123"/>
  <c r="D1456" i="123"/>
  <c r="D1457" i="123"/>
  <c r="D1458" i="123"/>
  <c r="D1459" i="123"/>
  <c r="D1460" i="123"/>
  <c r="D1461" i="123"/>
  <c r="D1462" i="123"/>
  <c r="D1463" i="123"/>
  <c r="D1464" i="123"/>
  <c r="D1465" i="123"/>
  <c r="D1466" i="123"/>
  <c r="D1467" i="123"/>
  <c r="D1468" i="123"/>
  <c r="D1469" i="123"/>
  <c r="D1470" i="123"/>
  <c r="D1471" i="123"/>
  <c r="D1472" i="123"/>
  <c r="D1473" i="123"/>
  <c r="D1474" i="123"/>
  <c r="D1475" i="123"/>
  <c r="D1476" i="123"/>
  <c r="D1477" i="123"/>
  <c r="D1478" i="123"/>
  <c r="D1479" i="123"/>
  <c r="D1480" i="123"/>
  <c r="D1481" i="123"/>
  <c r="D1482" i="123"/>
  <c r="D1483" i="123"/>
  <c r="D1484" i="123"/>
  <c r="D1485" i="123"/>
  <c r="D1486" i="123"/>
  <c r="D1428" i="123"/>
  <c r="D1426" i="123"/>
  <c r="D1425" i="123"/>
  <c r="E604" i="123" l="1"/>
  <c r="F604" i="123" s="1"/>
  <c r="E772" i="123"/>
  <c r="F772" i="123" s="1"/>
  <c r="E856" i="123"/>
  <c r="F856" i="123" s="1"/>
  <c r="E940" i="123"/>
  <c r="F940" i="123" s="1"/>
  <c r="E1024" i="123"/>
  <c r="F1024" i="123" s="1"/>
  <c r="E1108" i="123"/>
  <c r="F1108" i="123" s="1"/>
  <c r="E1192" i="123"/>
  <c r="F1192" i="123" s="1"/>
  <c r="E1276" i="123"/>
  <c r="F1276" i="123" s="1"/>
  <c r="E317" i="123"/>
  <c r="F317" i="123" s="1"/>
  <c r="E401" i="123"/>
  <c r="F401" i="123" s="1"/>
  <c r="E485" i="123"/>
  <c r="F485" i="123" s="1"/>
  <c r="E569" i="123"/>
  <c r="F569" i="123" s="1"/>
  <c r="E653" i="123"/>
  <c r="F653" i="123" s="1"/>
  <c r="E737" i="123"/>
  <c r="F737" i="123" s="1"/>
  <c r="E821" i="123"/>
  <c r="F821" i="123" s="1"/>
  <c r="E905" i="123"/>
  <c r="F905" i="123" s="1"/>
  <c r="E989" i="123"/>
  <c r="F989" i="123" s="1"/>
  <c r="E1073" i="123"/>
  <c r="F1073" i="123" s="1"/>
  <c r="E1157" i="123"/>
  <c r="F1157" i="123" s="1"/>
  <c r="E1241" i="123"/>
  <c r="F1241" i="123" s="1"/>
  <c r="E1337" i="123"/>
  <c r="F1337" i="123" s="1"/>
  <c r="E366" i="123"/>
  <c r="F366" i="123" s="1"/>
  <c r="E450" i="123"/>
  <c r="F450" i="123" s="1"/>
  <c r="E534" i="123"/>
  <c r="F534" i="123" s="1"/>
  <c r="E618" i="123"/>
  <c r="F618" i="123" s="1"/>
  <c r="E702" i="123"/>
  <c r="F702" i="123" s="1"/>
  <c r="E786" i="123"/>
  <c r="F786" i="123" s="1"/>
  <c r="E870" i="123"/>
  <c r="F870" i="123" s="1"/>
  <c r="E954" i="123"/>
  <c r="F954" i="123" s="1"/>
  <c r="E1038" i="123"/>
  <c r="F1038" i="123" s="1"/>
  <c r="E1122" i="123"/>
  <c r="F1122" i="123" s="1"/>
  <c r="E1206" i="123"/>
  <c r="F1206" i="123" s="1"/>
  <c r="E1292" i="123"/>
  <c r="F1292" i="123" s="1"/>
  <c r="E1355" i="123"/>
  <c r="F1355" i="123" s="1"/>
  <c r="E352" i="123"/>
  <c r="F352" i="123" s="1"/>
  <c r="E520" i="123"/>
  <c r="F520" i="123" s="1"/>
  <c r="E415" i="123"/>
  <c r="F415" i="123" s="1"/>
  <c r="E751" i="123"/>
  <c r="F751" i="123" s="1"/>
  <c r="E835" i="123"/>
  <c r="F835" i="123" s="1"/>
  <c r="E919" i="123"/>
  <c r="F919" i="123" s="1"/>
  <c r="E1003" i="123"/>
  <c r="F1003" i="123" s="1"/>
  <c r="E1171" i="123"/>
  <c r="F1171" i="123" s="1"/>
  <c r="E1255" i="123"/>
  <c r="F1255" i="123" s="1"/>
  <c r="E296" i="123"/>
  <c r="F296" i="123" s="1"/>
  <c r="E380" i="123"/>
  <c r="F380" i="123" s="1"/>
  <c r="E464" i="123"/>
  <c r="F464" i="123" s="1"/>
  <c r="E548" i="123"/>
  <c r="F548" i="123" s="1"/>
  <c r="E632" i="123"/>
  <c r="F632" i="123" s="1"/>
  <c r="E716" i="123"/>
  <c r="F716" i="123" s="1"/>
  <c r="E800" i="123"/>
  <c r="F800" i="123" s="1"/>
  <c r="E884" i="123"/>
  <c r="F884" i="123" s="1"/>
  <c r="E968" i="123"/>
  <c r="F968" i="123" s="1"/>
  <c r="E1052" i="123"/>
  <c r="F1052" i="123" s="1"/>
  <c r="E1136" i="123"/>
  <c r="F1136" i="123" s="1"/>
  <c r="E1220" i="123"/>
  <c r="F1220" i="123" s="1"/>
  <c r="E1310" i="123"/>
  <c r="F1310" i="123" s="1"/>
  <c r="E1087" i="123"/>
  <c r="F1087" i="123" s="1"/>
  <c r="E345" i="123"/>
  <c r="F345" i="123" s="1"/>
  <c r="E429" i="123"/>
  <c r="F429" i="123" s="1"/>
  <c r="E513" i="123"/>
  <c r="F513" i="123" s="1"/>
  <c r="E597" i="123"/>
  <c r="F597" i="123" s="1"/>
  <c r="E681" i="123"/>
  <c r="F681" i="123" s="1"/>
  <c r="E765" i="123"/>
  <c r="F765" i="123" s="1"/>
  <c r="E849" i="123"/>
  <c r="F849" i="123" s="1"/>
  <c r="E933" i="123"/>
  <c r="F933" i="123" s="1"/>
  <c r="E1017" i="123"/>
  <c r="F1017" i="123" s="1"/>
  <c r="E1101" i="123"/>
  <c r="F1101" i="123" s="1"/>
  <c r="E1185" i="123"/>
  <c r="F1185" i="123" s="1"/>
  <c r="E1269" i="123"/>
  <c r="F1269" i="123" s="1"/>
  <c r="E1373" i="123"/>
  <c r="F1373" i="123" s="1"/>
  <c r="E688" i="123"/>
  <c r="F688" i="123" s="1"/>
  <c r="E310" i="123"/>
  <c r="F310" i="123" s="1"/>
  <c r="E394" i="123"/>
  <c r="F394" i="123" s="1"/>
  <c r="E478" i="123"/>
  <c r="F478" i="123" s="1"/>
  <c r="E562" i="123"/>
  <c r="F562" i="123" s="1"/>
  <c r="E646" i="123"/>
  <c r="F646" i="123" s="1"/>
  <c r="E730" i="123"/>
  <c r="F730" i="123" s="1"/>
  <c r="E814" i="123"/>
  <c r="F814" i="123" s="1"/>
  <c r="E898" i="123"/>
  <c r="F898" i="123" s="1"/>
  <c r="E982" i="123"/>
  <c r="F982" i="123" s="1"/>
  <c r="E1066" i="123"/>
  <c r="F1066" i="123" s="1"/>
  <c r="E1150" i="123"/>
  <c r="F1150" i="123" s="1"/>
  <c r="E1234" i="123"/>
  <c r="F1234" i="123" s="1"/>
  <c r="E1328" i="123"/>
  <c r="F1328" i="123" s="1"/>
  <c r="E583" i="123"/>
  <c r="F583" i="123" s="1"/>
  <c r="E359" i="123"/>
  <c r="F359" i="123" s="1"/>
  <c r="E443" i="123"/>
  <c r="F443" i="123" s="1"/>
  <c r="E527" i="123"/>
  <c r="F527" i="123" s="1"/>
  <c r="E611" i="123"/>
  <c r="F611" i="123" s="1"/>
  <c r="E695" i="123"/>
  <c r="F695" i="123" s="1"/>
  <c r="E779" i="123"/>
  <c r="F779" i="123" s="1"/>
  <c r="E863" i="123"/>
  <c r="F863" i="123" s="1"/>
  <c r="E947" i="123"/>
  <c r="F947" i="123" s="1"/>
  <c r="E1031" i="123"/>
  <c r="F1031" i="123" s="1"/>
  <c r="E1115" i="123"/>
  <c r="F1115" i="123" s="1"/>
  <c r="E1199" i="123"/>
  <c r="F1199" i="123" s="1"/>
  <c r="E1283" i="123"/>
  <c r="F1283" i="123" s="1"/>
  <c r="E436" i="123"/>
  <c r="F436" i="123" s="1"/>
  <c r="E331" i="123"/>
  <c r="F331" i="123" s="1"/>
  <c r="E324" i="123"/>
  <c r="F324" i="123" s="1"/>
  <c r="E408" i="123"/>
  <c r="F408" i="123" s="1"/>
  <c r="E492" i="123"/>
  <c r="F492" i="123" s="1"/>
  <c r="E576" i="123"/>
  <c r="F576" i="123" s="1"/>
  <c r="E660" i="123"/>
  <c r="F660" i="123" s="1"/>
  <c r="E744" i="123"/>
  <c r="F744" i="123" s="1"/>
  <c r="E828" i="123"/>
  <c r="F828" i="123" s="1"/>
  <c r="E912" i="123"/>
  <c r="F912" i="123" s="1"/>
  <c r="E996" i="123"/>
  <c r="F996" i="123" s="1"/>
  <c r="E1080" i="123"/>
  <c r="F1080" i="123" s="1"/>
  <c r="E1164" i="123"/>
  <c r="F1164" i="123" s="1"/>
  <c r="E1248" i="123"/>
  <c r="F1248" i="123" s="1"/>
  <c r="E1346" i="123"/>
  <c r="F1346" i="123" s="1"/>
  <c r="E667" i="123"/>
  <c r="F667" i="123" s="1"/>
  <c r="E373" i="123"/>
  <c r="F373" i="123" s="1"/>
  <c r="E457" i="123"/>
  <c r="F457" i="123" s="1"/>
  <c r="E541" i="123"/>
  <c r="F541" i="123" s="1"/>
  <c r="E625" i="123"/>
  <c r="F625" i="123" s="1"/>
  <c r="E709" i="123"/>
  <c r="F709" i="123" s="1"/>
  <c r="E793" i="123"/>
  <c r="F793" i="123" s="1"/>
  <c r="E877" i="123"/>
  <c r="F877" i="123" s="1"/>
  <c r="E961" i="123"/>
  <c r="F961" i="123" s="1"/>
  <c r="E1045" i="123"/>
  <c r="F1045" i="123" s="1"/>
  <c r="E1129" i="123"/>
  <c r="F1129" i="123" s="1"/>
  <c r="E1213" i="123"/>
  <c r="F1213" i="123" s="1"/>
  <c r="E1301" i="123"/>
  <c r="F1301" i="123" s="1"/>
  <c r="E499" i="123"/>
  <c r="F499" i="123" s="1"/>
  <c r="E338" i="123"/>
  <c r="F338" i="123" s="1"/>
  <c r="E422" i="123"/>
  <c r="F422" i="123" s="1"/>
  <c r="E506" i="123"/>
  <c r="F506" i="123" s="1"/>
  <c r="E590" i="123"/>
  <c r="F590" i="123" s="1"/>
  <c r="E674" i="123"/>
  <c r="F674" i="123" s="1"/>
  <c r="E758" i="123"/>
  <c r="F758" i="123" s="1"/>
  <c r="E842" i="123"/>
  <c r="F842" i="123" s="1"/>
  <c r="E926" i="123"/>
  <c r="F926" i="123" s="1"/>
  <c r="E1010" i="123"/>
  <c r="F1010" i="123" s="1"/>
  <c r="E1094" i="123"/>
  <c r="F1094" i="123" s="1"/>
  <c r="E1178" i="123"/>
  <c r="F1178" i="123" s="1"/>
  <c r="E1262" i="123"/>
  <c r="F1262" i="123" s="1"/>
  <c r="E1364" i="123"/>
  <c r="F1364" i="123" s="1"/>
  <c r="E303" i="123"/>
  <c r="F303" i="123" s="1"/>
  <c r="E387" i="123"/>
  <c r="F387" i="123" s="1"/>
  <c r="E471" i="123"/>
  <c r="F471" i="123" s="1"/>
  <c r="E555" i="123"/>
  <c r="F555" i="123" s="1"/>
  <c r="E639" i="123"/>
  <c r="F639" i="123" s="1"/>
  <c r="E723" i="123"/>
  <c r="F723" i="123" s="1"/>
  <c r="E807" i="123"/>
  <c r="F807" i="123" s="1"/>
  <c r="E891" i="123"/>
  <c r="F891" i="123" s="1"/>
  <c r="E975" i="123"/>
  <c r="F975" i="123" s="1"/>
  <c r="E1059" i="123"/>
  <c r="F1059" i="123" s="1"/>
  <c r="E1143" i="123"/>
  <c r="F1143" i="123" s="1"/>
  <c r="E1227" i="123"/>
  <c r="F1227" i="123" s="1"/>
  <c r="E1319" i="123"/>
  <c r="F1319" i="123" s="1"/>
  <c r="D163" i="123"/>
  <c r="D82" i="123"/>
  <c r="D68" i="123"/>
  <c r="DS90" i="112"/>
  <c r="DS88" i="112"/>
  <c r="DS87" i="112"/>
  <c r="DS86" i="112"/>
  <c r="DS85" i="112"/>
  <c r="DS84" i="112"/>
  <c r="DS83" i="112"/>
  <c r="DS72" i="112"/>
  <c r="O73" i="114" s="1"/>
  <c r="DS70" i="112"/>
  <c r="DS69" i="112"/>
  <c r="Z71" i="114" s="1"/>
  <c r="DS67" i="112"/>
  <c r="O70" i="114" s="1"/>
  <c r="DS66" i="112"/>
  <c r="DS65" i="112"/>
  <c r="DS105" i="112"/>
  <c r="DS104" i="112"/>
  <c r="Z167" i="115" l="1"/>
  <c r="Z167" i="114"/>
  <c r="AM71" i="114"/>
  <c r="P60" i="114" l="1"/>
  <c r="O166" i="114"/>
  <c r="DS100" i="112"/>
  <c r="DS99" i="112"/>
  <c r="DS98" i="112"/>
  <c r="Z162" i="114" s="1"/>
  <c r="Z162" i="115" s="1"/>
  <c r="DM71" i="112"/>
  <c r="DN71" i="112" s="1"/>
  <c r="DN246" i="112"/>
  <c r="DW249" i="112"/>
  <c r="DW248" i="112"/>
  <c r="DW247" i="112"/>
  <c r="DW246" i="112"/>
  <c r="DW245" i="112"/>
  <c r="DS68" i="112"/>
  <c r="DS64" i="112"/>
  <c r="DS63" i="112"/>
  <c r="DS62" i="112"/>
  <c r="Z55" i="114" s="1"/>
  <c r="DS82" i="112"/>
  <c r="DS80" i="112"/>
  <c r="DS81" i="112"/>
  <c r="AM55" i="114"/>
  <c r="O45" i="114"/>
  <c r="D44" i="123"/>
  <c r="AB585" i="114" l="1"/>
  <c r="DU246" i="112"/>
  <c r="DV246" i="112" s="1"/>
  <c r="DS246" i="112"/>
  <c r="DT246" i="112" s="1"/>
  <c r="DS71" i="112"/>
  <c r="DS89" i="112"/>
  <c r="P71" i="114"/>
  <c r="P167" i="115"/>
  <c r="P167" i="114"/>
  <c r="D1379" i="123"/>
  <c r="D1378" i="123"/>
  <c r="D1377" i="123"/>
  <c r="D1376" i="123"/>
  <c r="D1375" i="123"/>
  <c r="D1374" i="123"/>
  <c r="D1370" i="123"/>
  <c r="D1369" i="123"/>
  <c r="D1368" i="123"/>
  <c r="D1367" i="123"/>
  <c r="D1366" i="123"/>
  <c r="D1365" i="123"/>
  <c r="D1361" i="123"/>
  <c r="D1360" i="123"/>
  <c r="D1359" i="123"/>
  <c r="D1358" i="123"/>
  <c r="D1357" i="123"/>
  <c r="D1356" i="123"/>
  <c r="D1352" i="123"/>
  <c r="D1351" i="123"/>
  <c r="D1350" i="123"/>
  <c r="D1349" i="123"/>
  <c r="D1348" i="123"/>
  <c r="D1347" i="123"/>
  <c r="D1343" i="123"/>
  <c r="D1342" i="123"/>
  <c r="D1341" i="123"/>
  <c r="D1340" i="123"/>
  <c r="D1339" i="123"/>
  <c r="D1338" i="123"/>
  <c r="D1334" i="123"/>
  <c r="D1333" i="123"/>
  <c r="D1332" i="123"/>
  <c r="D1331" i="123"/>
  <c r="D1330" i="123"/>
  <c r="D1329" i="123"/>
  <c r="D1325" i="123"/>
  <c r="D1324" i="123"/>
  <c r="D1323" i="123"/>
  <c r="D1322" i="123"/>
  <c r="D1321" i="123"/>
  <c r="D1320" i="123"/>
  <c r="D1316" i="123"/>
  <c r="D1315" i="123"/>
  <c r="D1314" i="123"/>
  <c r="D1313" i="123"/>
  <c r="D1312" i="123"/>
  <c r="D1311" i="123"/>
  <c r="D1307" i="123"/>
  <c r="D1306" i="123"/>
  <c r="D1305" i="123"/>
  <c r="D1304" i="123"/>
  <c r="D1303" i="123"/>
  <c r="D1302" i="123"/>
  <c r="D1298" i="123"/>
  <c r="D1297" i="123"/>
  <c r="D1296" i="123"/>
  <c r="D1295" i="123"/>
  <c r="D1294" i="123"/>
  <c r="D1293" i="123"/>
  <c r="D1289" i="123"/>
  <c r="D1288" i="123"/>
  <c r="D1287" i="123"/>
  <c r="D1286" i="123"/>
  <c r="D1285" i="123"/>
  <c r="D1284" i="123"/>
  <c r="D1282" i="123"/>
  <c r="D1281" i="123"/>
  <c r="D1280" i="123"/>
  <c r="D1279" i="123"/>
  <c r="D1278" i="123"/>
  <c r="D1277" i="123"/>
  <c r="D1275" i="123"/>
  <c r="D1274" i="123"/>
  <c r="D1273" i="123"/>
  <c r="D1272" i="123"/>
  <c r="D1271" i="123"/>
  <c r="D1270" i="123"/>
  <c r="D1268" i="123"/>
  <c r="D1267" i="123"/>
  <c r="D1266" i="123"/>
  <c r="D1265" i="123"/>
  <c r="D1264" i="123"/>
  <c r="D1263" i="123"/>
  <c r="D1261" i="123"/>
  <c r="D1260" i="123"/>
  <c r="D1259" i="123"/>
  <c r="D1258" i="123"/>
  <c r="D1257" i="123"/>
  <c r="D1256" i="123"/>
  <c r="D1254" i="123"/>
  <c r="D1253" i="123"/>
  <c r="D1252" i="123"/>
  <c r="D1251" i="123"/>
  <c r="D1250" i="123"/>
  <c r="D1249" i="123"/>
  <c r="D1247" i="123"/>
  <c r="D1246" i="123"/>
  <c r="D1245" i="123"/>
  <c r="D1244" i="123"/>
  <c r="D1243" i="123"/>
  <c r="D1242" i="123"/>
  <c r="D1240" i="123"/>
  <c r="D1239" i="123"/>
  <c r="D1238" i="123"/>
  <c r="D1237" i="123"/>
  <c r="D1236" i="123"/>
  <c r="D1235" i="123"/>
  <c r="D1233" i="123"/>
  <c r="D1232" i="123"/>
  <c r="D1231" i="123"/>
  <c r="D1230" i="123"/>
  <c r="D1229" i="123"/>
  <c r="D1228" i="123"/>
  <c r="D1226" i="123"/>
  <c r="D1225" i="123"/>
  <c r="D1224" i="123"/>
  <c r="D1223" i="123"/>
  <c r="D1222" i="123"/>
  <c r="D1221" i="123"/>
  <c r="D1219" i="123"/>
  <c r="D1218" i="123"/>
  <c r="D1217" i="123"/>
  <c r="D1216" i="123"/>
  <c r="D1215" i="123"/>
  <c r="D1214" i="123"/>
  <c r="D1212" i="123"/>
  <c r="D1211" i="123"/>
  <c r="D1210" i="123"/>
  <c r="D1209" i="123"/>
  <c r="D1208" i="123"/>
  <c r="D1207" i="123"/>
  <c r="D1205" i="123"/>
  <c r="D1204" i="123"/>
  <c r="D1203" i="123"/>
  <c r="D1202" i="123"/>
  <c r="D1201" i="123"/>
  <c r="D1200" i="123"/>
  <c r="D1198" i="123"/>
  <c r="D1197" i="123"/>
  <c r="D1196" i="123"/>
  <c r="D1195" i="123"/>
  <c r="D1194" i="123"/>
  <c r="D1193" i="123"/>
  <c r="D1191" i="123"/>
  <c r="D1190" i="123"/>
  <c r="D1189" i="123"/>
  <c r="D1188" i="123"/>
  <c r="D1187" i="123"/>
  <c r="D1186" i="123"/>
  <c r="D1184" i="123"/>
  <c r="D1183" i="123"/>
  <c r="D1182" i="123"/>
  <c r="D1181" i="123"/>
  <c r="D1180" i="123"/>
  <c r="D1179" i="123"/>
  <c r="D1177" i="123"/>
  <c r="D1176" i="123"/>
  <c r="D1175" i="123"/>
  <c r="D1174" i="123"/>
  <c r="D1173" i="123"/>
  <c r="D1172" i="123"/>
  <c r="D1170" i="123"/>
  <c r="D1169" i="123"/>
  <c r="D1168" i="123"/>
  <c r="D1167" i="123"/>
  <c r="D1166" i="123"/>
  <c r="D1165" i="123"/>
  <c r="D1163" i="123"/>
  <c r="D1162" i="123"/>
  <c r="D1161" i="123"/>
  <c r="D1160" i="123"/>
  <c r="D1159" i="123"/>
  <c r="D1158" i="123"/>
  <c r="D1156" i="123"/>
  <c r="D1155" i="123"/>
  <c r="D1154" i="123"/>
  <c r="D1153" i="123"/>
  <c r="D1152" i="123"/>
  <c r="D1151" i="123"/>
  <c r="D1149" i="123"/>
  <c r="D1148" i="123"/>
  <c r="D1147" i="123"/>
  <c r="D1146" i="123"/>
  <c r="D1145" i="123"/>
  <c r="D1144" i="123"/>
  <c r="D1142" i="123"/>
  <c r="D1141" i="123"/>
  <c r="D1140" i="123"/>
  <c r="D1139" i="123"/>
  <c r="D1138" i="123"/>
  <c r="D1137" i="123"/>
  <c r="D1135" i="123"/>
  <c r="D1134" i="123"/>
  <c r="D1133" i="123"/>
  <c r="D1132" i="123"/>
  <c r="D1131" i="123"/>
  <c r="D1130" i="123"/>
  <c r="D1128" i="123"/>
  <c r="D1127" i="123"/>
  <c r="D1126" i="123"/>
  <c r="D1125" i="123"/>
  <c r="D1124" i="123"/>
  <c r="D1123" i="123"/>
  <c r="D1121" i="123"/>
  <c r="D1120" i="123"/>
  <c r="D1119" i="123"/>
  <c r="D1118" i="123"/>
  <c r="D1117" i="123"/>
  <c r="D1116" i="123"/>
  <c r="D1114" i="123"/>
  <c r="D1113" i="123"/>
  <c r="D1112" i="123"/>
  <c r="D1111" i="123"/>
  <c r="D1110" i="123"/>
  <c r="D1109" i="123"/>
  <c r="D1107" i="123"/>
  <c r="D1106" i="123"/>
  <c r="D1105" i="123"/>
  <c r="D1104" i="123"/>
  <c r="D1103" i="123"/>
  <c r="D1102" i="123"/>
  <c r="D1100" i="123"/>
  <c r="D1099" i="123"/>
  <c r="D1098" i="123"/>
  <c r="D1097" i="123"/>
  <c r="D1096" i="123"/>
  <c r="D1095" i="123"/>
  <c r="D1093" i="123"/>
  <c r="D1092" i="123"/>
  <c r="D1091" i="123"/>
  <c r="D1090" i="123"/>
  <c r="D1089" i="123"/>
  <c r="D1088" i="123"/>
  <c r="D1086" i="123"/>
  <c r="D1085" i="123"/>
  <c r="D1084" i="123"/>
  <c r="D1083" i="123"/>
  <c r="D1082" i="123"/>
  <c r="D1081" i="123"/>
  <c r="D1079" i="123"/>
  <c r="D1078" i="123"/>
  <c r="D1077" i="123"/>
  <c r="D1076" i="123"/>
  <c r="D1075" i="123"/>
  <c r="D1074" i="123"/>
  <c r="D1072" i="123"/>
  <c r="D1071" i="123"/>
  <c r="D1070" i="123"/>
  <c r="D1069" i="123"/>
  <c r="D1068" i="123"/>
  <c r="D1067" i="123"/>
  <c r="D1065" i="123"/>
  <c r="D1064" i="123"/>
  <c r="D1063" i="123"/>
  <c r="D1062" i="123"/>
  <c r="D1061" i="123"/>
  <c r="D1060" i="123"/>
  <c r="D1058" i="123"/>
  <c r="D1057" i="123"/>
  <c r="D1056" i="123"/>
  <c r="D1055" i="123"/>
  <c r="D1054" i="123"/>
  <c r="D1053" i="123"/>
  <c r="D1051" i="123"/>
  <c r="D1050" i="123"/>
  <c r="D1049" i="123"/>
  <c r="D1048" i="123"/>
  <c r="D1047" i="123"/>
  <c r="D1046" i="123"/>
  <c r="D1044" i="123"/>
  <c r="D1043" i="123"/>
  <c r="D1042" i="123"/>
  <c r="D1041" i="123"/>
  <c r="D1040" i="123"/>
  <c r="D1039" i="123"/>
  <c r="D1037" i="123"/>
  <c r="D1036" i="123"/>
  <c r="D1035" i="123"/>
  <c r="D1034" i="123"/>
  <c r="D1033" i="123"/>
  <c r="D1032" i="123"/>
  <c r="D1030" i="123"/>
  <c r="D1029" i="123"/>
  <c r="D1028" i="123"/>
  <c r="D1027" i="123"/>
  <c r="D1026" i="123"/>
  <c r="D1025" i="123"/>
  <c r="D1023" i="123"/>
  <c r="D1022" i="123"/>
  <c r="D1021" i="123"/>
  <c r="D1020" i="123"/>
  <c r="D1019" i="123"/>
  <c r="D1018" i="123"/>
  <c r="D1016" i="123"/>
  <c r="D1015" i="123"/>
  <c r="D1014" i="123"/>
  <c r="D1013" i="123"/>
  <c r="D1012" i="123"/>
  <c r="D1011" i="123"/>
  <c r="D1009" i="123"/>
  <c r="D1008" i="123"/>
  <c r="D1007" i="123"/>
  <c r="D1006" i="123"/>
  <c r="D1005" i="123"/>
  <c r="D1004" i="123"/>
  <c r="D1002" i="123"/>
  <c r="D1001" i="123"/>
  <c r="D1000" i="123"/>
  <c r="D999" i="123"/>
  <c r="D998" i="123"/>
  <c r="D997" i="123"/>
  <c r="D995" i="123"/>
  <c r="D994" i="123"/>
  <c r="D993" i="123"/>
  <c r="D992" i="123"/>
  <c r="D991" i="123"/>
  <c r="D990" i="123"/>
  <c r="D988" i="123"/>
  <c r="D987" i="123"/>
  <c r="D986" i="123"/>
  <c r="D985" i="123"/>
  <c r="D984" i="123"/>
  <c r="D983" i="123"/>
  <c r="D981" i="123"/>
  <c r="D980" i="123"/>
  <c r="D979" i="123"/>
  <c r="D978" i="123"/>
  <c r="D977" i="123"/>
  <c r="D976" i="123"/>
  <c r="D974" i="123"/>
  <c r="D973" i="123"/>
  <c r="D972" i="123"/>
  <c r="D971" i="123"/>
  <c r="D970" i="123"/>
  <c r="D969" i="123"/>
  <c r="D967" i="123"/>
  <c r="D966" i="123"/>
  <c r="D965" i="123"/>
  <c r="D964" i="123"/>
  <c r="D963" i="123"/>
  <c r="D962" i="123"/>
  <c r="D960" i="123"/>
  <c r="D959" i="123"/>
  <c r="D958" i="123"/>
  <c r="D957" i="123"/>
  <c r="D956" i="123"/>
  <c r="D955" i="123"/>
  <c r="D953" i="123"/>
  <c r="D952" i="123"/>
  <c r="D951" i="123"/>
  <c r="D950" i="123"/>
  <c r="D949" i="123"/>
  <c r="D948" i="123"/>
  <c r="D946" i="123"/>
  <c r="D945" i="123"/>
  <c r="D944" i="123"/>
  <c r="D943" i="123"/>
  <c r="D942" i="123"/>
  <c r="D941" i="123"/>
  <c r="D939" i="123"/>
  <c r="D938" i="123"/>
  <c r="D937" i="123"/>
  <c r="D936" i="123"/>
  <c r="D935" i="123"/>
  <c r="D934" i="123"/>
  <c r="D932" i="123"/>
  <c r="D931" i="123"/>
  <c r="D930" i="123"/>
  <c r="D929" i="123"/>
  <c r="D928" i="123"/>
  <c r="D927" i="123"/>
  <c r="D925" i="123"/>
  <c r="D924" i="123"/>
  <c r="D923" i="123"/>
  <c r="D922" i="123"/>
  <c r="D921" i="123"/>
  <c r="D920" i="123"/>
  <c r="D918" i="123"/>
  <c r="D917" i="123"/>
  <c r="D916" i="123"/>
  <c r="D915" i="123"/>
  <c r="D914" i="123"/>
  <c r="D913" i="123"/>
  <c r="D911" i="123"/>
  <c r="D910" i="123"/>
  <c r="D909" i="123"/>
  <c r="D908" i="123"/>
  <c r="D907" i="123"/>
  <c r="D906" i="123"/>
  <c r="D904" i="123"/>
  <c r="D903" i="123"/>
  <c r="D902" i="123"/>
  <c r="D901" i="123"/>
  <c r="D900" i="123"/>
  <c r="D899" i="123"/>
  <c r="D897" i="123"/>
  <c r="D896" i="123"/>
  <c r="D895" i="123"/>
  <c r="D894" i="123"/>
  <c r="D893" i="123"/>
  <c r="D892" i="123"/>
  <c r="D890" i="123"/>
  <c r="D889" i="123"/>
  <c r="D888" i="123"/>
  <c r="D887" i="123"/>
  <c r="D886" i="123"/>
  <c r="D885" i="123"/>
  <c r="D883" i="123"/>
  <c r="D882" i="123"/>
  <c r="D881" i="123"/>
  <c r="D880" i="123"/>
  <c r="D879" i="123"/>
  <c r="D878" i="123"/>
  <c r="D876" i="123"/>
  <c r="D875" i="123"/>
  <c r="D874" i="123"/>
  <c r="D873" i="123"/>
  <c r="D872" i="123"/>
  <c r="D871" i="123"/>
  <c r="D869" i="123"/>
  <c r="D868" i="123"/>
  <c r="D867" i="123"/>
  <c r="D866" i="123"/>
  <c r="D865" i="123"/>
  <c r="D864" i="123"/>
  <c r="D862" i="123"/>
  <c r="D861" i="123"/>
  <c r="D860" i="123"/>
  <c r="D859" i="123"/>
  <c r="D858" i="123"/>
  <c r="D857" i="123"/>
  <c r="D855" i="123"/>
  <c r="D854" i="123"/>
  <c r="D853" i="123"/>
  <c r="D852" i="123"/>
  <c r="D851" i="123"/>
  <c r="D850" i="123"/>
  <c r="D848" i="123"/>
  <c r="D847" i="123"/>
  <c r="D846" i="123"/>
  <c r="D845" i="123"/>
  <c r="D844" i="123"/>
  <c r="D843" i="123"/>
  <c r="D841" i="123"/>
  <c r="D840" i="123"/>
  <c r="D839" i="123"/>
  <c r="D838" i="123"/>
  <c r="D837" i="123"/>
  <c r="D836" i="123"/>
  <c r="D834" i="123"/>
  <c r="D833" i="123"/>
  <c r="D832" i="123"/>
  <c r="D831" i="123"/>
  <c r="D830" i="123"/>
  <c r="D829" i="123"/>
  <c r="D827" i="123"/>
  <c r="D826" i="123"/>
  <c r="D825" i="123"/>
  <c r="D824" i="123"/>
  <c r="D823" i="123"/>
  <c r="D822" i="123"/>
  <c r="D820" i="123"/>
  <c r="D819" i="123"/>
  <c r="D818" i="123"/>
  <c r="D817" i="123"/>
  <c r="D816" i="123"/>
  <c r="D815" i="123"/>
  <c r="D813" i="123"/>
  <c r="D812" i="123"/>
  <c r="D811" i="123"/>
  <c r="D810" i="123"/>
  <c r="D809" i="123"/>
  <c r="D808" i="123"/>
  <c r="D806" i="123"/>
  <c r="D805" i="123"/>
  <c r="D804" i="123"/>
  <c r="D803" i="123"/>
  <c r="D802" i="123"/>
  <c r="D801" i="123"/>
  <c r="D799" i="123"/>
  <c r="D798" i="123"/>
  <c r="D797" i="123"/>
  <c r="D796" i="123"/>
  <c r="D795" i="123"/>
  <c r="D794" i="123"/>
  <c r="D792" i="123"/>
  <c r="D791" i="123"/>
  <c r="D790" i="123"/>
  <c r="D789" i="123"/>
  <c r="D788" i="123"/>
  <c r="D787" i="123"/>
  <c r="D785" i="123"/>
  <c r="D784" i="123"/>
  <c r="D783" i="123"/>
  <c r="D782" i="123"/>
  <c r="D781" i="123"/>
  <c r="D780" i="123"/>
  <c r="D778" i="123"/>
  <c r="D777" i="123"/>
  <c r="D776" i="123"/>
  <c r="D775" i="123"/>
  <c r="D774" i="123"/>
  <c r="D773" i="123"/>
  <c r="D771" i="123"/>
  <c r="D770" i="123"/>
  <c r="D769" i="123"/>
  <c r="D768" i="123"/>
  <c r="D767" i="123"/>
  <c r="D766" i="123"/>
  <c r="D764" i="123"/>
  <c r="D763" i="123"/>
  <c r="D762" i="123"/>
  <c r="D761" i="123"/>
  <c r="D760" i="123"/>
  <c r="D759" i="123"/>
  <c r="D757" i="123"/>
  <c r="D756" i="123"/>
  <c r="D755" i="123"/>
  <c r="D754" i="123"/>
  <c r="D753" i="123"/>
  <c r="D752" i="123"/>
  <c r="D750" i="123"/>
  <c r="D749" i="123"/>
  <c r="D748" i="123"/>
  <c r="D747" i="123"/>
  <c r="D746" i="123"/>
  <c r="D745" i="123"/>
  <c r="D743" i="123"/>
  <c r="D742" i="123"/>
  <c r="D741" i="123"/>
  <c r="D740" i="123"/>
  <c r="D739" i="123"/>
  <c r="D738" i="123"/>
  <c r="D736" i="123"/>
  <c r="D735" i="123"/>
  <c r="D734" i="123"/>
  <c r="D733" i="123"/>
  <c r="D732" i="123"/>
  <c r="D731" i="123"/>
  <c r="D729" i="123"/>
  <c r="D728" i="123"/>
  <c r="D727" i="123"/>
  <c r="D726" i="123"/>
  <c r="D725" i="123"/>
  <c r="D724" i="123"/>
  <c r="D722" i="123"/>
  <c r="D721" i="123"/>
  <c r="D720" i="123"/>
  <c r="D719" i="123"/>
  <c r="D718" i="123"/>
  <c r="D717" i="123"/>
  <c r="D715" i="123"/>
  <c r="D714" i="123"/>
  <c r="D713" i="123"/>
  <c r="D712" i="123"/>
  <c r="D711" i="123"/>
  <c r="D710" i="123"/>
  <c r="D708" i="123"/>
  <c r="D707" i="123"/>
  <c r="D706" i="123"/>
  <c r="D705" i="123"/>
  <c r="D704" i="123"/>
  <c r="D703" i="123"/>
  <c r="D701" i="123"/>
  <c r="D700" i="123"/>
  <c r="D699" i="123"/>
  <c r="D698" i="123"/>
  <c r="D697" i="123"/>
  <c r="D696" i="123"/>
  <c r="D694" i="123"/>
  <c r="D693" i="123"/>
  <c r="D692" i="123"/>
  <c r="D691" i="123"/>
  <c r="D690" i="123"/>
  <c r="D689" i="123"/>
  <c r="D687" i="123"/>
  <c r="D686" i="123"/>
  <c r="D685" i="123"/>
  <c r="D684" i="123"/>
  <c r="D683" i="123"/>
  <c r="D682" i="123"/>
  <c r="D680" i="123"/>
  <c r="D679" i="123"/>
  <c r="D678" i="123"/>
  <c r="D677" i="123"/>
  <c r="D676" i="123"/>
  <c r="D675" i="123"/>
  <c r="D673" i="123"/>
  <c r="D672" i="123"/>
  <c r="D671" i="123"/>
  <c r="D670" i="123"/>
  <c r="D669" i="123"/>
  <c r="D668" i="123"/>
  <c r="D666" i="123"/>
  <c r="D665" i="123"/>
  <c r="D664" i="123"/>
  <c r="D663" i="123"/>
  <c r="D662" i="123"/>
  <c r="D661" i="123"/>
  <c r="D659" i="123"/>
  <c r="D658" i="123"/>
  <c r="D657" i="123"/>
  <c r="D656" i="123"/>
  <c r="D655" i="123"/>
  <c r="D654" i="123"/>
  <c r="D652" i="123"/>
  <c r="D651" i="123"/>
  <c r="D650" i="123"/>
  <c r="D649" i="123"/>
  <c r="D648" i="123"/>
  <c r="D647" i="123"/>
  <c r="D645" i="123"/>
  <c r="D644" i="123"/>
  <c r="D643" i="123"/>
  <c r="D642" i="123"/>
  <c r="D641" i="123"/>
  <c r="D640" i="123"/>
  <c r="D638" i="123"/>
  <c r="D637" i="123"/>
  <c r="D636" i="123"/>
  <c r="D635" i="123"/>
  <c r="D634" i="123"/>
  <c r="D633" i="123"/>
  <c r="D631" i="123"/>
  <c r="D630" i="123"/>
  <c r="D629" i="123"/>
  <c r="D628" i="123"/>
  <c r="D627" i="123"/>
  <c r="D626" i="123"/>
  <c r="D624" i="123"/>
  <c r="D623" i="123"/>
  <c r="D622" i="123"/>
  <c r="D621" i="123"/>
  <c r="D620" i="123"/>
  <c r="D619" i="123"/>
  <c r="D617" i="123"/>
  <c r="D616" i="123"/>
  <c r="D615" i="123"/>
  <c r="D614" i="123"/>
  <c r="D613" i="123"/>
  <c r="D612" i="123"/>
  <c r="D610" i="123"/>
  <c r="D609" i="123"/>
  <c r="D608" i="123"/>
  <c r="D607" i="123"/>
  <c r="D606" i="123"/>
  <c r="D605" i="123"/>
  <c r="D603" i="123"/>
  <c r="D602" i="123"/>
  <c r="D601" i="123"/>
  <c r="D600" i="123"/>
  <c r="D599" i="123"/>
  <c r="D598" i="123"/>
  <c r="D596" i="123"/>
  <c r="D595" i="123"/>
  <c r="D594" i="123"/>
  <c r="D593" i="123"/>
  <c r="D592" i="123"/>
  <c r="D591" i="123"/>
  <c r="D589" i="123"/>
  <c r="D588" i="123"/>
  <c r="D587" i="123"/>
  <c r="D586" i="123"/>
  <c r="D585" i="123"/>
  <c r="D584" i="123"/>
  <c r="D582" i="123"/>
  <c r="D581" i="123"/>
  <c r="D580" i="123"/>
  <c r="D579" i="123"/>
  <c r="D578" i="123"/>
  <c r="D577" i="123"/>
  <c r="D575" i="123"/>
  <c r="D574" i="123"/>
  <c r="D573" i="123"/>
  <c r="D572" i="123"/>
  <c r="D571" i="123"/>
  <c r="D570" i="123"/>
  <c r="D568" i="123"/>
  <c r="D567" i="123"/>
  <c r="D566" i="123"/>
  <c r="D565" i="123"/>
  <c r="D564" i="123"/>
  <c r="D563" i="123"/>
  <c r="D561" i="123"/>
  <c r="D560" i="123"/>
  <c r="D559" i="123"/>
  <c r="D558" i="123"/>
  <c r="D557" i="123"/>
  <c r="D556" i="123"/>
  <c r="D554" i="123"/>
  <c r="D553" i="123"/>
  <c r="D552" i="123"/>
  <c r="D551" i="123"/>
  <c r="D550" i="123"/>
  <c r="D549" i="123"/>
  <c r="D547" i="123"/>
  <c r="D546" i="123"/>
  <c r="D545" i="123"/>
  <c r="D544" i="123"/>
  <c r="D543" i="123"/>
  <c r="D542" i="123"/>
  <c r="D540" i="123"/>
  <c r="D539" i="123"/>
  <c r="D538" i="123"/>
  <c r="D537" i="123"/>
  <c r="D536" i="123"/>
  <c r="D535" i="123"/>
  <c r="D533" i="123"/>
  <c r="D532" i="123"/>
  <c r="D531" i="123"/>
  <c r="D530" i="123"/>
  <c r="D529" i="123"/>
  <c r="D528" i="123"/>
  <c r="D526" i="123"/>
  <c r="D525" i="123"/>
  <c r="D524" i="123"/>
  <c r="D523" i="123"/>
  <c r="D522" i="123"/>
  <c r="D521" i="123"/>
  <c r="D519" i="123"/>
  <c r="D518" i="123"/>
  <c r="D517" i="123"/>
  <c r="D516" i="123"/>
  <c r="D515" i="123"/>
  <c r="D514" i="123"/>
  <c r="D512" i="123"/>
  <c r="D511" i="123"/>
  <c r="D510" i="123"/>
  <c r="D509" i="123"/>
  <c r="D508" i="123"/>
  <c r="D507" i="123"/>
  <c r="D505" i="123"/>
  <c r="D504" i="123"/>
  <c r="D503" i="123"/>
  <c r="D502" i="123"/>
  <c r="D501" i="123"/>
  <c r="D500" i="123"/>
  <c r="D498" i="123"/>
  <c r="D497" i="123"/>
  <c r="D496" i="123"/>
  <c r="D495" i="123"/>
  <c r="D494" i="123"/>
  <c r="D493" i="123"/>
  <c r="D491" i="123"/>
  <c r="D490" i="123"/>
  <c r="D489" i="123"/>
  <c r="D488" i="123"/>
  <c r="D487" i="123"/>
  <c r="D486" i="123"/>
  <c r="D484" i="123"/>
  <c r="D483" i="123"/>
  <c r="D482" i="123"/>
  <c r="D481" i="123"/>
  <c r="D480" i="123"/>
  <c r="D479" i="123"/>
  <c r="D477" i="123"/>
  <c r="D476" i="123"/>
  <c r="D475" i="123"/>
  <c r="D474" i="123"/>
  <c r="D473" i="123"/>
  <c r="D472" i="123"/>
  <c r="D470" i="123"/>
  <c r="D469" i="123"/>
  <c r="D468" i="123"/>
  <c r="D467" i="123"/>
  <c r="D466" i="123"/>
  <c r="D465" i="123"/>
  <c r="D463" i="123"/>
  <c r="D462" i="123"/>
  <c r="D461" i="123"/>
  <c r="D460" i="123"/>
  <c r="D459" i="123"/>
  <c r="D458" i="123"/>
  <c r="D456" i="123"/>
  <c r="D455" i="123"/>
  <c r="D454" i="123"/>
  <c r="D453" i="123"/>
  <c r="D452" i="123"/>
  <c r="D451" i="123"/>
  <c r="D449" i="123"/>
  <c r="D448" i="123"/>
  <c r="D447" i="123"/>
  <c r="D446" i="123"/>
  <c r="D445" i="123"/>
  <c r="D444" i="123"/>
  <c r="D442" i="123"/>
  <c r="D441" i="123"/>
  <c r="D440" i="123"/>
  <c r="D439" i="123"/>
  <c r="D438" i="123"/>
  <c r="D437" i="123"/>
  <c r="D435" i="123"/>
  <c r="D434" i="123"/>
  <c r="D433" i="123"/>
  <c r="D432" i="123"/>
  <c r="D431" i="123"/>
  <c r="D430" i="123"/>
  <c r="D428" i="123"/>
  <c r="D427" i="123"/>
  <c r="D426" i="123"/>
  <c r="D425" i="123"/>
  <c r="D424" i="123"/>
  <c r="D423" i="123"/>
  <c r="D421" i="123"/>
  <c r="D420" i="123"/>
  <c r="D419" i="123"/>
  <c r="D418" i="123"/>
  <c r="D417" i="123"/>
  <c r="D416" i="123"/>
  <c r="D414" i="123"/>
  <c r="D413" i="123"/>
  <c r="D412" i="123"/>
  <c r="D411" i="123"/>
  <c r="D410" i="123"/>
  <c r="D409" i="123"/>
  <c r="D407" i="123"/>
  <c r="D406" i="123"/>
  <c r="D405" i="123"/>
  <c r="D404" i="123"/>
  <c r="D403" i="123"/>
  <c r="D402" i="123"/>
  <c r="D400" i="123"/>
  <c r="D399" i="123"/>
  <c r="D398" i="123"/>
  <c r="D397" i="123"/>
  <c r="D396" i="123"/>
  <c r="D395" i="123"/>
  <c r="D393" i="123"/>
  <c r="D392" i="123"/>
  <c r="D391" i="123"/>
  <c r="D390" i="123"/>
  <c r="D389" i="123"/>
  <c r="D388" i="123"/>
  <c r="D386" i="123"/>
  <c r="D385" i="123"/>
  <c r="D384" i="123"/>
  <c r="D383" i="123"/>
  <c r="D382" i="123"/>
  <c r="D381" i="123"/>
  <c r="D379" i="123"/>
  <c r="D378" i="123"/>
  <c r="D377" i="123"/>
  <c r="D376" i="123"/>
  <c r="D375" i="123"/>
  <c r="D374" i="123"/>
  <c r="D372" i="123"/>
  <c r="D371" i="123"/>
  <c r="D370" i="123"/>
  <c r="D369" i="123"/>
  <c r="D368" i="123"/>
  <c r="D367" i="123"/>
  <c r="D365" i="123"/>
  <c r="D364" i="123"/>
  <c r="D363" i="123"/>
  <c r="D362" i="123"/>
  <c r="D361" i="123"/>
  <c r="D360" i="123"/>
  <c r="D358" i="123"/>
  <c r="D357" i="123"/>
  <c r="D356" i="123"/>
  <c r="D355" i="123"/>
  <c r="D354" i="123"/>
  <c r="D353" i="123"/>
  <c r="D351" i="123"/>
  <c r="D350" i="123"/>
  <c r="D349" i="123"/>
  <c r="D348" i="123"/>
  <c r="D347" i="123"/>
  <c r="D346" i="123"/>
  <c r="D344" i="123"/>
  <c r="D343" i="123"/>
  <c r="D342" i="123"/>
  <c r="D341" i="123"/>
  <c r="D340" i="123"/>
  <c r="D339" i="123"/>
  <c r="D337" i="123"/>
  <c r="D336" i="123"/>
  <c r="D335" i="123"/>
  <c r="D334" i="123"/>
  <c r="D333" i="123"/>
  <c r="D332" i="123"/>
  <c r="D330" i="123"/>
  <c r="D329" i="123"/>
  <c r="D328" i="123"/>
  <c r="D327" i="123"/>
  <c r="D326" i="123"/>
  <c r="D325" i="123"/>
  <c r="D323" i="123"/>
  <c r="D322" i="123"/>
  <c r="D321" i="123"/>
  <c r="D320" i="123"/>
  <c r="D319" i="123"/>
  <c r="D318" i="123"/>
  <c r="D316" i="123"/>
  <c r="D315" i="123"/>
  <c r="D314" i="123"/>
  <c r="D313" i="123"/>
  <c r="D312" i="123"/>
  <c r="D311" i="123"/>
  <c r="D309" i="123"/>
  <c r="D308" i="123"/>
  <c r="D307" i="123"/>
  <c r="D306" i="123"/>
  <c r="D305" i="123"/>
  <c r="D304" i="123"/>
  <c r="D302" i="123"/>
  <c r="D301" i="123"/>
  <c r="D300" i="123"/>
  <c r="D299" i="123"/>
  <c r="D298" i="123"/>
  <c r="D297" i="123"/>
  <c r="D290" i="123"/>
  <c r="D289" i="123"/>
  <c r="D288" i="123"/>
  <c r="D287" i="123"/>
  <c r="D286" i="123"/>
  <c r="D285" i="123"/>
  <c r="D284" i="123"/>
  <c r="D283" i="123"/>
  <c r="D282" i="123"/>
  <c r="D281" i="123"/>
  <c r="D280" i="123"/>
  <c r="D279" i="123"/>
  <c r="D277" i="123"/>
  <c r="D276" i="123"/>
  <c r="D275" i="123"/>
  <c r="D274" i="123"/>
  <c r="D273" i="123"/>
  <c r="D272" i="123"/>
  <c r="D271" i="123"/>
  <c r="D270" i="123"/>
  <c r="D269" i="123"/>
  <c r="D268" i="123"/>
  <c r="D267" i="123"/>
  <c r="D266" i="123"/>
  <c r="D265" i="123"/>
  <c r="D264" i="123"/>
  <c r="D263" i="123"/>
  <c r="D262" i="123"/>
  <c r="D261" i="123"/>
  <c r="D260" i="123"/>
  <c r="D259" i="123"/>
  <c r="D258" i="123"/>
  <c r="D257" i="123"/>
  <c r="D256" i="123"/>
  <c r="D255" i="123"/>
  <c r="D254" i="123"/>
  <c r="D253" i="123"/>
  <c r="D252" i="123"/>
  <c r="D251" i="123"/>
  <c r="D250" i="123"/>
  <c r="D249" i="123"/>
  <c r="D248" i="123"/>
  <c r="D247" i="123"/>
  <c r="D246" i="123"/>
  <c r="D245" i="123"/>
  <c r="D244" i="123"/>
  <c r="D243" i="123"/>
  <c r="D242" i="123"/>
  <c r="D241" i="123"/>
  <c r="D240" i="123"/>
  <c r="D239" i="123"/>
  <c r="D238" i="123"/>
  <c r="D237" i="123"/>
  <c r="D236" i="123"/>
  <c r="D235" i="123"/>
  <c r="D234" i="123"/>
  <c r="D233" i="123"/>
  <c r="D232" i="123"/>
  <c r="D231" i="123"/>
  <c r="D230" i="123"/>
  <c r="D229" i="123"/>
  <c r="D228" i="123"/>
  <c r="D227" i="123"/>
  <c r="D226" i="123"/>
  <c r="D225" i="123"/>
  <c r="D224" i="123"/>
  <c r="D223" i="123"/>
  <c r="D222" i="123"/>
  <c r="D221" i="123"/>
  <c r="D220" i="123"/>
  <c r="D219" i="123"/>
  <c r="D218" i="123"/>
  <c r="D217" i="123"/>
  <c r="D216" i="123"/>
  <c r="D215" i="123"/>
  <c r="D214" i="123"/>
  <c r="D213" i="123"/>
  <c r="D212" i="123"/>
  <c r="D211" i="123"/>
  <c r="D210" i="123"/>
  <c r="D209" i="123"/>
  <c r="D208" i="123"/>
  <c r="D207" i="123"/>
  <c r="D206" i="123"/>
  <c r="D205" i="123"/>
  <c r="D204" i="123"/>
  <c r="D203" i="123"/>
  <c r="D202" i="123"/>
  <c r="D201" i="123"/>
  <c r="D200" i="123"/>
  <c r="D199" i="123"/>
  <c r="D198" i="123"/>
  <c r="D197" i="123"/>
  <c r="D196" i="123"/>
  <c r="D195" i="123"/>
  <c r="D194" i="123"/>
  <c r="D193" i="123"/>
  <c r="D192" i="123"/>
  <c r="D191" i="123"/>
  <c r="D190" i="123"/>
  <c r="D189" i="123"/>
  <c r="D188" i="123"/>
  <c r="D187" i="123"/>
  <c r="D186" i="123"/>
  <c r="D185" i="123"/>
  <c r="D184" i="123"/>
  <c r="D183" i="123"/>
  <c r="D182" i="123"/>
  <c r="D181" i="123"/>
  <c r="D180" i="123"/>
  <c r="D179" i="123"/>
  <c r="D178" i="123"/>
  <c r="D177" i="123"/>
  <c r="D176" i="123"/>
  <c r="D175" i="123"/>
  <c r="D174" i="123"/>
  <c r="D173" i="123"/>
  <c r="D172" i="123"/>
  <c r="D171" i="123"/>
  <c r="D170" i="123"/>
  <c r="D169" i="123"/>
  <c r="D168" i="123"/>
  <c r="D167" i="123"/>
  <c r="D166" i="123"/>
  <c r="D165" i="123"/>
  <c r="D164" i="123"/>
  <c r="D162" i="123"/>
  <c r="D161" i="123"/>
  <c r="D160" i="123"/>
  <c r="D159" i="123"/>
  <c r="D158" i="123"/>
  <c r="D157" i="123"/>
  <c r="D156" i="123"/>
  <c r="D155" i="123"/>
  <c r="D154" i="123"/>
  <c r="D153" i="123"/>
  <c r="D152" i="123"/>
  <c r="D151" i="123"/>
  <c r="D150" i="123"/>
  <c r="D149" i="123"/>
  <c r="D148" i="123"/>
  <c r="D147" i="123"/>
  <c r="D146" i="123"/>
  <c r="D145" i="123"/>
  <c r="D144" i="123"/>
  <c r="D143" i="123"/>
  <c r="D142" i="123"/>
  <c r="D141" i="123"/>
  <c r="D140" i="123"/>
  <c r="D139" i="123"/>
  <c r="D138" i="123"/>
  <c r="D137" i="123"/>
  <c r="D136" i="123"/>
  <c r="D135" i="123"/>
  <c r="D134" i="123"/>
  <c r="D133" i="123"/>
  <c r="D132" i="123"/>
  <c r="D131" i="123"/>
  <c r="D130" i="123"/>
  <c r="D129" i="123"/>
  <c r="D128" i="123"/>
  <c r="D127" i="123"/>
  <c r="D126" i="123"/>
  <c r="D125" i="123"/>
  <c r="D124" i="123"/>
  <c r="D123" i="123"/>
  <c r="D122" i="123"/>
  <c r="D121" i="123"/>
  <c r="D120" i="123"/>
  <c r="D119" i="123"/>
  <c r="D118" i="123"/>
  <c r="D117" i="123"/>
  <c r="D116" i="123"/>
  <c r="D115" i="123"/>
  <c r="D114" i="123"/>
  <c r="D113" i="123"/>
  <c r="D112" i="123"/>
  <c r="D111" i="123"/>
  <c r="D110" i="123"/>
  <c r="D109" i="123"/>
  <c r="D108" i="123"/>
  <c r="D107" i="123"/>
  <c r="D106" i="123"/>
  <c r="D105" i="123"/>
  <c r="D104" i="123"/>
  <c r="D103" i="123"/>
  <c r="D102" i="123"/>
  <c r="D101" i="123"/>
  <c r="D100" i="123"/>
  <c r="D99" i="123"/>
  <c r="D98" i="123"/>
  <c r="D97" i="123"/>
  <c r="D96" i="123"/>
  <c r="D94" i="123"/>
  <c r="D92" i="123"/>
  <c r="D91" i="123"/>
  <c r="D90" i="123"/>
  <c r="D89" i="123"/>
  <c r="D88" i="123"/>
  <c r="D87" i="123"/>
  <c r="D86" i="123"/>
  <c r="D85" i="123"/>
  <c r="D84" i="123"/>
  <c r="D83" i="123"/>
  <c r="D80" i="123"/>
  <c r="D78" i="123"/>
  <c r="D77" i="123"/>
  <c r="D76" i="123"/>
  <c r="D75" i="123"/>
  <c r="D74" i="123"/>
  <c r="D73" i="123"/>
  <c r="D72" i="123"/>
  <c r="D71" i="123"/>
  <c r="D69" i="123"/>
  <c r="D66" i="123"/>
  <c r="D64" i="123"/>
  <c r="D63" i="123"/>
  <c r="D62" i="123"/>
  <c r="D61" i="123"/>
  <c r="D60" i="123"/>
  <c r="D59" i="123"/>
  <c r="D58" i="123"/>
  <c r="D57" i="123"/>
  <c r="D56" i="123"/>
  <c r="D55" i="123"/>
  <c r="D52" i="123"/>
  <c r="D50" i="123"/>
  <c r="D49" i="123"/>
  <c r="D48" i="123"/>
  <c r="D47" i="123"/>
  <c r="D46" i="123"/>
  <c r="D45" i="123"/>
  <c r="D42" i="123"/>
  <c r="D40" i="123"/>
  <c r="D39" i="123"/>
  <c r="D38" i="123"/>
  <c r="D37" i="123"/>
  <c r="D36" i="123"/>
  <c r="D35" i="123"/>
  <c r="D34" i="123"/>
  <c r="D31" i="123"/>
  <c r="D29" i="123"/>
  <c r="D28" i="123"/>
  <c r="D27" i="123"/>
  <c r="D26" i="123"/>
  <c r="D25" i="123"/>
  <c r="D24" i="123"/>
  <c r="D21" i="123"/>
  <c r="D20" i="123"/>
  <c r="D19" i="123"/>
  <c r="D18" i="123"/>
  <c r="D17" i="123"/>
  <c r="D16" i="123"/>
  <c r="D15" i="123"/>
  <c r="D13" i="123"/>
  <c r="D12" i="123"/>
  <c r="D11" i="123"/>
  <c r="D10" i="123"/>
  <c r="D9" i="123"/>
  <c r="D8" i="123"/>
  <c r="T1666" i="123"/>
  <c r="T1665" i="123"/>
  <c r="T1664" i="123"/>
  <c r="T1663" i="123"/>
  <c r="T1662" i="123"/>
  <c r="T1661" i="123"/>
  <c r="T1660" i="123"/>
  <c r="T1659" i="123"/>
  <c r="T1658" i="123"/>
  <c r="T1657" i="123"/>
  <c r="T1656" i="123"/>
  <c r="T1655" i="123"/>
  <c r="T1654" i="123"/>
  <c r="T1653" i="123"/>
  <c r="T1652" i="123"/>
  <c r="T1651" i="123"/>
  <c r="T1650" i="123"/>
  <c r="T1649" i="123"/>
  <c r="T1648" i="123"/>
  <c r="T1647" i="123"/>
  <c r="T1646" i="123"/>
  <c r="T1645" i="123"/>
  <c r="T1644" i="123"/>
  <c r="T1643" i="123"/>
  <c r="T1642" i="123"/>
  <c r="T1641" i="123"/>
  <c r="T1640" i="123"/>
  <c r="T1639" i="123"/>
  <c r="T1638" i="123"/>
  <c r="T1637" i="123"/>
  <c r="T1636" i="123"/>
  <c r="T1635" i="123"/>
  <c r="T1634" i="123"/>
  <c r="T1633" i="123"/>
  <c r="T1632" i="123"/>
  <c r="T1631" i="123"/>
  <c r="T1630" i="123"/>
  <c r="T1629" i="123"/>
  <c r="T1628" i="123"/>
  <c r="T1627" i="123"/>
  <c r="T1626" i="123"/>
  <c r="T1625" i="123"/>
  <c r="T1624" i="123"/>
  <c r="T1623" i="123"/>
  <c r="T1622" i="123"/>
  <c r="T1621" i="123"/>
  <c r="T1620" i="123"/>
  <c r="T1619" i="123"/>
  <c r="T1618" i="123"/>
  <c r="T1617" i="123"/>
  <c r="T1616" i="123"/>
  <c r="T1615" i="123"/>
  <c r="T1614" i="123"/>
  <c r="T1612" i="123"/>
  <c r="T1611" i="123"/>
  <c r="T1610" i="123"/>
  <c r="T1609" i="123"/>
  <c r="T1608" i="123"/>
  <c r="T1607" i="123"/>
  <c r="T1606" i="123"/>
  <c r="T1605" i="123"/>
  <c r="T1604" i="123"/>
  <c r="T1603" i="123"/>
  <c r="T1602" i="123"/>
  <c r="T1601" i="123"/>
  <c r="T1600" i="123"/>
  <c r="T1599" i="123"/>
  <c r="T1598" i="123"/>
  <c r="T1597" i="123"/>
  <c r="T1596" i="123"/>
  <c r="T1595" i="123"/>
  <c r="T1594" i="123"/>
  <c r="T1593" i="123"/>
  <c r="T1592" i="123"/>
  <c r="T1591" i="123"/>
  <c r="T1590" i="123"/>
  <c r="T1589" i="123"/>
  <c r="T1588" i="123"/>
  <c r="T1587" i="123"/>
  <c r="T1586" i="123"/>
  <c r="T1585" i="123"/>
  <c r="T1584" i="123"/>
  <c r="T1583" i="123"/>
  <c r="T1582" i="123"/>
  <c r="T1581" i="123"/>
  <c r="T1580" i="123"/>
  <c r="T1579" i="123"/>
  <c r="T1578" i="123"/>
  <c r="T1577" i="123"/>
  <c r="T1576" i="123"/>
  <c r="T1575" i="123"/>
  <c r="T1574" i="123"/>
  <c r="T1573" i="123"/>
  <c r="T1572" i="123"/>
  <c r="T1571" i="123"/>
  <c r="T1570" i="123"/>
  <c r="T1569" i="123"/>
  <c r="T1568" i="123"/>
  <c r="T1567" i="123"/>
  <c r="T1566" i="123"/>
  <c r="T1565" i="123"/>
  <c r="T1564" i="123"/>
  <c r="T1563" i="123"/>
  <c r="T1562" i="123"/>
  <c r="T1561" i="123"/>
  <c r="T1560" i="123"/>
  <c r="T1559" i="123"/>
  <c r="T1558" i="123"/>
  <c r="T1557" i="123"/>
  <c r="T1556" i="123"/>
  <c r="T1555" i="123"/>
  <c r="T1554" i="123"/>
  <c r="T1553" i="123"/>
  <c r="T1552" i="123"/>
  <c r="T1550" i="123"/>
  <c r="T1549" i="123"/>
  <c r="T1548" i="123"/>
  <c r="T1547" i="123"/>
  <c r="T1546" i="123"/>
  <c r="T1545" i="123"/>
  <c r="T1544" i="123"/>
  <c r="T1543" i="123"/>
  <c r="T1542" i="123"/>
  <c r="T1541" i="123"/>
  <c r="T1540" i="123"/>
  <c r="T1539" i="123"/>
  <c r="T1538" i="123"/>
  <c r="T1537" i="123"/>
  <c r="T1536" i="123"/>
  <c r="T1535" i="123"/>
  <c r="T1534" i="123"/>
  <c r="T1533" i="123"/>
  <c r="T1532" i="123"/>
  <c r="T1531" i="123"/>
  <c r="T1530" i="123"/>
  <c r="T1529" i="123"/>
  <c r="T1528" i="123"/>
  <c r="T1527" i="123"/>
  <c r="T1526" i="123"/>
  <c r="T1525" i="123"/>
  <c r="T1524" i="123"/>
  <c r="T1523" i="123"/>
  <c r="T1522" i="123"/>
  <c r="T1521" i="123"/>
  <c r="T1520" i="123"/>
  <c r="T1519" i="123"/>
  <c r="T1518" i="123"/>
  <c r="T1517" i="123"/>
  <c r="T1516" i="123"/>
  <c r="T1515" i="123"/>
  <c r="T1514" i="123"/>
  <c r="T1513" i="123"/>
  <c r="T1512" i="123"/>
  <c r="T1511" i="123"/>
  <c r="T1510" i="123"/>
  <c r="T1509" i="123"/>
  <c r="T1508" i="123"/>
  <c r="T1507" i="123"/>
  <c r="T1506" i="123"/>
  <c r="T1505" i="123"/>
  <c r="T1504" i="123"/>
  <c r="T1503" i="123"/>
  <c r="T1502" i="123"/>
  <c r="T1501" i="123"/>
  <c r="T1500" i="123"/>
  <c r="T1499" i="123"/>
  <c r="T1498" i="123"/>
  <c r="T1497" i="123"/>
  <c r="T1496" i="123"/>
  <c r="T1495" i="123"/>
  <c r="T1494" i="123"/>
  <c r="T1493" i="123"/>
  <c r="T1492" i="123"/>
  <c r="T1491" i="123"/>
  <c r="T1490" i="123"/>
  <c r="T1488" i="123"/>
  <c r="T1487" i="123"/>
  <c r="T1486" i="123"/>
  <c r="T1485" i="123"/>
  <c r="T1484" i="123"/>
  <c r="T1483" i="123"/>
  <c r="T1482" i="123"/>
  <c r="T1481" i="123"/>
  <c r="T1480" i="123"/>
  <c r="T1479" i="123"/>
  <c r="T1478" i="123"/>
  <c r="T1477" i="123"/>
  <c r="T1476" i="123"/>
  <c r="T1475" i="123"/>
  <c r="T1474" i="123"/>
  <c r="T1473" i="123"/>
  <c r="T1472" i="123"/>
  <c r="T1471" i="123"/>
  <c r="T1470" i="123"/>
  <c r="T1469" i="123"/>
  <c r="T1468" i="123"/>
  <c r="T1467" i="123"/>
  <c r="T1466" i="123"/>
  <c r="T1465" i="123"/>
  <c r="T1464" i="123"/>
  <c r="T1463" i="123"/>
  <c r="T1462" i="123"/>
  <c r="T1461" i="123"/>
  <c r="T1460" i="123"/>
  <c r="T1459" i="123"/>
  <c r="T1458" i="123"/>
  <c r="T1457" i="123"/>
  <c r="T1456" i="123"/>
  <c r="T1455" i="123"/>
  <c r="T1454" i="123"/>
  <c r="T1453" i="123"/>
  <c r="T1452" i="123"/>
  <c r="T1451" i="123"/>
  <c r="T1450" i="123"/>
  <c r="T1449" i="123"/>
  <c r="T1448" i="123"/>
  <c r="T1447" i="123"/>
  <c r="T1446" i="123"/>
  <c r="T1289" i="123"/>
  <c r="T1288" i="123"/>
  <c r="T1287" i="123"/>
  <c r="T1286" i="123"/>
  <c r="T1285" i="123"/>
  <c r="T1284" i="123"/>
  <c r="T1283" i="123"/>
  <c r="T1282" i="123"/>
  <c r="T1281" i="123"/>
  <c r="T1280" i="123"/>
  <c r="T1279" i="123"/>
  <c r="T1278" i="123"/>
  <c r="T1277" i="123"/>
  <c r="T1276" i="123"/>
  <c r="T1275" i="123"/>
  <c r="T1274" i="123"/>
  <c r="T1273" i="123"/>
  <c r="T1272" i="123"/>
  <c r="T1271" i="123"/>
  <c r="T1270" i="123"/>
  <c r="T1269" i="123"/>
  <c r="T1268" i="123"/>
  <c r="T1267" i="123"/>
  <c r="T1266" i="123"/>
  <c r="T1265" i="123"/>
  <c r="T1264" i="123"/>
  <c r="T1263" i="123"/>
  <c r="T1262" i="123"/>
  <c r="T1261" i="123"/>
  <c r="T1260" i="123"/>
  <c r="T1259" i="123"/>
  <c r="T1258" i="123"/>
  <c r="T1257" i="123"/>
  <c r="T1256" i="123"/>
  <c r="T1255" i="123"/>
  <c r="T1254" i="123"/>
  <c r="T1253" i="123"/>
  <c r="T1252" i="123"/>
  <c r="T1251" i="123"/>
  <c r="T1250" i="123"/>
  <c r="T1249" i="123"/>
  <c r="T1248" i="123"/>
  <c r="T1247" i="123"/>
  <c r="T1246" i="123"/>
  <c r="T1245" i="123"/>
  <c r="T1244" i="123"/>
  <c r="T1243" i="123"/>
  <c r="T1242" i="123"/>
  <c r="T1241" i="123"/>
  <c r="T1240" i="123"/>
  <c r="T1239" i="123"/>
  <c r="T1238" i="123"/>
  <c r="T1237" i="123"/>
  <c r="T1236" i="123"/>
  <c r="T1235" i="123"/>
  <c r="T1234" i="123"/>
  <c r="T1233" i="123"/>
  <c r="T1232" i="123"/>
  <c r="T1231" i="123"/>
  <c r="T1230" i="123"/>
  <c r="T1229" i="123"/>
  <c r="T1228" i="123"/>
  <c r="T1227" i="123"/>
  <c r="T1226" i="123"/>
  <c r="T1225" i="123"/>
  <c r="T1224" i="123"/>
  <c r="T1223" i="123"/>
  <c r="T1222" i="123"/>
  <c r="T1221" i="123"/>
  <c r="T1220" i="123"/>
  <c r="T1219" i="123"/>
  <c r="T1218" i="123"/>
  <c r="T1217" i="123"/>
  <c r="T1216" i="123"/>
  <c r="T1215" i="123"/>
  <c r="T1214" i="123"/>
  <c r="T1213" i="123"/>
  <c r="T1212" i="123"/>
  <c r="T1211" i="123"/>
  <c r="T1210" i="123"/>
  <c r="T1209" i="123"/>
  <c r="T1208" i="123"/>
  <c r="T1207" i="123"/>
  <c r="T1206" i="123"/>
  <c r="T1205" i="123"/>
  <c r="T1204" i="123"/>
  <c r="T1203" i="123"/>
  <c r="T1202" i="123"/>
  <c r="T1201" i="123"/>
  <c r="T1200" i="123"/>
  <c r="T1199" i="123"/>
  <c r="T1198" i="123"/>
  <c r="T1197" i="123"/>
  <c r="T1196" i="123"/>
  <c r="T1195" i="123"/>
  <c r="T1194" i="123"/>
  <c r="T1193" i="123"/>
  <c r="T1192" i="123"/>
  <c r="T1191" i="123"/>
  <c r="T1190" i="123"/>
  <c r="T1189" i="123"/>
  <c r="T1188" i="123"/>
  <c r="T1187" i="123"/>
  <c r="T1186" i="123"/>
  <c r="T1185" i="123"/>
  <c r="T1184" i="123"/>
  <c r="T1183" i="123"/>
  <c r="T1182" i="123"/>
  <c r="T1181" i="123"/>
  <c r="T1180" i="123"/>
  <c r="T1179" i="123"/>
  <c r="T1178" i="123"/>
  <c r="T1177" i="123"/>
  <c r="T1176" i="123"/>
  <c r="T1175" i="123"/>
  <c r="T1174" i="123"/>
  <c r="T1173" i="123"/>
  <c r="T1172" i="123"/>
  <c r="T1171" i="123"/>
  <c r="T1170" i="123"/>
  <c r="T1169" i="123"/>
  <c r="T1168" i="123"/>
  <c r="T1167" i="123"/>
  <c r="T1166" i="123"/>
  <c r="T1165" i="123"/>
  <c r="T1164" i="123"/>
  <c r="T1163" i="123"/>
  <c r="T1162" i="123"/>
  <c r="T1161" i="123"/>
  <c r="T1160" i="123"/>
  <c r="T1159" i="123"/>
  <c r="T1158" i="123"/>
  <c r="T1157" i="123"/>
  <c r="T1156" i="123"/>
  <c r="T1155" i="123"/>
  <c r="T1154" i="123"/>
  <c r="T1153" i="123"/>
  <c r="T1152" i="123"/>
  <c r="T1151" i="123"/>
  <c r="T1150" i="123"/>
  <c r="T1149" i="123"/>
  <c r="T1148" i="123"/>
  <c r="T1147" i="123"/>
  <c r="T1146" i="123"/>
  <c r="T1145" i="123"/>
  <c r="T1144" i="123"/>
  <c r="T1143" i="123"/>
  <c r="T1142" i="123"/>
  <c r="T1141" i="123"/>
  <c r="T1140" i="123"/>
  <c r="T1139" i="123"/>
  <c r="T1138" i="123"/>
  <c r="T1137" i="123"/>
  <c r="T1136" i="123"/>
  <c r="T1135" i="123"/>
  <c r="T1134" i="123"/>
  <c r="T1133" i="123"/>
  <c r="T1132" i="123"/>
  <c r="T1131" i="123"/>
  <c r="T1130" i="123"/>
  <c r="T1129" i="123"/>
  <c r="T1128" i="123"/>
  <c r="T1127" i="123"/>
  <c r="T1126" i="123"/>
  <c r="T1125" i="123"/>
  <c r="T1124" i="123"/>
  <c r="T1123" i="123"/>
  <c r="T1122" i="123"/>
  <c r="T1121" i="123"/>
  <c r="T1120" i="123"/>
  <c r="T1119" i="123"/>
  <c r="T1118" i="123"/>
  <c r="T1117" i="123"/>
  <c r="T1116" i="123"/>
  <c r="T1115" i="123"/>
  <c r="T1114" i="123"/>
  <c r="T1113" i="123"/>
  <c r="T1112" i="123"/>
  <c r="T1111" i="123"/>
  <c r="T1110" i="123"/>
  <c r="T1109" i="123"/>
  <c r="T1108" i="123"/>
  <c r="T1107" i="123"/>
  <c r="T1106" i="123"/>
  <c r="T1105" i="123"/>
  <c r="T1104" i="123"/>
  <c r="T1103" i="123"/>
  <c r="T1102" i="123"/>
  <c r="T1101" i="123"/>
  <c r="T1100" i="123"/>
  <c r="T1099" i="123"/>
  <c r="T1098" i="123"/>
  <c r="T1097" i="123"/>
  <c r="T1096" i="123"/>
  <c r="T1095" i="123"/>
  <c r="T1094" i="123"/>
  <c r="T1093" i="123"/>
  <c r="T1092" i="123"/>
  <c r="T1091" i="123"/>
  <c r="T1090" i="123"/>
  <c r="T1089" i="123"/>
  <c r="T1088" i="123"/>
  <c r="T1087" i="123"/>
  <c r="T1086" i="123"/>
  <c r="T1085" i="123"/>
  <c r="T1084" i="123"/>
  <c r="T1083" i="123"/>
  <c r="T1082" i="123"/>
  <c r="T1081" i="123"/>
  <c r="T1080" i="123"/>
  <c r="T1079" i="123"/>
  <c r="T1078" i="123"/>
  <c r="T1077" i="123"/>
  <c r="T1076" i="123"/>
  <c r="T1075" i="123"/>
  <c r="T1074" i="123"/>
  <c r="T1073" i="123"/>
  <c r="T1072" i="123"/>
  <c r="T1071" i="123"/>
  <c r="T1070" i="123"/>
  <c r="T1069" i="123"/>
  <c r="T1068" i="123"/>
  <c r="T1067" i="123"/>
  <c r="T1066" i="123"/>
  <c r="T1065" i="123"/>
  <c r="T1064" i="123"/>
  <c r="T1063" i="123"/>
  <c r="T1062" i="123"/>
  <c r="T1061" i="123"/>
  <c r="T1060" i="123"/>
  <c r="T1059" i="123"/>
  <c r="T1058" i="123"/>
  <c r="T1057" i="123"/>
  <c r="T1056" i="123"/>
  <c r="T1055" i="123"/>
  <c r="T1054" i="123"/>
  <c r="T1053" i="123"/>
  <c r="T1052" i="123"/>
  <c r="T1051" i="123"/>
  <c r="T1050" i="123"/>
  <c r="T1049" i="123"/>
  <c r="T1048" i="123"/>
  <c r="T1047" i="123"/>
  <c r="T1046" i="123"/>
  <c r="T1045" i="123"/>
  <c r="T1044" i="123"/>
  <c r="T1043" i="123"/>
  <c r="T1042" i="123"/>
  <c r="T1041" i="123"/>
  <c r="T1040" i="123"/>
  <c r="T1039" i="123"/>
  <c r="T1038" i="123"/>
  <c r="T1037" i="123"/>
  <c r="T1036" i="123"/>
  <c r="T1035" i="123"/>
  <c r="T1034" i="123"/>
  <c r="T1033" i="123"/>
  <c r="T1032" i="123"/>
  <c r="T1031" i="123"/>
  <c r="T1030" i="123"/>
  <c r="T1029" i="123"/>
  <c r="T1028" i="123"/>
  <c r="T1027" i="123"/>
  <c r="T1026" i="123"/>
  <c r="T1025" i="123"/>
  <c r="T1024" i="123"/>
  <c r="T1023" i="123"/>
  <c r="T1022" i="123"/>
  <c r="T1021" i="123"/>
  <c r="T1020" i="123"/>
  <c r="T1019" i="123"/>
  <c r="T1018" i="123"/>
  <c r="T1017" i="123"/>
  <c r="T1016" i="123"/>
  <c r="T1015" i="123"/>
  <c r="T1014" i="123"/>
  <c r="T1013" i="123"/>
  <c r="T1012" i="123"/>
  <c r="T1011" i="123"/>
  <c r="T1010" i="123"/>
  <c r="T1009" i="123"/>
  <c r="T1008" i="123"/>
  <c r="T1007" i="123"/>
  <c r="T1006" i="123"/>
  <c r="T1005" i="123"/>
  <c r="T1004" i="123"/>
  <c r="T1003" i="123"/>
  <c r="T1002" i="123"/>
  <c r="T1001" i="123"/>
  <c r="T1000" i="123"/>
  <c r="T999" i="123"/>
  <c r="T998" i="123"/>
  <c r="T997" i="123"/>
  <c r="T996" i="123"/>
  <c r="T995" i="123"/>
  <c r="T994" i="123"/>
  <c r="T993" i="123"/>
  <c r="T992" i="123"/>
  <c r="T991" i="123"/>
  <c r="T990" i="123"/>
  <c r="T989" i="123"/>
  <c r="T988" i="123"/>
  <c r="T987" i="123"/>
  <c r="T986" i="123"/>
  <c r="T985" i="123"/>
  <c r="T984" i="123"/>
  <c r="T983" i="123"/>
  <c r="T982" i="123"/>
  <c r="T981" i="123"/>
  <c r="T980" i="123"/>
  <c r="T979" i="123"/>
  <c r="T978" i="123"/>
  <c r="T977" i="123"/>
  <c r="T976" i="123"/>
  <c r="T975" i="123"/>
  <c r="T974" i="123"/>
  <c r="T973" i="123"/>
  <c r="T972" i="123"/>
  <c r="T971" i="123"/>
  <c r="T970" i="123"/>
  <c r="T969" i="123"/>
  <c r="T968" i="123"/>
  <c r="T967" i="123"/>
  <c r="T966" i="123"/>
  <c r="T965" i="123"/>
  <c r="T964" i="123"/>
  <c r="T963" i="123"/>
  <c r="T962" i="123"/>
  <c r="T961" i="123"/>
  <c r="T960" i="123"/>
  <c r="T959" i="123"/>
  <c r="T958" i="123"/>
  <c r="T957" i="123"/>
  <c r="T956" i="123"/>
  <c r="T955" i="123"/>
  <c r="T954" i="123"/>
  <c r="T953" i="123"/>
  <c r="T952" i="123"/>
  <c r="T951" i="123"/>
  <c r="T950" i="123"/>
  <c r="T949" i="123"/>
  <c r="T948" i="123"/>
  <c r="T947" i="123"/>
  <c r="T946" i="123"/>
  <c r="T945" i="123"/>
  <c r="T944" i="123"/>
  <c r="T943" i="123"/>
  <c r="T942" i="123"/>
  <c r="T941" i="123"/>
  <c r="T940" i="123"/>
  <c r="T939" i="123"/>
  <c r="T938" i="123"/>
  <c r="T937" i="123"/>
  <c r="T936" i="123"/>
  <c r="T935" i="123"/>
  <c r="T934" i="123"/>
  <c r="T933" i="123"/>
  <c r="T932" i="123"/>
  <c r="T931" i="123"/>
  <c r="T930" i="123"/>
  <c r="T929" i="123"/>
  <c r="T928" i="123"/>
  <c r="T927" i="123"/>
  <c r="T926" i="123"/>
  <c r="T925" i="123"/>
  <c r="T924" i="123"/>
  <c r="T923" i="123"/>
  <c r="T922" i="123"/>
  <c r="T921" i="123"/>
  <c r="T920" i="123"/>
  <c r="T919" i="123"/>
  <c r="T918" i="123"/>
  <c r="T917" i="123"/>
  <c r="T916" i="123"/>
  <c r="T915" i="123"/>
  <c r="T914" i="123"/>
  <c r="T913" i="123"/>
  <c r="T912" i="123"/>
  <c r="T911" i="123"/>
  <c r="T910" i="123"/>
  <c r="T909" i="123"/>
  <c r="T908" i="123"/>
  <c r="T907" i="123"/>
  <c r="T906" i="123"/>
  <c r="T905" i="123"/>
  <c r="T904" i="123"/>
  <c r="T903" i="123"/>
  <c r="T902" i="123"/>
  <c r="T901" i="123"/>
  <c r="T900" i="123"/>
  <c r="T899" i="123"/>
  <c r="T898" i="123"/>
  <c r="T897" i="123"/>
  <c r="T896" i="123"/>
  <c r="T895" i="123"/>
  <c r="T894" i="123"/>
  <c r="T893" i="123"/>
  <c r="T892" i="123"/>
  <c r="T891" i="123"/>
  <c r="T890" i="123"/>
  <c r="T889" i="123"/>
  <c r="T888" i="123"/>
  <c r="T887" i="123"/>
  <c r="T886" i="123"/>
  <c r="T885" i="123"/>
  <c r="T884" i="123"/>
  <c r="T883" i="123"/>
  <c r="T882" i="123"/>
  <c r="T881" i="123"/>
  <c r="T880" i="123"/>
  <c r="T879" i="123"/>
  <c r="T878" i="123"/>
  <c r="T877" i="123"/>
  <c r="T876" i="123"/>
  <c r="T875" i="123"/>
  <c r="T874" i="123"/>
  <c r="T873" i="123"/>
  <c r="T872" i="123"/>
  <c r="T871" i="123"/>
  <c r="T870" i="123"/>
  <c r="T869" i="123"/>
  <c r="T868" i="123"/>
  <c r="T867" i="123"/>
  <c r="T866" i="123"/>
  <c r="T865" i="123"/>
  <c r="T864" i="123"/>
  <c r="T863" i="123"/>
  <c r="T862" i="123"/>
  <c r="T861" i="123"/>
  <c r="T860" i="123"/>
  <c r="T859" i="123"/>
  <c r="T858" i="123"/>
  <c r="T857" i="123"/>
  <c r="T856" i="123"/>
  <c r="T855" i="123"/>
  <c r="T854" i="123"/>
  <c r="T853" i="123"/>
  <c r="T852" i="123"/>
  <c r="T851" i="123"/>
  <c r="T850" i="123"/>
  <c r="T849" i="123"/>
  <c r="T848" i="123"/>
  <c r="T847" i="123"/>
  <c r="T846" i="123"/>
  <c r="T845" i="123"/>
  <c r="T844" i="123"/>
  <c r="T843" i="123"/>
  <c r="T842" i="123"/>
  <c r="T841" i="123"/>
  <c r="T840" i="123"/>
  <c r="T839" i="123"/>
  <c r="T838" i="123"/>
  <c r="T837" i="123"/>
  <c r="T836" i="123"/>
  <c r="T835" i="123"/>
  <c r="T834" i="123"/>
  <c r="T833" i="123"/>
  <c r="T832" i="123"/>
  <c r="T831" i="123"/>
  <c r="T830" i="123"/>
  <c r="T829" i="123"/>
  <c r="T828" i="123"/>
  <c r="T827" i="123"/>
  <c r="T826" i="123"/>
  <c r="T825" i="123"/>
  <c r="T824" i="123"/>
  <c r="T823" i="123"/>
  <c r="T822" i="123"/>
  <c r="T821" i="123"/>
  <c r="T820" i="123"/>
  <c r="T819" i="123"/>
  <c r="T818" i="123"/>
  <c r="T817" i="123"/>
  <c r="T816" i="123"/>
  <c r="T815" i="123"/>
  <c r="T814" i="123"/>
  <c r="T813" i="123"/>
  <c r="T812" i="123"/>
  <c r="T811" i="123"/>
  <c r="T810" i="123"/>
  <c r="T809" i="123"/>
  <c r="T808" i="123"/>
  <c r="T807" i="123"/>
  <c r="T806" i="123"/>
  <c r="T805" i="123"/>
  <c r="T804" i="123"/>
  <c r="T803" i="123"/>
  <c r="T802" i="123"/>
  <c r="T801" i="123"/>
  <c r="T800" i="123"/>
  <c r="T799" i="123"/>
  <c r="T798" i="123"/>
  <c r="T797" i="123"/>
  <c r="T796" i="123"/>
  <c r="T795" i="123"/>
  <c r="T794" i="123"/>
  <c r="T793" i="123"/>
  <c r="T792" i="123"/>
  <c r="T791" i="123"/>
  <c r="T790" i="123"/>
  <c r="T789" i="123"/>
  <c r="T788" i="123"/>
  <c r="T787" i="123"/>
  <c r="T786" i="123"/>
  <c r="T785" i="123"/>
  <c r="T784" i="123"/>
  <c r="T783" i="123"/>
  <c r="T782" i="123"/>
  <c r="T781" i="123"/>
  <c r="T780" i="123"/>
  <c r="T779" i="123"/>
  <c r="T778" i="123"/>
  <c r="T777" i="123"/>
  <c r="T776" i="123"/>
  <c r="T775" i="123"/>
  <c r="T774" i="123"/>
  <c r="T773" i="123"/>
  <c r="T772" i="123"/>
  <c r="T771" i="123"/>
  <c r="T770" i="123"/>
  <c r="T769" i="123"/>
  <c r="T768" i="123"/>
  <c r="T767" i="123"/>
  <c r="T766" i="123"/>
  <c r="T765" i="123"/>
  <c r="T764" i="123"/>
  <c r="T763" i="123"/>
  <c r="T762" i="123"/>
  <c r="T761" i="123"/>
  <c r="T760" i="123"/>
  <c r="T759" i="123"/>
  <c r="T758" i="123"/>
  <c r="T757" i="123"/>
  <c r="T756" i="123"/>
  <c r="T755" i="123"/>
  <c r="T754" i="123"/>
  <c r="T753" i="123"/>
  <c r="T752" i="123"/>
  <c r="T751" i="123"/>
  <c r="T750" i="123"/>
  <c r="T749" i="123"/>
  <c r="T748" i="123"/>
  <c r="T747" i="123"/>
  <c r="T746" i="123"/>
  <c r="T745" i="123"/>
  <c r="T744" i="123"/>
  <c r="T743" i="123"/>
  <c r="T742" i="123"/>
  <c r="T741" i="123"/>
  <c r="T740" i="123"/>
  <c r="T739" i="123"/>
  <c r="T738" i="123"/>
  <c r="T737" i="123"/>
  <c r="T736" i="123"/>
  <c r="T735" i="123"/>
  <c r="T734" i="123"/>
  <c r="T733" i="123"/>
  <c r="T732" i="123"/>
  <c r="T731" i="123"/>
  <c r="T730" i="123"/>
  <c r="T729" i="123"/>
  <c r="T728" i="123"/>
  <c r="T727" i="123"/>
  <c r="T726" i="123"/>
  <c r="T725" i="123"/>
  <c r="T724" i="123"/>
  <c r="T723" i="123"/>
  <c r="T722" i="123"/>
  <c r="T721" i="123"/>
  <c r="T720" i="123"/>
  <c r="T719" i="123"/>
  <c r="T718" i="123"/>
  <c r="T717" i="123"/>
  <c r="T716" i="123"/>
  <c r="T715" i="123"/>
  <c r="T714" i="123"/>
  <c r="T713" i="123"/>
  <c r="T712" i="123"/>
  <c r="T711" i="123"/>
  <c r="T710" i="123"/>
  <c r="T709" i="123"/>
  <c r="T708" i="123"/>
  <c r="T707" i="123"/>
  <c r="T706" i="123"/>
  <c r="T705" i="123"/>
  <c r="T704" i="123"/>
  <c r="T703" i="123"/>
  <c r="T702" i="123"/>
  <c r="T701" i="123"/>
  <c r="T700" i="123"/>
  <c r="T699" i="123"/>
  <c r="T698" i="123"/>
  <c r="T697" i="123"/>
  <c r="T696" i="123"/>
  <c r="T695" i="123"/>
  <c r="T694" i="123"/>
  <c r="T693" i="123"/>
  <c r="T692" i="123"/>
  <c r="T691" i="123"/>
  <c r="T690" i="123"/>
  <c r="T689" i="123"/>
  <c r="T688" i="123"/>
  <c r="T687" i="123"/>
  <c r="T686" i="123"/>
  <c r="T685" i="123"/>
  <c r="T684" i="123"/>
  <c r="T683" i="123"/>
  <c r="T682" i="123"/>
  <c r="T681" i="123"/>
  <c r="T680" i="123"/>
  <c r="T679" i="123"/>
  <c r="T678" i="123"/>
  <c r="T677" i="123"/>
  <c r="T676" i="123"/>
  <c r="T675" i="123"/>
  <c r="T674" i="123"/>
  <c r="T673" i="123"/>
  <c r="T672" i="123"/>
  <c r="T671" i="123"/>
  <c r="T670" i="123"/>
  <c r="T669" i="123"/>
  <c r="T668" i="123"/>
  <c r="T667" i="123"/>
  <c r="T666" i="123"/>
  <c r="T665" i="123"/>
  <c r="T664" i="123"/>
  <c r="T663" i="123"/>
  <c r="T662" i="123"/>
  <c r="T661" i="123"/>
  <c r="T660" i="123"/>
  <c r="T659" i="123"/>
  <c r="T658" i="123"/>
  <c r="T657" i="123"/>
  <c r="T656" i="123"/>
  <c r="T655" i="123"/>
  <c r="T654" i="123"/>
  <c r="T653" i="123"/>
  <c r="T652" i="123"/>
  <c r="T651" i="123"/>
  <c r="T650" i="123"/>
  <c r="T649" i="123"/>
  <c r="T648" i="123"/>
  <c r="T647" i="123"/>
  <c r="T646" i="123"/>
  <c r="T645" i="123"/>
  <c r="T644" i="123"/>
  <c r="T643" i="123"/>
  <c r="T642" i="123"/>
  <c r="T641" i="123"/>
  <c r="T640" i="123"/>
  <c r="T639" i="123"/>
  <c r="T638" i="123"/>
  <c r="T637" i="123"/>
  <c r="T636" i="123"/>
  <c r="T635" i="123"/>
  <c r="T634" i="123"/>
  <c r="T633" i="123"/>
  <c r="T632" i="123"/>
  <c r="T631" i="123"/>
  <c r="T630" i="123"/>
  <c r="T629" i="123"/>
  <c r="T628" i="123"/>
  <c r="T627" i="123"/>
  <c r="T626" i="123"/>
  <c r="T625" i="123"/>
  <c r="T624" i="123"/>
  <c r="T623" i="123"/>
  <c r="T622" i="123"/>
  <c r="T621" i="123"/>
  <c r="T620" i="123"/>
  <c r="T619" i="123"/>
  <c r="T618" i="123"/>
  <c r="T617" i="123"/>
  <c r="T616" i="123"/>
  <c r="T615" i="123"/>
  <c r="T614" i="123"/>
  <c r="T613" i="123"/>
  <c r="T612" i="123"/>
  <c r="T611" i="123"/>
  <c r="T610" i="123"/>
  <c r="T609" i="123"/>
  <c r="T608" i="123"/>
  <c r="T607" i="123"/>
  <c r="T606" i="123"/>
  <c r="T605" i="123"/>
  <c r="T604" i="123"/>
  <c r="T603" i="123"/>
  <c r="T602" i="123"/>
  <c r="T601" i="123"/>
  <c r="T600" i="123"/>
  <c r="T599" i="123"/>
  <c r="T598" i="123"/>
  <c r="T597" i="123"/>
  <c r="T596" i="123"/>
  <c r="T595" i="123"/>
  <c r="T594" i="123"/>
  <c r="T593" i="123"/>
  <c r="T592" i="123"/>
  <c r="T591" i="123"/>
  <c r="T590" i="123"/>
  <c r="T589" i="123"/>
  <c r="T588" i="123"/>
  <c r="T587" i="123"/>
  <c r="T586" i="123"/>
  <c r="T585" i="123"/>
  <c r="T584" i="123"/>
  <c r="T583" i="123"/>
  <c r="T582" i="123"/>
  <c r="T581" i="123"/>
  <c r="T580" i="123"/>
  <c r="T579" i="123"/>
  <c r="T578" i="123"/>
  <c r="T577" i="123"/>
  <c r="T576" i="123"/>
  <c r="T575" i="123"/>
  <c r="T574" i="123"/>
  <c r="T573" i="123"/>
  <c r="T572" i="123"/>
  <c r="T571" i="123"/>
  <c r="T570" i="123"/>
  <c r="T569" i="123"/>
  <c r="T568" i="123"/>
  <c r="T567" i="123"/>
  <c r="T566" i="123"/>
  <c r="T565" i="123"/>
  <c r="T564" i="123"/>
  <c r="T563" i="123"/>
  <c r="T562" i="123"/>
  <c r="T561" i="123"/>
  <c r="T560" i="123"/>
  <c r="T559" i="123"/>
  <c r="T558" i="123"/>
  <c r="T557" i="123"/>
  <c r="T556" i="123"/>
  <c r="T555" i="123"/>
  <c r="T554" i="123"/>
  <c r="T553" i="123"/>
  <c r="T552" i="123"/>
  <c r="T551" i="123"/>
  <c r="T550" i="123"/>
  <c r="T549" i="123"/>
  <c r="T548" i="123"/>
  <c r="T547" i="123"/>
  <c r="T546" i="123"/>
  <c r="T545" i="123"/>
  <c r="T544" i="123"/>
  <c r="T543" i="123"/>
  <c r="T542" i="123"/>
  <c r="T541" i="123"/>
  <c r="T540" i="123"/>
  <c r="T539" i="123"/>
  <c r="T538" i="123"/>
  <c r="T537" i="123"/>
  <c r="T536" i="123"/>
  <c r="T535" i="123"/>
  <c r="T534" i="123"/>
  <c r="T533" i="123"/>
  <c r="T532" i="123"/>
  <c r="T531" i="123"/>
  <c r="T530" i="123"/>
  <c r="T529" i="123"/>
  <c r="T528" i="123"/>
  <c r="T527" i="123"/>
  <c r="T526" i="123"/>
  <c r="T525" i="123"/>
  <c r="T524" i="123"/>
  <c r="T523" i="123"/>
  <c r="T522" i="123"/>
  <c r="T521" i="123"/>
  <c r="T520" i="123"/>
  <c r="T519" i="123"/>
  <c r="T518" i="123"/>
  <c r="T517" i="123"/>
  <c r="T516" i="123"/>
  <c r="T515" i="123"/>
  <c r="T514" i="123"/>
  <c r="T513" i="123"/>
  <c r="T512" i="123"/>
  <c r="T511" i="123"/>
  <c r="T510" i="123"/>
  <c r="T509" i="123"/>
  <c r="T508" i="123"/>
  <c r="T507" i="123"/>
  <c r="T506" i="123"/>
  <c r="T505" i="123"/>
  <c r="T504" i="123"/>
  <c r="T503" i="123"/>
  <c r="T502" i="123"/>
  <c r="T501" i="123"/>
  <c r="T500" i="123"/>
  <c r="T499" i="123"/>
  <c r="T498" i="123"/>
  <c r="T497" i="123"/>
  <c r="T496" i="123"/>
  <c r="T495" i="123"/>
  <c r="T494" i="123"/>
  <c r="T493" i="123"/>
  <c r="T492" i="123"/>
  <c r="T491" i="123"/>
  <c r="T490" i="123"/>
  <c r="T489" i="123"/>
  <c r="T488" i="123"/>
  <c r="T487" i="123"/>
  <c r="T486" i="123"/>
  <c r="T485" i="123"/>
  <c r="T484" i="123"/>
  <c r="T483" i="123"/>
  <c r="T482" i="123"/>
  <c r="T481" i="123"/>
  <c r="T480" i="123"/>
  <c r="T479" i="123"/>
  <c r="T478" i="123"/>
  <c r="T477" i="123"/>
  <c r="T476" i="123"/>
  <c r="T475" i="123"/>
  <c r="T474" i="123"/>
  <c r="T473" i="123"/>
  <c r="T472" i="123"/>
  <c r="T471" i="123"/>
  <c r="T470" i="123"/>
  <c r="T469" i="123"/>
  <c r="T468" i="123"/>
  <c r="T467" i="123"/>
  <c r="T466" i="123"/>
  <c r="T465" i="123"/>
  <c r="T464" i="123"/>
  <c r="T463" i="123"/>
  <c r="T462" i="123"/>
  <c r="T461" i="123"/>
  <c r="T460" i="123"/>
  <c r="T459" i="123"/>
  <c r="T458" i="123"/>
  <c r="T457" i="123"/>
  <c r="T456" i="123"/>
  <c r="T455" i="123"/>
  <c r="T454" i="123"/>
  <c r="T453" i="123"/>
  <c r="T452" i="123"/>
  <c r="T451" i="123"/>
  <c r="T450" i="123"/>
  <c r="T449" i="123"/>
  <c r="T448" i="123"/>
  <c r="T447" i="123"/>
  <c r="T446" i="123"/>
  <c r="T445" i="123"/>
  <c r="T444" i="123"/>
  <c r="T443" i="123"/>
  <c r="T442" i="123"/>
  <c r="T441" i="123"/>
  <c r="T440" i="123"/>
  <c r="T439" i="123"/>
  <c r="T438" i="123"/>
  <c r="T437" i="123"/>
  <c r="T436" i="123"/>
  <c r="T435" i="123"/>
  <c r="T434" i="123"/>
  <c r="T433" i="123"/>
  <c r="T432" i="123"/>
  <c r="T431" i="123"/>
  <c r="T430" i="123"/>
  <c r="T429" i="123"/>
  <c r="T428" i="123"/>
  <c r="T427" i="123"/>
  <c r="T426" i="123"/>
  <c r="T425" i="123"/>
  <c r="T424" i="123"/>
  <c r="T423" i="123"/>
  <c r="T422" i="123"/>
  <c r="T421" i="123"/>
  <c r="T420" i="123"/>
  <c r="T419" i="123"/>
  <c r="T418" i="123"/>
  <c r="T417" i="123"/>
  <c r="T416" i="123"/>
  <c r="T415" i="123"/>
  <c r="T414" i="123"/>
  <c r="T413" i="123"/>
  <c r="T412" i="123"/>
  <c r="T411" i="123"/>
  <c r="T410" i="123"/>
  <c r="T409" i="123"/>
  <c r="T408" i="123"/>
  <c r="T407" i="123"/>
  <c r="T406" i="123"/>
  <c r="T405" i="123"/>
  <c r="T404" i="123"/>
  <c r="T403" i="123"/>
  <c r="T402" i="123"/>
  <c r="T401" i="123"/>
  <c r="T400" i="123"/>
  <c r="T399" i="123"/>
  <c r="T398" i="123"/>
  <c r="T397" i="123"/>
  <c r="T396" i="123"/>
  <c r="T395" i="123"/>
  <c r="T394" i="123"/>
  <c r="T393" i="123"/>
  <c r="T392" i="123"/>
  <c r="T391" i="123"/>
  <c r="T390" i="123"/>
  <c r="T389" i="123"/>
  <c r="T388" i="123"/>
  <c r="T387" i="123"/>
  <c r="T386" i="123"/>
  <c r="T385" i="123"/>
  <c r="T384" i="123"/>
  <c r="T383" i="123"/>
  <c r="T382" i="123"/>
  <c r="T381" i="123"/>
  <c r="T380" i="123"/>
  <c r="T379" i="123"/>
  <c r="T378" i="123"/>
  <c r="T377" i="123"/>
  <c r="T376" i="123"/>
  <c r="T375" i="123"/>
  <c r="T374" i="123"/>
  <c r="T373" i="123"/>
  <c r="T372" i="123"/>
  <c r="T371" i="123"/>
  <c r="T370" i="123"/>
  <c r="T369" i="123"/>
  <c r="T368" i="123"/>
  <c r="T367" i="123"/>
  <c r="T366" i="123"/>
  <c r="T365" i="123"/>
  <c r="T364" i="123"/>
  <c r="T363" i="123"/>
  <c r="T362" i="123"/>
  <c r="T361" i="123"/>
  <c r="T360" i="123"/>
  <c r="T359" i="123"/>
  <c r="T358" i="123"/>
  <c r="T357" i="123"/>
  <c r="T356" i="123"/>
  <c r="T355" i="123"/>
  <c r="T354" i="123"/>
  <c r="T353" i="123"/>
  <c r="T352" i="123"/>
  <c r="T351" i="123"/>
  <c r="T350" i="123"/>
  <c r="T349" i="123"/>
  <c r="T348" i="123"/>
  <c r="T347" i="123"/>
  <c r="T346" i="123"/>
  <c r="T345" i="123"/>
  <c r="T344" i="123"/>
  <c r="T343" i="123"/>
  <c r="T342" i="123"/>
  <c r="T341" i="123"/>
  <c r="T340" i="123"/>
  <c r="T339" i="123"/>
  <c r="T338" i="123"/>
  <c r="T337" i="123"/>
  <c r="T336" i="123"/>
  <c r="T335" i="123"/>
  <c r="T334" i="123"/>
  <c r="T333" i="123"/>
  <c r="T332" i="123"/>
  <c r="T331" i="123"/>
  <c r="T330" i="123"/>
  <c r="T329" i="123"/>
  <c r="T328" i="123"/>
  <c r="T327" i="123"/>
  <c r="T326" i="123"/>
  <c r="T325" i="123"/>
  <c r="T324" i="123"/>
  <c r="T323" i="123"/>
  <c r="T322" i="123"/>
  <c r="T321" i="123"/>
  <c r="T320" i="123"/>
  <c r="T319" i="123"/>
  <c r="T318" i="123"/>
  <c r="T317" i="123"/>
  <c r="T316" i="123"/>
  <c r="T315" i="123"/>
  <c r="T314" i="123"/>
  <c r="T313" i="123"/>
  <c r="T312" i="123"/>
  <c r="T311" i="123"/>
  <c r="T310" i="123"/>
  <c r="T309" i="123"/>
  <c r="T308" i="123"/>
  <c r="T307" i="123"/>
  <c r="T306" i="123"/>
  <c r="T305" i="123"/>
  <c r="T304" i="123"/>
  <c r="T303" i="123"/>
  <c r="T302" i="123"/>
  <c r="T301" i="123"/>
  <c r="T300" i="123"/>
  <c r="T299" i="123"/>
  <c r="T298" i="123"/>
  <c r="T297" i="123"/>
  <c r="T296" i="123"/>
  <c r="T295" i="123"/>
  <c r="T294" i="123"/>
  <c r="T293" i="123"/>
  <c r="T291" i="123"/>
  <c r="T290" i="123"/>
  <c r="T289" i="123"/>
  <c r="T288" i="123"/>
  <c r="T287" i="123"/>
  <c r="T286" i="123"/>
  <c r="T285" i="123"/>
  <c r="T284" i="123"/>
  <c r="T283" i="123"/>
  <c r="T282" i="123"/>
  <c r="T281" i="123"/>
  <c r="T280" i="123"/>
  <c r="T279" i="123"/>
  <c r="T277" i="123"/>
  <c r="T276" i="123"/>
  <c r="T275" i="123"/>
  <c r="T274" i="123"/>
  <c r="T273" i="123"/>
  <c r="T272" i="123"/>
  <c r="T271" i="123"/>
  <c r="T270" i="123"/>
  <c r="T269" i="123"/>
  <c r="T268" i="123"/>
  <c r="T267" i="123"/>
  <c r="T266" i="123"/>
  <c r="T265" i="123"/>
  <c r="T264" i="123"/>
  <c r="T263" i="123"/>
  <c r="T262" i="123"/>
  <c r="T261" i="123"/>
  <c r="T260" i="123"/>
  <c r="T259" i="123"/>
  <c r="T258" i="123"/>
  <c r="T257" i="123"/>
  <c r="T256" i="123"/>
  <c r="T255" i="123"/>
  <c r="T254" i="123"/>
  <c r="T253" i="123"/>
  <c r="T252" i="123"/>
  <c r="T251" i="123"/>
  <c r="T250" i="123"/>
  <c r="T249" i="123"/>
  <c r="T248" i="123"/>
  <c r="T247" i="123"/>
  <c r="T246" i="123"/>
  <c r="T245" i="123"/>
  <c r="T244" i="123"/>
  <c r="T243" i="123"/>
  <c r="T242" i="123"/>
  <c r="T241" i="123"/>
  <c r="T240" i="123"/>
  <c r="T239" i="123"/>
  <c r="T238" i="123"/>
  <c r="T237" i="123"/>
  <c r="T236" i="123"/>
  <c r="T235" i="123"/>
  <c r="T234" i="123"/>
  <c r="T233" i="123"/>
  <c r="T232" i="123"/>
  <c r="T231" i="123"/>
  <c r="T230" i="123"/>
  <c r="T229" i="123"/>
  <c r="T228" i="123"/>
  <c r="T227" i="123"/>
  <c r="T226" i="123"/>
  <c r="T225" i="123"/>
  <c r="T224" i="123"/>
  <c r="T223" i="123"/>
  <c r="T222" i="123"/>
  <c r="T221" i="123"/>
  <c r="T220" i="123"/>
  <c r="T219" i="123"/>
  <c r="T218" i="123"/>
  <c r="T217" i="123"/>
  <c r="T216" i="123"/>
  <c r="T215" i="123"/>
  <c r="T214" i="123"/>
  <c r="T213" i="123"/>
  <c r="T212" i="123"/>
  <c r="T211" i="123"/>
  <c r="T210" i="123"/>
  <c r="T209" i="123"/>
  <c r="T208" i="123"/>
  <c r="T207" i="123"/>
  <c r="T206" i="123"/>
  <c r="T205" i="123"/>
  <c r="T204" i="123"/>
  <c r="T203" i="123"/>
  <c r="T202" i="123"/>
  <c r="T201" i="123"/>
  <c r="T200" i="123"/>
  <c r="T199" i="123"/>
  <c r="T198" i="123"/>
  <c r="T197" i="123"/>
  <c r="T196" i="123"/>
  <c r="T195" i="123"/>
  <c r="T194" i="123"/>
  <c r="T193" i="123"/>
  <c r="T192" i="123"/>
  <c r="T191" i="123"/>
  <c r="T190" i="123"/>
  <c r="T189" i="123"/>
  <c r="T188" i="123"/>
  <c r="T187" i="123"/>
  <c r="T186" i="123"/>
  <c r="T185" i="123"/>
  <c r="T184" i="123"/>
  <c r="T183" i="123"/>
  <c r="T182" i="123"/>
  <c r="T181" i="123"/>
  <c r="T180" i="123"/>
  <c r="T179" i="123"/>
  <c r="T178" i="123"/>
  <c r="T177" i="123"/>
  <c r="T176" i="123"/>
  <c r="T175" i="123"/>
  <c r="T174" i="123"/>
  <c r="T173" i="123"/>
  <c r="T172" i="123"/>
  <c r="T171" i="123"/>
  <c r="T170" i="123"/>
  <c r="T169" i="123"/>
  <c r="T168" i="123"/>
  <c r="T167" i="123"/>
  <c r="T166" i="123"/>
  <c r="T165" i="123"/>
  <c r="T164" i="123"/>
  <c r="T163" i="123"/>
  <c r="T162" i="123"/>
  <c r="T161" i="123"/>
  <c r="T160" i="123"/>
  <c r="T159" i="123"/>
  <c r="T158" i="123"/>
  <c r="T157" i="123"/>
  <c r="T156" i="123"/>
  <c r="T155" i="123"/>
  <c r="T154" i="123"/>
  <c r="T153" i="123"/>
  <c r="T152" i="123"/>
  <c r="T151" i="123"/>
  <c r="T150" i="123"/>
  <c r="T149" i="123"/>
  <c r="T148" i="123"/>
  <c r="T147" i="123"/>
  <c r="T146" i="123"/>
  <c r="T145" i="123"/>
  <c r="T144" i="123"/>
  <c r="T143" i="123"/>
  <c r="T142" i="123"/>
  <c r="T141" i="123"/>
  <c r="T140" i="123"/>
  <c r="T139" i="123"/>
  <c r="T138" i="123"/>
  <c r="T137" i="123"/>
  <c r="T136" i="123"/>
  <c r="T135" i="123"/>
  <c r="T134" i="123"/>
  <c r="T133" i="123"/>
  <c r="T132" i="123"/>
  <c r="T131" i="123"/>
  <c r="T130" i="123"/>
  <c r="T129" i="123"/>
  <c r="T128" i="123"/>
  <c r="T127" i="123"/>
  <c r="T126" i="123"/>
  <c r="T125" i="123"/>
  <c r="T124" i="123"/>
  <c r="T123" i="123"/>
  <c r="T122" i="123"/>
  <c r="T121" i="123"/>
  <c r="T120" i="123"/>
  <c r="T119" i="123"/>
  <c r="T118" i="123"/>
  <c r="T117" i="123"/>
  <c r="T116" i="123"/>
  <c r="T115" i="123"/>
  <c r="T114" i="123"/>
  <c r="T113" i="123"/>
  <c r="T112" i="123"/>
  <c r="T111" i="123"/>
  <c r="T110" i="123"/>
  <c r="T109" i="123"/>
  <c r="T108" i="123"/>
  <c r="T107" i="123"/>
  <c r="T106" i="123"/>
  <c r="T105" i="123"/>
  <c r="T104" i="123"/>
  <c r="T103" i="123"/>
  <c r="T102" i="123"/>
  <c r="T101" i="123"/>
  <c r="T100" i="123"/>
  <c r="T99" i="123"/>
  <c r="T98" i="123"/>
  <c r="T97" i="123"/>
  <c r="T96" i="123"/>
  <c r="T95" i="123"/>
  <c r="C95" i="123"/>
  <c r="T94" i="123"/>
  <c r="T93" i="123"/>
  <c r="C93" i="123"/>
  <c r="T92" i="123"/>
  <c r="T91" i="123"/>
  <c r="T90" i="123"/>
  <c r="T89" i="123"/>
  <c r="T88" i="123"/>
  <c r="T87" i="123"/>
  <c r="T86" i="123"/>
  <c r="T85" i="123"/>
  <c r="T84" i="123"/>
  <c r="T83" i="123"/>
  <c r="T82" i="123"/>
  <c r="T81" i="123"/>
  <c r="C81" i="123"/>
  <c r="T80" i="123"/>
  <c r="T79" i="123"/>
  <c r="C79" i="123"/>
  <c r="T78" i="123"/>
  <c r="T77" i="123"/>
  <c r="T76" i="123"/>
  <c r="T75" i="123"/>
  <c r="T74" i="123"/>
  <c r="T73" i="123"/>
  <c r="T72" i="123"/>
  <c r="T71" i="123"/>
  <c r="T70" i="123"/>
  <c r="T69" i="123"/>
  <c r="T68" i="123"/>
  <c r="T67" i="123"/>
  <c r="C67" i="123"/>
  <c r="T66" i="123"/>
  <c r="T65" i="123"/>
  <c r="C65" i="123"/>
  <c r="T64" i="123"/>
  <c r="T63" i="123"/>
  <c r="T62" i="123"/>
  <c r="T61" i="123"/>
  <c r="T60" i="123"/>
  <c r="C53" i="123"/>
  <c r="T52" i="123"/>
  <c r="T51" i="123"/>
  <c r="C51" i="123"/>
  <c r="T50" i="123"/>
  <c r="T49" i="123"/>
  <c r="T48" i="123"/>
  <c r="T47" i="123"/>
  <c r="T46" i="123"/>
  <c r="T45" i="123"/>
  <c r="T44" i="123"/>
  <c r="T43" i="123"/>
  <c r="C43" i="123"/>
  <c r="T42" i="123"/>
  <c r="T41" i="123"/>
  <c r="C41" i="123"/>
  <c r="T40" i="123"/>
  <c r="T39" i="123"/>
  <c r="T38" i="123"/>
  <c r="T37" i="123"/>
  <c r="T36" i="123"/>
  <c r="T35" i="123"/>
  <c r="T34" i="123"/>
  <c r="T33" i="123"/>
  <c r="C33" i="123"/>
  <c r="T32" i="123"/>
  <c r="C32" i="123"/>
  <c r="T31" i="123"/>
  <c r="T30" i="123"/>
  <c r="C30" i="123"/>
  <c r="T29" i="123"/>
  <c r="T28" i="123"/>
  <c r="T27" i="123"/>
  <c r="T26" i="123"/>
  <c r="T25" i="123"/>
  <c r="T24" i="123"/>
  <c r="T21" i="123"/>
  <c r="T20" i="123"/>
  <c r="T19" i="123"/>
  <c r="T18" i="123"/>
  <c r="T17" i="123"/>
  <c r="T16" i="123"/>
  <c r="T15" i="123"/>
  <c r="T14" i="123"/>
  <c r="T13" i="123"/>
  <c r="T12" i="123"/>
  <c r="T11" i="123"/>
  <c r="T10" i="123"/>
  <c r="T9" i="123"/>
  <c r="T8" i="123"/>
  <c r="T4" i="123"/>
  <c r="E300" i="123" l="1"/>
  <c r="F300" i="123" s="1"/>
  <c r="C300" i="123"/>
  <c r="C1028" i="123"/>
  <c r="E1028" i="123"/>
  <c r="F1028" i="123" s="1"/>
  <c r="E1084" i="123"/>
  <c r="F1084" i="123" s="1"/>
  <c r="C1084" i="123"/>
  <c r="E10" i="123"/>
  <c r="F10" i="123" s="1"/>
  <c r="C10" i="123"/>
  <c r="E134" i="123"/>
  <c r="F134" i="123" s="1"/>
  <c r="C134" i="123"/>
  <c r="E150" i="123"/>
  <c r="F150" i="123" s="1"/>
  <c r="C150" i="123"/>
  <c r="E158" i="123"/>
  <c r="F158" i="123" s="1"/>
  <c r="C158" i="123"/>
  <c r="E199" i="123"/>
  <c r="F199" i="123" s="1"/>
  <c r="C199" i="123"/>
  <c r="E207" i="123"/>
  <c r="F207" i="123" s="1"/>
  <c r="C207" i="123"/>
  <c r="C215" i="123"/>
  <c r="E215" i="123"/>
  <c r="F215" i="123" s="1"/>
  <c r="E223" i="123"/>
  <c r="F223" i="123" s="1"/>
  <c r="C223" i="123"/>
  <c r="E255" i="123"/>
  <c r="F255" i="123" s="1"/>
  <c r="C255" i="123"/>
  <c r="E263" i="123"/>
  <c r="F263" i="123" s="1"/>
  <c r="C263" i="123"/>
  <c r="E301" i="123"/>
  <c r="F301" i="123" s="1"/>
  <c r="C301" i="123"/>
  <c r="E329" i="123"/>
  <c r="F329" i="123" s="1"/>
  <c r="C329" i="123"/>
  <c r="E357" i="123"/>
  <c r="F357" i="123" s="1"/>
  <c r="C357" i="123"/>
  <c r="E385" i="123"/>
  <c r="F385" i="123" s="1"/>
  <c r="C385" i="123"/>
  <c r="E413" i="123"/>
  <c r="F413" i="123" s="1"/>
  <c r="C413" i="123"/>
  <c r="E441" i="123"/>
  <c r="F441" i="123" s="1"/>
  <c r="C441" i="123"/>
  <c r="E469" i="123"/>
  <c r="F469" i="123" s="1"/>
  <c r="C469" i="123"/>
  <c r="E497" i="123"/>
  <c r="F497" i="123" s="1"/>
  <c r="C497" i="123"/>
  <c r="E525" i="123"/>
  <c r="F525" i="123" s="1"/>
  <c r="C525" i="123"/>
  <c r="E553" i="123"/>
  <c r="F553" i="123" s="1"/>
  <c r="C553" i="123"/>
  <c r="E581" i="123"/>
  <c r="F581" i="123" s="1"/>
  <c r="C581" i="123"/>
  <c r="E609" i="123"/>
  <c r="F609" i="123" s="1"/>
  <c r="C609" i="123"/>
  <c r="E637" i="123"/>
  <c r="F637" i="123" s="1"/>
  <c r="C637" i="123"/>
  <c r="E665" i="123"/>
  <c r="F665" i="123" s="1"/>
  <c r="C665" i="123"/>
  <c r="E693" i="123"/>
  <c r="F693" i="123" s="1"/>
  <c r="C693" i="123"/>
  <c r="E721" i="123"/>
  <c r="F721" i="123" s="1"/>
  <c r="C721" i="123"/>
  <c r="E749" i="123"/>
  <c r="F749" i="123" s="1"/>
  <c r="C749" i="123"/>
  <c r="C777" i="123"/>
  <c r="E777" i="123"/>
  <c r="F777" i="123" s="1"/>
  <c r="E805" i="123"/>
  <c r="F805" i="123" s="1"/>
  <c r="C805" i="123"/>
  <c r="E833" i="123"/>
  <c r="F833" i="123" s="1"/>
  <c r="C833" i="123"/>
  <c r="E861" i="123"/>
  <c r="F861" i="123" s="1"/>
  <c r="C861" i="123"/>
  <c r="C889" i="123"/>
  <c r="E889" i="123"/>
  <c r="F889" i="123" s="1"/>
  <c r="C917" i="123"/>
  <c r="E917" i="123"/>
  <c r="F917" i="123" s="1"/>
  <c r="E945" i="123"/>
  <c r="F945" i="123" s="1"/>
  <c r="C945" i="123"/>
  <c r="C973" i="123"/>
  <c r="E973" i="123"/>
  <c r="F973" i="123" s="1"/>
  <c r="E1001" i="123"/>
  <c r="F1001" i="123" s="1"/>
  <c r="C1001" i="123"/>
  <c r="C1029" i="123"/>
  <c r="E1029" i="123"/>
  <c r="F1029" i="123" s="1"/>
  <c r="E1057" i="123"/>
  <c r="F1057" i="123" s="1"/>
  <c r="C1057" i="123"/>
  <c r="E1085" i="123"/>
  <c r="F1085" i="123" s="1"/>
  <c r="C1085" i="123"/>
  <c r="C1113" i="123"/>
  <c r="E1113" i="123"/>
  <c r="F1113" i="123" s="1"/>
  <c r="C1141" i="123"/>
  <c r="E1141" i="123"/>
  <c r="F1141" i="123" s="1"/>
  <c r="E1169" i="123"/>
  <c r="F1169" i="123" s="1"/>
  <c r="C1169" i="123"/>
  <c r="C1197" i="123"/>
  <c r="E1197" i="123"/>
  <c r="F1197" i="123" s="1"/>
  <c r="E1225" i="123"/>
  <c r="F1225" i="123" s="1"/>
  <c r="C1225" i="123"/>
  <c r="C1253" i="123"/>
  <c r="E1253" i="123"/>
  <c r="F1253" i="123" s="1"/>
  <c r="E1281" i="123"/>
  <c r="F1281" i="123" s="1"/>
  <c r="C1281" i="123"/>
  <c r="E1315" i="123"/>
  <c r="F1315" i="123" s="1"/>
  <c r="C1315" i="123"/>
  <c r="C1351" i="123"/>
  <c r="E1351" i="123"/>
  <c r="F1351" i="123" s="1"/>
  <c r="E141" i="123"/>
  <c r="F141" i="123" s="1"/>
  <c r="C141" i="123"/>
  <c r="E246" i="123"/>
  <c r="F246" i="123" s="1"/>
  <c r="C246" i="123"/>
  <c r="E328" i="123"/>
  <c r="F328" i="123" s="1"/>
  <c r="C328" i="123"/>
  <c r="E356" i="123"/>
  <c r="F356" i="123" s="1"/>
  <c r="C356" i="123"/>
  <c r="E468" i="123"/>
  <c r="F468" i="123" s="1"/>
  <c r="C468" i="123"/>
  <c r="E11" i="123"/>
  <c r="F11" i="123" s="1"/>
  <c r="C11" i="123"/>
  <c r="E127" i="123"/>
  <c r="F127" i="123" s="1"/>
  <c r="C127" i="123"/>
  <c r="E135" i="123"/>
  <c r="F135" i="123" s="1"/>
  <c r="C135" i="123"/>
  <c r="E151" i="123"/>
  <c r="F151" i="123" s="1"/>
  <c r="C151" i="123"/>
  <c r="E159" i="123"/>
  <c r="F159" i="123" s="1"/>
  <c r="C159" i="123"/>
  <c r="E168" i="123"/>
  <c r="F168" i="123" s="1"/>
  <c r="C168" i="123"/>
  <c r="E192" i="123"/>
  <c r="F192" i="123" s="1"/>
  <c r="C192" i="123"/>
  <c r="E208" i="123"/>
  <c r="F208" i="123" s="1"/>
  <c r="C208" i="123"/>
  <c r="E232" i="123"/>
  <c r="F232" i="123" s="1"/>
  <c r="C232" i="123"/>
  <c r="E264" i="123"/>
  <c r="F264" i="123" s="1"/>
  <c r="C264" i="123"/>
  <c r="E321" i="123"/>
  <c r="F321" i="123" s="1"/>
  <c r="C321" i="123"/>
  <c r="E349" i="123"/>
  <c r="F349" i="123" s="1"/>
  <c r="C349" i="123"/>
  <c r="C377" i="123"/>
  <c r="E377" i="123"/>
  <c r="F377" i="123" s="1"/>
  <c r="E405" i="123"/>
  <c r="F405" i="123" s="1"/>
  <c r="C405" i="123"/>
  <c r="C433" i="123"/>
  <c r="E433" i="123"/>
  <c r="F433" i="123" s="1"/>
  <c r="E461" i="123"/>
  <c r="F461" i="123" s="1"/>
  <c r="C461" i="123"/>
  <c r="E489" i="123"/>
  <c r="F489" i="123" s="1"/>
  <c r="C489" i="123"/>
  <c r="C517" i="123"/>
  <c r="E517" i="123"/>
  <c r="F517" i="123" s="1"/>
  <c r="E545" i="123"/>
  <c r="F545" i="123" s="1"/>
  <c r="C545" i="123"/>
  <c r="E573" i="123"/>
  <c r="F573" i="123" s="1"/>
  <c r="C573" i="123"/>
  <c r="C601" i="123"/>
  <c r="E601" i="123"/>
  <c r="F601" i="123" s="1"/>
  <c r="E629" i="123"/>
  <c r="F629" i="123" s="1"/>
  <c r="C629" i="123"/>
  <c r="C657" i="123"/>
  <c r="E657" i="123"/>
  <c r="F657" i="123" s="1"/>
  <c r="E685" i="123"/>
  <c r="F685" i="123" s="1"/>
  <c r="C685" i="123"/>
  <c r="E713" i="123"/>
  <c r="F713" i="123" s="1"/>
  <c r="C713" i="123"/>
  <c r="C741" i="123"/>
  <c r="E741" i="123"/>
  <c r="F741" i="123" s="1"/>
  <c r="E769" i="123"/>
  <c r="F769" i="123" s="1"/>
  <c r="C769" i="123"/>
  <c r="E797" i="123"/>
  <c r="F797" i="123" s="1"/>
  <c r="C797" i="123"/>
  <c r="E825" i="123"/>
  <c r="F825" i="123" s="1"/>
  <c r="C825" i="123"/>
  <c r="E853" i="123"/>
  <c r="F853" i="123" s="1"/>
  <c r="C853" i="123"/>
  <c r="E881" i="123"/>
  <c r="F881" i="123" s="1"/>
  <c r="C881" i="123"/>
  <c r="E909" i="123"/>
  <c r="F909" i="123" s="1"/>
  <c r="C909" i="123"/>
  <c r="E937" i="123"/>
  <c r="F937" i="123" s="1"/>
  <c r="C937" i="123"/>
  <c r="E965" i="123"/>
  <c r="F965" i="123" s="1"/>
  <c r="C965" i="123"/>
  <c r="E993" i="123"/>
  <c r="F993" i="123" s="1"/>
  <c r="C993" i="123"/>
  <c r="E1021" i="123"/>
  <c r="F1021" i="123" s="1"/>
  <c r="C1021" i="123"/>
  <c r="E1049" i="123"/>
  <c r="F1049" i="123" s="1"/>
  <c r="C1049" i="123"/>
  <c r="E1077" i="123"/>
  <c r="F1077" i="123" s="1"/>
  <c r="C1077" i="123"/>
  <c r="E1105" i="123"/>
  <c r="F1105" i="123" s="1"/>
  <c r="C1105" i="123"/>
  <c r="E1133" i="123"/>
  <c r="F1133" i="123" s="1"/>
  <c r="C1133" i="123"/>
  <c r="E1161" i="123"/>
  <c r="F1161" i="123" s="1"/>
  <c r="C1161" i="123"/>
  <c r="E1189" i="123"/>
  <c r="F1189" i="123" s="1"/>
  <c r="C1189" i="123"/>
  <c r="E1217" i="123"/>
  <c r="F1217" i="123" s="1"/>
  <c r="C1217" i="123"/>
  <c r="E1245" i="123"/>
  <c r="F1245" i="123" s="1"/>
  <c r="C1245" i="123"/>
  <c r="E1273" i="123"/>
  <c r="F1273" i="123" s="1"/>
  <c r="C1273" i="123"/>
  <c r="E1305" i="123"/>
  <c r="F1305" i="123" s="1"/>
  <c r="C1305" i="123"/>
  <c r="E1341" i="123"/>
  <c r="F1341" i="123" s="1"/>
  <c r="C1341" i="123"/>
  <c r="E1377" i="123"/>
  <c r="F1377" i="123" s="1"/>
  <c r="C1377" i="123"/>
  <c r="E9" i="123"/>
  <c r="F9" i="123" s="1"/>
  <c r="C9" i="123"/>
  <c r="C133" i="123"/>
  <c r="E133" i="123"/>
  <c r="F133" i="123" s="1"/>
  <c r="E254" i="123"/>
  <c r="F254" i="123" s="1"/>
  <c r="C254" i="123"/>
  <c r="E664" i="123"/>
  <c r="F664" i="123" s="1"/>
  <c r="C664" i="123"/>
  <c r="E1056" i="123"/>
  <c r="F1056" i="123" s="1"/>
  <c r="C1056" i="123"/>
  <c r="C1168" i="123"/>
  <c r="E1168" i="123"/>
  <c r="F1168" i="123" s="1"/>
  <c r="C1196" i="123"/>
  <c r="E1196" i="123"/>
  <c r="F1196" i="123" s="1"/>
  <c r="C1252" i="123"/>
  <c r="E1252" i="123"/>
  <c r="F1252" i="123" s="1"/>
  <c r="C1350" i="123"/>
  <c r="E1350" i="123"/>
  <c r="F1350" i="123" s="1"/>
  <c r="C128" i="123"/>
  <c r="E128" i="123"/>
  <c r="F128" i="123" s="1"/>
  <c r="E160" i="123"/>
  <c r="F160" i="123" s="1"/>
  <c r="C160" i="123"/>
  <c r="E169" i="123"/>
  <c r="F169" i="123" s="1"/>
  <c r="C169" i="123"/>
  <c r="E177" i="123"/>
  <c r="F177" i="123" s="1"/>
  <c r="C177" i="123"/>
  <c r="E193" i="123"/>
  <c r="F193" i="123" s="1"/>
  <c r="C193" i="123"/>
  <c r="E209" i="123"/>
  <c r="F209" i="123" s="1"/>
  <c r="C209" i="123"/>
  <c r="E233" i="123"/>
  <c r="F233" i="123" s="1"/>
  <c r="C233" i="123"/>
  <c r="E241" i="123"/>
  <c r="F241" i="123" s="1"/>
  <c r="C241" i="123"/>
  <c r="E322" i="123"/>
  <c r="F322" i="123" s="1"/>
  <c r="C322" i="123"/>
  <c r="E350" i="123"/>
  <c r="F350" i="123" s="1"/>
  <c r="C350" i="123"/>
  <c r="C378" i="123"/>
  <c r="E378" i="123"/>
  <c r="F378" i="123" s="1"/>
  <c r="E406" i="123"/>
  <c r="F406" i="123" s="1"/>
  <c r="C406" i="123"/>
  <c r="E434" i="123"/>
  <c r="F434" i="123" s="1"/>
  <c r="C434" i="123"/>
  <c r="C462" i="123"/>
  <c r="E462" i="123"/>
  <c r="F462" i="123" s="1"/>
  <c r="E490" i="123"/>
  <c r="F490" i="123" s="1"/>
  <c r="C490" i="123"/>
  <c r="C518" i="123"/>
  <c r="E518" i="123"/>
  <c r="F518" i="123" s="1"/>
  <c r="E546" i="123"/>
  <c r="F546" i="123" s="1"/>
  <c r="C546" i="123"/>
  <c r="E574" i="123"/>
  <c r="F574" i="123" s="1"/>
  <c r="C574" i="123"/>
  <c r="C602" i="123"/>
  <c r="E602" i="123"/>
  <c r="F602" i="123" s="1"/>
  <c r="E630" i="123"/>
  <c r="F630" i="123" s="1"/>
  <c r="C630" i="123"/>
  <c r="E658" i="123"/>
  <c r="F658" i="123" s="1"/>
  <c r="C658" i="123"/>
  <c r="C686" i="123"/>
  <c r="E686" i="123"/>
  <c r="F686" i="123" s="1"/>
  <c r="E714" i="123"/>
  <c r="F714" i="123" s="1"/>
  <c r="C714" i="123"/>
  <c r="C742" i="123"/>
  <c r="E742" i="123"/>
  <c r="F742" i="123" s="1"/>
  <c r="E770" i="123"/>
  <c r="F770" i="123" s="1"/>
  <c r="C770" i="123"/>
  <c r="E798" i="123"/>
  <c r="F798" i="123" s="1"/>
  <c r="C798" i="123"/>
  <c r="E826" i="123"/>
  <c r="F826" i="123" s="1"/>
  <c r="C826" i="123"/>
  <c r="E854" i="123"/>
  <c r="F854" i="123" s="1"/>
  <c r="C854" i="123"/>
  <c r="E882" i="123"/>
  <c r="F882" i="123" s="1"/>
  <c r="C882" i="123"/>
  <c r="E910" i="123"/>
  <c r="F910" i="123" s="1"/>
  <c r="C910" i="123"/>
  <c r="E938" i="123"/>
  <c r="F938" i="123" s="1"/>
  <c r="C938" i="123"/>
  <c r="E966" i="123"/>
  <c r="F966" i="123" s="1"/>
  <c r="C966" i="123"/>
  <c r="E994" i="123"/>
  <c r="F994" i="123" s="1"/>
  <c r="C994" i="123"/>
  <c r="E1022" i="123"/>
  <c r="F1022" i="123" s="1"/>
  <c r="C1022" i="123"/>
  <c r="E1050" i="123"/>
  <c r="F1050" i="123" s="1"/>
  <c r="C1050" i="123"/>
  <c r="E1078" i="123"/>
  <c r="F1078" i="123" s="1"/>
  <c r="C1078" i="123"/>
  <c r="E1106" i="123"/>
  <c r="F1106" i="123" s="1"/>
  <c r="C1106" i="123"/>
  <c r="E1134" i="123"/>
  <c r="F1134" i="123" s="1"/>
  <c r="C1134" i="123"/>
  <c r="E1162" i="123"/>
  <c r="F1162" i="123" s="1"/>
  <c r="C1162" i="123"/>
  <c r="E1190" i="123"/>
  <c r="F1190" i="123" s="1"/>
  <c r="C1190" i="123"/>
  <c r="E1218" i="123"/>
  <c r="F1218" i="123" s="1"/>
  <c r="C1218" i="123"/>
  <c r="E1246" i="123"/>
  <c r="F1246" i="123" s="1"/>
  <c r="C1246" i="123"/>
  <c r="E1274" i="123"/>
  <c r="F1274" i="123" s="1"/>
  <c r="C1274" i="123"/>
  <c r="E1306" i="123"/>
  <c r="F1306" i="123" s="1"/>
  <c r="C1306" i="123"/>
  <c r="E1342" i="123"/>
  <c r="F1342" i="123" s="1"/>
  <c r="C1342" i="123"/>
  <c r="E1378" i="123"/>
  <c r="F1378" i="123" s="1"/>
  <c r="C1378" i="123"/>
  <c r="E149" i="123"/>
  <c r="F149" i="123" s="1"/>
  <c r="C149" i="123"/>
  <c r="E222" i="123"/>
  <c r="F222" i="123" s="1"/>
  <c r="C222" i="123"/>
  <c r="E384" i="123"/>
  <c r="F384" i="123" s="1"/>
  <c r="C384" i="123"/>
  <c r="E412" i="123"/>
  <c r="F412" i="123" s="1"/>
  <c r="C412" i="123"/>
  <c r="E440" i="123"/>
  <c r="F440" i="123" s="1"/>
  <c r="C440" i="123"/>
  <c r="E720" i="123"/>
  <c r="F720" i="123" s="1"/>
  <c r="C720" i="123"/>
  <c r="E832" i="123"/>
  <c r="F832" i="123" s="1"/>
  <c r="C832" i="123"/>
  <c r="E121" i="123"/>
  <c r="F121" i="123" s="1"/>
  <c r="C121" i="123"/>
  <c r="C129" i="123"/>
  <c r="E129" i="123"/>
  <c r="F129" i="123" s="1"/>
  <c r="E170" i="123"/>
  <c r="F170" i="123" s="1"/>
  <c r="C170" i="123"/>
  <c r="E178" i="123"/>
  <c r="F178" i="123" s="1"/>
  <c r="C178" i="123"/>
  <c r="E194" i="123"/>
  <c r="F194" i="123" s="1"/>
  <c r="C194" i="123"/>
  <c r="E202" i="123"/>
  <c r="F202" i="123" s="1"/>
  <c r="C202" i="123"/>
  <c r="C218" i="123"/>
  <c r="E218" i="123"/>
  <c r="F218" i="123" s="1"/>
  <c r="E242" i="123"/>
  <c r="F242" i="123" s="1"/>
  <c r="C242" i="123"/>
  <c r="E250" i="123"/>
  <c r="F250" i="123" s="1"/>
  <c r="C250" i="123"/>
  <c r="E314" i="123"/>
  <c r="F314" i="123" s="1"/>
  <c r="C314" i="123"/>
  <c r="C342" i="123"/>
  <c r="E342" i="123"/>
  <c r="F342" i="123" s="1"/>
  <c r="E370" i="123"/>
  <c r="F370" i="123" s="1"/>
  <c r="C370" i="123"/>
  <c r="E398" i="123"/>
  <c r="F398" i="123" s="1"/>
  <c r="C398" i="123"/>
  <c r="C426" i="123"/>
  <c r="E426" i="123"/>
  <c r="F426" i="123" s="1"/>
  <c r="E454" i="123"/>
  <c r="F454" i="123" s="1"/>
  <c r="C454" i="123"/>
  <c r="C482" i="123"/>
  <c r="E482" i="123"/>
  <c r="F482" i="123" s="1"/>
  <c r="E510" i="123"/>
  <c r="F510" i="123" s="1"/>
  <c r="C510" i="123"/>
  <c r="E538" i="123"/>
  <c r="F538" i="123" s="1"/>
  <c r="C538" i="123"/>
  <c r="C566" i="123"/>
  <c r="E566" i="123"/>
  <c r="F566" i="123" s="1"/>
  <c r="E594" i="123"/>
  <c r="F594" i="123" s="1"/>
  <c r="C594" i="123"/>
  <c r="E622" i="123"/>
  <c r="F622" i="123" s="1"/>
  <c r="C622" i="123"/>
  <c r="C650" i="123"/>
  <c r="E650" i="123"/>
  <c r="F650" i="123" s="1"/>
  <c r="E678" i="123"/>
  <c r="F678" i="123" s="1"/>
  <c r="C678" i="123"/>
  <c r="C706" i="123"/>
  <c r="E706" i="123"/>
  <c r="F706" i="123" s="1"/>
  <c r="E734" i="123"/>
  <c r="F734" i="123" s="1"/>
  <c r="C734" i="123"/>
  <c r="E762" i="123"/>
  <c r="F762" i="123" s="1"/>
  <c r="C762" i="123"/>
  <c r="E790" i="123"/>
  <c r="F790" i="123" s="1"/>
  <c r="C790" i="123"/>
  <c r="E818" i="123"/>
  <c r="F818" i="123" s="1"/>
  <c r="C818" i="123"/>
  <c r="E846" i="123"/>
  <c r="F846" i="123" s="1"/>
  <c r="C846" i="123"/>
  <c r="E874" i="123"/>
  <c r="F874" i="123" s="1"/>
  <c r="C874" i="123"/>
  <c r="E902" i="123"/>
  <c r="F902" i="123" s="1"/>
  <c r="C902" i="123"/>
  <c r="E930" i="123"/>
  <c r="F930" i="123" s="1"/>
  <c r="C930" i="123"/>
  <c r="E958" i="123"/>
  <c r="F958" i="123" s="1"/>
  <c r="C958" i="123"/>
  <c r="E986" i="123"/>
  <c r="F986" i="123" s="1"/>
  <c r="C986" i="123"/>
  <c r="E1014" i="123"/>
  <c r="F1014" i="123" s="1"/>
  <c r="C1014" i="123"/>
  <c r="E1042" i="123"/>
  <c r="F1042" i="123" s="1"/>
  <c r="C1042" i="123"/>
  <c r="E1070" i="123"/>
  <c r="F1070" i="123" s="1"/>
  <c r="C1070" i="123"/>
  <c r="E1098" i="123"/>
  <c r="F1098" i="123" s="1"/>
  <c r="C1098" i="123"/>
  <c r="E1126" i="123"/>
  <c r="F1126" i="123" s="1"/>
  <c r="C1126" i="123"/>
  <c r="E1154" i="123"/>
  <c r="F1154" i="123" s="1"/>
  <c r="C1154" i="123"/>
  <c r="E1182" i="123"/>
  <c r="F1182" i="123" s="1"/>
  <c r="C1182" i="123"/>
  <c r="E1210" i="123"/>
  <c r="F1210" i="123" s="1"/>
  <c r="C1210" i="123"/>
  <c r="E1238" i="123"/>
  <c r="F1238" i="123" s="1"/>
  <c r="C1238" i="123"/>
  <c r="E1266" i="123"/>
  <c r="F1266" i="123" s="1"/>
  <c r="C1266" i="123"/>
  <c r="E1296" i="123"/>
  <c r="F1296" i="123" s="1"/>
  <c r="C1296" i="123"/>
  <c r="E1332" i="123"/>
  <c r="F1332" i="123" s="1"/>
  <c r="C1332" i="123"/>
  <c r="E1368" i="123"/>
  <c r="F1368" i="123" s="1"/>
  <c r="C1368" i="123"/>
  <c r="E157" i="123"/>
  <c r="F157" i="123" s="1"/>
  <c r="C157" i="123"/>
  <c r="E198" i="123"/>
  <c r="F198" i="123" s="1"/>
  <c r="C198" i="123"/>
  <c r="E608" i="123"/>
  <c r="F608" i="123" s="1"/>
  <c r="C608" i="123"/>
  <c r="E860" i="123"/>
  <c r="F860" i="123" s="1"/>
  <c r="C860" i="123"/>
  <c r="E1314" i="123"/>
  <c r="F1314" i="123" s="1"/>
  <c r="C1314" i="123"/>
  <c r="E122" i="123"/>
  <c r="F122" i="123" s="1"/>
  <c r="C122" i="123"/>
  <c r="E171" i="123"/>
  <c r="F171" i="123" s="1"/>
  <c r="C171" i="123"/>
  <c r="E179" i="123"/>
  <c r="F179" i="123" s="1"/>
  <c r="C179" i="123"/>
  <c r="E187" i="123"/>
  <c r="F187" i="123" s="1"/>
  <c r="C187" i="123"/>
  <c r="E203" i="123"/>
  <c r="F203" i="123" s="1"/>
  <c r="C203" i="123"/>
  <c r="C219" i="123"/>
  <c r="E219" i="123"/>
  <c r="F219" i="123" s="1"/>
  <c r="E227" i="123"/>
  <c r="F227" i="123" s="1"/>
  <c r="C227" i="123"/>
  <c r="E251" i="123"/>
  <c r="F251" i="123" s="1"/>
  <c r="C251" i="123"/>
  <c r="E259" i="123"/>
  <c r="F259" i="123" s="1"/>
  <c r="C259" i="123"/>
  <c r="C275" i="123"/>
  <c r="E275" i="123"/>
  <c r="F275" i="123" s="1"/>
  <c r="E315" i="123"/>
  <c r="F315" i="123" s="1"/>
  <c r="C315" i="123"/>
  <c r="C343" i="123"/>
  <c r="E343" i="123"/>
  <c r="F343" i="123" s="1"/>
  <c r="E371" i="123"/>
  <c r="F371" i="123" s="1"/>
  <c r="C371" i="123"/>
  <c r="E399" i="123"/>
  <c r="F399" i="123" s="1"/>
  <c r="C399" i="123"/>
  <c r="C427" i="123"/>
  <c r="E427" i="123"/>
  <c r="F427" i="123" s="1"/>
  <c r="E455" i="123"/>
  <c r="F455" i="123" s="1"/>
  <c r="C455" i="123"/>
  <c r="E483" i="123"/>
  <c r="F483" i="123" s="1"/>
  <c r="C483" i="123"/>
  <c r="C511" i="123"/>
  <c r="E511" i="123"/>
  <c r="F511" i="123" s="1"/>
  <c r="E539" i="123"/>
  <c r="F539" i="123" s="1"/>
  <c r="C539" i="123"/>
  <c r="C567" i="123"/>
  <c r="E567" i="123"/>
  <c r="F567" i="123" s="1"/>
  <c r="E595" i="123"/>
  <c r="F595" i="123" s="1"/>
  <c r="C595" i="123"/>
  <c r="E623" i="123"/>
  <c r="F623" i="123" s="1"/>
  <c r="C623" i="123"/>
  <c r="C651" i="123"/>
  <c r="E651" i="123"/>
  <c r="F651" i="123" s="1"/>
  <c r="E679" i="123"/>
  <c r="F679" i="123" s="1"/>
  <c r="C679" i="123"/>
  <c r="E707" i="123"/>
  <c r="F707" i="123" s="1"/>
  <c r="C707" i="123"/>
  <c r="C735" i="123"/>
  <c r="E735" i="123"/>
  <c r="F735" i="123" s="1"/>
  <c r="E763" i="123"/>
  <c r="F763" i="123" s="1"/>
  <c r="C763" i="123"/>
  <c r="E791" i="123"/>
  <c r="F791" i="123" s="1"/>
  <c r="C791" i="123"/>
  <c r="E819" i="123"/>
  <c r="F819" i="123" s="1"/>
  <c r="C819" i="123"/>
  <c r="E847" i="123"/>
  <c r="F847" i="123" s="1"/>
  <c r="C847" i="123"/>
  <c r="E875" i="123"/>
  <c r="F875" i="123" s="1"/>
  <c r="C875" i="123"/>
  <c r="E903" i="123"/>
  <c r="F903" i="123" s="1"/>
  <c r="C903" i="123"/>
  <c r="E931" i="123"/>
  <c r="F931" i="123" s="1"/>
  <c r="C931" i="123"/>
  <c r="E959" i="123"/>
  <c r="F959" i="123" s="1"/>
  <c r="C959" i="123"/>
  <c r="E987" i="123"/>
  <c r="F987" i="123" s="1"/>
  <c r="C987" i="123"/>
  <c r="E1015" i="123"/>
  <c r="F1015" i="123" s="1"/>
  <c r="C1015" i="123"/>
  <c r="E1043" i="123"/>
  <c r="F1043" i="123" s="1"/>
  <c r="C1043" i="123"/>
  <c r="E1071" i="123"/>
  <c r="F1071" i="123" s="1"/>
  <c r="C1071" i="123"/>
  <c r="E1099" i="123"/>
  <c r="F1099" i="123" s="1"/>
  <c r="C1099" i="123"/>
  <c r="E1127" i="123"/>
  <c r="F1127" i="123" s="1"/>
  <c r="C1127" i="123"/>
  <c r="E1155" i="123"/>
  <c r="F1155" i="123" s="1"/>
  <c r="C1155" i="123"/>
  <c r="E1183" i="123"/>
  <c r="F1183" i="123" s="1"/>
  <c r="C1183" i="123"/>
  <c r="E1211" i="123"/>
  <c r="F1211" i="123" s="1"/>
  <c r="C1211" i="123"/>
  <c r="E1239" i="123"/>
  <c r="F1239" i="123" s="1"/>
  <c r="C1239" i="123"/>
  <c r="E1267" i="123"/>
  <c r="F1267" i="123" s="1"/>
  <c r="C1267" i="123"/>
  <c r="E1297" i="123"/>
  <c r="F1297" i="123" s="1"/>
  <c r="C1297" i="123"/>
  <c r="E1333" i="123"/>
  <c r="F1333" i="123" s="1"/>
  <c r="C1333" i="123"/>
  <c r="E1369" i="123"/>
  <c r="F1369" i="123" s="1"/>
  <c r="C1369" i="123"/>
  <c r="C214" i="123"/>
  <c r="E214" i="123"/>
  <c r="F214" i="123" s="1"/>
  <c r="E524" i="123"/>
  <c r="F524" i="123" s="1"/>
  <c r="C524" i="123"/>
  <c r="E552" i="123"/>
  <c r="F552" i="123" s="1"/>
  <c r="C552" i="123"/>
  <c r="E580" i="123"/>
  <c r="F580" i="123" s="1"/>
  <c r="C580" i="123"/>
  <c r="E636" i="123"/>
  <c r="F636" i="123" s="1"/>
  <c r="C636" i="123"/>
  <c r="E776" i="123"/>
  <c r="F776" i="123" s="1"/>
  <c r="C776" i="123"/>
  <c r="E804" i="123"/>
  <c r="F804" i="123" s="1"/>
  <c r="C804" i="123"/>
  <c r="C888" i="123"/>
  <c r="E888" i="123"/>
  <c r="F888" i="123" s="1"/>
  <c r="C1140" i="123"/>
  <c r="E1140" i="123"/>
  <c r="F1140" i="123" s="1"/>
  <c r="E123" i="123"/>
  <c r="F123" i="123" s="1"/>
  <c r="C123" i="123"/>
  <c r="E139" i="123"/>
  <c r="F139" i="123" s="1"/>
  <c r="C139" i="123"/>
  <c r="E180" i="123"/>
  <c r="F180" i="123" s="1"/>
  <c r="C180" i="123"/>
  <c r="C188" i="123"/>
  <c r="E188" i="123"/>
  <c r="F188" i="123" s="1"/>
  <c r="E204" i="123"/>
  <c r="F204" i="123" s="1"/>
  <c r="C204" i="123"/>
  <c r="E228" i="123"/>
  <c r="F228" i="123" s="1"/>
  <c r="C228" i="123"/>
  <c r="E236" i="123"/>
  <c r="F236" i="123" s="1"/>
  <c r="C236" i="123"/>
  <c r="E260" i="123"/>
  <c r="F260" i="123" s="1"/>
  <c r="C260" i="123"/>
  <c r="E268" i="123"/>
  <c r="F268" i="123" s="1"/>
  <c r="C268" i="123"/>
  <c r="C276" i="123"/>
  <c r="E276" i="123"/>
  <c r="F276" i="123" s="1"/>
  <c r="E307" i="123"/>
  <c r="F307" i="123" s="1"/>
  <c r="C307" i="123"/>
  <c r="E335" i="123"/>
  <c r="F335" i="123" s="1"/>
  <c r="C335" i="123"/>
  <c r="E363" i="123"/>
  <c r="F363" i="123" s="1"/>
  <c r="C363" i="123"/>
  <c r="E391" i="123"/>
  <c r="F391" i="123" s="1"/>
  <c r="C391" i="123"/>
  <c r="E419" i="123"/>
  <c r="F419" i="123" s="1"/>
  <c r="C419" i="123"/>
  <c r="E447" i="123"/>
  <c r="F447" i="123" s="1"/>
  <c r="C447" i="123"/>
  <c r="E475" i="123"/>
  <c r="F475" i="123" s="1"/>
  <c r="C475" i="123"/>
  <c r="E503" i="123"/>
  <c r="F503" i="123" s="1"/>
  <c r="C503" i="123"/>
  <c r="E531" i="123"/>
  <c r="F531" i="123" s="1"/>
  <c r="C531" i="123"/>
  <c r="E559" i="123"/>
  <c r="F559" i="123" s="1"/>
  <c r="C559" i="123"/>
  <c r="E587" i="123"/>
  <c r="F587" i="123" s="1"/>
  <c r="C587" i="123"/>
  <c r="E615" i="123"/>
  <c r="F615" i="123" s="1"/>
  <c r="C615" i="123"/>
  <c r="E643" i="123"/>
  <c r="F643" i="123" s="1"/>
  <c r="C643" i="123"/>
  <c r="E671" i="123"/>
  <c r="F671" i="123" s="1"/>
  <c r="C671" i="123"/>
  <c r="E699" i="123"/>
  <c r="F699" i="123" s="1"/>
  <c r="C699" i="123"/>
  <c r="E727" i="123"/>
  <c r="F727" i="123" s="1"/>
  <c r="C727" i="123"/>
  <c r="E755" i="123"/>
  <c r="F755" i="123" s="1"/>
  <c r="C755" i="123"/>
  <c r="E783" i="123"/>
  <c r="F783" i="123" s="1"/>
  <c r="C783" i="123"/>
  <c r="E811" i="123"/>
  <c r="F811" i="123" s="1"/>
  <c r="C811" i="123"/>
  <c r="E839" i="123"/>
  <c r="F839" i="123" s="1"/>
  <c r="C839" i="123"/>
  <c r="E867" i="123"/>
  <c r="F867" i="123" s="1"/>
  <c r="C867" i="123"/>
  <c r="C895" i="123"/>
  <c r="E895" i="123"/>
  <c r="F895" i="123" s="1"/>
  <c r="C923" i="123"/>
  <c r="E923" i="123"/>
  <c r="F923" i="123" s="1"/>
  <c r="E951" i="123"/>
  <c r="F951" i="123" s="1"/>
  <c r="C951" i="123"/>
  <c r="C979" i="123"/>
  <c r="E979" i="123"/>
  <c r="F979" i="123" s="1"/>
  <c r="E1007" i="123"/>
  <c r="F1007" i="123" s="1"/>
  <c r="C1007" i="123"/>
  <c r="E1035" i="123"/>
  <c r="F1035" i="123" s="1"/>
  <c r="C1035" i="123"/>
  <c r="E1063" i="123"/>
  <c r="F1063" i="123" s="1"/>
  <c r="C1063" i="123"/>
  <c r="E1091" i="123"/>
  <c r="F1091" i="123" s="1"/>
  <c r="C1091" i="123"/>
  <c r="C1119" i="123"/>
  <c r="E1119" i="123"/>
  <c r="F1119" i="123" s="1"/>
  <c r="C1147" i="123"/>
  <c r="E1147" i="123"/>
  <c r="F1147" i="123" s="1"/>
  <c r="E1175" i="123"/>
  <c r="F1175" i="123" s="1"/>
  <c r="C1175" i="123"/>
  <c r="C1203" i="123"/>
  <c r="E1203" i="123"/>
  <c r="F1203" i="123" s="1"/>
  <c r="E1231" i="123"/>
  <c r="F1231" i="123" s="1"/>
  <c r="C1231" i="123"/>
  <c r="E1259" i="123"/>
  <c r="F1259" i="123" s="1"/>
  <c r="C1259" i="123"/>
  <c r="E1287" i="123"/>
  <c r="F1287" i="123" s="1"/>
  <c r="C1287" i="123"/>
  <c r="E1323" i="123"/>
  <c r="F1323" i="123" s="1"/>
  <c r="C1323" i="123"/>
  <c r="C1359" i="123"/>
  <c r="E1359" i="123"/>
  <c r="F1359" i="123" s="1"/>
  <c r="E496" i="123"/>
  <c r="F496" i="123" s="1"/>
  <c r="C496" i="123"/>
  <c r="E692" i="123"/>
  <c r="F692" i="123" s="1"/>
  <c r="C692" i="123"/>
  <c r="E748" i="123"/>
  <c r="F748" i="123" s="1"/>
  <c r="C748" i="123"/>
  <c r="C916" i="123"/>
  <c r="E916" i="123"/>
  <c r="F916" i="123" s="1"/>
  <c r="C944" i="123"/>
  <c r="E944" i="123"/>
  <c r="F944" i="123" s="1"/>
  <c r="C972" i="123"/>
  <c r="E972" i="123"/>
  <c r="F972" i="123" s="1"/>
  <c r="E1000" i="123"/>
  <c r="F1000" i="123" s="1"/>
  <c r="C1000" i="123"/>
  <c r="C1112" i="123"/>
  <c r="E1112" i="123"/>
  <c r="F1112" i="123" s="1"/>
  <c r="E1224" i="123"/>
  <c r="F1224" i="123" s="1"/>
  <c r="C1224" i="123"/>
  <c r="E1280" i="123"/>
  <c r="F1280" i="123" s="1"/>
  <c r="C1280" i="123"/>
  <c r="E140" i="123"/>
  <c r="F140" i="123" s="1"/>
  <c r="C140" i="123"/>
  <c r="E148" i="123"/>
  <c r="F148" i="123" s="1"/>
  <c r="C148" i="123"/>
  <c r="C189" i="123"/>
  <c r="E189" i="123"/>
  <c r="F189" i="123" s="1"/>
  <c r="E197" i="123"/>
  <c r="F197" i="123" s="1"/>
  <c r="C197" i="123"/>
  <c r="C237" i="123"/>
  <c r="E237" i="123"/>
  <c r="F237" i="123" s="1"/>
  <c r="E245" i="123"/>
  <c r="F245" i="123" s="1"/>
  <c r="C245" i="123"/>
  <c r="C269" i="123"/>
  <c r="E269" i="123"/>
  <c r="F269" i="123" s="1"/>
  <c r="E308" i="123"/>
  <c r="F308" i="123" s="1"/>
  <c r="C308" i="123"/>
  <c r="C336" i="123"/>
  <c r="E336" i="123"/>
  <c r="F336" i="123" s="1"/>
  <c r="E364" i="123"/>
  <c r="F364" i="123" s="1"/>
  <c r="C364" i="123"/>
  <c r="C392" i="123"/>
  <c r="E392" i="123"/>
  <c r="F392" i="123" s="1"/>
  <c r="E420" i="123"/>
  <c r="F420" i="123" s="1"/>
  <c r="C420" i="123"/>
  <c r="E448" i="123"/>
  <c r="F448" i="123" s="1"/>
  <c r="C448" i="123"/>
  <c r="C476" i="123"/>
  <c r="E476" i="123"/>
  <c r="F476" i="123" s="1"/>
  <c r="E504" i="123"/>
  <c r="F504" i="123" s="1"/>
  <c r="C504" i="123"/>
  <c r="E532" i="123"/>
  <c r="F532" i="123" s="1"/>
  <c r="C532" i="123"/>
  <c r="C560" i="123"/>
  <c r="E560" i="123"/>
  <c r="F560" i="123" s="1"/>
  <c r="E588" i="123"/>
  <c r="F588" i="123" s="1"/>
  <c r="C588" i="123"/>
  <c r="C616" i="123"/>
  <c r="E616" i="123"/>
  <c r="F616" i="123" s="1"/>
  <c r="E644" i="123"/>
  <c r="F644" i="123" s="1"/>
  <c r="C644" i="123"/>
  <c r="E672" i="123"/>
  <c r="F672" i="123" s="1"/>
  <c r="C672" i="123"/>
  <c r="C700" i="123"/>
  <c r="E700" i="123"/>
  <c r="F700" i="123" s="1"/>
  <c r="E728" i="123"/>
  <c r="F728" i="123" s="1"/>
  <c r="C728" i="123"/>
  <c r="E756" i="123"/>
  <c r="F756" i="123" s="1"/>
  <c r="C756" i="123"/>
  <c r="E784" i="123"/>
  <c r="F784" i="123" s="1"/>
  <c r="C784" i="123"/>
  <c r="E812" i="123"/>
  <c r="F812" i="123" s="1"/>
  <c r="C812" i="123"/>
  <c r="E840" i="123"/>
  <c r="F840" i="123" s="1"/>
  <c r="C840" i="123"/>
  <c r="E868" i="123"/>
  <c r="F868" i="123" s="1"/>
  <c r="C868" i="123"/>
  <c r="E896" i="123"/>
  <c r="F896" i="123" s="1"/>
  <c r="C896" i="123"/>
  <c r="C924" i="123"/>
  <c r="E924" i="123"/>
  <c r="F924" i="123" s="1"/>
  <c r="E952" i="123"/>
  <c r="F952" i="123" s="1"/>
  <c r="C952" i="123"/>
  <c r="C980" i="123"/>
  <c r="E980" i="123"/>
  <c r="F980" i="123" s="1"/>
  <c r="E1008" i="123"/>
  <c r="F1008" i="123" s="1"/>
  <c r="C1008" i="123"/>
  <c r="E1036" i="123"/>
  <c r="F1036" i="123" s="1"/>
  <c r="C1036" i="123"/>
  <c r="E1064" i="123"/>
  <c r="F1064" i="123" s="1"/>
  <c r="C1064" i="123"/>
  <c r="E1092" i="123"/>
  <c r="F1092" i="123" s="1"/>
  <c r="C1092" i="123"/>
  <c r="E1120" i="123"/>
  <c r="F1120" i="123" s="1"/>
  <c r="C1120" i="123"/>
  <c r="C1148" i="123"/>
  <c r="E1148" i="123"/>
  <c r="F1148" i="123" s="1"/>
  <c r="E1176" i="123"/>
  <c r="F1176" i="123" s="1"/>
  <c r="C1176" i="123"/>
  <c r="C1204" i="123"/>
  <c r="E1204" i="123"/>
  <c r="F1204" i="123" s="1"/>
  <c r="E1232" i="123"/>
  <c r="F1232" i="123" s="1"/>
  <c r="C1232" i="123"/>
  <c r="E1260" i="123"/>
  <c r="F1260" i="123" s="1"/>
  <c r="C1260" i="123"/>
  <c r="E1288" i="123"/>
  <c r="F1288" i="123" s="1"/>
  <c r="C1288" i="123"/>
  <c r="E1324" i="123"/>
  <c r="F1324" i="123" s="1"/>
  <c r="C1324" i="123"/>
  <c r="E1360" i="123"/>
  <c r="F1360" i="123" s="1"/>
  <c r="C1360" i="123"/>
  <c r="D33" i="123"/>
  <c r="E33" i="123"/>
  <c r="F33" i="123" s="1"/>
  <c r="D67" i="123"/>
  <c r="E67" i="123"/>
  <c r="F67" i="123" s="1"/>
  <c r="D65" i="123"/>
  <c r="E65" i="123"/>
  <c r="F65" i="123" s="1"/>
  <c r="D30" i="123"/>
  <c r="E30" i="123"/>
  <c r="F30" i="123" s="1"/>
  <c r="D79" i="123"/>
  <c r="E79" i="123"/>
  <c r="F79" i="123" s="1"/>
  <c r="D81" i="123"/>
  <c r="E81" i="123"/>
  <c r="F81" i="123" s="1"/>
  <c r="D41" i="123"/>
  <c r="E41" i="123"/>
  <c r="F41" i="123" s="1"/>
  <c r="D51" i="123"/>
  <c r="E51" i="123"/>
  <c r="F51" i="123" s="1"/>
  <c r="D93" i="123"/>
  <c r="E93" i="123"/>
  <c r="F93" i="123" s="1"/>
  <c r="D32" i="123"/>
  <c r="E32" i="123"/>
  <c r="F32" i="123" s="1"/>
  <c r="D43" i="123"/>
  <c r="E43" i="123"/>
  <c r="F43" i="123" s="1"/>
  <c r="D95" i="123"/>
  <c r="E95" i="123"/>
  <c r="F95" i="123" s="1"/>
  <c r="D53" i="123"/>
  <c r="E53" i="123"/>
  <c r="F53" i="123" s="1"/>
  <c r="AN78" i="112" l="1"/>
  <c r="AN96" i="112"/>
  <c r="DM97" i="112" l="1"/>
  <c r="DS97" i="112" s="1"/>
  <c r="P162" i="114" s="1"/>
  <c r="DM79" i="112"/>
  <c r="DS79" i="112" s="1"/>
  <c r="P66" i="114" s="1"/>
  <c r="DM61" i="112"/>
  <c r="DP226" i="112"/>
  <c r="O102" i="114"/>
  <c r="DL46" i="112" l="1"/>
  <c r="DS61" i="112"/>
  <c r="P55" i="114" l="1"/>
  <c r="I160" i="121" l="1"/>
  <c r="I159" i="121"/>
  <c r="I158" i="121"/>
  <c r="I157" i="121"/>
  <c r="I156" i="121"/>
  <c r="I155" i="121"/>
  <c r="FM512" i="112"/>
  <c r="FM513" i="112"/>
  <c r="FM514" i="112"/>
  <c r="FM515" i="112"/>
  <c r="FM516" i="112"/>
  <c r="FM517" i="112"/>
  <c r="FM518" i="112"/>
  <c r="FM519" i="112"/>
  <c r="FM520" i="112"/>
  <c r="FM521" i="112"/>
  <c r="AM156" i="121"/>
  <c r="AM157" i="121"/>
  <c r="AM158" i="121"/>
  <c r="AM159" i="121"/>
  <c r="AM160" i="121"/>
  <c r="FM498" i="112"/>
  <c r="FN498" i="112"/>
  <c r="AP156" i="121" s="1"/>
  <c r="FM499" i="112"/>
  <c r="FN499" i="112"/>
  <c r="AP157" i="121" s="1"/>
  <c r="FM500" i="112"/>
  <c r="FN500" i="112"/>
  <c r="AP158" i="121" s="1"/>
  <c r="FM501" i="112"/>
  <c r="FN501" i="112"/>
  <c r="AP159" i="121" s="1"/>
  <c r="FM502" i="112"/>
  <c r="FN502" i="112"/>
  <c r="AP160" i="121" s="1"/>
  <c r="AN156" i="121"/>
  <c r="AN157" i="121"/>
  <c r="AN158" i="121"/>
  <c r="AN159" i="121"/>
  <c r="AN160" i="121"/>
  <c r="FT518" i="112" l="1"/>
  <c r="AO156" i="121"/>
  <c r="FT498" i="112"/>
  <c r="FT519" i="112"/>
  <c r="AO160" i="121"/>
  <c r="FT502" i="112"/>
  <c r="FT517" i="112"/>
  <c r="AO159" i="121"/>
  <c r="FT501" i="112"/>
  <c r="FT521" i="112"/>
  <c r="FT516" i="112"/>
  <c r="AO158" i="121"/>
  <c r="FT500" i="112"/>
  <c r="FT515" i="112"/>
  <c r="AO157" i="121"/>
  <c r="FT499" i="112"/>
  <c r="FT520" i="112"/>
  <c r="FT514" i="112"/>
  <c r="DM55" i="112"/>
  <c r="DN55" i="112" s="1"/>
  <c r="A28" i="130" s="1"/>
  <c r="B28" i="130" s="1"/>
  <c r="C28" i="130" s="1"/>
  <c r="DM53" i="112"/>
  <c r="DN53" i="112" s="1"/>
  <c r="DM41" i="112"/>
  <c r="DN41" i="112" s="1"/>
  <c r="B22" i="127" l="1"/>
  <c r="C22" i="127" s="1"/>
  <c r="B22" i="130"/>
  <c r="C22" i="130" s="1"/>
  <c r="A26" i="127"/>
  <c r="B26" i="127" s="1"/>
  <c r="C26" i="127" s="1"/>
  <c r="A26" i="130"/>
  <c r="B26" i="130" s="1"/>
  <c r="C26" i="130" s="1"/>
  <c r="O46" i="114"/>
  <c r="A28" i="127"/>
  <c r="B28" i="127" s="1"/>
  <c r="C28" i="127" s="1"/>
  <c r="FT513" i="112"/>
  <c r="FT512" i="112"/>
  <c r="I154" i="121"/>
  <c r="I153" i="121"/>
  <c r="FT527" i="112" l="1" a="1"/>
  <c r="FT527" i="112" s="1"/>
  <c r="DS498" i="112"/>
  <c r="DS499" i="112"/>
  <c r="DS500" i="112"/>
  <c r="DS501" i="112"/>
  <c r="DS502" i="112"/>
  <c r="DN498" i="112"/>
  <c r="DP498" i="112"/>
  <c r="DR498" i="112"/>
  <c r="FU498" i="112" s="1"/>
  <c r="DN499" i="112"/>
  <c r="DP499" i="112"/>
  <c r="DR499" i="112"/>
  <c r="FU499" i="112" s="1"/>
  <c r="DN500" i="112"/>
  <c r="DP500" i="112"/>
  <c r="DR500" i="112"/>
  <c r="FU500" i="112" s="1"/>
  <c r="DN501" i="112"/>
  <c r="DP501" i="112"/>
  <c r="DR501" i="112"/>
  <c r="FU501" i="112" s="1"/>
  <c r="DN502" i="112"/>
  <c r="DP502" i="112"/>
  <c r="DR502" i="112"/>
  <c r="FU502" i="112" s="1"/>
  <c r="DK501" i="112" l="1"/>
  <c r="DL501" i="112"/>
  <c r="DL500" i="112"/>
  <c r="DK500" i="112"/>
  <c r="DL499" i="112"/>
  <c r="DK499" i="112"/>
  <c r="DL502" i="112"/>
  <c r="DK502" i="112"/>
  <c r="DK498" i="112"/>
  <c r="DL498" i="112"/>
  <c r="DY500" i="112"/>
  <c r="ED500" i="112"/>
  <c r="EI500" i="112"/>
  <c r="DY499" i="112"/>
  <c r="ED499" i="112"/>
  <c r="EI499" i="112"/>
  <c r="DY502" i="112"/>
  <c r="EI502" i="112"/>
  <c r="ED502" i="112"/>
  <c r="DY498" i="112"/>
  <c r="EI498" i="112"/>
  <c r="ED498" i="112"/>
  <c r="DY501" i="112"/>
  <c r="EI501" i="112"/>
  <c r="ED501" i="112"/>
  <c r="DZ501" i="112"/>
  <c r="DX501" i="112"/>
  <c r="DZ500" i="112"/>
  <c r="DX500" i="112"/>
  <c r="EK500" i="112"/>
  <c r="EF500" i="112"/>
  <c r="DX502" i="112"/>
  <c r="EK502" i="112"/>
  <c r="EF502" i="112"/>
  <c r="DX499" i="112"/>
  <c r="DZ499" i="112"/>
  <c r="EK499" i="112"/>
  <c r="EF499" i="112"/>
  <c r="EK501" i="112"/>
  <c r="EF501" i="112"/>
  <c r="DX498" i="112"/>
  <c r="EK498" i="112"/>
  <c r="EF498" i="112"/>
  <c r="DZ502" i="112"/>
  <c r="DZ498" i="112"/>
  <c r="DP271" i="112"/>
  <c r="DP272" i="112"/>
  <c r="CB463" i="112" s="1"/>
  <c r="EE501" i="112" l="1"/>
  <c r="EE502" i="112"/>
  <c r="EJ502" i="112"/>
  <c r="EJ499" i="112"/>
  <c r="EE499" i="112"/>
  <c r="EJ500" i="112"/>
  <c r="EE500" i="112"/>
  <c r="EE498" i="112"/>
  <c r="EJ498" i="112"/>
  <c r="EJ501" i="112"/>
  <c r="CB464" i="112"/>
  <c r="CB465" i="112"/>
  <c r="DP270" i="112"/>
  <c r="DX224" i="112"/>
  <c r="CB335" i="112"/>
  <c r="CB411" i="112" l="1"/>
  <c r="DP274" i="112"/>
  <c r="CB467" i="112" s="1"/>
  <c r="CB414" i="112"/>
  <c r="DM62" i="112"/>
  <c r="DP89" i="112" l="1"/>
  <c r="DQ91" i="112"/>
  <c r="DP91" i="112" l="1"/>
  <c r="DO89" i="112"/>
  <c r="DO91" i="112"/>
  <c r="U134" i="114" l="1"/>
  <c r="AD133" i="114"/>
  <c r="U133" i="114"/>
  <c r="DS101" i="112"/>
  <c r="DS102" i="112"/>
  <c r="O165" i="115" s="1"/>
  <c r="DM98" i="112"/>
  <c r="DN98" i="112"/>
  <c r="DS108" i="112"/>
  <c r="O169" i="114" s="1"/>
  <c r="DS106" i="112"/>
  <c r="DS103" i="112"/>
  <c r="O166" i="115" s="1"/>
  <c r="DQ245" i="112"/>
  <c r="DP245" i="112"/>
  <c r="DO245" i="112"/>
  <c r="DO171" i="112"/>
  <c r="P273" i="114" s="1"/>
  <c r="AM167" i="114" l="1"/>
  <c r="AM167" i="115"/>
  <c r="O164" i="115"/>
  <c r="O169" i="115"/>
  <c r="P162" i="115"/>
  <c r="BY301" i="112" l="1"/>
  <c r="DO299" i="112" s="1"/>
  <c r="R585" i="114"/>
  <c r="R586" i="114"/>
  <c r="R587" i="114"/>
  <c r="R588" i="114"/>
  <c r="H585" i="114"/>
  <c r="H586" i="114"/>
  <c r="H587" i="114"/>
  <c r="H588" i="114"/>
  <c r="H584" i="114"/>
  <c r="B295" i="123" l="1"/>
  <c r="C295" i="123" s="1"/>
  <c r="E295" i="123"/>
  <c r="F295" i="123" s="1"/>
  <c r="O7" i="121"/>
  <c r="D295" i="123"/>
  <c r="DM246" i="112"/>
  <c r="B585" i="114" s="1"/>
  <c r="DM247" i="112"/>
  <c r="B586" i="114" s="1"/>
  <c r="DM248" i="112"/>
  <c r="B587" i="114" s="1"/>
  <c r="DM249" i="112"/>
  <c r="B588" i="114" s="1"/>
  <c r="DM245" i="112"/>
  <c r="B584" i="114" s="1"/>
  <c r="U134" i="115" l="1"/>
  <c r="AD133" i="115"/>
  <c r="U133" i="115"/>
  <c r="DM277" i="112"/>
  <c r="G163" i="121" s="1"/>
  <c r="DO277" i="112"/>
  <c r="D163" i="121" s="1"/>
  <c r="DP277" i="112"/>
  <c r="W163" i="121" l="1"/>
  <c r="CB470" i="112"/>
  <c r="J177" i="115"/>
  <c r="B314" i="115"/>
  <c r="F314" i="115"/>
  <c r="B320" i="115"/>
  <c r="J320" i="115"/>
  <c r="O320" i="115"/>
  <c r="T320" i="115"/>
  <c r="Y320" i="115"/>
  <c r="AD320" i="115"/>
  <c r="AI320" i="115"/>
  <c r="AN320" i="115"/>
  <c r="AS320" i="115"/>
  <c r="B321" i="115"/>
  <c r="E321" i="115"/>
  <c r="J321" i="115"/>
  <c r="O321" i="115"/>
  <c r="T321" i="115"/>
  <c r="Y321" i="115"/>
  <c r="AD321" i="115"/>
  <c r="AI321" i="115"/>
  <c r="AN321" i="115"/>
  <c r="AS321" i="115"/>
  <c r="B322" i="115"/>
  <c r="E322" i="115"/>
  <c r="J322" i="115"/>
  <c r="O322" i="115"/>
  <c r="T322" i="115"/>
  <c r="Y322" i="115"/>
  <c r="AD322" i="115"/>
  <c r="AI322" i="115"/>
  <c r="AN322" i="115"/>
  <c r="AS322" i="115"/>
  <c r="B323" i="115"/>
  <c r="E323" i="115"/>
  <c r="J323" i="115"/>
  <c r="O323" i="115"/>
  <c r="T323" i="115"/>
  <c r="Y323" i="115"/>
  <c r="AD323" i="115"/>
  <c r="AI323" i="115"/>
  <c r="AN323" i="115"/>
  <c r="AS323" i="115"/>
  <c r="B324" i="115"/>
  <c r="E324" i="115"/>
  <c r="J324" i="115"/>
  <c r="O324" i="115"/>
  <c r="T324" i="115"/>
  <c r="Y324" i="115"/>
  <c r="AD324" i="115"/>
  <c r="AI324" i="115"/>
  <c r="AN324" i="115"/>
  <c r="AS324" i="115"/>
  <c r="B325" i="115"/>
  <c r="E325" i="115"/>
  <c r="J325" i="115"/>
  <c r="O325" i="115"/>
  <c r="T325" i="115"/>
  <c r="Y325" i="115"/>
  <c r="AD325" i="115"/>
  <c r="AI325" i="115"/>
  <c r="AN325" i="115"/>
  <c r="AS325" i="115"/>
  <c r="B326" i="115"/>
  <c r="E326" i="115"/>
  <c r="J326" i="115"/>
  <c r="O326" i="115"/>
  <c r="T326" i="115"/>
  <c r="Y326" i="115"/>
  <c r="AD326" i="115"/>
  <c r="AI326" i="115"/>
  <c r="AN326" i="115"/>
  <c r="AS326" i="115"/>
  <c r="B327" i="115"/>
  <c r="E327" i="115"/>
  <c r="J327" i="115"/>
  <c r="O327" i="115"/>
  <c r="T327" i="115"/>
  <c r="Y327" i="115"/>
  <c r="AD327" i="115"/>
  <c r="AI327" i="115"/>
  <c r="AN327" i="115"/>
  <c r="AS327" i="115"/>
  <c r="B328" i="115"/>
  <c r="E328" i="115"/>
  <c r="J328" i="115"/>
  <c r="O328" i="115"/>
  <c r="T328" i="115"/>
  <c r="Y328" i="115"/>
  <c r="AD328" i="115"/>
  <c r="AI328" i="115"/>
  <c r="AN328" i="115"/>
  <c r="AS328" i="115"/>
  <c r="B329" i="115"/>
  <c r="E329" i="115"/>
  <c r="J329" i="115"/>
  <c r="O329" i="115"/>
  <c r="T329" i="115"/>
  <c r="Y329" i="115"/>
  <c r="AD329" i="115"/>
  <c r="AI329" i="115"/>
  <c r="AN329" i="115"/>
  <c r="AS329" i="115"/>
  <c r="C330" i="115"/>
  <c r="E330" i="115"/>
  <c r="J330" i="115"/>
  <c r="O330" i="115"/>
  <c r="T330" i="115"/>
  <c r="Y330" i="115"/>
  <c r="AD330" i="115"/>
  <c r="AI330" i="115"/>
  <c r="AN330" i="115"/>
  <c r="AS330" i="115"/>
  <c r="C331" i="115"/>
  <c r="E331" i="115"/>
  <c r="J331" i="115"/>
  <c r="O331" i="115"/>
  <c r="T331" i="115"/>
  <c r="Y331" i="115"/>
  <c r="AD331" i="115"/>
  <c r="AI331" i="115"/>
  <c r="AN331" i="115"/>
  <c r="AS331" i="115"/>
  <c r="C332" i="115"/>
  <c r="E332" i="115"/>
  <c r="J332" i="115"/>
  <c r="O332" i="115"/>
  <c r="T332" i="115"/>
  <c r="Y332" i="115"/>
  <c r="AD332" i="115"/>
  <c r="AI332" i="115"/>
  <c r="AN332" i="115"/>
  <c r="AS332" i="115"/>
  <c r="C333" i="115"/>
  <c r="E333" i="115"/>
  <c r="J333" i="115"/>
  <c r="O333" i="115"/>
  <c r="T333" i="115"/>
  <c r="Y333" i="115"/>
  <c r="AD333" i="115"/>
  <c r="AI333" i="115"/>
  <c r="AN333" i="115"/>
  <c r="AS333" i="115"/>
  <c r="C334" i="115"/>
  <c r="E334" i="115"/>
  <c r="J334" i="115"/>
  <c r="O334" i="115"/>
  <c r="T334" i="115"/>
  <c r="Y334" i="115"/>
  <c r="AD334" i="115"/>
  <c r="AI334" i="115"/>
  <c r="AN334" i="115"/>
  <c r="AS334" i="115"/>
  <c r="C335" i="115"/>
  <c r="E335" i="115"/>
  <c r="J335" i="115"/>
  <c r="O335" i="115"/>
  <c r="T335" i="115"/>
  <c r="Y335" i="115"/>
  <c r="AD335" i="115"/>
  <c r="AI335" i="115"/>
  <c r="AN335" i="115"/>
  <c r="AS335" i="115"/>
  <c r="C336" i="115"/>
  <c r="E336" i="115"/>
  <c r="J336" i="115"/>
  <c r="O336" i="115"/>
  <c r="T336" i="115"/>
  <c r="Y336" i="115"/>
  <c r="AD336" i="115"/>
  <c r="AI336" i="115"/>
  <c r="AN336" i="115"/>
  <c r="AS336" i="115"/>
  <c r="C337" i="115"/>
  <c r="E337" i="115"/>
  <c r="J337" i="115"/>
  <c r="O337" i="115"/>
  <c r="T337" i="115"/>
  <c r="Y337" i="115"/>
  <c r="AD337" i="115"/>
  <c r="AI337" i="115"/>
  <c r="AN337" i="115"/>
  <c r="AS337" i="115"/>
  <c r="C338" i="115"/>
  <c r="E338" i="115"/>
  <c r="J338" i="115"/>
  <c r="O338" i="115"/>
  <c r="T338" i="115"/>
  <c r="Y338" i="115"/>
  <c r="AD338" i="115"/>
  <c r="AI338" i="115"/>
  <c r="AN338" i="115"/>
  <c r="AS338" i="115"/>
  <c r="C339" i="115"/>
  <c r="E339" i="115"/>
  <c r="J339" i="115"/>
  <c r="O339" i="115"/>
  <c r="T339" i="115"/>
  <c r="Y339" i="115"/>
  <c r="AD339" i="115"/>
  <c r="AI339" i="115"/>
  <c r="AN339" i="115"/>
  <c r="AS339" i="115"/>
  <c r="C340" i="115"/>
  <c r="E340" i="115"/>
  <c r="J340" i="115"/>
  <c r="O340" i="115"/>
  <c r="T340" i="115"/>
  <c r="Y340" i="115"/>
  <c r="AD340" i="115"/>
  <c r="AI340" i="115"/>
  <c r="AN340" i="115"/>
  <c r="AS340" i="115"/>
  <c r="C341" i="115"/>
  <c r="E341" i="115"/>
  <c r="J341" i="115"/>
  <c r="O341" i="115"/>
  <c r="T341" i="115"/>
  <c r="Y341" i="115"/>
  <c r="AD341" i="115"/>
  <c r="AI341" i="115"/>
  <c r="AN341" i="115"/>
  <c r="AS341" i="115"/>
  <c r="C342" i="115"/>
  <c r="E342" i="115"/>
  <c r="J342" i="115"/>
  <c r="O342" i="115"/>
  <c r="T342" i="115"/>
  <c r="Y342" i="115"/>
  <c r="AD342" i="115"/>
  <c r="AI342" i="115"/>
  <c r="AN342" i="115"/>
  <c r="AS342" i="115"/>
  <c r="C343" i="115"/>
  <c r="E343" i="115"/>
  <c r="J343" i="115"/>
  <c r="O343" i="115"/>
  <c r="T343" i="115"/>
  <c r="Y343" i="115"/>
  <c r="AD343" i="115"/>
  <c r="AI343" i="115"/>
  <c r="AN343" i="115"/>
  <c r="AS343" i="115"/>
  <c r="C344" i="115"/>
  <c r="E344" i="115"/>
  <c r="J344" i="115"/>
  <c r="O344" i="115"/>
  <c r="T344" i="115"/>
  <c r="Y344" i="115"/>
  <c r="AD344" i="115"/>
  <c r="AI344" i="115"/>
  <c r="AN344" i="115"/>
  <c r="AS344" i="115"/>
  <c r="C345" i="115"/>
  <c r="E345" i="115"/>
  <c r="J345" i="115"/>
  <c r="O345" i="115"/>
  <c r="T345" i="115"/>
  <c r="Y345" i="115"/>
  <c r="AD345" i="115"/>
  <c r="AI345" i="115"/>
  <c r="AN345" i="115"/>
  <c r="AS345" i="115"/>
  <c r="C346" i="115"/>
  <c r="E346" i="115"/>
  <c r="J346" i="115"/>
  <c r="O346" i="115"/>
  <c r="T346" i="115"/>
  <c r="Y346" i="115"/>
  <c r="AD346" i="115"/>
  <c r="AI346" i="115"/>
  <c r="AN346" i="115"/>
  <c r="AS346" i="115"/>
  <c r="C347" i="115"/>
  <c r="E347" i="115"/>
  <c r="J347" i="115"/>
  <c r="O347" i="115"/>
  <c r="T347" i="115"/>
  <c r="Y347" i="115"/>
  <c r="AD347" i="115"/>
  <c r="AI347" i="115"/>
  <c r="AN347" i="115"/>
  <c r="AS347" i="115"/>
  <c r="C348" i="115"/>
  <c r="E348" i="115"/>
  <c r="J348" i="115"/>
  <c r="O348" i="115"/>
  <c r="T348" i="115"/>
  <c r="Y348" i="115"/>
  <c r="AD348" i="115"/>
  <c r="AI348" i="115"/>
  <c r="AN348" i="115"/>
  <c r="AS348" i="115"/>
  <c r="C349" i="115"/>
  <c r="E349" i="115"/>
  <c r="J349" i="115"/>
  <c r="O349" i="115"/>
  <c r="T349" i="115"/>
  <c r="Y349" i="115"/>
  <c r="AD349" i="115"/>
  <c r="AI349" i="115"/>
  <c r="AN349" i="115"/>
  <c r="AS349" i="115"/>
  <c r="C350" i="115"/>
  <c r="E350" i="115"/>
  <c r="J350" i="115"/>
  <c r="O350" i="115"/>
  <c r="T350" i="115"/>
  <c r="Y350" i="115"/>
  <c r="AD350" i="115"/>
  <c r="AI350" i="115"/>
  <c r="AN350" i="115"/>
  <c r="AS350" i="115"/>
  <c r="C351" i="115"/>
  <c r="E351" i="115"/>
  <c r="J351" i="115"/>
  <c r="O351" i="115"/>
  <c r="T351" i="115"/>
  <c r="Y351" i="115"/>
  <c r="AD351" i="115"/>
  <c r="AI351" i="115"/>
  <c r="AN351" i="115"/>
  <c r="AS351" i="115"/>
  <c r="C352" i="115"/>
  <c r="E352" i="115"/>
  <c r="J352" i="115"/>
  <c r="O352" i="115"/>
  <c r="T352" i="115"/>
  <c r="Y352" i="115"/>
  <c r="AD352" i="115"/>
  <c r="AI352" i="115"/>
  <c r="AN352" i="115"/>
  <c r="AS352" i="115"/>
  <c r="C353" i="115"/>
  <c r="E353" i="115"/>
  <c r="J353" i="115"/>
  <c r="O353" i="115"/>
  <c r="T353" i="115"/>
  <c r="Y353" i="115"/>
  <c r="AD353" i="115"/>
  <c r="AI353" i="115"/>
  <c r="AN353" i="115"/>
  <c r="AS353" i="115"/>
  <c r="C354" i="115"/>
  <c r="E354" i="115"/>
  <c r="J354" i="115"/>
  <c r="O354" i="115"/>
  <c r="T354" i="115"/>
  <c r="Y354" i="115"/>
  <c r="AD354" i="115"/>
  <c r="AI354" i="115"/>
  <c r="AN354" i="115"/>
  <c r="AS354" i="115"/>
  <c r="C355" i="115"/>
  <c r="E355" i="115"/>
  <c r="J355" i="115"/>
  <c r="O355" i="115"/>
  <c r="T355" i="115"/>
  <c r="Y355" i="115"/>
  <c r="AD355" i="115"/>
  <c r="AI355" i="115"/>
  <c r="AN355" i="115"/>
  <c r="AS355" i="115"/>
  <c r="C356" i="115"/>
  <c r="E356" i="115"/>
  <c r="J356" i="115"/>
  <c r="O356" i="115"/>
  <c r="T356" i="115"/>
  <c r="Y356" i="115"/>
  <c r="AD356" i="115"/>
  <c r="AI356" i="115"/>
  <c r="AN356" i="115"/>
  <c r="AS356" i="115"/>
  <c r="C357" i="115"/>
  <c r="E357" i="115"/>
  <c r="J357" i="115"/>
  <c r="O357" i="115"/>
  <c r="T357" i="115"/>
  <c r="Y357" i="115"/>
  <c r="AD357" i="115"/>
  <c r="AI357" i="115"/>
  <c r="AN357" i="115"/>
  <c r="AS357" i="115"/>
  <c r="C358" i="115"/>
  <c r="E358" i="115"/>
  <c r="J358" i="115"/>
  <c r="O358" i="115"/>
  <c r="T358" i="115"/>
  <c r="Y358" i="115"/>
  <c r="AD358" i="115"/>
  <c r="AI358" i="115"/>
  <c r="AN358" i="115"/>
  <c r="AS358" i="115"/>
  <c r="C359" i="115"/>
  <c r="E359" i="115"/>
  <c r="J359" i="115"/>
  <c r="O359" i="115"/>
  <c r="T359" i="115"/>
  <c r="Y359" i="115"/>
  <c r="AD359" i="115"/>
  <c r="AI359" i="115"/>
  <c r="AN359" i="115"/>
  <c r="AS359" i="115"/>
  <c r="C360" i="115"/>
  <c r="E360" i="115"/>
  <c r="J360" i="115"/>
  <c r="O360" i="115"/>
  <c r="T360" i="115"/>
  <c r="Y360" i="115"/>
  <c r="AD360" i="115"/>
  <c r="AI360" i="115"/>
  <c r="AN360" i="115"/>
  <c r="AS360" i="115"/>
  <c r="C361" i="115"/>
  <c r="E361" i="115"/>
  <c r="J361" i="115"/>
  <c r="O361" i="115"/>
  <c r="T361" i="115"/>
  <c r="Y361" i="115"/>
  <c r="AD361" i="115"/>
  <c r="AI361" i="115"/>
  <c r="AN361" i="115"/>
  <c r="AS361" i="115"/>
  <c r="C362" i="115"/>
  <c r="E362" i="115"/>
  <c r="J362" i="115"/>
  <c r="O362" i="115"/>
  <c r="T362" i="115"/>
  <c r="Y362" i="115"/>
  <c r="AD362" i="115"/>
  <c r="AI362" i="115"/>
  <c r="AN362" i="115"/>
  <c r="AS362" i="115"/>
  <c r="C363" i="115"/>
  <c r="E363" i="115"/>
  <c r="J363" i="115"/>
  <c r="O363" i="115"/>
  <c r="T363" i="115"/>
  <c r="Y363" i="115"/>
  <c r="AD363" i="115"/>
  <c r="AI363" i="115"/>
  <c r="AN363" i="115"/>
  <c r="AS363" i="115"/>
  <c r="C364" i="115"/>
  <c r="E364" i="115"/>
  <c r="J364" i="115"/>
  <c r="O364" i="115"/>
  <c r="T364" i="115"/>
  <c r="Y364" i="115"/>
  <c r="AD364" i="115"/>
  <c r="AI364" i="115"/>
  <c r="AN364" i="115"/>
  <c r="AS364" i="115"/>
  <c r="C365" i="115"/>
  <c r="E365" i="115"/>
  <c r="J365" i="115"/>
  <c r="O365" i="115"/>
  <c r="T365" i="115"/>
  <c r="Y365" i="115"/>
  <c r="AD365" i="115"/>
  <c r="AI365" i="115"/>
  <c r="AN365" i="115"/>
  <c r="AS365" i="115"/>
  <c r="C366" i="115"/>
  <c r="E366" i="115"/>
  <c r="J366" i="115"/>
  <c r="O366" i="115"/>
  <c r="T366" i="115"/>
  <c r="Y366" i="115"/>
  <c r="AD366" i="115"/>
  <c r="AI366" i="115"/>
  <c r="AN366" i="115"/>
  <c r="AS366" i="115"/>
  <c r="C367" i="115"/>
  <c r="E367" i="115"/>
  <c r="J367" i="115"/>
  <c r="O367" i="115"/>
  <c r="T367" i="115"/>
  <c r="Y367" i="115"/>
  <c r="AD367" i="115"/>
  <c r="AI367" i="115"/>
  <c r="AN367" i="115"/>
  <c r="AS367" i="115"/>
  <c r="C368" i="115"/>
  <c r="E368" i="115"/>
  <c r="J368" i="115"/>
  <c r="O368" i="115"/>
  <c r="T368" i="115"/>
  <c r="Y368" i="115"/>
  <c r="AD368" i="115"/>
  <c r="AI368" i="115"/>
  <c r="AN368" i="115"/>
  <c r="AS368" i="115"/>
  <c r="C369" i="115"/>
  <c r="E369" i="115"/>
  <c r="J369" i="115"/>
  <c r="O369" i="115"/>
  <c r="T369" i="115"/>
  <c r="Y369" i="115"/>
  <c r="AD369" i="115"/>
  <c r="AI369" i="115"/>
  <c r="AN369" i="115"/>
  <c r="AS369" i="115"/>
  <c r="C370" i="115"/>
  <c r="E370" i="115"/>
  <c r="J370" i="115"/>
  <c r="O370" i="115"/>
  <c r="T370" i="115"/>
  <c r="Y370" i="115"/>
  <c r="AD370" i="115"/>
  <c r="AI370" i="115"/>
  <c r="AN370" i="115"/>
  <c r="AS370" i="115"/>
  <c r="C371" i="115"/>
  <c r="E371" i="115"/>
  <c r="J371" i="115"/>
  <c r="O371" i="115"/>
  <c r="T371" i="115"/>
  <c r="Y371" i="115"/>
  <c r="AD371" i="115"/>
  <c r="AI371" i="115"/>
  <c r="AN371" i="115"/>
  <c r="AS371" i="115"/>
  <c r="C372" i="115"/>
  <c r="E372" i="115"/>
  <c r="J372" i="115"/>
  <c r="O372" i="115"/>
  <c r="T372" i="115"/>
  <c r="Y372" i="115"/>
  <c r="AD372" i="115"/>
  <c r="AI372" i="115"/>
  <c r="AN372" i="115"/>
  <c r="AS372" i="115"/>
  <c r="C373" i="115"/>
  <c r="E373" i="115"/>
  <c r="J373" i="115"/>
  <c r="O373" i="115"/>
  <c r="T373" i="115"/>
  <c r="Y373" i="115"/>
  <c r="AD373" i="115"/>
  <c r="AI373" i="115"/>
  <c r="AN373" i="115"/>
  <c r="AS373" i="115"/>
  <c r="C374" i="115"/>
  <c r="E374" i="115"/>
  <c r="J374" i="115"/>
  <c r="O374" i="115"/>
  <c r="T374" i="115"/>
  <c r="Y374" i="115"/>
  <c r="AD374" i="115"/>
  <c r="AI374" i="115"/>
  <c r="AN374" i="115"/>
  <c r="AS374" i="115"/>
  <c r="C375" i="115"/>
  <c r="E375" i="115"/>
  <c r="J375" i="115"/>
  <c r="O375" i="115"/>
  <c r="T375" i="115"/>
  <c r="Y375" i="115"/>
  <c r="AD375" i="115"/>
  <c r="AI375" i="115"/>
  <c r="AN375" i="115"/>
  <c r="AS375" i="115"/>
  <c r="C376" i="115"/>
  <c r="E376" i="115"/>
  <c r="J376" i="115"/>
  <c r="O376" i="115"/>
  <c r="T376" i="115"/>
  <c r="Y376" i="115"/>
  <c r="AD376" i="115"/>
  <c r="AI376" i="115"/>
  <c r="AN376" i="115"/>
  <c r="AS376" i="115"/>
  <c r="C377" i="115"/>
  <c r="E377" i="115"/>
  <c r="J377" i="115"/>
  <c r="O377" i="115"/>
  <c r="T377" i="115"/>
  <c r="Y377" i="115"/>
  <c r="AD377" i="115"/>
  <c r="AI377" i="115"/>
  <c r="AN377" i="115"/>
  <c r="AS377" i="115"/>
  <c r="C378" i="115"/>
  <c r="E378" i="115"/>
  <c r="J378" i="115"/>
  <c r="O378" i="115"/>
  <c r="T378" i="115"/>
  <c r="Y378" i="115"/>
  <c r="AD378" i="115"/>
  <c r="AI378" i="115"/>
  <c r="AN378" i="115"/>
  <c r="AS378" i="115"/>
  <c r="C379" i="115"/>
  <c r="E379" i="115"/>
  <c r="J379" i="115"/>
  <c r="O379" i="115"/>
  <c r="T379" i="115"/>
  <c r="Y379" i="115"/>
  <c r="AD379" i="115"/>
  <c r="AI379" i="115"/>
  <c r="AN379" i="115"/>
  <c r="AS379" i="115"/>
  <c r="U301" i="112" l="1"/>
  <c r="AW301" i="112"/>
  <c r="DN299" i="112" s="1"/>
  <c r="E293" i="123" l="1"/>
  <c r="F293" i="123" s="1"/>
  <c r="DM299" i="112"/>
  <c r="DM301" i="112" s="1"/>
  <c r="B294" i="123"/>
  <c r="C294" i="123" s="1"/>
  <c r="E294" i="123"/>
  <c r="F294" i="123" s="1"/>
  <c r="B293" i="123"/>
  <c r="C293" i="123" s="1"/>
  <c r="D293" i="123"/>
  <c r="O6" i="121"/>
  <c r="D294" i="123"/>
  <c r="O5" i="121"/>
  <c r="AP52" i="121"/>
  <c r="AP53" i="121"/>
  <c r="AP54" i="121"/>
  <c r="AP55" i="121"/>
  <c r="AP56" i="121"/>
  <c r="AP57" i="121"/>
  <c r="AP58" i="121"/>
  <c r="AP59" i="121"/>
  <c r="AP60" i="121"/>
  <c r="AP61" i="121"/>
  <c r="AP62" i="121"/>
  <c r="AP63" i="121"/>
  <c r="AP64" i="121"/>
  <c r="AP65" i="121"/>
  <c r="AP66" i="121"/>
  <c r="AP67" i="121"/>
  <c r="AP68" i="121"/>
  <c r="AP69" i="121"/>
  <c r="AP70" i="121"/>
  <c r="AP71" i="121"/>
  <c r="AP72" i="121"/>
  <c r="AP73" i="121"/>
  <c r="AP74" i="121"/>
  <c r="AP75" i="121"/>
  <c r="AP76" i="121"/>
  <c r="AP77" i="121"/>
  <c r="AP78" i="121"/>
  <c r="AP79" i="121"/>
  <c r="AP80" i="121"/>
  <c r="AP81" i="121"/>
  <c r="AP82" i="121"/>
  <c r="AP83" i="121"/>
  <c r="AP84" i="121"/>
  <c r="AP85" i="121"/>
  <c r="AP86" i="121"/>
  <c r="AP87" i="121"/>
  <c r="AP88" i="121"/>
  <c r="AP89" i="121"/>
  <c r="AP90" i="121"/>
  <c r="AP91" i="121"/>
  <c r="AP92" i="121"/>
  <c r="AP93" i="121"/>
  <c r="AP94" i="121"/>
  <c r="AP95" i="121"/>
  <c r="AP96" i="121"/>
  <c r="AP97" i="121"/>
  <c r="AP98" i="121"/>
  <c r="FN325" i="112"/>
  <c r="AP23" i="121" s="1"/>
  <c r="FN326" i="112"/>
  <c r="AP24" i="121" s="1"/>
  <c r="FN327" i="112"/>
  <c r="AP25" i="121" s="1"/>
  <c r="FN328" i="112"/>
  <c r="AP26" i="121" s="1"/>
  <c r="FN329" i="112"/>
  <c r="AP27" i="121" s="1"/>
  <c r="FN330" i="112"/>
  <c r="AP28" i="121" s="1"/>
  <c r="FN331" i="112"/>
  <c r="AP29" i="121" s="1"/>
  <c r="FN332" i="112"/>
  <c r="AP30" i="121" s="1"/>
  <c r="FN333" i="112"/>
  <c r="AP31" i="121" s="1"/>
  <c r="FN334" i="112"/>
  <c r="AP32" i="121" s="1"/>
  <c r="FN335" i="112"/>
  <c r="AP33" i="121" s="1"/>
  <c r="FN336" i="112"/>
  <c r="AP34" i="121" s="1"/>
  <c r="FN337" i="112"/>
  <c r="AP35" i="121" s="1"/>
  <c r="FN338" i="112"/>
  <c r="AP36" i="121" s="1"/>
  <c r="FN339" i="112"/>
  <c r="AP37" i="121" s="1"/>
  <c r="FN340" i="112"/>
  <c r="AP38" i="121" s="1"/>
  <c r="FN341" i="112"/>
  <c r="AP39" i="121" s="1"/>
  <c r="FN342" i="112"/>
  <c r="AP40" i="121" s="1"/>
  <c r="FN512" i="112"/>
  <c r="FN513" i="112"/>
  <c r="FN514" i="112"/>
  <c r="FN515" i="112"/>
  <c r="FN516" i="112"/>
  <c r="FN517" i="112"/>
  <c r="FN518" i="112"/>
  <c r="FN519" i="112"/>
  <c r="FN520" i="112"/>
  <c r="FN521" i="112"/>
  <c r="FN493" i="112"/>
  <c r="AP151" i="121" s="1"/>
  <c r="FN494" i="112"/>
  <c r="AP152" i="121" s="1"/>
  <c r="FN495" i="112"/>
  <c r="AP153" i="121" s="1"/>
  <c r="FN496" i="112"/>
  <c r="AP154" i="121" s="1"/>
  <c r="FN497" i="112"/>
  <c r="AP155" i="121" s="1"/>
  <c r="FN475" i="112"/>
  <c r="AP141" i="121" s="1"/>
  <c r="FN476" i="112"/>
  <c r="AP142" i="121" s="1"/>
  <c r="FN477" i="112"/>
  <c r="AP143" i="121" s="1"/>
  <c r="FN478" i="112"/>
  <c r="AP144" i="121" s="1"/>
  <c r="FN479" i="112"/>
  <c r="AP145" i="121" s="1"/>
  <c r="FN480" i="112"/>
  <c r="AP146" i="121" s="1"/>
  <c r="FN481" i="112"/>
  <c r="AP147" i="121" s="1"/>
  <c r="FN482" i="112"/>
  <c r="AP148" i="121" s="1"/>
  <c r="FN483" i="112"/>
  <c r="AP149" i="121" s="1"/>
  <c r="FN426" i="112"/>
  <c r="AP100" i="121" s="1"/>
  <c r="FN427" i="112"/>
  <c r="AP101" i="121" s="1"/>
  <c r="FN428" i="112"/>
  <c r="AP102" i="121" s="1"/>
  <c r="FN429" i="112"/>
  <c r="AP103" i="121" s="1"/>
  <c r="FN430" i="112"/>
  <c r="AP104" i="121" s="1"/>
  <c r="FN431" i="112"/>
  <c r="AP105" i="121" s="1"/>
  <c r="FN432" i="112"/>
  <c r="AP106" i="121" s="1"/>
  <c r="FN433" i="112"/>
  <c r="AP107" i="121" s="1"/>
  <c r="FN434" i="112"/>
  <c r="AP108" i="121" s="1"/>
  <c r="FN435" i="112"/>
  <c r="AP109" i="121" s="1"/>
  <c r="FN436" i="112"/>
  <c r="AP110" i="121" s="1"/>
  <c r="FN437" i="112"/>
  <c r="AP111" i="121" s="1"/>
  <c r="FN438" i="112"/>
  <c r="AP112" i="121" s="1"/>
  <c r="FN439" i="112"/>
  <c r="AP113" i="121" s="1"/>
  <c r="FN440" i="112"/>
  <c r="AP114" i="121" s="1"/>
  <c r="FN441" i="112"/>
  <c r="AP115" i="121" s="1"/>
  <c r="FN442" i="112"/>
  <c r="AP116" i="121" s="1"/>
  <c r="FN443" i="112"/>
  <c r="AP117" i="121" s="1"/>
  <c r="FN444" i="112"/>
  <c r="AP118" i="121" s="1"/>
  <c r="FN445" i="112"/>
  <c r="AP119" i="121" s="1"/>
  <c r="FN446" i="112"/>
  <c r="AP120" i="121" s="1"/>
  <c r="FN447" i="112"/>
  <c r="AP121" i="121" s="1"/>
  <c r="FN448" i="112"/>
  <c r="AP122" i="121" s="1"/>
  <c r="FN449" i="112"/>
  <c r="AP123" i="121" s="1"/>
  <c r="FN450" i="112"/>
  <c r="AP124" i="121" s="1"/>
  <c r="FN451" i="112"/>
  <c r="AP125" i="121" s="1"/>
  <c r="FN452" i="112"/>
  <c r="AP126" i="121" s="1"/>
  <c r="FN453" i="112"/>
  <c r="AP127" i="121" s="1"/>
  <c r="FN454" i="112"/>
  <c r="AP128" i="121" s="1"/>
  <c r="FN455" i="112"/>
  <c r="AP129" i="121" s="1"/>
  <c r="FN456" i="112"/>
  <c r="AP130" i="121" s="1"/>
  <c r="FN457" i="112"/>
  <c r="AP131" i="121" s="1"/>
  <c r="FN458" i="112"/>
  <c r="AP132" i="121" s="1"/>
  <c r="FN459" i="112"/>
  <c r="AP133" i="121" s="1"/>
  <c r="FN460" i="112"/>
  <c r="AP134" i="121" s="1"/>
  <c r="FN461" i="112"/>
  <c r="AP135" i="121" s="1"/>
  <c r="FN462" i="112"/>
  <c r="AP136" i="121" s="1"/>
  <c r="FN463" i="112"/>
  <c r="AP137" i="121" s="1"/>
  <c r="FN464" i="112"/>
  <c r="AP138" i="121" s="1"/>
  <c r="FN465" i="112"/>
  <c r="AP139" i="121" s="1"/>
  <c r="FN370" i="112"/>
  <c r="FN371" i="112"/>
  <c r="FN372" i="112"/>
  <c r="FN373" i="112"/>
  <c r="FN374" i="112"/>
  <c r="FN375" i="112"/>
  <c r="FN376" i="112"/>
  <c r="FN377" i="112"/>
  <c r="FN378" i="112"/>
  <c r="FN379" i="112"/>
  <c r="FN380" i="112"/>
  <c r="FN381" i="112"/>
  <c r="FN382" i="112"/>
  <c r="FN383" i="112"/>
  <c r="FN384" i="112"/>
  <c r="FN385" i="112"/>
  <c r="FN386" i="112"/>
  <c r="FN387" i="112"/>
  <c r="FN388" i="112"/>
  <c r="FN389" i="112"/>
  <c r="FN390" i="112"/>
  <c r="FN391" i="112"/>
  <c r="FN392" i="112"/>
  <c r="FN393" i="112"/>
  <c r="FN394" i="112"/>
  <c r="FN395" i="112"/>
  <c r="FN396" i="112"/>
  <c r="FN397" i="112"/>
  <c r="FN398" i="112"/>
  <c r="FN399" i="112"/>
  <c r="FN400" i="112"/>
  <c r="FN401" i="112"/>
  <c r="FN402" i="112"/>
  <c r="FN403" i="112"/>
  <c r="FN404" i="112"/>
  <c r="FN405" i="112"/>
  <c r="FN406" i="112"/>
  <c r="FN407" i="112"/>
  <c r="FN408" i="112"/>
  <c r="FN409" i="112"/>
  <c r="FN410" i="112"/>
  <c r="FN411" i="112"/>
  <c r="FN412" i="112"/>
  <c r="FN413" i="112"/>
  <c r="FN414" i="112"/>
  <c r="FN415" i="112"/>
  <c r="FN416" i="112"/>
  <c r="FN352" i="112"/>
  <c r="AP42" i="121" s="1"/>
  <c r="FN353" i="112"/>
  <c r="AP43" i="121" s="1"/>
  <c r="FN354" i="112"/>
  <c r="AP44" i="121" s="1"/>
  <c r="FN355" i="112"/>
  <c r="AP45" i="121" s="1"/>
  <c r="FN356" i="112"/>
  <c r="AP46" i="121" s="1"/>
  <c r="FN357" i="112"/>
  <c r="AP47" i="121" s="1"/>
  <c r="FN358" i="112"/>
  <c r="AP48" i="121" s="1"/>
  <c r="FN359" i="112"/>
  <c r="AP49" i="121" s="1"/>
  <c r="FN360" i="112"/>
  <c r="AP50" i="121" s="1"/>
  <c r="AM23" i="121"/>
  <c r="AN23" i="121"/>
  <c r="FM325" i="112"/>
  <c r="AM24" i="121"/>
  <c r="AN24" i="121"/>
  <c r="FM326" i="112"/>
  <c r="AM25" i="121"/>
  <c r="AN25" i="121"/>
  <c r="FM327" i="112"/>
  <c r="AM26" i="121"/>
  <c r="AN26" i="121"/>
  <c r="FM328" i="112"/>
  <c r="AM27" i="121"/>
  <c r="AN27" i="121"/>
  <c r="FM329" i="112"/>
  <c r="AM28" i="121"/>
  <c r="AN28" i="121"/>
  <c r="FM330" i="112"/>
  <c r="AM29" i="121"/>
  <c r="AN29" i="121"/>
  <c r="FM331" i="112"/>
  <c r="AM30" i="121"/>
  <c r="AN30" i="121"/>
  <c r="FM332" i="112"/>
  <c r="AM31" i="121"/>
  <c r="AN31" i="121"/>
  <c r="FM333" i="112"/>
  <c r="AM32" i="121"/>
  <c r="AN32" i="121"/>
  <c r="FM334" i="112"/>
  <c r="AM33" i="121"/>
  <c r="AN33" i="121"/>
  <c r="FM335" i="112"/>
  <c r="AM34" i="121"/>
  <c r="AN34" i="121"/>
  <c r="FM336" i="112"/>
  <c r="AM35" i="121"/>
  <c r="AN35" i="121"/>
  <c r="FM337" i="112"/>
  <c r="AM36" i="121"/>
  <c r="AN36" i="121"/>
  <c r="FM338" i="112"/>
  <c r="AM37" i="121"/>
  <c r="AN37" i="121"/>
  <c r="FM339" i="112"/>
  <c r="AM38" i="121"/>
  <c r="AN38" i="121"/>
  <c r="FM340" i="112"/>
  <c r="AM39" i="121"/>
  <c r="AN39" i="121"/>
  <c r="FM341" i="112"/>
  <c r="AM40" i="121"/>
  <c r="AN40" i="121"/>
  <c r="FM342" i="112"/>
  <c r="AM42" i="121"/>
  <c r="AN42" i="121"/>
  <c r="FM352" i="112"/>
  <c r="AM43" i="121"/>
  <c r="AN43" i="121"/>
  <c r="FM353" i="112"/>
  <c r="AM44" i="121"/>
  <c r="AN44" i="121"/>
  <c r="FM354" i="112"/>
  <c r="AM45" i="121"/>
  <c r="AN45" i="121"/>
  <c r="FM355" i="112"/>
  <c r="AM46" i="121"/>
  <c r="AN46" i="121"/>
  <c r="FM356" i="112"/>
  <c r="AM47" i="121"/>
  <c r="AN47" i="121"/>
  <c r="FM357" i="112"/>
  <c r="AM48" i="121"/>
  <c r="AN48" i="121"/>
  <c r="FM358" i="112"/>
  <c r="AM49" i="121"/>
  <c r="AN49" i="121"/>
  <c r="FM359" i="112"/>
  <c r="AM50" i="121"/>
  <c r="AN50" i="121"/>
  <c r="FM360" i="112"/>
  <c r="AM52" i="121"/>
  <c r="AN52" i="121"/>
  <c r="FM370" i="112"/>
  <c r="AM53" i="121"/>
  <c r="AN53" i="121"/>
  <c r="FM371" i="112"/>
  <c r="AM54" i="121"/>
  <c r="AN54" i="121"/>
  <c r="FM372" i="112"/>
  <c r="AM55" i="121"/>
  <c r="AN55" i="121"/>
  <c r="FM373" i="112"/>
  <c r="AM56" i="121"/>
  <c r="AN56" i="121"/>
  <c r="FM374" i="112"/>
  <c r="AM57" i="121"/>
  <c r="AN57" i="121"/>
  <c r="FM375" i="112"/>
  <c r="AM58" i="121"/>
  <c r="AN58" i="121"/>
  <c r="FM376" i="112"/>
  <c r="AM59" i="121"/>
  <c r="AN59" i="121"/>
  <c r="FM377" i="112"/>
  <c r="AM60" i="121"/>
  <c r="AN60" i="121"/>
  <c r="FM378" i="112"/>
  <c r="AM61" i="121"/>
  <c r="AN61" i="121"/>
  <c r="FM379" i="112"/>
  <c r="AM62" i="121"/>
  <c r="AN62" i="121"/>
  <c r="FM380" i="112"/>
  <c r="AM63" i="121"/>
  <c r="AN63" i="121"/>
  <c r="FM381" i="112"/>
  <c r="AM64" i="121"/>
  <c r="AN64" i="121"/>
  <c r="FM382" i="112"/>
  <c r="AM65" i="121"/>
  <c r="AN65" i="121"/>
  <c r="FM383" i="112"/>
  <c r="AM66" i="121"/>
  <c r="AN66" i="121"/>
  <c r="FM384" i="112"/>
  <c r="AM67" i="121"/>
  <c r="AN67" i="121"/>
  <c r="FM385" i="112"/>
  <c r="AM68" i="121"/>
  <c r="AN68" i="121"/>
  <c r="FM386" i="112"/>
  <c r="AM69" i="121"/>
  <c r="AN69" i="121"/>
  <c r="FM387" i="112"/>
  <c r="AM70" i="121"/>
  <c r="AN70" i="121"/>
  <c r="FM388" i="112"/>
  <c r="AM71" i="121"/>
  <c r="AN71" i="121"/>
  <c r="FM389" i="112"/>
  <c r="AM72" i="121"/>
  <c r="AN72" i="121"/>
  <c r="FM390" i="112"/>
  <c r="AM73" i="121"/>
  <c r="AN73" i="121"/>
  <c r="FM391" i="112"/>
  <c r="AM74" i="121"/>
  <c r="AN74" i="121"/>
  <c r="FM392" i="112"/>
  <c r="AM75" i="121"/>
  <c r="AN75" i="121"/>
  <c r="FM393" i="112"/>
  <c r="AM76" i="121"/>
  <c r="AN76" i="121"/>
  <c r="FM394" i="112"/>
  <c r="AM77" i="121"/>
  <c r="AN77" i="121"/>
  <c r="FM395" i="112"/>
  <c r="AM78" i="121"/>
  <c r="AN78" i="121"/>
  <c r="FM396" i="112"/>
  <c r="AM79" i="121"/>
  <c r="AN79" i="121"/>
  <c r="FM397" i="112"/>
  <c r="AM80" i="121"/>
  <c r="AN80" i="121"/>
  <c r="FM398" i="112"/>
  <c r="AM81" i="121"/>
  <c r="AN81" i="121"/>
  <c r="FM399" i="112"/>
  <c r="AM82" i="121"/>
  <c r="AN82" i="121"/>
  <c r="FM400" i="112"/>
  <c r="AM83" i="121"/>
  <c r="AN83" i="121"/>
  <c r="FM401" i="112"/>
  <c r="AM84" i="121"/>
  <c r="AN84" i="121"/>
  <c r="FM402" i="112"/>
  <c r="AM85" i="121"/>
  <c r="AN85" i="121"/>
  <c r="FM403" i="112"/>
  <c r="AM86" i="121"/>
  <c r="AN86" i="121"/>
  <c r="FM404" i="112"/>
  <c r="AM87" i="121"/>
  <c r="AN87" i="121"/>
  <c r="FM405" i="112"/>
  <c r="AM88" i="121"/>
  <c r="AN88" i="121"/>
  <c r="FM406" i="112"/>
  <c r="AM89" i="121"/>
  <c r="AN89" i="121"/>
  <c r="FM407" i="112"/>
  <c r="AM90" i="121"/>
  <c r="AN90" i="121"/>
  <c r="FM408" i="112"/>
  <c r="AM91" i="121"/>
  <c r="AN91" i="121"/>
  <c r="FM409" i="112"/>
  <c r="AM92" i="121"/>
  <c r="AN92" i="121"/>
  <c r="FM410" i="112"/>
  <c r="AM93" i="121"/>
  <c r="AN93" i="121"/>
  <c r="FM411" i="112"/>
  <c r="AM94" i="121"/>
  <c r="AN94" i="121"/>
  <c r="FM412" i="112"/>
  <c r="AM95" i="121"/>
  <c r="AN95" i="121"/>
  <c r="FM413" i="112"/>
  <c r="AM96" i="121"/>
  <c r="AN96" i="121"/>
  <c r="FM414" i="112"/>
  <c r="AM97" i="121"/>
  <c r="AN97" i="121"/>
  <c r="FM415" i="112"/>
  <c r="AM98" i="121"/>
  <c r="AN98" i="121"/>
  <c r="FM416" i="112"/>
  <c r="AM100" i="121"/>
  <c r="AN100" i="121"/>
  <c r="FM426" i="112"/>
  <c r="AM101" i="121"/>
  <c r="AN101" i="121"/>
  <c r="FM427" i="112"/>
  <c r="AM102" i="121"/>
  <c r="AN102" i="121"/>
  <c r="FM428" i="112"/>
  <c r="AM103" i="121"/>
  <c r="AN103" i="121"/>
  <c r="FM429" i="112"/>
  <c r="AM104" i="121"/>
  <c r="AN104" i="121"/>
  <c r="FM430" i="112"/>
  <c r="AM105" i="121"/>
  <c r="AN105" i="121"/>
  <c r="FM431" i="112"/>
  <c r="AM106" i="121"/>
  <c r="AN106" i="121"/>
  <c r="FM432" i="112"/>
  <c r="AM107" i="121"/>
  <c r="AN107" i="121"/>
  <c r="FM433" i="112"/>
  <c r="AM108" i="121"/>
  <c r="AN108" i="121"/>
  <c r="FM434" i="112"/>
  <c r="AM109" i="121"/>
  <c r="AN109" i="121"/>
  <c r="FM435" i="112"/>
  <c r="AM110" i="121"/>
  <c r="AN110" i="121"/>
  <c r="FM436" i="112"/>
  <c r="AM111" i="121"/>
  <c r="AN111" i="121"/>
  <c r="FM437" i="112"/>
  <c r="AM112" i="121"/>
  <c r="AN112" i="121"/>
  <c r="FM438" i="112"/>
  <c r="AM113" i="121"/>
  <c r="AN113" i="121"/>
  <c r="FM439" i="112"/>
  <c r="AM114" i="121"/>
  <c r="AN114" i="121"/>
  <c r="FM440" i="112"/>
  <c r="AM115" i="121"/>
  <c r="AN115" i="121"/>
  <c r="FM441" i="112"/>
  <c r="AM116" i="121"/>
  <c r="AN116" i="121"/>
  <c r="FM442" i="112"/>
  <c r="AM117" i="121"/>
  <c r="AN117" i="121"/>
  <c r="FM443" i="112"/>
  <c r="AM118" i="121"/>
  <c r="AN118" i="121"/>
  <c r="FM444" i="112"/>
  <c r="AM119" i="121"/>
  <c r="AN119" i="121"/>
  <c r="FM445" i="112"/>
  <c r="AM120" i="121"/>
  <c r="AN120" i="121"/>
  <c r="FM446" i="112"/>
  <c r="AM121" i="121"/>
  <c r="AN121" i="121"/>
  <c r="FM447" i="112"/>
  <c r="AM122" i="121"/>
  <c r="AN122" i="121"/>
  <c r="FM448" i="112"/>
  <c r="AM123" i="121"/>
  <c r="AN123" i="121"/>
  <c r="FM449" i="112"/>
  <c r="AM124" i="121"/>
  <c r="AN124" i="121"/>
  <c r="FM450" i="112"/>
  <c r="AM125" i="121"/>
  <c r="AN125" i="121"/>
  <c r="FM451" i="112"/>
  <c r="AM126" i="121"/>
  <c r="AN126" i="121"/>
  <c r="FM452" i="112"/>
  <c r="AM127" i="121"/>
  <c r="AN127" i="121"/>
  <c r="FM453" i="112"/>
  <c r="AM128" i="121"/>
  <c r="AN128" i="121"/>
  <c r="FM454" i="112"/>
  <c r="AM129" i="121"/>
  <c r="AN129" i="121"/>
  <c r="FM455" i="112"/>
  <c r="AM130" i="121"/>
  <c r="AN130" i="121"/>
  <c r="FM456" i="112"/>
  <c r="AM131" i="121"/>
  <c r="AN131" i="121"/>
  <c r="FM457" i="112"/>
  <c r="AM132" i="121"/>
  <c r="AN132" i="121"/>
  <c r="FM458" i="112"/>
  <c r="AM133" i="121"/>
  <c r="AN133" i="121"/>
  <c r="FM459" i="112"/>
  <c r="AM134" i="121"/>
  <c r="AN134" i="121"/>
  <c r="FM460" i="112"/>
  <c r="AM135" i="121"/>
  <c r="AN135" i="121"/>
  <c r="FM461" i="112"/>
  <c r="AM136" i="121"/>
  <c r="AN136" i="121"/>
  <c r="FM462" i="112"/>
  <c r="AM137" i="121"/>
  <c r="AN137" i="121"/>
  <c r="FM463" i="112"/>
  <c r="AM138" i="121"/>
  <c r="AN138" i="121"/>
  <c r="FM464" i="112"/>
  <c r="AM139" i="121"/>
  <c r="AN139" i="121"/>
  <c r="FM465" i="112"/>
  <c r="AM141" i="121"/>
  <c r="AN141" i="121"/>
  <c r="FM475" i="112"/>
  <c r="AM142" i="121"/>
  <c r="AN142" i="121"/>
  <c r="FM476" i="112"/>
  <c r="AM143" i="121"/>
  <c r="AN143" i="121"/>
  <c r="FM477" i="112"/>
  <c r="AM144" i="121"/>
  <c r="AN144" i="121"/>
  <c r="FM478" i="112"/>
  <c r="AM145" i="121"/>
  <c r="AN145" i="121"/>
  <c r="FM479" i="112"/>
  <c r="AM146" i="121"/>
  <c r="AN146" i="121"/>
  <c r="FM480" i="112"/>
  <c r="AM147" i="121"/>
  <c r="AN147" i="121"/>
  <c r="FM481" i="112"/>
  <c r="AM148" i="121"/>
  <c r="AN148" i="121"/>
  <c r="FM482" i="112"/>
  <c r="AM149" i="121"/>
  <c r="AN149" i="121"/>
  <c r="FM483" i="112"/>
  <c r="AM151" i="121"/>
  <c r="AN151" i="121"/>
  <c r="FM493" i="112"/>
  <c r="AM152" i="121"/>
  <c r="AN152" i="121"/>
  <c r="FM494" i="112"/>
  <c r="AM153" i="121"/>
  <c r="AN153" i="121"/>
  <c r="FM495" i="112"/>
  <c r="AM154" i="121"/>
  <c r="AN154" i="121"/>
  <c r="FM496" i="112"/>
  <c r="AM155" i="121"/>
  <c r="AN155" i="121"/>
  <c r="FM497" i="112"/>
  <c r="AM14" i="121"/>
  <c r="AN14" i="121"/>
  <c r="FM308" i="112"/>
  <c r="AM15" i="121"/>
  <c r="AN15" i="121"/>
  <c r="FM309" i="112"/>
  <c r="AM16" i="121"/>
  <c r="AN16" i="121"/>
  <c r="FM310" i="112"/>
  <c r="AM17" i="121"/>
  <c r="AN17" i="121"/>
  <c r="FM311" i="112"/>
  <c r="AM18" i="121"/>
  <c r="AN18" i="121"/>
  <c r="FM312" i="112"/>
  <c r="AM19" i="121"/>
  <c r="AN19" i="121"/>
  <c r="FM313" i="112"/>
  <c r="AM20" i="121"/>
  <c r="AN20" i="121"/>
  <c r="FM314" i="112"/>
  <c r="AM21" i="121"/>
  <c r="AN21" i="121"/>
  <c r="FM315" i="112"/>
  <c r="FN307" i="112"/>
  <c r="FN308" i="112"/>
  <c r="AP14" i="121" s="1"/>
  <c r="FN309" i="112"/>
  <c r="AP15" i="121" s="1"/>
  <c r="FN310" i="112"/>
  <c r="AP16" i="121" s="1"/>
  <c r="FN311" i="112"/>
  <c r="AP17" i="121" s="1"/>
  <c r="FN312" i="112"/>
  <c r="AP18" i="121" s="1"/>
  <c r="FN313" i="112"/>
  <c r="AP19" i="121" s="1"/>
  <c r="FN314" i="112"/>
  <c r="AP20" i="121" s="1"/>
  <c r="FN315" i="112"/>
  <c r="AP21" i="121" s="1"/>
  <c r="FM307" i="112"/>
  <c r="AN13" i="121"/>
  <c r="AO20" i="121" l="1"/>
  <c r="AO16" i="121"/>
  <c r="AO155" i="121"/>
  <c r="FT497" i="112"/>
  <c r="AO151" i="121"/>
  <c r="AO148" i="121"/>
  <c r="AO144" i="121"/>
  <c r="AO137" i="121"/>
  <c r="AO133" i="121"/>
  <c r="AO129" i="121"/>
  <c r="AO125" i="121"/>
  <c r="AO121" i="121"/>
  <c r="AO117" i="121"/>
  <c r="AO113" i="121"/>
  <c r="AO109" i="121"/>
  <c r="AO105" i="121"/>
  <c r="AO101" i="121"/>
  <c r="AO98" i="121"/>
  <c r="AO94" i="121"/>
  <c r="FT412" i="112"/>
  <c r="AO90" i="121"/>
  <c r="FT408" i="112"/>
  <c r="AO86" i="121"/>
  <c r="FT404" i="112"/>
  <c r="AO82" i="121"/>
  <c r="FT400" i="112"/>
  <c r="AO78" i="121"/>
  <c r="FT396" i="112"/>
  <c r="AO74" i="121"/>
  <c r="FT392" i="112"/>
  <c r="AO70" i="121"/>
  <c r="FT388" i="112"/>
  <c r="AO66" i="121"/>
  <c r="FT384" i="112"/>
  <c r="AO62" i="121"/>
  <c r="FT380" i="112"/>
  <c r="AO58" i="121"/>
  <c r="FT376" i="112"/>
  <c r="AO54" i="121"/>
  <c r="FT372" i="112"/>
  <c r="AO47" i="121"/>
  <c r="FT357" i="112"/>
  <c r="AO43" i="121"/>
  <c r="FT353" i="112"/>
  <c r="AO40" i="121"/>
  <c r="FT342" i="112"/>
  <c r="AO36" i="121"/>
  <c r="FT338" i="112"/>
  <c r="AO32" i="121"/>
  <c r="FT334" i="112"/>
  <c r="AO28" i="121"/>
  <c r="FT330" i="112"/>
  <c r="AO24" i="121"/>
  <c r="AO13" i="121"/>
  <c r="AO19" i="121"/>
  <c r="AO15" i="121"/>
  <c r="AO154" i="121"/>
  <c r="FT496" i="112"/>
  <c r="AO147" i="121"/>
  <c r="AO143" i="121"/>
  <c r="AO136" i="121"/>
  <c r="AO132" i="121"/>
  <c r="AO128" i="121"/>
  <c r="AO124" i="121"/>
  <c r="AO120" i="121"/>
  <c r="AO116" i="121"/>
  <c r="AO112" i="121"/>
  <c r="AO108" i="121"/>
  <c r="AO104" i="121"/>
  <c r="AO100" i="121"/>
  <c r="AO97" i="121"/>
  <c r="AO93" i="121"/>
  <c r="FT411" i="112"/>
  <c r="AO89" i="121"/>
  <c r="FT407" i="112"/>
  <c r="AO85" i="121"/>
  <c r="FT403" i="112"/>
  <c r="AO81" i="121"/>
  <c r="FT399" i="112"/>
  <c r="AO77" i="121"/>
  <c r="FT395" i="112"/>
  <c r="AO73" i="121"/>
  <c r="FT391" i="112"/>
  <c r="AO69" i="121"/>
  <c r="FT387" i="112"/>
  <c r="AO65" i="121"/>
  <c r="FT383" i="112"/>
  <c r="AO61" i="121"/>
  <c r="FT379" i="112"/>
  <c r="AO57" i="121"/>
  <c r="FT375" i="112"/>
  <c r="AO53" i="121"/>
  <c r="FT371" i="112"/>
  <c r="AO50" i="121"/>
  <c r="FT360" i="112"/>
  <c r="AO46" i="121"/>
  <c r="AO42" i="121"/>
  <c r="AO39" i="121"/>
  <c r="FT341" i="112"/>
  <c r="AO35" i="121"/>
  <c r="FT337" i="112"/>
  <c r="AO31" i="121"/>
  <c r="FT333" i="112"/>
  <c r="AO27" i="121"/>
  <c r="AO23" i="121"/>
  <c r="AO18" i="121"/>
  <c r="AO14" i="121"/>
  <c r="AO142" i="121"/>
  <c r="AO131" i="121"/>
  <c r="AO127" i="121"/>
  <c r="AO123" i="121"/>
  <c r="AO119" i="121"/>
  <c r="AO115" i="121"/>
  <c r="AO111" i="121"/>
  <c r="AO107" i="121"/>
  <c r="AO103" i="121"/>
  <c r="AO96" i="121"/>
  <c r="AO92" i="121"/>
  <c r="FT410" i="112"/>
  <c r="AO88" i="121"/>
  <c r="FT406" i="112"/>
  <c r="AO84" i="121"/>
  <c r="FT402" i="112"/>
  <c r="AO80" i="121"/>
  <c r="FT398" i="112"/>
  <c r="AO76" i="121"/>
  <c r="FT394" i="112"/>
  <c r="AO72" i="121"/>
  <c r="FT390" i="112"/>
  <c r="AO68" i="121"/>
  <c r="FT386" i="112"/>
  <c r="AO64" i="121"/>
  <c r="FT382" i="112"/>
  <c r="AO60" i="121"/>
  <c r="FT378" i="112"/>
  <c r="AO56" i="121"/>
  <c r="FT374" i="112"/>
  <c r="AO52" i="121"/>
  <c r="AO49" i="121"/>
  <c r="FT359" i="112"/>
  <c r="AO45" i="121"/>
  <c r="FT355" i="112"/>
  <c r="AO38" i="121"/>
  <c r="FT340" i="112"/>
  <c r="AO34" i="121"/>
  <c r="FT336" i="112"/>
  <c r="AO30" i="121"/>
  <c r="FT332" i="112"/>
  <c r="AO26" i="121"/>
  <c r="AO146" i="121"/>
  <c r="AO139" i="121"/>
  <c r="AO17" i="121"/>
  <c r="AO153" i="121"/>
  <c r="FT495" i="112"/>
  <c r="AO135" i="121"/>
  <c r="AO21" i="121"/>
  <c r="AO152" i="121"/>
  <c r="AO149" i="121"/>
  <c r="AO145" i="121"/>
  <c r="AO141" i="121"/>
  <c r="AO138" i="121"/>
  <c r="AO134" i="121"/>
  <c r="AO130" i="121"/>
  <c r="AO126" i="121"/>
  <c r="AO122" i="121"/>
  <c r="AO118" i="121"/>
  <c r="AO114" i="121"/>
  <c r="AO110" i="121"/>
  <c r="AO106" i="121"/>
  <c r="AO102" i="121"/>
  <c r="AO95" i="121"/>
  <c r="AO91" i="121"/>
  <c r="FT409" i="112"/>
  <c r="AO87" i="121"/>
  <c r="FT405" i="112"/>
  <c r="AO83" i="121"/>
  <c r="FT401" i="112"/>
  <c r="AO79" i="121"/>
  <c r="FT397" i="112"/>
  <c r="AO75" i="121"/>
  <c r="FT393" i="112"/>
  <c r="AO71" i="121"/>
  <c r="FT389" i="112"/>
  <c r="AO67" i="121"/>
  <c r="FT385" i="112"/>
  <c r="AO63" i="121"/>
  <c r="FT381" i="112"/>
  <c r="AO59" i="121"/>
  <c r="FT377" i="112"/>
  <c r="AO55" i="121"/>
  <c r="FT373" i="112"/>
  <c r="AO48" i="121"/>
  <c r="FT358" i="112"/>
  <c r="AO44" i="121"/>
  <c r="FT354" i="112"/>
  <c r="AO37" i="121"/>
  <c r="FT339" i="112"/>
  <c r="AO33" i="121"/>
  <c r="FT335" i="112"/>
  <c r="AO29" i="121"/>
  <c r="FT331" i="112"/>
  <c r="AO25" i="121"/>
  <c r="FT327" i="112"/>
  <c r="AP13" i="121"/>
  <c r="FT356" i="112" l="1"/>
  <c r="FT494" i="112"/>
  <c r="FT352" i="112"/>
  <c r="FT366" i="112" s="1" a="1"/>
  <c r="FT366" i="112" s="1"/>
  <c r="FT325" i="112"/>
  <c r="FT493" i="112"/>
  <c r="FT370" i="112"/>
  <c r="FT326" i="112"/>
  <c r="DM91" i="112"/>
  <c r="DN91" i="112" s="1"/>
  <c r="DM89" i="112"/>
  <c r="DN89" i="112" s="1"/>
  <c r="DM109" i="112"/>
  <c r="DN109" i="112" s="1"/>
  <c r="DS109" i="112" s="1"/>
  <c r="DM107" i="112"/>
  <c r="DN107" i="112" s="1"/>
  <c r="DS107" i="112" s="1"/>
  <c r="DM73" i="112"/>
  <c r="DN73" i="112" s="1"/>
  <c r="O35" i="114"/>
  <c r="DM26" i="112"/>
  <c r="DN26" i="112" s="1"/>
  <c r="DN25" i="112"/>
  <c r="DW25" i="112" s="1"/>
  <c r="B15" i="130" s="1"/>
  <c r="C15" i="130" s="1"/>
  <c r="DM39" i="112"/>
  <c r="DN39" i="112" s="1"/>
  <c r="DM23" i="112"/>
  <c r="DN23" i="112" s="1"/>
  <c r="DW23" i="112" s="1"/>
  <c r="AH278" i="112"/>
  <c r="AH279" i="112"/>
  <c r="DQ224" i="112"/>
  <c r="Q428" i="114" s="1"/>
  <c r="DN247" i="112"/>
  <c r="DN248" i="112"/>
  <c r="DN249" i="112"/>
  <c r="DN245" i="112"/>
  <c r="T251" i="114"/>
  <c r="BB145" i="112"/>
  <c r="AN143" i="112"/>
  <c r="AN142" i="112"/>
  <c r="AP249" i="114"/>
  <c r="Z249" i="114"/>
  <c r="AB588" i="114" l="1"/>
  <c r="DU249" i="112"/>
  <c r="DV249" i="112" s="1"/>
  <c r="DS249" i="112"/>
  <c r="DT249" i="112" s="1"/>
  <c r="AB587" i="114"/>
  <c r="DU248" i="112"/>
  <c r="DV248" i="112" s="1"/>
  <c r="DS248" i="112"/>
  <c r="DT248" i="112" s="1"/>
  <c r="AB586" i="114"/>
  <c r="DU247" i="112"/>
  <c r="DV247" i="112" s="1"/>
  <c r="DS247" i="112"/>
  <c r="DT247" i="112" s="1"/>
  <c r="AB584" i="114"/>
  <c r="DU245" i="112"/>
  <c r="DV245" i="112" s="1"/>
  <c r="DS245" i="112"/>
  <c r="DT245" i="112" s="1"/>
  <c r="B20" i="127"/>
  <c r="C20" i="127" s="1"/>
  <c r="B20" i="130"/>
  <c r="C20" i="130" s="1"/>
  <c r="H16" i="124"/>
  <c r="B15" i="127"/>
  <c r="C15" i="127" s="1"/>
  <c r="O33" i="114"/>
  <c r="O44" i="114"/>
  <c r="FT508" i="112" a="1"/>
  <c r="FT508" i="112" s="1"/>
  <c r="DS73" i="112"/>
  <c r="DS91" i="112"/>
  <c r="O168" i="115"/>
  <c r="O168" i="114"/>
  <c r="O63" i="114"/>
  <c r="O61" i="114"/>
  <c r="O170" i="115"/>
  <c r="O170" i="114"/>
  <c r="O74" i="114"/>
  <c r="O72" i="114"/>
  <c r="AJ132" i="112"/>
  <c r="AE19" i="114" l="1"/>
  <c r="O81" i="114" l="1"/>
  <c r="AE22" i="114"/>
  <c r="AL169" i="112" l="1"/>
  <c r="AE184" i="112" l="1"/>
  <c r="AE191" i="112"/>
  <c r="AE190" i="112"/>
  <c r="AL183" i="112"/>
  <c r="DX246" i="112"/>
  <c r="DX247" i="112"/>
  <c r="DX248" i="112"/>
  <c r="DX249" i="112"/>
  <c r="DR246" i="112"/>
  <c r="DR247" i="112"/>
  <c r="DR248" i="112"/>
  <c r="DR249" i="112"/>
  <c r="DR245" i="112"/>
  <c r="DP405" i="112"/>
  <c r="DP406" i="112"/>
  <c r="DN405" i="112"/>
  <c r="DN406" i="112"/>
  <c r="DS405" i="112"/>
  <c r="DS406" i="112"/>
  <c r="DR406" i="112"/>
  <c r="DR405" i="112"/>
  <c r="DL406" i="112" l="1"/>
  <c r="DK406" i="112"/>
  <c r="DL405" i="112"/>
  <c r="DK405" i="112"/>
  <c r="FU405" i="112"/>
  <c r="DY406" i="112"/>
  <c r="ED406" i="112"/>
  <c r="EI406" i="112"/>
  <c r="DY405" i="112"/>
  <c r="ED405" i="112"/>
  <c r="EI405" i="112"/>
  <c r="FU406" i="112"/>
  <c r="DY409" i="112"/>
  <c r="EI409" i="112"/>
  <c r="DY426" i="112"/>
  <c r="EI426" i="112"/>
  <c r="EK406" i="112"/>
  <c r="EF406" i="112"/>
  <c r="EF405" i="112"/>
  <c r="EK405" i="112"/>
  <c r="DX405" i="112"/>
  <c r="DZ405" i="112"/>
  <c r="DX406" i="112"/>
  <c r="DZ406" i="112"/>
  <c r="EE405" i="112" l="1"/>
  <c r="EJ406" i="112"/>
  <c r="EJ405" i="112"/>
  <c r="EJ426" i="112"/>
  <c r="EE406" i="112"/>
  <c r="EJ409" i="112"/>
  <c r="DY308" i="112" l="1"/>
  <c r="AS276" i="112"/>
  <c r="AE170" i="112" l="1"/>
  <c r="W5" i="37" l="1"/>
  <c r="DQ169" i="112" l="1"/>
  <c r="AB272" i="114" s="1"/>
  <c r="DP169" i="112"/>
  <c r="S272" i="114" s="1"/>
  <c r="DO169" i="112"/>
  <c r="P272" i="114" l="1"/>
  <c r="DN151" i="112" l="1"/>
  <c r="DN160" i="112"/>
  <c r="DN157" i="112"/>
  <c r="DN154" i="112"/>
  <c r="K313" i="114" l="1"/>
  <c r="K314" i="115" s="1"/>
  <c r="O82" i="114" l="1"/>
  <c r="W10" i="37"/>
  <c r="W9" i="37"/>
  <c r="W8" i="37"/>
  <c r="W7" i="37"/>
  <c r="W6" i="37"/>
  <c r="W4" i="37"/>
  <c r="X9" i="37" l="1"/>
  <c r="X10" i="37"/>
  <c r="X4" i="37"/>
  <c r="X5" i="37"/>
  <c r="X6" i="37"/>
  <c r="X7" i="37"/>
  <c r="X8" i="37"/>
  <c r="DS514" i="112" l="1"/>
  <c r="DQ514" i="112"/>
  <c r="GJ514" i="112" s="1"/>
  <c r="DP514" i="112"/>
  <c r="DN514" i="112"/>
  <c r="DR514" i="112"/>
  <c r="E170" i="121" l="1"/>
  <c r="E171" i="121"/>
  <c r="DL514" i="112"/>
  <c r="DK514" i="112"/>
  <c r="GT514" i="112"/>
  <c r="HC514" i="112"/>
  <c r="DW514" i="112"/>
  <c r="B171" i="121" s="1"/>
  <c r="GE514" i="112"/>
  <c r="GG514" i="112"/>
  <c r="GD514" i="112"/>
  <c r="GC514" i="112"/>
  <c r="GH514" i="112"/>
  <c r="GI514" i="112"/>
  <c r="GF514" i="112"/>
  <c r="HF514" i="112" s="1"/>
  <c r="HI514" i="112" s="1"/>
  <c r="FU514" i="112"/>
  <c r="DY514" i="112"/>
  <c r="ED514" i="112"/>
  <c r="EI514" i="112"/>
  <c r="EF514" i="112"/>
  <c r="EK514" i="112"/>
  <c r="DZ514" i="112"/>
  <c r="DX514" i="112"/>
  <c r="B169" i="121" l="1"/>
  <c r="B170" i="121"/>
  <c r="GP514" i="112"/>
  <c r="HO514" i="112" s="1"/>
  <c r="GY514" i="112"/>
  <c r="HB514" i="112"/>
  <c r="GS514" i="112"/>
  <c r="HR514" i="112" s="1"/>
  <c r="HA514" i="112"/>
  <c r="GR514" i="112"/>
  <c r="HQ514" i="112" s="1"/>
  <c r="GV514" i="112"/>
  <c r="GM514" i="112"/>
  <c r="HL514" i="112" s="1"/>
  <c r="GW514" i="112"/>
  <c r="GN514" i="112"/>
  <c r="HM514" i="112" s="1"/>
  <c r="GZ514" i="112"/>
  <c r="GQ514" i="112"/>
  <c r="HP514" i="112" s="1"/>
  <c r="GX514" i="112"/>
  <c r="GO514" i="112"/>
  <c r="HN514" i="112" s="1"/>
  <c r="EJ514" i="112"/>
  <c r="EE514" i="112"/>
  <c r="AE18" i="114"/>
  <c r="AO223" i="112"/>
  <c r="DN513" i="112"/>
  <c r="DP513" i="112"/>
  <c r="DQ513" i="112"/>
  <c r="DS513" i="112"/>
  <c r="DN515" i="112"/>
  <c r="DP515" i="112"/>
  <c r="DQ515" i="112"/>
  <c r="GJ515" i="112" s="1"/>
  <c r="DS515" i="112"/>
  <c r="DN516" i="112"/>
  <c r="DP516" i="112"/>
  <c r="DQ516" i="112"/>
  <c r="GJ516" i="112" s="1"/>
  <c r="DS516" i="112"/>
  <c r="DN517" i="112"/>
  <c r="DP517" i="112"/>
  <c r="DQ517" i="112"/>
  <c r="GJ517" i="112" s="1"/>
  <c r="DS517" i="112"/>
  <c r="DN518" i="112"/>
  <c r="DP518" i="112"/>
  <c r="DQ518" i="112"/>
  <c r="GJ518" i="112" s="1"/>
  <c r="DS518" i="112"/>
  <c r="DN519" i="112"/>
  <c r="DP519" i="112"/>
  <c r="DQ519" i="112"/>
  <c r="GJ519" i="112" s="1"/>
  <c r="DS519" i="112"/>
  <c r="DN520" i="112"/>
  <c r="DP520" i="112"/>
  <c r="DQ520" i="112"/>
  <c r="GJ520" i="112" s="1"/>
  <c r="DS520" i="112"/>
  <c r="DN521" i="112"/>
  <c r="DP521" i="112"/>
  <c r="DQ521" i="112"/>
  <c r="DR521" i="112"/>
  <c r="DS521" i="112"/>
  <c r="DS512" i="112"/>
  <c r="DQ512" i="112"/>
  <c r="DP512" i="112"/>
  <c r="DN512" i="112"/>
  <c r="DL520" i="112" l="1"/>
  <c r="DK520" i="112"/>
  <c r="DL518" i="112"/>
  <c r="DK518" i="112"/>
  <c r="DL516" i="112"/>
  <c r="DK516" i="112"/>
  <c r="DL513" i="112"/>
  <c r="DK513" i="112"/>
  <c r="DK512" i="112"/>
  <c r="DL512" i="112"/>
  <c r="DL519" i="112"/>
  <c r="DK519" i="112"/>
  <c r="DL517" i="112"/>
  <c r="DK517" i="112"/>
  <c r="DL515" i="112"/>
  <c r="DK515" i="112"/>
  <c r="DL521" i="112"/>
  <c r="DK521" i="112"/>
  <c r="HC519" i="112"/>
  <c r="GT519" i="112"/>
  <c r="HC518" i="112"/>
  <c r="GT518" i="112"/>
  <c r="HC517" i="112"/>
  <c r="GT517" i="112"/>
  <c r="HC520" i="112"/>
  <c r="GT520" i="112"/>
  <c r="GT516" i="112"/>
  <c r="HC516" i="112"/>
  <c r="GJ513" i="112"/>
  <c r="GF513" i="112" s="1"/>
  <c r="HF513" i="112" s="1"/>
  <c r="HI513" i="112" s="1"/>
  <c r="GT515" i="112"/>
  <c r="HC515" i="112"/>
  <c r="GJ512" i="112"/>
  <c r="GF521" i="112"/>
  <c r="HF521" i="112" s="1"/>
  <c r="HI521" i="112" s="1"/>
  <c r="GE521" i="112"/>
  <c r="GD521" i="112"/>
  <c r="GC521" i="112"/>
  <c r="GG521" i="112"/>
  <c r="GH521" i="112"/>
  <c r="GI521" i="112"/>
  <c r="DW517" i="112"/>
  <c r="GD517" i="112"/>
  <c r="GI517" i="112"/>
  <c r="GG517" i="112"/>
  <c r="GH517" i="112"/>
  <c r="GF517" i="112"/>
  <c r="HF517" i="112" s="1"/>
  <c r="HI517" i="112" s="1"/>
  <c r="GE517" i="112"/>
  <c r="GC517" i="112"/>
  <c r="DW518" i="112"/>
  <c r="GG518" i="112"/>
  <c r="GE518" i="112"/>
  <c r="GD518" i="112"/>
  <c r="GC518" i="112"/>
  <c r="GI518" i="112"/>
  <c r="GH518" i="112"/>
  <c r="GF518" i="112"/>
  <c r="HF518" i="112" s="1"/>
  <c r="HI518" i="112" s="1"/>
  <c r="DW513" i="112"/>
  <c r="DW519" i="112"/>
  <c r="GD519" i="112"/>
  <c r="GF519" i="112"/>
  <c r="HF519" i="112" s="1"/>
  <c r="HI519" i="112" s="1"/>
  <c r="GG519" i="112"/>
  <c r="GH519" i="112"/>
  <c r="GE519" i="112"/>
  <c r="GI519" i="112"/>
  <c r="GC519" i="112"/>
  <c r="DW515" i="112"/>
  <c r="GE515" i="112"/>
  <c r="GD515" i="112"/>
  <c r="GC515" i="112"/>
  <c r="GH515" i="112"/>
  <c r="GI515" i="112"/>
  <c r="GF515" i="112"/>
  <c r="HF515" i="112" s="1"/>
  <c r="HI515" i="112" s="1"/>
  <c r="GG515" i="112"/>
  <c r="DW520" i="112"/>
  <c r="GE520" i="112"/>
  <c r="GI520" i="112"/>
  <c r="GH520" i="112"/>
  <c r="GD520" i="112"/>
  <c r="GF520" i="112"/>
  <c r="HF520" i="112" s="1"/>
  <c r="HI520" i="112" s="1"/>
  <c r="GC520" i="112"/>
  <c r="GG520" i="112"/>
  <c r="DW516" i="112"/>
  <c r="GH516" i="112"/>
  <c r="GE516" i="112"/>
  <c r="GF516" i="112"/>
  <c r="HF516" i="112" s="1"/>
  <c r="HI516" i="112" s="1"/>
  <c r="GD516" i="112"/>
  <c r="GC516" i="112"/>
  <c r="GI516" i="112"/>
  <c r="GG516" i="112"/>
  <c r="DW512" i="112"/>
  <c r="B168" i="121" s="1"/>
  <c r="DM527" i="112"/>
  <c r="DP527" i="112"/>
  <c r="DN527" i="112"/>
  <c r="DW521" i="112"/>
  <c r="DY520" i="112"/>
  <c r="EI520" i="112"/>
  <c r="ED520" i="112"/>
  <c r="DY515" i="112"/>
  <c r="ED515" i="112"/>
  <c r="EI515" i="112"/>
  <c r="DY512" i="112"/>
  <c r="ED512" i="112"/>
  <c r="EI512" i="112"/>
  <c r="DY518" i="112"/>
  <c r="ED518" i="112"/>
  <c r="EI518" i="112"/>
  <c r="DY521" i="112"/>
  <c r="EI521" i="112"/>
  <c r="DY516" i="112"/>
  <c r="EI516" i="112"/>
  <c r="ED516" i="112"/>
  <c r="FU521" i="112"/>
  <c r="DY519" i="112"/>
  <c r="EI519" i="112"/>
  <c r="ED519" i="112"/>
  <c r="DY513" i="112"/>
  <c r="ED513" i="112"/>
  <c r="EI513" i="112"/>
  <c r="DY517" i="112"/>
  <c r="ED517" i="112"/>
  <c r="EI517" i="112"/>
  <c r="ED521" i="112"/>
  <c r="EF516" i="112"/>
  <c r="EK516" i="112"/>
  <c r="EK518" i="112"/>
  <c r="EF518" i="112"/>
  <c r="EK520" i="112"/>
  <c r="EF520" i="112"/>
  <c r="EF515" i="112"/>
  <c r="EK515" i="112"/>
  <c r="EF517" i="112"/>
  <c r="EK517" i="112"/>
  <c r="EF519" i="112"/>
  <c r="EK519" i="112"/>
  <c r="EK512" i="112"/>
  <c r="EF512" i="112"/>
  <c r="EF521" i="112"/>
  <c r="EK521" i="112"/>
  <c r="EK513" i="112"/>
  <c r="EF513" i="112"/>
  <c r="DZ519" i="112"/>
  <c r="DX521" i="112"/>
  <c r="DV512" i="112"/>
  <c r="DZ521" i="112"/>
  <c r="DZ520" i="112"/>
  <c r="DO509" i="112"/>
  <c r="EW314" i="112" s="1"/>
  <c r="DZ517" i="112"/>
  <c r="DZ515" i="112"/>
  <c r="DZ516" i="112"/>
  <c r="DZ513" i="112"/>
  <c r="DZ518" i="112"/>
  <c r="DZ512" i="112"/>
  <c r="BH280" i="112"/>
  <c r="DY509" i="112" l="1"/>
  <c r="GG513" i="112"/>
  <c r="GQ513" i="112" s="1"/>
  <c r="HP513" i="112" s="1"/>
  <c r="GE513" i="112"/>
  <c r="GO513" i="112" s="1"/>
  <c r="HN513" i="112" s="1"/>
  <c r="HC513" i="112"/>
  <c r="GC513" i="112"/>
  <c r="GV513" i="112" s="1"/>
  <c r="GT513" i="112"/>
  <c r="GI513" i="112"/>
  <c r="GS513" i="112" s="1"/>
  <c r="HR513" i="112" s="1"/>
  <c r="GD513" i="112"/>
  <c r="GN513" i="112" s="1"/>
  <c r="HM513" i="112" s="1"/>
  <c r="GH513" i="112"/>
  <c r="GR513" i="112" s="1"/>
  <c r="HQ513" i="112" s="1"/>
  <c r="GZ516" i="112"/>
  <c r="GQ516" i="112"/>
  <c r="HP516" i="112" s="1"/>
  <c r="GZ520" i="112"/>
  <c r="GQ520" i="112"/>
  <c r="HP520" i="112" s="1"/>
  <c r="GZ515" i="112"/>
  <c r="GQ515" i="112"/>
  <c r="HP515" i="112" s="1"/>
  <c r="GM519" i="112"/>
  <c r="HL519" i="112" s="1"/>
  <c r="GV519" i="112"/>
  <c r="GP518" i="112"/>
  <c r="HO518" i="112" s="1"/>
  <c r="GY518" i="112"/>
  <c r="GV517" i="112"/>
  <c r="GM517" i="112"/>
  <c r="HL517" i="112" s="1"/>
  <c r="HB521" i="112"/>
  <c r="GS521" i="112"/>
  <c r="HR521" i="112" s="1"/>
  <c r="GS516" i="112"/>
  <c r="HR516" i="112" s="1"/>
  <c r="HB516" i="112"/>
  <c r="GM520" i="112"/>
  <c r="HL520" i="112" s="1"/>
  <c r="GV520" i="112"/>
  <c r="GP515" i="112"/>
  <c r="HO515" i="112" s="1"/>
  <c r="GY515" i="112"/>
  <c r="GS519" i="112"/>
  <c r="HR519" i="112" s="1"/>
  <c r="HB519" i="112"/>
  <c r="HA518" i="112"/>
  <c r="GR518" i="112"/>
  <c r="HQ518" i="112" s="1"/>
  <c r="GX517" i="112"/>
  <c r="GO517" i="112"/>
  <c r="HN517" i="112" s="1"/>
  <c r="HA521" i="112"/>
  <c r="GR521" i="112"/>
  <c r="HQ521" i="112" s="1"/>
  <c r="GV516" i="112"/>
  <c r="GM516" i="112"/>
  <c r="HL516" i="112" s="1"/>
  <c r="GP520" i="112"/>
  <c r="HO520" i="112" s="1"/>
  <c r="GY520" i="112"/>
  <c r="HB515" i="112"/>
  <c r="GS515" i="112"/>
  <c r="HR515" i="112" s="1"/>
  <c r="GX519" i="112"/>
  <c r="GO519" i="112"/>
  <c r="HN519" i="112" s="1"/>
  <c r="GS518" i="112"/>
  <c r="HR518" i="112" s="1"/>
  <c r="HB518" i="112"/>
  <c r="GP517" i="112"/>
  <c r="HO517" i="112" s="1"/>
  <c r="GY517" i="112"/>
  <c r="GZ521" i="112"/>
  <c r="GQ521" i="112"/>
  <c r="HP521" i="112" s="1"/>
  <c r="GW516" i="112"/>
  <c r="GN516" i="112"/>
  <c r="HM516" i="112" s="1"/>
  <c r="GW520" i="112"/>
  <c r="GN520" i="112"/>
  <c r="HM520" i="112" s="1"/>
  <c r="HA515" i="112"/>
  <c r="GR515" i="112"/>
  <c r="HQ515" i="112" s="1"/>
  <c r="HA519" i="112"/>
  <c r="GR519" i="112"/>
  <c r="HQ519" i="112" s="1"/>
  <c r="GV518" i="112"/>
  <c r="GM518" i="112"/>
  <c r="HL518" i="112" s="1"/>
  <c r="HA517" i="112"/>
  <c r="GR517" i="112"/>
  <c r="HQ517" i="112" s="1"/>
  <c r="GM521" i="112"/>
  <c r="HL521" i="112" s="1"/>
  <c r="GV521" i="112"/>
  <c r="GP516" i="112"/>
  <c r="HO516" i="112" s="1"/>
  <c r="GY516" i="112"/>
  <c r="HA520" i="112"/>
  <c r="GR520" i="112"/>
  <c r="HQ520" i="112" s="1"/>
  <c r="GM515" i="112"/>
  <c r="HL515" i="112" s="1"/>
  <c r="GV515" i="112"/>
  <c r="GQ519" i="112"/>
  <c r="HP519" i="112" s="1"/>
  <c r="GZ519" i="112"/>
  <c r="GW518" i="112"/>
  <c r="GN518" i="112"/>
  <c r="HM518" i="112" s="1"/>
  <c r="GZ517" i="112"/>
  <c r="GQ517" i="112"/>
  <c r="HP517" i="112" s="1"/>
  <c r="GW521" i="112"/>
  <c r="GN521" i="112"/>
  <c r="HM521" i="112" s="1"/>
  <c r="GO516" i="112"/>
  <c r="HN516" i="112" s="1"/>
  <c r="GX516" i="112"/>
  <c r="HB520" i="112"/>
  <c r="GS520" i="112"/>
  <c r="HR520" i="112" s="1"/>
  <c r="GW515" i="112"/>
  <c r="GN515" i="112"/>
  <c r="HM515" i="112" s="1"/>
  <c r="GP519" i="112"/>
  <c r="HO519" i="112" s="1"/>
  <c r="GY519" i="112"/>
  <c r="GY513" i="112"/>
  <c r="GP513" i="112"/>
  <c r="HO513" i="112" s="1"/>
  <c r="GO518" i="112"/>
  <c r="HN518" i="112" s="1"/>
  <c r="GX518" i="112"/>
  <c r="HB517" i="112"/>
  <c r="GS517" i="112"/>
  <c r="HR517" i="112" s="1"/>
  <c r="GO521" i="112"/>
  <c r="HN521" i="112" s="1"/>
  <c r="GX521" i="112"/>
  <c r="HA516" i="112"/>
  <c r="GR516" i="112"/>
  <c r="HQ516" i="112" s="1"/>
  <c r="GO520" i="112"/>
  <c r="HN520" i="112" s="1"/>
  <c r="GX520" i="112"/>
  <c r="GO515" i="112"/>
  <c r="HN515" i="112" s="1"/>
  <c r="GX515" i="112"/>
  <c r="GW519" i="112"/>
  <c r="GN519" i="112"/>
  <c r="HM519" i="112" s="1"/>
  <c r="GZ518" i="112"/>
  <c r="GQ518" i="112"/>
  <c r="HP518" i="112" s="1"/>
  <c r="GN517" i="112"/>
  <c r="HM517" i="112" s="1"/>
  <c r="GW517" i="112"/>
  <c r="GY521" i="112"/>
  <c r="GP521" i="112"/>
  <c r="HO521" i="112" s="1"/>
  <c r="GF512" i="112"/>
  <c r="HF512" i="112" s="1"/>
  <c r="HI512" i="112" s="1"/>
  <c r="HI527" i="112" s="1"/>
  <c r="GG512" i="112"/>
  <c r="GC512" i="112"/>
  <c r="GE512" i="112"/>
  <c r="HC512" i="112"/>
  <c r="GD512" i="112"/>
  <c r="GT512" i="112"/>
  <c r="GH512" i="112"/>
  <c r="GI512" i="112"/>
  <c r="EF527" i="112"/>
  <c r="EK527" i="112"/>
  <c r="EI527" i="112"/>
  <c r="EG509" i="112"/>
  <c r="EI509" i="112" s="1"/>
  <c r="ED527" i="112"/>
  <c r="EB509" i="112"/>
  <c r="ED509" i="112" s="1"/>
  <c r="DV513" i="112"/>
  <c r="FS509" i="112"/>
  <c r="FS472" i="112"/>
  <c r="FS423" i="112"/>
  <c r="FS349" i="112"/>
  <c r="FS490" i="112"/>
  <c r="EE521" i="112"/>
  <c r="EE519" i="112"/>
  <c r="EE520" i="112"/>
  <c r="EJ517" i="112"/>
  <c r="EJ520" i="112"/>
  <c r="EJ518" i="112"/>
  <c r="EE518" i="112"/>
  <c r="EE517" i="112"/>
  <c r="EE515" i="112"/>
  <c r="EJ521" i="112"/>
  <c r="EE513" i="112"/>
  <c r="EJ515" i="112"/>
  <c r="EE516" i="112"/>
  <c r="EJ516" i="112"/>
  <c r="EE512" i="112"/>
  <c r="EJ513" i="112"/>
  <c r="EJ519" i="112"/>
  <c r="EJ512" i="112"/>
  <c r="DP509" i="112"/>
  <c r="EX314" i="112" s="1"/>
  <c r="DS380" i="112"/>
  <c r="DR380" i="112"/>
  <c r="DP380" i="112"/>
  <c r="DN380" i="112"/>
  <c r="GZ513" i="112" l="1"/>
  <c r="GX513" i="112"/>
  <c r="DL380" i="112"/>
  <c r="DK380" i="112"/>
  <c r="GW513" i="112"/>
  <c r="HC528" i="112"/>
  <c r="HC530" i="112" s="1"/>
  <c r="HB513" i="112"/>
  <c r="GT528" i="112"/>
  <c r="GT530" i="112" s="1"/>
  <c r="HC531" i="112" s="1"/>
  <c r="HA513" i="112"/>
  <c r="GM513" i="112"/>
  <c r="HL513" i="112" s="1"/>
  <c r="GN512" i="112"/>
  <c r="HM512" i="112" s="1"/>
  <c r="HM527" i="112" s="1"/>
  <c r="HM528" i="112" s="1"/>
  <c r="GW512" i="112"/>
  <c r="GW528" i="112" s="1"/>
  <c r="GX512" i="112"/>
  <c r="GO512" i="112"/>
  <c r="HN512" i="112" s="1"/>
  <c r="HN527" i="112" s="1"/>
  <c r="HN528" i="112" s="1"/>
  <c r="GM512" i="112"/>
  <c r="HL512" i="112" s="1"/>
  <c r="GV512" i="112"/>
  <c r="GV528" i="112" s="1"/>
  <c r="GZ512" i="112"/>
  <c r="GZ528" i="112" s="1"/>
  <c r="GQ512" i="112"/>
  <c r="HP512" i="112" s="1"/>
  <c r="HP527" i="112" s="1"/>
  <c r="HP528" i="112" s="1"/>
  <c r="HA512" i="112"/>
  <c r="GR512" i="112"/>
  <c r="HQ512" i="112" s="1"/>
  <c r="HQ527" i="112" s="1"/>
  <c r="HQ528" i="112" s="1"/>
  <c r="HB512" i="112"/>
  <c r="HB528" i="112" s="1"/>
  <c r="GS512" i="112"/>
  <c r="HR512" i="112" s="1"/>
  <c r="HR527" i="112" s="1"/>
  <c r="HR528" i="112" s="1"/>
  <c r="GP512" i="112"/>
  <c r="HO512" i="112" s="1"/>
  <c r="HO527" i="112" s="1"/>
  <c r="HO528" i="112" s="1"/>
  <c r="GY512" i="112"/>
  <c r="GY528" i="112" s="1"/>
  <c r="EE527" i="112" a="1"/>
  <c r="EE527" i="112" s="1"/>
  <c r="EJ527" i="112" a="1"/>
  <c r="EJ527" i="112" s="1"/>
  <c r="DV514" i="112"/>
  <c r="DV515" i="112" s="1"/>
  <c r="FU380" i="112"/>
  <c r="DY380" i="112"/>
  <c r="EI380" i="112"/>
  <c r="ED380" i="112"/>
  <c r="EF380" i="112"/>
  <c r="EK380" i="112"/>
  <c r="DN509" i="112"/>
  <c r="DM509" i="112" s="1"/>
  <c r="EU314" i="112" s="1"/>
  <c r="DX380" i="112"/>
  <c r="DZ380" i="112"/>
  <c r="DP217" i="112"/>
  <c r="DP215" i="112"/>
  <c r="DP213" i="112"/>
  <c r="DP211" i="112"/>
  <c r="DP246" i="112"/>
  <c r="DO248" i="112" s="1"/>
  <c r="GX528" i="112" l="1"/>
  <c r="HA528" i="112"/>
  <c r="HL527" i="112"/>
  <c r="HL528" i="112" s="1"/>
  <c r="GS528" i="112"/>
  <c r="GS530" i="112" s="1"/>
  <c r="GR528" i="112"/>
  <c r="GR530" i="112" s="1"/>
  <c r="HA531" i="112" s="1"/>
  <c r="GN528" i="112"/>
  <c r="GN530" i="112" s="1"/>
  <c r="GW531" i="112" s="1"/>
  <c r="GQ528" i="112"/>
  <c r="GQ530" i="112" s="1"/>
  <c r="GO528" i="112"/>
  <c r="GO530" i="112" s="1"/>
  <c r="GX531" i="112" s="1"/>
  <c r="GP528" i="112"/>
  <c r="GP530" i="112" s="1"/>
  <c r="GM528" i="112"/>
  <c r="GM530" i="112" s="1"/>
  <c r="DV516" i="112"/>
  <c r="EF509" i="112"/>
  <c r="EK509" i="112"/>
  <c r="FF314" i="112" s="1"/>
  <c r="EJ380" i="112"/>
  <c r="EE380" i="112"/>
  <c r="EY314" i="112"/>
  <c r="FD314" i="112"/>
  <c r="R456" i="114"/>
  <c r="EV314" i="112"/>
  <c r="DQ246" i="112"/>
  <c r="AM456" i="114" s="1"/>
  <c r="DO246" i="112"/>
  <c r="M456" i="114" s="1"/>
  <c r="GU530" i="112" l="1"/>
  <c r="GP532" i="112"/>
  <c r="ES349" i="112"/>
  <c r="AM407" i="114" s="1"/>
  <c r="EE509" i="112"/>
  <c r="FA314" i="112"/>
  <c r="EJ509" i="112"/>
  <c r="DV517" i="112"/>
  <c r="DV518" i="112" s="1"/>
  <c r="CV349" i="112"/>
  <c r="DV519" i="112" l="1"/>
  <c r="DV520" i="112"/>
  <c r="DV521" i="112" s="1"/>
  <c r="DV522" i="112" s="1"/>
  <c r="DV523" i="112" s="1"/>
  <c r="DV524" i="112" s="1"/>
  <c r="DV525" i="112" s="1"/>
  <c r="DV526" i="112" s="1"/>
  <c r="EN349" i="112"/>
  <c r="EM349" i="112"/>
  <c r="EL349" i="112"/>
  <c r="DR512" i="112" l="1"/>
  <c r="E168" i="121" s="1"/>
  <c r="DX512" i="112" l="1"/>
  <c r="FU512" i="112"/>
  <c r="DS408" i="112"/>
  <c r="DR408" i="112"/>
  <c r="DP408" i="112"/>
  <c r="DN408" i="112"/>
  <c r="DL408" i="112" l="1"/>
  <c r="DK408" i="112"/>
  <c r="DY408" i="112"/>
  <c r="EI408" i="112"/>
  <c r="ED408" i="112"/>
  <c r="FU408" i="112"/>
  <c r="EK408" i="112"/>
  <c r="EF408" i="112"/>
  <c r="DX408" i="112"/>
  <c r="DZ408" i="112"/>
  <c r="EE408" i="112" l="1"/>
  <c r="EJ408" i="112"/>
  <c r="DC489" i="112"/>
  <c r="CV490" i="112"/>
  <c r="CV367" i="112" l="1"/>
  <c r="DC367" i="112"/>
  <c r="CV322" i="112"/>
  <c r="DC322" i="112"/>
  <c r="CV472" i="112"/>
  <c r="DC472" i="112"/>
  <c r="CV423" i="112"/>
  <c r="DC423" i="112"/>
  <c r="EN367" i="112"/>
  <c r="EL367" i="112"/>
  <c r="EM367" i="112"/>
  <c r="EN472" i="112"/>
  <c r="EM472" i="112"/>
  <c r="EL472" i="112"/>
  <c r="AH585" i="114" l="1"/>
  <c r="AH586" i="114"/>
  <c r="AH587" i="114"/>
  <c r="AH588" i="114"/>
  <c r="AH584" i="114"/>
  <c r="AO321" i="114"/>
  <c r="AO322" i="115" s="1"/>
  <c r="AO322" i="114"/>
  <c r="AO323" i="115" s="1"/>
  <c r="AO323" i="114"/>
  <c r="AO324" i="115" s="1"/>
  <c r="AO324" i="114"/>
  <c r="AO325" i="115" s="1"/>
  <c r="AO325" i="114"/>
  <c r="AO326" i="115" s="1"/>
  <c r="AO326" i="114"/>
  <c r="AO327" i="115" s="1"/>
  <c r="AO327" i="114"/>
  <c r="AO328" i="115" s="1"/>
  <c r="AO328" i="114"/>
  <c r="AO329" i="115" s="1"/>
  <c r="AO329" i="114"/>
  <c r="AO330" i="115" s="1"/>
  <c r="AO330" i="114"/>
  <c r="AO331" i="115" s="1"/>
  <c r="AO331" i="114"/>
  <c r="AO332" i="115" s="1"/>
  <c r="AO332" i="114"/>
  <c r="AO333" i="115" s="1"/>
  <c r="AO333" i="114"/>
  <c r="AO334" i="115" s="1"/>
  <c r="AO334" i="114"/>
  <c r="AO335" i="115" s="1"/>
  <c r="AO335" i="114"/>
  <c r="AO336" i="115" s="1"/>
  <c r="AO336" i="114"/>
  <c r="AO337" i="115" s="1"/>
  <c r="AO337" i="114"/>
  <c r="AO338" i="115" s="1"/>
  <c r="AO338" i="114"/>
  <c r="AO339" i="115" s="1"/>
  <c r="AO339" i="114"/>
  <c r="AO340" i="115" s="1"/>
  <c r="AO340" i="114"/>
  <c r="AO341" i="115" s="1"/>
  <c r="AO341" i="114"/>
  <c r="AO342" i="115" s="1"/>
  <c r="AO342" i="114"/>
  <c r="AO343" i="115" s="1"/>
  <c r="AO343" i="114"/>
  <c r="AO344" i="115" s="1"/>
  <c r="AO344" i="114"/>
  <c r="AO345" i="115" s="1"/>
  <c r="AO345" i="114"/>
  <c r="AO346" i="115" s="1"/>
  <c r="AO346" i="114"/>
  <c r="AO347" i="115" s="1"/>
  <c r="AO347" i="114"/>
  <c r="AO348" i="115" s="1"/>
  <c r="AO348" i="114"/>
  <c r="AO349" i="115" s="1"/>
  <c r="AO349" i="114"/>
  <c r="AO350" i="115" s="1"/>
  <c r="AO350" i="114"/>
  <c r="AO351" i="115" s="1"/>
  <c r="AO351" i="114"/>
  <c r="AO352" i="115" s="1"/>
  <c r="AO352" i="114"/>
  <c r="AO353" i="115" s="1"/>
  <c r="AO353" i="114"/>
  <c r="AO354" i="115" s="1"/>
  <c r="AO354" i="114"/>
  <c r="AO355" i="115" s="1"/>
  <c r="AO355" i="114"/>
  <c r="AO356" i="115" s="1"/>
  <c r="AO356" i="114"/>
  <c r="AO357" i="115" s="1"/>
  <c r="AO357" i="114"/>
  <c r="AO358" i="115" s="1"/>
  <c r="AO358" i="114"/>
  <c r="AO359" i="115" s="1"/>
  <c r="AO359" i="114"/>
  <c r="AO360" i="115" s="1"/>
  <c r="AO360" i="114"/>
  <c r="AO361" i="115" s="1"/>
  <c r="AO361" i="114"/>
  <c r="AO362" i="115" s="1"/>
  <c r="AO362" i="114"/>
  <c r="AO363" i="115" s="1"/>
  <c r="AO363" i="114"/>
  <c r="AO364" i="115" s="1"/>
  <c r="AO364" i="114"/>
  <c r="AO365" i="115" s="1"/>
  <c r="AO365" i="114"/>
  <c r="AO366" i="115" s="1"/>
  <c r="AO366" i="114"/>
  <c r="AO367" i="115" s="1"/>
  <c r="AO367" i="114"/>
  <c r="AO368" i="115" s="1"/>
  <c r="AO368" i="114"/>
  <c r="AO369" i="115" s="1"/>
  <c r="AO369" i="114"/>
  <c r="AO370" i="115" s="1"/>
  <c r="AO370" i="114"/>
  <c r="AO371" i="115" s="1"/>
  <c r="AO371" i="114"/>
  <c r="AO372" i="115" s="1"/>
  <c r="AO372" i="114"/>
  <c r="AO373" i="115" s="1"/>
  <c r="AO373" i="114"/>
  <c r="AO374" i="115" s="1"/>
  <c r="AO374" i="114"/>
  <c r="AO375" i="115" s="1"/>
  <c r="AO375" i="114"/>
  <c r="AO376" i="115" s="1"/>
  <c r="AO376" i="114"/>
  <c r="AO377" i="115" s="1"/>
  <c r="AO377" i="114"/>
  <c r="AO378" i="115" s="1"/>
  <c r="AO378" i="114"/>
  <c r="AO379" i="115" s="1"/>
  <c r="AJ321" i="114"/>
  <c r="AJ322" i="115" s="1"/>
  <c r="AJ322" i="114"/>
  <c r="AJ323" i="115" s="1"/>
  <c r="AJ323" i="114"/>
  <c r="AJ324" i="115" s="1"/>
  <c r="AJ324" i="114"/>
  <c r="AJ325" i="115" s="1"/>
  <c r="AJ325" i="114"/>
  <c r="AJ326" i="115" s="1"/>
  <c r="AJ326" i="114"/>
  <c r="AJ327" i="115" s="1"/>
  <c r="AJ327" i="114"/>
  <c r="AJ328" i="115" s="1"/>
  <c r="AJ328" i="114"/>
  <c r="AJ329" i="115" s="1"/>
  <c r="AJ329" i="114"/>
  <c r="AJ330" i="115" s="1"/>
  <c r="AJ330" i="114"/>
  <c r="AJ331" i="115" s="1"/>
  <c r="AJ331" i="114"/>
  <c r="AJ332" i="115" s="1"/>
  <c r="AJ332" i="114"/>
  <c r="AJ333" i="115" s="1"/>
  <c r="AJ333" i="114"/>
  <c r="AJ334" i="115" s="1"/>
  <c r="AJ334" i="114"/>
  <c r="AJ335" i="115" s="1"/>
  <c r="AJ335" i="114"/>
  <c r="AJ336" i="115" s="1"/>
  <c r="AJ336" i="114"/>
  <c r="AJ337" i="115" s="1"/>
  <c r="AJ337" i="114"/>
  <c r="AJ338" i="115" s="1"/>
  <c r="AJ338" i="114"/>
  <c r="AJ339" i="115" s="1"/>
  <c r="AJ339" i="114"/>
  <c r="AJ340" i="115" s="1"/>
  <c r="AJ340" i="114"/>
  <c r="AJ341" i="115" s="1"/>
  <c r="AJ341" i="114"/>
  <c r="AJ342" i="115" s="1"/>
  <c r="AJ342" i="114"/>
  <c r="AJ343" i="115" s="1"/>
  <c r="AJ343" i="114"/>
  <c r="AJ344" i="115" s="1"/>
  <c r="AJ344" i="114"/>
  <c r="AJ345" i="115" s="1"/>
  <c r="AJ345" i="114"/>
  <c r="AJ346" i="115" s="1"/>
  <c r="AJ346" i="114"/>
  <c r="AJ347" i="115" s="1"/>
  <c r="AJ347" i="114"/>
  <c r="AJ348" i="115" s="1"/>
  <c r="AJ348" i="114"/>
  <c r="AJ349" i="115" s="1"/>
  <c r="AJ349" i="114"/>
  <c r="AJ350" i="115" s="1"/>
  <c r="AJ350" i="114"/>
  <c r="AJ351" i="115" s="1"/>
  <c r="AJ351" i="114"/>
  <c r="AJ352" i="115" s="1"/>
  <c r="AJ352" i="114"/>
  <c r="AJ353" i="115" s="1"/>
  <c r="AJ353" i="114"/>
  <c r="AJ354" i="115" s="1"/>
  <c r="AJ354" i="114"/>
  <c r="AJ355" i="115" s="1"/>
  <c r="AJ355" i="114"/>
  <c r="AJ356" i="115" s="1"/>
  <c r="AJ356" i="114"/>
  <c r="AJ357" i="115" s="1"/>
  <c r="AJ357" i="114"/>
  <c r="AJ358" i="115" s="1"/>
  <c r="AJ358" i="114"/>
  <c r="AJ359" i="115" s="1"/>
  <c r="AJ359" i="114"/>
  <c r="AJ360" i="115" s="1"/>
  <c r="AJ360" i="114"/>
  <c r="AJ361" i="115" s="1"/>
  <c r="AJ361" i="114"/>
  <c r="AJ362" i="115" s="1"/>
  <c r="AJ362" i="114"/>
  <c r="AJ363" i="115" s="1"/>
  <c r="AJ363" i="114"/>
  <c r="AJ364" i="115" s="1"/>
  <c r="AJ364" i="114"/>
  <c r="AJ365" i="115" s="1"/>
  <c r="AJ365" i="114"/>
  <c r="AJ366" i="115" s="1"/>
  <c r="AJ366" i="114"/>
  <c r="AJ367" i="115" s="1"/>
  <c r="AJ367" i="114"/>
  <c r="AJ368" i="115" s="1"/>
  <c r="AJ368" i="114"/>
  <c r="AJ369" i="115" s="1"/>
  <c r="AJ369" i="114"/>
  <c r="AJ370" i="115" s="1"/>
  <c r="AJ370" i="114"/>
  <c r="AJ371" i="115" s="1"/>
  <c r="AJ371" i="114"/>
  <c r="AJ372" i="115" s="1"/>
  <c r="AJ372" i="114"/>
  <c r="AJ373" i="115" s="1"/>
  <c r="AJ373" i="114"/>
  <c r="AJ374" i="115" s="1"/>
  <c r="AJ374" i="114"/>
  <c r="AJ375" i="115" s="1"/>
  <c r="AJ375" i="114"/>
  <c r="AJ376" i="115" s="1"/>
  <c r="AJ376" i="114"/>
  <c r="AJ377" i="115" s="1"/>
  <c r="AJ377" i="114"/>
  <c r="AJ378" i="115" s="1"/>
  <c r="AJ378" i="114"/>
  <c r="AJ379" i="115" s="1"/>
  <c r="AE321" i="114"/>
  <c r="AE322" i="115" s="1"/>
  <c r="AE322" i="114"/>
  <c r="AE323" i="115" s="1"/>
  <c r="AE323" i="114"/>
  <c r="AE324" i="115" s="1"/>
  <c r="AE324" i="114"/>
  <c r="AE325" i="115" s="1"/>
  <c r="AE325" i="114"/>
  <c r="AE326" i="115" s="1"/>
  <c r="AE326" i="114"/>
  <c r="AE327" i="115" s="1"/>
  <c r="AE327" i="114"/>
  <c r="AE328" i="115" s="1"/>
  <c r="AE328" i="114"/>
  <c r="AE329" i="115" s="1"/>
  <c r="AE329" i="114"/>
  <c r="AE330" i="115" s="1"/>
  <c r="AE330" i="114"/>
  <c r="AE331" i="115" s="1"/>
  <c r="AE331" i="114"/>
  <c r="AE332" i="115" s="1"/>
  <c r="AE332" i="114"/>
  <c r="AE333" i="115" s="1"/>
  <c r="AE333" i="114"/>
  <c r="AE334" i="115" s="1"/>
  <c r="AE334" i="114"/>
  <c r="AE335" i="115" s="1"/>
  <c r="AE335" i="114"/>
  <c r="AE336" i="115" s="1"/>
  <c r="AE336" i="114"/>
  <c r="AE337" i="115" s="1"/>
  <c r="AE337" i="114"/>
  <c r="AE338" i="115" s="1"/>
  <c r="AE338" i="114"/>
  <c r="AE339" i="115" s="1"/>
  <c r="AE339" i="114"/>
  <c r="AE340" i="115" s="1"/>
  <c r="AE340" i="114"/>
  <c r="AE341" i="115" s="1"/>
  <c r="AE341" i="114"/>
  <c r="AE342" i="115" s="1"/>
  <c r="AE342" i="114"/>
  <c r="AE343" i="115" s="1"/>
  <c r="AE343" i="114"/>
  <c r="AE344" i="115" s="1"/>
  <c r="AE344" i="114"/>
  <c r="AE345" i="115" s="1"/>
  <c r="AE345" i="114"/>
  <c r="AE346" i="115" s="1"/>
  <c r="AE346" i="114"/>
  <c r="AE347" i="115" s="1"/>
  <c r="AE347" i="114"/>
  <c r="AE348" i="115" s="1"/>
  <c r="AE348" i="114"/>
  <c r="AE349" i="115" s="1"/>
  <c r="AE349" i="114"/>
  <c r="AE350" i="115" s="1"/>
  <c r="AE350" i="114"/>
  <c r="AE351" i="115" s="1"/>
  <c r="AE351" i="114"/>
  <c r="AE352" i="115" s="1"/>
  <c r="AE352" i="114"/>
  <c r="AE353" i="115" s="1"/>
  <c r="AE353" i="114"/>
  <c r="AE354" i="115" s="1"/>
  <c r="AE354" i="114"/>
  <c r="AE355" i="115" s="1"/>
  <c r="AE355" i="114"/>
  <c r="AE356" i="115" s="1"/>
  <c r="AE356" i="114"/>
  <c r="AE357" i="115" s="1"/>
  <c r="AE357" i="114"/>
  <c r="AE358" i="115" s="1"/>
  <c r="AE358" i="114"/>
  <c r="AE359" i="115" s="1"/>
  <c r="AE359" i="114"/>
  <c r="AE360" i="115" s="1"/>
  <c r="AE360" i="114"/>
  <c r="AE361" i="115" s="1"/>
  <c r="AE361" i="114"/>
  <c r="AE362" i="115" s="1"/>
  <c r="AE362" i="114"/>
  <c r="AE363" i="115" s="1"/>
  <c r="AE363" i="114"/>
  <c r="AE364" i="115" s="1"/>
  <c r="AE364" i="114"/>
  <c r="AE365" i="115" s="1"/>
  <c r="AE365" i="114"/>
  <c r="AE366" i="115" s="1"/>
  <c r="AE366" i="114"/>
  <c r="AE367" i="115" s="1"/>
  <c r="AE367" i="114"/>
  <c r="AE368" i="115" s="1"/>
  <c r="AE368" i="114"/>
  <c r="AE369" i="115" s="1"/>
  <c r="AE369" i="114"/>
  <c r="AE370" i="115" s="1"/>
  <c r="AE370" i="114"/>
  <c r="AE371" i="115" s="1"/>
  <c r="AE371" i="114"/>
  <c r="AE372" i="115" s="1"/>
  <c r="AE372" i="114"/>
  <c r="AE373" i="115" s="1"/>
  <c r="AE373" i="114"/>
  <c r="AE374" i="115" s="1"/>
  <c r="AE374" i="114"/>
  <c r="AE375" i="115" s="1"/>
  <c r="AE375" i="114"/>
  <c r="AE376" i="115" s="1"/>
  <c r="AE376" i="114"/>
  <c r="AE377" i="115" s="1"/>
  <c r="AE377" i="114"/>
  <c r="AE378" i="115" s="1"/>
  <c r="AE378" i="114"/>
  <c r="AE379" i="115" s="1"/>
  <c r="AO320" i="114"/>
  <c r="AO321" i="115" s="1"/>
  <c r="AJ320" i="114"/>
  <c r="AJ321" i="115" s="1"/>
  <c r="AE320" i="114"/>
  <c r="AE321" i="115" s="1"/>
  <c r="Z321" i="114"/>
  <c r="Z322" i="115" s="1"/>
  <c r="Z322" i="114"/>
  <c r="Z323" i="115" s="1"/>
  <c r="Z323" i="114"/>
  <c r="Z324" i="115" s="1"/>
  <c r="Z324" i="114"/>
  <c r="Z325" i="115" s="1"/>
  <c r="Z325" i="114"/>
  <c r="Z326" i="115" s="1"/>
  <c r="Z326" i="114"/>
  <c r="Z327" i="115" s="1"/>
  <c r="Z327" i="114"/>
  <c r="Z328" i="115" s="1"/>
  <c r="Z328" i="114"/>
  <c r="Z329" i="115" s="1"/>
  <c r="Z329" i="114"/>
  <c r="Z330" i="115" s="1"/>
  <c r="Z330" i="114"/>
  <c r="Z331" i="115" s="1"/>
  <c r="Z331" i="114"/>
  <c r="Z332" i="115" s="1"/>
  <c r="Z332" i="114"/>
  <c r="Z333" i="115" s="1"/>
  <c r="Z333" i="114"/>
  <c r="Z334" i="115" s="1"/>
  <c r="Z334" i="114"/>
  <c r="Z335" i="115" s="1"/>
  <c r="Z335" i="114"/>
  <c r="Z336" i="115" s="1"/>
  <c r="Z336" i="114"/>
  <c r="Z337" i="115" s="1"/>
  <c r="Z337" i="114"/>
  <c r="Z338" i="115" s="1"/>
  <c r="Z338" i="114"/>
  <c r="Z339" i="115" s="1"/>
  <c r="Z339" i="114"/>
  <c r="Z340" i="115" s="1"/>
  <c r="Z340" i="114"/>
  <c r="Z341" i="115" s="1"/>
  <c r="Z341" i="114"/>
  <c r="Z342" i="115" s="1"/>
  <c r="Z342" i="114"/>
  <c r="Z343" i="115" s="1"/>
  <c r="Z343" i="114"/>
  <c r="Z344" i="115" s="1"/>
  <c r="Z344" i="114"/>
  <c r="Z345" i="115" s="1"/>
  <c r="Z345" i="114"/>
  <c r="Z346" i="115" s="1"/>
  <c r="Z346" i="114"/>
  <c r="Z347" i="115" s="1"/>
  <c r="Z347" i="114"/>
  <c r="Z348" i="115" s="1"/>
  <c r="Z348" i="114"/>
  <c r="Z349" i="115" s="1"/>
  <c r="Z349" i="114"/>
  <c r="Z350" i="115" s="1"/>
  <c r="Z350" i="114"/>
  <c r="Z351" i="115" s="1"/>
  <c r="Z351" i="114"/>
  <c r="Z352" i="115" s="1"/>
  <c r="Z352" i="114"/>
  <c r="Z353" i="115" s="1"/>
  <c r="Z353" i="114"/>
  <c r="Z354" i="115" s="1"/>
  <c r="Z354" i="114"/>
  <c r="Z355" i="115" s="1"/>
  <c r="Z355" i="114"/>
  <c r="Z356" i="115" s="1"/>
  <c r="Z356" i="114"/>
  <c r="Z357" i="115" s="1"/>
  <c r="Z357" i="114"/>
  <c r="Z358" i="115" s="1"/>
  <c r="Z358" i="114"/>
  <c r="Z359" i="115" s="1"/>
  <c r="Z359" i="114"/>
  <c r="Z360" i="115" s="1"/>
  <c r="Z360" i="114"/>
  <c r="Z361" i="115" s="1"/>
  <c r="Z361" i="114"/>
  <c r="Z362" i="115" s="1"/>
  <c r="Z362" i="114"/>
  <c r="Z363" i="115" s="1"/>
  <c r="Z363" i="114"/>
  <c r="Z364" i="115" s="1"/>
  <c r="Z364" i="114"/>
  <c r="Z365" i="115" s="1"/>
  <c r="Z365" i="114"/>
  <c r="Z366" i="115" s="1"/>
  <c r="Z366" i="114"/>
  <c r="Z367" i="115" s="1"/>
  <c r="Z367" i="114"/>
  <c r="Z368" i="115" s="1"/>
  <c r="Z368" i="114"/>
  <c r="Z369" i="115" s="1"/>
  <c r="Z369" i="114"/>
  <c r="Z370" i="115" s="1"/>
  <c r="Z370" i="114"/>
  <c r="Z371" i="115" s="1"/>
  <c r="Z371" i="114"/>
  <c r="Z372" i="115" s="1"/>
  <c r="Z372" i="114"/>
  <c r="Z373" i="115" s="1"/>
  <c r="Z373" i="114"/>
  <c r="Z374" i="115" s="1"/>
  <c r="Z374" i="114"/>
  <c r="Z375" i="115" s="1"/>
  <c r="Z375" i="114"/>
  <c r="Z376" i="115" s="1"/>
  <c r="Z376" i="114"/>
  <c r="Z377" i="115" s="1"/>
  <c r="Z377" i="114"/>
  <c r="Z378" i="115" s="1"/>
  <c r="Z378" i="114"/>
  <c r="Z379" i="115" s="1"/>
  <c r="U321" i="114"/>
  <c r="U322" i="115" s="1"/>
  <c r="U322" i="114"/>
  <c r="U323" i="115" s="1"/>
  <c r="U323" i="114"/>
  <c r="U324" i="115" s="1"/>
  <c r="U324" i="114"/>
  <c r="U325" i="115" s="1"/>
  <c r="U325" i="114"/>
  <c r="U326" i="115" s="1"/>
  <c r="U326" i="114"/>
  <c r="U327" i="115" s="1"/>
  <c r="U327" i="114"/>
  <c r="U328" i="115" s="1"/>
  <c r="U328" i="114"/>
  <c r="U329" i="115" s="1"/>
  <c r="U329" i="114"/>
  <c r="U330" i="115" s="1"/>
  <c r="U330" i="114"/>
  <c r="U331" i="115" s="1"/>
  <c r="U331" i="114"/>
  <c r="U332" i="115" s="1"/>
  <c r="U332" i="114"/>
  <c r="U333" i="115" s="1"/>
  <c r="U333" i="114"/>
  <c r="U334" i="115" s="1"/>
  <c r="U334" i="114"/>
  <c r="U335" i="115" s="1"/>
  <c r="U335" i="114"/>
  <c r="U336" i="115" s="1"/>
  <c r="U336" i="114"/>
  <c r="U337" i="115" s="1"/>
  <c r="U337" i="114"/>
  <c r="U338" i="115" s="1"/>
  <c r="U338" i="114"/>
  <c r="U339" i="115" s="1"/>
  <c r="U339" i="114"/>
  <c r="U340" i="115" s="1"/>
  <c r="U340" i="114"/>
  <c r="U341" i="115" s="1"/>
  <c r="U341" i="114"/>
  <c r="U342" i="115" s="1"/>
  <c r="U342" i="114"/>
  <c r="U343" i="115" s="1"/>
  <c r="U343" i="114"/>
  <c r="U344" i="115" s="1"/>
  <c r="U344" i="114"/>
  <c r="U345" i="115" s="1"/>
  <c r="U345" i="114"/>
  <c r="U346" i="115" s="1"/>
  <c r="U346" i="114"/>
  <c r="U347" i="115" s="1"/>
  <c r="U347" i="114"/>
  <c r="U348" i="115" s="1"/>
  <c r="U348" i="114"/>
  <c r="U349" i="115" s="1"/>
  <c r="U349" i="114"/>
  <c r="U350" i="115" s="1"/>
  <c r="U350" i="114"/>
  <c r="U351" i="115" s="1"/>
  <c r="U351" i="114"/>
  <c r="U352" i="115" s="1"/>
  <c r="U352" i="114"/>
  <c r="U353" i="115" s="1"/>
  <c r="U353" i="114"/>
  <c r="U354" i="115" s="1"/>
  <c r="U354" i="114"/>
  <c r="U355" i="115" s="1"/>
  <c r="U355" i="114"/>
  <c r="U356" i="115" s="1"/>
  <c r="U356" i="114"/>
  <c r="U357" i="115" s="1"/>
  <c r="U357" i="114"/>
  <c r="U358" i="115" s="1"/>
  <c r="U358" i="114"/>
  <c r="U359" i="115" s="1"/>
  <c r="U359" i="114"/>
  <c r="U360" i="115" s="1"/>
  <c r="U360" i="114"/>
  <c r="U361" i="115" s="1"/>
  <c r="U361" i="114"/>
  <c r="U362" i="115" s="1"/>
  <c r="U362" i="114"/>
  <c r="U363" i="115" s="1"/>
  <c r="U363" i="114"/>
  <c r="U364" i="115" s="1"/>
  <c r="U364" i="114"/>
  <c r="U365" i="115" s="1"/>
  <c r="U365" i="114"/>
  <c r="U366" i="115" s="1"/>
  <c r="U366" i="114"/>
  <c r="U367" i="115" s="1"/>
  <c r="U367" i="114"/>
  <c r="U368" i="115" s="1"/>
  <c r="U368" i="114"/>
  <c r="U369" i="115" s="1"/>
  <c r="U369" i="114"/>
  <c r="U370" i="115" s="1"/>
  <c r="U370" i="114"/>
  <c r="U371" i="115" s="1"/>
  <c r="U371" i="114"/>
  <c r="U372" i="115" s="1"/>
  <c r="U372" i="114"/>
  <c r="U373" i="115" s="1"/>
  <c r="U373" i="114"/>
  <c r="U374" i="115" s="1"/>
  <c r="U374" i="114"/>
  <c r="U375" i="115" s="1"/>
  <c r="U375" i="114"/>
  <c r="U376" i="115" s="1"/>
  <c r="U376" i="114"/>
  <c r="U377" i="115" s="1"/>
  <c r="U377" i="114"/>
  <c r="U378" i="115" s="1"/>
  <c r="U378" i="114"/>
  <c r="U379" i="115" s="1"/>
  <c r="Z320" i="114"/>
  <c r="Z321" i="115" s="1"/>
  <c r="U320" i="114"/>
  <c r="U321" i="115" s="1"/>
  <c r="P321" i="114"/>
  <c r="P322" i="115" s="1"/>
  <c r="P322" i="114"/>
  <c r="P323" i="115" s="1"/>
  <c r="P323" i="114"/>
  <c r="P324" i="115" s="1"/>
  <c r="P324" i="114"/>
  <c r="P325" i="115" s="1"/>
  <c r="P325" i="114"/>
  <c r="P326" i="115" s="1"/>
  <c r="P326" i="114"/>
  <c r="P327" i="115" s="1"/>
  <c r="P327" i="114"/>
  <c r="P328" i="115" s="1"/>
  <c r="P328" i="114"/>
  <c r="P329" i="115" s="1"/>
  <c r="P329" i="114"/>
  <c r="P330" i="115" s="1"/>
  <c r="P330" i="114"/>
  <c r="P331" i="115" s="1"/>
  <c r="P331" i="114"/>
  <c r="P332" i="115" s="1"/>
  <c r="P332" i="114"/>
  <c r="P333" i="115" s="1"/>
  <c r="P333" i="114"/>
  <c r="P334" i="115" s="1"/>
  <c r="P334" i="114"/>
  <c r="P335" i="115" s="1"/>
  <c r="P335" i="114"/>
  <c r="P336" i="115" s="1"/>
  <c r="P336" i="114"/>
  <c r="P337" i="115" s="1"/>
  <c r="P337" i="114"/>
  <c r="P338" i="115" s="1"/>
  <c r="P338" i="114"/>
  <c r="P339" i="115" s="1"/>
  <c r="P339" i="114"/>
  <c r="P340" i="115" s="1"/>
  <c r="P340" i="114"/>
  <c r="P341" i="115" s="1"/>
  <c r="P341" i="114"/>
  <c r="P342" i="115" s="1"/>
  <c r="P342" i="114"/>
  <c r="P343" i="115" s="1"/>
  <c r="P343" i="114"/>
  <c r="P344" i="115" s="1"/>
  <c r="P344" i="114"/>
  <c r="P345" i="115" s="1"/>
  <c r="P345" i="114"/>
  <c r="P346" i="115" s="1"/>
  <c r="P346" i="114"/>
  <c r="P347" i="115" s="1"/>
  <c r="P347" i="114"/>
  <c r="P348" i="115" s="1"/>
  <c r="P348" i="114"/>
  <c r="P349" i="115" s="1"/>
  <c r="P349" i="114"/>
  <c r="P350" i="115" s="1"/>
  <c r="P350" i="114"/>
  <c r="P351" i="115" s="1"/>
  <c r="P351" i="114"/>
  <c r="P352" i="115" s="1"/>
  <c r="P352" i="114"/>
  <c r="P353" i="115" s="1"/>
  <c r="P353" i="114"/>
  <c r="P354" i="115" s="1"/>
  <c r="P354" i="114"/>
  <c r="P355" i="115" s="1"/>
  <c r="P355" i="114"/>
  <c r="P356" i="115" s="1"/>
  <c r="P356" i="114"/>
  <c r="P357" i="115" s="1"/>
  <c r="P357" i="114"/>
  <c r="P358" i="115" s="1"/>
  <c r="P358" i="114"/>
  <c r="P359" i="115" s="1"/>
  <c r="P359" i="114"/>
  <c r="P360" i="115" s="1"/>
  <c r="P360" i="114"/>
  <c r="P361" i="115" s="1"/>
  <c r="P361" i="114"/>
  <c r="P362" i="115" s="1"/>
  <c r="P362" i="114"/>
  <c r="P363" i="115" s="1"/>
  <c r="P363" i="114"/>
  <c r="P364" i="115" s="1"/>
  <c r="P364" i="114"/>
  <c r="P365" i="115" s="1"/>
  <c r="P365" i="114"/>
  <c r="P366" i="115" s="1"/>
  <c r="P366" i="114"/>
  <c r="P367" i="115" s="1"/>
  <c r="P367" i="114"/>
  <c r="P368" i="115" s="1"/>
  <c r="P368" i="114"/>
  <c r="P369" i="115" s="1"/>
  <c r="P369" i="114"/>
  <c r="P370" i="115" s="1"/>
  <c r="P370" i="114"/>
  <c r="P371" i="115" s="1"/>
  <c r="P371" i="114"/>
  <c r="P372" i="115" s="1"/>
  <c r="P372" i="114"/>
  <c r="P373" i="115" s="1"/>
  <c r="P373" i="114"/>
  <c r="P374" i="115" s="1"/>
  <c r="P374" i="114"/>
  <c r="P375" i="115" s="1"/>
  <c r="P375" i="114"/>
  <c r="P376" i="115" s="1"/>
  <c r="P376" i="114"/>
  <c r="P377" i="115" s="1"/>
  <c r="P377" i="114"/>
  <c r="P378" i="115" s="1"/>
  <c r="P378" i="114"/>
  <c r="P379" i="115" s="1"/>
  <c r="P320" i="114"/>
  <c r="P321" i="115" s="1"/>
  <c r="K321" i="114"/>
  <c r="K322" i="115" s="1"/>
  <c r="K322" i="114"/>
  <c r="K323" i="115" s="1"/>
  <c r="K323" i="114"/>
  <c r="K324" i="115" s="1"/>
  <c r="K324" i="114"/>
  <c r="K325" i="115" s="1"/>
  <c r="K325" i="114"/>
  <c r="K326" i="115" s="1"/>
  <c r="K326" i="114"/>
  <c r="K327" i="115" s="1"/>
  <c r="K327" i="114"/>
  <c r="K328" i="115" s="1"/>
  <c r="K328" i="114"/>
  <c r="K329" i="115" s="1"/>
  <c r="K329" i="114"/>
  <c r="K330" i="115" s="1"/>
  <c r="K330" i="114"/>
  <c r="K331" i="115" s="1"/>
  <c r="K331" i="114"/>
  <c r="K332" i="115" s="1"/>
  <c r="K332" i="114"/>
  <c r="K333" i="115" s="1"/>
  <c r="K333" i="114"/>
  <c r="K334" i="115" s="1"/>
  <c r="K334" i="114"/>
  <c r="K335" i="115" s="1"/>
  <c r="K335" i="114"/>
  <c r="K336" i="115" s="1"/>
  <c r="K336" i="114"/>
  <c r="K337" i="115" s="1"/>
  <c r="K337" i="114"/>
  <c r="K338" i="115" s="1"/>
  <c r="K338" i="114"/>
  <c r="K339" i="115" s="1"/>
  <c r="K339" i="114"/>
  <c r="K340" i="115" s="1"/>
  <c r="K340" i="114"/>
  <c r="K341" i="115" s="1"/>
  <c r="K341" i="114"/>
  <c r="K342" i="115" s="1"/>
  <c r="K342" i="114"/>
  <c r="K343" i="115" s="1"/>
  <c r="K343" i="114"/>
  <c r="K344" i="115" s="1"/>
  <c r="K344" i="114"/>
  <c r="K345" i="115" s="1"/>
  <c r="K345" i="114"/>
  <c r="K346" i="115" s="1"/>
  <c r="K346" i="114"/>
  <c r="K347" i="115" s="1"/>
  <c r="K347" i="114"/>
  <c r="K348" i="115" s="1"/>
  <c r="K348" i="114"/>
  <c r="K349" i="115" s="1"/>
  <c r="K349" i="114"/>
  <c r="K350" i="115" s="1"/>
  <c r="K350" i="114"/>
  <c r="K351" i="115" s="1"/>
  <c r="K351" i="114"/>
  <c r="K352" i="115" s="1"/>
  <c r="K352" i="114"/>
  <c r="K353" i="115" s="1"/>
  <c r="K353" i="114"/>
  <c r="K354" i="115" s="1"/>
  <c r="K354" i="114"/>
  <c r="K355" i="115" s="1"/>
  <c r="K355" i="114"/>
  <c r="K356" i="115" s="1"/>
  <c r="K356" i="114"/>
  <c r="K357" i="115" s="1"/>
  <c r="K357" i="114"/>
  <c r="K358" i="115" s="1"/>
  <c r="K358" i="114"/>
  <c r="K359" i="115" s="1"/>
  <c r="K359" i="114"/>
  <c r="K360" i="115" s="1"/>
  <c r="K360" i="114"/>
  <c r="K361" i="115" s="1"/>
  <c r="K361" i="114"/>
  <c r="K362" i="115" s="1"/>
  <c r="K362" i="114"/>
  <c r="K363" i="115" s="1"/>
  <c r="K363" i="114"/>
  <c r="K364" i="115" s="1"/>
  <c r="K364" i="114"/>
  <c r="K365" i="115" s="1"/>
  <c r="K365" i="114"/>
  <c r="K366" i="115" s="1"/>
  <c r="K366" i="114"/>
  <c r="K367" i="115" s="1"/>
  <c r="K367" i="114"/>
  <c r="K368" i="115" s="1"/>
  <c r="K368" i="114"/>
  <c r="K369" i="115" s="1"/>
  <c r="K369" i="114"/>
  <c r="K370" i="115" s="1"/>
  <c r="K370" i="114"/>
  <c r="K371" i="115" s="1"/>
  <c r="K371" i="114"/>
  <c r="K372" i="115" s="1"/>
  <c r="K372" i="114"/>
  <c r="K373" i="115" s="1"/>
  <c r="K373" i="114"/>
  <c r="K374" i="115" s="1"/>
  <c r="K374" i="114"/>
  <c r="K375" i="115" s="1"/>
  <c r="K375" i="114"/>
  <c r="K376" i="115" s="1"/>
  <c r="K376" i="114"/>
  <c r="K377" i="115" s="1"/>
  <c r="K377" i="114"/>
  <c r="K378" i="115" s="1"/>
  <c r="K378" i="114"/>
  <c r="K379" i="115" s="1"/>
  <c r="K320" i="114"/>
  <c r="K321" i="115" s="1"/>
  <c r="DT250" i="112" l="1" a="1"/>
  <c r="DT250" i="112" s="1"/>
  <c r="DP248" i="112" s="1"/>
  <c r="DV250" i="112" a="1"/>
  <c r="DV250" i="112" s="1"/>
  <c r="DS337" i="112"/>
  <c r="DP337" i="112"/>
  <c r="DN337" i="112"/>
  <c r="DY171" i="112"/>
  <c r="DL337" i="112" l="1"/>
  <c r="DK337" i="112"/>
  <c r="Z456" i="114"/>
  <c r="FU337" i="112"/>
  <c r="ED337" i="112"/>
  <c r="EI337" i="112"/>
  <c r="DY337" i="112"/>
  <c r="EF337" i="112"/>
  <c r="EK337" i="112"/>
  <c r="AC456" i="114"/>
  <c r="DZ337" i="112"/>
  <c r="DX337" i="112"/>
  <c r="X456" i="114" l="1"/>
  <c r="EE337" i="112"/>
  <c r="EJ337" i="112"/>
  <c r="AE241" i="112"/>
  <c r="C468" i="114" l="1"/>
  <c r="DP242" i="112"/>
  <c r="R454" i="114" s="1"/>
  <c r="DS242" i="112"/>
  <c r="R455" i="114" s="1"/>
  <c r="DR242" i="112"/>
  <c r="O455" i="114" s="1"/>
  <c r="DO242" i="112"/>
  <c r="O454" i="114" s="1"/>
  <c r="AC448" i="114"/>
  <c r="Z448" i="114"/>
  <c r="X448" i="114"/>
  <c r="AC447" i="114"/>
  <c r="Z447" i="114"/>
  <c r="X447" i="114"/>
  <c r="DQ235" i="112"/>
  <c r="AM448" i="114" s="1"/>
  <c r="U448" i="114"/>
  <c r="R448" i="114"/>
  <c r="DQ233" i="112"/>
  <c r="AM447" i="114" s="1"/>
  <c r="U447" i="114"/>
  <c r="R447" i="114"/>
  <c r="Y429" i="114"/>
  <c r="V429" i="114"/>
  <c r="AJ429" i="114"/>
  <c r="DO226" i="112"/>
  <c r="Q429" i="114" s="1"/>
  <c r="DO224" i="112"/>
  <c r="DP224" i="112"/>
  <c r="DR224" i="112"/>
  <c r="DR225" i="112" s="1"/>
  <c r="AC426" i="114" s="1"/>
  <c r="AA389" i="114"/>
  <c r="X389" i="114"/>
  <c r="U389" i="114"/>
  <c r="S389" i="114"/>
  <c r="AA388" i="114"/>
  <c r="X388" i="114"/>
  <c r="U388" i="114"/>
  <c r="S388" i="114"/>
  <c r="AA387" i="114"/>
  <c r="X387" i="114"/>
  <c r="U387" i="114"/>
  <c r="S387" i="114"/>
  <c r="AA386" i="114"/>
  <c r="X386" i="114"/>
  <c r="U386" i="114"/>
  <c r="S386" i="114"/>
  <c r="DO217" i="112"/>
  <c r="O389" i="114" s="1"/>
  <c r="AH389" i="114"/>
  <c r="AH388" i="114"/>
  <c r="DO215" i="112"/>
  <c r="O388" i="114" s="1"/>
  <c r="DO213" i="112"/>
  <c r="O387" i="114" s="1"/>
  <c r="AH387" i="114"/>
  <c r="AH386" i="114"/>
  <c r="DO211" i="112"/>
  <c r="O386" i="114" s="1"/>
  <c r="AA385" i="114"/>
  <c r="X385" i="114"/>
  <c r="U385" i="114"/>
  <c r="S385" i="114"/>
  <c r="DT197" i="112"/>
  <c r="AB281" i="114" s="1"/>
  <c r="DS197" i="112"/>
  <c r="Y281" i="114" s="1"/>
  <c r="DR197" i="112"/>
  <c r="V281" i="114" s="1"/>
  <c r="DP197" i="112"/>
  <c r="Y280" i="114" s="1"/>
  <c r="DO197" i="112"/>
  <c r="V280" i="114" s="1"/>
  <c r="AK279" i="114"/>
  <c r="DP175" i="112"/>
  <c r="AA275" i="114" s="1"/>
  <c r="DO175" i="112"/>
  <c r="U275" i="114" s="1"/>
  <c r="DP181" i="112"/>
  <c r="AA279" i="114" s="1"/>
  <c r="DO181" i="112"/>
  <c r="U279" i="114" s="1"/>
  <c r="AH278" i="114"/>
  <c r="AC278" i="114"/>
  <c r="Z278" i="114"/>
  <c r="W278" i="114"/>
  <c r="U278" i="114"/>
  <c r="DS177" i="112"/>
  <c r="S277" i="114" s="1"/>
  <c r="DR177" i="112"/>
  <c r="P277" i="114" s="1"/>
  <c r="DP177" i="112"/>
  <c r="U276" i="114" s="1"/>
  <c r="DO177" i="112"/>
  <c r="R276" i="114" s="1"/>
  <c r="AK275" i="114"/>
  <c r="AH274" i="114"/>
  <c r="AC274" i="114"/>
  <c r="Z274" i="114"/>
  <c r="W274" i="114"/>
  <c r="U274" i="114"/>
  <c r="DU171" i="112"/>
  <c r="DT171" i="112"/>
  <c r="DX171" i="112"/>
  <c r="DW171" i="112"/>
  <c r="DV171" i="112"/>
  <c r="DS171" i="112"/>
  <c r="DR171" i="112"/>
  <c r="DP171" i="112"/>
  <c r="S273" i="114" s="1"/>
  <c r="T429" i="114" l="1"/>
  <c r="Q427" i="114"/>
  <c r="AC427" i="114"/>
  <c r="DP307" i="112" l="1"/>
  <c r="S260" i="114"/>
  <c r="S259" i="114"/>
  <c r="S258" i="114"/>
  <c r="P260" i="114"/>
  <c r="P259" i="114"/>
  <c r="P258" i="114"/>
  <c r="S257" i="114"/>
  <c r="P257" i="114"/>
  <c r="M260" i="114"/>
  <c r="K260" i="114"/>
  <c r="M258" i="114"/>
  <c r="M259" i="114"/>
  <c r="K259" i="114"/>
  <c r="K258" i="114"/>
  <c r="M257" i="114"/>
  <c r="K257" i="114"/>
  <c r="DT141" i="112"/>
  <c r="O251" i="114" s="1"/>
  <c r="DS141" i="112"/>
  <c r="O250" i="114" s="1"/>
  <c r="DR141" i="112"/>
  <c r="AF249" i="114" s="1"/>
  <c r="DQ141" i="112"/>
  <c r="O249" i="114" s="1"/>
  <c r="DP141" i="112"/>
  <c r="AF248" i="114" s="1"/>
  <c r="DO141" i="112"/>
  <c r="O248" i="114" s="1"/>
  <c r="O206" i="114"/>
  <c r="O205" i="114"/>
  <c r="Z204" i="114"/>
  <c r="R204" i="114"/>
  <c r="AF203" i="114"/>
  <c r="DP128" i="112"/>
  <c r="AA202" i="114" s="1"/>
  <c r="DQ128" i="112"/>
  <c r="O203" i="114" s="1"/>
  <c r="DR128" i="112"/>
  <c r="AA203" i="114" s="1"/>
  <c r="DO128" i="112"/>
  <c r="O202" i="114" s="1"/>
  <c r="DP116" i="112"/>
  <c r="V193" i="114" s="1"/>
  <c r="DQ116" i="112"/>
  <c r="DR116" i="112"/>
  <c r="DS116" i="112"/>
  <c r="AI194" i="114" s="1"/>
  <c r="DO116" i="112"/>
  <c r="O193" i="114" s="1"/>
  <c r="T194" i="114" l="1"/>
  <c r="O194" i="114"/>
  <c r="O83" i="114" l="1"/>
  <c r="AQ16" i="114"/>
  <c r="AN16" i="114"/>
  <c r="AK16" i="114"/>
  <c r="O31" i="115" l="1"/>
  <c r="P315" i="114"/>
  <c r="P316" i="115" s="1"/>
  <c r="U315" i="114"/>
  <c r="U316" i="115" s="1"/>
  <c r="Z315" i="114"/>
  <c r="Z316" i="115" s="1"/>
  <c r="AE315" i="114"/>
  <c r="AE316" i="115" s="1"/>
  <c r="AJ315" i="114"/>
  <c r="AJ316" i="115" s="1"/>
  <c r="AO315" i="114"/>
  <c r="AO316" i="115" s="1"/>
  <c r="AO313" i="114"/>
  <c r="AO314" i="115" s="1"/>
  <c r="AJ313" i="114"/>
  <c r="AJ314" i="115" s="1"/>
  <c r="AE313" i="114"/>
  <c r="AE314" i="115" s="1"/>
  <c r="Z313" i="114"/>
  <c r="Z314" i="115" s="1"/>
  <c r="U313" i="114"/>
  <c r="U314" i="115" s="1"/>
  <c r="P313" i="114"/>
  <c r="P314" i="115" s="1"/>
  <c r="E14" i="37"/>
  <c r="E63" i="37"/>
  <c r="E64" i="37"/>
  <c r="E65" i="37"/>
  <c r="E66" i="37"/>
  <c r="E67" i="37"/>
  <c r="E68" i="37"/>
  <c r="E69" i="37"/>
  <c r="E70" i="37"/>
  <c r="E71" i="37"/>
  <c r="E72" i="37"/>
  <c r="F378" i="114" l="1"/>
  <c r="F379" i="115" s="1"/>
  <c r="AE72" i="37"/>
  <c r="F370" i="114"/>
  <c r="F371" i="115" s="1"/>
  <c r="AE64" i="37"/>
  <c r="F377" i="114"/>
  <c r="F378" i="115" s="1"/>
  <c r="AE71" i="37"/>
  <c r="F369" i="114"/>
  <c r="F370" i="115" s="1"/>
  <c r="AE63" i="37"/>
  <c r="F376" i="114"/>
  <c r="F377" i="115" s="1"/>
  <c r="AE70" i="37"/>
  <c r="F320" i="114"/>
  <c r="F321" i="115" s="1"/>
  <c r="AE14" i="37"/>
  <c r="F375" i="114"/>
  <c r="F376" i="115" s="1"/>
  <c r="AE69" i="37"/>
  <c r="F372" i="114"/>
  <c r="F373" i="115" s="1"/>
  <c r="AE66" i="37"/>
  <c r="F374" i="114"/>
  <c r="F375" i="115" s="1"/>
  <c r="AE68" i="37"/>
  <c r="F373" i="114"/>
  <c r="F374" i="115" s="1"/>
  <c r="AE67" i="37"/>
  <c r="F371" i="114"/>
  <c r="F372" i="115" s="1"/>
  <c r="AE65" i="37"/>
  <c r="K319" i="114"/>
  <c r="K320" i="115" s="1"/>
  <c r="AO319" i="114"/>
  <c r="AO320" i="115" s="1"/>
  <c r="AJ319" i="114"/>
  <c r="AJ320" i="115" s="1"/>
  <c r="AE319" i="114"/>
  <c r="AE320" i="115" s="1"/>
  <c r="Z319" i="114"/>
  <c r="Z320" i="115" s="1"/>
  <c r="U319" i="114"/>
  <c r="U320" i="115" s="1"/>
  <c r="P319" i="114"/>
  <c r="P320" i="115" s="1"/>
  <c r="E13" i="37"/>
  <c r="B64" i="130" s="1"/>
  <c r="AE13" i="37" l="1"/>
  <c r="B115" i="127"/>
  <c r="F319" i="114"/>
  <c r="F320" i="115" s="1"/>
  <c r="E1859" i="123"/>
  <c r="O207" i="114"/>
  <c r="DR515" i="112" l="1"/>
  <c r="DR516" i="112"/>
  <c r="DR517" i="112"/>
  <c r="DR518" i="112"/>
  <c r="DR519" i="112"/>
  <c r="DR520" i="112"/>
  <c r="DR513" i="112"/>
  <c r="DX516" i="112" l="1"/>
  <c r="FU516" i="112"/>
  <c r="DX513" i="112"/>
  <c r="FU513" i="112"/>
  <c r="DX520" i="112"/>
  <c r="FU520" i="112"/>
  <c r="DX519" i="112"/>
  <c r="FU519" i="112"/>
  <c r="DX518" i="112"/>
  <c r="FU518" i="112"/>
  <c r="DX517" i="112"/>
  <c r="FU517" i="112"/>
  <c r="DX515" i="112"/>
  <c r="FU515" i="112"/>
  <c r="DS497" i="112"/>
  <c r="DK497" i="112" l="1"/>
  <c r="DL497" i="112"/>
  <c r="FU527" i="112"/>
  <c r="FU509" i="112" s="1"/>
  <c r="FT509" i="112" s="1"/>
  <c r="AH216" i="112"/>
  <c r="AH214" i="112"/>
  <c r="AH212" i="112"/>
  <c r="DZ308" i="112" l="1"/>
  <c r="DN375" i="112"/>
  <c r="DP375" i="112"/>
  <c r="DR375" i="112"/>
  <c r="DS375" i="112"/>
  <c r="DN376" i="112"/>
  <c r="DP376" i="112"/>
  <c r="DS376" i="112"/>
  <c r="DN377" i="112"/>
  <c r="DP377" i="112"/>
  <c r="DS377" i="112"/>
  <c r="DN378" i="112"/>
  <c r="DP378" i="112"/>
  <c r="DS378" i="112"/>
  <c r="DN379" i="112"/>
  <c r="DP379" i="112"/>
  <c r="DS379" i="112"/>
  <c r="DN381" i="112"/>
  <c r="DP381" i="112"/>
  <c r="DS381" i="112"/>
  <c r="DN382" i="112"/>
  <c r="DP382" i="112"/>
  <c r="DS382" i="112"/>
  <c r="DN383" i="112"/>
  <c r="DP383" i="112"/>
  <c r="DS383" i="112"/>
  <c r="DN384" i="112"/>
  <c r="DP384" i="112"/>
  <c r="DR384" i="112"/>
  <c r="DS384" i="112"/>
  <c r="DN385" i="112"/>
  <c r="DP385" i="112"/>
  <c r="DR385" i="112"/>
  <c r="DS385" i="112"/>
  <c r="DN386" i="112"/>
  <c r="DP386" i="112"/>
  <c r="DR386" i="112"/>
  <c r="DS386" i="112"/>
  <c r="DN387" i="112"/>
  <c r="DP387" i="112"/>
  <c r="DS387" i="112"/>
  <c r="DN388" i="112"/>
  <c r="DP388" i="112"/>
  <c r="DS388" i="112"/>
  <c r="DN389" i="112"/>
  <c r="DP389" i="112"/>
  <c r="DR389" i="112"/>
  <c r="DS389" i="112"/>
  <c r="DN390" i="112"/>
  <c r="DP390" i="112"/>
  <c r="DS390" i="112"/>
  <c r="DN391" i="112"/>
  <c r="DP391" i="112"/>
  <c r="DS391" i="112"/>
  <c r="DN392" i="112"/>
  <c r="DP392" i="112"/>
  <c r="DR392" i="112"/>
  <c r="DS392" i="112"/>
  <c r="DN393" i="112"/>
  <c r="DP393" i="112"/>
  <c r="DS393" i="112"/>
  <c r="DN394" i="112"/>
  <c r="DP394" i="112"/>
  <c r="DR394" i="112"/>
  <c r="DS394" i="112"/>
  <c r="DN395" i="112"/>
  <c r="DP395" i="112"/>
  <c r="DR395" i="112"/>
  <c r="DS395" i="112"/>
  <c r="DN396" i="112"/>
  <c r="DP396" i="112"/>
  <c r="DR396" i="112"/>
  <c r="DS396" i="112"/>
  <c r="DN397" i="112"/>
  <c r="DP397" i="112"/>
  <c r="DR397" i="112"/>
  <c r="DS397" i="112"/>
  <c r="DN398" i="112"/>
  <c r="DP398" i="112"/>
  <c r="DR398" i="112"/>
  <c r="DS398" i="112"/>
  <c r="DN399" i="112"/>
  <c r="DP399" i="112"/>
  <c r="DR399" i="112"/>
  <c r="DS399" i="112"/>
  <c r="DN400" i="112"/>
  <c r="DP400" i="112"/>
  <c r="DR400" i="112"/>
  <c r="DS400" i="112"/>
  <c r="DN401" i="112"/>
  <c r="DP401" i="112"/>
  <c r="DR401" i="112"/>
  <c r="DS401" i="112"/>
  <c r="DN402" i="112"/>
  <c r="DP402" i="112"/>
  <c r="DR402" i="112"/>
  <c r="DS402" i="112"/>
  <c r="DN403" i="112"/>
  <c r="DP403" i="112"/>
  <c r="DR403" i="112"/>
  <c r="DS403" i="112"/>
  <c r="DN404" i="112"/>
  <c r="DP404" i="112"/>
  <c r="DR404" i="112"/>
  <c r="DS404" i="112"/>
  <c r="DN407" i="112"/>
  <c r="DP407" i="112"/>
  <c r="DR407" i="112"/>
  <c r="DS407" i="112"/>
  <c r="DN409" i="112"/>
  <c r="DP409" i="112"/>
  <c r="DR409" i="112"/>
  <c r="DS409" i="112"/>
  <c r="DN410" i="112"/>
  <c r="DP410" i="112"/>
  <c r="DR410" i="112"/>
  <c r="DS410" i="112"/>
  <c r="DN411" i="112"/>
  <c r="DP411" i="112"/>
  <c r="DR411" i="112"/>
  <c r="DS411" i="112"/>
  <c r="DN412" i="112"/>
  <c r="DP412" i="112"/>
  <c r="DR412" i="112"/>
  <c r="DS412" i="112"/>
  <c r="DN413" i="112"/>
  <c r="DP413" i="112"/>
  <c r="DR413" i="112"/>
  <c r="DS413" i="112"/>
  <c r="DY413" i="112"/>
  <c r="DN414" i="112"/>
  <c r="DP414" i="112"/>
  <c r="DR414" i="112"/>
  <c r="DS414" i="112"/>
  <c r="DY414" i="112"/>
  <c r="DN415" i="112"/>
  <c r="DP415" i="112"/>
  <c r="DR415" i="112"/>
  <c r="DS415" i="112"/>
  <c r="DY415" i="112"/>
  <c r="DN416" i="112"/>
  <c r="DP416" i="112"/>
  <c r="DR416" i="112"/>
  <c r="DS416" i="112"/>
  <c r="DY416" i="112"/>
  <c r="DN426" i="112"/>
  <c r="DP426" i="112"/>
  <c r="DR426" i="112"/>
  <c r="DS426" i="112"/>
  <c r="DN427" i="112"/>
  <c r="DP427" i="112"/>
  <c r="DR427" i="112"/>
  <c r="FU427" i="112" s="1"/>
  <c r="DS427" i="112"/>
  <c r="DN428" i="112"/>
  <c r="DP428" i="112"/>
  <c r="DR428" i="112"/>
  <c r="FU428" i="112" s="1"/>
  <c r="DS428" i="112"/>
  <c r="DN429" i="112"/>
  <c r="DP429" i="112"/>
  <c r="DR429" i="112"/>
  <c r="FU429" i="112" s="1"/>
  <c r="DS429" i="112"/>
  <c r="DN430" i="112"/>
  <c r="DP430" i="112"/>
  <c r="DR430" i="112"/>
  <c r="FU430" i="112" s="1"/>
  <c r="DS430" i="112"/>
  <c r="DN431" i="112"/>
  <c r="DP431" i="112"/>
  <c r="DR431" i="112"/>
  <c r="FU431" i="112" s="1"/>
  <c r="DS431" i="112"/>
  <c r="DN432" i="112"/>
  <c r="DP432" i="112"/>
  <c r="DR432" i="112"/>
  <c r="FU432" i="112" s="1"/>
  <c r="DS432" i="112"/>
  <c r="DN433" i="112"/>
  <c r="DP433" i="112"/>
  <c r="DR433" i="112"/>
  <c r="FU433" i="112" s="1"/>
  <c r="DS433" i="112"/>
  <c r="DN434" i="112"/>
  <c r="DP434" i="112"/>
  <c r="DR434" i="112"/>
  <c r="FU434" i="112" s="1"/>
  <c r="DS434" i="112"/>
  <c r="DN435" i="112"/>
  <c r="DP435" i="112"/>
  <c r="DR435" i="112"/>
  <c r="FU435" i="112" s="1"/>
  <c r="DS435" i="112"/>
  <c r="DN436" i="112"/>
  <c r="DP436" i="112"/>
  <c r="FU436" i="112"/>
  <c r="DS436" i="112"/>
  <c r="DN437" i="112"/>
  <c r="DP437" i="112"/>
  <c r="FU437" i="112"/>
  <c r="DS437" i="112"/>
  <c r="DN438" i="112"/>
  <c r="DP438" i="112"/>
  <c r="FU438" i="112"/>
  <c r="DS438" i="112"/>
  <c r="DN439" i="112"/>
  <c r="DP439" i="112"/>
  <c r="FU439" i="112"/>
  <c r="DS439" i="112"/>
  <c r="DN440" i="112"/>
  <c r="DP440" i="112"/>
  <c r="FU440" i="112"/>
  <c r="DS440" i="112"/>
  <c r="DN441" i="112"/>
  <c r="DP441" i="112"/>
  <c r="DR441" i="112"/>
  <c r="FU441" i="112" s="1"/>
  <c r="DS441" i="112"/>
  <c r="DN442" i="112"/>
  <c r="DP442" i="112"/>
  <c r="DR442" i="112"/>
  <c r="FU442" i="112" s="1"/>
  <c r="DS442" i="112"/>
  <c r="DN443" i="112"/>
  <c r="DP443" i="112"/>
  <c r="FU443" i="112"/>
  <c r="DS443" i="112"/>
  <c r="DN444" i="112"/>
  <c r="DP444" i="112"/>
  <c r="DR444" i="112"/>
  <c r="FU444" i="112" s="1"/>
  <c r="DS444" i="112"/>
  <c r="DN445" i="112"/>
  <c r="DP445" i="112"/>
  <c r="FU445" i="112"/>
  <c r="DS445" i="112"/>
  <c r="DN446" i="112"/>
  <c r="DP446" i="112"/>
  <c r="FU446" i="112"/>
  <c r="DS446" i="112"/>
  <c r="DN447" i="112"/>
  <c r="DP447" i="112"/>
  <c r="FU447" i="112"/>
  <c r="DS447" i="112"/>
  <c r="DN448" i="112"/>
  <c r="DP448" i="112"/>
  <c r="FU448" i="112"/>
  <c r="DS448" i="112"/>
  <c r="DN449" i="112"/>
  <c r="DP449" i="112"/>
  <c r="DR449" i="112"/>
  <c r="FU449" i="112" s="1"/>
  <c r="DS449" i="112"/>
  <c r="DN450" i="112"/>
  <c r="DP450" i="112"/>
  <c r="DR450" i="112"/>
  <c r="FU450" i="112" s="1"/>
  <c r="DS450" i="112"/>
  <c r="DN451" i="112"/>
  <c r="DP451" i="112"/>
  <c r="DR451" i="112"/>
  <c r="FU451" i="112" s="1"/>
  <c r="DS451" i="112"/>
  <c r="DN452" i="112"/>
  <c r="DP452" i="112"/>
  <c r="DR452" i="112"/>
  <c r="DS452" i="112"/>
  <c r="DN453" i="112"/>
  <c r="DP453" i="112"/>
  <c r="FU453" i="112"/>
  <c r="DS453" i="112"/>
  <c r="DN454" i="112"/>
  <c r="DP454" i="112"/>
  <c r="DS454" i="112"/>
  <c r="DN455" i="112"/>
  <c r="DP455" i="112"/>
  <c r="DR455" i="112"/>
  <c r="FU455" i="112" s="1"/>
  <c r="DS455" i="112"/>
  <c r="DN456" i="112"/>
  <c r="DP456" i="112"/>
  <c r="FU456" i="112"/>
  <c r="DS456" i="112"/>
  <c r="DN457" i="112"/>
  <c r="DP457" i="112"/>
  <c r="DR457" i="112"/>
  <c r="FU457" i="112" s="1"/>
  <c r="DS457" i="112"/>
  <c r="DN458" i="112"/>
  <c r="DP458" i="112"/>
  <c r="FU458" i="112"/>
  <c r="DS458" i="112"/>
  <c r="DN459" i="112"/>
  <c r="DP459" i="112"/>
  <c r="FU459" i="112"/>
  <c r="DS459" i="112"/>
  <c r="DN460" i="112"/>
  <c r="DP460" i="112"/>
  <c r="FU460" i="112"/>
  <c r="DS460" i="112"/>
  <c r="DN461" i="112"/>
  <c r="DP461" i="112"/>
  <c r="FU461" i="112"/>
  <c r="DS461" i="112"/>
  <c r="DN462" i="112"/>
  <c r="DP462" i="112"/>
  <c r="DS462" i="112"/>
  <c r="DN463" i="112"/>
  <c r="DP463" i="112"/>
  <c r="DR463" i="112"/>
  <c r="FU463" i="112" s="1"/>
  <c r="DS463" i="112"/>
  <c r="DN464" i="112"/>
  <c r="DP464" i="112"/>
  <c r="FU464" i="112"/>
  <c r="DS464" i="112"/>
  <c r="DN465" i="112"/>
  <c r="DP465" i="112"/>
  <c r="FU465" i="112"/>
  <c r="DS465" i="112"/>
  <c r="DN475" i="112"/>
  <c r="DP475" i="112"/>
  <c r="DR475" i="112"/>
  <c r="DS475" i="112"/>
  <c r="DN476" i="112"/>
  <c r="DP476" i="112"/>
  <c r="FU476" i="112"/>
  <c r="DS476" i="112"/>
  <c r="DN477" i="112"/>
  <c r="DP477" i="112"/>
  <c r="DR477" i="112"/>
  <c r="FU477" i="112" s="1"/>
  <c r="DS477" i="112"/>
  <c r="DN478" i="112"/>
  <c r="DP478" i="112"/>
  <c r="FU478" i="112"/>
  <c r="DS478" i="112"/>
  <c r="DN479" i="112"/>
  <c r="DP479" i="112"/>
  <c r="DR479" i="112"/>
  <c r="DS479" i="112"/>
  <c r="DN480" i="112"/>
  <c r="DP480" i="112"/>
  <c r="DR480" i="112"/>
  <c r="FU480" i="112" s="1"/>
  <c r="DS480" i="112"/>
  <c r="DN481" i="112"/>
  <c r="DP481" i="112"/>
  <c r="FU481" i="112"/>
  <c r="DS481" i="112"/>
  <c r="DN482" i="112"/>
  <c r="DP482" i="112"/>
  <c r="DR482" i="112"/>
  <c r="DS482" i="112"/>
  <c r="DN483" i="112"/>
  <c r="DP483" i="112"/>
  <c r="DS483" i="112"/>
  <c r="DN493" i="112"/>
  <c r="DP493" i="112"/>
  <c r="DR493" i="112"/>
  <c r="DS493" i="112"/>
  <c r="DN494" i="112"/>
  <c r="DP494" i="112"/>
  <c r="DR494" i="112"/>
  <c r="DS494" i="112"/>
  <c r="DN495" i="112"/>
  <c r="DP495" i="112"/>
  <c r="DR495" i="112"/>
  <c r="DS495" i="112"/>
  <c r="DN496" i="112"/>
  <c r="DP496" i="112"/>
  <c r="DR496" i="112"/>
  <c r="DS496" i="112"/>
  <c r="DN497" i="112"/>
  <c r="DP497" i="112"/>
  <c r="AQ127" i="112"/>
  <c r="AQ119" i="112"/>
  <c r="AQ115" i="112"/>
  <c r="DL459" i="112" l="1"/>
  <c r="DK459" i="112"/>
  <c r="DL455" i="112"/>
  <c r="DK455" i="112"/>
  <c r="DL389" i="112"/>
  <c r="DK389" i="112"/>
  <c r="DL376" i="112"/>
  <c r="DK376" i="112"/>
  <c r="DK457" i="112"/>
  <c r="DL457" i="112"/>
  <c r="DK416" i="112"/>
  <c r="DL416" i="112"/>
  <c r="DL482" i="112"/>
  <c r="DK482" i="112"/>
  <c r="DL480" i="112"/>
  <c r="DK480" i="112"/>
  <c r="DK478" i="112"/>
  <c r="DL478" i="112"/>
  <c r="DL476" i="112"/>
  <c r="DK476" i="112"/>
  <c r="DL465" i="112"/>
  <c r="DK465" i="112"/>
  <c r="DL463" i="112"/>
  <c r="DK463" i="112"/>
  <c r="DL382" i="112"/>
  <c r="DK382" i="112"/>
  <c r="DL461" i="112"/>
  <c r="DK461" i="112"/>
  <c r="DK495" i="112"/>
  <c r="DL495" i="112"/>
  <c r="DL493" i="112"/>
  <c r="DK493" i="112"/>
  <c r="DL414" i="112"/>
  <c r="DK414" i="112"/>
  <c r="DK391" i="112"/>
  <c r="DL391" i="112"/>
  <c r="DL386" i="112"/>
  <c r="DK386" i="112"/>
  <c r="DL384" i="112"/>
  <c r="DK384" i="112"/>
  <c r="DL378" i="112"/>
  <c r="DK378" i="112"/>
  <c r="DL452" i="112"/>
  <c r="DK452" i="112"/>
  <c r="DL450" i="112"/>
  <c r="DK450" i="112"/>
  <c r="DL448" i="112"/>
  <c r="DK448" i="112"/>
  <c r="DL446" i="112"/>
  <c r="DK446" i="112"/>
  <c r="DL444" i="112"/>
  <c r="DK444" i="112"/>
  <c r="DL442" i="112"/>
  <c r="DK442" i="112"/>
  <c r="DL440" i="112"/>
  <c r="DK440" i="112"/>
  <c r="DL438" i="112"/>
  <c r="DK438" i="112"/>
  <c r="DL436" i="112"/>
  <c r="DK436" i="112"/>
  <c r="DL434" i="112"/>
  <c r="DK434" i="112"/>
  <c r="DL432" i="112"/>
  <c r="DK432" i="112"/>
  <c r="DL430" i="112"/>
  <c r="DK430" i="112"/>
  <c r="DL428" i="112"/>
  <c r="DK428" i="112"/>
  <c r="DL426" i="112"/>
  <c r="DK426" i="112"/>
  <c r="DL412" i="112"/>
  <c r="DK412" i="112"/>
  <c r="DL410" i="112"/>
  <c r="DK410" i="112"/>
  <c r="DL407" i="112"/>
  <c r="DK407" i="112"/>
  <c r="DL403" i="112"/>
  <c r="DK403" i="112"/>
  <c r="DL401" i="112"/>
  <c r="DK401" i="112"/>
  <c r="DL399" i="112"/>
  <c r="DK399" i="112"/>
  <c r="DL397" i="112"/>
  <c r="DK397" i="112"/>
  <c r="DL395" i="112"/>
  <c r="DK395" i="112"/>
  <c r="DL393" i="112"/>
  <c r="DK393" i="112"/>
  <c r="DK375" i="112"/>
  <c r="DL375" i="112"/>
  <c r="DL456" i="112"/>
  <c r="DK456" i="112"/>
  <c r="DL388" i="112"/>
  <c r="DK388" i="112"/>
  <c r="DK381" i="112"/>
  <c r="DL381" i="112"/>
  <c r="DL460" i="112"/>
  <c r="DK460" i="112"/>
  <c r="DL481" i="112"/>
  <c r="DK481" i="112"/>
  <c r="DL479" i="112"/>
  <c r="DK479" i="112"/>
  <c r="DL477" i="112"/>
  <c r="DK477" i="112"/>
  <c r="DL475" i="112"/>
  <c r="DK475" i="112"/>
  <c r="DL464" i="112"/>
  <c r="DK464" i="112"/>
  <c r="DL462" i="112"/>
  <c r="DK462" i="112"/>
  <c r="DL415" i="112"/>
  <c r="DK415" i="112"/>
  <c r="DL390" i="112"/>
  <c r="DK390" i="112"/>
  <c r="DL377" i="112"/>
  <c r="DK377" i="112"/>
  <c r="DL494" i="112"/>
  <c r="DK494" i="112"/>
  <c r="DL392" i="112"/>
  <c r="DK392" i="112"/>
  <c r="DK385" i="112"/>
  <c r="DL385" i="112"/>
  <c r="DL383" i="112"/>
  <c r="DK383" i="112"/>
  <c r="DL458" i="112"/>
  <c r="DK458" i="112"/>
  <c r="DL454" i="112"/>
  <c r="DK454" i="112"/>
  <c r="DL496" i="112"/>
  <c r="DK496" i="112"/>
  <c r="DL483" i="112"/>
  <c r="DK483" i="112"/>
  <c r="DK453" i="112"/>
  <c r="DL453" i="112"/>
  <c r="DL451" i="112"/>
  <c r="DK451" i="112"/>
  <c r="DL449" i="112"/>
  <c r="DK449" i="112"/>
  <c r="DL447" i="112"/>
  <c r="DK447" i="112"/>
  <c r="DL445" i="112"/>
  <c r="DK445" i="112"/>
  <c r="DL443" i="112"/>
  <c r="DK443" i="112"/>
  <c r="DK441" i="112"/>
  <c r="DL441" i="112"/>
  <c r="DL439" i="112"/>
  <c r="DK439" i="112"/>
  <c r="DK437" i="112"/>
  <c r="DL437" i="112"/>
  <c r="DL435" i="112"/>
  <c r="DK435" i="112"/>
  <c r="DL433" i="112"/>
  <c r="DK433" i="112"/>
  <c r="DL431" i="112"/>
  <c r="DK431" i="112"/>
  <c r="DL429" i="112"/>
  <c r="DK429" i="112"/>
  <c r="DL427" i="112"/>
  <c r="DK427" i="112"/>
  <c r="DL413" i="112"/>
  <c r="DK413" i="112"/>
  <c r="DL411" i="112"/>
  <c r="DK411" i="112"/>
  <c r="DL409" i="112"/>
  <c r="DK409" i="112"/>
  <c r="DK404" i="112"/>
  <c r="DL404" i="112"/>
  <c r="DL402" i="112"/>
  <c r="DK402" i="112"/>
  <c r="DK400" i="112"/>
  <c r="DL400" i="112"/>
  <c r="DL398" i="112"/>
  <c r="DK398" i="112"/>
  <c r="DL396" i="112"/>
  <c r="DK396" i="112"/>
  <c r="DL394" i="112"/>
  <c r="DK394" i="112"/>
  <c r="DK387" i="112"/>
  <c r="DL387" i="112"/>
  <c r="DL379" i="112"/>
  <c r="DK379" i="112"/>
  <c r="ED409" i="112"/>
  <c r="FU475" i="112"/>
  <c r="FU426" i="112"/>
  <c r="DN508" i="112"/>
  <c r="DP489" i="112"/>
  <c r="DM489" i="112"/>
  <c r="DM508" i="112"/>
  <c r="DP508" i="112"/>
  <c r="DN489" i="112"/>
  <c r="DP471" i="112"/>
  <c r="DM471" i="112"/>
  <c r="DN471" i="112"/>
  <c r="DY483" i="112"/>
  <c r="DY480" i="112"/>
  <c r="DY478" i="112"/>
  <c r="DY481" i="112"/>
  <c r="DY482" i="112"/>
  <c r="DY452" i="112"/>
  <c r="DY479" i="112"/>
  <c r="FU493" i="112"/>
  <c r="FU495" i="112"/>
  <c r="FU483" i="112"/>
  <c r="FU462" i="112"/>
  <c r="FU454" i="112"/>
  <c r="FU496" i="112"/>
  <c r="FU494" i="112"/>
  <c r="FU452" i="112"/>
  <c r="FU479" i="112"/>
  <c r="FU482" i="112"/>
  <c r="FU416" i="112"/>
  <c r="FS416" i="112"/>
  <c r="FU415" i="112"/>
  <c r="FS415" i="112"/>
  <c r="FU414" i="112"/>
  <c r="FS414" i="112"/>
  <c r="EI413" i="112"/>
  <c r="FU413" i="112"/>
  <c r="FS413" i="112"/>
  <c r="FU497" i="112"/>
  <c r="ED482" i="112"/>
  <c r="EI482" i="112"/>
  <c r="DY464" i="112"/>
  <c r="ED464" i="112"/>
  <c r="EI464" i="112"/>
  <c r="DY407" i="112"/>
  <c r="EI407" i="112"/>
  <c r="ED407" i="112"/>
  <c r="DY402" i="112"/>
  <c r="ED402" i="112"/>
  <c r="EI402" i="112"/>
  <c r="DY399" i="112"/>
  <c r="EI399" i="112"/>
  <c r="ED399" i="112"/>
  <c r="DY396" i="112"/>
  <c r="EI396" i="112"/>
  <c r="ED396" i="112"/>
  <c r="DY393" i="112"/>
  <c r="ED393" i="112"/>
  <c r="EI393" i="112"/>
  <c r="DY390" i="112"/>
  <c r="ED390" i="112"/>
  <c r="EI390" i="112"/>
  <c r="DY387" i="112"/>
  <c r="EI387" i="112"/>
  <c r="ED387" i="112"/>
  <c r="DY384" i="112"/>
  <c r="EI384" i="112"/>
  <c r="ED384" i="112"/>
  <c r="DY381" i="112"/>
  <c r="ED381" i="112"/>
  <c r="EI381" i="112"/>
  <c r="DY377" i="112"/>
  <c r="EI377" i="112"/>
  <c r="ED377" i="112"/>
  <c r="DY411" i="112"/>
  <c r="EI411" i="112"/>
  <c r="ED411" i="112"/>
  <c r="DY465" i="112"/>
  <c r="EI465" i="112"/>
  <c r="ED465" i="112"/>
  <c r="DY459" i="112"/>
  <c r="EI459" i="112"/>
  <c r="ED459" i="112"/>
  <c r="DY456" i="112"/>
  <c r="ED456" i="112"/>
  <c r="EI456" i="112"/>
  <c r="DY453" i="112"/>
  <c r="ED453" i="112"/>
  <c r="EI453" i="112"/>
  <c r="DY450" i="112"/>
  <c r="EI450" i="112"/>
  <c r="ED450" i="112"/>
  <c r="DY447" i="112"/>
  <c r="ED447" i="112"/>
  <c r="EI447" i="112"/>
  <c r="DY444" i="112"/>
  <c r="ED444" i="112"/>
  <c r="EI444" i="112"/>
  <c r="DY441" i="112"/>
  <c r="EI441" i="112"/>
  <c r="ED441" i="112"/>
  <c r="DY438" i="112"/>
  <c r="EI438" i="112"/>
  <c r="ED438" i="112"/>
  <c r="DY435" i="112"/>
  <c r="EI435" i="112"/>
  <c r="ED435" i="112"/>
  <c r="DY432" i="112"/>
  <c r="ED432" i="112"/>
  <c r="EI432" i="112"/>
  <c r="DY429" i="112"/>
  <c r="ED429" i="112"/>
  <c r="EI429" i="112"/>
  <c r="FU407" i="112"/>
  <c r="FU402" i="112"/>
  <c r="FU399" i="112"/>
  <c r="FU396" i="112"/>
  <c r="FU393" i="112"/>
  <c r="FU390" i="112"/>
  <c r="FU387" i="112"/>
  <c r="FU384" i="112"/>
  <c r="FU381" i="112"/>
  <c r="FU377" i="112"/>
  <c r="ED480" i="112"/>
  <c r="EI480" i="112"/>
  <c r="FU411" i="112"/>
  <c r="DY495" i="112"/>
  <c r="ED495" i="112"/>
  <c r="EI495" i="112"/>
  <c r="ED483" i="112"/>
  <c r="EI483" i="112"/>
  <c r="DY403" i="112"/>
  <c r="EI403" i="112"/>
  <c r="ED403" i="112"/>
  <c r="DY400" i="112"/>
  <c r="EI400" i="112"/>
  <c r="ED400" i="112"/>
  <c r="DY397" i="112"/>
  <c r="EI397" i="112"/>
  <c r="ED397" i="112"/>
  <c r="DY394" i="112"/>
  <c r="ED394" i="112"/>
  <c r="EI394" i="112"/>
  <c r="DY391" i="112"/>
  <c r="EI391" i="112"/>
  <c r="ED391" i="112"/>
  <c r="DY388" i="112"/>
  <c r="EI388" i="112"/>
  <c r="ED388" i="112"/>
  <c r="DY385" i="112"/>
  <c r="EI385" i="112"/>
  <c r="ED385" i="112"/>
  <c r="DY382" i="112"/>
  <c r="ED382" i="112"/>
  <c r="EI382" i="112"/>
  <c r="DY378" i="112"/>
  <c r="ED378" i="112"/>
  <c r="EI378" i="112"/>
  <c r="DY375" i="112"/>
  <c r="EI375" i="112"/>
  <c r="ED375" i="112"/>
  <c r="ED415" i="112"/>
  <c r="EI415" i="112"/>
  <c r="DY412" i="112"/>
  <c r="EI412" i="112"/>
  <c r="DY477" i="112"/>
  <c r="ED477" i="112"/>
  <c r="EI477" i="112"/>
  <c r="ED481" i="112"/>
  <c r="EI481" i="112"/>
  <c r="DY475" i="112"/>
  <c r="EI475" i="112"/>
  <c r="ED475" i="112"/>
  <c r="DY460" i="112"/>
  <c r="EI460" i="112"/>
  <c r="ED460" i="112"/>
  <c r="DY457" i="112"/>
  <c r="ED457" i="112"/>
  <c r="EI457" i="112"/>
  <c r="DY454" i="112"/>
  <c r="ED454" i="112"/>
  <c r="EI454" i="112"/>
  <c r="DY451" i="112"/>
  <c r="ED451" i="112"/>
  <c r="EI451" i="112"/>
  <c r="DY448" i="112"/>
  <c r="EI448" i="112"/>
  <c r="ED448" i="112"/>
  <c r="DY445" i="112"/>
  <c r="ED445" i="112"/>
  <c r="EI445" i="112"/>
  <c r="DY442" i="112"/>
  <c r="EI442" i="112"/>
  <c r="ED442" i="112"/>
  <c r="DY439" i="112"/>
  <c r="ED439" i="112"/>
  <c r="EI439" i="112"/>
  <c r="DY436" i="112"/>
  <c r="ED436" i="112"/>
  <c r="EI436" i="112"/>
  <c r="DY433" i="112"/>
  <c r="ED433" i="112"/>
  <c r="EI433" i="112"/>
  <c r="DY430" i="112"/>
  <c r="EI430" i="112"/>
  <c r="ED430" i="112"/>
  <c r="DY427" i="112"/>
  <c r="ED427" i="112"/>
  <c r="EI427" i="112"/>
  <c r="FU409" i="112"/>
  <c r="FU403" i="112"/>
  <c r="FU400" i="112"/>
  <c r="FU397" i="112"/>
  <c r="FU394" i="112"/>
  <c r="FU391" i="112"/>
  <c r="FU388" i="112"/>
  <c r="FU385" i="112"/>
  <c r="FU382" i="112"/>
  <c r="FU378" i="112"/>
  <c r="FU375" i="112"/>
  <c r="DY496" i="112"/>
  <c r="EI496" i="112"/>
  <c r="ED496" i="112"/>
  <c r="DY493" i="112"/>
  <c r="EI493" i="112"/>
  <c r="ED493" i="112"/>
  <c r="EI478" i="112"/>
  <c r="ED478" i="112"/>
  <c r="DY463" i="112"/>
  <c r="EI463" i="112"/>
  <c r="ED463" i="112"/>
  <c r="FU412" i="112"/>
  <c r="DY404" i="112"/>
  <c r="EI404" i="112"/>
  <c r="ED404" i="112"/>
  <c r="DY401" i="112"/>
  <c r="EI401" i="112"/>
  <c r="ED401" i="112"/>
  <c r="DY398" i="112"/>
  <c r="ED398" i="112"/>
  <c r="EI398" i="112"/>
  <c r="DY395" i="112"/>
  <c r="EI395" i="112"/>
  <c r="ED395" i="112"/>
  <c r="DY392" i="112"/>
  <c r="EI392" i="112"/>
  <c r="ED392" i="112"/>
  <c r="DY389" i="112"/>
  <c r="EI389" i="112"/>
  <c r="ED389" i="112"/>
  <c r="DY386" i="112"/>
  <c r="EI386" i="112"/>
  <c r="ED386" i="112"/>
  <c r="DY383" i="112"/>
  <c r="EI383" i="112"/>
  <c r="ED383" i="112"/>
  <c r="DY379" i="112"/>
  <c r="EI379" i="112"/>
  <c r="ED379" i="112"/>
  <c r="DY376" i="112"/>
  <c r="EI376" i="112"/>
  <c r="ED376" i="112"/>
  <c r="EI416" i="112"/>
  <c r="ED416" i="112"/>
  <c r="DY410" i="112"/>
  <c r="EI410" i="112"/>
  <c r="ED410" i="112"/>
  <c r="DY476" i="112"/>
  <c r="ED476" i="112"/>
  <c r="EI476" i="112"/>
  <c r="DY461" i="112"/>
  <c r="ED461" i="112"/>
  <c r="EI461" i="112"/>
  <c r="DY458" i="112"/>
  <c r="ED458" i="112"/>
  <c r="EI458" i="112"/>
  <c r="DY455" i="112"/>
  <c r="EI455" i="112"/>
  <c r="ED455" i="112"/>
  <c r="ED452" i="112"/>
  <c r="EI452" i="112"/>
  <c r="DY449" i="112"/>
  <c r="ED449" i="112"/>
  <c r="EI449" i="112"/>
  <c r="DY446" i="112"/>
  <c r="ED446" i="112"/>
  <c r="EI446" i="112"/>
  <c r="DY443" i="112"/>
  <c r="EI443" i="112"/>
  <c r="ED443" i="112"/>
  <c r="DY440" i="112"/>
  <c r="EI440" i="112"/>
  <c r="ED440" i="112"/>
  <c r="DY437" i="112"/>
  <c r="ED437" i="112"/>
  <c r="EI437" i="112"/>
  <c r="DY434" i="112"/>
  <c r="ED434" i="112"/>
  <c r="EI434" i="112"/>
  <c r="DY431" i="112"/>
  <c r="EI431" i="112"/>
  <c r="ED431" i="112"/>
  <c r="DY428" i="112"/>
  <c r="EI428" i="112"/>
  <c r="ED428" i="112"/>
  <c r="FU404" i="112"/>
  <c r="FU401" i="112"/>
  <c r="FU398" i="112"/>
  <c r="FU395" i="112"/>
  <c r="FU392" i="112"/>
  <c r="FU389" i="112"/>
  <c r="FU386" i="112"/>
  <c r="FU383" i="112"/>
  <c r="FU379" i="112"/>
  <c r="FU376" i="112"/>
  <c r="DY494" i="112"/>
  <c r="ED494" i="112"/>
  <c r="EI494" i="112"/>
  <c r="EI479" i="112"/>
  <c r="FU410" i="112"/>
  <c r="EI414" i="112"/>
  <c r="ED414" i="112"/>
  <c r="ED413" i="112"/>
  <c r="ED426" i="112"/>
  <c r="DY462" i="112"/>
  <c r="EI462" i="112"/>
  <c r="DY497" i="112"/>
  <c r="EI497" i="112"/>
  <c r="ED497" i="112"/>
  <c r="ED462" i="112"/>
  <c r="ED479" i="112"/>
  <c r="ED412" i="112"/>
  <c r="EK416" i="112"/>
  <c r="EK414" i="112"/>
  <c r="EK412" i="112"/>
  <c r="EF412" i="112"/>
  <c r="EK410" i="112"/>
  <c r="EF410" i="112"/>
  <c r="EK495" i="112"/>
  <c r="EF495" i="112"/>
  <c r="EK493" i="112"/>
  <c r="EF493" i="112"/>
  <c r="EK482" i="112"/>
  <c r="EF482" i="112"/>
  <c r="EK480" i="112"/>
  <c r="EF480" i="112"/>
  <c r="EK478" i="112"/>
  <c r="EF478" i="112"/>
  <c r="EK476" i="112"/>
  <c r="EF476" i="112"/>
  <c r="EF465" i="112"/>
  <c r="EK465" i="112"/>
  <c r="EK463" i="112"/>
  <c r="EF463" i="112"/>
  <c r="EK461" i="112"/>
  <c r="EF461" i="112"/>
  <c r="EK459" i="112"/>
  <c r="EF459" i="112"/>
  <c r="EF457" i="112"/>
  <c r="EK457" i="112"/>
  <c r="EK455" i="112"/>
  <c r="EF455" i="112"/>
  <c r="EF453" i="112"/>
  <c r="EK453" i="112"/>
  <c r="EF451" i="112"/>
  <c r="EK451" i="112"/>
  <c r="EF449" i="112"/>
  <c r="EK449" i="112"/>
  <c r="EF447" i="112"/>
  <c r="EK447" i="112"/>
  <c r="EK445" i="112"/>
  <c r="EF445" i="112"/>
  <c r="EF443" i="112"/>
  <c r="EK443" i="112"/>
  <c r="EF441" i="112"/>
  <c r="EK441" i="112"/>
  <c r="EK439" i="112"/>
  <c r="EF439" i="112"/>
  <c r="EF437" i="112"/>
  <c r="EK437" i="112"/>
  <c r="EF435" i="112"/>
  <c r="EK435" i="112"/>
  <c r="EF433" i="112"/>
  <c r="EK433" i="112"/>
  <c r="EK431" i="112"/>
  <c r="EF431" i="112"/>
  <c r="EK429" i="112"/>
  <c r="EF429" i="112"/>
  <c r="EF427" i="112"/>
  <c r="EK427" i="112"/>
  <c r="EK497" i="112"/>
  <c r="EF497" i="112"/>
  <c r="EK404" i="112"/>
  <c r="EF404" i="112"/>
  <c r="EK402" i="112"/>
  <c r="EF402" i="112"/>
  <c r="EF400" i="112"/>
  <c r="EK400" i="112"/>
  <c r="EF398" i="112"/>
  <c r="EK398" i="112"/>
  <c r="EF396" i="112"/>
  <c r="EK396" i="112"/>
  <c r="EK394" i="112"/>
  <c r="EF394" i="112"/>
  <c r="EK392" i="112"/>
  <c r="EF392" i="112"/>
  <c r="EF390" i="112"/>
  <c r="EK390" i="112"/>
  <c r="EK388" i="112"/>
  <c r="EF388" i="112"/>
  <c r="EF386" i="112"/>
  <c r="EK386" i="112"/>
  <c r="EF384" i="112"/>
  <c r="EK384" i="112"/>
  <c r="EF382" i="112"/>
  <c r="EK382" i="112"/>
  <c r="EF379" i="112"/>
  <c r="EK379" i="112"/>
  <c r="EK377" i="112"/>
  <c r="EF377" i="112"/>
  <c r="EF375" i="112"/>
  <c r="EK375" i="112"/>
  <c r="EK415" i="112"/>
  <c r="EK413" i="112"/>
  <c r="EK411" i="112"/>
  <c r="EF411" i="112"/>
  <c r="EK409" i="112"/>
  <c r="EF409" i="112"/>
  <c r="EK496" i="112"/>
  <c r="EF496" i="112"/>
  <c r="EK494" i="112"/>
  <c r="EF494" i="112"/>
  <c r="EF483" i="112"/>
  <c r="EK483" i="112"/>
  <c r="EF481" i="112"/>
  <c r="EK481" i="112"/>
  <c r="EF479" i="112"/>
  <c r="EK479" i="112"/>
  <c r="EF477" i="112"/>
  <c r="EK477" i="112"/>
  <c r="EK475" i="112"/>
  <c r="EF475" i="112"/>
  <c r="EF464" i="112"/>
  <c r="EK464" i="112"/>
  <c r="EF462" i="112"/>
  <c r="EK462" i="112"/>
  <c r="EF460" i="112"/>
  <c r="EK460" i="112"/>
  <c r="EK458" i="112"/>
  <c r="EF458" i="112"/>
  <c r="EK456" i="112"/>
  <c r="EF456" i="112"/>
  <c r="EF454" i="112"/>
  <c r="EK454" i="112"/>
  <c r="EF452" i="112"/>
  <c r="EK452" i="112"/>
  <c r="EK450" i="112"/>
  <c r="EF450" i="112"/>
  <c r="EK448" i="112"/>
  <c r="EF448" i="112"/>
  <c r="EF446" i="112"/>
  <c r="EK446" i="112"/>
  <c r="EK444" i="112"/>
  <c r="EF444" i="112"/>
  <c r="EK442" i="112"/>
  <c r="EF442" i="112"/>
  <c r="EK440" i="112"/>
  <c r="EF440" i="112"/>
  <c r="EK438" i="112"/>
  <c r="EF438" i="112"/>
  <c r="EF436" i="112"/>
  <c r="EK436" i="112"/>
  <c r="EF434" i="112"/>
  <c r="EK434" i="112"/>
  <c r="EF432" i="112"/>
  <c r="EK432" i="112"/>
  <c r="EF430" i="112"/>
  <c r="EK430" i="112"/>
  <c r="EF428" i="112"/>
  <c r="EK428" i="112"/>
  <c r="EF426" i="112"/>
  <c r="EK426" i="112"/>
  <c r="EF407" i="112"/>
  <c r="EK407" i="112"/>
  <c r="EF403" i="112"/>
  <c r="EK403" i="112"/>
  <c r="EF401" i="112"/>
  <c r="EK401" i="112"/>
  <c r="EK399" i="112"/>
  <c r="EF399" i="112"/>
  <c r="EF397" i="112"/>
  <c r="EK397" i="112"/>
  <c r="EF395" i="112"/>
  <c r="EK395" i="112"/>
  <c r="EK393" i="112"/>
  <c r="EF393" i="112"/>
  <c r="EF391" i="112"/>
  <c r="EK391" i="112"/>
  <c r="EF389" i="112"/>
  <c r="EK389" i="112"/>
  <c r="EF387" i="112"/>
  <c r="EK387" i="112"/>
  <c r="EF385" i="112"/>
  <c r="EK385" i="112"/>
  <c r="EK383" i="112"/>
  <c r="EF383" i="112"/>
  <c r="EF381" i="112"/>
  <c r="EK381" i="112"/>
  <c r="EK378" i="112"/>
  <c r="EF378" i="112"/>
  <c r="EK376" i="112"/>
  <c r="EF376" i="112"/>
  <c r="DZ413" i="112"/>
  <c r="EF416" i="112"/>
  <c r="EF414" i="112"/>
  <c r="EF415" i="112"/>
  <c r="EF413" i="112"/>
  <c r="DZ414" i="112"/>
  <c r="DZ415" i="112"/>
  <c r="DZ481" i="112"/>
  <c r="DZ494" i="112"/>
  <c r="DZ479" i="112"/>
  <c r="DZ464" i="112"/>
  <c r="DZ461" i="112"/>
  <c r="DZ458" i="112"/>
  <c r="DZ455" i="112"/>
  <c r="DZ452" i="112"/>
  <c r="DZ449" i="112"/>
  <c r="DZ446" i="112"/>
  <c r="DZ443" i="112"/>
  <c r="DZ440" i="112"/>
  <c r="DZ437" i="112"/>
  <c r="DZ434" i="112"/>
  <c r="DZ431" i="112"/>
  <c r="DZ428" i="112"/>
  <c r="DZ416" i="112"/>
  <c r="DZ410" i="112"/>
  <c r="DZ407" i="112"/>
  <c r="DZ402" i="112"/>
  <c r="DZ399" i="112"/>
  <c r="DZ396" i="112"/>
  <c r="DZ393" i="112"/>
  <c r="DZ390" i="112"/>
  <c r="DZ387" i="112"/>
  <c r="DZ384" i="112"/>
  <c r="DZ381" i="112"/>
  <c r="DZ378" i="112"/>
  <c r="DZ375" i="112"/>
  <c r="DZ482" i="112"/>
  <c r="DZ476" i="112"/>
  <c r="DZ497" i="112"/>
  <c r="DZ496" i="112"/>
  <c r="DZ493" i="112"/>
  <c r="DZ483" i="112"/>
  <c r="DZ462" i="112"/>
  <c r="DZ459" i="112"/>
  <c r="DZ456" i="112"/>
  <c r="DZ453" i="112"/>
  <c r="DZ450" i="112"/>
  <c r="DZ447" i="112"/>
  <c r="DZ444" i="112"/>
  <c r="DZ441" i="112"/>
  <c r="DZ438" i="112"/>
  <c r="DZ435" i="112"/>
  <c r="DZ432" i="112"/>
  <c r="DZ429" i="112"/>
  <c r="DZ426" i="112"/>
  <c r="DZ411" i="112"/>
  <c r="DZ403" i="112"/>
  <c r="DZ400" i="112"/>
  <c r="DZ397" i="112"/>
  <c r="DZ394" i="112"/>
  <c r="DZ391" i="112"/>
  <c r="DZ388" i="112"/>
  <c r="DZ385" i="112"/>
  <c r="DZ382" i="112"/>
  <c r="DZ379" i="112"/>
  <c r="DZ376" i="112"/>
  <c r="DZ477" i="112"/>
  <c r="DZ478" i="112"/>
  <c r="DZ495" i="112"/>
  <c r="DZ480" i="112"/>
  <c r="DZ465" i="112"/>
  <c r="DZ475" i="112"/>
  <c r="DZ463" i="112"/>
  <c r="DZ460" i="112"/>
  <c r="DZ457" i="112"/>
  <c r="DZ454" i="112"/>
  <c r="DZ451" i="112"/>
  <c r="DZ448" i="112"/>
  <c r="DZ445" i="112"/>
  <c r="DZ442" i="112"/>
  <c r="DZ439" i="112"/>
  <c r="DZ436" i="112"/>
  <c r="DZ433" i="112"/>
  <c r="DZ430" i="112"/>
  <c r="DZ427" i="112"/>
  <c r="DZ412" i="112"/>
  <c r="DZ409" i="112"/>
  <c r="DZ404" i="112"/>
  <c r="DZ401" i="112"/>
  <c r="DZ398" i="112"/>
  <c r="DZ395" i="112"/>
  <c r="DZ392" i="112"/>
  <c r="DZ389" i="112"/>
  <c r="DZ386" i="112"/>
  <c r="DZ383" i="112"/>
  <c r="DZ377" i="112"/>
  <c r="DV426" i="112"/>
  <c r="DV493" i="112"/>
  <c r="DV494" i="112" s="1"/>
  <c r="DV475" i="112"/>
  <c r="DX495" i="112"/>
  <c r="DX483" i="112"/>
  <c r="DX481" i="112"/>
  <c r="DX460" i="112"/>
  <c r="DX457" i="112"/>
  <c r="DX454" i="112"/>
  <c r="DX451" i="112"/>
  <c r="DX448" i="112"/>
  <c r="DX445" i="112"/>
  <c r="DX442" i="112"/>
  <c r="DX439" i="112"/>
  <c r="DX436" i="112"/>
  <c r="DX433" i="112"/>
  <c r="DX430" i="112"/>
  <c r="DX412" i="112"/>
  <c r="DX409" i="112"/>
  <c r="DX404" i="112"/>
  <c r="DX401" i="112"/>
  <c r="DX398" i="112"/>
  <c r="DX395" i="112"/>
  <c r="DX392" i="112"/>
  <c r="DX389" i="112"/>
  <c r="DX386" i="112"/>
  <c r="DX383" i="112"/>
  <c r="DX377" i="112"/>
  <c r="DX478" i="112"/>
  <c r="DX465" i="112"/>
  <c r="DX496" i="112"/>
  <c r="DX463" i="112"/>
  <c r="DX482" i="112"/>
  <c r="DX461" i="112"/>
  <c r="DX458" i="112"/>
  <c r="DX455" i="112"/>
  <c r="DX452" i="112"/>
  <c r="DX449" i="112"/>
  <c r="DX446" i="112"/>
  <c r="DX443" i="112"/>
  <c r="DX440" i="112"/>
  <c r="DX437" i="112"/>
  <c r="DX434" i="112"/>
  <c r="DX431" i="112"/>
  <c r="DX428" i="112"/>
  <c r="DX410" i="112"/>
  <c r="DX407" i="112"/>
  <c r="DX402" i="112"/>
  <c r="DX399" i="112"/>
  <c r="DX396" i="112"/>
  <c r="DX393" i="112"/>
  <c r="DX390" i="112"/>
  <c r="DX387" i="112"/>
  <c r="DX384" i="112"/>
  <c r="DX381" i="112"/>
  <c r="DX378" i="112"/>
  <c r="DX375" i="112"/>
  <c r="DX479" i="112"/>
  <c r="DX497" i="112"/>
  <c r="DX462" i="112"/>
  <c r="DX459" i="112"/>
  <c r="DX456" i="112"/>
  <c r="DX453" i="112"/>
  <c r="DX450" i="112"/>
  <c r="DX447" i="112"/>
  <c r="DX444" i="112"/>
  <c r="DX441" i="112"/>
  <c r="DX438" i="112"/>
  <c r="DX435" i="112"/>
  <c r="DX432" i="112"/>
  <c r="DX429" i="112"/>
  <c r="DX403" i="112"/>
  <c r="DX400" i="112"/>
  <c r="DX397" i="112"/>
  <c r="DX394" i="112"/>
  <c r="DX391" i="112"/>
  <c r="DX388" i="112"/>
  <c r="DX385" i="112"/>
  <c r="DX382" i="112"/>
  <c r="DX379" i="112"/>
  <c r="DX376" i="112"/>
  <c r="DX480" i="112"/>
  <c r="DX464" i="112"/>
  <c r="DX411" i="112"/>
  <c r="DX477" i="112"/>
  <c r="DX476" i="112"/>
  <c r="DX475" i="112"/>
  <c r="DX427" i="112"/>
  <c r="DX426" i="112"/>
  <c r="DX415" i="112"/>
  <c r="DX413" i="112"/>
  <c r="DX494" i="112"/>
  <c r="DX493" i="112"/>
  <c r="DX416" i="112"/>
  <c r="DX414" i="112"/>
  <c r="DN308" i="112"/>
  <c r="DP308" i="112"/>
  <c r="DS308" i="112"/>
  <c r="EB308" i="112" s="1"/>
  <c r="EC308" i="112" s="1"/>
  <c r="DN309" i="112"/>
  <c r="DP309" i="112"/>
  <c r="DS309" i="112"/>
  <c r="DN310" i="112"/>
  <c r="DP310" i="112"/>
  <c r="DS310" i="112"/>
  <c r="DN311" i="112"/>
  <c r="DP311" i="112"/>
  <c r="DS311" i="112"/>
  <c r="DN312" i="112"/>
  <c r="DP312" i="112"/>
  <c r="DS312" i="112"/>
  <c r="DN313" i="112"/>
  <c r="DP313" i="112"/>
  <c r="DS313" i="112"/>
  <c r="DN314" i="112"/>
  <c r="DP314" i="112"/>
  <c r="DS314" i="112"/>
  <c r="DN315" i="112"/>
  <c r="DP315" i="112"/>
  <c r="DN325" i="112"/>
  <c r="DP325" i="112"/>
  <c r="DS325" i="112"/>
  <c r="DN326" i="112"/>
  <c r="DP326" i="112"/>
  <c r="DS326" i="112"/>
  <c r="DN327" i="112"/>
  <c r="DP327" i="112"/>
  <c r="DS327" i="112"/>
  <c r="DN328" i="112"/>
  <c r="DP328" i="112"/>
  <c r="DS328" i="112"/>
  <c r="DN329" i="112"/>
  <c r="DP329" i="112"/>
  <c r="DR329" i="112"/>
  <c r="DS329" i="112"/>
  <c r="DN330" i="112"/>
  <c r="DP330" i="112"/>
  <c r="DS330" i="112"/>
  <c r="DN331" i="112"/>
  <c r="DP331" i="112"/>
  <c r="DS331" i="112"/>
  <c r="DN332" i="112"/>
  <c r="DP332" i="112"/>
  <c r="DS332" i="112"/>
  <c r="DN333" i="112"/>
  <c r="DP333" i="112"/>
  <c r="DS333" i="112"/>
  <c r="DN334" i="112"/>
  <c r="DP334" i="112"/>
  <c r="DS334" i="112"/>
  <c r="DN335" i="112"/>
  <c r="DP335" i="112"/>
  <c r="DR335" i="112"/>
  <c r="DS335" i="112"/>
  <c r="DN336" i="112"/>
  <c r="DP336" i="112"/>
  <c r="DS336" i="112"/>
  <c r="DN338" i="112"/>
  <c r="DP338" i="112"/>
  <c r="DS338" i="112"/>
  <c r="DN339" i="112"/>
  <c r="DP339" i="112"/>
  <c r="DR339" i="112"/>
  <c r="DS339" i="112"/>
  <c r="DN340" i="112"/>
  <c r="DP340" i="112"/>
  <c r="DS340" i="112"/>
  <c r="DN341" i="112"/>
  <c r="DP341" i="112"/>
  <c r="DR341" i="112"/>
  <c r="DS341" i="112"/>
  <c r="DN342" i="112"/>
  <c r="DP342" i="112"/>
  <c r="DS342" i="112"/>
  <c r="DN352" i="112"/>
  <c r="DP352" i="112"/>
  <c r="DS352" i="112"/>
  <c r="DN353" i="112"/>
  <c r="DP353" i="112"/>
  <c r="DS353" i="112"/>
  <c r="DN354" i="112"/>
  <c r="DP354" i="112"/>
  <c r="DS354" i="112"/>
  <c r="DN355" i="112"/>
  <c r="DP355" i="112"/>
  <c r="DS355" i="112"/>
  <c r="DN356" i="112"/>
  <c r="DP356" i="112"/>
  <c r="DS356" i="112"/>
  <c r="DN357" i="112"/>
  <c r="DP357" i="112"/>
  <c r="DS357" i="112"/>
  <c r="DN358" i="112"/>
  <c r="DP358" i="112"/>
  <c r="DS358" i="112"/>
  <c r="DN359" i="112"/>
  <c r="DP359" i="112"/>
  <c r="DS359" i="112"/>
  <c r="DN360" i="112"/>
  <c r="DP360" i="112"/>
  <c r="DS360" i="112"/>
  <c r="DN370" i="112"/>
  <c r="DP370" i="112"/>
  <c r="DR370" i="112"/>
  <c r="DS370" i="112"/>
  <c r="DN371" i="112"/>
  <c r="DP371" i="112"/>
  <c r="DR371" i="112"/>
  <c r="DS371" i="112"/>
  <c r="DN372" i="112"/>
  <c r="DP372" i="112"/>
  <c r="DR372" i="112"/>
  <c r="DS372" i="112"/>
  <c r="DN373" i="112"/>
  <c r="DP373" i="112"/>
  <c r="DR373" i="112"/>
  <c r="DS373" i="112"/>
  <c r="DN374" i="112"/>
  <c r="DP374" i="112"/>
  <c r="DS374" i="112"/>
  <c r="DS307" i="112"/>
  <c r="DL342" i="112" l="1"/>
  <c r="DK342" i="112"/>
  <c r="DL334" i="112"/>
  <c r="DK334" i="112"/>
  <c r="DL307" i="112"/>
  <c r="DK307" i="112"/>
  <c r="FQ307" i="112" s="1"/>
  <c r="FR307" i="112" s="1"/>
  <c r="DL372" i="112"/>
  <c r="DK372" i="112"/>
  <c r="DL370" i="112"/>
  <c r="DK370" i="112"/>
  <c r="DL356" i="112"/>
  <c r="DK356" i="112"/>
  <c r="DL336" i="112"/>
  <c r="DK336" i="112"/>
  <c r="DK331" i="112"/>
  <c r="DL331" i="112"/>
  <c r="DL326" i="112"/>
  <c r="DK326" i="112"/>
  <c r="DL314" i="112"/>
  <c r="DK314" i="112"/>
  <c r="DL353" i="112"/>
  <c r="DK353" i="112"/>
  <c r="DL339" i="112"/>
  <c r="DK339" i="112"/>
  <c r="DL311" i="112"/>
  <c r="DK311" i="112"/>
  <c r="DK358" i="112"/>
  <c r="DL358" i="112"/>
  <c r="DL341" i="112"/>
  <c r="DK341" i="112"/>
  <c r="DL333" i="112"/>
  <c r="DK333" i="112"/>
  <c r="DL328" i="112"/>
  <c r="DK328" i="112"/>
  <c r="DL308" i="112"/>
  <c r="DK308" i="112"/>
  <c r="FQ308" i="112" s="1"/>
  <c r="FR308" i="112" s="1"/>
  <c r="DL335" i="112"/>
  <c r="DK335" i="112"/>
  <c r="DL330" i="112"/>
  <c r="DK330" i="112"/>
  <c r="DK325" i="112"/>
  <c r="DL325" i="112"/>
  <c r="DL313" i="112"/>
  <c r="DK313" i="112"/>
  <c r="DL355" i="112"/>
  <c r="DK355" i="112"/>
  <c r="DK373" i="112"/>
  <c r="DL373" i="112"/>
  <c r="DL371" i="112"/>
  <c r="DK371" i="112"/>
  <c r="DK360" i="112"/>
  <c r="DL360" i="112"/>
  <c r="DL310" i="112"/>
  <c r="DK310" i="112"/>
  <c r="DL357" i="112"/>
  <c r="DK357" i="112"/>
  <c r="DL338" i="112"/>
  <c r="DK338" i="112"/>
  <c r="DL332" i="112"/>
  <c r="DK332" i="112"/>
  <c r="DK327" i="112"/>
  <c r="DL327" i="112"/>
  <c r="DL374" i="112"/>
  <c r="DK374" i="112"/>
  <c r="DL354" i="112"/>
  <c r="DK354" i="112"/>
  <c r="DL340" i="112"/>
  <c r="DK340" i="112"/>
  <c r="DL329" i="112"/>
  <c r="DK329" i="112"/>
  <c r="DL312" i="112"/>
  <c r="DK312" i="112"/>
  <c r="DL352" i="112"/>
  <c r="DK352" i="112"/>
  <c r="DL359" i="112"/>
  <c r="DK359" i="112"/>
  <c r="DK309" i="112"/>
  <c r="DL309" i="112"/>
  <c r="DY490" i="112"/>
  <c r="B197" i="127" s="1"/>
  <c r="C197" i="127" s="1"/>
  <c r="DY423" i="112"/>
  <c r="DY472" i="112"/>
  <c r="GZ529" i="112"/>
  <c r="GZ530" i="112" s="1"/>
  <c r="HA529" i="112"/>
  <c r="HA530" i="112" s="1"/>
  <c r="HB529" i="112"/>
  <c r="HB530" i="112" s="1"/>
  <c r="HB531" i="112" s="1"/>
  <c r="ES490" i="112" s="1"/>
  <c r="EE426" i="112"/>
  <c r="EE409" i="112"/>
  <c r="FU471" i="112"/>
  <c r="FU423" i="112" s="1"/>
  <c r="FT423" i="112" s="1"/>
  <c r="DM422" i="112"/>
  <c r="DM530" i="112" s="1"/>
  <c r="EF508" i="112"/>
  <c r="DP422" i="112"/>
  <c r="DN422" i="112"/>
  <c r="DN530" i="112" s="1"/>
  <c r="EK508" i="112"/>
  <c r="EF471" i="112"/>
  <c r="FU508" i="112"/>
  <c r="FU490" i="112" s="1"/>
  <c r="FT490" i="112" s="1"/>
  <c r="EK489" i="112"/>
  <c r="EF489" i="112"/>
  <c r="FU489" i="112"/>
  <c r="FU472" i="112" s="1"/>
  <c r="FT472" i="112" s="1"/>
  <c r="EI489" i="112"/>
  <c r="EG472" i="112"/>
  <c r="EI472" i="112" s="1"/>
  <c r="EB472" i="112"/>
  <c r="ED472" i="112" s="1"/>
  <c r="ED489" i="112"/>
  <c r="EK471" i="112"/>
  <c r="EI471" i="112"/>
  <c r="EG423" i="112"/>
  <c r="EI423" i="112" s="1"/>
  <c r="ED471" i="112"/>
  <c r="EB423" i="112"/>
  <c r="ED423" i="112" s="1"/>
  <c r="DP366" i="112"/>
  <c r="DN366" i="112"/>
  <c r="DM366" i="112"/>
  <c r="DP321" i="112"/>
  <c r="DM321" i="112"/>
  <c r="DP348" i="112"/>
  <c r="DN348" i="112"/>
  <c r="DM348" i="112"/>
  <c r="FS422" i="112"/>
  <c r="FQ367" i="112"/>
  <c r="ED508" i="112"/>
  <c r="EB490" i="112"/>
  <c r="ED490" i="112" s="1"/>
  <c r="EI508" i="112"/>
  <c r="EG490" i="112"/>
  <c r="EI490" i="112" s="1"/>
  <c r="EI308" i="112"/>
  <c r="DX325" i="112"/>
  <c r="ED310" i="112"/>
  <c r="DX352" i="112"/>
  <c r="DV495" i="112"/>
  <c r="DV496" i="112" s="1"/>
  <c r="FU352" i="112"/>
  <c r="FU340" i="112"/>
  <c r="FU336" i="112"/>
  <c r="FU333" i="112"/>
  <c r="FU327" i="112"/>
  <c r="FU359" i="112"/>
  <c r="FU357" i="112"/>
  <c r="FU355" i="112"/>
  <c r="FU354" i="112"/>
  <c r="FU353" i="112"/>
  <c r="FT413" i="112"/>
  <c r="FT414" i="112"/>
  <c r="FU342" i="112"/>
  <c r="FU339" i="112"/>
  <c r="FU335" i="112"/>
  <c r="FU332" i="112"/>
  <c r="FU312" i="112"/>
  <c r="FU360" i="112"/>
  <c r="FU358" i="112"/>
  <c r="FU356" i="112"/>
  <c r="FT415" i="112"/>
  <c r="FT416" i="112"/>
  <c r="FU341" i="112"/>
  <c r="FU338" i="112"/>
  <c r="FU334" i="112"/>
  <c r="FU326" i="112"/>
  <c r="FU325" i="112"/>
  <c r="FU315" i="112"/>
  <c r="FU314" i="112"/>
  <c r="FU313" i="112"/>
  <c r="FU311" i="112"/>
  <c r="FU308" i="112"/>
  <c r="FU331" i="112"/>
  <c r="FU330" i="112"/>
  <c r="ED328" i="112"/>
  <c r="FU328" i="112"/>
  <c r="FU329" i="112"/>
  <c r="FU310" i="112"/>
  <c r="FU309" i="112"/>
  <c r="EI340" i="112"/>
  <c r="ED340" i="112"/>
  <c r="EI336" i="112"/>
  <c r="ED336" i="112"/>
  <c r="ED333" i="112"/>
  <c r="EI333" i="112"/>
  <c r="EI330" i="112"/>
  <c r="ED330" i="112"/>
  <c r="EI327" i="112"/>
  <c r="ED327" i="112"/>
  <c r="EI315" i="112"/>
  <c r="EI312" i="112"/>
  <c r="ED312" i="112"/>
  <c r="FU370" i="112"/>
  <c r="FU374" i="112"/>
  <c r="DY355" i="112"/>
  <c r="ED355" i="112"/>
  <c r="EI355" i="112"/>
  <c r="DY372" i="112"/>
  <c r="EI372" i="112"/>
  <c r="ED372" i="112"/>
  <c r="FU372" i="112"/>
  <c r="DY373" i="112"/>
  <c r="EI373" i="112"/>
  <c r="ED373" i="112"/>
  <c r="DY358" i="112"/>
  <c r="EI358" i="112"/>
  <c r="ED358" i="112"/>
  <c r="EI341" i="112"/>
  <c r="ED341" i="112"/>
  <c r="ED338" i="112"/>
  <c r="EI338" i="112"/>
  <c r="EI334" i="112"/>
  <c r="ED334" i="112"/>
  <c r="EI331" i="112"/>
  <c r="ED331" i="112"/>
  <c r="ED325" i="112"/>
  <c r="EI325" i="112"/>
  <c r="EI313" i="112"/>
  <c r="ED313" i="112"/>
  <c r="DY374" i="112"/>
  <c r="ED374" i="112"/>
  <c r="EI374" i="112"/>
  <c r="DY371" i="112"/>
  <c r="EI371" i="112"/>
  <c r="ED371" i="112"/>
  <c r="DY353" i="112"/>
  <c r="EI353" i="112"/>
  <c r="ED353" i="112"/>
  <c r="EI328" i="112"/>
  <c r="EI310" i="112"/>
  <c r="FU373" i="112"/>
  <c r="DY359" i="112"/>
  <c r="ED359" i="112"/>
  <c r="EI359" i="112"/>
  <c r="DY356" i="112"/>
  <c r="EI356" i="112"/>
  <c r="ED356" i="112"/>
  <c r="EI342" i="112"/>
  <c r="ED342" i="112"/>
  <c r="EI339" i="112"/>
  <c r="ED339" i="112"/>
  <c r="EI335" i="112"/>
  <c r="ED335" i="112"/>
  <c r="EI332" i="112"/>
  <c r="ED332" i="112"/>
  <c r="ED329" i="112"/>
  <c r="EI329" i="112"/>
  <c r="EI326" i="112"/>
  <c r="ED326" i="112"/>
  <c r="EI314" i="112"/>
  <c r="ED314" i="112"/>
  <c r="FU371" i="112"/>
  <c r="DY360" i="112"/>
  <c r="ED360" i="112"/>
  <c r="EI360" i="112"/>
  <c r="DY357" i="112"/>
  <c r="EI357" i="112"/>
  <c r="DY354" i="112"/>
  <c r="EI354" i="112"/>
  <c r="ED354" i="112"/>
  <c r="DX308" i="112"/>
  <c r="ED308" i="112"/>
  <c r="DY370" i="112"/>
  <c r="EI370" i="112"/>
  <c r="ED370" i="112"/>
  <c r="ED357" i="112"/>
  <c r="DY352" i="112"/>
  <c r="EI352" i="112"/>
  <c r="ED352" i="112"/>
  <c r="ED311" i="112"/>
  <c r="EI311" i="112"/>
  <c r="EI309" i="112"/>
  <c r="ED309" i="112"/>
  <c r="DY341" i="112"/>
  <c r="DY338" i="112"/>
  <c r="DY334" i="112"/>
  <c r="DY331" i="112"/>
  <c r="DY328" i="112"/>
  <c r="DY325" i="112"/>
  <c r="DY313" i="112"/>
  <c r="DY342" i="112"/>
  <c r="DY339" i="112"/>
  <c r="DY335" i="112"/>
  <c r="DY332" i="112"/>
  <c r="DY329" i="112"/>
  <c r="DY326" i="112"/>
  <c r="DY314" i="112"/>
  <c r="DY311" i="112"/>
  <c r="DY340" i="112"/>
  <c r="DY336" i="112"/>
  <c r="DY333" i="112"/>
  <c r="DY330" i="112"/>
  <c r="DY327" i="112"/>
  <c r="DY315" i="112"/>
  <c r="DY312" i="112"/>
  <c r="DY309" i="112"/>
  <c r="DY310" i="112"/>
  <c r="EK342" i="112"/>
  <c r="EF342" i="112"/>
  <c r="EF340" i="112"/>
  <c r="EK340" i="112"/>
  <c r="EK338" i="112"/>
  <c r="EF338" i="112"/>
  <c r="EF335" i="112"/>
  <c r="EK335" i="112"/>
  <c r="EF333" i="112"/>
  <c r="EK333" i="112"/>
  <c r="EF331" i="112"/>
  <c r="EK331" i="112"/>
  <c r="EF329" i="112"/>
  <c r="EK329" i="112"/>
  <c r="EF327" i="112"/>
  <c r="EK327" i="112"/>
  <c r="EJ397" i="112"/>
  <c r="EE432" i="112"/>
  <c r="EJ448" i="112"/>
  <c r="EJ460" i="112"/>
  <c r="EJ464" i="112"/>
  <c r="EJ479" i="112"/>
  <c r="EE386" i="112"/>
  <c r="EJ427" i="112"/>
  <c r="EE493" i="112"/>
  <c r="EK370" i="112"/>
  <c r="EF370" i="112"/>
  <c r="EK357" i="112"/>
  <c r="EF357" i="112"/>
  <c r="EF353" i="112"/>
  <c r="EK353" i="112"/>
  <c r="EE448" i="112"/>
  <c r="EE464" i="112"/>
  <c r="EE411" i="112"/>
  <c r="EJ433" i="112"/>
  <c r="EE437" i="112"/>
  <c r="EJ443" i="112"/>
  <c r="EJ449" i="112"/>
  <c r="EE453" i="112"/>
  <c r="EJ465" i="112"/>
  <c r="EF374" i="112"/>
  <c r="EK374" i="112"/>
  <c r="EK372" i="112"/>
  <c r="EF372" i="112"/>
  <c r="EF359" i="112"/>
  <c r="EK359" i="112"/>
  <c r="EF355" i="112"/>
  <c r="EK355" i="112"/>
  <c r="EJ381" i="112"/>
  <c r="EE391" i="112"/>
  <c r="EE403" i="112"/>
  <c r="EJ428" i="112"/>
  <c r="EJ444" i="112"/>
  <c r="EJ450" i="112"/>
  <c r="EE479" i="112"/>
  <c r="EE375" i="112"/>
  <c r="EJ388" i="112"/>
  <c r="EE433" i="112"/>
  <c r="EE455" i="112"/>
  <c r="EJ459" i="112"/>
  <c r="EE465" i="112"/>
  <c r="EJ493" i="112"/>
  <c r="EE412" i="112"/>
  <c r="EE397" i="112"/>
  <c r="EJ434" i="112"/>
  <c r="EJ438" i="112"/>
  <c r="EJ454" i="112"/>
  <c r="EE494" i="112"/>
  <c r="EJ411" i="112"/>
  <c r="EJ382" i="112"/>
  <c r="EE392" i="112"/>
  <c r="EJ398" i="112"/>
  <c r="EE427" i="112"/>
  <c r="EE443" i="112"/>
  <c r="EE449" i="112"/>
  <c r="EE459" i="112"/>
  <c r="EJ412" i="112"/>
  <c r="EJ376" i="112"/>
  <c r="EE381" i="112"/>
  <c r="EJ387" i="112"/>
  <c r="EE428" i="112"/>
  <c r="EE444" i="112"/>
  <c r="EE450" i="112"/>
  <c r="EE460" i="112"/>
  <c r="EE388" i="112"/>
  <c r="EE404" i="112"/>
  <c r="EJ439" i="112"/>
  <c r="EJ445" i="112"/>
  <c r="EJ461" i="112"/>
  <c r="EE480" i="112"/>
  <c r="EJ495" i="112"/>
  <c r="EE475" i="112"/>
  <c r="EJ494" i="112"/>
  <c r="EJ413" i="112"/>
  <c r="EE382" i="112"/>
  <c r="EE398" i="112"/>
  <c r="EJ404" i="112"/>
  <c r="EJ455" i="112"/>
  <c r="EJ480" i="112"/>
  <c r="EJ393" i="112"/>
  <c r="EE434" i="112"/>
  <c r="EJ475" i="112"/>
  <c r="EJ481" i="112"/>
  <c r="EJ377" i="112"/>
  <c r="EE384" i="112"/>
  <c r="EE394" i="112"/>
  <c r="EE429" i="112"/>
  <c r="EE439" i="112"/>
  <c r="EE451" i="112"/>
  <c r="EE476" i="112"/>
  <c r="EJ383" i="112"/>
  <c r="EE387" i="112"/>
  <c r="EJ399" i="112"/>
  <c r="EJ403" i="112"/>
  <c r="EE430" i="112"/>
  <c r="EJ440" i="112"/>
  <c r="EJ446" i="112"/>
  <c r="EJ456" i="112"/>
  <c r="EE462" i="112"/>
  <c r="EJ400" i="112"/>
  <c r="EE445" i="112"/>
  <c r="EE461" i="112"/>
  <c r="EF352" i="112"/>
  <c r="EK352" i="112"/>
  <c r="EK341" i="112"/>
  <c r="EF341" i="112"/>
  <c r="EF339" i="112"/>
  <c r="EK339" i="112"/>
  <c r="EK336" i="112"/>
  <c r="EF336" i="112"/>
  <c r="EF334" i="112"/>
  <c r="EK334" i="112"/>
  <c r="EF332" i="112"/>
  <c r="EK332" i="112"/>
  <c r="EK330" i="112"/>
  <c r="EF330" i="112"/>
  <c r="EK328" i="112"/>
  <c r="EF328" i="112"/>
  <c r="EK326" i="112"/>
  <c r="EF326" i="112"/>
  <c r="EE393" i="112"/>
  <c r="EJ430" i="112"/>
  <c r="EE440" i="112"/>
  <c r="EE456" i="112"/>
  <c r="EE481" i="112"/>
  <c r="EE377" i="112"/>
  <c r="EJ384" i="112"/>
  <c r="EJ497" i="112"/>
  <c r="EJ429" i="112"/>
  <c r="EE435" i="112"/>
  <c r="EJ457" i="112"/>
  <c r="EJ476" i="112"/>
  <c r="EE495" i="112"/>
  <c r="EJ414" i="112"/>
  <c r="EK371" i="112"/>
  <c r="EF371" i="112"/>
  <c r="EK360" i="112"/>
  <c r="EF360" i="112"/>
  <c r="EF356" i="112"/>
  <c r="EK356" i="112"/>
  <c r="EF354" i="112"/>
  <c r="EK354" i="112"/>
  <c r="EE376" i="112"/>
  <c r="EE383" i="112"/>
  <c r="EJ389" i="112"/>
  <c r="EE399" i="112"/>
  <c r="EE436" i="112"/>
  <c r="EE446" i="112"/>
  <c r="EJ462" i="112"/>
  <c r="EE496" i="112"/>
  <c r="EJ415" i="112"/>
  <c r="EJ394" i="112"/>
  <c r="EE400" i="112"/>
  <c r="EJ435" i="112"/>
  <c r="EJ441" i="112"/>
  <c r="EJ451" i="112"/>
  <c r="EE482" i="112"/>
  <c r="EF373" i="112"/>
  <c r="EK373" i="112"/>
  <c r="EK358" i="112"/>
  <c r="EF358" i="112"/>
  <c r="EJ442" i="112"/>
  <c r="EJ452" i="112"/>
  <c r="EJ477" i="112"/>
  <c r="EE396" i="112"/>
  <c r="EE447" i="112"/>
  <c r="EE389" i="112"/>
  <c r="EE407" i="112"/>
  <c r="EE452" i="112"/>
  <c r="EJ496" i="112"/>
  <c r="EE390" i="112"/>
  <c r="EE431" i="112"/>
  <c r="EE457" i="112"/>
  <c r="EE463" i="112"/>
  <c r="EJ482" i="112"/>
  <c r="EE410" i="112"/>
  <c r="EE378" i="112"/>
  <c r="EE385" i="112"/>
  <c r="EJ436" i="112"/>
  <c r="EJ458" i="112"/>
  <c r="EE477" i="112"/>
  <c r="EJ483" i="112"/>
  <c r="EJ386" i="112"/>
  <c r="EJ390" i="112"/>
  <c r="EJ396" i="112"/>
  <c r="EE497" i="112"/>
  <c r="EJ431" i="112"/>
  <c r="EJ447" i="112"/>
  <c r="EJ407" i="112"/>
  <c r="EE441" i="112"/>
  <c r="EJ463" i="112"/>
  <c r="EE478" i="112"/>
  <c r="EJ410" i="112"/>
  <c r="EE395" i="112"/>
  <c r="EE401" i="112"/>
  <c r="EJ432" i="112"/>
  <c r="EE483" i="112"/>
  <c r="EJ375" i="112"/>
  <c r="EE379" i="112"/>
  <c r="EJ392" i="112"/>
  <c r="EE402" i="112"/>
  <c r="EJ478" i="112"/>
  <c r="EJ378" i="112"/>
  <c r="EJ385" i="112"/>
  <c r="EJ391" i="112"/>
  <c r="EJ395" i="112"/>
  <c r="EJ401" i="112"/>
  <c r="EE438" i="112"/>
  <c r="EE442" i="112"/>
  <c r="EE454" i="112"/>
  <c r="EE458" i="112"/>
  <c r="EJ379" i="112"/>
  <c r="EJ402" i="112"/>
  <c r="EJ437" i="112"/>
  <c r="EJ453" i="112"/>
  <c r="EJ416" i="112"/>
  <c r="EF325" i="112"/>
  <c r="EK325" i="112"/>
  <c r="EF308" i="112"/>
  <c r="DV497" i="112"/>
  <c r="DO490" i="112"/>
  <c r="DO423" i="112"/>
  <c r="EW311" i="112" s="1"/>
  <c r="DO472" i="112"/>
  <c r="EW312" i="112" s="1"/>
  <c r="DV476" i="112"/>
  <c r="DV477" i="112" s="1"/>
  <c r="EE416" i="112"/>
  <c r="EF310" i="112"/>
  <c r="EK314" i="112"/>
  <c r="EF314" i="112"/>
  <c r="EK315" i="112"/>
  <c r="EF315" i="112"/>
  <c r="EK311" i="112"/>
  <c r="EF311" i="112"/>
  <c r="EF313" i="112"/>
  <c r="EK313" i="112"/>
  <c r="EF312" i="112"/>
  <c r="EK312" i="112"/>
  <c r="EK308" i="112"/>
  <c r="EF309" i="112"/>
  <c r="EK309" i="112"/>
  <c r="EK310" i="112"/>
  <c r="DZ359" i="112"/>
  <c r="DZ357" i="112"/>
  <c r="DZ356" i="112"/>
  <c r="DZ352" i="112"/>
  <c r="DZ340" i="112"/>
  <c r="DZ336" i="112"/>
  <c r="DZ333" i="112"/>
  <c r="DZ330" i="112"/>
  <c r="DZ327" i="112"/>
  <c r="DZ315" i="112"/>
  <c r="DZ312" i="112"/>
  <c r="DZ309" i="112"/>
  <c r="DZ355" i="112"/>
  <c r="DZ370" i="112"/>
  <c r="DZ373" i="112"/>
  <c r="DZ358" i="112"/>
  <c r="DZ341" i="112"/>
  <c r="DZ338" i="112"/>
  <c r="DZ334" i="112"/>
  <c r="DZ331" i="112"/>
  <c r="DZ328" i="112"/>
  <c r="DZ325" i="112"/>
  <c r="DZ313" i="112"/>
  <c r="DZ310" i="112"/>
  <c r="DZ374" i="112"/>
  <c r="DZ371" i="112"/>
  <c r="DZ342" i="112"/>
  <c r="DZ339" i="112"/>
  <c r="DZ335" i="112"/>
  <c r="DZ332" i="112"/>
  <c r="DZ329" i="112"/>
  <c r="DZ326" i="112"/>
  <c r="DZ314" i="112"/>
  <c r="DZ311" i="112"/>
  <c r="DZ353" i="112"/>
  <c r="DZ372" i="112"/>
  <c r="DZ360" i="112"/>
  <c r="DZ354" i="112"/>
  <c r="DV427" i="112"/>
  <c r="DV352" i="112"/>
  <c r="DV370" i="112"/>
  <c r="DX360" i="112"/>
  <c r="DX340" i="112"/>
  <c r="DX336" i="112"/>
  <c r="DX315" i="112"/>
  <c r="DX358" i="112"/>
  <c r="DX355" i="112"/>
  <c r="DX341" i="112"/>
  <c r="DX338" i="112"/>
  <c r="DX331" i="112"/>
  <c r="DX328" i="112"/>
  <c r="DX313" i="112"/>
  <c r="DX359" i="112"/>
  <c r="DX356" i="112"/>
  <c r="DX342" i="112"/>
  <c r="DX339" i="112"/>
  <c r="DX335" i="112"/>
  <c r="DX332" i="112"/>
  <c r="DX329" i="112"/>
  <c r="DX314" i="112"/>
  <c r="DX374" i="112"/>
  <c r="DX372" i="112"/>
  <c r="DX357" i="112"/>
  <c r="DX354" i="112"/>
  <c r="DX373" i="112"/>
  <c r="DX312" i="112"/>
  <c r="DX311" i="112"/>
  <c r="DX353" i="112"/>
  <c r="DX371" i="112"/>
  <c r="DX330" i="112"/>
  <c r="DX334" i="112"/>
  <c r="DX333" i="112"/>
  <c r="DX310" i="112"/>
  <c r="DX370" i="112"/>
  <c r="DX327" i="112"/>
  <c r="DX326" i="112"/>
  <c r="DX309" i="112"/>
  <c r="DN307" i="112"/>
  <c r="DO304" i="112"/>
  <c r="EA308" i="112" l="1"/>
  <c r="FT308" i="112"/>
  <c r="EB307" i="112"/>
  <c r="EC307" i="112" s="1"/>
  <c r="ED366" i="112"/>
  <c r="ED348" i="112"/>
  <c r="B111" i="130"/>
  <c r="C111" i="130" s="1"/>
  <c r="B110" i="130"/>
  <c r="C110" i="130" s="1"/>
  <c r="B196" i="127"/>
  <c r="C196" i="127" s="1"/>
  <c r="B195" i="127"/>
  <c r="C195" i="127" s="1"/>
  <c r="B109" i="130"/>
  <c r="C109" i="130" s="1"/>
  <c r="GZ531" i="112"/>
  <c r="ES423" i="112" s="1"/>
  <c r="AM415" i="114" s="1"/>
  <c r="DY367" i="112"/>
  <c r="P532" i="114" s="1"/>
  <c r="DP530" i="112"/>
  <c r="DP531" i="112" s="1"/>
  <c r="EW313" i="112"/>
  <c r="DN321" i="112"/>
  <c r="DY304" i="112"/>
  <c r="DY322" i="112"/>
  <c r="DY349" i="112"/>
  <c r="ES472" i="112"/>
  <c r="AM419" i="114" s="1"/>
  <c r="GY529" i="112"/>
  <c r="GY530" i="112" s="1"/>
  <c r="GY531" i="112" s="1"/>
  <c r="GW529" i="112"/>
  <c r="GW530" i="112" s="1"/>
  <c r="GX529" i="112"/>
  <c r="GX530" i="112" s="1"/>
  <c r="P567" i="114"/>
  <c r="DV478" i="112"/>
  <c r="EJ508" i="112" a="1"/>
  <c r="EJ508" i="112" s="1"/>
  <c r="EE471" i="112" a="1"/>
  <c r="EE471" i="112" s="1"/>
  <c r="EY311" i="112" s="1"/>
  <c r="EK366" i="112"/>
  <c r="EE489" i="112" a="1"/>
  <c r="EE489" i="112" s="1"/>
  <c r="EY312" i="112" s="1"/>
  <c r="EF422" i="112"/>
  <c r="EF366" i="112"/>
  <c r="EK422" i="112"/>
  <c r="EB367" i="112"/>
  <c r="EJ489" i="112" a="1"/>
  <c r="EJ489" i="112" s="1"/>
  <c r="FD312" i="112" s="1"/>
  <c r="EI422" i="112"/>
  <c r="EE508" i="112" a="1"/>
  <c r="EE508" i="112" s="1"/>
  <c r="FU422" i="112"/>
  <c r="FU367" i="112" s="1"/>
  <c r="FU348" i="112"/>
  <c r="EK348" i="112"/>
  <c r="EJ471" i="112" a="1"/>
  <c r="EJ471" i="112" s="1"/>
  <c r="FD311" i="112" s="1"/>
  <c r="FT422" i="112" a="1"/>
  <c r="FT422" i="112" s="1"/>
  <c r="FS367" i="112" s="1"/>
  <c r="FU366" i="112"/>
  <c r="FU349" i="112" s="1"/>
  <c r="FT349" i="112" s="1"/>
  <c r="EI366" i="112"/>
  <c r="EB349" i="112"/>
  <c r="ED349" i="112" s="1"/>
  <c r="EI348" i="112"/>
  <c r="EF348" i="112"/>
  <c r="EB322" i="112"/>
  <c r="ED322" i="112" s="1"/>
  <c r="EG367" i="112"/>
  <c r="ED422" i="112"/>
  <c r="EF307" i="112"/>
  <c r="EF321" i="112" s="1"/>
  <c r="P550" i="114"/>
  <c r="FT328" i="112"/>
  <c r="FT329" i="112"/>
  <c r="ED307" i="112"/>
  <c r="GV529" i="112" s="1"/>
  <c r="GV530" i="112" s="1"/>
  <c r="FU307" i="112"/>
  <c r="FU321" i="112" s="1"/>
  <c r="EF472" i="112"/>
  <c r="FA312" i="112" s="1"/>
  <c r="EF423" i="112"/>
  <c r="FA311" i="112" s="1"/>
  <c r="EF490" i="112"/>
  <c r="O419" i="114"/>
  <c r="O415" i="114"/>
  <c r="EI307" i="112"/>
  <c r="EG304" i="112" s="1"/>
  <c r="EI304" i="112" s="1"/>
  <c r="DP472" i="112"/>
  <c r="DV498" i="112"/>
  <c r="DV499" i="112" s="1"/>
  <c r="DP490" i="112"/>
  <c r="DP423" i="112"/>
  <c r="EG322" i="112"/>
  <c r="EI322" i="112" s="1"/>
  <c r="EE360" i="112"/>
  <c r="EJ336" i="112"/>
  <c r="EJ355" i="112"/>
  <c r="EJ357" i="112"/>
  <c r="EJ327" i="112"/>
  <c r="EE330" i="112"/>
  <c r="EE374" i="112"/>
  <c r="EE327" i="112"/>
  <c r="EE331" i="112"/>
  <c r="EJ354" i="112"/>
  <c r="EJ374" i="112"/>
  <c r="EE338" i="112"/>
  <c r="EJ371" i="112"/>
  <c r="EE332" i="112"/>
  <c r="EE336" i="112"/>
  <c r="EE333" i="112"/>
  <c r="EJ340" i="112"/>
  <c r="EE358" i="112"/>
  <c r="EJ356" i="112"/>
  <c r="EE352" i="112"/>
  <c r="EJ359" i="112"/>
  <c r="EE340" i="112"/>
  <c r="EJ358" i="112"/>
  <c r="EE371" i="112"/>
  <c r="EJ326" i="112"/>
  <c r="EJ332" i="112"/>
  <c r="EE370" i="112"/>
  <c r="EE329" i="112"/>
  <c r="EJ333" i="112"/>
  <c r="EE326" i="112"/>
  <c r="EJ352" i="112"/>
  <c r="EE359" i="112"/>
  <c r="EJ370" i="112"/>
  <c r="EE356" i="112"/>
  <c r="EJ339" i="112"/>
  <c r="EJ353" i="112"/>
  <c r="EJ335" i="112"/>
  <c r="EJ372" i="112"/>
  <c r="EJ329" i="112"/>
  <c r="EE335" i="112"/>
  <c r="EJ328" i="112"/>
  <c r="EE372" i="112"/>
  <c r="EJ360" i="112"/>
  <c r="EE328" i="112"/>
  <c r="EE339" i="112"/>
  <c r="EE353" i="112"/>
  <c r="EJ373" i="112"/>
  <c r="EJ334" i="112"/>
  <c r="EE373" i="112"/>
  <c r="EE334" i="112"/>
  <c r="EJ341" i="112"/>
  <c r="EE357" i="112"/>
  <c r="EJ338" i="112"/>
  <c r="EJ342" i="112"/>
  <c r="EE354" i="112"/>
  <c r="EJ330" i="112"/>
  <c r="EE341" i="112"/>
  <c r="EE355" i="112"/>
  <c r="EJ331" i="112"/>
  <c r="EE342" i="112"/>
  <c r="EE325" i="112"/>
  <c r="EJ325" i="112"/>
  <c r="EW307" i="112"/>
  <c r="DO349" i="112"/>
  <c r="DO367" i="112"/>
  <c r="EW310" i="112" s="1"/>
  <c r="DO322" i="112"/>
  <c r="EW308" i="112" s="1"/>
  <c r="DV479" i="112"/>
  <c r="DV371" i="112"/>
  <c r="EJ315" i="112"/>
  <c r="EE315" i="112"/>
  <c r="EJ312" i="112"/>
  <c r="EJ313" i="112"/>
  <c r="EE312" i="112"/>
  <c r="EE313" i="112"/>
  <c r="EE314" i="112"/>
  <c r="EJ314" i="112"/>
  <c r="EG349" i="112"/>
  <c r="EI349" i="112" s="1"/>
  <c r="EE415" i="112"/>
  <c r="EE414" i="112"/>
  <c r="EE413" i="112"/>
  <c r="EJ311" i="112"/>
  <c r="EE310" i="112"/>
  <c r="EJ310" i="112"/>
  <c r="EJ309" i="112"/>
  <c r="DV428" i="112"/>
  <c r="EK307" i="112"/>
  <c r="EK321" i="112" s="1"/>
  <c r="DX307" i="112"/>
  <c r="DZ307" i="112"/>
  <c r="DV353" i="112"/>
  <c r="DV307" i="112"/>
  <c r="AS261" i="112"/>
  <c r="EB531" i="112" l="1"/>
  <c r="ED367" i="112"/>
  <c r="EG531" i="112"/>
  <c r="EI367" i="112"/>
  <c r="EA307" i="112"/>
  <c r="AP167" i="121" s="1"/>
  <c r="B193" i="127"/>
  <c r="C193" i="127" s="1"/>
  <c r="B107" i="130"/>
  <c r="C107" i="130" s="1"/>
  <c r="B192" i="127"/>
  <c r="C192" i="127" s="1"/>
  <c r="B106" i="130"/>
  <c r="C106" i="130" s="1"/>
  <c r="B194" i="127"/>
  <c r="C194" i="127" s="1"/>
  <c r="B108" i="130"/>
  <c r="C108" i="130" s="1"/>
  <c r="B191" i="127"/>
  <c r="C191" i="127" s="1"/>
  <c r="B105" i="130"/>
  <c r="C105" i="130" s="1"/>
  <c r="J135" i="114"/>
  <c r="AD565" i="114"/>
  <c r="EX311" i="112"/>
  <c r="HD530" i="112"/>
  <c r="HD531" i="112" s="1"/>
  <c r="GV531" i="112"/>
  <c r="ES304" i="112" s="1"/>
  <c r="AM399" i="114" s="1"/>
  <c r="O411" i="114"/>
  <c r="DN531" i="112"/>
  <c r="DM531" i="112" s="1"/>
  <c r="AH409" i="114" s="1"/>
  <c r="O409" i="114"/>
  <c r="Y409" i="114"/>
  <c r="FD313" i="112"/>
  <c r="FA313" i="112"/>
  <c r="EY313" i="112"/>
  <c r="DN490" i="112"/>
  <c r="DM490" i="112" s="1"/>
  <c r="ES322" i="112"/>
  <c r="AM403" i="114" s="1"/>
  <c r="GY532" i="112"/>
  <c r="EB304" i="112"/>
  <c r="EE490" i="112"/>
  <c r="ED321" i="112"/>
  <c r="EI321" i="112"/>
  <c r="EE472" i="112"/>
  <c r="EE423" i="112"/>
  <c r="EE422" i="112" a="1"/>
  <c r="EE422" i="112" s="1"/>
  <c r="EJ422" i="112" a="1"/>
  <c r="EJ422" i="112" s="1"/>
  <c r="FD310" i="112" s="1"/>
  <c r="EE348" i="112" a="1"/>
  <c r="EE348" i="112" s="1"/>
  <c r="EE366" i="112" a="1"/>
  <c r="EE366" i="112" s="1"/>
  <c r="EJ366" i="112" a="1"/>
  <c r="EJ366" i="112" s="1"/>
  <c r="FD309" i="112" s="1"/>
  <c r="FT348" i="112" a="1"/>
  <c r="FT348" i="112" s="1"/>
  <c r="FS322" i="112" s="1"/>
  <c r="EJ348" i="112" a="1"/>
  <c r="EJ348" i="112" s="1"/>
  <c r="FD308" i="112" s="1"/>
  <c r="DV372" i="112"/>
  <c r="DV373" i="112" s="1"/>
  <c r="DV374" i="112" s="1"/>
  <c r="DC307" i="112"/>
  <c r="O417" i="114"/>
  <c r="Y417" i="114"/>
  <c r="EX312" i="112"/>
  <c r="DN472" i="112"/>
  <c r="EV312" i="112" s="1"/>
  <c r="U565" i="114"/>
  <c r="FT367" i="112"/>
  <c r="EK472" i="112"/>
  <c r="FF312" i="112" s="1"/>
  <c r="P520" i="114"/>
  <c r="P507" i="114"/>
  <c r="FU322" i="112"/>
  <c r="FT307" i="112"/>
  <c r="FT321" i="112" s="1" a="1"/>
  <c r="FT321" i="112" s="1"/>
  <c r="EW309" i="112"/>
  <c r="EW315" i="112" s="1"/>
  <c r="DP349" i="112"/>
  <c r="EX313" i="112"/>
  <c r="EF367" i="112"/>
  <c r="FA310" i="112" s="1"/>
  <c r="EK490" i="112"/>
  <c r="EK423" i="112"/>
  <c r="EF322" i="112"/>
  <c r="FA308" i="112" s="1"/>
  <c r="EF349" i="112"/>
  <c r="FA309" i="112" s="1"/>
  <c r="O407" i="114"/>
  <c r="O403" i="114"/>
  <c r="AD548" i="114"/>
  <c r="U548" i="114"/>
  <c r="DN423" i="112"/>
  <c r="EV311" i="112" s="1"/>
  <c r="O413" i="114"/>
  <c r="DV500" i="112"/>
  <c r="DV501" i="112" s="1"/>
  <c r="Y413" i="114"/>
  <c r="DP304" i="112"/>
  <c r="DP322" i="112"/>
  <c r="DP367" i="112"/>
  <c r="P496" i="114"/>
  <c r="DV480" i="112"/>
  <c r="DV354" i="112"/>
  <c r="DV355" i="112" s="1"/>
  <c r="DV356" i="112" s="1"/>
  <c r="DV357" i="112" s="1"/>
  <c r="EN307" i="112"/>
  <c r="EM307" i="112"/>
  <c r="EL307" i="112"/>
  <c r="DV429" i="112"/>
  <c r="EE311" i="112"/>
  <c r="EE308" i="112"/>
  <c r="EJ308" i="112"/>
  <c r="EE309" i="112"/>
  <c r="DV308" i="112"/>
  <c r="DC308" i="112"/>
  <c r="O399" i="114" l="1"/>
  <c r="J135" i="115"/>
  <c r="B97" i="130"/>
  <c r="C97" i="130" s="1"/>
  <c r="B183" i="127"/>
  <c r="C183" i="127" s="1"/>
  <c r="B104" i="130"/>
  <c r="C104" i="130" s="1"/>
  <c r="B190" i="127"/>
  <c r="C190" i="127" s="1"/>
  <c r="U518" i="114"/>
  <c r="ES367" i="112"/>
  <c r="GY533" i="112"/>
  <c r="ES531" i="112" s="1"/>
  <c r="AM411" i="114" s="1"/>
  <c r="EK367" i="112"/>
  <c r="FF310" i="112" s="1"/>
  <c r="EK304" i="112"/>
  <c r="FF307" i="112" s="1"/>
  <c r="EF531" i="112"/>
  <c r="ED531" i="112"/>
  <c r="FF313" i="112"/>
  <c r="EU313" i="112"/>
  <c r="EV313" i="112"/>
  <c r="FI304" i="112"/>
  <c r="AM101" i="114" s="1"/>
  <c r="AM101" i="115" s="1"/>
  <c r="EF304" i="112"/>
  <c r="FA307" i="112" s="1"/>
  <c r="FA315" i="112" s="1"/>
  <c r="EY304" i="112"/>
  <c r="EI531" i="112"/>
  <c r="EJ423" i="112"/>
  <c r="FF311" i="112"/>
  <c r="T403" i="114"/>
  <c r="FD304" i="112"/>
  <c r="DV484" i="112"/>
  <c r="DV485" i="112"/>
  <c r="DV487" i="112" s="1"/>
  <c r="DV481" i="112"/>
  <c r="DV482" i="112" s="1"/>
  <c r="EE367" i="112"/>
  <c r="EE531" i="112" s="1"/>
  <c r="EJ490" i="112"/>
  <c r="EJ472" i="112"/>
  <c r="AH419" i="114"/>
  <c r="EJ367" i="112"/>
  <c r="EE349" i="112"/>
  <c r="EK322" i="112"/>
  <c r="EE322" i="112"/>
  <c r="AH415" i="114"/>
  <c r="EY310" i="112"/>
  <c r="EY309" i="112"/>
  <c r="DV375" i="112"/>
  <c r="DV376" i="112" s="1"/>
  <c r="DV377" i="112" s="1"/>
  <c r="DV378" i="112" s="1"/>
  <c r="FS304" i="112"/>
  <c r="FT322" i="112"/>
  <c r="DM472" i="112"/>
  <c r="EU312" i="112" s="1"/>
  <c r="AL574" i="114"/>
  <c r="EK349" i="112"/>
  <c r="FF309" i="112" s="1"/>
  <c r="EE307" i="112"/>
  <c r="EE321" i="112" s="1" a="1"/>
  <c r="EE321" i="112" s="1"/>
  <c r="EE304" i="112" s="1"/>
  <c r="AL564" i="114"/>
  <c r="DM423" i="112"/>
  <c r="EU311" i="112" s="1"/>
  <c r="DV502" i="112"/>
  <c r="AF574" i="114"/>
  <c r="U574" i="114"/>
  <c r="AA574" i="114"/>
  <c r="AD518" i="114"/>
  <c r="EX310" i="112"/>
  <c r="EX308" i="112"/>
  <c r="Y401" i="114"/>
  <c r="O401" i="114"/>
  <c r="EX309" i="112"/>
  <c r="O405" i="114"/>
  <c r="Y405" i="114"/>
  <c r="DN349" i="112"/>
  <c r="EY308" i="112"/>
  <c r="U494" i="114"/>
  <c r="O397" i="114"/>
  <c r="DN304" i="112"/>
  <c r="DN367" i="112"/>
  <c r="AD505" i="114"/>
  <c r="U505" i="114"/>
  <c r="AD494" i="114"/>
  <c r="EX307" i="112"/>
  <c r="Y397" i="114"/>
  <c r="U530" i="114"/>
  <c r="AD530" i="114"/>
  <c r="DN322" i="112"/>
  <c r="DV430" i="112"/>
  <c r="DV358" i="112"/>
  <c r="DV359" i="112" s="1"/>
  <c r="CV307" i="112"/>
  <c r="EN308" i="112"/>
  <c r="EM308" i="112"/>
  <c r="EL308" i="112"/>
  <c r="AF517" i="114"/>
  <c r="AL547" i="114"/>
  <c r="U517" i="114"/>
  <c r="EJ307" i="112"/>
  <c r="DV309" i="112"/>
  <c r="ED304" i="112" l="1"/>
  <c r="EK531" i="112"/>
  <c r="AH411" i="114" s="1"/>
  <c r="B103" i="130"/>
  <c r="C103" i="130" s="1"/>
  <c r="B102" i="130"/>
  <c r="C102" i="130" s="1"/>
  <c r="B189" i="127"/>
  <c r="C189" i="127" s="1"/>
  <c r="B188" i="127"/>
  <c r="C188" i="127" s="1"/>
  <c r="DM304" i="112"/>
  <c r="U495" i="114" s="1"/>
  <c r="T411" i="114"/>
  <c r="EJ531" i="112"/>
  <c r="W411" i="114" s="1"/>
  <c r="EX315" i="112"/>
  <c r="FC304" i="112"/>
  <c r="AH399" i="114"/>
  <c r="AL517" i="114"/>
  <c r="FF308" i="112"/>
  <c r="FF315" i="112" s="1"/>
  <c r="FH304" i="112" s="1"/>
  <c r="DV483" i="112"/>
  <c r="DV503" i="112"/>
  <c r="DV486" i="112"/>
  <c r="DV360" i="112"/>
  <c r="DV361" i="112"/>
  <c r="DV362" i="112" s="1"/>
  <c r="AH403" i="114"/>
  <c r="EN317" i="112"/>
  <c r="DC317" i="112"/>
  <c r="EM317" i="112"/>
  <c r="EL317" i="112"/>
  <c r="CV317" i="112" s="1"/>
  <c r="W419" i="114"/>
  <c r="EJ322" i="112"/>
  <c r="EJ321" i="112" a="1"/>
  <c r="EJ321" i="112" s="1"/>
  <c r="EJ304" i="112" s="1"/>
  <c r="EJ349" i="112"/>
  <c r="AH407" i="114"/>
  <c r="DC309" i="112"/>
  <c r="DV379" i="112"/>
  <c r="AL529" i="114"/>
  <c r="AH417" i="114"/>
  <c r="U566" i="114"/>
  <c r="U549" i="114"/>
  <c r="AH413" i="114"/>
  <c r="AD574" i="114"/>
  <c r="T419" i="114"/>
  <c r="EV309" i="112"/>
  <c r="EV310" i="112"/>
  <c r="EV308" i="112"/>
  <c r="AF529" i="114"/>
  <c r="DM349" i="112"/>
  <c r="DM367" i="112"/>
  <c r="EU310" i="112" s="1"/>
  <c r="EV307" i="112"/>
  <c r="DM322" i="112"/>
  <c r="EU308" i="112" s="1"/>
  <c r="DV431" i="112"/>
  <c r="DV432" i="112" s="1"/>
  <c r="DV433" i="112" s="1"/>
  <c r="DV434" i="112" s="1"/>
  <c r="DV435" i="112" s="1"/>
  <c r="CV308" i="112"/>
  <c r="EN309" i="112"/>
  <c r="EM309" i="112"/>
  <c r="EL309" i="112"/>
  <c r="EY307" i="112"/>
  <c r="EY315" i="112" s="1" a="1"/>
  <c r="EY315" i="112" s="1"/>
  <c r="AF564" i="114"/>
  <c r="U564" i="114"/>
  <c r="AF547" i="114"/>
  <c r="U547" i="114"/>
  <c r="U529" i="114"/>
  <c r="AA517" i="114"/>
  <c r="DV310" i="112"/>
  <c r="O95" i="114" l="1"/>
  <c r="B99" i="130"/>
  <c r="C99" i="130" s="1"/>
  <c r="B98" i="130"/>
  <c r="C98" i="130" s="1"/>
  <c r="EU309" i="112"/>
  <c r="B100" i="130"/>
  <c r="C100" i="130" s="1"/>
  <c r="B101" i="130"/>
  <c r="C101" i="130" s="1"/>
  <c r="EU307" i="112"/>
  <c r="AH397" i="114"/>
  <c r="B186" i="127"/>
  <c r="C186" i="127" s="1"/>
  <c r="B187" i="127"/>
  <c r="C187" i="127" s="1"/>
  <c r="B184" i="127"/>
  <c r="C184" i="127" s="1"/>
  <c r="B185" i="127"/>
  <c r="C185" i="127" s="1"/>
  <c r="EV315" i="112"/>
  <c r="EU315" i="112" s="1"/>
  <c r="T399" i="114"/>
  <c r="DV380" i="112"/>
  <c r="DV381" i="112" s="1"/>
  <c r="DV382" i="112" s="1"/>
  <c r="DV383" i="112" s="1"/>
  <c r="DV384" i="112" s="1"/>
  <c r="DV504" i="112"/>
  <c r="DV505" i="112" s="1"/>
  <c r="DV506" i="112" s="1"/>
  <c r="DV507" i="112" s="1"/>
  <c r="R419" i="114"/>
  <c r="DV363" i="112"/>
  <c r="DV364" i="112"/>
  <c r="DV365" i="112" s="1"/>
  <c r="AD517" i="114"/>
  <c r="W403" i="114"/>
  <c r="R403" i="114" s="1"/>
  <c r="W407" i="114"/>
  <c r="DC310" i="112"/>
  <c r="FD307" i="112"/>
  <c r="FD315" i="112" s="1" a="1"/>
  <c r="FD315" i="112" s="1"/>
  <c r="Y95" i="114"/>
  <c r="AH401" i="114"/>
  <c r="AA529" i="114"/>
  <c r="T407" i="114"/>
  <c r="AA547" i="114"/>
  <c r="R411" i="114"/>
  <c r="AD564" i="114"/>
  <c r="W415" i="114"/>
  <c r="AH405" i="114"/>
  <c r="AA564" i="114"/>
  <c r="T415" i="114"/>
  <c r="U531" i="114"/>
  <c r="U519" i="114"/>
  <c r="U506" i="114"/>
  <c r="DV436" i="112"/>
  <c r="CV309" i="112"/>
  <c r="EN310" i="112"/>
  <c r="EM310" i="112"/>
  <c r="EL310" i="112"/>
  <c r="U504" i="114"/>
  <c r="AF504" i="114"/>
  <c r="AD547" i="114"/>
  <c r="AD529" i="114"/>
  <c r="DV311" i="112"/>
  <c r="DV312" i="112" s="1"/>
  <c r="AH95" i="114" l="1"/>
  <c r="DV385" i="112"/>
  <c r="DV386" i="112" s="1"/>
  <c r="DV387" i="112" s="1"/>
  <c r="R407" i="114"/>
  <c r="R415" i="114"/>
  <c r="DC311" i="112"/>
  <c r="W399" i="114"/>
  <c r="R399" i="114" s="1"/>
  <c r="DV437" i="112"/>
  <c r="DV438" i="112" s="1"/>
  <c r="CV310" i="112"/>
  <c r="EN311" i="112"/>
  <c r="EM311" i="112"/>
  <c r="EL311" i="112"/>
  <c r="AA504" i="114"/>
  <c r="DV313" i="112"/>
  <c r="AQ277" i="112"/>
  <c r="AQ271" i="112"/>
  <c r="AQ272" i="112"/>
  <c r="AQ273" i="112"/>
  <c r="AQ274" i="112"/>
  <c r="AQ275" i="112"/>
  <c r="AQ270" i="112"/>
  <c r="AH210" i="112"/>
  <c r="AH197" i="112"/>
  <c r="AH196" i="112"/>
  <c r="AV181" i="112"/>
  <c r="AV175" i="112"/>
  <c r="AV195" i="112"/>
  <c r="AV189" i="112"/>
  <c r="DN217" i="112"/>
  <c r="BA217" i="112" s="1"/>
  <c r="DN215" i="112"/>
  <c r="BA215" i="112" s="1"/>
  <c r="DN213" i="112"/>
  <c r="BA213" i="112" s="1"/>
  <c r="DN211" i="112"/>
  <c r="BA211" i="112" s="1"/>
  <c r="DN209" i="112"/>
  <c r="DN184" i="112"/>
  <c r="AS185" i="112" s="1"/>
  <c r="DN191" i="112"/>
  <c r="DM128" i="112"/>
  <c r="AQ130" i="112" s="1"/>
  <c r="DV388" i="112" l="1"/>
  <c r="DV389" i="112" s="1"/>
  <c r="DC312" i="112"/>
  <c r="DV439" i="112"/>
  <c r="CV311" i="112"/>
  <c r="EM312" i="112"/>
  <c r="EN312" i="112"/>
  <c r="EL312" i="112"/>
  <c r="AD504" i="114"/>
  <c r="DV314" i="112"/>
  <c r="DV315" i="112" s="1"/>
  <c r="DV317" i="112" s="1"/>
  <c r="DM116" i="112"/>
  <c r="AQ118" i="112" s="1"/>
  <c r="EN316" i="112" l="1"/>
  <c r="DV390" i="112"/>
  <c r="DV391" i="112" s="1"/>
  <c r="DV392" i="112" s="1"/>
  <c r="DV393" i="112" s="1"/>
  <c r="DV394" i="112" s="1"/>
  <c r="DV395" i="112" s="1"/>
  <c r="DV316" i="112"/>
  <c r="DV325" i="112" s="1"/>
  <c r="DC313" i="112"/>
  <c r="DV440" i="112"/>
  <c r="CV312" i="112"/>
  <c r="EM313" i="112"/>
  <c r="EN313" i="112"/>
  <c r="EL313" i="112"/>
  <c r="AL504" i="114"/>
  <c r="DC316" i="112" l="1"/>
  <c r="EL316" i="112"/>
  <c r="CV316" i="112" s="1"/>
  <c r="EM316" i="112"/>
  <c r="DV396" i="112"/>
  <c r="DV397" i="112" s="1"/>
  <c r="DV398" i="112" s="1"/>
  <c r="DV399" i="112" s="1"/>
  <c r="DC314" i="112"/>
  <c r="DV441" i="112"/>
  <c r="DV442" i="112" s="1"/>
  <c r="DV443" i="112" s="1"/>
  <c r="CV313" i="112"/>
  <c r="EL314" i="112"/>
  <c r="EM314" i="112"/>
  <c r="EN314" i="112"/>
  <c r="DV326" i="112"/>
  <c r="DC318" i="112" l="1"/>
  <c r="EN318" i="112"/>
  <c r="EM318" i="112"/>
  <c r="EL318" i="112"/>
  <c r="CV318" i="112" s="1"/>
  <c r="EL315" i="112"/>
  <c r="DC315" i="112"/>
  <c r="DV444" i="112"/>
  <c r="DV445" i="112"/>
  <c r="DV446" i="112" s="1"/>
  <c r="DV447" i="112" s="1"/>
  <c r="DV448" i="112" s="1"/>
  <c r="DV449" i="112" s="1"/>
  <c r="DV450" i="112" s="1"/>
  <c r="DV451" i="112" s="1"/>
  <c r="DV400" i="112"/>
  <c r="CV314" i="112"/>
  <c r="EN315" i="112"/>
  <c r="EM315" i="112"/>
  <c r="DV327" i="112"/>
  <c r="DV401" i="112" l="1"/>
  <c r="DV402" i="112" s="1"/>
  <c r="DV403" i="112" s="1"/>
  <c r="EN319" i="112"/>
  <c r="DC319" i="112"/>
  <c r="EM319" i="112"/>
  <c r="EL319" i="112"/>
  <c r="CV315" i="112"/>
  <c r="DV452" i="112"/>
  <c r="DV328" i="112"/>
  <c r="CV319" i="112" l="1"/>
  <c r="EN320" i="112"/>
  <c r="EL320" i="112"/>
  <c r="EM320" i="112"/>
  <c r="DC320" i="112"/>
  <c r="DV453" i="112"/>
  <c r="DV404" i="112"/>
  <c r="DV329" i="112"/>
  <c r="EM326" i="112" l="1"/>
  <c r="CV320" i="112"/>
  <c r="EL325" i="112"/>
  <c r="DC325" i="112"/>
  <c r="EN325" i="112"/>
  <c r="EM325" i="112"/>
  <c r="DV454" i="112"/>
  <c r="DV455" i="112" s="1"/>
  <c r="DV456" i="112" s="1"/>
  <c r="DV457" i="112" s="1"/>
  <c r="DV458" i="112" s="1"/>
  <c r="DV459" i="112" s="1"/>
  <c r="DV460" i="112" s="1"/>
  <c r="DV461" i="112" s="1"/>
  <c r="DV405" i="112"/>
  <c r="DV330" i="112"/>
  <c r="DN177" i="112"/>
  <c r="DN170" i="112"/>
  <c r="AS171" i="112" s="1"/>
  <c r="EN326" i="112" l="1"/>
  <c r="EL326" i="112"/>
  <c r="DC326" i="112"/>
  <c r="DV462" i="112"/>
  <c r="DV463" i="112" s="1"/>
  <c r="DV464" i="112" s="1"/>
  <c r="DV465" i="112" s="1"/>
  <c r="CV325" i="112"/>
  <c r="DV406" i="112"/>
  <c r="DV331" i="112"/>
  <c r="DM140" i="112"/>
  <c r="CV326" i="112" l="1"/>
  <c r="EM327" i="112"/>
  <c r="EL327" i="112"/>
  <c r="EN327" i="112"/>
  <c r="DC327" i="112"/>
  <c r="DV466" i="112"/>
  <c r="DV467" i="112" s="1"/>
  <c r="DV408" i="112"/>
  <c r="DV409" i="112" s="1"/>
  <c r="DV410" i="112" s="1"/>
  <c r="DV411" i="112" s="1"/>
  <c r="DV412" i="112" s="1"/>
  <c r="DV413" i="112" s="1"/>
  <c r="DV332" i="112"/>
  <c r="DV333" i="112" s="1"/>
  <c r="CV327" i="112" l="1"/>
  <c r="DC328" i="112"/>
  <c r="EN328" i="112"/>
  <c r="EL328" i="112"/>
  <c r="EM328" i="112"/>
  <c r="DV414" i="112"/>
  <c r="DV415" i="112" s="1"/>
  <c r="DV334" i="112"/>
  <c r="DV335" i="112" s="1"/>
  <c r="DV336" i="112" s="1"/>
  <c r="O62" i="114"/>
  <c r="CV328" i="112" l="1"/>
  <c r="EM329" i="112"/>
  <c r="EN329" i="112"/>
  <c r="DC329" i="112"/>
  <c r="EL329" i="112"/>
  <c r="DV416" i="112"/>
  <c r="DV417" i="112"/>
  <c r="DV337" i="112"/>
  <c r="AM60" i="114"/>
  <c r="Z60" i="114"/>
  <c r="O59" i="114"/>
  <c r="O58" i="114"/>
  <c r="O57" i="114"/>
  <c r="AM56" i="114"/>
  <c r="EM330" i="112" l="1"/>
  <c r="DC330" i="112"/>
  <c r="EL330" i="112"/>
  <c r="EN330" i="112"/>
  <c r="CV329" i="112"/>
  <c r="DV418" i="112"/>
  <c r="DV338" i="112"/>
  <c r="O34" i="114"/>
  <c r="CV330" i="112" l="1"/>
  <c r="EL331" i="112"/>
  <c r="EM331" i="112"/>
  <c r="EN331" i="112"/>
  <c r="DC331" i="112"/>
  <c r="DV419" i="112"/>
  <c r="DV420" i="112" s="1"/>
  <c r="DV339" i="112"/>
  <c r="CV331" i="112" l="1"/>
  <c r="EL332" i="112"/>
  <c r="EN332" i="112"/>
  <c r="EM332" i="112"/>
  <c r="DC332" i="112"/>
  <c r="DV340" i="112"/>
  <c r="DV341" i="112" s="1"/>
  <c r="CV332" i="112" l="1"/>
  <c r="EM333" i="112"/>
  <c r="EL333" i="112"/>
  <c r="DC333" i="112"/>
  <c r="EN333" i="112"/>
  <c r="EL334" i="112"/>
  <c r="DC334" i="112"/>
  <c r="EM334" i="112"/>
  <c r="EN334" i="112"/>
  <c r="DV342" i="112"/>
  <c r="DV343" i="112" s="1"/>
  <c r="DV344" i="112" s="1"/>
  <c r="DV345" i="112" s="1"/>
  <c r="DV346" i="112" s="1"/>
  <c r="DV347" i="112" s="1"/>
  <c r="AI16" i="114"/>
  <c r="CV333" i="112" l="1"/>
  <c r="CV334" i="112"/>
  <c r="EL335" i="112"/>
  <c r="EN335" i="112"/>
  <c r="DC335" i="112"/>
  <c r="EM335" i="112"/>
  <c r="C297" i="115"/>
  <c r="AB281" i="115"/>
  <c r="Y281" i="115"/>
  <c r="V281" i="115"/>
  <c r="Y280" i="115"/>
  <c r="V280" i="115"/>
  <c r="AK279" i="115"/>
  <c r="AA279" i="115"/>
  <c r="U279" i="115"/>
  <c r="AH278" i="115"/>
  <c r="AC278" i="115"/>
  <c r="Z278" i="115"/>
  <c r="W278" i="115"/>
  <c r="U278" i="115"/>
  <c r="S277" i="115"/>
  <c r="P277" i="115"/>
  <c r="U276" i="115"/>
  <c r="R276" i="115"/>
  <c r="AK275" i="115"/>
  <c r="AA275" i="115"/>
  <c r="U275" i="115"/>
  <c r="AH274" i="115"/>
  <c r="AC274" i="115"/>
  <c r="Z274" i="115"/>
  <c r="W274" i="115"/>
  <c r="U274" i="115"/>
  <c r="S273" i="115"/>
  <c r="P273" i="115"/>
  <c r="AB272" i="115"/>
  <c r="S272" i="115"/>
  <c r="P272" i="115"/>
  <c r="AA260" i="115"/>
  <c r="S260" i="115"/>
  <c r="P260" i="115"/>
  <c r="M260" i="115"/>
  <c r="K260" i="115"/>
  <c r="AA259" i="115"/>
  <c r="S259" i="115"/>
  <c r="P259" i="115"/>
  <c r="M259" i="115"/>
  <c r="K259" i="115"/>
  <c r="AA258" i="115"/>
  <c r="S258" i="115"/>
  <c r="P258" i="115"/>
  <c r="M258" i="115"/>
  <c r="K258" i="115"/>
  <c r="AA257" i="115"/>
  <c r="S257" i="115"/>
  <c r="P257" i="115"/>
  <c r="M257" i="115"/>
  <c r="K257" i="115"/>
  <c r="T251" i="115"/>
  <c r="O251" i="115"/>
  <c r="O250" i="115"/>
  <c r="AP249" i="115"/>
  <c r="AF249" i="115"/>
  <c r="Z249" i="115"/>
  <c r="O249" i="115"/>
  <c r="AF248" i="115"/>
  <c r="O248" i="115"/>
  <c r="AD231" i="115"/>
  <c r="V231" i="115"/>
  <c r="AD230" i="115"/>
  <c r="V230" i="115"/>
  <c r="AD229" i="115"/>
  <c r="V229" i="115"/>
  <c r="AD228" i="115"/>
  <c r="V228" i="115"/>
  <c r="AD227" i="115"/>
  <c r="V227" i="115"/>
  <c r="AD226" i="115"/>
  <c r="V226" i="115"/>
  <c r="O226" i="115"/>
  <c r="AD225" i="115"/>
  <c r="V225" i="115"/>
  <c r="AD224" i="115"/>
  <c r="V224" i="115"/>
  <c r="AD223" i="115"/>
  <c r="V223" i="115"/>
  <c r="O223" i="115"/>
  <c r="AD222" i="115"/>
  <c r="V222" i="115"/>
  <c r="AD221" i="115"/>
  <c r="V221" i="115"/>
  <c r="AD220" i="115"/>
  <c r="V220" i="115"/>
  <c r="O220" i="115"/>
  <c r="AD218" i="115"/>
  <c r="V218" i="115"/>
  <c r="AD217" i="115"/>
  <c r="V217" i="115"/>
  <c r="O217" i="115"/>
  <c r="AD216" i="115"/>
  <c r="V216" i="115"/>
  <c r="AD215" i="115"/>
  <c r="V215" i="115"/>
  <c r="AD214" i="115"/>
  <c r="V214" i="115"/>
  <c r="O214" i="115"/>
  <c r="O207" i="115"/>
  <c r="O206" i="115"/>
  <c r="O205" i="115"/>
  <c r="Z204" i="115"/>
  <c r="R204" i="115"/>
  <c r="AF203" i="115"/>
  <c r="AA203" i="115"/>
  <c r="O203" i="115"/>
  <c r="AA202" i="115"/>
  <c r="O202" i="115"/>
  <c r="O195" i="115"/>
  <c r="AI194" i="115"/>
  <c r="T194" i="115"/>
  <c r="O194" i="115"/>
  <c r="V193" i="115"/>
  <c r="O193" i="115"/>
  <c r="O119" i="115"/>
  <c r="X119" i="115" s="1"/>
  <c r="AE118" i="115"/>
  <c r="AB118" i="115"/>
  <c r="Z118" i="115"/>
  <c r="T118" i="115"/>
  <c r="O118" i="115"/>
  <c r="R116" i="115"/>
  <c r="O116" i="115"/>
  <c r="R115" i="115"/>
  <c r="O115" i="115"/>
  <c r="AH111" i="115"/>
  <c r="AA111" i="115"/>
  <c r="X111" i="115"/>
  <c r="U111" i="115"/>
  <c r="S111" i="115"/>
  <c r="O111" i="115"/>
  <c r="AH110" i="115"/>
  <c r="AA110" i="115"/>
  <c r="X110" i="115"/>
  <c r="U110" i="115"/>
  <c r="S110" i="115"/>
  <c r="O110" i="115"/>
  <c r="AH109" i="115"/>
  <c r="AA109" i="115"/>
  <c r="X109" i="115"/>
  <c r="U109" i="115"/>
  <c r="S109" i="115"/>
  <c r="O109" i="115"/>
  <c r="AH108" i="115"/>
  <c r="AA108" i="115"/>
  <c r="X108" i="115"/>
  <c r="U108" i="115"/>
  <c r="S108" i="115"/>
  <c r="O108" i="115"/>
  <c r="AA107" i="115"/>
  <c r="X107" i="115"/>
  <c r="U107" i="115"/>
  <c r="S107" i="115"/>
  <c r="O102" i="115"/>
  <c r="AH95" i="115"/>
  <c r="Y95" i="115"/>
  <c r="O95" i="115"/>
  <c r="O83" i="115"/>
  <c r="O82" i="115"/>
  <c r="O81" i="115"/>
  <c r="O74" i="115"/>
  <c r="O73" i="115"/>
  <c r="O72" i="115"/>
  <c r="AM71" i="115"/>
  <c r="Z71" i="115"/>
  <c r="P71" i="115"/>
  <c r="O70" i="115"/>
  <c r="O69" i="115"/>
  <c r="O68" i="115"/>
  <c r="AM67" i="115"/>
  <c r="AM66" i="115"/>
  <c r="Z66" i="115"/>
  <c r="P66" i="115"/>
  <c r="O63" i="115"/>
  <c r="O62" i="115"/>
  <c r="O61" i="115"/>
  <c r="AM60" i="115"/>
  <c r="Z60" i="115"/>
  <c r="P60" i="115"/>
  <c r="O59" i="115"/>
  <c r="O58" i="115"/>
  <c r="O57" i="115"/>
  <c r="AM56" i="115"/>
  <c r="AM55" i="115"/>
  <c r="Z55" i="115"/>
  <c r="O45" i="115"/>
  <c r="O44" i="115"/>
  <c r="O43" i="115"/>
  <c r="O42" i="115"/>
  <c r="O34" i="115"/>
  <c r="O33" i="115"/>
  <c r="O32" i="115"/>
  <c r="DC336" i="112" l="1"/>
  <c r="EL336" i="112"/>
  <c r="EM336" i="112"/>
  <c r="EN336" i="112"/>
  <c r="CV335" i="112"/>
  <c r="AJ133" i="112"/>
  <c r="CV336" i="112" l="1"/>
  <c r="EL338" i="112"/>
  <c r="EN338" i="112"/>
  <c r="EM338" i="112"/>
  <c r="DC338" i="112"/>
  <c r="EM337" i="112"/>
  <c r="EL337" i="112"/>
  <c r="DC337" i="112"/>
  <c r="EN337" i="112"/>
  <c r="E53" i="37"/>
  <c r="E54" i="37"/>
  <c r="E55" i="37"/>
  <c r="E56" i="37"/>
  <c r="E57" i="37"/>
  <c r="E58" i="37"/>
  <c r="E59" i="37"/>
  <c r="E60" i="37"/>
  <c r="E61" i="37"/>
  <c r="E62" i="37"/>
  <c r="F363" i="114" l="1"/>
  <c r="F364" i="115" s="1"/>
  <c r="AE57" i="37"/>
  <c r="F367" i="114"/>
  <c r="F368" i="115" s="1"/>
  <c r="AE61" i="37"/>
  <c r="F360" i="114"/>
  <c r="F361" i="115" s="1"/>
  <c r="AE54" i="37"/>
  <c r="F362" i="114"/>
  <c r="F363" i="115" s="1"/>
  <c r="AE56" i="37"/>
  <c r="F365" i="114"/>
  <c r="F366" i="115" s="1"/>
  <c r="AE59" i="37"/>
  <c r="F361" i="114"/>
  <c r="F362" i="115" s="1"/>
  <c r="AE55" i="37"/>
  <c r="F368" i="114"/>
  <c r="F369" i="115" s="1"/>
  <c r="AE62" i="37"/>
  <c r="F359" i="114"/>
  <c r="F360" i="115" s="1"/>
  <c r="AE53" i="37"/>
  <c r="F366" i="114"/>
  <c r="F367" i="115" s="1"/>
  <c r="AE60" i="37"/>
  <c r="F364" i="114"/>
  <c r="F365" i="115" s="1"/>
  <c r="AE58" i="37"/>
  <c r="CV337" i="112"/>
  <c r="CV338" i="112"/>
  <c r="DC341" i="112"/>
  <c r="EM341" i="112"/>
  <c r="EL341" i="112"/>
  <c r="EN341" i="112"/>
  <c r="DC340" i="112"/>
  <c r="EM340" i="112"/>
  <c r="EL340" i="112"/>
  <c r="EN340" i="112"/>
  <c r="EN343" i="112"/>
  <c r="EL339" i="112"/>
  <c r="EN339" i="112"/>
  <c r="DC339" i="112"/>
  <c r="EM339" i="112"/>
  <c r="E52" i="37"/>
  <c r="E51" i="37"/>
  <c r="E50" i="37"/>
  <c r="E49" i="37"/>
  <c r="E48" i="37"/>
  <c r="E47" i="37"/>
  <c r="E46" i="37"/>
  <c r="E45" i="37"/>
  <c r="E44" i="37"/>
  <c r="E43" i="37"/>
  <c r="E42" i="37"/>
  <c r="E41" i="37"/>
  <c r="E40" i="37"/>
  <c r="E39" i="37"/>
  <c r="E38" i="37"/>
  <c r="E37" i="37"/>
  <c r="E36" i="37"/>
  <c r="E35" i="37"/>
  <c r="E34" i="37"/>
  <c r="E33" i="37"/>
  <c r="E32" i="37"/>
  <c r="E31" i="37"/>
  <c r="E30" i="37"/>
  <c r="E29" i="37"/>
  <c r="E28" i="37"/>
  <c r="E27" i="37"/>
  <c r="E26" i="37"/>
  <c r="E25" i="37"/>
  <c r="E24" i="37"/>
  <c r="E23" i="37"/>
  <c r="E22" i="37"/>
  <c r="E21" i="37"/>
  <c r="E20" i="37"/>
  <c r="E19" i="37"/>
  <c r="E18" i="37"/>
  <c r="E17" i="37"/>
  <c r="E16" i="37"/>
  <c r="E15" i="37"/>
  <c r="F324" i="114" l="1"/>
  <c r="F325" i="115" s="1"/>
  <c r="AE18" i="37"/>
  <c r="F334" i="114"/>
  <c r="F335" i="115" s="1"/>
  <c r="AE28" i="37"/>
  <c r="F323" i="114"/>
  <c r="F324" i="115" s="1"/>
  <c r="AE17" i="37"/>
  <c r="F331" i="114"/>
  <c r="F332" i="115" s="1"/>
  <c r="AE25" i="37"/>
  <c r="F339" i="114"/>
  <c r="F340" i="115" s="1"/>
  <c r="AE33" i="37"/>
  <c r="F347" i="114"/>
  <c r="F348" i="115" s="1"/>
  <c r="AE41" i="37"/>
  <c r="F355" i="114"/>
  <c r="F356" i="115" s="1"/>
  <c r="AE49" i="37"/>
  <c r="F325" i="114"/>
  <c r="F326" i="115" s="1"/>
  <c r="AE19" i="37"/>
  <c r="F333" i="114"/>
  <c r="F334" i="115" s="1"/>
  <c r="AE27" i="37"/>
  <c r="F341" i="114"/>
  <c r="F342" i="115" s="1"/>
  <c r="AE35" i="37"/>
  <c r="F349" i="114"/>
  <c r="F350" i="115" s="1"/>
  <c r="AE43" i="37"/>
  <c r="F357" i="114"/>
  <c r="F358" i="115" s="1"/>
  <c r="AE51" i="37"/>
  <c r="F326" i="114"/>
  <c r="F327" i="115" s="1"/>
  <c r="AE20" i="37"/>
  <c r="F342" i="114"/>
  <c r="F343" i="115" s="1"/>
  <c r="AE36" i="37"/>
  <c r="F350" i="114"/>
  <c r="F351" i="115" s="1"/>
  <c r="AE44" i="37"/>
  <c r="F358" i="114"/>
  <c r="F359" i="115" s="1"/>
  <c r="AE52" i="37"/>
  <c r="F348" i="114"/>
  <c r="F349" i="115" s="1"/>
  <c r="AE42" i="37"/>
  <c r="F327" i="114"/>
  <c r="F328" i="115" s="1"/>
  <c r="AE21" i="37"/>
  <c r="F335" i="114"/>
  <c r="F336" i="115" s="1"/>
  <c r="AE29" i="37"/>
  <c r="F343" i="114"/>
  <c r="F344" i="115" s="1"/>
  <c r="AE37" i="37"/>
  <c r="F351" i="114"/>
  <c r="F352" i="115" s="1"/>
  <c r="AE45" i="37"/>
  <c r="F356" i="114"/>
  <c r="F357" i="115" s="1"/>
  <c r="AE50" i="37"/>
  <c r="F352" i="114"/>
  <c r="F353" i="115" s="1"/>
  <c r="AE46" i="37"/>
  <c r="F332" i="114"/>
  <c r="F333" i="115" s="1"/>
  <c r="AE26" i="37"/>
  <c r="F344" i="114"/>
  <c r="F345" i="115" s="1"/>
  <c r="AE38" i="37"/>
  <c r="F321" i="114"/>
  <c r="F322" i="115" s="1"/>
  <c r="AE15" i="37"/>
  <c r="F329" i="114"/>
  <c r="F330" i="115" s="1"/>
  <c r="AE23" i="37"/>
  <c r="F337" i="114"/>
  <c r="F338" i="115" s="1"/>
  <c r="AE31" i="37"/>
  <c r="F345" i="114"/>
  <c r="F346" i="115" s="1"/>
  <c r="AE39" i="37"/>
  <c r="F353" i="114"/>
  <c r="F354" i="115" s="1"/>
  <c r="AE47" i="37"/>
  <c r="F340" i="114"/>
  <c r="F341" i="115" s="1"/>
  <c r="AE34" i="37"/>
  <c r="F328" i="114"/>
  <c r="F329" i="115" s="1"/>
  <c r="AE22" i="37"/>
  <c r="F336" i="114"/>
  <c r="F337" i="115" s="1"/>
  <c r="AE30" i="37"/>
  <c r="F322" i="114"/>
  <c r="F323" i="115" s="1"/>
  <c r="AE16" i="37"/>
  <c r="F330" i="114"/>
  <c r="F331" i="115" s="1"/>
  <c r="AE24" i="37"/>
  <c r="F338" i="114"/>
  <c r="F339" i="115" s="1"/>
  <c r="AE32" i="37"/>
  <c r="F346" i="114"/>
  <c r="F347" i="115" s="1"/>
  <c r="AE40" i="37"/>
  <c r="F354" i="114"/>
  <c r="F355" i="115" s="1"/>
  <c r="AE48" i="37"/>
  <c r="CV339" i="112"/>
  <c r="CV340" i="112"/>
  <c r="CV341" i="112"/>
  <c r="EL343" i="112"/>
  <c r="DC343" i="112"/>
  <c r="EL344" i="112"/>
  <c r="EM343" i="112"/>
  <c r="CV343" i="112" s="1"/>
  <c r="EN342" i="112"/>
  <c r="DC342" i="112"/>
  <c r="EL342" i="112"/>
  <c r="EM342" i="112"/>
  <c r="AI79" i="37" l="1"/>
  <c r="AK77" i="37"/>
  <c r="B155" i="127" s="1"/>
  <c r="AH78" i="37"/>
  <c r="AF79" i="37"/>
  <c r="AK79" i="37"/>
  <c r="AJ77" i="37"/>
  <c r="B149" i="127" s="1"/>
  <c r="AF78" i="37"/>
  <c r="AI78" i="37"/>
  <c r="AF77" i="37"/>
  <c r="B125" i="127" s="1"/>
  <c r="AH79" i="37"/>
  <c r="AL79" i="37"/>
  <c r="AJ79" i="37"/>
  <c r="AG78" i="37"/>
  <c r="AK78" i="37"/>
  <c r="AL77" i="37"/>
  <c r="B161" i="127" s="1"/>
  <c r="AL78" i="37"/>
  <c r="AG77" i="37"/>
  <c r="B131" i="127" s="1"/>
  <c r="AI77" i="37"/>
  <c r="B143" i="127" s="1"/>
  <c r="AJ78" i="37"/>
  <c r="AG79" i="37"/>
  <c r="AH77" i="37"/>
  <c r="B137" i="127" s="1"/>
  <c r="AE81" i="37"/>
  <c r="BM69" i="37" s="1"/>
  <c r="CV342" i="112"/>
  <c r="EM344" i="112"/>
  <c r="EM345" i="112"/>
  <c r="EN344" i="112"/>
  <c r="DC344" i="112"/>
  <c r="CV344" i="112"/>
  <c r="K315" i="114"/>
  <c r="K316" i="115" s="1"/>
  <c r="BG57" i="37" l="1"/>
  <c r="B144" i="127"/>
  <c r="BD57" i="37"/>
  <c r="B126" i="127"/>
  <c r="BI57" i="37"/>
  <c r="B156" i="127"/>
  <c r="BE57" i="37"/>
  <c r="BS57" i="37" s="1"/>
  <c r="B132" i="127"/>
  <c r="BI58" i="37"/>
  <c r="B157" i="127"/>
  <c r="BE58" i="37"/>
  <c r="B133" i="127"/>
  <c r="BH58" i="37"/>
  <c r="B151" i="127"/>
  <c r="BD58" i="37"/>
  <c r="B127" i="127"/>
  <c r="BJ58" i="37"/>
  <c r="B163" i="127"/>
  <c r="BF57" i="37"/>
  <c r="B138" i="127"/>
  <c r="BH57" i="37"/>
  <c r="BO57" i="37" s="1"/>
  <c r="B150" i="127"/>
  <c r="BF58" i="37"/>
  <c r="B139" i="127"/>
  <c r="BJ57" i="37"/>
  <c r="B162" i="127"/>
  <c r="BG58" i="37"/>
  <c r="B145" i="127"/>
  <c r="CA57" i="37"/>
  <c r="BY57" i="37"/>
  <c r="BN57" i="37"/>
  <c r="CB57" i="37"/>
  <c r="BW57" i="37"/>
  <c r="CD57" i="37"/>
  <c r="CE57" i="37"/>
  <c r="BQ57" i="37"/>
  <c r="BT57" i="37"/>
  <c r="BR57" i="37"/>
  <c r="BU57" i="37"/>
  <c r="BP57" i="37"/>
  <c r="BZ57" i="37"/>
  <c r="CC57" i="37"/>
  <c r="CG57" i="37"/>
  <c r="BR113" i="37"/>
  <c r="BV113" i="37"/>
  <c r="BT113" i="37"/>
  <c r="CC58" i="37"/>
  <c r="CE58" i="37"/>
  <c r="BQ58" i="37"/>
  <c r="BR58" i="37"/>
  <c r="BZ58" i="37"/>
  <c r="CG58" i="37"/>
  <c r="CF58" i="37"/>
  <c r="CB58" i="37"/>
  <c r="BN58" i="37"/>
  <c r="BU58" i="37"/>
  <c r="BS58" i="37"/>
  <c r="BO58" i="37"/>
  <c r="BT58" i="37"/>
  <c r="BW58" i="37"/>
  <c r="CD58" i="37"/>
  <c r="BY58" i="37"/>
  <c r="BV58" i="37"/>
  <c r="BP58" i="37"/>
  <c r="BX58" i="37"/>
  <c r="CA58" i="37"/>
  <c r="EN345" i="112"/>
  <c r="EL345" i="112"/>
  <c r="CV345" i="112" s="1"/>
  <c r="DC345" i="112"/>
  <c r="EL346" i="112"/>
  <c r="DC346" i="112"/>
  <c r="EM346" i="112"/>
  <c r="EN346" i="112"/>
  <c r="CF57" i="37" l="1"/>
  <c r="BV57" i="37"/>
  <c r="BX57" i="37"/>
  <c r="BV119" i="37"/>
  <c r="BV161" i="37"/>
  <c r="BV114" i="37"/>
  <c r="BV129" i="37"/>
  <c r="BR161" i="37"/>
  <c r="BR114" i="37"/>
  <c r="BR119" i="37"/>
  <c r="BR129" i="37"/>
  <c r="BU84" i="37"/>
  <c r="BU89" i="37" s="1"/>
  <c r="CA84" i="37"/>
  <c r="CA89" i="37" s="1"/>
  <c r="BY84" i="37"/>
  <c r="BV84" i="37"/>
  <c r="CB84" i="37"/>
  <c r="CB89" i="37" s="1"/>
  <c r="BW84" i="37"/>
  <c r="BX84" i="37"/>
  <c r="CC84" i="37"/>
  <c r="CC89" i="37" s="1"/>
  <c r="BZ84" i="37"/>
  <c r="BZ89" i="37" s="1"/>
  <c r="BQ84" i="37"/>
  <c r="BQ89" i="37" s="1"/>
  <c r="BO84" i="37"/>
  <c r="BS84" i="37"/>
  <c r="BS89" i="37" s="1"/>
  <c r="BR84" i="37"/>
  <c r="BT84" i="37"/>
  <c r="BN84" i="37"/>
  <c r="BP84" i="37"/>
  <c r="BP89" i="37" s="1"/>
  <c r="BT85" i="37"/>
  <c r="BN85" i="37"/>
  <c r="BN90" i="37" s="1"/>
  <c r="BN93" i="37" s="1"/>
  <c r="BX85" i="37"/>
  <c r="BX90" i="37" s="1"/>
  <c r="BX93" i="37" s="1"/>
  <c r="CC85" i="37"/>
  <c r="CC90" i="37" s="1"/>
  <c r="CB85" i="37"/>
  <c r="CB90" i="37" s="1"/>
  <c r="BU85" i="37"/>
  <c r="BU90" i="37" s="1"/>
  <c r="BW85" i="37"/>
  <c r="BW90" i="37" s="1"/>
  <c r="BW93" i="37" s="1"/>
  <c r="BO85" i="37"/>
  <c r="BO90" i="37" s="1"/>
  <c r="BO93" i="37" s="1"/>
  <c r="BS85" i="37"/>
  <c r="BS90" i="37" s="1"/>
  <c r="BZ85" i="37"/>
  <c r="BZ90" i="37" s="1"/>
  <c r="BY85" i="37"/>
  <c r="BY90" i="37" s="1"/>
  <c r="BY93" i="37" s="1"/>
  <c r="BV85" i="37"/>
  <c r="BQ85" i="37"/>
  <c r="BQ90" i="37" s="1"/>
  <c r="BR85" i="37"/>
  <c r="BP85" i="37"/>
  <c r="BP90" i="37" s="1"/>
  <c r="CA85" i="37"/>
  <c r="CA90" i="37" s="1"/>
  <c r="BT114" i="37"/>
  <c r="BT161" i="37"/>
  <c r="BT119" i="37"/>
  <c r="BT129" i="37"/>
  <c r="CV346" i="112"/>
  <c r="EN352" i="112"/>
  <c r="DC352" i="112"/>
  <c r="EM352" i="112"/>
  <c r="EL352" i="112"/>
  <c r="EN347" i="112"/>
  <c r="EL347" i="112"/>
  <c r="DC347" i="112"/>
  <c r="EM347" i="112"/>
  <c r="BT120" i="37" l="1"/>
  <c r="BT122" i="37"/>
  <c r="BO110" i="37"/>
  <c r="BO113" i="37"/>
  <c r="BP93" i="37"/>
  <c r="CC93" i="37"/>
  <c r="BW110" i="37"/>
  <c r="BW113" i="37"/>
  <c r="BR120" i="37"/>
  <c r="BR122" i="37"/>
  <c r="CB93" i="37"/>
  <c r="BR162" i="37"/>
  <c r="BR164" i="37"/>
  <c r="BR165" i="37" s="1"/>
  <c r="BS93" i="37"/>
  <c r="BY110" i="37"/>
  <c r="BY113" i="37"/>
  <c r="BX113" i="37"/>
  <c r="BX110" i="37"/>
  <c r="BT162" i="37"/>
  <c r="BT164" i="37"/>
  <c r="BT165" i="37" s="1"/>
  <c r="BN110" i="37"/>
  <c r="BN113" i="37"/>
  <c r="BQ93" i="37"/>
  <c r="CA93" i="37"/>
  <c r="BV162" i="37"/>
  <c r="BV164" i="37"/>
  <c r="BV165" i="37" s="1"/>
  <c r="BZ93" i="37"/>
  <c r="BU93" i="37"/>
  <c r="BV120" i="37"/>
  <c r="BV122" i="37"/>
  <c r="CV352" i="112"/>
  <c r="CV347" i="112"/>
  <c r="DC353" i="112"/>
  <c r="EM353" i="112"/>
  <c r="EN353" i="112"/>
  <c r="EL353" i="112"/>
  <c r="CA110" i="37" l="1"/>
  <c r="CA113" i="37"/>
  <c r="BY114" i="37"/>
  <c r="BY161" i="37"/>
  <c r="BY162" i="37" s="1"/>
  <c r="BY119" i="37"/>
  <c r="BY120" i="37" s="1"/>
  <c r="BW114" i="37"/>
  <c r="BW119" i="37"/>
  <c r="BW120" i="37" s="1"/>
  <c r="BW161" i="37"/>
  <c r="BW162" i="37" s="1"/>
  <c r="BQ110" i="37"/>
  <c r="BQ113" i="37"/>
  <c r="BY129" i="37"/>
  <c r="BY153" i="37"/>
  <c r="BY158" i="37" s="1"/>
  <c r="BY111" i="37"/>
  <c r="BW129" i="37"/>
  <c r="BW153" i="37"/>
  <c r="BW158" i="37" s="1"/>
  <c r="BW111" i="37"/>
  <c r="BV125" i="37"/>
  <c r="BV126" i="37"/>
  <c r="BV123" i="37"/>
  <c r="BN114" i="37"/>
  <c r="BN161" i="37"/>
  <c r="BN162" i="37" s="1"/>
  <c r="BN119" i="37"/>
  <c r="BN120" i="37" s="1"/>
  <c r="BS110" i="37"/>
  <c r="BS113" i="37"/>
  <c r="CC110" i="37"/>
  <c r="CC113" i="37"/>
  <c r="BP110" i="37"/>
  <c r="BP113" i="37"/>
  <c r="BO114" i="37"/>
  <c r="BO119" i="37"/>
  <c r="BO120" i="37" s="1"/>
  <c r="BO161" i="37"/>
  <c r="BO162" i="37" s="1"/>
  <c r="BN111" i="37"/>
  <c r="BN129" i="37"/>
  <c r="BN153" i="37"/>
  <c r="BN158" i="37" s="1"/>
  <c r="BZ110" i="37"/>
  <c r="BZ113" i="37"/>
  <c r="CB110" i="37"/>
  <c r="CB113" i="37"/>
  <c r="BO111" i="37"/>
  <c r="BO153" i="37"/>
  <c r="BO158" i="37" s="1"/>
  <c r="BO129" i="37"/>
  <c r="BX129" i="37"/>
  <c r="BX111" i="37"/>
  <c r="BX153" i="37"/>
  <c r="BX158" i="37" s="1"/>
  <c r="BR125" i="37"/>
  <c r="BR123" i="37"/>
  <c r="BR126" i="37"/>
  <c r="BT123" i="37"/>
  <c r="BT125" i="37"/>
  <c r="BT126" i="37"/>
  <c r="BU113" i="37"/>
  <c r="BU110" i="37"/>
  <c r="BX161" i="37"/>
  <c r="BX162" i="37" s="1"/>
  <c r="BX114" i="37"/>
  <c r="BX119" i="37"/>
  <c r="BX120" i="37" s="1"/>
  <c r="EZ304" i="112"/>
  <c r="FA304" i="112" s="1"/>
  <c r="CV353" i="112"/>
  <c r="DC354" i="112"/>
  <c r="EL354" i="112"/>
  <c r="EN354" i="112"/>
  <c r="EM354" i="112"/>
  <c r="BY122" i="37" l="1"/>
  <c r="BX122" i="37"/>
  <c r="BN122" i="37"/>
  <c r="BN126" i="37" s="1"/>
  <c r="BU119" i="37"/>
  <c r="BU120" i="37" s="1"/>
  <c r="BU161" i="37"/>
  <c r="BU162" i="37" s="1"/>
  <c r="BU114" i="37"/>
  <c r="CB153" i="37"/>
  <c r="CB158" i="37" s="1"/>
  <c r="CB111" i="37"/>
  <c r="CB129" i="37"/>
  <c r="BW159" i="37"/>
  <c r="BW164" i="37"/>
  <c r="BW165" i="37" s="1"/>
  <c r="BT136" i="37"/>
  <c r="BT134" i="37"/>
  <c r="BT135" i="37"/>
  <c r="BZ111" i="37"/>
  <c r="BZ153" i="37"/>
  <c r="BZ158" i="37" s="1"/>
  <c r="BZ129" i="37"/>
  <c r="BP114" i="37"/>
  <c r="BP119" i="37"/>
  <c r="BP120" i="37" s="1"/>
  <c r="BP161" i="37"/>
  <c r="BP162" i="37" s="1"/>
  <c r="BY123" i="37"/>
  <c r="BY125" i="37"/>
  <c r="BY126" i="37"/>
  <c r="BO122" i="37"/>
  <c r="BP111" i="37"/>
  <c r="BP153" i="37"/>
  <c r="BP158" i="37" s="1"/>
  <c r="BP129" i="37"/>
  <c r="BX123" i="37"/>
  <c r="BX125" i="37"/>
  <c r="BX126" i="37"/>
  <c r="BN159" i="37"/>
  <c r="BN164" i="37"/>
  <c r="BN165" i="37" s="1"/>
  <c r="CC114" i="37"/>
  <c r="CC161" i="37"/>
  <c r="CC162" i="37" s="1"/>
  <c r="CC119" i="37"/>
  <c r="CC120" i="37" s="1"/>
  <c r="BY159" i="37"/>
  <c r="BY164" i="37"/>
  <c r="BY165" i="37" s="1"/>
  <c r="CC111" i="37"/>
  <c r="CC153" i="37"/>
  <c r="CC158" i="37" s="1"/>
  <c r="CC129" i="37"/>
  <c r="BV135" i="37"/>
  <c r="BV136" i="37"/>
  <c r="BV134" i="37"/>
  <c r="BZ114" i="37"/>
  <c r="BZ161" i="37"/>
  <c r="BZ162" i="37" s="1"/>
  <c r="BZ119" i="37"/>
  <c r="BZ120" i="37" s="1"/>
  <c r="BS161" i="37"/>
  <c r="BS162" i="37" s="1"/>
  <c r="BS119" i="37"/>
  <c r="BS120" i="37" s="1"/>
  <c r="BS114" i="37"/>
  <c r="BW122" i="37"/>
  <c r="BQ114" i="37"/>
  <c r="BQ119" i="37"/>
  <c r="BQ120" i="37" s="1"/>
  <c r="BQ161" i="37"/>
  <c r="BQ162" i="37" s="1"/>
  <c r="CA161" i="37"/>
  <c r="CA162" i="37" s="1"/>
  <c r="CA119" i="37"/>
  <c r="CA120" i="37" s="1"/>
  <c r="CA114" i="37"/>
  <c r="BO159" i="37"/>
  <c r="BO164" i="37"/>
  <c r="BO165" i="37" s="1"/>
  <c r="BR135" i="37"/>
  <c r="BR134" i="37"/>
  <c r="BR136" i="37"/>
  <c r="BU153" i="37"/>
  <c r="BU158" i="37" s="1"/>
  <c r="BU122" i="37"/>
  <c r="BU129" i="37"/>
  <c r="BU111" i="37"/>
  <c r="BX159" i="37"/>
  <c r="BX164" i="37"/>
  <c r="BX165" i="37" s="1"/>
  <c r="CB114" i="37"/>
  <c r="CB161" i="37"/>
  <c r="CB162" i="37" s="1"/>
  <c r="CB119" i="37"/>
  <c r="CB120" i="37" s="1"/>
  <c r="BS153" i="37"/>
  <c r="BS158" i="37" s="1"/>
  <c r="BS111" i="37"/>
  <c r="BS129" i="37"/>
  <c r="BQ153" i="37"/>
  <c r="BQ158" i="37" s="1"/>
  <c r="BQ111" i="37"/>
  <c r="BQ129" i="37"/>
  <c r="CA153" i="37"/>
  <c r="CA158" i="37" s="1"/>
  <c r="CA111" i="37"/>
  <c r="CA129" i="37"/>
  <c r="FB304" i="112"/>
  <c r="CV354" i="112"/>
  <c r="DC355" i="112"/>
  <c r="EN355" i="112"/>
  <c r="EM355" i="112"/>
  <c r="EL355" i="112"/>
  <c r="BQ122" i="37" l="1"/>
  <c r="BQ123" i="37" s="1"/>
  <c r="BN123" i="37"/>
  <c r="BN125" i="37"/>
  <c r="BN134" i="37" s="1"/>
  <c r="CJ111" i="37"/>
  <c r="B101" i="127" s="1"/>
  <c r="C101" i="127" s="1"/>
  <c r="CC122" i="37"/>
  <c r="CJ114" i="37"/>
  <c r="CE130" i="37"/>
  <c r="CJ162" i="37"/>
  <c r="CJ120" i="37"/>
  <c r="CA122" i="37"/>
  <c r="BS122" i="37"/>
  <c r="BR130" i="37"/>
  <c r="BY130" i="37"/>
  <c r="BY134" i="37"/>
  <c r="BY135" i="37"/>
  <c r="BY136" i="37"/>
  <c r="BZ159" i="37"/>
  <c r="BZ164" i="37"/>
  <c r="BZ165" i="37" s="1"/>
  <c r="BW125" i="37"/>
  <c r="BW126" i="37"/>
  <c r="BW123" i="37"/>
  <c r="BV130" i="37"/>
  <c r="BP159" i="37"/>
  <c r="BP164" i="37"/>
  <c r="BP165" i="37" s="1"/>
  <c r="CB122" i="37"/>
  <c r="CD130" i="37"/>
  <c r="BS159" i="37"/>
  <c r="BS164" i="37"/>
  <c r="BS165" i="37" s="1"/>
  <c r="BU123" i="37"/>
  <c r="BU125" i="37"/>
  <c r="BU130" i="37" s="1"/>
  <c r="BU126" i="37"/>
  <c r="BT130" i="37"/>
  <c r="BU159" i="37"/>
  <c r="BU164" i="37"/>
  <c r="BU165" i="37" s="1"/>
  <c r="CC126" i="37"/>
  <c r="CC125" i="37"/>
  <c r="CC123" i="37"/>
  <c r="BN130" i="37"/>
  <c r="BN135" i="37"/>
  <c r="BN136" i="37"/>
  <c r="CB159" i="37"/>
  <c r="CB164" i="37"/>
  <c r="CB165" i="37" s="1"/>
  <c r="BX130" i="37"/>
  <c r="BX134" i="37"/>
  <c r="BX136" i="37"/>
  <c r="BX135" i="37"/>
  <c r="CC159" i="37"/>
  <c r="CC164" i="37"/>
  <c r="CC165" i="37" s="1"/>
  <c r="BO123" i="37"/>
  <c r="BO125" i="37"/>
  <c r="BO126" i="37"/>
  <c r="BZ122" i="37"/>
  <c r="CA159" i="37"/>
  <c r="CA164" i="37"/>
  <c r="CA165" i="37" s="1"/>
  <c r="BQ159" i="37"/>
  <c r="BQ164" i="37"/>
  <c r="BQ165" i="37" s="1"/>
  <c r="BP122" i="37"/>
  <c r="CV355" i="112"/>
  <c r="DC356" i="112"/>
  <c r="EN356" i="112"/>
  <c r="EM356" i="112"/>
  <c r="EL356" i="112"/>
  <c r="BQ126" i="37" l="1"/>
  <c r="BQ125" i="37"/>
  <c r="AA32" i="37"/>
  <c r="BP189" i="37"/>
  <c r="AA35" i="37"/>
  <c r="B104" i="127"/>
  <c r="C104" i="127" s="1"/>
  <c r="AA39" i="37"/>
  <c r="B108" i="127"/>
  <c r="C108" i="127" s="1"/>
  <c r="AA33" i="37"/>
  <c r="B102" i="127"/>
  <c r="C102" i="127" s="1"/>
  <c r="BR189" i="37"/>
  <c r="CJ159" i="37"/>
  <c r="BN189" i="37"/>
  <c r="CJ165" i="37"/>
  <c r="BP125" i="37"/>
  <c r="BP126" i="37"/>
  <c r="BP123" i="37"/>
  <c r="BW130" i="37"/>
  <c r="BW134" i="37"/>
  <c r="BW136" i="37"/>
  <c r="BW135" i="37"/>
  <c r="BS126" i="37"/>
  <c r="BS125" i="37"/>
  <c r="BS123" i="37"/>
  <c r="CB123" i="37"/>
  <c r="CB125" i="37"/>
  <c r="CB126" i="37"/>
  <c r="CA126" i="37"/>
  <c r="CA125" i="37"/>
  <c r="CA123" i="37"/>
  <c r="BZ123" i="37"/>
  <c r="BZ125" i="37"/>
  <c r="BZ126" i="37"/>
  <c r="BO130" i="37"/>
  <c r="BO135" i="37"/>
  <c r="BO134" i="37"/>
  <c r="BO136" i="37"/>
  <c r="CC130" i="37"/>
  <c r="CC136" i="37"/>
  <c r="CC134" i="37"/>
  <c r="CC135" i="37"/>
  <c r="BU136" i="37"/>
  <c r="BU135" i="37"/>
  <c r="BU134" i="37"/>
  <c r="BQ130" i="37"/>
  <c r="BQ134" i="37"/>
  <c r="BQ136" i="37"/>
  <c r="BQ135" i="37"/>
  <c r="CV356" i="112"/>
  <c r="DC357" i="112"/>
  <c r="EL357" i="112"/>
  <c r="EM357" i="112"/>
  <c r="EN357" i="112"/>
  <c r="AA40" i="37" l="1"/>
  <c r="B109" i="127"/>
  <c r="C109" i="127" s="1"/>
  <c r="BQ189" i="37"/>
  <c r="BS189" i="37" s="1"/>
  <c r="B63" i="130" s="1"/>
  <c r="C63" i="130" s="1"/>
  <c r="B107" i="127"/>
  <c r="C107" i="127" s="1"/>
  <c r="AA38" i="37"/>
  <c r="BP177" i="37"/>
  <c r="CA130" i="37"/>
  <c r="CA134" i="37"/>
  <c r="CA135" i="37"/>
  <c r="CA136" i="37"/>
  <c r="CJ123" i="37"/>
  <c r="CJ126" i="37"/>
  <c r="B99" i="127" s="1"/>
  <c r="C99" i="127" s="1"/>
  <c r="BP130" i="37"/>
  <c r="BP134" i="37"/>
  <c r="BP136" i="37"/>
  <c r="BP135" i="37"/>
  <c r="CB130" i="37"/>
  <c r="CB134" i="37"/>
  <c r="CB136" i="37"/>
  <c r="CB135" i="37"/>
  <c r="BZ130" i="37"/>
  <c r="BZ134" i="37"/>
  <c r="BZ136" i="37"/>
  <c r="BZ135" i="37"/>
  <c r="BS130" i="37"/>
  <c r="BS136" i="37"/>
  <c r="BS135" i="37"/>
  <c r="BS134" i="37"/>
  <c r="BS184" i="37"/>
  <c r="B59" i="130" s="1"/>
  <c r="C59" i="130" s="1"/>
  <c r="CV357" i="112"/>
  <c r="DC358" i="112"/>
  <c r="EN358" i="112"/>
  <c r="EM358" i="112"/>
  <c r="EL358" i="112"/>
  <c r="CV358" i="112" s="1"/>
  <c r="B105" i="127" l="1"/>
  <c r="C105" i="127" s="1"/>
  <c r="B58" i="130"/>
  <c r="C58" i="130" s="1"/>
  <c r="AA42" i="37"/>
  <c r="B110" i="127"/>
  <c r="C110" i="127" s="1"/>
  <c r="AA46" i="37"/>
  <c r="B114" i="127"/>
  <c r="C114" i="127" s="1"/>
  <c r="CJ130" i="37"/>
  <c r="CJ132" i="37" s="1"/>
  <c r="B56" i="130" s="1"/>
  <c r="C56" i="130" s="1"/>
  <c r="CJ135" i="37"/>
  <c r="CJ136" i="37"/>
  <c r="CJ139" i="37" s="1"/>
  <c r="AA20" i="37" s="1"/>
  <c r="CJ134" i="37"/>
  <c r="AA18" i="37"/>
  <c r="CJ128" i="37"/>
  <c r="AA19" i="37" s="1"/>
  <c r="AA36" i="37"/>
  <c r="BN177" i="37"/>
  <c r="BQ177" i="37" s="1"/>
  <c r="DC359" i="112"/>
  <c r="EL359" i="112"/>
  <c r="EN359" i="112"/>
  <c r="EM359" i="112"/>
  <c r="CV359" i="112" s="1"/>
  <c r="AA17" i="37" l="1"/>
  <c r="B98" i="127"/>
  <c r="C98" i="127" s="1"/>
  <c r="CJ137" i="37"/>
  <c r="BR177" i="37"/>
  <c r="BS177" i="37"/>
  <c r="AA24" i="37" s="1"/>
  <c r="EM360" i="112"/>
  <c r="EN360" i="112"/>
  <c r="EL360" i="112"/>
  <c r="DC360" i="112"/>
  <c r="A2" i="128" l="1" a="1"/>
  <c r="B100" i="127"/>
  <c r="C100" i="127" s="1"/>
  <c r="B57" i="130"/>
  <c r="C57" i="130" s="1"/>
  <c r="A2" i="131" s="1" a="1"/>
  <c r="AA23" i="37"/>
  <c r="AA7" i="37" s="1"/>
  <c r="BR181" i="37"/>
  <c r="AA25" i="37" s="1"/>
  <c r="CV360" i="112"/>
  <c r="CV361" i="112"/>
  <c r="EN361" i="112"/>
  <c r="EM361" i="112"/>
  <c r="DC361" i="112"/>
  <c r="EL361" i="112"/>
  <c r="H2" i="131" l="1"/>
  <c r="BT2" i="131"/>
  <c r="EF2" i="131"/>
  <c r="AG2" i="131"/>
  <c r="CS2" i="131"/>
  <c r="FE2" i="131"/>
  <c r="BF2" i="131"/>
  <c r="DR2" i="131"/>
  <c r="S2" i="131"/>
  <c r="CE2" i="131"/>
  <c r="EQ2" i="131"/>
  <c r="AZ2" i="131"/>
  <c r="DL2" i="131"/>
  <c r="U2" i="131"/>
  <c r="CG2" i="131"/>
  <c r="ES2" i="131"/>
  <c r="BB2" i="131"/>
  <c r="DN2" i="131"/>
  <c r="W2" i="131"/>
  <c r="CI2" i="131"/>
  <c r="EU2" i="131"/>
  <c r="Y2" i="131"/>
  <c r="EI2" i="131"/>
  <c r="AT2" i="131"/>
  <c r="P2" i="131"/>
  <c r="CB2" i="131"/>
  <c r="EN2" i="131"/>
  <c r="AO2" i="131"/>
  <c r="DA2" i="131"/>
  <c r="B2" i="131"/>
  <c r="BN2" i="131"/>
  <c r="DZ2" i="131"/>
  <c r="AA2" i="131"/>
  <c r="CM2" i="131"/>
  <c r="EY2" i="131"/>
  <c r="BH2" i="131"/>
  <c r="DT2" i="131"/>
  <c r="AC2" i="131"/>
  <c r="CO2" i="131"/>
  <c r="FA2" i="131"/>
  <c r="BJ2" i="131"/>
  <c r="DV2" i="131"/>
  <c r="AE2" i="131"/>
  <c r="CQ2" i="131"/>
  <c r="FC2" i="131"/>
  <c r="DX2" i="131"/>
  <c r="K2" i="131"/>
  <c r="M2" i="131"/>
  <c r="CA2" i="131"/>
  <c r="X2" i="131"/>
  <c r="CJ2" i="131"/>
  <c r="EV2" i="131"/>
  <c r="AW2" i="131"/>
  <c r="DI2" i="131"/>
  <c r="J2" i="131"/>
  <c r="BV2" i="131"/>
  <c r="EH2" i="131"/>
  <c r="AI2" i="131"/>
  <c r="CU2" i="131"/>
  <c r="D2" i="131"/>
  <c r="BP2" i="131"/>
  <c r="EB2" i="131"/>
  <c r="AK2" i="131"/>
  <c r="CW2" i="131"/>
  <c r="F2" i="131"/>
  <c r="BR2" i="131"/>
  <c r="ED2" i="131"/>
  <c r="AM2" i="131"/>
  <c r="CY2" i="131"/>
  <c r="BL2" i="131"/>
  <c r="BW2" i="131"/>
  <c r="BY2" i="131"/>
  <c r="AF2" i="131"/>
  <c r="CR2" i="131"/>
  <c r="FD2" i="131"/>
  <c r="BE2" i="131"/>
  <c r="DQ2" i="131"/>
  <c r="R2" i="131"/>
  <c r="CD2" i="131"/>
  <c r="EP2" i="131"/>
  <c r="AQ2" i="131"/>
  <c r="DC2" i="131"/>
  <c r="L2" i="131"/>
  <c r="BX2" i="131"/>
  <c r="EJ2" i="131"/>
  <c r="AS2" i="131"/>
  <c r="DE2" i="131"/>
  <c r="N2" i="131"/>
  <c r="BZ2" i="131"/>
  <c r="EL2" i="131"/>
  <c r="AU2" i="131"/>
  <c r="DG2" i="131"/>
  <c r="EW2" i="131"/>
  <c r="DD2" i="131"/>
  <c r="EM2" i="131"/>
  <c r="AN2" i="131"/>
  <c r="CZ2" i="131"/>
  <c r="A2" i="131"/>
  <c r="BM2" i="131"/>
  <c r="DY2" i="131"/>
  <c r="Z2" i="131"/>
  <c r="CL2" i="131"/>
  <c r="EX2" i="131"/>
  <c r="AY2" i="131"/>
  <c r="DK2" i="131"/>
  <c r="T2" i="131"/>
  <c r="CF2" i="131"/>
  <c r="ER2" i="131"/>
  <c r="BA2" i="131"/>
  <c r="DM2" i="131"/>
  <c r="V2" i="131"/>
  <c r="CH2" i="131"/>
  <c r="ET2" i="131"/>
  <c r="BC2" i="131"/>
  <c r="DO2" i="131"/>
  <c r="CK2" i="131"/>
  <c r="AR2" i="131"/>
  <c r="O2" i="131"/>
  <c r="AV2" i="131"/>
  <c r="DH2" i="131"/>
  <c r="I2" i="131"/>
  <c r="BU2" i="131"/>
  <c r="EG2" i="131"/>
  <c r="AH2" i="131"/>
  <c r="CT2" i="131"/>
  <c r="FF2" i="131"/>
  <c r="BG2" i="131"/>
  <c r="DS2" i="131"/>
  <c r="AB2" i="131"/>
  <c r="CN2" i="131"/>
  <c r="EZ2" i="131"/>
  <c r="BI2" i="131"/>
  <c r="DU2" i="131"/>
  <c r="AD2" i="131"/>
  <c r="CP2" i="131"/>
  <c r="FB2" i="131"/>
  <c r="BK2" i="131"/>
  <c r="DW2" i="131"/>
  <c r="DJ2" i="131"/>
  <c r="DF2" i="131"/>
  <c r="BD2" i="131"/>
  <c r="DP2" i="131"/>
  <c r="Q2" i="131"/>
  <c r="CC2" i="131"/>
  <c r="EO2" i="131"/>
  <c r="AP2" i="131"/>
  <c r="DB2" i="131"/>
  <c r="C2" i="131"/>
  <c r="BO2" i="131"/>
  <c r="EA2" i="131"/>
  <c r="AJ2" i="131"/>
  <c r="CV2" i="131"/>
  <c r="E2" i="131"/>
  <c r="BQ2" i="131"/>
  <c r="EC2" i="131"/>
  <c r="AL2" i="131"/>
  <c r="CX2" i="131"/>
  <c r="G2" i="131"/>
  <c r="BS2" i="131"/>
  <c r="EE2" i="131"/>
  <c r="AX2" i="131"/>
  <c r="EK2" i="131"/>
  <c r="C2" i="128"/>
  <c r="BO2" i="128"/>
  <c r="EA2" i="128"/>
  <c r="GM2" i="128"/>
  <c r="IY2" i="128"/>
  <c r="LK2" i="128"/>
  <c r="NW2" i="128"/>
  <c r="QI2" i="128"/>
  <c r="SU2" i="128"/>
  <c r="VG2" i="128"/>
  <c r="XS2" i="128"/>
  <c r="BH2" i="128"/>
  <c r="DT2" i="128"/>
  <c r="GF2" i="128"/>
  <c r="IR2" i="128"/>
  <c r="LD2" i="128"/>
  <c r="NP2" i="128"/>
  <c r="QB2" i="128"/>
  <c r="E2" i="128"/>
  <c r="BQ2" i="128"/>
  <c r="EC2" i="128"/>
  <c r="GO2" i="128"/>
  <c r="JA2" i="128"/>
  <c r="LM2" i="128"/>
  <c r="NY2" i="128"/>
  <c r="QK2" i="128"/>
  <c r="SW2" i="128"/>
  <c r="VI2" i="128"/>
  <c r="XU2" i="128"/>
  <c r="AE2" i="128"/>
  <c r="CQ2" i="128"/>
  <c r="FC2" i="128"/>
  <c r="HO2" i="128"/>
  <c r="KA2" i="128"/>
  <c r="MM2" i="128"/>
  <c r="OY2" i="128"/>
  <c r="RK2" i="128"/>
  <c r="TW2" i="128"/>
  <c r="WI2" i="128"/>
  <c r="YU2" i="128"/>
  <c r="DI2" i="128"/>
  <c r="IG2" i="128"/>
  <c r="NE2" i="128"/>
  <c r="SC2" i="128"/>
  <c r="WC2" i="128"/>
  <c r="ZN2" i="128"/>
  <c r="R2" i="128"/>
  <c r="EP2" i="128"/>
  <c r="JN2" i="128"/>
  <c r="OL2" i="128"/>
  <c r="TF2" i="128"/>
  <c r="XD2" i="128"/>
  <c r="AAE2" i="128"/>
  <c r="BB2" i="128"/>
  <c r="FZ2" i="128"/>
  <c r="KX2" i="128"/>
  <c r="PV2" i="128"/>
  <c r="VT2" i="128"/>
  <c r="ZH2" i="128"/>
  <c r="X2" i="128"/>
  <c r="EV2" i="128"/>
  <c r="JT2" i="128"/>
  <c r="OR2" i="128"/>
  <c r="TI2" i="128"/>
  <c r="XH2" i="128"/>
  <c r="AAG2" i="128"/>
  <c r="BE2" i="128"/>
  <c r="GC2" i="128"/>
  <c r="LA2" i="128"/>
  <c r="PY2" i="128"/>
  <c r="UJ2" i="128"/>
  <c r="YG2" i="128"/>
  <c r="AAX2" i="128"/>
  <c r="CL2" i="128"/>
  <c r="HJ2" i="128"/>
  <c r="MH2" i="128"/>
  <c r="RF2" i="128"/>
  <c r="VL2" i="128"/>
  <c r="ZC2" i="128"/>
  <c r="QT2" i="128"/>
  <c r="DV2" i="128"/>
  <c r="IT2" i="128"/>
  <c r="NR2" i="128"/>
  <c r="TZ2" i="128"/>
  <c r="XY2" i="128"/>
  <c r="K2" i="128"/>
  <c r="BW2" i="128"/>
  <c r="EI2" i="128"/>
  <c r="GU2" i="128"/>
  <c r="JG2" i="128"/>
  <c r="LS2" i="128"/>
  <c r="OE2" i="128"/>
  <c r="QQ2" i="128"/>
  <c r="TC2" i="128"/>
  <c r="VO2" i="128"/>
  <c r="D2" i="128"/>
  <c r="BP2" i="128"/>
  <c r="EB2" i="128"/>
  <c r="GN2" i="128"/>
  <c r="IZ2" i="128"/>
  <c r="LL2" i="128"/>
  <c r="NX2" i="128"/>
  <c r="QJ2" i="128"/>
  <c r="M2" i="128"/>
  <c r="BY2" i="128"/>
  <c r="EK2" i="128"/>
  <c r="GW2" i="128"/>
  <c r="JI2" i="128"/>
  <c r="LU2" i="128"/>
  <c r="OG2" i="128"/>
  <c r="QS2" i="128"/>
  <c r="TE2" i="128"/>
  <c r="VQ2" i="128"/>
  <c r="YC2" i="128"/>
  <c r="AM2" i="128"/>
  <c r="CY2" i="128"/>
  <c r="FK2" i="128"/>
  <c r="HW2" i="128"/>
  <c r="KI2" i="128"/>
  <c r="MU2" i="128"/>
  <c r="PG2" i="128"/>
  <c r="RS2" i="128"/>
  <c r="UE2" i="128"/>
  <c r="WQ2" i="128"/>
  <c r="A2" i="128"/>
  <c r="DY2" i="128"/>
  <c r="IW2" i="128"/>
  <c r="NU2" i="128"/>
  <c r="SR2" i="128"/>
  <c r="WP2" i="128"/>
  <c r="ZV2" i="128"/>
  <c r="AH2" i="128"/>
  <c r="FF2" i="128"/>
  <c r="KD2" i="128"/>
  <c r="PB2" i="128"/>
  <c r="TR2" i="128"/>
  <c r="XQ2" i="128"/>
  <c r="AAM2" i="128"/>
  <c r="BR2" i="128"/>
  <c r="GP2" i="128"/>
  <c r="LN2" i="128"/>
  <c r="QL2" i="128"/>
  <c r="WF2" i="128"/>
  <c r="ZP2" i="128"/>
  <c r="AN2" i="128"/>
  <c r="FL2" i="128"/>
  <c r="KJ2" i="128"/>
  <c r="PH2" i="128"/>
  <c r="TV2" i="128"/>
  <c r="XT2" i="128"/>
  <c r="AAO2" i="128"/>
  <c r="BU2" i="128"/>
  <c r="GS2" i="128"/>
  <c r="LQ2" i="128"/>
  <c r="QO2" i="128"/>
  <c r="UW2" i="128"/>
  <c r="YQ2" i="128"/>
  <c r="ABF2" i="128"/>
  <c r="DB2" i="128"/>
  <c r="HZ2" i="128"/>
  <c r="MX2" i="128"/>
  <c r="RV2" i="128"/>
  <c r="VX2" i="128"/>
  <c r="ZK2" i="128"/>
  <c r="S2" i="128"/>
  <c r="CE2" i="128"/>
  <c r="EQ2" i="128"/>
  <c r="HC2" i="128"/>
  <c r="JO2" i="128"/>
  <c r="MA2" i="128"/>
  <c r="OM2" i="128"/>
  <c r="QY2" i="128"/>
  <c r="TK2" i="128"/>
  <c r="VW2" i="128"/>
  <c r="L2" i="128"/>
  <c r="BX2" i="128"/>
  <c r="EJ2" i="128"/>
  <c r="GV2" i="128"/>
  <c r="JH2" i="128"/>
  <c r="LT2" i="128"/>
  <c r="OF2" i="128"/>
  <c r="QR2" i="128"/>
  <c r="U2" i="128"/>
  <c r="CG2" i="128"/>
  <c r="ES2" i="128"/>
  <c r="HE2" i="128"/>
  <c r="JQ2" i="128"/>
  <c r="MC2" i="128"/>
  <c r="OO2" i="128"/>
  <c r="RA2" i="128"/>
  <c r="TM2" i="128"/>
  <c r="VY2" i="128"/>
  <c r="YK2" i="128"/>
  <c r="AU2" i="128"/>
  <c r="DG2" i="128"/>
  <c r="FS2" i="128"/>
  <c r="IE2" i="128"/>
  <c r="KQ2" i="128"/>
  <c r="NC2" i="128"/>
  <c r="PO2" i="128"/>
  <c r="SA2" i="128"/>
  <c r="UM2" i="128"/>
  <c r="WY2" i="128"/>
  <c r="Q2" i="128"/>
  <c r="EO2" i="128"/>
  <c r="JM2" i="128"/>
  <c r="OK2" i="128"/>
  <c r="TD2" i="128"/>
  <c r="XB2" i="128"/>
  <c r="AAD2" i="128"/>
  <c r="AX2" i="128"/>
  <c r="FV2" i="128"/>
  <c r="KT2" i="128"/>
  <c r="PR2" i="128"/>
  <c r="UF2" i="128"/>
  <c r="YB2" i="128"/>
  <c r="AAU2" i="128"/>
  <c r="CH2" i="128"/>
  <c r="HF2" i="128"/>
  <c r="MD2" i="128"/>
  <c r="ST2" i="128"/>
  <c r="WS2" i="128"/>
  <c r="ZX2" i="128"/>
  <c r="BD2" i="128"/>
  <c r="GB2" i="128"/>
  <c r="KZ2" i="128"/>
  <c r="PX2" i="128"/>
  <c r="UH2" i="128"/>
  <c r="YF2" i="128"/>
  <c r="AAW2" i="128"/>
  <c r="CK2" i="128"/>
  <c r="HI2" i="128"/>
  <c r="MG2" i="128"/>
  <c r="RE2" i="128"/>
  <c r="VJ2" i="128"/>
  <c r="ZB2" i="128"/>
  <c r="RZ2" i="128"/>
  <c r="DR2" i="128"/>
  <c r="IP2" i="128"/>
  <c r="NN2" i="128"/>
  <c r="SL2" i="128"/>
  <c r="WK2" i="128"/>
  <c r="ZS2" i="128"/>
  <c r="AA2" i="128"/>
  <c r="CM2" i="128"/>
  <c r="EY2" i="128"/>
  <c r="HK2" i="128"/>
  <c r="JW2" i="128"/>
  <c r="MI2" i="128"/>
  <c r="OU2" i="128"/>
  <c r="RG2" i="128"/>
  <c r="TS2" i="128"/>
  <c r="WE2" i="128"/>
  <c r="T2" i="128"/>
  <c r="CF2" i="128"/>
  <c r="ER2" i="128"/>
  <c r="HD2" i="128"/>
  <c r="JP2" i="128"/>
  <c r="MB2" i="128"/>
  <c r="ON2" i="128"/>
  <c r="QZ2" i="128"/>
  <c r="AC2" i="128"/>
  <c r="CO2" i="128"/>
  <c r="FA2" i="128"/>
  <c r="HM2" i="128"/>
  <c r="JY2" i="128"/>
  <c r="MK2" i="128"/>
  <c r="OW2" i="128"/>
  <c r="RI2" i="128"/>
  <c r="TU2" i="128"/>
  <c r="WG2" i="128"/>
  <c r="YS2" i="128"/>
  <c r="BC2" i="128"/>
  <c r="DO2" i="128"/>
  <c r="GA2" i="128"/>
  <c r="IM2" i="128"/>
  <c r="KY2" i="128"/>
  <c r="NK2" i="128"/>
  <c r="PW2" i="128"/>
  <c r="SI2" i="128"/>
  <c r="UU2" i="128"/>
  <c r="XG2" i="128"/>
  <c r="AG2" i="128"/>
  <c r="FE2" i="128"/>
  <c r="KC2" i="128"/>
  <c r="PA2" i="128"/>
  <c r="TQ2" i="128"/>
  <c r="XP2" i="128"/>
  <c r="AAL2" i="128"/>
  <c r="BN2" i="128"/>
  <c r="GL2" i="128"/>
  <c r="LJ2" i="128"/>
  <c r="QH2" i="128"/>
  <c r="UR2" i="128"/>
  <c r="YN2" i="128"/>
  <c r="ABC2" i="128"/>
  <c r="CX2" i="128"/>
  <c r="HV2" i="128"/>
  <c r="MT2" i="128"/>
  <c r="AI2" i="128"/>
  <c r="CU2" i="128"/>
  <c r="FG2" i="128"/>
  <c r="HS2" i="128"/>
  <c r="KE2" i="128"/>
  <c r="MQ2" i="128"/>
  <c r="PC2" i="128"/>
  <c r="RO2" i="128"/>
  <c r="UA2" i="128"/>
  <c r="WM2" i="128"/>
  <c r="AB2" i="128"/>
  <c r="CN2" i="128"/>
  <c r="EZ2" i="128"/>
  <c r="HL2" i="128"/>
  <c r="JX2" i="128"/>
  <c r="MJ2" i="128"/>
  <c r="OV2" i="128"/>
  <c r="RH2" i="128"/>
  <c r="AK2" i="128"/>
  <c r="CW2" i="128"/>
  <c r="FI2" i="128"/>
  <c r="HU2" i="128"/>
  <c r="KG2" i="128"/>
  <c r="MS2" i="128"/>
  <c r="PE2" i="128"/>
  <c r="RQ2" i="128"/>
  <c r="UC2" i="128"/>
  <c r="WO2" i="128"/>
  <c r="ZA2" i="128"/>
  <c r="BK2" i="128"/>
  <c r="DW2" i="128"/>
  <c r="GI2" i="128"/>
  <c r="IU2" i="128"/>
  <c r="LG2" i="128"/>
  <c r="NS2" i="128"/>
  <c r="QE2" i="128"/>
  <c r="SQ2" i="128"/>
  <c r="VC2" i="128"/>
  <c r="XO2" i="128"/>
  <c r="AW2" i="128"/>
  <c r="FU2" i="128"/>
  <c r="KS2" i="128"/>
  <c r="PQ2" i="128"/>
  <c r="UD2" i="128"/>
  <c r="YA2" i="128"/>
  <c r="AAT2" i="128"/>
  <c r="CD2" i="128"/>
  <c r="HB2" i="128"/>
  <c r="LZ2" i="128"/>
  <c r="QX2" i="128"/>
  <c r="VE2" i="128"/>
  <c r="YX2" i="128"/>
  <c r="RR2" i="128"/>
  <c r="DN2" i="128"/>
  <c r="IL2" i="128"/>
  <c r="NJ2" i="128"/>
  <c r="TT2" i="128"/>
  <c r="XR2" i="128"/>
  <c r="AAN2" i="128"/>
  <c r="CJ2" i="128"/>
  <c r="HH2" i="128"/>
  <c r="MF2" i="128"/>
  <c r="RD2" i="128"/>
  <c r="VH2" i="128"/>
  <c r="YZ2" i="128"/>
  <c r="SN2" i="128"/>
  <c r="DQ2" i="128"/>
  <c r="IO2" i="128"/>
  <c r="NM2" i="128"/>
  <c r="AQ2" i="128"/>
  <c r="DC2" i="128"/>
  <c r="FO2" i="128"/>
  <c r="IA2" i="128"/>
  <c r="KM2" i="128"/>
  <c r="MY2" i="128"/>
  <c r="PK2" i="128"/>
  <c r="RW2" i="128"/>
  <c r="UI2" i="128"/>
  <c r="WU2" i="128"/>
  <c r="AJ2" i="128"/>
  <c r="CV2" i="128"/>
  <c r="FH2" i="128"/>
  <c r="HT2" i="128"/>
  <c r="KF2" i="128"/>
  <c r="MR2" i="128"/>
  <c r="PD2" i="128"/>
  <c r="RP2" i="128"/>
  <c r="AS2" i="128"/>
  <c r="DE2" i="128"/>
  <c r="FQ2" i="128"/>
  <c r="IC2" i="128"/>
  <c r="KO2" i="128"/>
  <c r="NA2" i="128"/>
  <c r="PM2" i="128"/>
  <c r="RY2" i="128"/>
  <c r="UK2" i="128"/>
  <c r="WW2" i="128"/>
  <c r="G2" i="128"/>
  <c r="BS2" i="128"/>
  <c r="EE2" i="128"/>
  <c r="GQ2" i="128"/>
  <c r="JC2" i="128"/>
  <c r="LO2" i="128"/>
  <c r="OA2" i="128"/>
  <c r="QM2" i="128"/>
  <c r="SY2" i="128"/>
  <c r="VK2" i="128"/>
  <c r="XW2" i="128"/>
  <c r="BM2" i="128"/>
  <c r="GK2" i="128"/>
  <c r="LI2" i="128"/>
  <c r="QG2" i="128"/>
  <c r="UP2" i="128"/>
  <c r="YL2" i="128"/>
  <c r="ABB2" i="128"/>
  <c r="CT2" i="128"/>
  <c r="HR2" i="128"/>
  <c r="MP2" i="128"/>
  <c r="RN2" i="128"/>
  <c r="VR2" i="128"/>
  <c r="ZG2" i="128"/>
  <c r="F2" i="128"/>
  <c r="ED2" i="128"/>
  <c r="JB2" i="128"/>
  <c r="NZ2" i="128"/>
  <c r="UG2" i="128"/>
  <c r="YD2" i="128"/>
  <c r="AY2" i="128"/>
  <c r="DK2" i="128"/>
  <c r="FW2" i="128"/>
  <c r="II2" i="128"/>
  <c r="KU2" i="128"/>
  <c r="NG2" i="128"/>
  <c r="PS2" i="128"/>
  <c r="SE2" i="128"/>
  <c r="UQ2" i="128"/>
  <c r="XC2" i="128"/>
  <c r="AR2" i="128"/>
  <c r="DD2" i="128"/>
  <c r="FP2" i="128"/>
  <c r="IB2" i="128"/>
  <c r="KN2" i="128"/>
  <c r="MZ2" i="128"/>
  <c r="PL2" i="128"/>
  <c r="RX2" i="128"/>
  <c r="BA2" i="128"/>
  <c r="DM2" i="128"/>
  <c r="FY2" i="128"/>
  <c r="IK2" i="128"/>
  <c r="KW2" i="128"/>
  <c r="NI2" i="128"/>
  <c r="PU2" i="128"/>
  <c r="SG2" i="128"/>
  <c r="US2" i="128"/>
  <c r="XE2" i="128"/>
  <c r="O2" i="128"/>
  <c r="CA2" i="128"/>
  <c r="EM2" i="128"/>
  <c r="GY2" i="128"/>
  <c r="JK2" i="128"/>
  <c r="LW2" i="128"/>
  <c r="OI2" i="128"/>
  <c r="QU2" i="128"/>
  <c r="TG2" i="128"/>
  <c r="VS2" i="128"/>
  <c r="YE2" i="128"/>
  <c r="CC2" i="128"/>
  <c r="HA2" i="128"/>
  <c r="LY2" i="128"/>
  <c r="QW2" i="128"/>
  <c r="VD2" i="128"/>
  <c r="YW2" i="128"/>
  <c r="RB2" i="128"/>
  <c r="DJ2" i="128"/>
  <c r="IH2" i="128"/>
  <c r="NF2" i="128"/>
  <c r="SD2" i="128"/>
  <c r="WD2" i="128"/>
  <c r="ZO2" i="128"/>
  <c r="V2" i="128"/>
  <c r="ET2" i="128"/>
  <c r="JR2" i="128"/>
  <c r="OP2" i="128"/>
  <c r="UT2" i="128"/>
  <c r="YO2" i="128"/>
  <c r="ABD2" i="128"/>
  <c r="DP2" i="128"/>
  <c r="IN2" i="128"/>
  <c r="NL2" i="128"/>
  <c r="SJ2" i="128"/>
  <c r="WH2" i="128"/>
  <c r="ZQ2" i="128"/>
  <c r="Y2" i="128"/>
  <c r="EW2" i="128"/>
  <c r="JU2" i="128"/>
  <c r="OS2" i="128"/>
  <c r="TJ2" i="128"/>
  <c r="XI2" i="128"/>
  <c r="AAH2" i="128"/>
  <c r="BF2" i="128"/>
  <c r="GD2" i="128"/>
  <c r="LB2" i="128"/>
  <c r="PZ2" i="128"/>
  <c r="UL2" i="128"/>
  <c r="YH2" i="128"/>
  <c r="AAY2" i="128"/>
  <c r="CP2" i="128"/>
  <c r="HN2" i="128"/>
  <c r="ML2" i="128"/>
  <c r="BG2" i="128"/>
  <c r="UY2" i="128"/>
  <c r="PT2" i="128"/>
  <c r="QC2" i="128"/>
  <c r="JS2" i="128"/>
  <c r="HQ2" i="128"/>
  <c r="NV2" i="128"/>
  <c r="TH2" i="128"/>
  <c r="CZ2" i="128"/>
  <c r="QN2" i="128"/>
  <c r="ZY2" i="128"/>
  <c r="JE2" i="128"/>
  <c r="TX2" i="128"/>
  <c r="AAP2" i="128"/>
  <c r="GT2" i="128"/>
  <c r="QP2" i="128"/>
  <c r="YR2" i="128"/>
  <c r="BJ2" i="128"/>
  <c r="ID2" i="128"/>
  <c r="OX2" i="128"/>
  <c r="VM2" i="128"/>
  <c r="ZL2" i="128"/>
  <c r="AF2" i="128"/>
  <c r="FD2" i="128"/>
  <c r="KB2" i="128"/>
  <c r="OZ2" i="128"/>
  <c r="TP2" i="128"/>
  <c r="XN2" i="128"/>
  <c r="AAK2" i="128"/>
  <c r="DS2" i="128"/>
  <c r="XK2" i="128"/>
  <c r="SF2" i="128"/>
  <c r="SO2" i="128"/>
  <c r="ME2" i="128"/>
  <c r="MO2" i="128"/>
  <c r="SS2" i="128"/>
  <c r="VF2" i="128"/>
  <c r="EF2" i="128"/>
  <c r="RT2" i="128"/>
  <c r="ABE2" i="128"/>
  <c r="KK2" i="128"/>
  <c r="VV2" i="128"/>
  <c r="J2" i="128"/>
  <c r="JF2" i="128"/>
  <c r="SZ2" i="128"/>
  <c r="AAA2" i="128"/>
  <c r="BZ2" i="128"/>
  <c r="JJ2" i="128"/>
  <c r="PN2" i="128"/>
  <c r="VZ2" i="128"/>
  <c r="ZT2" i="128"/>
  <c r="AV2" i="128"/>
  <c r="FT2" i="128"/>
  <c r="KR2" i="128"/>
  <c r="PP2" i="128"/>
  <c r="UB2" i="128"/>
  <c r="XZ2" i="128"/>
  <c r="AAS2" i="128"/>
  <c r="GE2" i="128"/>
  <c r="AZ2" i="128"/>
  <c r="BI2" i="128"/>
  <c r="VA2" i="128"/>
  <c r="OQ2" i="128"/>
  <c r="RM2" i="128"/>
  <c r="WR2" i="128"/>
  <c r="XF2" i="128"/>
  <c r="GR2" i="128"/>
  <c r="SV2" i="128"/>
  <c r="I2" i="128"/>
  <c r="MW2" i="128"/>
  <c r="WJ2" i="128"/>
  <c r="Z2" i="128"/>
  <c r="JV2" i="128"/>
  <c r="TL2" i="128"/>
  <c r="AAI2" i="128"/>
  <c r="DF2" i="128"/>
  <c r="JZ2" i="128"/>
  <c r="QD2" i="128"/>
  <c r="WL2" i="128"/>
  <c r="AAB2" i="128"/>
  <c r="BL2" i="128"/>
  <c r="GJ2" i="128"/>
  <c r="LH2" i="128"/>
  <c r="QF2" i="128"/>
  <c r="UO2" i="128"/>
  <c r="YJ2" i="128"/>
  <c r="ABA2" i="128"/>
  <c r="IQ2" i="128"/>
  <c r="DL2" i="128"/>
  <c r="DU2" i="128"/>
  <c r="XM2" i="128"/>
  <c r="RC2" i="128"/>
  <c r="VP2" i="128"/>
  <c r="ZW2" i="128"/>
  <c r="YY2" i="128"/>
  <c r="HX2" i="128"/>
  <c r="UV2" i="128"/>
  <c r="AO2" i="128"/>
  <c r="OC2" i="128"/>
  <c r="WV2" i="128"/>
  <c r="AP2" i="128"/>
  <c r="KL2" i="128"/>
  <c r="TY2" i="128"/>
  <c r="AAQ2" i="128"/>
  <c r="EL2" i="128"/>
  <c r="KP2" i="128"/>
  <c r="RJ2" i="128"/>
  <c r="WZ2" i="128"/>
  <c r="AAJ2" i="128"/>
  <c r="CB2" i="128"/>
  <c r="GZ2" i="128"/>
  <c r="LX2" i="128"/>
  <c r="QV2" i="128"/>
  <c r="VB2" i="128"/>
  <c r="YV2" i="128"/>
  <c r="ABI2" i="128"/>
  <c r="LC2" i="128"/>
  <c r="FX2" i="128"/>
  <c r="GG2" i="128"/>
  <c r="W2" i="128"/>
  <c r="TO2" i="128"/>
  <c r="ZF2" i="128"/>
  <c r="AL2" i="128"/>
  <c r="AAF2" i="128"/>
  <c r="JD2" i="128"/>
  <c r="VU2" i="128"/>
  <c r="DA2" i="128"/>
  <c r="PI2" i="128"/>
  <c r="XV2" i="128"/>
  <c r="BV2" i="128"/>
  <c r="LR2" i="128"/>
  <c r="UX2" i="128"/>
  <c r="ABG2" i="128"/>
  <c r="FB2" i="128"/>
  <c r="LF2" i="128"/>
  <c r="TA2" i="128"/>
  <c r="XL2" i="128"/>
  <c r="AAR2" i="128"/>
  <c r="CR2" i="128"/>
  <c r="HP2" i="128"/>
  <c r="MN2" i="128"/>
  <c r="RL2" i="128"/>
  <c r="VN2" i="128"/>
  <c r="ZE2" i="128"/>
  <c r="SH2" i="128"/>
  <c r="NO2" i="128"/>
  <c r="IJ2" i="128"/>
  <c r="IS2" i="128"/>
  <c r="CI2" i="128"/>
  <c r="WA2" i="128"/>
  <c r="B2" i="128"/>
  <c r="FJ2" i="128"/>
  <c r="AAV2" i="128"/>
  <c r="LP2" i="128"/>
  <c r="WT2" i="128"/>
  <c r="EG2" i="128"/>
  <c r="RU2" i="128"/>
  <c r="ZJ2" i="128"/>
  <c r="EH2" i="128"/>
  <c r="OD2" i="128"/>
  <c r="WX2" i="128"/>
  <c r="N2" i="128"/>
  <c r="FR2" i="128"/>
  <c r="LV2" i="128"/>
  <c r="TN2" i="128"/>
  <c r="YI2" i="128"/>
  <c r="AAZ2" i="128"/>
  <c r="DH2" i="128"/>
  <c r="IF2" i="128"/>
  <c r="ND2" i="128"/>
  <c r="SB2" i="128"/>
  <c r="WB2" i="128"/>
  <c r="ZM2" i="128"/>
  <c r="QA2" i="128"/>
  <c r="KV2" i="128"/>
  <c r="LE2" i="128"/>
  <c r="EU2" i="128"/>
  <c r="YM2" i="128"/>
  <c r="DZ2" i="128"/>
  <c r="KH2" i="128"/>
  <c r="H2" i="128"/>
  <c r="MV2" i="128"/>
  <c r="YP2" i="128"/>
  <c r="FM2" i="128"/>
  <c r="SK2" i="128"/>
  <c r="ZR2" i="128"/>
  <c r="EX2" i="128"/>
  <c r="OT2" i="128"/>
  <c r="XJ2" i="128"/>
  <c r="AD2" i="128"/>
  <c r="GH2" i="128"/>
  <c r="NB2" i="128"/>
  <c r="UN2" i="128"/>
  <c r="YT2" i="128"/>
  <c r="ABH2" i="128"/>
  <c r="DX2" i="128"/>
  <c r="IV2" i="128"/>
  <c r="NT2" i="128"/>
  <c r="SP2" i="128"/>
  <c r="WN2" i="128"/>
  <c r="ZU2" i="128"/>
  <c r="SM2" i="128"/>
  <c r="NH2" i="128"/>
  <c r="NQ2" i="128"/>
  <c r="HG2" i="128"/>
  <c r="CS2" i="128"/>
  <c r="IX2" i="128"/>
  <c r="PF2" i="128"/>
  <c r="BT2" i="128"/>
  <c r="OB2" i="128"/>
  <c r="ZI2" i="128"/>
  <c r="HY2" i="128"/>
  <c r="SX2" i="128"/>
  <c r="ZZ2" i="128"/>
  <c r="FN2" i="128"/>
  <c r="PJ2" i="128"/>
  <c r="XX2" i="128"/>
  <c r="AT2" i="128"/>
  <c r="GX2" i="128"/>
  <c r="OH2" i="128"/>
  <c r="UZ2" i="128"/>
  <c r="ZD2" i="128"/>
  <c r="P2" i="128"/>
  <c r="EN2" i="128"/>
  <c r="JL2" i="128"/>
  <c r="OJ2" i="128"/>
  <c r="TB2" i="128"/>
  <c r="XA2" i="128"/>
  <c r="AAC2" i="128"/>
  <c r="DC362" i="112"/>
  <c r="EM362" i="112"/>
  <c r="CV362" i="112"/>
  <c r="EN362" i="112"/>
  <c r="EL362" i="112"/>
  <c r="DC363" i="112" l="1"/>
  <c r="EL363" i="112"/>
  <c r="CV363" i="112"/>
  <c r="EM363" i="112"/>
  <c r="EN363" i="112"/>
  <c r="DC364" i="112" l="1"/>
  <c r="EM364" i="112"/>
  <c r="CV364" i="112"/>
  <c r="EN364" i="112"/>
  <c r="EL364" i="112"/>
  <c r="EN365" i="112" l="1"/>
  <c r="EM365" i="112"/>
  <c r="DC365" i="112"/>
  <c r="EL365" i="112"/>
  <c r="CV365" i="112" s="1"/>
  <c r="DC370" i="112" l="1"/>
  <c r="EL370" i="112"/>
  <c r="EM370" i="112"/>
  <c r="EN370" i="112"/>
  <c r="CV370" i="112" l="1"/>
  <c r="EL371" i="112"/>
  <c r="EM371" i="112"/>
  <c r="EN371" i="112"/>
  <c r="DC371" i="112"/>
  <c r="CV371" i="112" l="1"/>
  <c r="DC372" i="112"/>
  <c r="EM372" i="112"/>
  <c r="EN372" i="112"/>
  <c r="EL372" i="112"/>
  <c r="CV372" i="112" l="1"/>
  <c r="DC373" i="112"/>
  <c r="EL373" i="112"/>
  <c r="EM373" i="112"/>
  <c r="EN373" i="112"/>
  <c r="CV373" i="112" l="1"/>
  <c r="EN374" i="112"/>
  <c r="EL374" i="112"/>
  <c r="DC374" i="112"/>
  <c r="EM374" i="112"/>
  <c r="CV374" i="112" l="1"/>
  <c r="EL375" i="112"/>
  <c r="DC375" i="112"/>
  <c r="EN375" i="112"/>
  <c r="EM375" i="112"/>
  <c r="CV375" i="112" s="1"/>
  <c r="DC376" i="112" l="1"/>
  <c r="EM376" i="112"/>
  <c r="EL376" i="112"/>
  <c r="EN376" i="112"/>
  <c r="CV376" i="112" l="1"/>
  <c r="DC377" i="112"/>
  <c r="EN377" i="112"/>
  <c r="EL377" i="112"/>
  <c r="EM377" i="112"/>
  <c r="CV377" i="112" l="1"/>
  <c r="EM378" i="112"/>
  <c r="EL378" i="112"/>
  <c r="DC378" i="112"/>
  <c r="EN378" i="112"/>
  <c r="CV378" i="112" l="1"/>
  <c r="EN379" i="112"/>
  <c r="EM379" i="112"/>
  <c r="DC379" i="112"/>
  <c r="EL379" i="112"/>
  <c r="CV379" i="112" l="1"/>
  <c r="DC380" i="112"/>
  <c r="EL380" i="112"/>
  <c r="EM380" i="112"/>
  <c r="EN380" i="112"/>
  <c r="CV380" i="112" l="1"/>
  <c r="DC381" i="112"/>
  <c r="EN381" i="112"/>
  <c r="EL381" i="112"/>
  <c r="EM381" i="112"/>
  <c r="CV381" i="112" l="1"/>
  <c r="EM382" i="112"/>
  <c r="DC382" i="112"/>
  <c r="EL382" i="112"/>
  <c r="EN382" i="112"/>
  <c r="CV382" i="112" l="1"/>
  <c r="EL383" i="112"/>
  <c r="EM383" i="112"/>
  <c r="EN383" i="112"/>
  <c r="CV383" i="112" s="1"/>
  <c r="DC383" i="112"/>
  <c r="EN384" i="112" l="1"/>
  <c r="DC384" i="112"/>
  <c r="EL384" i="112"/>
  <c r="EM384" i="112"/>
  <c r="CV384" i="112" l="1"/>
  <c r="DC385" i="112"/>
  <c r="EN385" i="112"/>
  <c r="EL385" i="112"/>
  <c r="EM385" i="112"/>
  <c r="CV385" i="112" s="1"/>
  <c r="DC386" i="112" l="1"/>
  <c r="EN386" i="112"/>
  <c r="EM386" i="112"/>
  <c r="EL386" i="112"/>
  <c r="CV386" i="112" s="1"/>
  <c r="DC387" i="112" l="1"/>
  <c r="EN387" i="112"/>
  <c r="EL387" i="112"/>
  <c r="EM387" i="112"/>
  <c r="CV387" i="112" l="1"/>
  <c r="EN388" i="112"/>
  <c r="DC388" i="112"/>
  <c r="EM388" i="112"/>
  <c r="EL388" i="112"/>
  <c r="CV388" i="112" l="1"/>
  <c r="DC389" i="112"/>
  <c r="EL389" i="112"/>
  <c r="EN389" i="112"/>
  <c r="EM389" i="112"/>
  <c r="CV389" i="112" l="1"/>
  <c r="EM390" i="112"/>
  <c r="DC390" i="112"/>
  <c r="EN390" i="112"/>
  <c r="EL390" i="112"/>
  <c r="CV390" i="112" l="1"/>
  <c r="DC391" i="112"/>
  <c r="EN391" i="112"/>
  <c r="EL391" i="112"/>
  <c r="EM391" i="112"/>
  <c r="CV391" i="112" l="1"/>
  <c r="DC392" i="112"/>
  <c r="EL392" i="112"/>
  <c r="EN392" i="112"/>
  <c r="EM392" i="112"/>
  <c r="CV392" i="112" l="1"/>
  <c r="EM393" i="112"/>
  <c r="EL393" i="112"/>
  <c r="DC393" i="112"/>
  <c r="EN393" i="112"/>
  <c r="CV393" i="112" l="1"/>
  <c r="EL394" i="112"/>
  <c r="EN394" i="112"/>
  <c r="EM394" i="112"/>
  <c r="DC394" i="112"/>
  <c r="CV394" i="112" l="1"/>
  <c r="EM395" i="112"/>
  <c r="DC395" i="112"/>
  <c r="EN395" i="112"/>
  <c r="EL395" i="112"/>
  <c r="CV395" i="112" l="1"/>
  <c r="DC396" i="112"/>
  <c r="EL396" i="112"/>
  <c r="EN396" i="112"/>
  <c r="EM396" i="112"/>
  <c r="CV396" i="112" l="1"/>
  <c r="EL397" i="112"/>
  <c r="EN397" i="112"/>
  <c r="EM397" i="112"/>
  <c r="DC397" i="112"/>
  <c r="CV397" i="112" l="1"/>
  <c r="DC398" i="112"/>
  <c r="EL398" i="112"/>
  <c r="EN398" i="112"/>
  <c r="EM398" i="112"/>
  <c r="CV398" i="112" l="1"/>
  <c r="EN399" i="112"/>
  <c r="DC399" i="112"/>
  <c r="EL399" i="112"/>
  <c r="EM399" i="112"/>
  <c r="CV399" i="112" l="1"/>
  <c r="EL400" i="112"/>
  <c r="EM400" i="112"/>
  <c r="EN400" i="112"/>
  <c r="DC400" i="112"/>
  <c r="CV400" i="112" l="1"/>
  <c r="EM401" i="112"/>
  <c r="EN401" i="112"/>
  <c r="EL401" i="112"/>
  <c r="CV401" i="112" s="1"/>
  <c r="DC401" i="112"/>
  <c r="EN402" i="112" l="1"/>
  <c r="EM402" i="112"/>
  <c r="DC402" i="112"/>
  <c r="EL402" i="112"/>
  <c r="CV402" i="112" s="1"/>
  <c r="DC403" i="112" l="1"/>
  <c r="EL403" i="112"/>
  <c r="EN403" i="112"/>
  <c r="EM403" i="112"/>
  <c r="CV403" i="112" l="1"/>
  <c r="DC404" i="112"/>
  <c r="EN404" i="112"/>
  <c r="EM404" i="112"/>
  <c r="EL404" i="112"/>
  <c r="CV404" i="112" l="1"/>
  <c r="DC407" i="112"/>
  <c r="EN407" i="112"/>
  <c r="EL407" i="112"/>
  <c r="EM407" i="112"/>
  <c r="CV407" i="112" s="1"/>
  <c r="EL405" i="112"/>
  <c r="EM405" i="112"/>
  <c r="EN405" i="112"/>
  <c r="CV405" i="112" l="1"/>
  <c r="EM406" i="112"/>
  <c r="EN406" i="112"/>
  <c r="EL406" i="112"/>
  <c r="CV406" i="112" s="1"/>
  <c r="DC408" i="112" l="1"/>
  <c r="EN408" i="112"/>
  <c r="EL408" i="112"/>
  <c r="EM408" i="112"/>
  <c r="CV408" i="112" l="1"/>
  <c r="DC409" i="112"/>
  <c r="EM409" i="112"/>
  <c r="EL409" i="112"/>
  <c r="EN409" i="112"/>
  <c r="CV409" i="112" l="1"/>
  <c r="DC410" i="112"/>
  <c r="EM410" i="112"/>
  <c r="EN410" i="112"/>
  <c r="EL410" i="112"/>
  <c r="CV410" i="112" l="1"/>
  <c r="DC411" i="112"/>
  <c r="EL411" i="112"/>
  <c r="EM411" i="112"/>
  <c r="EN411" i="112"/>
  <c r="CV411" i="112" l="1"/>
  <c r="DC412" i="112"/>
  <c r="EN412" i="112"/>
  <c r="EL412" i="112"/>
  <c r="EM412" i="112"/>
  <c r="CV412" i="112" l="1"/>
  <c r="EM413" i="112"/>
  <c r="DC413" i="112"/>
  <c r="EL413" i="112"/>
  <c r="EN413" i="112"/>
  <c r="CV413" i="112" l="1"/>
  <c r="EM414" i="112"/>
  <c r="DC414" i="112"/>
  <c r="EL414" i="112"/>
  <c r="EN414" i="112"/>
  <c r="CV414" i="112" l="1"/>
  <c r="EN415" i="112"/>
  <c r="EL415" i="112"/>
  <c r="EM415" i="112"/>
  <c r="CV415" i="112" s="1"/>
  <c r="DC415" i="112"/>
  <c r="DC416" i="112" l="1"/>
  <c r="EL416" i="112"/>
  <c r="EN416" i="112"/>
  <c r="EM416" i="112"/>
  <c r="CV416" i="112" l="1"/>
  <c r="EM417" i="112"/>
  <c r="EL417" i="112"/>
  <c r="CV417" i="112" s="1"/>
  <c r="EN417" i="112"/>
  <c r="DC417" i="112"/>
  <c r="EL418" i="112" l="1"/>
  <c r="DC418" i="112"/>
  <c r="EM418" i="112"/>
  <c r="EN418" i="112"/>
  <c r="CV418" i="112"/>
  <c r="EL419" i="112" l="1"/>
  <c r="EN419" i="112"/>
  <c r="EM419" i="112"/>
  <c r="CV419" i="112" s="1"/>
  <c r="DC419" i="112"/>
  <c r="DC420" i="112" l="1"/>
  <c r="EN420" i="112"/>
  <c r="EM420" i="112"/>
  <c r="EL420" i="112"/>
  <c r="CV420" i="112"/>
  <c r="CV421" i="112" l="1"/>
  <c r="EN421" i="112"/>
  <c r="EM421" i="112"/>
  <c r="EL421" i="112"/>
  <c r="DC421" i="112"/>
  <c r="DC426" i="112" l="1"/>
  <c r="EN426" i="112"/>
  <c r="EM426" i="112"/>
  <c r="EL426" i="112"/>
  <c r="CV426" i="112" l="1"/>
  <c r="EL427" i="112"/>
  <c r="EM427" i="112"/>
  <c r="DC427" i="112"/>
  <c r="EN427" i="112"/>
  <c r="CV427" i="112" l="1"/>
  <c r="EN428" i="112"/>
  <c r="EM428" i="112"/>
  <c r="EL428" i="112"/>
  <c r="CV428" i="112" s="1"/>
  <c r="DC428" i="112"/>
  <c r="EN429" i="112" l="1"/>
  <c r="DC429" i="112"/>
  <c r="EM429" i="112"/>
  <c r="EL429" i="112"/>
  <c r="CV429" i="112" l="1"/>
  <c r="EM430" i="112"/>
  <c r="EN430" i="112"/>
  <c r="DC430" i="112"/>
  <c r="EL430" i="112"/>
  <c r="CV430" i="112" s="1"/>
  <c r="DC431" i="112" l="1"/>
  <c r="EN431" i="112"/>
  <c r="EL431" i="112"/>
  <c r="EM431" i="112"/>
  <c r="CV431" i="112" l="1"/>
  <c r="EL432" i="112"/>
  <c r="EN432" i="112"/>
  <c r="EM432" i="112"/>
  <c r="CV432" i="112" s="1"/>
  <c r="DC432" i="112"/>
  <c r="DC433" i="112" l="1"/>
  <c r="EM433" i="112"/>
  <c r="EN433" i="112"/>
  <c r="EL433" i="112"/>
  <c r="CV433" i="112" l="1"/>
  <c r="DC434" i="112"/>
  <c r="EN434" i="112"/>
  <c r="EM434" i="112"/>
  <c r="EL434" i="112"/>
  <c r="CV434" i="112" s="1"/>
  <c r="DC435" i="112" l="1"/>
  <c r="EM435" i="112"/>
  <c r="EL435" i="112"/>
  <c r="CV435" i="112" s="1"/>
  <c r="EN435" i="112"/>
  <c r="DC436" i="112" l="1"/>
  <c r="EM436" i="112"/>
  <c r="EN436" i="112"/>
  <c r="EL436" i="112"/>
  <c r="CV436" i="112" s="1"/>
  <c r="DC437" i="112" l="1"/>
  <c r="EL437" i="112"/>
  <c r="EM437" i="112"/>
  <c r="CV437" i="112" s="1"/>
  <c r="EN437" i="112"/>
  <c r="DC438" i="112" l="1"/>
  <c r="EL438" i="112"/>
  <c r="EM438" i="112"/>
  <c r="EN438" i="112"/>
  <c r="CV438" i="112" l="1"/>
  <c r="DC439" i="112"/>
  <c r="EL439" i="112"/>
  <c r="EM439" i="112"/>
  <c r="EN439" i="112"/>
  <c r="CV439" i="112" l="1"/>
  <c r="DC440" i="112"/>
  <c r="EL440" i="112"/>
  <c r="EM440" i="112"/>
  <c r="CV440" i="112" s="1"/>
  <c r="EN440" i="112"/>
  <c r="P55" i="115"/>
  <c r="AM13" i="121"/>
  <c r="C6" i="123"/>
  <c r="DC441" i="112" l="1"/>
  <c r="EN441" i="112"/>
  <c r="EL441" i="112"/>
  <c r="EM441" i="112"/>
  <c r="CV441" i="112" l="1"/>
  <c r="DC442" i="112"/>
  <c r="EM442" i="112"/>
  <c r="EL442" i="112"/>
  <c r="EN442" i="112"/>
  <c r="CV442" i="112" l="1"/>
  <c r="DC443" i="112"/>
  <c r="EL443" i="112"/>
  <c r="EN443" i="112"/>
  <c r="EM443" i="112"/>
  <c r="CV443" i="112" s="1"/>
  <c r="DC444" i="112" l="1"/>
  <c r="EN444" i="112"/>
  <c r="EL444" i="112"/>
  <c r="CV444" i="112" s="1"/>
  <c r="EM444" i="112"/>
  <c r="DC445" i="112" l="1"/>
  <c r="EL445" i="112"/>
  <c r="CV445" i="112" s="1"/>
  <c r="EM445" i="112"/>
  <c r="EN445" i="112"/>
  <c r="DC446" i="112" l="1"/>
  <c r="EL446" i="112"/>
  <c r="EN446" i="112"/>
  <c r="EM446" i="112"/>
  <c r="CV446" i="112"/>
  <c r="DC447" i="112" l="1"/>
  <c r="CV447" i="112"/>
  <c r="EN447" i="112"/>
  <c r="EL447" i="112"/>
  <c r="EM447" i="112"/>
  <c r="DC448" i="112" l="1"/>
  <c r="CV448" i="112"/>
  <c r="EL448" i="112"/>
  <c r="EM448" i="112"/>
  <c r="EN448" i="112"/>
  <c r="DC449" i="112" l="1"/>
  <c r="EM449" i="112"/>
  <c r="EL449" i="112"/>
  <c r="EN449" i="112"/>
  <c r="CV449" i="112"/>
  <c r="DC450" i="112" l="1"/>
  <c r="EL450" i="112"/>
  <c r="CV450" i="112"/>
  <c r="EM450" i="112"/>
  <c r="EN450" i="112"/>
  <c r="DC451" i="112" l="1"/>
  <c r="EL451" i="112"/>
  <c r="EM451" i="112"/>
  <c r="EN451" i="112"/>
  <c r="CV451" i="112"/>
  <c r="DC452" i="112" l="1"/>
  <c r="EN452" i="112"/>
  <c r="EL452" i="112"/>
  <c r="EM452" i="112"/>
  <c r="CV452" i="112"/>
  <c r="DC453" i="112" l="1"/>
  <c r="EN453" i="112"/>
  <c r="EL453" i="112"/>
  <c r="EM453" i="112"/>
  <c r="CV453" i="112"/>
  <c r="DC454" i="112" l="1"/>
  <c r="EL454" i="112"/>
  <c r="EM454" i="112"/>
  <c r="EN454" i="112"/>
  <c r="CV454" i="112"/>
  <c r="DC455" i="112" l="1"/>
  <c r="EM455" i="112"/>
  <c r="CV455" i="112"/>
  <c r="EN455" i="112"/>
  <c r="EL455" i="112"/>
  <c r="DC456" i="112" l="1"/>
  <c r="EN456" i="112"/>
  <c r="EM456" i="112"/>
  <c r="EL456" i="112"/>
  <c r="CV456" i="112"/>
  <c r="DC457" i="112" l="1"/>
  <c r="EL457" i="112"/>
  <c r="EM457" i="112"/>
  <c r="EN457" i="112"/>
  <c r="CV457" i="112"/>
  <c r="DC458" i="112" l="1"/>
  <c r="CV458" i="112"/>
  <c r="EL458" i="112"/>
  <c r="EM458" i="112"/>
  <c r="EN458" i="112"/>
  <c r="DC459" i="112" l="1"/>
  <c r="EN459" i="112"/>
  <c r="EL459" i="112"/>
  <c r="EM459" i="112"/>
  <c r="CV459" i="112"/>
  <c r="DC460" i="112" l="1"/>
  <c r="EN460" i="112"/>
  <c r="CV460" i="112"/>
  <c r="EL460" i="112"/>
  <c r="EM460" i="112"/>
  <c r="DC461" i="112" l="1"/>
  <c r="CV461" i="112"/>
  <c r="EL461" i="112"/>
  <c r="EM461" i="112"/>
  <c r="EN461" i="112"/>
  <c r="DC462" i="112" l="1"/>
  <c r="EN462" i="112"/>
  <c r="EM462" i="112"/>
  <c r="EL462" i="112"/>
  <c r="CV462" i="112"/>
  <c r="DC463" i="112" l="1"/>
  <c r="EL463" i="112"/>
  <c r="EN463" i="112"/>
  <c r="EM463" i="112"/>
  <c r="CV463" i="112"/>
  <c r="DC464" i="112" l="1"/>
  <c r="EN464" i="112"/>
  <c r="CV464" i="112"/>
  <c r="EL464" i="112"/>
  <c r="EM464" i="112"/>
  <c r="EN465" i="112" l="1"/>
  <c r="EM465" i="112"/>
  <c r="EL465" i="112"/>
  <c r="CV465" i="112"/>
  <c r="DC465" i="112"/>
  <c r="DC466" i="112" l="1"/>
  <c r="EM466" i="112"/>
  <c r="EN466" i="112"/>
  <c r="EL466" i="112"/>
  <c r="CV466" i="112" s="1"/>
  <c r="DC467" i="112" l="1"/>
  <c r="EN467" i="112"/>
  <c r="EM467" i="112"/>
  <c r="EL467" i="112"/>
  <c r="CV467" i="112" s="1"/>
  <c r="EL468" i="112" l="1"/>
  <c r="CV468" i="112" s="1"/>
  <c r="EN468" i="112"/>
  <c r="DC468" i="112"/>
  <c r="EM468" i="112"/>
  <c r="EL469" i="112" l="1"/>
  <c r="DC469" i="112"/>
  <c r="EM469" i="112"/>
  <c r="EN469" i="112"/>
  <c r="CV469" i="112"/>
  <c r="EN470" i="112" l="1"/>
  <c r="DC470" i="112"/>
  <c r="EL470" i="112"/>
  <c r="EM470" i="112"/>
  <c r="CV470" i="112"/>
  <c r="DC475" i="112" l="1"/>
  <c r="EN475" i="112"/>
  <c r="EM475" i="112"/>
  <c r="EL475" i="112"/>
  <c r="CV475" i="112" l="1"/>
  <c r="DC476" i="112"/>
  <c r="EL476" i="112"/>
  <c r="EM476" i="112"/>
  <c r="EN476" i="112"/>
  <c r="CV476" i="112"/>
  <c r="EN477" i="112" l="1"/>
  <c r="DC477" i="112"/>
  <c r="EL477" i="112"/>
  <c r="CV477" i="112"/>
  <c r="EM477" i="112"/>
  <c r="EM478" i="112" l="1"/>
  <c r="DC478" i="112"/>
  <c r="EL478" i="112"/>
  <c r="CV478" i="112" s="1"/>
  <c r="EN478" i="112"/>
  <c r="EL479" i="112" l="1"/>
  <c r="EN479" i="112"/>
  <c r="EM479" i="112"/>
  <c r="DC479" i="112"/>
  <c r="CV479" i="112"/>
  <c r="DC480" i="112" l="1"/>
  <c r="EL480" i="112"/>
  <c r="CV480" i="112" s="1"/>
  <c r="EM480" i="112"/>
  <c r="EN480" i="112"/>
  <c r="EM481" i="112" l="1"/>
  <c r="EL481" i="112"/>
  <c r="EN481" i="112"/>
  <c r="CV481" i="112" s="1"/>
  <c r="DC481" i="112"/>
  <c r="EM482" i="112" l="1"/>
  <c r="EL482" i="112"/>
  <c r="CV482" i="112" s="1"/>
  <c r="EN482" i="112"/>
  <c r="DC482" i="112"/>
  <c r="DC483" i="112" l="1"/>
  <c r="EL483" i="112"/>
  <c r="EM483" i="112"/>
  <c r="CV483" i="112" s="1"/>
  <c r="EN483" i="112"/>
  <c r="DC484" i="112" l="1"/>
  <c r="EL484" i="112"/>
  <c r="EN484" i="112"/>
  <c r="EM484" i="112"/>
  <c r="CV484" i="112"/>
  <c r="EL485" i="112" l="1"/>
  <c r="DC485" i="112"/>
  <c r="EN485" i="112"/>
  <c r="EM485" i="112"/>
  <c r="CV485" i="112"/>
  <c r="EL486" i="112" l="1"/>
  <c r="EN486" i="112"/>
  <c r="DC486" i="112"/>
  <c r="CV486" i="112"/>
  <c r="EM486" i="112"/>
  <c r="DC487" i="112" l="1"/>
  <c r="EN487" i="112"/>
  <c r="EM487" i="112"/>
  <c r="EL487" i="112"/>
  <c r="CV487" i="112"/>
  <c r="EN488" i="112" l="1"/>
  <c r="DC488" i="112"/>
  <c r="EM488" i="112"/>
  <c r="EL488" i="112"/>
  <c r="CV488" i="112"/>
  <c r="EL493" i="112" l="1"/>
  <c r="EN493" i="112"/>
  <c r="EM493" i="112"/>
  <c r="DC493" i="112"/>
  <c r="CV493" i="112" l="1"/>
  <c r="DC494" i="112"/>
  <c r="EN494" i="112"/>
  <c r="EL494" i="112"/>
  <c r="EM494" i="112"/>
  <c r="CV494" i="112" l="1"/>
  <c r="EL495" i="112"/>
  <c r="DC495" i="112"/>
  <c r="EM495" i="112"/>
  <c r="EN495" i="112"/>
  <c r="CV495" i="112" s="1"/>
  <c r="EN496" i="112" l="1"/>
  <c r="EM496" i="112"/>
  <c r="EL496" i="112"/>
  <c r="CV496" i="112" s="1"/>
  <c r="DC496" i="112"/>
  <c r="EN497" i="112" l="1"/>
  <c r="EM497" i="112"/>
  <c r="EL497" i="112"/>
  <c r="DC497" i="112"/>
  <c r="CV497" i="112"/>
  <c r="DC498" i="112" l="1"/>
  <c r="EL498" i="112"/>
  <c r="EN498" i="112"/>
  <c r="EM498" i="112"/>
  <c r="CV498" i="112" l="1"/>
  <c r="DC499" i="112"/>
  <c r="EM499" i="112"/>
  <c r="EL499" i="112"/>
  <c r="EN499" i="112"/>
  <c r="CV499" i="112" l="1"/>
  <c r="DC500" i="112"/>
  <c r="EN500" i="112"/>
  <c r="EM500" i="112"/>
  <c r="EL500" i="112"/>
  <c r="CV500" i="112" s="1"/>
  <c r="DC501" i="112" l="1"/>
  <c r="EM501" i="112"/>
  <c r="EN501" i="112"/>
  <c r="EL501" i="112"/>
  <c r="CV501" i="112" s="1"/>
  <c r="EM502" i="112" l="1"/>
  <c r="DC502" i="112"/>
  <c r="EL502" i="112"/>
  <c r="CV502" i="112" s="1"/>
  <c r="EN502" i="112"/>
  <c r="EL503" i="112" l="1"/>
  <c r="EM503" i="112"/>
  <c r="EN503" i="112"/>
  <c r="CV503" i="112" s="1"/>
  <c r="DC503" i="112"/>
  <c r="EN504" i="112" l="1"/>
  <c r="DC504" i="112"/>
  <c r="EL504" i="112"/>
  <c r="CV504" i="112" s="1"/>
  <c r="EM504" i="112"/>
  <c r="EM505" i="112" l="1"/>
  <c r="EL505" i="112"/>
  <c r="CV505" i="112" s="1"/>
  <c r="DC505" i="112"/>
  <c r="EN505" i="112"/>
  <c r="EN506" i="112" l="1"/>
  <c r="EL506" i="112"/>
  <c r="EM506" i="112"/>
  <c r="DC506" i="112"/>
  <c r="CV506" i="112"/>
  <c r="EL507" i="112" l="1"/>
  <c r="EN507" i="112"/>
  <c r="DC507" i="112"/>
  <c r="EM507" i="112"/>
  <c r="CV507" i="112" s="1"/>
  <c r="EL512" i="112" l="1"/>
  <c r="EM512" i="112"/>
  <c r="EN512" i="112"/>
  <c r="DC512" i="112"/>
  <c r="CV512" i="112" l="1"/>
  <c r="EL513" i="112"/>
  <c r="DC513" i="112"/>
  <c r="EN513" i="112"/>
  <c r="EM513" i="112"/>
  <c r="DC514" i="112" l="1"/>
  <c r="CV513" i="112"/>
  <c r="EN514" i="112"/>
  <c r="EM514" i="112"/>
  <c r="EL514" i="112"/>
  <c r="CV514" i="112" l="1"/>
  <c r="EL515" i="112"/>
  <c r="EM515" i="112"/>
  <c r="EN515" i="112"/>
  <c r="DC515" i="112"/>
  <c r="CV515" i="112" l="1"/>
  <c r="EM516" i="112"/>
  <c r="EN516" i="112"/>
  <c r="EL516" i="112"/>
  <c r="DC516" i="112"/>
  <c r="CV516" i="112" l="1"/>
  <c r="EL517" i="112"/>
  <c r="DC517" i="112"/>
  <c r="EM517" i="112"/>
  <c r="EN517" i="112"/>
  <c r="CV517" i="112" l="1"/>
  <c r="DC518" i="112"/>
  <c r="EM518" i="112"/>
  <c r="EL518" i="112"/>
  <c r="CV518" i="112" s="1"/>
  <c r="EN518" i="112"/>
  <c r="EN519" i="112" l="1"/>
  <c r="EM519" i="112"/>
  <c r="EL519" i="112"/>
  <c r="DC519" i="112"/>
  <c r="CV519" i="112"/>
  <c r="EL520" i="112" l="1"/>
  <c r="EM520" i="112"/>
  <c r="DC520" i="112"/>
  <c r="EN520" i="112"/>
  <c r="CV520" i="112"/>
  <c r="EM521" i="112" l="1"/>
  <c r="DC521" i="112"/>
  <c r="EL521" i="112"/>
  <c r="EN521" i="112"/>
  <c r="DC522" i="112" l="1"/>
  <c r="EM522" i="112"/>
  <c r="EN522" i="112"/>
  <c r="EL522" i="112"/>
  <c r="CV522" i="112" s="1"/>
  <c r="EN523" i="112" l="1"/>
  <c r="EM523" i="112"/>
  <c r="EL523" i="112"/>
  <c r="CV523" i="112"/>
  <c r="DC523" i="112"/>
  <c r="EN524" i="112" l="1"/>
  <c r="EM524" i="112"/>
  <c r="EL524" i="112"/>
  <c r="DC524" i="112"/>
  <c r="CV524" i="112"/>
  <c r="DC525" i="112" l="1"/>
  <c r="CV525" i="112"/>
  <c r="EN525" i="112"/>
  <c r="EM525" i="112"/>
  <c r="EL525" i="112"/>
  <c r="D11" i="111"/>
  <c r="E1860" i="123" s="1"/>
  <c r="F1860" i="123" s="1"/>
  <c r="BA1" i="111" l="1"/>
  <c r="BA2" i="111" s="1" a="1"/>
  <c r="BA2" i="111" s="1"/>
  <c r="Z16" i="111"/>
  <c r="AK12" i="111"/>
  <c r="BF1" i="111"/>
  <c r="BO1" i="111"/>
  <c r="BQ1" i="111"/>
  <c r="BL1" i="111"/>
  <c r="BP1" i="111"/>
  <c r="BS1" i="111"/>
  <c r="BD1" i="111"/>
  <c r="BC1" i="111"/>
  <c r="BG1" i="111"/>
  <c r="BJ1" i="111"/>
  <c r="BI1" i="111"/>
  <c r="BN1" i="111"/>
  <c r="BK1" i="111"/>
  <c r="BM1" i="111"/>
  <c r="BT1" i="111"/>
  <c r="BB1" i="111"/>
  <c r="BH1" i="111"/>
  <c r="BE1" i="111"/>
  <c r="BR1" i="111"/>
  <c r="K11" i="111"/>
  <c r="D393" i="111"/>
  <c r="K430" i="111"/>
  <c r="D250" i="111"/>
  <c r="Z435" i="111"/>
  <c r="D513" i="111"/>
  <c r="D453" i="111"/>
  <c r="K550" i="111"/>
  <c r="D130" i="111"/>
  <c r="D153" i="111"/>
  <c r="K310" i="111"/>
  <c r="K190" i="111"/>
  <c r="Z338" i="111"/>
  <c r="D93" i="111"/>
  <c r="Z555" i="111"/>
  <c r="K273" i="111"/>
  <c r="D190" i="111"/>
  <c r="D273" i="111"/>
  <c r="D430" i="111"/>
  <c r="K130" i="111"/>
  <c r="D213" i="111"/>
  <c r="Z98" i="111"/>
  <c r="D550" i="111"/>
  <c r="D333" i="111"/>
  <c r="K250" i="111"/>
  <c r="Z398" i="111"/>
  <c r="D370" i="111"/>
  <c r="D70" i="111"/>
  <c r="Z518" i="111"/>
  <c r="K453" i="111"/>
  <c r="D310" i="111"/>
  <c r="K393" i="111"/>
  <c r="K333" i="111"/>
  <c r="Z458" i="111"/>
  <c r="K370" i="111"/>
  <c r="K490" i="111"/>
  <c r="Z255" i="111"/>
  <c r="Z75" i="111"/>
  <c r="K573" i="111"/>
  <c r="Z218" i="111"/>
  <c r="Z315" i="111"/>
  <c r="Z158" i="111"/>
  <c r="Z495" i="111"/>
  <c r="Z278" i="111"/>
  <c r="K213" i="111"/>
  <c r="K513" i="111"/>
  <c r="K34" i="111"/>
  <c r="Z135" i="111"/>
  <c r="Z195" i="111"/>
  <c r="K93" i="111"/>
  <c r="D490" i="111"/>
  <c r="Z375" i="111"/>
  <c r="Z578" i="111"/>
  <c r="D34" i="111"/>
  <c r="K70" i="111"/>
  <c r="Z39" i="111"/>
  <c r="K153" i="111"/>
  <c r="D573" i="111"/>
  <c r="EN526" i="112"/>
  <c r="CV526" i="112" s="1"/>
  <c r="EM526" i="112"/>
  <c r="EL526" i="112"/>
  <c r="DC526" i="112"/>
  <c r="AK191" i="111" l="1"/>
  <c r="E1878" i="123"/>
  <c r="F1878" i="123" s="1"/>
  <c r="AK131" i="111"/>
  <c r="E1872" i="123"/>
  <c r="F1872" i="123" s="1"/>
  <c r="AK574" i="111"/>
  <c r="E1917" i="123"/>
  <c r="F1917" i="123" s="1"/>
  <c r="AK394" i="111"/>
  <c r="E1899" i="123"/>
  <c r="F1899" i="123" s="1"/>
  <c r="AK334" i="111"/>
  <c r="E1893" i="123"/>
  <c r="F1893" i="123" s="1"/>
  <c r="AK154" i="111"/>
  <c r="E1875" i="123"/>
  <c r="F1875" i="123" s="1"/>
  <c r="AK311" i="111"/>
  <c r="E1890" i="123"/>
  <c r="F1890" i="123" s="1"/>
  <c r="AK551" i="111"/>
  <c r="E1914" i="123"/>
  <c r="F1914" i="123" s="1"/>
  <c r="AK454" i="111"/>
  <c r="E1905" i="123"/>
  <c r="F1905" i="123" s="1"/>
  <c r="AK35" i="111"/>
  <c r="E1863" i="123"/>
  <c r="F1863" i="123" s="1"/>
  <c r="A2" i="116" s="1" a="1"/>
  <c r="AK94" i="111"/>
  <c r="E1869" i="123"/>
  <c r="F1869" i="123" s="1"/>
  <c r="AK514" i="111"/>
  <c r="E1911" i="123"/>
  <c r="F1911" i="123" s="1"/>
  <c r="AK274" i="111"/>
  <c r="E1887" i="123"/>
  <c r="F1887" i="123" s="1"/>
  <c r="AK214" i="111"/>
  <c r="E1881" i="123"/>
  <c r="F1881" i="123" s="1"/>
  <c r="AK71" i="111"/>
  <c r="E1866" i="123"/>
  <c r="F1866" i="123" s="1"/>
  <c r="AK251" i="111"/>
  <c r="E1884" i="123"/>
  <c r="F1884" i="123" s="1"/>
  <c r="AK491" i="111"/>
  <c r="E1908" i="123"/>
  <c r="F1908" i="123" s="1"/>
  <c r="AK371" i="111"/>
  <c r="E1896" i="123"/>
  <c r="F1896" i="123" s="1"/>
  <c r="AK431" i="111"/>
  <c r="E1902" i="123"/>
  <c r="F1902" i="123" s="1"/>
  <c r="BA4" i="111" a="1"/>
  <c r="BA4" i="111" s="1"/>
  <c r="BA3" i="111" a="1"/>
  <c r="BA3" i="111" s="1"/>
  <c r="BT3" i="111" a="1"/>
  <c r="BT3" i="111" s="1"/>
  <c r="BT2" i="111" a="1"/>
  <c r="BT2" i="111" s="1"/>
  <c r="BT4" i="111" a="1"/>
  <c r="BT4" i="111" s="1"/>
  <c r="BD3" i="111" a="1"/>
  <c r="BD3" i="111" s="1"/>
  <c r="BD2" i="111" a="1"/>
  <c r="BD2" i="111" s="1"/>
  <c r="BD4" i="111" a="1"/>
  <c r="BD4" i="111" s="1"/>
  <c r="BM4" i="111" a="1"/>
  <c r="BM4" i="111" s="1"/>
  <c r="BM2" i="111" a="1"/>
  <c r="BM2" i="111" s="1"/>
  <c r="BM3" i="111" a="1"/>
  <c r="BM3" i="111" s="1"/>
  <c r="BS3" i="111" a="1"/>
  <c r="BS3" i="111" s="1"/>
  <c r="BS4" i="111" a="1"/>
  <c r="BS4" i="111" s="1"/>
  <c r="BS2" i="111" a="1"/>
  <c r="BS2" i="111" s="1"/>
  <c r="BK3" i="111" a="1"/>
  <c r="BK3" i="111" s="1"/>
  <c r="BK4" i="111" a="1"/>
  <c r="BK4" i="111" s="1"/>
  <c r="BK2" i="111" a="1"/>
  <c r="BK2" i="111" s="1"/>
  <c r="BP4" i="111" a="1"/>
  <c r="BP4" i="111" s="1"/>
  <c r="BP2" i="111" a="1"/>
  <c r="BP2" i="111" s="1"/>
  <c r="BP3" i="111" a="1"/>
  <c r="BP3" i="111" s="1"/>
  <c r="BN4" i="111" a="1"/>
  <c r="BN4" i="111" s="1"/>
  <c r="BN3" i="111" a="1"/>
  <c r="BN3" i="111" s="1"/>
  <c r="BN2" i="111" a="1"/>
  <c r="BN2" i="111" s="1"/>
  <c r="BL3" i="111" a="1"/>
  <c r="BL3" i="111" s="1"/>
  <c r="BL2" i="111" a="1"/>
  <c r="BL2" i="111" s="1"/>
  <c r="BL4" i="111" a="1"/>
  <c r="BL4" i="111" s="1"/>
  <c r="BR2" i="111" a="1"/>
  <c r="BR2" i="111" s="1"/>
  <c r="BR4" i="111" a="1"/>
  <c r="BR4" i="111" s="1"/>
  <c r="BR3" i="111" a="1"/>
  <c r="BR3" i="111" s="1"/>
  <c r="BI2" i="111" a="1"/>
  <c r="BI2" i="111" s="1"/>
  <c r="BI4" i="111" a="1"/>
  <c r="BI4" i="111" s="1"/>
  <c r="BI3" i="111" a="1"/>
  <c r="BI3" i="111" s="1"/>
  <c r="BQ2" i="111" a="1"/>
  <c r="BQ2" i="111" s="1"/>
  <c r="BQ4" i="111" a="1"/>
  <c r="BQ4" i="111" s="1"/>
  <c r="BQ3" i="111" a="1"/>
  <c r="BQ3" i="111" s="1"/>
  <c r="BE3" i="111" a="1"/>
  <c r="BE3" i="111" s="1"/>
  <c r="BE2" i="111" a="1"/>
  <c r="BE2" i="111" s="1"/>
  <c r="BE4" i="111" a="1"/>
  <c r="BE4" i="111" s="1"/>
  <c r="BJ2" i="111" a="1"/>
  <c r="BJ2" i="111" s="1"/>
  <c r="BJ4" i="111" a="1"/>
  <c r="BJ4" i="111" s="1"/>
  <c r="BJ3" i="111" a="1"/>
  <c r="BJ3" i="111" s="1"/>
  <c r="BO4" i="111" a="1"/>
  <c r="BO4" i="111" s="1"/>
  <c r="BO3" i="111" a="1"/>
  <c r="BO3" i="111" s="1"/>
  <c r="BO2" i="111" a="1"/>
  <c r="BO2" i="111" s="1"/>
  <c r="BH4" i="111" a="1"/>
  <c r="BH4" i="111" s="1"/>
  <c r="BH2" i="111" a="1"/>
  <c r="BH2" i="111" s="1"/>
  <c r="BH3" i="111" a="1"/>
  <c r="BH3" i="111" s="1"/>
  <c r="BG4" i="111" a="1"/>
  <c r="BG4" i="111" s="1"/>
  <c r="BG3" i="111" a="1"/>
  <c r="BG3" i="111" s="1"/>
  <c r="BG2" i="111" a="1"/>
  <c r="BG2" i="111" s="1"/>
  <c r="BF4" i="111" a="1"/>
  <c r="BF4" i="111" s="1"/>
  <c r="BF2" i="111" a="1"/>
  <c r="BF2" i="111" s="1"/>
  <c r="BF3" i="111" a="1"/>
  <c r="BF3" i="111" s="1"/>
  <c r="BB2" i="111" a="1"/>
  <c r="BB2" i="111" s="1"/>
  <c r="BB4" i="111" a="1"/>
  <c r="BB4" i="111" s="1"/>
  <c r="BB3" i="111" a="1"/>
  <c r="BB3" i="111" s="1"/>
  <c r="BC4" i="111" a="1"/>
  <c r="BC4" i="111" s="1"/>
  <c r="BC2" i="111" a="1"/>
  <c r="BC2" i="111" s="1"/>
  <c r="BC3" i="111" a="1"/>
  <c r="BC3" i="111" s="1"/>
  <c r="FU304" i="112"/>
  <c r="E2" i="116" l="1"/>
  <c r="AAX2" i="116"/>
  <c r="TH2" i="116"/>
  <c r="LY2" i="116"/>
  <c r="IZ2" i="116"/>
  <c r="KC2" i="116"/>
  <c r="QZ2" i="116"/>
  <c r="K2" i="116"/>
  <c r="ASK2" i="116"/>
  <c r="ALZ2" i="116"/>
  <c r="AFZ2" i="116"/>
  <c r="KU2" i="116"/>
  <c r="AO2" i="116"/>
  <c r="ACE2" i="116"/>
  <c r="XA2" i="116"/>
  <c r="UP2" i="116"/>
  <c r="VM2" i="116"/>
  <c r="GT2" i="116"/>
  <c r="AGG2" i="116"/>
  <c r="PR2" i="116"/>
  <c r="ATR2" i="116"/>
  <c r="HJ2" i="116"/>
  <c r="AGL2" i="116"/>
  <c r="AAA2" i="116"/>
  <c r="UD2" i="116"/>
  <c r="RT2" i="116"/>
  <c r="SP2" i="116"/>
  <c r="DI2" i="116"/>
  <c r="ADL2" i="116"/>
  <c r="AXY2" i="116"/>
  <c r="ARN2" i="116"/>
  <c r="Z2" i="116"/>
  <c r="ABV2" i="116"/>
  <c r="UN2" i="116"/>
  <c r="NL2" i="116"/>
  <c r="KM2" i="116"/>
  <c r="LP2" i="116"/>
  <c r="SF2" i="116"/>
  <c r="LH2" i="116"/>
  <c r="ATI2" i="116"/>
  <c r="AMX2" i="116"/>
  <c r="QG2" i="116"/>
  <c r="FX2" i="116"/>
  <c r="AFO2" i="116"/>
  <c r="AAR2" i="116"/>
  <c r="YV2" i="116"/>
  <c r="DH2" i="116"/>
  <c r="MF2" i="116"/>
  <c r="AJU2" i="116"/>
  <c r="ACB2" i="116"/>
  <c r="AXB2" i="116"/>
  <c r="MV2" i="116"/>
  <c r="CM2" i="116"/>
  <c r="ADK2" i="116"/>
  <c r="YK2" i="116"/>
  <c r="WF2" i="116"/>
  <c r="T2" i="116"/>
  <c r="IR2" i="116"/>
  <c r="AHQ2" i="116"/>
  <c r="XY2" i="116"/>
  <c r="AUX2" i="116"/>
  <c r="NG2" i="116"/>
  <c r="DA2" i="116"/>
  <c r="ADS2" i="116"/>
  <c r="YT2" i="116"/>
  <c r="WR2" i="116"/>
  <c r="AH2" i="116"/>
  <c r="JF2" i="116"/>
  <c r="AHY2" i="116"/>
  <c r="YQ2" i="116"/>
  <c r="AVF2" i="116"/>
  <c r="APK2" i="116"/>
  <c r="TX2" i="116"/>
  <c r="ATC2" i="116"/>
  <c r="ANX2" i="116"/>
  <c r="AMK2" i="116"/>
  <c r="AMD2" i="116"/>
  <c r="AOA2" i="116"/>
  <c r="BKL2" i="116"/>
  <c r="BAY2" i="116"/>
  <c r="BUQ2" i="116"/>
  <c r="BLD2" i="116"/>
  <c r="AFN2" i="116"/>
  <c r="AQP2" i="116"/>
  <c r="ZO2" i="116"/>
  <c r="CL2" i="116"/>
  <c r="ADJ2" i="116"/>
  <c r="WN2" i="116"/>
  <c r="PX2" i="116"/>
  <c r="MY2" i="116"/>
  <c r="OB2" i="116"/>
  <c r="UH2" i="116"/>
  <c r="XV2" i="116"/>
  <c r="AUW2" i="116"/>
  <c r="AOL2" i="116"/>
  <c r="AIQ2" i="116"/>
  <c r="OT2" i="116"/>
  <c r="EN2" i="116"/>
  <c r="AEQ2" i="116"/>
  <c r="ZT2" i="116"/>
  <c r="XT2" i="116"/>
  <c r="BU2" i="116"/>
  <c r="KS2" i="116"/>
  <c r="AIW2" i="116"/>
  <c r="AAO2" i="116"/>
  <c r="AWD2" i="116"/>
  <c r="LI2" i="116"/>
  <c r="AZ2" i="116"/>
  <c r="ACM2" i="116"/>
  <c r="XJ2" i="116"/>
  <c r="UZ2" i="116"/>
  <c r="VW2" i="116"/>
  <c r="HH2" i="116"/>
  <c r="AGP2" i="116"/>
  <c r="TD2" i="116"/>
  <c r="ATZ2" i="116"/>
  <c r="DY2" i="116"/>
  <c r="AEH2" i="116"/>
  <c r="XR2" i="116"/>
  <c r="RG2" i="116"/>
  <c r="OL2" i="116"/>
  <c r="PL2" i="116"/>
  <c r="X2" i="116"/>
  <c r="ZX2" i="116"/>
  <c r="AVU2" i="116"/>
  <c r="APJ2" i="116"/>
  <c r="TQ2" i="116"/>
  <c r="JW2" i="116"/>
  <c r="CC2" i="116"/>
  <c r="D2" i="116"/>
  <c r="AG2" i="116"/>
  <c r="HD2" i="116"/>
  <c r="QB2" i="116"/>
  <c r="AMG2" i="116"/>
  <c r="AFM2" i="116"/>
  <c r="QF2" i="116"/>
  <c r="QR2" i="116"/>
  <c r="GL2" i="116"/>
  <c r="AFW2" i="116"/>
  <c r="AAZ2" i="116"/>
  <c r="ZE2" i="116"/>
  <c r="DS2" i="116"/>
  <c r="MQ2" i="116"/>
  <c r="AKC2" i="116"/>
  <c r="ACP2" i="116"/>
  <c r="AXJ2" i="116"/>
  <c r="RE2" i="116"/>
  <c r="GZ2" i="116"/>
  <c r="C2" i="116"/>
  <c r="ABH2" i="116"/>
  <c r="ZM2" i="116"/>
  <c r="EG2" i="116"/>
  <c r="NE2" i="116"/>
  <c r="AKK2" i="116"/>
  <c r="ADA2" i="116"/>
  <c r="AXR2" i="116"/>
  <c r="ARW2" i="116"/>
  <c r="WV2" i="116"/>
  <c r="AVO2" i="116"/>
  <c r="AQJ2" i="116"/>
  <c r="AOW2" i="116"/>
  <c r="AOP2" i="116"/>
  <c r="ALH2" i="116"/>
  <c r="BMX2" i="116"/>
  <c r="BDK2" i="116"/>
  <c r="APW2" i="116"/>
  <c r="BNP2" i="116"/>
  <c r="ZB2" i="116"/>
  <c r="GK2" i="116"/>
  <c r="AFV2" i="116"/>
  <c r="ZK2" i="116"/>
  <c r="TI2" i="116"/>
  <c r="QX2" i="116"/>
  <c r="RU2" i="116"/>
  <c r="CJ2" i="116"/>
  <c r="ACO2" i="116"/>
  <c r="AXI2" i="116"/>
  <c r="AQX2" i="116"/>
  <c r="ALC2" i="116"/>
  <c r="SK2" i="116"/>
  <c r="IJ2" i="116"/>
  <c r="AP2" i="116"/>
  <c r="ACF2" i="116"/>
  <c r="AAK2" i="116"/>
  <c r="FT2" i="116"/>
  <c r="OR2" i="116"/>
  <c r="ALI2" i="116"/>
  <c r="AEG2" i="116"/>
  <c r="EI2" i="116"/>
  <c r="PH2" i="116"/>
  <c r="EY2" i="116"/>
  <c r="AEY2" i="116"/>
  <c r="AAB2" i="116"/>
  <c r="YC2" i="116"/>
  <c r="CF2" i="116"/>
  <c r="LD2" i="116"/>
  <c r="AJE2" i="116"/>
  <c r="ABC2" i="116"/>
  <c r="AWL2" i="116"/>
  <c r="HX2" i="116"/>
  <c r="AGT2" i="116"/>
  <c r="AAI2" i="116"/>
  <c r="UO2" i="116"/>
  <c r="SD2" i="116"/>
  <c r="TA2" i="116"/>
  <c r="DT2" i="116"/>
  <c r="ADV2" i="116"/>
  <c r="AYG2" i="116"/>
  <c r="ARV2" i="116"/>
  <c r="WX2" i="116"/>
  <c r="NV2" i="116"/>
  <c r="GB2" i="116"/>
  <c r="DC2" i="116"/>
  <c r="EF2" i="116"/>
  <c r="LC2" i="116"/>
  <c r="TN2" i="116"/>
  <c r="AOS2" i="116"/>
  <c r="AIH2" i="116"/>
  <c r="AAS2" i="116"/>
  <c r="UA2" i="116"/>
  <c r="KK2" i="116"/>
  <c r="CN2" i="116"/>
  <c r="R2" i="116"/>
  <c r="AR2" i="116"/>
  <c r="HR2" i="116"/>
  <c r="QP2" i="116"/>
  <c r="AMO2" i="116"/>
  <c r="AFY2" i="116"/>
  <c r="TP2" i="116"/>
  <c r="UL2" i="116"/>
  <c r="KV2" i="116"/>
  <c r="DB2" i="116"/>
  <c r="AF2" i="116"/>
  <c r="BF2" i="116"/>
  <c r="IF2" i="116"/>
  <c r="RB2" i="116"/>
  <c r="AMW2" i="116"/>
  <c r="AGH2" i="116"/>
  <c r="VX2" i="116"/>
  <c r="BX2" i="116"/>
  <c r="AUO2" i="116"/>
  <c r="EW2" i="116"/>
  <c r="ASV2" i="116"/>
  <c r="ARI2" i="116"/>
  <c r="GJ2" i="116"/>
  <c r="AUE2" i="116"/>
  <c r="BPJ2" i="116"/>
  <c r="BFW2" i="116"/>
  <c r="AVI2" i="116"/>
  <c r="BQB2" i="116"/>
  <c r="SX2" i="116"/>
  <c r="AJW2" i="116"/>
  <c r="AGS2" i="116"/>
  <c r="KJ2" i="116"/>
  <c r="AA2" i="116"/>
  <c r="ABW2" i="116"/>
  <c r="WP2" i="116"/>
  <c r="UF2" i="116"/>
  <c r="VB2" i="116"/>
  <c r="GF2" i="116"/>
  <c r="AFX2" i="116"/>
  <c r="LS2" i="116"/>
  <c r="ATJ2" i="116"/>
  <c r="ANO2" i="116"/>
  <c r="VR2" i="116"/>
  <c r="MI2" i="116"/>
  <c r="EO2" i="116"/>
  <c r="BP2" i="116"/>
  <c r="CS2" i="116"/>
  <c r="JP2" i="116"/>
  <c r="SH2" i="116"/>
  <c r="ANU2" i="116"/>
  <c r="AHI2" i="116"/>
  <c r="YW2" i="116"/>
  <c r="SU2" i="116"/>
  <c r="IX2" i="116"/>
  <c r="BD2" i="116"/>
  <c r="ACN2" i="116"/>
  <c r="H2" i="116"/>
  <c r="GE2" i="116"/>
  <c r="PC2" i="116"/>
  <c r="ALQ2" i="116"/>
  <c r="AES2" i="116"/>
  <c r="IH2" i="116"/>
  <c r="LT2" i="116"/>
  <c r="BN2" i="116"/>
  <c r="ACU2" i="116"/>
  <c r="XS2" i="116"/>
  <c r="VL2" i="116"/>
  <c r="WH2" i="116"/>
  <c r="HS2" i="116"/>
  <c r="AGY2" i="116"/>
  <c r="VP2" i="116"/>
  <c r="AUH2" i="116"/>
  <c r="ZR2" i="116"/>
  <c r="RP2" i="116"/>
  <c r="JX2" i="116"/>
  <c r="HB2" i="116"/>
  <c r="IB2" i="116"/>
  <c r="PB2" i="116"/>
  <c r="WU2" i="116"/>
  <c r="ARE2" i="116"/>
  <c r="AKT2" i="116"/>
  <c r="AEJ2" i="116"/>
  <c r="XH2" i="116"/>
  <c r="OJ2" i="116"/>
  <c r="GM2" i="116"/>
  <c r="DQ2" i="116"/>
  <c r="EQ2" i="116"/>
  <c r="LQ2" i="116"/>
  <c r="TY2" i="116"/>
  <c r="APA2" i="116"/>
  <c r="AIP2" i="116"/>
  <c r="ABD2" i="116"/>
  <c r="XQ2" i="116"/>
  <c r="OU2" i="116"/>
  <c r="HA2" i="116"/>
  <c r="EB2" i="116"/>
  <c r="FE2" i="116"/>
  <c r="MB2" i="116"/>
  <c r="UI2" i="116"/>
  <c r="API2" i="116"/>
  <c r="AIX2" i="116"/>
  <c r="ABR2" i="116"/>
  <c r="ADB2" i="116"/>
  <c r="AOD2" i="116"/>
  <c r="YX2" i="116"/>
  <c r="RD2" i="116"/>
  <c r="NT2" i="116"/>
  <c r="ZF2" i="116"/>
  <c r="AYB2" i="116"/>
  <c r="BRV2" i="116"/>
  <c r="BII2" i="116"/>
  <c r="AYV2" i="116"/>
  <c r="AEE2" i="116"/>
  <c r="QJ2" i="116"/>
  <c r="ANG2" i="116"/>
  <c r="AJH2" i="116"/>
  <c r="VG2" i="116"/>
  <c r="LX2" i="116"/>
  <c r="EA2" i="116"/>
  <c r="BE2" i="116"/>
  <c r="CE2" i="116"/>
  <c r="JE2" i="116"/>
  <c r="RW2" i="116"/>
  <c r="ANM2" i="116"/>
  <c r="AGZ2" i="116"/>
  <c r="YD2" i="116"/>
  <c r="CZ2" i="116"/>
  <c r="ADR2" i="116"/>
  <c r="WZ2" i="116"/>
  <c r="QI2" i="116"/>
  <c r="NM2" i="116"/>
  <c r="OM2" i="116"/>
  <c r="UR2" i="116"/>
  <c r="YP2" i="116"/>
  <c r="AVE2" i="116"/>
  <c r="AOT2" i="116"/>
  <c r="L2" i="116"/>
  <c r="ABN2" i="116"/>
  <c r="UB2" i="116"/>
  <c r="MX2" i="116"/>
  <c r="KB2" i="116"/>
  <c r="LB2" i="116"/>
  <c r="RV2" i="116"/>
  <c r="HI2" i="116"/>
  <c r="ATA2" i="116"/>
  <c r="AMP2" i="116"/>
  <c r="AGR2" i="116"/>
  <c r="WM2" i="116"/>
  <c r="NH2" i="116"/>
  <c r="FN2" i="116"/>
  <c r="CR2" i="116"/>
  <c r="DR2" i="116"/>
  <c r="KR2" i="116"/>
  <c r="TC2" i="116"/>
  <c r="AOK2" i="116"/>
  <c r="AHZ2" i="116"/>
  <c r="II2" i="116"/>
  <c r="AHB2" i="116"/>
  <c r="AAQ2" i="116"/>
  <c r="UY2" i="116"/>
  <c r="SN2" i="116"/>
  <c r="TK2" i="116"/>
  <c r="EH2" i="116"/>
  <c r="AEF2" i="116"/>
  <c r="AYO2" i="116"/>
  <c r="ASD2" i="116"/>
  <c r="EX2" i="116"/>
  <c r="AEX2" i="116"/>
  <c r="YJ2" i="116"/>
  <c r="SC2" i="116"/>
  <c r="PK2" i="116"/>
  <c r="QN2" i="116"/>
  <c r="AW2" i="116"/>
  <c r="ABB2" i="116"/>
  <c r="AWK2" i="116"/>
  <c r="APZ2" i="116"/>
  <c r="FL2" i="116"/>
  <c r="AFF2" i="116"/>
  <c r="YS2" i="116"/>
  <c r="SM2" i="116"/>
  <c r="PY2" i="116"/>
  <c r="QY2" i="116"/>
  <c r="BH2" i="116"/>
  <c r="ABM2" i="116"/>
  <c r="AWS2" i="116"/>
  <c r="AQH2" i="116"/>
  <c r="AKM2" i="116"/>
  <c r="MN2" i="116"/>
  <c r="AMQ2" i="116"/>
  <c r="AIZ2" i="116"/>
  <c r="AHM2" i="116"/>
  <c r="AHE2" i="116"/>
  <c r="AJC2" i="116"/>
  <c r="BFN2" i="116"/>
  <c r="AUT2" i="116"/>
  <c r="BPS2" i="116"/>
  <c r="BGF2" i="116"/>
  <c r="AZU2" i="116"/>
  <c r="ACA2" i="116"/>
  <c r="AVW2" i="116"/>
  <c r="AQR2" i="116"/>
  <c r="OF2" i="116"/>
  <c r="HZ2" i="116"/>
  <c r="FF2" i="116"/>
  <c r="ZY2" i="116"/>
  <c r="GV2" i="116"/>
  <c r="MJ2" i="116"/>
  <c r="NO2" i="116"/>
  <c r="AXQ2" i="116"/>
  <c r="ZA2" i="116"/>
  <c r="CD2" i="116"/>
  <c r="J2" i="116"/>
  <c r="AKD2" i="116"/>
  <c r="FM2" i="116"/>
  <c r="GN2" i="116"/>
  <c r="PQ2" i="116"/>
  <c r="AN2" i="116"/>
  <c r="ADC2" i="116"/>
  <c r="PZ2" i="116"/>
  <c r="ATQ2" i="116"/>
  <c r="IW2" i="116"/>
  <c r="OK2" i="116"/>
  <c r="PP2" i="116"/>
  <c r="Y2" i="116"/>
  <c r="ACT2" i="116"/>
  <c r="IA2" i="116"/>
  <c r="FG2" i="116"/>
  <c r="ANV2" i="116"/>
  <c r="AAD2" i="116"/>
  <c r="AJY2" i="116"/>
  <c r="BDB2" i="116"/>
  <c r="BBH2" i="116"/>
  <c r="AXA2" i="116"/>
  <c r="ATD2" i="116"/>
  <c r="ARQ2" i="116"/>
  <c r="KF2" i="116"/>
  <c r="AUS2" i="116"/>
  <c r="BPR2" i="116"/>
  <c r="BGE2" i="116"/>
  <c r="AVT2" i="116"/>
  <c r="BQJ2" i="116"/>
  <c r="WE2" i="116"/>
  <c r="AKE2" i="116"/>
  <c r="AHC2" i="116"/>
  <c r="AFH2" i="116"/>
  <c r="AEW2" i="116"/>
  <c r="AHF2" i="116"/>
  <c r="BDR2" i="116"/>
  <c r="AQU2" i="116"/>
  <c r="BNW2" i="116"/>
  <c r="BEJ2" i="116"/>
  <c r="AEA2" i="116"/>
  <c r="AFP2" i="116"/>
  <c r="AEK2" i="116"/>
  <c r="ACH2" i="116"/>
  <c r="ABU2" i="116"/>
  <c r="AEN2" i="116"/>
  <c r="BBN2" i="116"/>
  <c r="ZG2" i="116"/>
  <c r="BLS2" i="116"/>
  <c r="BCF2" i="116"/>
  <c r="HK2" i="116"/>
  <c r="AWT2" i="116"/>
  <c r="ABE2" i="116"/>
  <c r="YG2" i="116"/>
  <c r="XM2" i="116"/>
  <c r="ABK2" i="116"/>
  <c r="AZJ2" i="116"/>
  <c r="BTB2" i="116"/>
  <c r="BJO2" i="116"/>
  <c r="BAB2" i="116"/>
  <c r="AQ2" i="116"/>
  <c r="ALS2" i="116"/>
  <c r="AIB2" i="116"/>
  <c r="AGK2" i="116"/>
  <c r="AGC2" i="116"/>
  <c r="AIE2" i="116"/>
  <c r="BEP2" i="116"/>
  <c r="ATE2" i="116"/>
  <c r="BOU2" i="116"/>
  <c r="BFH2" i="116"/>
  <c r="PI2" i="116"/>
  <c r="MG2" i="116"/>
  <c r="ACG2" i="116"/>
  <c r="ZP2" i="116"/>
  <c r="YZ2" i="116"/>
  <c r="RZ2" i="116"/>
  <c r="ZL2" i="116"/>
  <c r="ND2" i="116"/>
  <c r="ADW2" i="116"/>
  <c r="YR2" i="116"/>
  <c r="TS2" i="116"/>
  <c r="RL2" i="116"/>
  <c r="AJV2" i="116"/>
  <c r="ADZ2" i="116"/>
  <c r="GC2" i="116"/>
  <c r="SS2" i="116"/>
  <c r="APB2" i="116"/>
  <c r="JL2" i="116"/>
  <c r="YL2" i="116"/>
  <c r="WK2" i="116"/>
  <c r="EJ2" i="116"/>
  <c r="NW2" i="116"/>
  <c r="I2" i="116"/>
  <c r="AWC2" i="116"/>
  <c r="ZZ2" i="116"/>
  <c r="VJ2" i="116"/>
  <c r="TB2" i="116"/>
  <c r="ALB2" i="116"/>
  <c r="B2" i="116"/>
  <c r="LZ2" i="116"/>
  <c r="XN2" i="116"/>
  <c r="AST2" i="116"/>
  <c r="AJO2" i="116"/>
  <c r="AAG2" i="116"/>
  <c r="BHZ2" i="116"/>
  <c r="BDT2" i="116"/>
  <c r="ACC2" i="116"/>
  <c r="UJ2" i="116"/>
  <c r="RN2" i="116"/>
  <c r="ZV2" i="116"/>
  <c r="AYK2" i="116"/>
  <c r="BSD2" i="116"/>
  <c r="BIQ2" i="116"/>
  <c r="AZD2" i="116"/>
  <c r="AHG2" i="116"/>
  <c r="TT2" i="116"/>
  <c r="ANW2" i="116"/>
  <c r="AJP2" i="116"/>
  <c r="AIC2" i="116"/>
  <c r="AHV2" i="116"/>
  <c r="AJS2" i="116"/>
  <c r="BGD2" i="116"/>
  <c r="AVS2" i="116"/>
  <c r="BQI2" i="116"/>
  <c r="BGV2" i="116"/>
  <c r="ZD2" i="116"/>
  <c r="AKU2" i="116"/>
  <c r="AHL2" i="116"/>
  <c r="AFR2" i="116"/>
  <c r="AFI2" i="116"/>
  <c r="AHO2" i="116"/>
  <c r="BDZ2" i="116"/>
  <c r="ARR2" i="116"/>
  <c r="BOE2" i="116"/>
  <c r="BER2" i="116"/>
  <c r="Q2" i="116"/>
  <c r="AHA2" i="116"/>
  <c r="AEU2" i="116"/>
  <c r="ACS2" i="116"/>
  <c r="ACI2" i="116"/>
  <c r="AEZ2" i="116"/>
  <c r="BBV2" i="116"/>
  <c r="ADI2" i="116"/>
  <c r="BMA2" i="116"/>
  <c r="BCN2" i="116"/>
  <c r="BT2" i="116"/>
  <c r="AOU2" i="116"/>
  <c r="AKN2" i="116"/>
  <c r="AJA2" i="116"/>
  <c r="AIT2" i="116"/>
  <c r="AKQ2" i="116"/>
  <c r="BHB2" i="116"/>
  <c r="AXF2" i="116"/>
  <c r="BRG2" i="116"/>
  <c r="BHT2" i="116"/>
  <c r="HL2" i="116"/>
  <c r="AII2" i="116"/>
  <c r="AFQ2" i="116"/>
  <c r="ADP2" i="116"/>
  <c r="ADG2" i="116"/>
  <c r="YI2" i="116"/>
  <c r="ABX2" i="116"/>
  <c r="KE2" i="116"/>
  <c r="AJN2" i="116"/>
  <c r="ABF2" i="116"/>
  <c r="FO2" i="116"/>
  <c r="CU2" i="116"/>
  <c r="AMH2" i="116"/>
  <c r="MW2" i="116"/>
  <c r="NX2" i="116"/>
  <c r="VZ2" i="116"/>
  <c r="ZN2" i="116"/>
  <c r="RF2" i="116"/>
  <c r="S2" i="116"/>
  <c r="AJM2" i="116"/>
  <c r="MH2" i="116"/>
  <c r="RR2" i="116"/>
  <c r="SR2" i="116"/>
  <c r="XC2" i="116"/>
  <c r="ACL2" i="116"/>
  <c r="HP2" i="116"/>
  <c r="EV2" i="116"/>
  <c r="ANN2" i="116"/>
  <c r="SL2" i="116"/>
  <c r="TJ2" i="116"/>
  <c r="VN2" i="116"/>
  <c r="AFD2" i="116"/>
  <c r="AQI2" i="116"/>
  <c r="AEC2" i="116"/>
  <c r="BUH2" i="116"/>
  <c r="BIR2" i="116"/>
  <c r="AQQ2" i="116"/>
  <c r="ABI2" i="116"/>
  <c r="AAV2" i="116"/>
  <c r="ADT2" i="116"/>
  <c r="BAX2" i="116"/>
  <c r="BUP2" i="116"/>
  <c r="BLC2" i="116"/>
  <c r="BBP2" i="116"/>
  <c r="ATG2" i="116"/>
  <c r="UQ2" i="116"/>
  <c r="AQY2" i="116"/>
  <c r="AMB2" i="116"/>
  <c r="AKO2" i="116"/>
  <c r="AKH2" i="116"/>
  <c r="AME2" i="116"/>
  <c r="BIP2" i="116"/>
  <c r="AZC2" i="116"/>
  <c r="BSU2" i="116"/>
  <c r="BJH2" i="116"/>
  <c r="XB2" i="116"/>
  <c r="AOE2" i="116"/>
  <c r="AJX2" i="116"/>
  <c r="AIK2" i="116"/>
  <c r="AID2" i="116"/>
  <c r="AKA2" i="116"/>
  <c r="BGL2" i="116"/>
  <c r="AWG2" i="116"/>
  <c r="BQQ2" i="116"/>
  <c r="BHD2" i="116"/>
  <c r="ABP2" i="116"/>
  <c r="ALK2" i="116"/>
  <c r="AHT2" i="116"/>
  <c r="AGB2" i="116"/>
  <c r="AFS2" i="116"/>
  <c r="AHW2" i="116"/>
  <c r="BEH2" i="116"/>
  <c r="ASJ2" i="116"/>
  <c r="BOM2" i="116"/>
  <c r="BEZ2" i="116"/>
  <c r="IQ2" i="116"/>
  <c r="ASE2" i="116"/>
  <c r="AMZ2" i="116"/>
  <c r="ALM2" i="116"/>
  <c r="ALF2" i="116"/>
  <c r="ANC2" i="116"/>
  <c r="BJN2" i="116"/>
  <c r="BAA2" i="116"/>
  <c r="BTS2" i="116"/>
  <c r="BKF2" i="116"/>
  <c r="EP2" i="116"/>
  <c r="AMA2" i="116"/>
  <c r="AIJ2" i="116"/>
  <c r="AGU2" i="116"/>
  <c r="DZ2" i="116"/>
  <c r="FD2" i="116"/>
  <c r="OD2" i="116"/>
  <c r="AVV2" i="116"/>
  <c r="AGD2" i="116"/>
  <c r="JN2" i="116"/>
  <c r="VO2" i="116"/>
  <c r="ARF2" i="116"/>
  <c r="QV2" i="116"/>
  <c r="DD2" i="116"/>
  <c r="ZH2" i="116"/>
  <c r="ADN2" i="116"/>
  <c r="AFG2" i="116"/>
  <c r="HQ2" i="116"/>
  <c r="ALY2" i="116"/>
  <c r="ACD2" i="116"/>
  <c r="YB2" i="116"/>
  <c r="AI2" i="116"/>
  <c r="ANF2" i="116"/>
  <c r="AHJ2" i="116"/>
  <c r="LL2" i="116"/>
  <c r="XE2" i="116"/>
  <c r="ASL2" i="116"/>
  <c r="VT2" i="116"/>
  <c r="JD2" i="116"/>
  <c r="AFB2" i="116"/>
  <c r="AIA2" i="116"/>
  <c r="ADE2" i="116"/>
  <c r="AJR2" i="116"/>
  <c r="AOB2" i="116"/>
  <c r="ASQ2" i="116"/>
  <c r="ATK2" i="116"/>
  <c r="AEV2" i="116"/>
  <c r="AEM2" i="116"/>
  <c r="AGW2" i="116"/>
  <c r="BDJ2" i="116"/>
  <c r="APP2" i="116"/>
  <c r="BNO2" i="116"/>
  <c r="BEB2" i="116"/>
  <c r="AXH2" i="116"/>
  <c r="FU2" i="116"/>
  <c r="ATS2" i="116"/>
  <c r="AON2" i="116"/>
  <c r="ANA2" i="116"/>
  <c r="AMT2" i="116"/>
  <c r="AOQ2" i="116"/>
  <c r="BLB2" i="116"/>
  <c r="BBO2" i="116"/>
  <c r="ZW2" i="116"/>
  <c r="BLT2" i="116"/>
  <c r="AV2" i="116"/>
  <c r="ARG2" i="116"/>
  <c r="AMJ2" i="116"/>
  <c r="AKW2" i="116"/>
  <c r="AKP2" i="116"/>
  <c r="AMM2" i="116"/>
  <c r="BIX2" i="116"/>
  <c r="AZK2" i="116"/>
  <c r="BTC2" i="116"/>
  <c r="BJP2" i="116"/>
  <c r="ZU2" i="116"/>
  <c r="AOM2" i="116"/>
  <c r="AKF2" i="116"/>
  <c r="AIS2" i="116"/>
  <c r="AIL2" i="116"/>
  <c r="AKI2" i="116"/>
  <c r="BGT2" i="116"/>
  <c r="AWR2" i="116"/>
  <c r="BQY2" i="116"/>
  <c r="BHL2" i="116"/>
  <c r="RM2" i="116"/>
  <c r="AUQ2" i="116"/>
  <c r="APL2" i="116"/>
  <c r="ANY2" i="116"/>
  <c r="ANR2" i="116"/>
  <c r="ACY2" i="116"/>
  <c r="BLZ2" i="116"/>
  <c r="BCM2" i="116"/>
  <c r="AJL2" i="116"/>
  <c r="BMR2" i="116"/>
  <c r="FP2" i="116"/>
  <c r="APC2" i="116"/>
  <c r="AKV2" i="116"/>
  <c r="AJI2" i="116"/>
  <c r="HY2" i="116"/>
  <c r="XK2" i="116"/>
  <c r="VE2" i="116"/>
  <c r="AJ2" i="116"/>
  <c r="QH2" i="116"/>
  <c r="RH2" i="116"/>
  <c r="DJ2" i="116"/>
  <c r="ADD2" i="116"/>
  <c r="XI2" i="116"/>
  <c r="HC2" i="116"/>
  <c r="AOC2" i="116"/>
  <c r="AJG2" i="116"/>
  <c r="BO2" i="116"/>
  <c r="CT2" i="116"/>
  <c r="AQW2" i="116"/>
  <c r="AEP2" i="116"/>
  <c r="LA2" i="116"/>
  <c r="IG2" i="116"/>
  <c r="APR2" i="116"/>
  <c r="SB2" i="116"/>
  <c r="SZ2" i="116"/>
  <c r="ST2" i="116"/>
  <c r="AET2" i="116"/>
  <c r="ABG2" i="116"/>
  <c r="MZ2" i="116"/>
  <c r="ARU2" i="116"/>
  <c r="AMY2" i="116"/>
  <c r="AGJ2" i="116"/>
  <c r="ADH2" i="116"/>
  <c r="AYL2" i="116"/>
  <c r="AWW2" i="116"/>
  <c r="IV2" i="116"/>
  <c r="AHU2" i="116"/>
  <c r="AHN2" i="116"/>
  <c r="AJK2" i="116"/>
  <c r="BFV2" i="116"/>
  <c r="AVH2" i="116"/>
  <c r="BQA2" i="116"/>
  <c r="BGN2" i="116"/>
  <c r="BAC2" i="116"/>
  <c r="AFL2" i="116"/>
  <c r="AWE2" i="116"/>
  <c r="AQZ2" i="116"/>
  <c r="APM2" i="116"/>
  <c r="APF2" i="116"/>
  <c r="APO2" i="116"/>
  <c r="BNN2" i="116"/>
  <c r="BEA2" i="116"/>
  <c r="ARS2" i="116"/>
  <c r="BOF2" i="116"/>
  <c r="JT2" i="116"/>
  <c r="AUA2" i="116"/>
  <c r="AOV2" i="116"/>
  <c r="ANI2" i="116"/>
  <c r="ANB2" i="116"/>
  <c r="CV2" i="116"/>
  <c r="BLJ2" i="116"/>
  <c r="BBW2" i="116"/>
  <c r="ADU2" i="116"/>
  <c r="BMB2" i="116"/>
  <c r="ER2" i="116"/>
  <c r="ARO2" i="116"/>
  <c r="AMR2" i="116"/>
  <c r="ALE2" i="116"/>
  <c r="AKX2" i="116"/>
  <c r="AMU2" i="116"/>
  <c r="BJF2" i="116"/>
  <c r="AZS2" i="116"/>
  <c r="BTK2" i="116"/>
  <c r="BJX2" i="116"/>
  <c r="ANE2" i="116"/>
  <c r="AXC2" i="116"/>
  <c r="ARX2" i="116"/>
  <c r="AQK2" i="116"/>
  <c r="AQD2" i="116"/>
  <c r="ASI2" i="116"/>
  <c r="BOL2" i="116"/>
  <c r="BEY2" i="116"/>
  <c r="ATV2" i="116"/>
  <c r="BPD2" i="116"/>
  <c r="MP2" i="116"/>
  <c r="ASM2" i="116"/>
  <c r="ANH2" i="116"/>
  <c r="ALU2" i="116"/>
  <c r="ALN2" i="116"/>
  <c r="AB2" i="116"/>
  <c r="BG2" i="116"/>
  <c r="APY2" i="116"/>
  <c r="A2" i="116"/>
  <c r="IN2" i="116"/>
  <c r="SE2" i="116"/>
  <c r="ASS2" i="116"/>
  <c r="WC2" i="116"/>
  <c r="QW2" i="116"/>
  <c r="OC2" i="116"/>
  <c r="AHR2" i="116"/>
  <c r="ZJ2" i="116"/>
  <c r="ACV2" i="116"/>
  <c r="LR2" i="116"/>
  <c r="AKL2" i="116"/>
  <c r="YA2" i="116"/>
  <c r="MA2" i="116"/>
  <c r="AHH2" i="116"/>
  <c r="AY2" i="116"/>
  <c r="KL2" i="116"/>
  <c r="TV2" i="116"/>
  <c r="ATY2" i="116"/>
  <c r="AAH2" i="116"/>
  <c r="VU2" i="116"/>
  <c r="TL2" i="116"/>
  <c r="ALJ2" i="116"/>
  <c r="NN2" i="116"/>
  <c r="AEL2" i="116"/>
  <c r="BAP2" i="116"/>
  <c r="BSE2" i="116"/>
  <c r="BV2" i="116"/>
  <c r="AOF2" i="116"/>
  <c r="APE2" i="116"/>
  <c r="AOX2" i="116"/>
  <c r="ANT2" i="116"/>
  <c r="BNF2" i="116"/>
  <c r="BDS2" i="116"/>
  <c r="AQV2" i="116"/>
  <c r="BNX2" i="116"/>
  <c r="ABO2" i="116"/>
  <c r="ADX2" i="116"/>
  <c r="ADY2" i="116"/>
  <c r="ABT2" i="116"/>
  <c r="ABJ2" i="116"/>
  <c r="AED2" i="116"/>
  <c r="BBF2" i="116"/>
  <c r="GU2" i="116"/>
  <c r="BLK2" i="116"/>
  <c r="BBX2" i="116"/>
  <c r="DL2" i="116"/>
  <c r="AVN2" i="116"/>
  <c r="AAT2" i="116"/>
  <c r="XL2" i="116"/>
  <c r="WL2" i="116"/>
  <c r="AAW2" i="116"/>
  <c r="AZB2" i="116"/>
  <c r="BST2" i="116"/>
  <c r="BJG2" i="116"/>
  <c r="AZT2" i="116"/>
  <c r="RO2" i="116"/>
  <c r="ADM2" i="116"/>
  <c r="TZ2" i="116"/>
  <c r="BL2" i="116"/>
  <c r="ASO2" i="116"/>
  <c r="VD2" i="116"/>
  <c r="AWF2" i="116"/>
  <c r="BQP2" i="116"/>
  <c r="BHC2" i="116"/>
  <c r="AXG2" i="116"/>
  <c r="DP2" i="116"/>
  <c r="AHS2" i="116"/>
  <c r="AFE2" i="116"/>
  <c r="ADF2" i="116"/>
  <c r="ACW2" i="116"/>
  <c r="AFJ2" i="116"/>
  <c r="BCD2" i="116"/>
  <c r="AGO2" i="116"/>
  <c r="BMI2" i="116"/>
  <c r="BCV2" i="116"/>
  <c r="XZ2" i="116"/>
  <c r="AJF2" i="116"/>
  <c r="XF2" i="116"/>
  <c r="JG2" i="116"/>
  <c r="FV2" i="116"/>
  <c r="PT2" i="116"/>
  <c r="TR2" i="116"/>
  <c r="EZ2" i="116"/>
  <c r="JM2" i="116"/>
  <c r="OZ2" i="116"/>
  <c r="IP2" i="116"/>
  <c r="UG2" i="116"/>
  <c r="AGN2" i="116"/>
  <c r="AKG2" i="116"/>
  <c r="AYU2" i="116"/>
  <c r="HT2" i="116"/>
  <c r="OE2" i="116"/>
  <c r="AWH2" i="116"/>
  <c r="ARH2" i="116"/>
  <c r="BNV2" i="116"/>
  <c r="NP2" i="116"/>
  <c r="ANJ2" i="116"/>
  <c r="AGX2" i="116"/>
  <c r="FH2" i="116"/>
  <c r="BQX2" i="116"/>
  <c r="UT2" i="116"/>
  <c r="AGM2" i="116"/>
  <c r="AKY2" i="116"/>
  <c r="BHJ2" i="116"/>
  <c r="AXS2" i="116"/>
  <c r="BRO2" i="116"/>
  <c r="AAP2" i="116"/>
  <c r="ALR2" i="116"/>
  <c r="YF2" i="116"/>
  <c r="NF2" i="116"/>
  <c r="JU2" i="116"/>
  <c r="YN2" i="116"/>
  <c r="AXP2" i="116"/>
  <c r="BRN2" i="116"/>
  <c r="BIA2" i="116"/>
  <c r="AYM2" i="116"/>
  <c r="AAM2" i="116"/>
  <c r="BBA2" i="116"/>
  <c r="AZN2" i="116"/>
  <c r="AXM2" i="116"/>
  <c r="ASX2" i="116"/>
  <c r="AWB2" i="116"/>
  <c r="BNR2" i="116"/>
  <c r="BSR2" i="116"/>
  <c r="BUM2" i="116"/>
  <c r="WG2" i="116"/>
  <c r="JK2" i="116"/>
  <c r="RY2" i="116"/>
  <c r="BJA2" i="116"/>
  <c r="BHF2" i="116"/>
  <c r="BFK2" i="116"/>
  <c r="BCR2" i="116"/>
  <c r="BRQ2" i="116"/>
  <c r="BFE2" i="116"/>
  <c r="BRY2" i="116"/>
  <c r="HU2" i="116"/>
  <c r="ME2" i="116"/>
  <c r="GQ2" i="116"/>
  <c r="AYE2" i="116"/>
  <c r="AXL2" i="116"/>
  <c r="AUM2" i="116"/>
  <c r="AKR2" i="116"/>
  <c r="BMV2" i="116"/>
  <c r="AZY2" i="116"/>
  <c r="BPX2" i="116"/>
  <c r="BUB2" i="116"/>
  <c r="NB2" i="116"/>
  <c r="YE2" i="116"/>
  <c r="ARB2" i="116"/>
  <c r="ATX2" i="116"/>
  <c r="AOZ2" i="116"/>
  <c r="BNK2" i="116"/>
  <c r="BKR2" i="116"/>
  <c r="BUO2" i="116"/>
  <c r="BHY2" i="116"/>
  <c r="BRB2" i="116"/>
  <c r="MM2" i="116"/>
  <c r="EC2" i="116"/>
  <c r="ATW2" i="116"/>
  <c r="AUL2" i="116"/>
  <c r="AQF2" i="116"/>
  <c r="BNS2" i="116"/>
  <c r="BKZ2" i="116"/>
  <c r="BBM2" i="116"/>
  <c r="BKK2" i="116"/>
  <c r="BRM2" i="116"/>
  <c r="KA2" i="116"/>
  <c r="AEI2" i="116"/>
  <c r="ZS2" i="116"/>
  <c r="IY2" i="116"/>
  <c r="AAJ2" i="116"/>
  <c r="VV2" i="116"/>
  <c r="MO2" i="116"/>
  <c r="QA2" i="116"/>
  <c r="ALO2" i="116"/>
  <c r="AMS2" i="116"/>
  <c r="BBG2" i="116"/>
  <c r="ATB2" i="116"/>
  <c r="AAL2" i="116"/>
  <c r="AZL2" i="116"/>
  <c r="ATT2" i="116"/>
  <c r="BQH2" i="116"/>
  <c r="AKS2" i="116"/>
  <c r="APV2" i="116"/>
  <c r="ATF2" i="116"/>
  <c r="YY2" i="116"/>
  <c r="BTJ2" i="116"/>
  <c r="APQ2" i="116"/>
  <c r="AJB2" i="116"/>
  <c r="ANK2" i="116"/>
  <c r="BJV2" i="116"/>
  <c r="BAI2" i="116"/>
  <c r="BUA2" i="116"/>
  <c r="SV2" i="116"/>
  <c r="XD2" i="116"/>
  <c r="ACR2" i="116"/>
  <c r="AAF2" i="116"/>
  <c r="ZQ2" i="116"/>
  <c r="ACX2" i="116"/>
  <c r="BAH2" i="116"/>
  <c r="BTZ2" i="116"/>
  <c r="BKM2" i="116"/>
  <c r="BAZ2" i="116"/>
  <c r="ART2" i="116"/>
  <c r="BDU2" i="116"/>
  <c r="BBZ2" i="116"/>
  <c r="BAE2" i="116"/>
  <c r="AWZ2" i="116"/>
  <c r="BOG2" i="116"/>
  <c r="BRT2" i="116"/>
  <c r="ANL2" i="116"/>
  <c r="HW2" i="116"/>
  <c r="CP2" i="116"/>
  <c r="HN2" i="116"/>
  <c r="IM2" i="116"/>
  <c r="BLM2" i="116"/>
  <c r="BJR2" i="116"/>
  <c r="BHW2" i="116"/>
  <c r="BFD2" i="116"/>
  <c r="BHA2" i="116"/>
  <c r="BPW2" i="116"/>
  <c r="BLI2" i="116"/>
  <c r="TE2" i="116"/>
  <c r="KH2" i="116"/>
  <c r="ET2" i="116"/>
  <c r="BBQ2" i="116"/>
  <c r="BAD2" i="116"/>
  <c r="AYH2" i="116"/>
  <c r="AUC2" i="116"/>
  <c r="BBU2" i="116"/>
  <c r="BOW2" i="116"/>
  <c r="BTN2" i="116"/>
  <c r="WQ2" i="116"/>
  <c r="RI2" i="116"/>
  <c r="EM2" i="116"/>
  <c r="AYN2" i="116"/>
  <c r="AXV2" i="116"/>
  <c r="AVA2" i="116"/>
  <c r="AND2" i="116"/>
  <c r="BND2" i="116"/>
  <c r="BCK2" i="116"/>
  <c r="BQL2" i="116"/>
  <c r="BUL2" i="116"/>
  <c r="KP2" i="116"/>
  <c r="VS2" i="116"/>
  <c r="AYW2" i="116"/>
  <c r="AYF2" i="116"/>
  <c r="AVL2" i="116"/>
  <c r="APG2" i="116"/>
  <c r="BNL2" i="116"/>
  <c r="BEW2" i="116"/>
  <c r="BQW2" i="116"/>
  <c r="AQN2" i="116"/>
  <c r="AAC2" i="116"/>
  <c r="GR2" i="116"/>
  <c r="PA2" i="116"/>
  <c r="GS2" i="116"/>
  <c r="PD2" i="116"/>
  <c r="AER2" i="116"/>
  <c r="AUG2" i="116"/>
  <c r="BKU2" i="116"/>
  <c r="AJZ2" i="116"/>
  <c r="BSM2" i="116"/>
  <c r="MR2" i="116"/>
  <c r="AVD2" i="116"/>
  <c r="BQR2" i="116"/>
  <c r="APU2" i="116"/>
  <c r="BEI2" i="116"/>
  <c r="AUI2" i="116"/>
  <c r="YO2" i="116"/>
  <c r="UW2" i="116"/>
  <c r="BW2" i="116"/>
  <c r="BHK2" i="116"/>
  <c r="AUY2" i="116"/>
  <c r="ANZ2" i="116"/>
  <c r="AGF2" i="116"/>
  <c r="BMH2" i="116"/>
  <c r="BCU2" i="116"/>
  <c r="ALX2" i="116"/>
  <c r="LK2" i="116"/>
  <c r="AIY2" i="116"/>
  <c r="AGA2" i="116"/>
  <c r="AEB2" i="116"/>
  <c r="ADQ2" i="116"/>
  <c r="AGE2" i="116"/>
  <c r="BCT2" i="116"/>
  <c r="ALP2" i="116"/>
  <c r="BMY2" i="116"/>
  <c r="BDL2" i="116"/>
  <c r="AWI2" i="116"/>
  <c r="BGG2" i="116"/>
  <c r="BEL2" i="116"/>
  <c r="BCQ2" i="116"/>
  <c r="AZX2" i="116"/>
  <c r="BSB2" i="116"/>
  <c r="BIW2" i="116"/>
  <c r="BNE2" i="116"/>
  <c r="FZ2" i="116"/>
  <c r="WY2" i="116"/>
  <c r="IT2" i="116"/>
  <c r="BKN2" i="116"/>
  <c r="AEO2" i="116"/>
  <c r="BMD2" i="116"/>
  <c r="BKI2" i="116"/>
  <c r="BHP2" i="116"/>
  <c r="BQF2" i="116"/>
  <c r="BTM2" i="116"/>
  <c r="BGC2" i="116"/>
  <c r="KQ2" i="116"/>
  <c r="OO2" i="116"/>
  <c r="UK2" i="116"/>
  <c r="BEK2" i="116"/>
  <c r="BCP2" i="116"/>
  <c r="BAU2" i="116"/>
  <c r="AXX2" i="116"/>
  <c r="BPF2" i="116"/>
  <c r="BSP2" i="116"/>
  <c r="AYJ2" i="116"/>
  <c r="CY2" i="116"/>
  <c r="GW2" i="116"/>
  <c r="JI2" i="116"/>
  <c r="BCG2" i="116"/>
  <c r="BAL2" i="116"/>
  <c r="AYQ2" i="116"/>
  <c r="AUN2" i="116"/>
  <c r="BEG2" i="116"/>
  <c r="BPH2" i="116"/>
  <c r="BTX2" i="116"/>
  <c r="UE2" i="116"/>
  <c r="OW2" i="116"/>
  <c r="GD2" i="116"/>
  <c r="KN2" i="116"/>
  <c r="KD2" i="116"/>
  <c r="ON2" i="116"/>
  <c r="AAN2" i="116"/>
  <c r="ARM2" i="116"/>
  <c r="DX2" i="116"/>
  <c r="BNG2" i="116"/>
  <c r="AML2" i="116"/>
  <c r="KT2" i="116"/>
  <c r="AAE2" i="116"/>
  <c r="AYT2" i="116"/>
  <c r="NU2" i="116"/>
  <c r="ASG2" i="116"/>
  <c r="BGU2" i="116"/>
  <c r="AWU2" i="116"/>
  <c r="ARL2" i="116"/>
  <c r="LJ2" i="116"/>
  <c r="YH2" i="116"/>
  <c r="BJW2" i="116"/>
  <c r="AXK2" i="116"/>
  <c r="AQL2" i="116"/>
  <c r="ASZ2" i="116"/>
  <c r="BOT2" i="116"/>
  <c r="BFG2" i="116"/>
  <c r="AUJ2" i="116"/>
  <c r="IO2" i="116"/>
  <c r="AMI2" i="116"/>
  <c r="AIR2" i="116"/>
  <c r="AHD2" i="116"/>
  <c r="AGV2" i="116"/>
  <c r="AIU2" i="116"/>
  <c r="BFF2" i="116"/>
  <c r="AUF2" i="116"/>
  <c r="BPK2" i="116"/>
  <c r="BFX2" i="116"/>
  <c r="AZM2" i="116"/>
  <c r="BIS2" i="116"/>
  <c r="BGX2" i="116"/>
  <c r="BFC2" i="116"/>
  <c r="BCJ2" i="116"/>
  <c r="BOQ2" i="116"/>
  <c r="BCS2" i="116"/>
  <c r="BRL2" i="116"/>
  <c r="KG2" i="116"/>
  <c r="OQ2" i="116"/>
  <c r="JC2" i="116"/>
  <c r="AMF2" i="116"/>
  <c r="ASR2" i="116"/>
  <c r="AKJ2" i="116"/>
  <c r="BMU2" i="116"/>
  <c r="BKB2" i="116"/>
  <c r="BTU2" i="116"/>
  <c r="BDA2" i="116"/>
  <c r="BQC2" i="116"/>
  <c r="RK2" i="116"/>
  <c r="BY2" i="116"/>
  <c r="GI2" i="116"/>
  <c r="BGW2" i="116"/>
  <c r="BFB2" i="116"/>
  <c r="BDG2" i="116"/>
  <c r="BAN2" i="116"/>
  <c r="BSX2" i="116"/>
  <c r="BRC2" i="116"/>
  <c r="BOO2" i="116"/>
  <c r="BB2" i="116"/>
  <c r="DV2" i="116"/>
  <c r="XW2" i="116"/>
  <c r="BES2" i="116"/>
  <c r="BCX2" i="116"/>
  <c r="BBC2" i="116"/>
  <c r="AYI2" i="116"/>
  <c r="BPQ2" i="116"/>
  <c r="BSZ2" i="116"/>
  <c r="BAW2" i="116"/>
  <c r="AM2" i="116"/>
  <c r="AIO2" i="116"/>
  <c r="ACZ2" i="116"/>
  <c r="AQO2" i="116"/>
  <c r="ABQ2" i="116"/>
  <c r="AUP2" i="116"/>
  <c r="BM2" i="116"/>
  <c r="WD2" i="116"/>
  <c r="FW2" i="116"/>
  <c r="ALW2" i="116"/>
  <c r="BIZ2" i="116"/>
  <c r="ATL2" i="116"/>
  <c r="BPZ2" i="116"/>
  <c r="AIG2" i="116"/>
  <c r="APN2" i="116"/>
  <c r="ASP2" i="116"/>
  <c r="APD2" i="116"/>
  <c r="BLR2" i="116"/>
  <c r="AGQ2" i="116"/>
  <c r="WS2" i="116"/>
  <c r="AXT2" i="116"/>
  <c r="APT2" i="116"/>
  <c r="XP2" i="116"/>
  <c r="AXE2" i="116"/>
  <c r="BRF2" i="116"/>
  <c r="BHS2" i="116"/>
  <c r="AYD2" i="116"/>
  <c r="JO2" i="116"/>
  <c r="APS2" i="116"/>
  <c r="ALD2" i="116"/>
  <c r="AJQ2" i="116"/>
  <c r="AJJ2" i="116"/>
  <c r="ALG2" i="116"/>
  <c r="BHR2" i="116"/>
  <c r="AYC2" i="116"/>
  <c r="BRW2" i="116"/>
  <c r="BIJ2" i="116"/>
  <c r="BBY2" i="116"/>
  <c r="BLE2" i="116"/>
  <c r="BJJ2" i="116"/>
  <c r="BHO2" i="116"/>
  <c r="BEV2" i="116"/>
  <c r="BEO2" i="116"/>
  <c r="BPI2" i="116"/>
  <c r="AVQ2" i="116"/>
  <c r="FB2" i="116"/>
  <c r="MT2" i="116"/>
  <c r="HF2" i="116"/>
  <c r="AXU2" i="116"/>
  <c r="AWX2" i="116"/>
  <c r="AUB2" i="116"/>
  <c r="AIF2" i="116"/>
  <c r="BMN2" i="116"/>
  <c r="AXD2" i="116"/>
  <c r="BPM2" i="116"/>
  <c r="BTP2" i="116"/>
  <c r="PN2" i="116"/>
  <c r="KO2" i="116"/>
  <c r="EL2" i="116"/>
  <c r="BJI2" i="116"/>
  <c r="BHN2" i="116"/>
  <c r="BFS2" i="116"/>
  <c r="BCZ2" i="116"/>
  <c r="BTQ2" i="116"/>
  <c r="BHQ2" i="116"/>
  <c r="BSI2" i="116"/>
  <c r="FI2" i="116"/>
  <c r="JS2" i="116"/>
  <c r="EE2" i="116"/>
  <c r="BHE2" i="116"/>
  <c r="BFJ2" i="116"/>
  <c r="BDO2" i="116"/>
  <c r="BAV2" i="116"/>
  <c r="BTH2" i="116"/>
  <c r="BTG2" i="116"/>
  <c r="BOZ2" i="116"/>
  <c r="WO2" i="116"/>
  <c r="IC2" i="116"/>
  <c r="VK2" i="116"/>
  <c r="BHM2" i="116"/>
  <c r="BFR2" i="116"/>
  <c r="BDW2" i="116"/>
  <c r="BBD2" i="116"/>
  <c r="BTT2" i="116"/>
  <c r="AIN2" i="116"/>
  <c r="BPN2" i="116"/>
  <c r="ALA2" i="116"/>
  <c r="AQG2" i="116"/>
  <c r="AVM2" i="116"/>
  <c r="AFC2" i="116"/>
  <c r="AHK2" i="116"/>
  <c r="JH2" i="116"/>
  <c r="PJ2" i="116"/>
  <c r="RJ2" i="116"/>
  <c r="AOI2" i="116"/>
  <c r="BLL2" i="116"/>
  <c r="WJ2" i="116"/>
  <c r="BSL2" i="116"/>
  <c r="ZI2" i="116"/>
  <c r="RX2" i="116"/>
  <c r="AWV2" i="116"/>
  <c r="ARP2" i="116"/>
  <c r="BOD2" i="116"/>
  <c r="AXZ2" i="116"/>
  <c r="ABY2" i="116"/>
  <c r="BAJ2" i="116"/>
  <c r="ASF2" i="116"/>
  <c r="ACJ2" i="116"/>
  <c r="AZZ2" i="116"/>
  <c r="BTR2" i="116"/>
  <c r="BKE2" i="116"/>
  <c r="BAR2" i="116"/>
  <c r="QO2" i="116"/>
  <c r="ASU2" i="116"/>
  <c r="ANP2" i="116"/>
  <c r="AMC2" i="116"/>
  <c r="ALV2" i="116"/>
  <c r="ANS2" i="116"/>
  <c r="BKD2" i="116"/>
  <c r="BAQ2" i="116"/>
  <c r="BUI2" i="116"/>
  <c r="BKV2" i="116"/>
  <c r="BIB2" i="116"/>
  <c r="ABA2" i="116"/>
  <c r="BLV2" i="116"/>
  <c r="BKA2" i="116"/>
  <c r="BHH2" i="116"/>
  <c r="BPU2" i="116"/>
  <c r="BTA2" i="116"/>
  <c r="BDQ2" i="116"/>
  <c r="IK2" i="116"/>
  <c r="RA2" i="116"/>
  <c r="QD2" i="116"/>
  <c r="BBI2" i="116"/>
  <c r="AZV2" i="116"/>
  <c r="AXW2" i="116"/>
  <c r="ATN2" i="116"/>
  <c r="AZI2" i="116"/>
  <c r="BOI2" i="116"/>
  <c r="BTD2" i="116"/>
  <c r="ZC2" i="116"/>
  <c r="TU2" i="116"/>
  <c r="GY2" i="116"/>
  <c r="DE2" i="116"/>
  <c r="BLU2" i="116"/>
  <c r="BJZ2" i="116"/>
  <c r="BIE2" i="116"/>
  <c r="BFL2" i="116"/>
  <c r="BJM2" i="116"/>
  <c r="BQK2" i="116"/>
  <c r="BQD2" i="116"/>
  <c r="LU2" i="116"/>
  <c r="HV2" i="116"/>
  <c r="CH2" i="116"/>
  <c r="BJQ2" i="116"/>
  <c r="BHV2" i="116"/>
  <c r="BGA2" i="116"/>
  <c r="BDH2" i="116"/>
  <c r="ACK2" i="116"/>
  <c r="BKC2" i="116"/>
  <c r="BSS2" i="116"/>
  <c r="CW2" i="116"/>
  <c r="HG2" i="116"/>
  <c r="BS2" i="116"/>
  <c r="BJY2" i="116"/>
  <c r="BID2" i="116"/>
  <c r="BGI2" i="116"/>
  <c r="AQA2" i="116"/>
  <c r="DK2" i="116"/>
  <c r="TF2" i="116"/>
  <c r="UX2" i="116"/>
  <c r="AAY2" i="116"/>
  <c r="OV2" i="116"/>
  <c r="AAU2" i="116"/>
  <c r="ALT2" i="116"/>
  <c r="BKT2" i="116"/>
  <c r="P2" i="116"/>
  <c r="UV2" i="116"/>
  <c r="BIY2" i="116"/>
  <c r="QQ2" i="116"/>
  <c r="AVR2" i="116"/>
  <c r="BQZ2" i="116"/>
  <c r="AQC2" i="116"/>
  <c r="BEQ2" i="116"/>
  <c r="ABS2" i="116"/>
  <c r="AZR2" i="116"/>
  <c r="APX2" i="116"/>
  <c r="AQS2" i="116"/>
  <c r="AIM2" i="116"/>
  <c r="BEX2" i="116"/>
  <c r="ATU2" i="116"/>
  <c r="BPC2" i="116"/>
  <c r="BFP2" i="116"/>
  <c r="ASC2" i="116"/>
  <c r="AX2" i="116"/>
  <c r="ASN2" i="116"/>
  <c r="ARA2" i="116"/>
  <c r="CK2" i="116"/>
  <c r="ATP2" i="116"/>
  <c r="BPB2" i="116"/>
  <c r="BFO2" i="116"/>
  <c r="AUU2" i="116"/>
  <c r="BPT2" i="116"/>
  <c r="AVX2" i="116"/>
  <c r="AWJ2" i="116"/>
  <c r="ATM2" i="116"/>
  <c r="AFK2" i="116"/>
  <c r="BMF2" i="116"/>
  <c r="ASY2" i="116"/>
  <c r="BOY2" i="116"/>
  <c r="BTF2" i="116"/>
  <c r="AE2" i="116"/>
  <c r="BJ2" i="116"/>
  <c r="GX2" i="116"/>
  <c r="BGO2" i="116"/>
  <c r="BET2" i="116"/>
  <c r="BCY2" i="116"/>
  <c r="BAF2" i="116"/>
  <c r="BSN2" i="116"/>
  <c r="BOC2" i="116"/>
  <c r="BNZ2" i="116"/>
  <c r="DN2" i="116"/>
  <c r="FS2" i="116"/>
  <c r="FQ2" i="116"/>
  <c r="AOR2" i="116"/>
  <c r="ATH2" i="116"/>
  <c r="AMV2" i="116"/>
  <c r="BNC2" i="116"/>
  <c r="BKJ2" i="116"/>
  <c r="BUE2" i="116"/>
  <c r="BFM2" i="116"/>
  <c r="BQN2" i="116"/>
  <c r="OY2" i="116"/>
  <c r="SW2" i="116"/>
  <c r="BMZ2" i="116"/>
  <c r="AKB2" i="116"/>
  <c r="BMT2" i="116"/>
  <c r="BKY2" i="116"/>
  <c r="BIF2" i="116"/>
  <c r="BRE2" i="116"/>
  <c r="BUG2" i="116"/>
  <c r="BLA2" i="116"/>
  <c r="GH2" i="116"/>
  <c r="ACQ2" i="116"/>
  <c r="BIH2" i="116"/>
  <c r="BCE2" i="116"/>
  <c r="BMQ2" i="116"/>
  <c r="BMP2" i="116"/>
  <c r="BJT2" i="116"/>
  <c r="BCH2" i="116"/>
  <c r="VQ2" i="116"/>
  <c r="BIO2" i="116"/>
  <c r="BLY2" i="116"/>
  <c r="JA2" i="116"/>
  <c r="BDF2" i="116"/>
  <c r="AYR2" i="116"/>
  <c r="BRS2" i="116"/>
  <c r="BTE2" i="116"/>
  <c r="PM2" i="116"/>
  <c r="GG2" i="116"/>
  <c r="QT2" i="116"/>
  <c r="BHU2" i="116"/>
  <c r="BFZ2" i="116"/>
  <c r="BEE2" i="116"/>
  <c r="BBL2" i="116"/>
  <c r="BUD2" i="116"/>
  <c r="ATO2" i="116"/>
  <c r="BPY2" i="116"/>
  <c r="RQ2" i="116"/>
  <c r="WA2" i="116"/>
  <c r="QM2" i="116"/>
  <c r="BAK2" i="116"/>
  <c r="AYX2" i="116"/>
  <c r="AWN2" i="116"/>
  <c r="ARJ2" i="116"/>
  <c r="XU2" i="116"/>
  <c r="BJU2" i="116"/>
  <c r="BRX2" i="116"/>
  <c r="BPP2" i="116"/>
  <c r="DF2" i="116"/>
  <c r="BAS2" i="116"/>
  <c r="AZF2" i="116"/>
  <c r="AWY2" i="116"/>
  <c r="ASB2" i="116"/>
  <c r="ARK2" i="116"/>
  <c r="BMG2" i="116"/>
  <c r="BSH2" i="116"/>
  <c r="BSA2" i="116"/>
  <c r="AT2" i="116"/>
  <c r="VC2" i="116"/>
  <c r="NC2" i="116"/>
  <c r="BC2" i="116"/>
  <c r="US2" i="116"/>
  <c r="LW2" i="116"/>
  <c r="JJ2" i="116"/>
  <c r="GP2" i="116"/>
  <c r="BUK2" i="116"/>
  <c r="LO2" i="116"/>
  <c r="AFT2" i="116"/>
  <c r="AUR2" i="116"/>
  <c r="BKH2" i="116"/>
  <c r="BQE2" i="116"/>
  <c r="EU2" i="116"/>
  <c r="AVZ2" i="116"/>
  <c r="BRK2" i="116"/>
  <c r="LE2" i="116"/>
  <c r="BJK2" i="116"/>
  <c r="BQ2" i="116"/>
  <c r="BJS2" i="116"/>
  <c r="BBE2" i="116"/>
  <c r="OA2" i="116"/>
  <c r="ALL2" i="116"/>
  <c r="JQ2" i="116"/>
  <c r="AK2" i="116"/>
  <c r="BBB2" i="116"/>
  <c r="PG2" i="116"/>
  <c r="ABL2" i="116"/>
  <c r="YU2" i="116"/>
  <c r="BJL2" i="116"/>
  <c r="PO2" i="116"/>
  <c r="BZ2" i="116"/>
  <c r="AGI2" i="116"/>
  <c r="JV2" i="116"/>
  <c r="WB2" i="116"/>
  <c r="BDD2" i="116"/>
  <c r="BDC2" i="116"/>
  <c r="BTI2" i="116"/>
  <c r="BAM2" i="116"/>
  <c r="BMJ2" i="116"/>
  <c r="AU2" i="116"/>
  <c r="BQV2" i="116"/>
  <c r="V2" i="116"/>
  <c r="BKP2" i="116"/>
  <c r="BDP2" i="116"/>
  <c r="BPV2" i="116"/>
  <c r="APH2" i="116"/>
  <c r="ID2" i="116"/>
  <c r="TG2" i="116"/>
  <c r="VA2" i="116"/>
  <c r="BKG2" i="116"/>
  <c r="BIL2" i="116"/>
  <c r="BGQ2" i="116"/>
  <c r="BDX2" i="116"/>
  <c r="AWP2" i="116"/>
  <c r="BNU2" i="116"/>
  <c r="BTO2" i="116"/>
  <c r="JY2" i="116"/>
  <c r="CI2" i="116"/>
  <c r="OP2" i="116"/>
  <c r="BDE2" i="116"/>
  <c r="BBJ2" i="116"/>
  <c r="AZO2" i="116"/>
  <c r="AWA2" i="116"/>
  <c r="BLQ2" i="116"/>
  <c r="BQU2" i="116"/>
  <c r="BQO2" i="116"/>
  <c r="MU2" i="116"/>
  <c r="CO2" i="116"/>
  <c r="BDM2" i="116"/>
  <c r="BBR2" i="116"/>
  <c r="AZW2" i="116"/>
  <c r="AWO2" i="116"/>
  <c r="BNM2" i="116"/>
  <c r="BRI2" i="116"/>
  <c r="BUC2" i="116"/>
  <c r="KI2" i="116"/>
  <c r="U2" i="116"/>
  <c r="N2" i="116"/>
  <c r="DO2" i="116"/>
  <c r="F2" i="116"/>
  <c r="NA2" i="116"/>
  <c r="JR2" i="116"/>
  <c r="NK2" i="116"/>
  <c r="DM2" i="116"/>
  <c r="PF2" i="116"/>
  <c r="LN2" i="116"/>
  <c r="AQT2" i="116"/>
  <c r="BHX2" i="116"/>
  <c r="BIU2" i="116"/>
  <c r="BGK2" i="116"/>
  <c r="AYP2" i="116"/>
  <c r="BNT2" i="116"/>
  <c r="QU2" i="116"/>
  <c r="BOS2" i="116"/>
  <c r="BGZ2" i="116"/>
  <c r="TM2" i="116"/>
  <c r="PU2" i="116"/>
  <c r="AOH2" i="116"/>
  <c r="FK2" i="116"/>
  <c r="AMN2" i="116"/>
  <c r="CX2" i="116"/>
  <c r="AVP2" i="116"/>
  <c r="OX2" i="116"/>
  <c r="BJD2" i="116"/>
  <c r="ARC2" i="116"/>
  <c r="AYA2" i="116"/>
  <c r="XG2" i="116"/>
  <c r="PS2" i="116"/>
  <c r="ARY2" i="116"/>
  <c r="AWQ2" i="116"/>
  <c r="XX2" i="116"/>
  <c r="AOJ2" i="116"/>
  <c r="BAO2" i="116"/>
  <c r="AXN2" i="116"/>
  <c r="AHP2" i="116"/>
  <c r="MC2" i="116"/>
  <c r="BSW2" i="116"/>
  <c r="BOV2" i="116"/>
  <c r="BNB2" i="116"/>
  <c r="BGB2" i="116"/>
  <c r="BTL2" i="116"/>
  <c r="BNI2" i="116"/>
  <c r="MK2" i="116"/>
  <c r="O2" i="116"/>
  <c r="SI2" i="116"/>
  <c r="BMS2" i="116"/>
  <c r="BKX2" i="116"/>
  <c r="BJC2" i="116"/>
  <c r="BGJ2" i="116"/>
  <c r="BOH2" i="116"/>
  <c r="BRU2" i="116"/>
  <c r="AVC2" i="116"/>
  <c r="LM2" i="116"/>
  <c r="AL2" i="116"/>
  <c r="NQ2" i="116"/>
  <c r="BFQ2" i="116"/>
  <c r="BDV2" i="116"/>
  <c r="BCA2" i="116"/>
  <c r="AZH2" i="116"/>
  <c r="BRD2" i="116"/>
  <c r="BUF2" i="116"/>
  <c r="BIG2" i="116"/>
  <c r="KX2" i="116"/>
  <c r="QC2" i="116"/>
  <c r="BFY2" i="116"/>
  <c r="BED2" i="116"/>
  <c r="BCI2" i="116"/>
  <c r="AZP2" i="116"/>
  <c r="BRR2" i="116"/>
  <c r="BUR2" i="116"/>
  <c r="BKS2" i="116"/>
  <c r="IL2" i="116"/>
  <c r="BI2" i="116"/>
  <c r="GA2" i="116"/>
  <c r="BR2" i="116"/>
  <c r="WW2" i="116"/>
  <c r="OI2" i="116"/>
  <c r="LV2" i="116"/>
  <c r="JB2" i="116"/>
  <c r="AC2" i="116"/>
  <c r="BK2" i="116"/>
  <c r="KZ2" i="116"/>
  <c r="FJ2" i="116"/>
  <c r="G2" i="116"/>
  <c r="BHI2" i="116"/>
  <c r="BNA2" i="116"/>
  <c r="BSG2" i="116"/>
  <c r="BLN2" i="116"/>
  <c r="IS2" i="116"/>
  <c r="UM2" i="116"/>
  <c r="AHX2" i="116"/>
  <c r="BUJ2" i="116"/>
  <c r="AZG2" i="116"/>
  <c r="HM2" i="116"/>
  <c r="BLW2" i="116"/>
  <c r="OS2" i="116"/>
  <c r="BSY2" i="116"/>
  <c r="LG2" i="116"/>
  <c r="CB2" i="116"/>
  <c r="BGM2" i="116"/>
  <c r="BRP2" i="116"/>
  <c r="AVG2" i="116"/>
  <c r="BNH2" i="116"/>
  <c r="BPO2" i="116"/>
  <c r="BOR2" i="116"/>
  <c r="BML2" i="116"/>
  <c r="XO2" i="116"/>
  <c r="EK2" i="116"/>
  <c r="BCO2" i="116"/>
  <c r="AYY2" i="116"/>
  <c r="BIN2" i="116"/>
  <c r="BMO2" i="116"/>
  <c r="RS2" i="116"/>
  <c r="QK2" i="116"/>
  <c r="SO2" i="116"/>
  <c r="BPL2" i="116"/>
  <c r="AOY2" i="116"/>
  <c r="VF2" i="116"/>
  <c r="BLO2" i="116"/>
  <c r="BIV2" i="116"/>
  <c r="BSC2" i="116"/>
  <c r="AKZ2" i="116"/>
  <c r="BOB2" i="116"/>
  <c r="AS2" i="116"/>
  <c r="ES2" i="116"/>
  <c r="QE2" i="116"/>
  <c r="BIC2" i="116"/>
  <c r="BGH2" i="116"/>
  <c r="BEM2" i="116"/>
  <c r="BBT2" i="116"/>
  <c r="BUN2" i="116"/>
  <c r="AXO2" i="116"/>
  <c r="BQM2" i="116"/>
  <c r="PE2" i="116"/>
  <c r="TO2" i="116"/>
  <c r="BIK2" i="116"/>
  <c r="BGP2" i="116"/>
  <c r="BEU2" i="116"/>
  <c r="BCB2" i="116"/>
  <c r="BDY2" i="116"/>
  <c r="BAG2" i="116"/>
  <c r="BRA2" i="116"/>
  <c r="MS2" i="116"/>
  <c r="RC2" i="116"/>
  <c r="ED2" i="116"/>
  <c r="NR2" i="116"/>
  <c r="DG2" i="116"/>
  <c r="MD2" i="116"/>
  <c r="PW2" i="116"/>
  <c r="NI2" i="116"/>
  <c r="BHG2" i="116"/>
  <c r="BOX2" i="116"/>
  <c r="SA2" i="116"/>
  <c r="JZ2" i="116"/>
  <c r="AOO2" i="116"/>
  <c r="UC2" i="116"/>
  <c r="FR2" i="116"/>
  <c r="AYS2" i="116"/>
  <c r="BPG2" i="116"/>
  <c r="UU2" i="116"/>
  <c r="IU2" i="116"/>
  <c r="BJE2" i="116"/>
  <c r="BOP2" i="116"/>
  <c r="CG2" i="116"/>
  <c r="VH2" i="116"/>
  <c r="AWM2" i="116"/>
  <c r="AOG2" i="116"/>
  <c r="AQB2" i="116"/>
  <c r="AJT2" i="116"/>
  <c r="TW2" i="116"/>
  <c r="BSF2" i="116"/>
  <c r="BKQ2" i="116"/>
  <c r="BMC2" i="116"/>
  <c r="M2" i="116"/>
  <c r="BFA2" i="116"/>
  <c r="BBK2" i="116"/>
  <c r="BGS2" i="116"/>
  <c r="BRJ2" i="116"/>
  <c r="PV2" i="116"/>
  <c r="YM2" i="116"/>
  <c r="SY2" i="116"/>
  <c r="AUK2" i="116"/>
  <c r="AUZ2" i="116"/>
  <c r="ARD2" i="116"/>
  <c r="BOA2" i="116"/>
  <c r="BLH2" i="116"/>
  <c r="BPE2" i="116"/>
  <c r="BMW2" i="116"/>
  <c r="BRZ2" i="116"/>
  <c r="HO2" i="116"/>
  <c r="KW2" i="116"/>
  <c r="OH2" i="116"/>
  <c r="BKO2" i="116"/>
  <c r="BIT2" i="116"/>
  <c r="BGY2" i="116"/>
  <c r="BEF2" i="116"/>
  <c r="AZQ2" i="116"/>
  <c r="BOJ2" i="116"/>
  <c r="BTY2" i="116"/>
  <c r="FA2" i="116"/>
  <c r="W2" i="116"/>
  <c r="BKW2" i="116"/>
  <c r="BJB2" i="116"/>
  <c r="BEN2" i="116"/>
  <c r="BCC2" i="116"/>
  <c r="IE2" i="116"/>
  <c r="ARZ2" i="116"/>
  <c r="BMK2" i="116"/>
  <c r="AZE2" i="116"/>
  <c r="BNJ2" i="116"/>
  <c r="BGR2" i="116"/>
  <c r="SJ2" i="116"/>
  <c r="BSQ2" i="116"/>
  <c r="DW2" i="116"/>
  <c r="BCL2" i="116"/>
  <c r="BQT2" i="116"/>
  <c r="BLG2" i="116"/>
  <c r="BCW2" i="116"/>
  <c r="BQG2" i="116"/>
  <c r="BRH2" i="116"/>
  <c r="AUD2" i="116"/>
  <c r="BME2" i="116"/>
  <c r="BPA2" i="116"/>
  <c r="ML2" i="116"/>
  <c r="ADO2" i="116"/>
  <c r="ANQ2" i="116"/>
  <c r="AJD2" i="116"/>
  <c r="AIV2" i="116"/>
  <c r="BMM2" i="116"/>
  <c r="BEC2" i="116"/>
  <c r="QS2" i="116"/>
  <c r="BTW2" i="116"/>
  <c r="BFT2" i="116"/>
  <c r="CA2" i="116"/>
  <c r="BAT2" i="116"/>
  <c r="AVB2" i="116"/>
  <c r="BNQ2" i="116"/>
  <c r="BDI2" i="116"/>
  <c r="VI2" i="116"/>
  <c r="HE2" i="116"/>
  <c r="SQ2" i="116"/>
  <c r="BFI2" i="116"/>
  <c r="BDN2" i="116"/>
  <c r="BBS2" i="116"/>
  <c r="AYZ2" i="116"/>
  <c r="BQS2" i="116"/>
  <c r="BTV2" i="116"/>
  <c r="BFU2" i="116"/>
  <c r="NJ2" i="116"/>
  <c r="GO2" i="116"/>
  <c r="DU2" i="116"/>
  <c r="AUV2" i="116"/>
  <c r="AVK2" i="116"/>
  <c r="ASA2" i="116"/>
  <c r="WT2" i="116"/>
  <c r="BLP2" i="116"/>
  <c r="BSK2" i="116"/>
  <c r="BNY2" i="116"/>
  <c r="BSJ2" i="116"/>
  <c r="FC2" i="116"/>
  <c r="AVJ2" i="116"/>
  <c r="AVY2" i="116"/>
  <c r="ASW2" i="116"/>
  <c r="ABZ2" i="116"/>
  <c r="BLX2" i="116"/>
  <c r="AFU2" i="116"/>
  <c r="BOK2" i="116"/>
  <c r="BSV2" i="116"/>
  <c r="CQ2" i="116"/>
  <c r="BA2" i="116"/>
  <c r="NS2" i="116"/>
  <c r="LF2" i="116"/>
  <c r="QL2" i="116"/>
  <c r="SG2" i="116"/>
  <c r="FY2" i="116"/>
  <c r="KY2" i="116"/>
  <c r="OG2" i="116"/>
  <c r="AQM2" i="116"/>
  <c r="BLF2" i="116"/>
  <c r="VY2" i="116"/>
  <c r="AD2" i="116"/>
  <c r="BON2" i="116"/>
  <c r="BIM2" i="116"/>
  <c r="ASH2" i="116"/>
  <c r="NY2" i="116"/>
  <c r="AZA2" i="116"/>
  <c r="AQE2" i="116"/>
  <c r="BSO2" i="116"/>
  <c r="AFA2" i="116"/>
  <c r="WI2" i="116"/>
  <c r="NZ2" i="116"/>
  <c r="AB1" i="111"/>
  <c r="AD1" i="111"/>
  <c r="AR1" i="111"/>
  <c r="AH1" i="111"/>
  <c r="AT2" i="111"/>
  <c r="AJ2" i="111"/>
  <c r="AL1" i="111"/>
  <c r="AF1" i="111"/>
  <c r="AT1" i="111"/>
  <c r="AB2" i="111"/>
  <c r="AP1" i="111"/>
  <c r="AN1" i="111"/>
  <c r="AD2" i="111"/>
  <c r="AH2" i="111"/>
  <c r="AJ1" i="111"/>
  <c r="AR2" i="111"/>
  <c r="AP2" i="111"/>
  <c r="AN2" i="111"/>
  <c r="AL2" i="111"/>
  <c r="AF2" i="111"/>
  <c r="AH101" i="114"/>
  <c r="AH101" i="115" s="1"/>
  <c r="FE304" i="112"/>
  <c r="FF304" i="112" s="1"/>
  <c r="FT304" i="112"/>
  <c r="T101" i="114" l="1"/>
  <c r="FG304" i="112"/>
  <c r="W101" i="114" s="1"/>
  <c r="W101" i="115" s="1"/>
  <c r="Y101" i="114"/>
  <c r="O101" i="114"/>
  <c r="O101" i="115" s="1"/>
  <c r="T101" i="115" l="1"/>
  <c r="R101" i="114"/>
  <c r="R101" i="1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 authorId="0" shapeId="0" xr:uid="{D55C8775-C33E-4B5E-88AC-E5A7247D1731}">
      <text>
        <r>
          <rPr>
            <b/>
            <sz val="48"/>
            <color indexed="81"/>
            <rFont val="Meiryo UI"/>
            <family val="3"/>
            <charset val="128"/>
          </rPr>
          <t xml:space="preserve">・図面は、このExcelファイルとは別に、
　PDF形式で
　1つのファイルにまとめて添付してください。
</t>
        </r>
        <r>
          <rPr>
            <b/>
            <sz val="20"/>
            <color indexed="81"/>
            <rFont val="Meiryo UI"/>
            <family val="3"/>
            <charset val="128"/>
          </rPr>
          <t xml:space="preserve">
　※　　まとめる際、用紙サイズ設定・縮尺に注意してください。
　　　　（図面中に、極力、スケールバーを表示し、縮尺ずれに備えるようにしてください。）</t>
        </r>
      </text>
    </comment>
    <comment ref="A3" authorId="0" shapeId="0" xr:uid="{4796D833-8435-488D-87B5-87EE5C625EDB}">
      <text>
        <r>
          <rPr>
            <sz val="20"/>
            <color indexed="81"/>
            <rFont val="Meiryo UI"/>
            <family val="3"/>
            <charset val="128"/>
          </rPr>
          <t xml:space="preserve">
１　必要図面
　・付近見取図
　・配置図
　・各階平面図
２　記載事項
(1)指摘事項
　・指摘事項（要是正（既存不適格を含む。）及び特記すべき事項）について、
　　図中に以下を記入
　　・箇所
　　・写真を撮影した位置
　　・調査結果表の項目番号
　　・内容
(2)その他一般事項
　・付近見取図
　　・方位，道路及び目標となる地物
　・配置図
　　・縮尺及び方位
　　・敷地の境界線
　　・敷地内における建築物の位置及び用途
　　・敷地が接する道路の位置，幅員及び種類
　　・敷地が道路に接する部分及びその長さ
　・各階平面図
　　・縮尺，方位及び寸法
　　・間取り及び各室の用途
　　・開口部の位置及び種類
　　・防火設備の位置及び種類
　　・昇降機の位置及び種類
　　・延焼のおそれがある部分の外壁及び軒裏の構造
　　・防火区画の位置
　　・非常口，非常用進入口及び避難施設の位置
※(1)は平成20年国土交通省告示第282号別記調査結果表別添1、
　(2)は京都市建築基準法施行細則別表第6に関する記載です。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6" authorId="0" shapeId="0" xr:uid="{70307613-A527-43CC-8CD2-1B3C330F1440}">
      <text>
        <r>
          <rPr>
            <b/>
            <sz val="18"/>
            <color indexed="81"/>
            <rFont val="Meiryo UI"/>
            <family val="3"/>
            <charset val="128"/>
          </rPr>
          <t xml:space="preserve">・この様式は、直接編集ができません。
</t>
        </r>
        <r>
          <rPr>
            <sz val="12"/>
            <color indexed="81"/>
            <rFont val="Meiryo UI"/>
            <family val="3"/>
            <charset val="128"/>
          </rPr>
          <t>・入力シートに記入した内容が転記されます。
・転記された内容に誤りがないか確認してください。
・印刷する場合は、文字が切れて表示されていないが確認してください。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6" authorId="0" shapeId="0" xr:uid="{7F797BDC-F924-4697-9D69-021E9C9E8A34}">
      <text>
        <r>
          <rPr>
            <b/>
            <sz val="18"/>
            <color indexed="81"/>
            <rFont val="Meiryo UI"/>
            <family val="3"/>
            <charset val="128"/>
          </rPr>
          <t xml:space="preserve">・この様式は、直接編集ができません。
</t>
        </r>
        <r>
          <rPr>
            <sz val="12"/>
            <color indexed="81"/>
            <rFont val="Meiryo UI"/>
            <family val="3"/>
            <charset val="128"/>
          </rPr>
          <t>・入力シートに記入した内容が転記されます。
・転記された内容に誤りがないか確認してください。
・印刷する場合は、文字が切れて表示されていないが確認してください。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274B4BAE-32BE-48F2-9BF5-E0203B29DF3A}">
      <text>
        <r>
          <rPr>
            <b/>
            <sz val="18"/>
            <color indexed="81"/>
            <rFont val="Meiryo UI"/>
            <family val="3"/>
            <charset val="128"/>
          </rPr>
          <t xml:space="preserve">・この様式は、直接編集ができません。
</t>
        </r>
        <r>
          <rPr>
            <sz val="12"/>
            <color indexed="81"/>
            <rFont val="Meiryo UI"/>
            <family val="3"/>
            <charset val="128"/>
          </rPr>
          <t>・入力シートに記入した内容が転記されます。
・転記された内容に誤りがないか確認してください。
・印刷する場合は、文字が切れて表示されていないが確認してください。
　また、不要なページが印刷されることがありますので、印刷範囲に注意してください。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<sst xmlns="http://schemas.openxmlformats.org/spreadsheetml/2006/main" count="27109" uniqueCount="5694">
  <si>
    <t>　「部位」欄の「番号」、「調査項目」は、それぞれ別記様式の番号、調査項目に対応したものを記入して下さい。</t>
    <rPh sb="2" eb="4">
      <t>ブイ</t>
    </rPh>
    <rPh sb="5" eb="6">
      <t>ラン</t>
    </rPh>
    <rPh sb="8" eb="10">
      <t>バンゴウ</t>
    </rPh>
    <rPh sb="13" eb="15">
      <t>チョウサ</t>
    </rPh>
    <rPh sb="15" eb="17">
      <t>コウモク</t>
    </rPh>
    <rPh sb="24" eb="26">
      <t>ベッキ</t>
    </rPh>
    <rPh sb="26" eb="28">
      <t>ヨウシキ</t>
    </rPh>
    <rPh sb="29" eb="31">
      <t>バンゴウ</t>
    </rPh>
    <rPh sb="32" eb="34">
      <t>チョウサ</t>
    </rPh>
    <rPh sb="34" eb="36">
      <t>コウモク</t>
    </rPh>
    <rPh sb="37" eb="39">
      <t>タイオウ</t>
    </rPh>
    <phoneticPr fontId="3"/>
  </si>
  <si>
    <t>⑤</t>
    <phoneticPr fontId="3"/>
  </si>
  <si>
    <t>　写真は、当該部位の外観の状況が確認できるように撮影したものを添付してください。</t>
    <rPh sb="1" eb="3">
      <t>シャシン</t>
    </rPh>
    <rPh sb="5" eb="7">
      <t>トウガイ</t>
    </rPh>
    <rPh sb="7" eb="9">
      <t>ブイ</t>
    </rPh>
    <rPh sb="10" eb="12">
      <t>ガイカン</t>
    </rPh>
    <rPh sb="13" eb="15">
      <t>ジョウキョウ</t>
    </rPh>
    <rPh sb="16" eb="18">
      <t>カクニン</t>
    </rPh>
    <rPh sb="24" eb="26">
      <t>サツエイ</t>
    </rPh>
    <rPh sb="31" eb="33">
      <t>テンプ</t>
    </rPh>
    <phoneticPr fontId="3"/>
  </si>
  <si>
    <t>第</t>
    <rPh sb="0" eb="1">
      <t>ダイ</t>
    </rPh>
    <phoneticPr fontId="3"/>
  </si>
  <si>
    <t>号</t>
    <rPh sb="0" eb="1">
      <t>ゴウ</t>
    </rPh>
    <phoneticPr fontId="3"/>
  </si>
  <si>
    <t>様</t>
    <rPh sb="0" eb="1">
      <t>ヨウ</t>
    </rPh>
    <phoneticPr fontId="3"/>
  </si>
  <si>
    <t>式</t>
    <rPh sb="0" eb="1">
      <t>シキ</t>
    </rPh>
    <phoneticPr fontId="3"/>
  </si>
  <si>
    <t>調</t>
    <rPh sb="0" eb="1">
      <t>チョウ</t>
    </rPh>
    <phoneticPr fontId="3"/>
  </si>
  <si>
    <t>査</t>
    <rPh sb="0" eb="1">
      <t>サ</t>
    </rPh>
    <phoneticPr fontId="3"/>
  </si>
  <si>
    <t>項</t>
    <rPh sb="0" eb="1">
      <t>コウ</t>
    </rPh>
    <phoneticPr fontId="3"/>
  </si>
  <si>
    <t>記</t>
    <rPh sb="0" eb="1">
      <t>キ</t>
    </rPh>
    <phoneticPr fontId="3"/>
  </si>
  <si>
    <t>特</t>
    <rPh sb="0" eb="1">
      <t>トク</t>
    </rPh>
    <phoneticPr fontId="3"/>
  </si>
  <si>
    <t>年</t>
    <rPh sb="0" eb="1">
      <t>ネン</t>
    </rPh>
    <phoneticPr fontId="3"/>
  </si>
  <si>
    <t>他</t>
    <rPh sb="0" eb="1">
      <t>タ</t>
    </rPh>
    <phoneticPr fontId="3"/>
  </si>
  <si>
    <t>要</t>
    <rPh sb="0" eb="1">
      <t>ヨウ</t>
    </rPh>
    <phoneticPr fontId="3"/>
  </si>
  <si>
    <t>正</t>
    <rPh sb="0" eb="1">
      <t>セイ</t>
    </rPh>
    <phoneticPr fontId="3"/>
  </si>
  <si>
    <t>事</t>
    <rPh sb="0" eb="1">
      <t>コト</t>
    </rPh>
    <phoneticPr fontId="3"/>
  </si>
  <si>
    <t>階</t>
    <rPh sb="0" eb="1">
      <t>カイ</t>
    </rPh>
    <phoneticPr fontId="3"/>
  </si>
  <si>
    <t>別</t>
    <rPh sb="0" eb="1">
      <t>ベツ</t>
    </rPh>
    <phoneticPr fontId="3"/>
  </si>
  <si>
    <t>床</t>
    <rPh sb="0" eb="1">
      <t>ユカ</t>
    </rPh>
    <phoneticPr fontId="3"/>
  </si>
  <si>
    <t>有</t>
    <rPh sb="0" eb="1">
      <t>アリ</t>
    </rPh>
    <phoneticPr fontId="3"/>
  </si>
  <si>
    <t>是</t>
    <rPh sb="0" eb="1">
      <t>コレ</t>
    </rPh>
    <phoneticPr fontId="3"/>
  </si>
  <si>
    <t>）</t>
    <phoneticPr fontId="3"/>
  </si>
  <si>
    <t>の</t>
    <phoneticPr fontId="3"/>
  </si>
  <si>
    <t>改善（予定）
年月</t>
    <rPh sb="0" eb="2">
      <t>カイゼン</t>
    </rPh>
    <rPh sb="3" eb="5">
      <t>ヨテイ</t>
    </rPh>
    <rPh sb="7" eb="9">
      <t>ネンゲツ</t>
    </rPh>
    <phoneticPr fontId="3"/>
  </si>
  <si>
    <t>（</t>
    <phoneticPr fontId="3"/>
  </si>
  <si>
    <t>(</t>
    <phoneticPr fontId="3"/>
  </si>
  <si>
    <t>そ</t>
    <phoneticPr fontId="3"/>
  </si>
  <si>
    <t>㎡</t>
    <phoneticPr fontId="3"/>
  </si>
  <si>
    <t>当該調査に関与した調査者</t>
    <rPh sb="0" eb="2">
      <t>トウガイ</t>
    </rPh>
    <rPh sb="2" eb="4">
      <t>チョウサ</t>
    </rPh>
    <rPh sb="5" eb="7">
      <t>カンヨ</t>
    </rPh>
    <rPh sb="9" eb="12">
      <t>チョウサシャ</t>
    </rPh>
    <phoneticPr fontId="3"/>
  </si>
  <si>
    <t>調査者番号</t>
    <rPh sb="0" eb="3">
      <t>チョウサシャ</t>
    </rPh>
    <rPh sb="3" eb="5">
      <t>バンゴウ</t>
    </rPh>
    <phoneticPr fontId="3"/>
  </si>
  <si>
    <t>番号</t>
    <rPh sb="0" eb="2">
      <t>バンゴウ</t>
    </rPh>
    <phoneticPr fontId="3"/>
  </si>
  <si>
    <t>調　査　項　目</t>
    <rPh sb="0" eb="1">
      <t>チョウ</t>
    </rPh>
    <rPh sb="2" eb="3">
      <t>サ</t>
    </rPh>
    <phoneticPr fontId="3"/>
  </si>
  <si>
    <t>調査結果</t>
    <rPh sb="0" eb="2">
      <t>チョウサ</t>
    </rPh>
    <rPh sb="2" eb="4">
      <t>ケッカ</t>
    </rPh>
    <phoneticPr fontId="3"/>
  </si>
  <si>
    <t>敷地及び地盤</t>
    <rPh sb="0" eb="2">
      <t>シキチ</t>
    </rPh>
    <rPh sb="2" eb="3">
      <t>オヨ</t>
    </rPh>
    <rPh sb="4" eb="6">
      <t>ジバン</t>
    </rPh>
    <phoneticPr fontId="3"/>
  </si>
  <si>
    <t>(1)</t>
    <phoneticPr fontId="3"/>
  </si>
  <si>
    <t>地盤</t>
    <phoneticPr fontId="3"/>
  </si>
  <si>
    <t>敷地</t>
    <phoneticPr fontId="3"/>
  </si>
  <si>
    <t>敷地内の排水の状況</t>
    <phoneticPr fontId="3"/>
  </si>
  <si>
    <t>敷地内の通路</t>
    <rPh sb="0" eb="3">
      <t>シキチナイ</t>
    </rPh>
    <phoneticPr fontId="3"/>
  </si>
  <si>
    <t>敷地内の通路の確保の状況</t>
    <rPh sb="0" eb="3">
      <t>シキチナイ</t>
    </rPh>
    <rPh sb="4" eb="6">
      <t>ツウロ</t>
    </rPh>
    <rPh sb="7" eb="8">
      <t>アキラ</t>
    </rPh>
    <phoneticPr fontId="3"/>
  </si>
  <si>
    <t>有効幅員の確保の状況</t>
    <rPh sb="8" eb="10">
      <t>ジョウキョウ</t>
    </rPh>
    <phoneticPr fontId="3"/>
  </si>
  <si>
    <t>敷地内の通路の支障物の状況</t>
    <rPh sb="0" eb="3">
      <t>シキチナイ</t>
    </rPh>
    <rPh sb="11" eb="13">
      <t>ジョウキョウ</t>
    </rPh>
    <phoneticPr fontId="3"/>
  </si>
  <si>
    <t>(6)</t>
    <phoneticPr fontId="3"/>
  </si>
  <si>
    <t>塀</t>
    <rPh sb="0" eb="1">
      <t>ヘイ</t>
    </rPh>
    <phoneticPr fontId="3"/>
  </si>
  <si>
    <t>組積造の塀又は補強コンクリートブロック造の塀等の劣化及び損傷の状況</t>
    <rPh sb="24" eb="26">
      <t>レッカ</t>
    </rPh>
    <rPh sb="26" eb="27">
      <t>オヨ</t>
    </rPh>
    <rPh sb="28" eb="30">
      <t>ソンショウ</t>
    </rPh>
    <rPh sb="31" eb="33">
      <t>ジョウキョウ</t>
    </rPh>
    <phoneticPr fontId="3"/>
  </si>
  <si>
    <t>擁壁</t>
    <phoneticPr fontId="3"/>
  </si>
  <si>
    <t>擁壁の劣化及び損傷の状況</t>
    <rPh sb="5" eb="7">
      <t>オ</t>
    </rPh>
    <phoneticPr fontId="3"/>
  </si>
  <si>
    <t>擁壁の水抜きパイプの維持保全の状況</t>
    <rPh sb="10" eb="11">
      <t>ユイ</t>
    </rPh>
    <phoneticPr fontId="3"/>
  </si>
  <si>
    <t>建築物の外部</t>
    <rPh sb="0" eb="3">
      <t>ケンチクブツ</t>
    </rPh>
    <rPh sb="4" eb="6">
      <t>ガイブ</t>
    </rPh>
    <phoneticPr fontId="3"/>
  </si>
  <si>
    <t>基礎</t>
    <rPh sb="0" eb="2">
      <t>キソ</t>
    </rPh>
    <phoneticPr fontId="3"/>
  </si>
  <si>
    <t>基礎の沈下等の状況</t>
    <rPh sb="0" eb="2">
      <t>キソ</t>
    </rPh>
    <rPh sb="5" eb="6">
      <t>トウ</t>
    </rPh>
    <phoneticPr fontId="3"/>
  </si>
  <si>
    <t>基礎の劣化及び損傷の状況</t>
    <rPh sb="5" eb="7">
      <t>オ</t>
    </rPh>
    <phoneticPr fontId="3"/>
  </si>
  <si>
    <t>土台の沈下等の状況</t>
    <rPh sb="0" eb="2">
      <t>ドダイ</t>
    </rPh>
    <rPh sb="5" eb="6">
      <t>トウ</t>
    </rPh>
    <phoneticPr fontId="3"/>
  </si>
  <si>
    <t>土台の劣化及び損傷の状況</t>
    <rPh sb="5" eb="7">
      <t>オ</t>
    </rPh>
    <phoneticPr fontId="3"/>
  </si>
  <si>
    <t>躯体等</t>
    <rPh sb="0" eb="1">
      <t>ク</t>
    </rPh>
    <rPh sb="1" eb="2">
      <t>タイ</t>
    </rPh>
    <rPh sb="2" eb="3">
      <t>トウ</t>
    </rPh>
    <phoneticPr fontId="3"/>
  </si>
  <si>
    <t>外壁、軒裏及び外壁の開口部で延焼のおそれのある部分の防火対策の状況</t>
    <rPh sb="0" eb="2">
      <t>ガイヘキ</t>
    </rPh>
    <rPh sb="5" eb="6">
      <t>オヨ</t>
    </rPh>
    <rPh sb="7" eb="9">
      <t>ガイヘキ</t>
    </rPh>
    <rPh sb="10" eb="13">
      <t>カイコウブ</t>
    </rPh>
    <rPh sb="28" eb="30">
      <t>タイサク</t>
    </rPh>
    <rPh sb="31" eb="32">
      <t>ジョウ</t>
    </rPh>
    <phoneticPr fontId="3"/>
  </si>
  <si>
    <t>木造の外壁躯体の劣化及び損傷の状況</t>
    <rPh sb="3" eb="5">
      <t>ガイヘキ</t>
    </rPh>
    <rPh sb="5" eb="6">
      <t>ク</t>
    </rPh>
    <rPh sb="6" eb="7">
      <t>タイ</t>
    </rPh>
    <rPh sb="8" eb="10">
      <t>レッカ</t>
    </rPh>
    <rPh sb="10" eb="12">
      <t>オ</t>
    </rPh>
    <rPh sb="12" eb="14">
      <t>ソンショウ</t>
    </rPh>
    <rPh sb="15" eb="17">
      <t>ジョウキョウ</t>
    </rPh>
    <phoneticPr fontId="3"/>
  </si>
  <si>
    <t>組積造の外壁躯体の劣化及び損傷の状況</t>
    <rPh sb="11" eb="13">
      <t>オ</t>
    </rPh>
    <phoneticPr fontId="3"/>
  </si>
  <si>
    <t>補強コンクリートブロック造の外壁躯体の劣化及び損傷の状況</t>
    <rPh sb="21" eb="23">
      <t>オ</t>
    </rPh>
    <phoneticPr fontId="3"/>
  </si>
  <si>
    <t>鉄骨造の外壁躯体の劣化及び損傷の状況</t>
    <rPh sb="11" eb="13">
      <t>オ</t>
    </rPh>
    <phoneticPr fontId="3"/>
  </si>
  <si>
    <t>鉄筋コンクリート造及び鉄骨鉄筋コンクリート造の外壁躯体の劣化及び損傷の状況</t>
    <rPh sb="8" eb="9">
      <t>ゾウ</t>
    </rPh>
    <rPh sb="9" eb="10">
      <t>オヨ</t>
    </rPh>
    <rPh sb="11" eb="13">
      <t>テッコツ</t>
    </rPh>
    <rPh sb="13" eb="15">
      <t>テッキン</t>
    </rPh>
    <rPh sb="21" eb="22">
      <t>ゾウ</t>
    </rPh>
    <rPh sb="30" eb="32">
      <t>オ</t>
    </rPh>
    <phoneticPr fontId="3"/>
  </si>
  <si>
    <t>外装仕上げ材等</t>
    <phoneticPr fontId="3"/>
  </si>
  <si>
    <t>乾式工法によるタイル、石貼り等の劣化及び損傷の状況</t>
    <rPh sb="0" eb="2">
      <t>カンシキ</t>
    </rPh>
    <rPh sb="2" eb="4">
      <t>コウホウ</t>
    </rPh>
    <rPh sb="11" eb="13">
      <t>イシバ</t>
    </rPh>
    <rPh sb="14" eb="15">
      <t>トウ</t>
    </rPh>
    <rPh sb="16" eb="18">
      <t>レッカ</t>
    </rPh>
    <rPh sb="18" eb="19">
      <t>オヨ</t>
    </rPh>
    <rPh sb="20" eb="22">
      <t>ソンショウ</t>
    </rPh>
    <rPh sb="23" eb="25">
      <t>ジョウキョウ</t>
    </rPh>
    <phoneticPr fontId="3"/>
  </si>
  <si>
    <t>金属系パネル（帳壁を含む。）の劣化及び損傷の状況</t>
    <rPh sb="0" eb="3">
      <t>キンゾクケイ</t>
    </rPh>
    <rPh sb="7" eb="8">
      <t>チョウ</t>
    </rPh>
    <rPh sb="8" eb="9">
      <t>カベ</t>
    </rPh>
    <rPh sb="10" eb="11">
      <t>フク</t>
    </rPh>
    <rPh sb="17" eb="19">
      <t>オ</t>
    </rPh>
    <phoneticPr fontId="3"/>
  </si>
  <si>
    <t>コンクリート系パネル（帳壁を含む。）の劣化及び損傷の状況</t>
    <rPh sb="6" eb="7">
      <t>ケイ</t>
    </rPh>
    <rPh sb="11" eb="12">
      <t>チョウ</t>
    </rPh>
    <rPh sb="12" eb="13">
      <t>カベ</t>
    </rPh>
    <rPh sb="21" eb="23">
      <t>オ</t>
    </rPh>
    <phoneticPr fontId="3"/>
  </si>
  <si>
    <t>窓サッシ等</t>
    <rPh sb="0" eb="1">
      <t>マド</t>
    </rPh>
    <phoneticPr fontId="3"/>
  </si>
  <si>
    <t>サッシ等の劣化及び損傷の状況</t>
    <rPh sb="3" eb="4">
      <t>トウ</t>
    </rPh>
    <rPh sb="5" eb="7">
      <t>レッカ</t>
    </rPh>
    <rPh sb="7" eb="9">
      <t>オ</t>
    </rPh>
    <rPh sb="9" eb="11">
      <t>ソンショウ</t>
    </rPh>
    <rPh sb="12" eb="14">
      <t>ジョウキョウ</t>
    </rPh>
    <phoneticPr fontId="3"/>
  </si>
  <si>
    <t>はめ殺し窓のガラスの固定の状況</t>
    <rPh sb="10" eb="12">
      <t>コテイ</t>
    </rPh>
    <rPh sb="13" eb="15">
      <t>ジョウキョウ</t>
    </rPh>
    <phoneticPr fontId="3"/>
  </si>
  <si>
    <t>外壁に緊結された広告板、空調室外機等</t>
    <rPh sb="0" eb="2">
      <t>ガイヘキ</t>
    </rPh>
    <rPh sb="3" eb="5">
      <t>キンケツ</t>
    </rPh>
    <rPh sb="8" eb="10">
      <t>コウコク</t>
    </rPh>
    <rPh sb="10" eb="11">
      <t>イタ</t>
    </rPh>
    <phoneticPr fontId="3"/>
  </si>
  <si>
    <t>機器本体の劣化及び損傷の状況</t>
    <rPh sb="0" eb="2">
      <t>キキ</t>
    </rPh>
    <rPh sb="2" eb="4">
      <t>ホンタイ</t>
    </rPh>
    <rPh sb="5" eb="7">
      <t>レッカ</t>
    </rPh>
    <rPh sb="7" eb="9">
      <t>オ</t>
    </rPh>
    <rPh sb="9" eb="11">
      <t>ソンショウ</t>
    </rPh>
    <rPh sb="12" eb="14">
      <t>ジョウキョウ</t>
    </rPh>
    <phoneticPr fontId="3"/>
  </si>
  <si>
    <t>支持部分等の劣化及び損傷の状況</t>
    <rPh sb="0" eb="2">
      <t>シジ</t>
    </rPh>
    <rPh sb="2" eb="4">
      <t>ブブン</t>
    </rPh>
    <rPh sb="4" eb="5">
      <t>トウ</t>
    </rPh>
    <rPh sb="6" eb="8">
      <t>レッカ</t>
    </rPh>
    <rPh sb="8" eb="10">
      <t>オ</t>
    </rPh>
    <rPh sb="10" eb="12">
      <t>ソンショウ</t>
    </rPh>
    <rPh sb="13" eb="15">
      <t>ジョウキョウ</t>
    </rPh>
    <phoneticPr fontId="3"/>
  </si>
  <si>
    <t>屋上及び屋根</t>
    <rPh sb="0" eb="2">
      <t>オクジョウ</t>
    </rPh>
    <rPh sb="2" eb="3">
      <t>オヨ</t>
    </rPh>
    <rPh sb="4" eb="6">
      <t>ヤネ</t>
    </rPh>
    <phoneticPr fontId="3"/>
  </si>
  <si>
    <t>屋上面</t>
    <phoneticPr fontId="3"/>
  </si>
  <si>
    <t>屋上面の劣化及び損傷の状況</t>
    <rPh sb="0" eb="2">
      <t>オクジョウ</t>
    </rPh>
    <rPh sb="2" eb="3">
      <t>メン</t>
    </rPh>
    <rPh sb="4" eb="6">
      <t>レッカ</t>
    </rPh>
    <rPh sb="6" eb="8">
      <t>オ</t>
    </rPh>
    <rPh sb="8" eb="10">
      <t>ソンショウ</t>
    </rPh>
    <rPh sb="11" eb="13">
      <t>ジョウキョウ</t>
    </rPh>
    <phoneticPr fontId="3"/>
  </si>
  <si>
    <t>パラペットの立上り面の劣化及び損傷の状況</t>
    <rPh sb="6" eb="8">
      <t>タチノボ</t>
    </rPh>
    <rPh sb="9" eb="10">
      <t>メン</t>
    </rPh>
    <rPh sb="11" eb="13">
      <t>レッカ</t>
    </rPh>
    <rPh sb="13" eb="15">
      <t>オ</t>
    </rPh>
    <rPh sb="15" eb="17">
      <t>ソンショウ</t>
    </rPh>
    <rPh sb="18" eb="20">
      <t>ジョウキョウ</t>
    </rPh>
    <phoneticPr fontId="3"/>
  </si>
  <si>
    <t>笠木モルタル等の劣化及び損傷の状況</t>
    <rPh sb="8" eb="10">
      <t>レッカ</t>
    </rPh>
    <rPh sb="10" eb="12">
      <t>オ</t>
    </rPh>
    <rPh sb="12" eb="14">
      <t>ソンショウ</t>
    </rPh>
    <rPh sb="15" eb="17">
      <t>ジョウキョウ</t>
    </rPh>
    <phoneticPr fontId="3"/>
  </si>
  <si>
    <t>金属笠木の劣化及び損傷の状況</t>
    <rPh sb="0" eb="2">
      <t>キンゾク</t>
    </rPh>
    <rPh sb="2" eb="4">
      <t>カサギ</t>
    </rPh>
    <rPh sb="5" eb="7">
      <t>レッカ</t>
    </rPh>
    <rPh sb="7" eb="9">
      <t>オ</t>
    </rPh>
    <rPh sb="9" eb="11">
      <t>ソンショウ</t>
    </rPh>
    <rPh sb="12" eb="14">
      <t>ジョウキョウ</t>
    </rPh>
    <phoneticPr fontId="3"/>
  </si>
  <si>
    <t>屋根の防火対策の状況</t>
    <rPh sb="0" eb="2">
      <t>ヤネ</t>
    </rPh>
    <rPh sb="3" eb="5">
      <t>ボウカ</t>
    </rPh>
    <rPh sb="5" eb="7">
      <t>タイサク</t>
    </rPh>
    <rPh sb="8" eb="10">
      <t>ジョウキョウ</t>
    </rPh>
    <phoneticPr fontId="3"/>
  </si>
  <si>
    <t>屋根の劣化及び損傷の状況</t>
    <rPh sb="0" eb="2">
      <t>ヤネ</t>
    </rPh>
    <rPh sb="3" eb="5">
      <t>レッカ</t>
    </rPh>
    <rPh sb="5" eb="7">
      <t>オ</t>
    </rPh>
    <rPh sb="7" eb="9">
      <t>ソンショウ</t>
    </rPh>
    <rPh sb="10" eb="12">
      <t>ジョウキョウ</t>
    </rPh>
    <phoneticPr fontId="3"/>
  </si>
  <si>
    <t>機器、工作物本体及び接合部の劣化及び損傷の状況</t>
    <rPh sb="0" eb="2">
      <t>キキ</t>
    </rPh>
    <rPh sb="3" eb="6">
      <t>コウサクブツ</t>
    </rPh>
    <rPh sb="6" eb="8">
      <t>ホンタイ</t>
    </rPh>
    <rPh sb="8" eb="9">
      <t>オヨ</t>
    </rPh>
    <rPh sb="10" eb="13">
      <t>セツゴウブ</t>
    </rPh>
    <rPh sb="14" eb="16">
      <t>レッカ</t>
    </rPh>
    <rPh sb="16" eb="18">
      <t>オ</t>
    </rPh>
    <rPh sb="18" eb="20">
      <t>ソンショウ</t>
    </rPh>
    <rPh sb="21" eb="23">
      <t>ジョウキョウ</t>
    </rPh>
    <phoneticPr fontId="3"/>
  </si>
  <si>
    <t>建築物の内部</t>
    <rPh sb="4" eb="6">
      <t>ナイブ</t>
    </rPh>
    <phoneticPr fontId="3"/>
  </si>
  <si>
    <t>防火区画</t>
    <rPh sb="0" eb="2">
      <t>ボウカ</t>
    </rPh>
    <rPh sb="2" eb="4">
      <t>クカク</t>
    </rPh>
    <phoneticPr fontId="3"/>
  </si>
  <si>
    <t>防火区画の外周部</t>
    <phoneticPr fontId="3"/>
  </si>
  <si>
    <t>木造の壁の室内に面する部分の躯体の劣化及び損傷の状況</t>
    <rPh sb="14" eb="15">
      <t>ク</t>
    </rPh>
    <rPh sb="15" eb="16">
      <t>タイ</t>
    </rPh>
    <rPh sb="17" eb="19">
      <t>レッカ</t>
    </rPh>
    <rPh sb="19" eb="21">
      <t>オ</t>
    </rPh>
    <rPh sb="21" eb="23">
      <t>ソンショウ</t>
    </rPh>
    <rPh sb="24" eb="26">
      <t>ジョウキョウ</t>
    </rPh>
    <phoneticPr fontId="3"/>
  </si>
  <si>
    <t>組積造の壁の室内に面する部分の躯体の劣化及び損傷の状況</t>
    <rPh sb="20" eb="22">
      <t>オ</t>
    </rPh>
    <phoneticPr fontId="3"/>
  </si>
  <si>
    <t>補強コンクリートブロック造の壁の室内に面する部分の躯体の劣化及び損傷の状況</t>
    <rPh sb="30" eb="32">
      <t>オ</t>
    </rPh>
    <phoneticPr fontId="3"/>
  </si>
  <si>
    <t>鉄骨造の壁の室内に面する部分の躯体の劣化及び損傷の状況</t>
    <rPh sb="20" eb="22">
      <t>オ</t>
    </rPh>
    <phoneticPr fontId="3"/>
  </si>
  <si>
    <t>鉄筋コンクリート造及び鉄骨鉄筋コンクリート造の壁の室内に面する部分の躯体の劣化及び損傷の状況</t>
    <rPh sb="8" eb="9">
      <t>ゾウ</t>
    </rPh>
    <rPh sb="9" eb="10">
      <t>オヨ</t>
    </rPh>
    <rPh sb="11" eb="13">
      <t>テッコツ</t>
    </rPh>
    <rPh sb="13" eb="15">
      <t>テッキン</t>
    </rPh>
    <rPh sb="21" eb="22">
      <t>ゾウ</t>
    </rPh>
    <rPh sb="39" eb="41">
      <t>オ</t>
    </rPh>
    <phoneticPr fontId="3"/>
  </si>
  <si>
    <t>準耐火性能等の確保の状況</t>
    <rPh sb="3" eb="5">
      <t>セイノウ</t>
    </rPh>
    <rPh sb="5" eb="6">
      <t>トウ</t>
    </rPh>
    <rPh sb="7" eb="9">
      <t>カクホ</t>
    </rPh>
    <rPh sb="10" eb="12">
      <t>ジョウキョウ</t>
    </rPh>
    <phoneticPr fontId="3"/>
  </si>
  <si>
    <t>部材の劣化及び損傷の状況</t>
    <rPh sb="0" eb="2">
      <t>ブザイ</t>
    </rPh>
    <rPh sb="3" eb="5">
      <t>レッカ</t>
    </rPh>
    <rPh sb="5" eb="7">
      <t>オ</t>
    </rPh>
    <rPh sb="7" eb="9">
      <t>ソンショウ</t>
    </rPh>
    <rPh sb="10" eb="12">
      <t>ジョウキョウ</t>
    </rPh>
    <phoneticPr fontId="3"/>
  </si>
  <si>
    <t>鉄骨の耐火被覆の劣化及び損傷の状況</t>
    <rPh sb="0" eb="2">
      <t>テッコツ</t>
    </rPh>
    <rPh sb="3" eb="5">
      <t>タイカ</t>
    </rPh>
    <rPh sb="5" eb="7">
      <t>ヒフク</t>
    </rPh>
    <rPh sb="8" eb="10">
      <t>レッカ</t>
    </rPh>
    <rPh sb="10" eb="12">
      <t>オ</t>
    </rPh>
    <rPh sb="12" eb="14">
      <t>ソンショウ</t>
    </rPh>
    <rPh sb="15" eb="17">
      <t>ジョウキョウ</t>
    </rPh>
    <phoneticPr fontId="3"/>
  </si>
  <si>
    <t>給水管、配電管その他の管又は風道の区画貫通部の充填等の処理の状況</t>
    <rPh sb="0" eb="3">
      <t>キュウスイカン</t>
    </rPh>
    <rPh sb="4" eb="6">
      <t>ハイデン</t>
    </rPh>
    <rPh sb="6" eb="7">
      <t>カン</t>
    </rPh>
    <rPh sb="9" eb="10">
      <t>タ</t>
    </rPh>
    <rPh sb="11" eb="12">
      <t>カン</t>
    </rPh>
    <rPh sb="12" eb="13">
      <t>マタ</t>
    </rPh>
    <rPh sb="14" eb="15">
      <t>カゼ</t>
    </rPh>
    <rPh sb="15" eb="16">
      <t>ミチ</t>
    </rPh>
    <rPh sb="17" eb="19">
      <t>クカク</t>
    </rPh>
    <rPh sb="19" eb="21">
      <t>カンツウ</t>
    </rPh>
    <rPh sb="21" eb="22">
      <t>ブ</t>
    </rPh>
    <rPh sb="23" eb="25">
      <t>ジュウテン</t>
    </rPh>
    <rPh sb="25" eb="26">
      <t>トウ</t>
    </rPh>
    <rPh sb="27" eb="29">
      <t>ショリ</t>
    </rPh>
    <rPh sb="30" eb="32">
      <t>ジョウキョウ</t>
    </rPh>
    <phoneticPr fontId="3"/>
  </si>
  <si>
    <t>令第114条に規定する界壁、間仕切壁及び隔壁</t>
    <rPh sb="0" eb="1">
      <t>レイ</t>
    </rPh>
    <rPh sb="1" eb="2">
      <t>ダイ</t>
    </rPh>
    <rPh sb="5" eb="6">
      <t>ジョウ</t>
    </rPh>
    <rPh sb="7" eb="9">
      <t>キテイ</t>
    </rPh>
    <rPh sb="11" eb="12">
      <t>カイ</t>
    </rPh>
    <rPh sb="12" eb="13">
      <t>ヘキ</t>
    </rPh>
    <rPh sb="14" eb="17">
      <t>マジキ</t>
    </rPh>
    <rPh sb="17" eb="18">
      <t>カベ</t>
    </rPh>
    <rPh sb="18" eb="19">
      <t>オヨ</t>
    </rPh>
    <rPh sb="20" eb="22">
      <t>カクヘキ</t>
    </rPh>
    <phoneticPr fontId="3"/>
  </si>
  <si>
    <t>令第114条に規定する界壁、間仕切壁及び隔壁の状況</t>
    <rPh sb="0" eb="1">
      <t>レイ</t>
    </rPh>
    <rPh sb="1" eb="2">
      <t>ダイ</t>
    </rPh>
    <rPh sb="5" eb="6">
      <t>ジョウ</t>
    </rPh>
    <rPh sb="7" eb="9">
      <t>キテイ</t>
    </rPh>
    <rPh sb="11" eb="12">
      <t>カイ</t>
    </rPh>
    <rPh sb="12" eb="13">
      <t>カベ</t>
    </rPh>
    <rPh sb="14" eb="18">
      <t>マジキリカベ</t>
    </rPh>
    <rPh sb="18" eb="19">
      <t>オヨ</t>
    </rPh>
    <rPh sb="20" eb="22">
      <t>カクヘキ</t>
    </rPh>
    <rPh sb="23" eb="25">
      <t>ジョウキョウ</t>
    </rPh>
    <phoneticPr fontId="3"/>
  </si>
  <si>
    <t>室内に面する部分の仕上げの維持保全の状況</t>
    <rPh sb="0" eb="2">
      <t>シツナイ</t>
    </rPh>
    <rPh sb="3" eb="4">
      <t>メン</t>
    </rPh>
    <rPh sb="6" eb="8">
      <t>ブブン</t>
    </rPh>
    <rPh sb="9" eb="11">
      <t>シア</t>
    </rPh>
    <rPh sb="15" eb="16">
      <t>ホ</t>
    </rPh>
    <rPh sb="16" eb="17">
      <t>ゼン</t>
    </rPh>
    <rPh sb="18" eb="20">
      <t>ジョウキョウ</t>
    </rPh>
    <phoneticPr fontId="3"/>
  </si>
  <si>
    <t>木造の床躯体の劣化及び損傷の状況</t>
    <rPh sb="3" eb="4">
      <t>ユカ</t>
    </rPh>
    <rPh sb="4" eb="5">
      <t>ク</t>
    </rPh>
    <rPh sb="5" eb="6">
      <t>タイ</t>
    </rPh>
    <rPh sb="7" eb="9">
      <t>レッカ</t>
    </rPh>
    <rPh sb="9" eb="11">
      <t>オ</t>
    </rPh>
    <rPh sb="11" eb="13">
      <t>ソンショウ</t>
    </rPh>
    <rPh sb="14" eb="16">
      <t>ジョウキョウ</t>
    </rPh>
    <phoneticPr fontId="3"/>
  </si>
  <si>
    <t>鉄骨造の床躯体の劣化及び損傷の状況</t>
    <rPh sb="4" eb="5">
      <t>ユカ</t>
    </rPh>
    <rPh sb="10" eb="12">
      <t>オ</t>
    </rPh>
    <phoneticPr fontId="3"/>
  </si>
  <si>
    <t>鉄筋コンクリート造及び鉄骨鉄筋コンクリート造の床躯体の劣化及び損傷の状況</t>
    <rPh sb="8" eb="9">
      <t>ゾウ</t>
    </rPh>
    <rPh sb="9" eb="10">
      <t>オヨ</t>
    </rPh>
    <rPh sb="11" eb="13">
      <t>テッコツ</t>
    </rPh>
    <rPh sb="13" eb="15">
      <t>テッキン</t>
    </rPh>
    <rPh sb="21" eb="22">
      <t>ゾウ</t>
    </rPh>
    <rPh sb="23" eb="24">
      <t>ユカ</t>
    </rPh>
    <rPh sb="29" eb="31">
      <t>オ</t>
    </rPh>
    <phoneticPr fontId="3"/>
  </si>
  <si>
    <t>準耐火性能等の確保の状況</t>
    <rPh sb="0" eb="1">
      <t>ジュン</t>
    </rPh>
    <rPh sb="1" eb="3">
      <t>タイカ</t>
    </rPh>
    <rPh sb="3" eb="5">
      <t>セイノウ</t>
    </rPh>
    <rPh sb="5" eb="6">
      <t>トウ</t>
    </rPh>
    <rPh sb="7" eb="9">
      <t>カクホ</t>
    </rPh>
    <rPh sb="10" eb="12">
      <t>ジョウキョウ</t>
    </rPh>
    <phoneticPr fontId="3"/>
  </si>
  <si>
    <t>天井</t>
    <rPh sb="0" eb="2">
      <t>テンジョウ</t>
    </rPh>
    <phoneticPr fontId="3"/>
  </si>
  <si>
    <t>室内に面する部分の仕上げの劣化及び損傷の状況</t>
    <rPh sb="15" eb="17">
      <t>オ</t>
    </rPh>
    <phoneticPr fontId="3"/>
  </si>
  <si>
    <t>照明器具、懸垂物等の落下防止対策の状況　</t>
    <phoneticPr fontId="3"/>
  </si>
  <si>
    <t>居室の採光及び換気</t>
    <phoneticPr fontId="3"/>
  </si>
  <si>
    <t>採光のための開口部の面積の確保の状況</t>
    <phoneticPr fontId="3"/>
  </si>
  <si>
    <t>採光の妨げとなる物品の放置の状況</t>
    <phoneticPr fontId="3"/>
  </si>
  <si>
    <t>換気のための開口部の面積の確保の状況</t>
    <phoneticPr fontId="3"/>
  </si>
  <si>
    <t>換気設備の設置の状況</t>
    <phoneticPr fontId="3"/>
  </si>
  <si>
    <t>換気設備の作動の状況</t>
    <phoneticPr fontId="3"/>
  </si>
  <si>
    <t>換気の妨げとなる物品の放置の状況</t>
    <phoneticPr fontId="3"/>
  </si>
  <si>
    <t>石綿等を添加した建築材料　</t>
    <phoneticPr fontId="3"/>
  </si>
  <si>
    <t>吹付け石綿等の劣化の状況　</t>
    <rPh sb="0" eb="2">
      <t>フキツ</t>
    </rPh>
    <phoneticPr fontId="3"/>
  </si>
  <si>
    <t>除去又は囲い込み若しくは封じ込めによる飛散防止措置の実施の状況　</t>
    <rPh sb="2" eb="4">
      <t>マ</t>
    </rPh>
    <rPh sb="8" eb="9">
      <t>モ</t>
    </rPh>
    <phoneticPr fontId="3"/>
  </si>
  <si>
    <t>避難施設等</t>
    <rPh sb="0" eb="2">
      <t>ヒナン</t>
    </rPh>
    <rPh sb="2" eb="4">
      <t>シセツ</t>
    </rPh>
    <rPh sb="4" eb="5">
      <t>ナド</t>
    </rPh>
    <phoneticPr fontId="3"/>
  </si>
  <si>
    <t>廊下</t>
    <rPh sb="0" eb="2">
      <t>ロウカ</t>
    </rPh>
    <phoneticPr fontId="3"/>
  </si>
  <si>
    <t>物品の放置の状況</t>
    <rPh sb="0" eb="2">
      <t>ブッピン</t>
    </rPh>
    <rPh sb="3" eb="5">
      <t>ホウチ</t>
    </rPh>
    <rPh sb="6" eb="8">
      <t>ジョウキョウ</t>
    </rPh>
    <phoneticPr fontId="3"/>
  </si>
  <si>
    <t>出入口</t>
    <rPh sb="0" eb="2">
      <t>デイ</t>
    </rPh>
    <rPh sb="2" eb="3">
      <t>クチ</t>
    </rPh>
    <phoneticPr fontId="3"/>
  </si>
  <si>
    <t>出入口の確保の状況</t>
    <rPh sb="4" eb="6">
      <t>カクホ</t>
    </rPh>
    <rPh sb="7" eb="9">
      <t>ジョウキョウ</t>
    </rPh>
    <phoneticPr fontId="3"/>
  </si>
  <si>
    <t>屋上広場</t>
    <rPh sb="0" eb="2">
      <t>オクジョウ</t>
    </rPh>
    <rPh sb="2" eb="4">
      <t>ヒロバ</t>
    </rPh>
    <phoneticPr fontId="3"/>
  </si>
  <si>
    <t>屋上広場の確保の状況</t>
    <rPh sb="0" eb="2">
      <t>オクジョウ</t>
    </rPh>
    <rPh sb="2" eb="4">
      <t>ヒロバ</t>
    </rPh>
    <rPh sb="5" eb="7">
      <t>カクホ</t>
    </rPh>
    <rPh sb="8" eb="10">
      <t>ジョウキョウ</t>
    </rPh>
    <phoneticPr fontId="3"/>
  </si>
  <si>
    <t>避難上有効なバルコニー</t>
    <rPh sb="0" eb="2">
      <t>ヒナン</t>
    </rPh>
    <rPh sb="2" eb="3">
      <t>ジョウ</t>
    </rPh>
    <rPh sb="3" eb="5">
      <t>ユウコウ</t>
    </rPh>
    <phoneticPr fontId="3"/>
  </si>
  <si>
    <t>避難上有効なバルコニーの確保の状況</t>
    <rPh sb="0" eb="2">
      <t>ヒナン</t>
    </rPh>
    <rPh sb="2" eb="3">
      <t>ジョウ</t>
    </rPh>
    <rPh sb="3" eb="5">
      <t>ユウコウ</t>
    </rPh>
    <rPh sb="12" eb="14">
      <t>カクホ</t>
    </rPh>
    <rPh sb="15" eb="17">
      <t>ジョウキョウ</t>
    </rPh>
    <phoneticPr fontId="3"/>
  </si>
  <si>
    <t>手すり等の劣化及び損傷の状況</t>
    <rPh sb="3" eb="4">
      <t>トウ</t>
    </rPh>
    <rPh sb="5" eb="7">
      <t>レッカ</t>
    </rPh>
    <rPh sb="7" eb="9">
      <t>オ</t>
    </rPh>
    <rPh sb="9" eb="11">
      <t>ソンショウ</t>
    </rPh>
    <rPh sb="12" eb="14">
      <t>ジョウキョウ</t>
    </rPh>
    <phoneticPr fontId="3"/>
  </si>
  <si>
    <t>避難器具の操作性の確保の状況</t>
    <rPh sb="0" eb="2">
      <t>ヒナン</t>
    </rPh>
    <rPh sb="2" eb="4">
      <t>キグ</t>
    </rPh>
    <rPh sb="5" eb="8">
      <t>ソウサセイ</t>
    </rPh>
    <rPh sb="9" eb="11">
      <t>カクホ</t>
    </rPh>
    <rPh sb="12" eb="14">
      <t>ジョウキョウ</t>
    </rPh>
    <phoneticPr fontId="3"/>
  </si>
  <si>
    <t>階段</t>
    <rPh sb="0" eb="2">
      <t>カイダン</t>
    </rPh>
    <phoneticPr fontId="3"/>
  </si>
  <si>
    <t>直通階段の設置の状況</t>
    <rPh sb="0" eb="2">
      <t>チョクツウ</t>
    </rPh>
    <rPh sb="2" eb="4">
      <t>カイダン</t>
    </rPh>
    <rPh sb="5" eb="7">
      <t>セッチ</t>
    </rPh>
    <rPh sb="8" eb="10">
      <t>ジョウキョウ</t>
    </rPh>
    <phoneticPr fontId="3"/>
  </si>
  <si>
    <t>手すりの設置の状況</t>
    <rPh sb="4" eb="6">
      <t>セッチ</t>
    </rPh>
    <rPh sb="7" eb="9">
      <t>ジョウキョウ</t>
    </rPh>
    <phoneticPr fontId="3"/>
  </si>
  <si>
    <t>階段各部の劣化及び損傷の状況</t>
    <rPh sb="0" eb="2">
      <t>カイダン</t>
    </rPh>
    <rPh sb="2" eb="4">
      <t>カクブ</t>
    </rPh>
    <rPh sb="5" eb="7">
      <t>レッカ</t>
    </rPh>
    <rPh sb="7" eb="9">
      <t>オ</t>
    </rPh>
    <rPh sb="9" eb="11">
      <t>ソンショウ</t>
    </rPh>
    <rPh sb="12" eb="14">
      <t>ジョウキョウ</t>
    </rPh>
    <phoneticPr fontId="3"/>
  </si>
  <si>
    <t>屋内と階段との間の防火区画の確保の状況</t>
    <rPh sb="0" eb="2">
      <t>オクナイ</t>
    </rPh>
    <rPh sb="3" eb="5">
      <t>カイダン</t>
    </rPh>
    <rPh sb="7" eb="8">
      <t>アイダ</t>
    </rPh>
    <rPh sb="9" eb="11">
      <t>ボウカ</t>
    </rPh>
    <rPh sb="11" eb="13">
      <t>クカク</t>
    </rPh>
    <rPh sb="14" eb="16">
      <t>カクホ</t>
    </rPh>
    <rPh sb="17" eb="19">
      <t>ジョウキョウ</t>
    </rPh>
    <phoneticPr fontId="3"/>
  </si>
  <si>
    <t>開放性の確保の状況</t>
    <rPh sb="0" eb="3">
      <t>カイホウセイ</t>
    </rPh>
    <rPh sb="4" eb="6">
      <t>カクホ</t>
    </rPh>
    <rPh sb="7" eb="9">
      <t>ジョウキョウ</t>
    </rPh>
    <phoneticPr fontId="3"/>
  </si>
  <si>
    <t>特別避難階段</t>
    <rPh sb="0" eb="2">
      <t>トクベツ</t>
    </rPh>
    <rPh sb="2" eb="4">
      <t>ヒナン</t>
    </rPh>
    <rPh sb="4" eb="6">
      <t>カイダン</t>
    </rPh>
    <phoneticPr fontId="3"/>
  </si>
  <si>
    <t>バルコニー又は付室の構造及び面積の確保の状況</t>
    <rPh sb="5" eb="6">
      <t>マタ</t>
    </rPh>
    <rPh sb="7" eb="8">
      <t>ヅケ</t>
    </rPh>
    <rPh sb="8" eb="9">
      <t>シツ</t>
    </rPh>
    <rPh sb="10" eb="12">
      <t>コウゾウ</t>
    </rPh>
    <rPh sb="12" eb="13">
      <t>オヨ</t>
    </rPh>
    <rPh sb="14" eb="16">
      <t>メンセキ</t>
    </rPh>
    <rPh sb="17" eb="19">
      <t>カクホ</t>
    </rPh>
    <rPh sb="20" eb="22">
      <t>ジョウキョウ</t>
    </rPh>
    <phoneticPr fontId="3"/>
  </si>
  <si>
    <t>排煙設備等</t>
    <rPh sb="4" eb="5">
      <t>トウ</t>
    </rPh>
    <phoneticPr fontId="3"/>
  </si>
  <si>
    <t>防煙壁</t>
    <rPh sb="0" eb="1">
      <t>ボウ</t>
    </rPh>
    <rPh sb="1" eb="2">
      <t>エン</t>
    </rPh>
    <rPh sb="2" eb="3">
      <t>ヘキ</t>
    </rPh>
    <phoneticPr fontId="3"/>
  </si>
  <si>
    <t>防煙区画の設置の状況</t>
    <rPh sb="5" eb="7">
      <t>セッチ</t>
    </rPh>
    <rPh sb="8" eb="9">
      <t>ジョウ</t>
    </rPh>
    <phoneticPr fontId="3"/>
  </si>
  <si>
    <t>排煙設備</t>
    <rPh sb="0" eb="2">
      <t>ハイエン</t>
    </rPh>
    <rPh sb="2" eb="4">
      <t>セツビ</t>
    </rPh>
    <phoneticPr fontId="3"/>
  </si>
  <si>
    <t>排煙設備の設置の状況</t>
    <rPh sb="8" eb="9">
      <t>ジョウ</t>
    </rPh>
    <phoneticPr fontId="3"/>
  </si>
  <si>
    <t>排煙設備の作動の状況</t>
    <rPh sb="0" eb="2">
      <t>ハイエン</t>
    </rPh>
    <rPh sb="2" eb="4">
      <t>セツビ</t>
    </rPh>
    <rPh sb="5" eb="7">
      <t>サドウ</t>
    </rPh>
    <rPh sb="8" eb="10">
      <t>ジョウキョウ</t>
    </rPh>
    <phoneticPr fontId="3"/>
  </si>
  <si>
    <t>非常用の進入口等</t>
    <phoneticPr fontId="3"/>
  </si>
  <si>
    <t>非常用の進入口等の設置の状況</t>
    <phoneticPr fontId="3"/>
  </si>
  <si>
    <t>非常用の進入口等の維持保全の状況</t>
    <phoneticPr fontId="3"/>
  </si>
  <si>
    <t>非常用エレベーターの作動の状況</t>
    <rPh sb="0" eb="3">
      <t>ヒジョウヨウ</t>
    </rPh>
    <rPh sb="10" eb="12">
      <t>サドウ</t>
    </rPh>
    <rPh sb="13" eb="15">
      <t>ジョウキョウ</t>
    </rPh>
    <phoneticPr fontId="3"/>
  </si>
  <si>
    <t>非常用の照明装置の作動の状況</t>
    <rPh sb="0" eb="3">
      <t>ヒジョウヨウ</t>
    </rPh>
    <rPh sb="4" eb="6">
      <t>ショウメイ</t>
    </rPh>
    <rPh sb="6" eb="8">
      <t>ソウチ</t>
    </rPh>
    <rPh sb="9" eb="11">
      <t>サドウ</t>
    </rPh>
    <rPh sb="12" eb="14">
      <t>ジョウキョウ</t>
    </rPh>
    <phoneticPr fontId="3"/>
  </si>
  <si>
    <t>照明の妨げとなる物品の放置の状況</t>
    <rPh sb="0" eb="2">
      <t>ショウメイ</t>
    </rPh>
    <phoneticPr fontId="3"/>
  </si>
  <si>
    <t>その他</t>
    <rPh sb="2" eb="3">
      <t>タ</t>
    </rPh>
    <phoneticPr fontId="3"/>
  </si>
  <si>
    <t>膜構造建築物の膜体、取付部材等</t>
    <rPh sb="0" eb="1">
      <t>マク</t>
    </rPh>
    <rPh sb="1" eb="3">
      <t>コウゾウ</t>
    </rPh>
    <rPh sb="3" eb="6">
      <t>ケンチクブツ</t>
    </rPh>
    <phoneticPr fontId="3"/>
  </si>
  <si>
    <t>膜体及び取付部材の劣化及び損傷の状況</t>
    <rPh sb="9" eb="11">
      <t>レッカ</t>
    </rPh>
    <rPh sb="11" eb="13">
      <t>オ</t>
    </rPh>
    <phoneticPr fontId="3"/>
  </si>
  <si>
    <t>免震装置の劣化及び損傷の状況（免震装置が可視状態にある場合に限る。）</t>
    <rPh sb="5" eb="7">
      <t>レッカ</t>
    </rPh>
    <rPh sb="7" eb="9">
      <t>オ</t>
    </rPh>
    <rPh sb="30" eb="31">
      <t>カギ</t>
    </rPh>
    <phoneticPr fontId="3"/>
  </si>
  <si>
    <t>避雷設備</t>
    <rPh sb="0" eb="1">
      <t>サ</t>
    </rPh>
    <rPh sb="1" eb="2">
      <t>カミナリ</t>
    </rPh>
    <rPh sb="2" eb="4">
      <t>セツビ</t>
    </rPh>
    <phoneticPr fontId="3"/>
  </si>
  <si>
    <t>避雷針、避雷導線等の劣化及び損傷の状況</t>
    <rPh sb="0" eb="3">
      <t>ヒライシン</t>
    </rPh>
    <rPh sb="4" eb="5">
      <t>サ</t>
    </rPh>
    <rPh sb="5" eb="6">
      <t>カミナリ</t>
    </rPh>
    <rPh sb="6" eb="8">
      <t>ドウセン</t>
    </rPh>
    <rPh sb="12" eb="14">
      <t>オ</t>
    </rPh>
    <phoneticPr fontId="3"/>
  </si>
  <si>
    <t>煙突</t>
    <rPh sb="0" eb="2">
      <t>エントツ</t>
    </rPh>
    <phoneticPr fontId="3"/>
  </si>
  <si>
    <t>建築物に設ける煙突</t>
    <rPh sb="0" eb="3">
      <t>ケンチクブツ</t>
    </rPh>
    <rPh sb="4" eb="5">
      <t>モウ</t>
    </rPh>
    <rPh sb="7" eb="9">
      <t>エントツ</t>
    </rPh>
    <phoneticPr fontId="3"/>
  </si>
  <si>
    <t>煙突本体及び建築物との接合部の劣化及び損傷の状況</t>
    <rPh sb="2" eb="4">
      <t>ホンタイ</t>
    </rPh>
    <rPh sb="4" eb="5">
      <t>オヨ</t>
    </rPh>
    <rPh sb="7" eb="8">
      <t>チク</t>
    </rPh>
    <rPh sb="17" eb="19">
      <t>オ</t>
    </rPh>
    <phoneticPr fontId="3"/>
  </si>
  <si>
    <t>付帯金物の劣化及び損傷の状況</t>
    <rPh sb="0" eb="2">
      <t>フタイ</t>
    </rPh>
    <rPh sb="2" eb="4">
      <t>カナモノ</t>
    </rPh>
    <rPh sb="5" eb="7">
      <t>レッカ</t>
    </rPh>
    <rPh sb="7" eb="9">
      <t>オ</t>
    </rPh>
    <rPh sb="9" eb="11">
      <t>ソンショウ</t>
    </rPh>
    <rPh sb="12" eb="14">
      <t>ジョウキョウ</t>
    </rPh>
    <phoneticPr fontId="3"/>
  </si>
  <si>
    <t>煙突本体の劣化及び損傷の状況</t>
    <rPh sb="0" eb="2">
      <t>エントツ</t>
    </rPh>
    <rPh sb="2" eb="4">
      <t>ホンタイ</t>
    </rPh>
    <rPh sb="5" eb="7">
      <t>レッカ</t>
    </rPh>
    <rPh sb="7" eb="9">
      <t>オ</t>
    </rPh>
    <rPh sb="9" eb="11">
      <t>ソンショウ</t>
    </rPh>
    <rPh sb="12" eb="14">
      <t>ジョウキョウ</t>
    </rPh>
    <phoneticPr fontId="3"/>
  </si>
  <si>
    <t>上記以外の調査項目</t>
    <rPh sb="0" eb="2">
      <t>ジョウキ</t>
    </rPh>
    <rPh sb="2" eb="4">
      <t>イガイ</t>
    </rPh>
    <rPh sb="5" eb="7">
      <t>チョウサ</t>
    </rPh>
    <rPh sb="7" eb="9">
      <t>コウモク</t>
    </rPh>
    <phoneticPr fontId="3"/>
  </si>
  <si>
    <t>指摘の具体的内容等</t>
    <rPh sb="0" eb="2">
      <t>シテキ</t>
    </rPh>
    <rPh sb="8" eb="9">
      <t>トウ</t>
    </rPh>
    <phoneticPr fontId="3"/>
  </si>
  <si>
    <t>（注意）</t>
    <rPh sb="1" eb="3">
      <t>チュウイ</t>
    </rPh>
    <phoneticPr fontId="3"/>
  </si>
  <si>
    <t>①</t>
    <phoneticPr fontId="3"/>
  </si>
  <si>
    <t>③</t>
    <phoneticPr fontId="3"/>
  </si>
  <si>
    <t>添</t>
    <rPh sb="0" eb="1">
      <t>テン</t>
    </rPh>
    <phoneticPr fontId="3"/>
  </si>
  <si>
    <t>部位</t>
    <rPh sb="0" eb="2">
      <t>ブイ</t>
    </rPh>
    <phoneticPr fontId="3"/>
  </si>
  <si>
    <t>番号</t>
    <rPh sb="0" eb="1">
      <t>バン</t>
    </rPh>
    <rPh sb="1" eb="2">
      <t>ゴウ</t>
    </rPh>
    <phoneticPr fontId="3"/>
  </si>
  <si>
    <t>目</t>
    <rPh sb="0" eb="1">
      <t>モク</t>
    </rPh>
    <phoneticPr fontId="3"/>
  </si>
  <si>
    <t>写真添付</t>
    <rPh sb="0" eb="2">
      <t>シャシン</t>
    </rPh>
    <rPh sb="2" eb="4">
      <t>テンプ</t>
    </rPh>
    <phoneticPr fontId="3"/>
  </si>
  <si>
    <t>②</t>
    <phoneticPr fontId="3"/>
  </si>
  <si>
    <t>　記入欄が不足する場合は、枠を拡大、行を追加して記入するか、別紙に必要な事項を記入して添えてください。</t>
    <rPh sb="1" eb="3">
      <t>キニュウ</t>
    </rPh>
    <rPh sb="3" eb="4">
      <t>ラン</t>
    </rPh>
    <rPh sb="5" eb="7">
      <t>フソク</t>
    </rPh>
    <rPh sb="9" eb="11">
      <t>バアイ</t>
    </rPh>
    <rPh sb="13" eb="14">
      <t>ワク</t>
    </rPh>
    <rPh sb="15" eb="17">
      <t>カクダイ</t>
    </rPh>
    <rPh sb="18" eb="19">
      <t>ギョウ</t>
    </rPh>
    <rPh sb="20" eb="22">
      <t>ツイカ</t>
    </rPh>
    <rPh sb="24" eb="26">
      <t>キニュウ</t>
    </rPh>
    <rPh sb="30" eb="32">
      <t>ベッシ</t>
    </rPh>
    <rPh sb="33" eb="35">
      <t>ヒツヨウ</t>
    </rPh>
    <rPh sb="36" eb="38">
      <t>ジコウ</t>
    </rPh>
    <rPh sb="39" eb="41">
      <t>キニュウ</t>
    </rPh>
    <rPh sb="43" eb="44">
      <t>ソ</t>
    </rPh>
    <phoneticPr fontId="3"/>
  </si>
  <si>
    <t>④</t>
    <phoneticPr fontId="3"/>
  </si>
  <si>
    <t>外壁</t>
    <phoneticPr fontId="3"/>
  </si>
  <si>
    <t>壁の室内に面する部分</t>
    <phoneticPr fontId="3"/>
  </si>
  <si>
    <t>月</t>
    <rPh sb="0" eb="1">
      <t>ガツ</t>
    </rPh>
    <phoneticPr fontId="3"/>
  </si>
  <si>
    <t>日</t>
    <rPh sb="0" eb="1">
      <t>ニチ</t>
    </rPh>
    <phoneticPr fontId="3"/>
  </si>
  <si>
    <t>その他の設備等</t>
    <phoneticPr fontId="3"/>
  </si>
  <si>
    <t>非常用エレベーター</t>
    <phoneticPr fontId="3"/>
  </si>
  <si>
    <t>土台（木造に限る。）</t>
    <rPh sb="0" eb="2">
      <t>ドダイ</t>
    </rPh>
    <rPh sb="3" eb="5">
      <t>モクゾウ</t>
    </rPh>
    <rPh sb="6" eb="7">
      <t>カギ</t>
    </rPh>
    <phoneticPr fontId="3"/>
  </si>
  <si>
    <t>屋根（屋上面を除く。）</t>
    <rPh sb="0" eb="2">
      <t>ヤネ</t>
    </rPh>
    <rPh sb="3" eb="5">
      <t>オクジョウ</t>
    </rPh>
    <rPh sb="5" eb="6">
      <t>メン</t>
    </rPh>
    <rPh sb="7" eb="8">
      <t>ノゾ</t>
    </rPh>
    <phoneticPr fontId="3"/>
  </si>
  <si>
    <t>　この書類は、調査の結果、「要是正」かつ「既存不適格」ではない項目について作成してください。また、「既存不適格」及</t>
    <rPh sb="3" eb="5">
      <t>ショルイ</t>
    </rPh>
    <rPh sb="7" eb="9">
      <t>チョウサ</t>
    </rPh>
    <rPh sb="10" eb="12">
      <t>ケッカ</t>
    </rPh>
    <rPh sb="14" eb="15">
      <t>ヨウ</t>
    </rPh>
    <rPh sb="15" eb="17">
      <t>ゼセイ</t>
    </rPh>
    <rPh sb="21" eb="23">
      <t>キソン</t>
    </rPh>
    <rPh sb="23" eb="26">
      <t>フテキカク</t>
    </rPh>
    <rPh sb="31" eb="33">
      <t>コウモク</t>
    </rPh>
    <rPh sb="37" eb="39">
      <t>サクセイ</t>
    </rPh>
    <rPh sb="50" eb="52">
      <t>キソン</t>
    </rPh>
    <rPh sb="52" eb="54">
      <t>フテキ</t>
    </rPh>
    <phoneticPr fontId="3"/>
  </si>
  <si>
    <t>び「指摘なし」の項目についても、特記すべき事項があれば、必要に応じて作成してください。「要是正」の項目がない場合</t>
    <rPh sb="2" eb="4">
      <t>シテキ</t>
    </rPh>
    <rPh sb="8" eb="10">
      <t>コウモク</t>
    </rPh>
    <rPh sb="16" eb="18">
      <t>トッキ</t>
    </rPh>
    <rPh sb="21" eb="23">
      <t>ジコウ</t>
    </rPh>
    <rPh sb="28" eb="30">
      <t>ヒツヨウ</t>
    </rPh>
    <rPh sb="31" eb="32">
      <t>オウ</t>
    </rPh>
    <rPh sb="34" eb="36">
      <t>サクセイ</t>
    </rPh>
    <rPh sb="44" eb="45">
      <t>ヨウ</t>
    </rPh>
    <rPh sb="45" eb="46">
      <t>ゼ</t>
    </rPh>
    <rPh sb="46" eb="47">
      <t>セイ</t>
    </rPh>
    <rPh sb="49" eb="51">
      <t>コウモク</t>
    </rPh>
    <phoneticPr fontId="3"/>
  </si>
  <si>
    <t>は、この書類は省略してもかまいません。</t>
    <rPh sb="4" eb="6">
      <t>ショルイ</t>
    </rPh>
    <rPh sb="7" eb="9">
      <t>ショウリャク</t>
    </rPh>
    <phoneticPr fontId="3"/>
  </si>
  <si>
    <t>　「調査結果」欄は、調査の結果、要是正の指摘があった場合は「要是正」のチェックボックスに「✓」マークを入れ、それ以</t>
    <rPh sb="2" eb="4">
      <t>チョウサ</t>
    </rPh>
    <rPh sb="4" eb="6">
      <t>ケッカ</t>
    </rPh>
    <rPh sb="7" eb="8">
      <t>ラン</t>
    </rPh>
    <rPh sb="10" eb="12">
      <t>チョウサ</t>
    </rPh>
    <rPh sb="13" eb="15">
      <t>ケッカ</t>
    </rPh>
    <rPh sb="16" eb="17">
      <t>ヨウ</t>
    </rPh>
    <rPh sb="17" eb="19">
      <t>ゼセイ</t>
    </rPh>
    <rPh sb="20" eb="22">
      <t>シテキ</t>
    </rPh>
    <rPh sb="26" eb="28">
      <t>バアイ</t>
    </rPh>
    <rPh sb="30" eb="31">
      <t>ヨウ</t>
    </rPh>
    <rPh sb="31" eb="33">
      <t>ゼセイ</t>
    </rPh>
    <rPh sb="51" eb="52">
      <t>イ</t>
    </rPh>
    <rPh sb="56" eb="57">
      <t>イ</t>
    </rPh>
    <phoneticPr fontId="3"/>
  </si>
  <si>
    <t>外の場合で特記すべき事項がある場合は「その他」のチェックボックスに「✓」マークを入れてください。</t>
    <rPh sb="2" eb="4">
      <t>バアイ</t>
    </rPh>
    <rPh sb="5" eb="7">
      <t>トッキ</t>
    </rPh>
    <rPh sb="10" eb="12">
      <t>ジコウ</t>
    </rPh>
    <rPh sb="15" eb="17">
      <t>バアイ</t>
    </rPh>
    <rPh sb="21" eb="22">
      <t>タ</t>
    </rPh>
    <rPh sb="40" eb="41">
      <t>イ</t>
    </rPh>
    <phoneticPr fontId="3"/>
  </si>
  <si>
    <t>関係写真</t>
    <rPh sb="0" eb="2">
      <t>カンケイ</t>
    </rPh>
    <rPh sb="2" eb="4">
      <t>シャシン</t>
    </rPh>
    <phoneticPr fontId="3"/>
  </si>
  <si>
    <t>A</t>
    <phoneticPr fontId="3"/>
  </si>
  <si>
    <t>工業専用地域</t>
    <rPh sb="0" eb="2">
      <t>コウギョウ</t>
    </rPh>
    <rPh sb="2" eb="4">
      <t>センヨウ</t>
    </rPh>
    <rPh sb="4" eb="6">
      <t>チイキ</t>
    </rPh>
    <phoneticPr fontId="3"/>
  </si>
  <si>
    <t>特定天井</t>
    <rPh sb="0" eb="2">
      <t>トクテイ</t>
    </rPh>
    <rPh sb="2" eb="4">
      <t>テンジョウ</t>
    </rPh>
    <phoneticPr fontId="3"/>
  </si>
  <si>
    <t>特定天井の天井材の劣化及び損傷の状況</t>
    <rPh sb="0" eb="2">
      <t>トクテイ</t>
    </rPh>
    <rPh sb="2" eb="4">
      <t>テンジョウ</t>
    </rPh>
    <rPh sb="5" eb="7">
      <t>テンジョウ</t>
    </rPh>
    <rPh sb="7" eb="8">
      <t>ザイ</t>
    </rPh>
    <rPh sb="9" eb="11">
      <t>レッカ</t>
    </rPh>
    <rPh sb="11" eb="12">
      <t>オヨ</t>
    </rPh>
    <rPh sb="13" eb="15">
      <t>ソンショウ</t>
    </rPh>
    <rPh sb="16" eb="18">
      <t>ジョウキョウ</t>
    </rPh>
    <phoneticPr fontId="3"/>
  </si>
  <si>
    <t>□</t>
    <phoneticPr fontId="3"/>
  </si>
  <si>
    <t>物品の放置の状況</t>
    <phoneticPr fontId="3"/>
  </si>
  <si>
    <t>非常用の照明装置</t>
    <phoneticPr fontId="3"/>
  </si>
  <si>
    <t>非常用の照明装置の設置の状況</t>
    <phoneticPr fontId="3"/>
  </si>
  <si>
    <t>特殊な構造等</t>
    <phoneticPr fontId="3"/>
  </si>
  <si>
    <t>膜張力及びケーブル張力の状況</t>
    <phoneticPr fontId="3"/>
  </si>
  <si>
    <t>免震構造建築物の免震層及び免震装置</t>
    <phoneticPr fontId="3"/>
  </si>
  <si>
    <t>上部構造の可動の状況</t>
    <phoneticPr fontId="3"/>
  </si>
  <si>
    <t>改善策の具体的内容等</t>
    <rPh sb="9" eb="10">
      <t>トウ</t>
    </rPh>
    <phoneticPr fontId="3"/>
  </si>
  <si>
    <t>令第138条第１項第１号に掲げる煙突</t>
    <rPh sb="0" eb="1">
      <t>レイ</t>
    </rPh>
    <rPh sb="1" eb="2">
      <t>ダイ</t>
    </rPh>
    <rPh sb="5" eb="6">
      <t>ジョウ</t>
    </rPh>
    <rPh sb="6" eb="7">
      <t>ダイ</t>
    </rPh>
    <rPh sb="8" eb="9">
      <t>コウ</t>
    </rPh>
    <rPh sb="9" eb="10">
      <t>ダイ</t>
    </rPh>
    <rPh sb="11" eb="12">
      <t>ゴウ</t>
    </rPh>
    <rPh sb="13" eb="14">
      <t>カカ</t>
    </rPh>
    <phoneticPr fontId="3"/>
  </si>
  <si>
    <t>乗降ロビーの付室の外気に向かって開くことができる窓の状況</t>
    <rPh sb="0" eb="2">
      <t>ジョウコウ</t>
    </rPh>
    <rPh sb="6" eb="7">
      <t>フ</t>
    </rPh>
    <rPh sb="7" eb="8">
      <t>シツ</t>
    </rPh>
    <rPh sb="26" eb="28">
      <t>ジョウキョウ</t>
    </rPh>
    <phoneticPr fontId="3"/>
  </si>
  <si>
    <t>乗降ロビー等の排煙設備の作動の状況</t>
    <rPh sb="0" eb="2">
      <t>ジョウコウ</t>
    </rPh>
    <rPh sb="5" eb="6">
      <t>トウ</t>
    </rPh>
    <rPh sb="7" eb="9">
      <t>ハイエン</t>
    </rPh>
    <rPh sb="9" eb="11">
      <t>セツビ</t>
    </rPh>
    <rPh sb="12" eb="14">
      <t>サドウ</t>
    </rPh>
    <rPh sb="15" eb="17">
      <t>ジョウキョウ</t>
    </rPh>
    <phoneticPr fontId="3"/>
  </si>
  <si>
    <t>乗降ロビー等の排煙設備の設置の状況</t>
    <rPh sb="5" eb="6">
      <t>トウ</t>
    </rPh>
    <phoneticPr fontId="3"/>
  </si>
  <si>
    <t>自然排煙口の維持保全の状況</t>
    <phoneticPr fontId="3"/>
  </si>
  <si>
    <t>可動式防煙垂れ壁の作動の状況</t>
    <rPh sb="9" eb="11">
      <t>サドウ</t>
    </rPh>
    <rPh sb="12" eb="14">
      <t>ジョウキョウ</t>
    </rPh>
    <phoneticPr fontId="3"/>
  </si>
  <si>
    <t>防煙垂れ壁の劣化及び損傷の状況</t>
    <rPh sb="6" eb="8">
      <t>レッカ</t>
    </rPh>
    <rPh sb="8" eb="10">
      <t>オ</t>
    </rPh>
    <phoneticPr fontId="3"/>
  </si>
  <si>
    <t>付室等の外気に向かって開くことができる窓の状況</t>
    <rPh sb="0" eb="1">
      <t>フ</t>
    </rPh>
    <rPh sb="1" eb="2">
      <t>シツ</t>
    </rPh>
    <rPh sb="2" eb="3">
      <t>トウ</t>
    </rPh>
    <rPh sb="4" eb="6">
      <t>ガイキ</t>
    </rPh>
    <rPh sb="7" eb="8">
      <t>ム</t>
    </rPh>
    <rPh sb="11" eb="12">
      <t>ヒラ</t>
    </rPh>
    <rPh sb="19" eb="20">
      <t>マド</t>
    </rPh>
    <rPh sb="21" eb="23">
      <t>ジョウキョウ</t>
    </rPh>
    <phoneticPr fontId="3"/>
  </si>
  <si>
    <t>付室等の排煙設備の作動の状況</t>
    <rPh sb="0" eb="1">
      <t>フ</t>
    </rPh>
    <rPh sb="1" eb="2">
      <t>シツ</t>
    </rPh>
    <rPh sb="2" eb="3">
      <t>トウ</t>
    </rPh>
    <rPh sb="4" eb="6">
      <t>ハイエン</t>
    </rPh>
    <rPh sb="6" eb="8">
      <t>セツビ</t>
    </rPh>
    <rPh sb="9" eb="11">
      <t>サドウ</t>
    </rPh>
    <rPh sb="12" eb="14">
      <t>ジョウキョウ</t>
    </rPh>
    <phoneticPr fontId="3"/>
  </si>
  <si>
    <t>付室等の排煙設備の設置の状況</t>
    <rPh sb="0" eb="1">
      <t>フ</t>
    </rPh>
    <rPh sb="1" eb="2">
      <t>シツ</t>
    </rPh>
    <rPh sb="2" eb="3">
      <t>トウ</t>
    </rPh>
    <rPh sb="4" eb="6">
      <t>ハイエン</t>
    </rPh>
    <rPh sb="6" eb="8">
      <t>セツビ</t>
    </rPh>
    <rPh sb="9" eb="11">
      <t>セッチ</t>
    </rPh>
    <rPh sb="12" eb="14">
      <t>ジョウキョウ</t>
    </rPh>
    <phoneticPr fontId="3"/>
  </si>
  <si>
    <t>屋外に設けられた避難階段</t>
    <rPh sb="0" eb="2">
      <t>オクガイ</t>
    </rPh>
    <rPh sb="3" eb="4">
      <t>モウ</t>
    </rPh>
    <rPh sb="8" eb="10">
      <t>ヒナン</t>
    </rPh>
    <rPh sb="10" eb="12">
      <t>カイダン</t>
    </rPh>
    <phoneticPr fontId="3"/>
  </si>
  <si>
    <t>階段室の構造の確保の状況</t>
    <rPh sb="0" eb="3">
      <t>カイダンシツ</t>
    </rPh>
    <rPh sb="4" eb="6">
      <t>コウゾウ</t>
    </rPh>
    <rPh sb="7" eb="9">
      <t>カクホ</t>
    </rPh>
    <rPh sb="10" eb="12">
      <t>ジョウキョウ</t>
    </rPh>
    <phoneticPr fontId="3"/>
  </si>
  <si>
    <t>屋内に設けられた避難階段</t>
    <rPh sb="0" eb="2">
      <t>オクナイ</t>
    </rPh>
    <rPh sb="3" eb="4">
      <t>モウ</t>
    </rPh>
    <rPh sb="8" eb="10">
      <t>ヒナン</t>
    </rPh>
    <rPh sb="10" eb="12">
      <t>カイダン</t>
    </rPh>
    <phoneticPr fontId="3"/>
  </si>
  <si>
    <t>幅員の確保の状況</t>
    <rPh sb="0" eb="2">
      <t>フクイン</t>
    </rPh>
    <rPh sb="3" eb="5">
      <t>カクホ</t>
    </rPh>
    <rPh sb="6" eb="8">
      <t>ジョウキョウ</t>
    </rPh>
    <phoneticPr fontId="3"/>
  </si>
  <si>
    <t xml:space="preserve">幅員の確保の状況
</t>
    <rPh sb="0" eb="1">
      <t>ハバ</t>
    </rPh>
    <rPh sb="1" eb="2">
      <t>イン</t>
    </rPh>
    <rPh sb="3" eb="5">
      <t>カクホ</t>
    </rPh>
    <rPh sb="6" eb="8">
      <t>ジョウキョウ</t>
    </rPh>
    <phoneticPr fontId="3"/>
  </si>
  <si>
    <t>令第120条第２項に規定する通路の確保の状況</t>
    <rPh sb="0" eb="1">
      <t>レイ</t>
    </rPh>
    <rPh sb="1" eb="2">
      <t>ダイ</t>
    </rPh>
    <rPh sb="5" eb="6">
      <t>ジョウ</t>
    </rPh>
    <rPh sb="6" eb="7">
      <t>ダイ</t>
    </rPh>
    <rPh sb="8" eb="9">
      <t>コウ</t>
    </rPh>
    <rPh sb="10" eb="12">
      <t>キテイ</t>
    </rPh>
    <rPh sb="14" eb="16">
      <t>ツウロ</t>
    </rPh>
    <rPh sb="17" eb="19">
      <t>カクホ</t>
    </rPh>
    <rPh sb="20" eb="22">
      <t>ジョウキョウ</t>
    </rPh>
    <phoneticPr fontId="3"/>
  </si>
  <si>
    <t>令第120条第２項に規定する通路</t>
    <rPh sb="0" eb="1">
      <t>レイ</t>
    </rPh>
    <rPh sb="1" eb="2">
      <t>ダイ</t>
    </rPh>
    <rPh sb="5" eb="6">
      <t>ジョウ</t>
    </rPh>
    <rPh sb="6" eb="7">
      <t>ダイ</t>
    </rPh>
    <rPh sb="8" eb="9">
      <t>コウ</t>
    </rPh>
    <rPh sb="10" eb="12">
      <t>キテイ</t>
    </rPh>
    <rPh sb="14" eb="16">
      <t>ツウロ</t>
    </rPh>
    <phoneticPr fontId="3"/>
  </si>
  <si>
    <t>吹付け石綿及び吹付けロックウールでその含有する石綿の重量が当該建築材料の重量の0.1パーセントを超えるもの（以下「吹付け石綿等」という。）の使用の状況</t>
    <rPh sb="36" eb="38">
      <t>ジュウリョウ</t>
    </rPh>
    <rPh sb="57" eb="59">
      <t>フキツ</t>
    </rPh>
    <phoneticPr fontId="3"/>
  </si>
  <si>
    <t>照明器具、懸垂物等</t>
    <rPh sb="0" eb="2">
      <t>ショウメイ</t>
    </rPh>
    <rPh sb="2" eb="4">
      <t>キグ</t>
    </rPh>
    <rPh sb="5" eb="7">
      <t>ケンスイ</t>
    </rPh>
    <rPh sb="7" eb="9">
      <t>ブツナド</t>
    </rPh>
    <phoneticPr fontId="3"/>
  </si>
  <si>
    <t>昭和48年建設省告示第2563号第１第１号ロに規定する基準への適合の状況</t>
    <phoneticPr fontId="3"/>
  </si>
  <si>
    <t>室内に面する部分の仕上げの維持保全の状況</t>
    <rPh sb="15" eb="16">
      <t>ホ</t>
    </rPh>
    <rPh sb="16" eb="17">
      <t>ゼン</t>
    </rPh>
    <rPh sb="18" eb="20">
      <t>ジョウキョウ</t>
    </rPh>
    <phoneticPr fontId="3"/>
  </si>
  <si>
    <t>令第128条の5各項に規定する建築物の天井の室内に面する部分</t>
    <rPh sb="0" eb="1">
      <t>レイ</t>
    </rPh>
    <rPh sb="11" eb="13">
      <t>キテイ</t>
    </rPh>
    <rPh sb="15" eb="18">
      <t>ケンチクブツ</t>
    </rPh>
    <rPh sb="19" eb="21">
      <t>テンジョウ</t>
    </rPh>
    <rPh sb="22" eb="24">
      <t>シツナイ</t>
    </rPh>
    <rPh sb="25" eb="26">
      <t>メン</t>
    </rPh>
    <rPh sb="28" eb="30">
      <t>ブブン</t>
    </rPh>
    <phoneticPr fontId="3"/>
  </si>
  <si>
    <t>令第128条の5各項に規定する建築物の壁の室内に面する部分</t>
    <rPh sb="0" eb="1">
      <t>レイ</t>
    </rPh>
    <rPh sb="11" eb="13">
      <t>キテイ</t>
    </rPh>
    <rPh sb="15" eb="18">
      <t>ケンチクブツ</t>
    </rPh>
    <rPh sb="19" eb="20">
      <t>カベ</t>
    </rPh>
    <rPh sb="21" eb="23">
      <t>シツナイ</t>
    </rPh>
    <rPh sb="24" eb="25">
      <t>メン</t>
    </rPh>
    <rPh sb="27" eb="29">
      <t>ブブン</t>
    </rPh>
    <phoneticPr fontId="3"/>
  </si>
  <si>
    <t>機器及び工作物（冷却等設備、広告塔等）</t>
    <rPh sb="0" eb="2">
      <t>キキ</t>
    </rPh>
    <rPh sb="2" eb="3">
      <t>オヨ</t>
    </rPh>
    <rPh sb="4" eb="7">
      <t>コウサクブツ</t>
    </rPh>
    <rPh sb="8" eb="10">
      <t>レイキャク</t>
    </rPh>
    <rPh sb="10" eb="11">
      <t>トウ</t>
    </rPh>
    <rPh sb="11" eb="13">
      <t>セツビ</t>
    </rPh>
    <rPh sb="14" eb="17">
      <t>コウコクトウ</t>
    </rPh>
    <rPh sb="17" eb="18">
      <t>ナド</t>
    </rPh>
    <phoneticPr fontId="3"/>
  </si>
  <si>
    <t>排水溝（ドレーンを含む。）の劣化及び損傷の状況</t>
    <rPh sb="14" eb="16">
      <t>レッカ</t>
    </rPh>
    <rPh sb="16" eb="18">
      <t>オ</t>
    </rPh>
    <rPh sb="18" eb="20">
      <t>ソンショウ</t>
    </rPh>
    <rPh sb="21" eb="23">
      <t>ジョウキョウ</t>
    </rPh>
    <phoneticPr fontId="3"/>
  </si>
  <si>
    <t>屋上周り（屋上面を除く。）</t>
    <rPh sb="0" eb="2">
      <t>オクジョウ</t>
    </rPh>
    <rPh sb="2" eb="3">
      <t>マワ</t>
    </rPh>
    <rPh sb="5" eb="7">
      <t>オクジョウ</t>
    </rPh>
    <rPh sb="7" eb="8">
      <t>メン</t>
    </rPh>
    <rPh sb="9" eb="10">
      <t>ノゾ</t>
    </rPh>
    <phoneticPr fontId="3"/>
  </si>
  <si>
    <t>タイル、石貼り等（乾式工法によるものを除く。）、モルタル等の劣化及び損傷の状況</t>
    <rPh sb="9" eb="11">
      <t>カンシキ</t>
    </rPh>
    <rPh sb="11" eb="13">
      <t>コウホウ</t>
    </rPh>
    <rPh sb="19" eb="20">
      <t>ノゾ</t>
    </rPh>
    <rPh sb="28" eb="29">
      <t>トウ</t>
    </rPh>
    <rPh sb="30" eb="32">
      <t>レッカ</t>
    </rPh>
    <rPh sb="32" eb="34">
      <t>オ</t>
    </rPh>
    <rPh sb="34" eb="36">
      <t>ソンショウ</t>
    </rPh>
    <rPh sb="37" eb="39">
      <t>ジョウキョウ</t>
    </rPh>
    <phoneticPr fontId="3"/>
  </si>
  <si>
    <t>地盤沈下等による不陸、傾斜等の状況</t>
    <rPh sb="4" eb="5">
      <t>トウ</t>
    </rPh>
    <rPh sb="9" eb="10">
      <t>リク</t>
    </rPh>
    <rPh sb="11" eb="13">
      <t>ケイシャ</t>
    </rPh>
    <phoneticPr fontId="3"/>
  </si>
  <si>
    <t>その他の調査者</t>
    <rPh sb="2" eb="3">
      <t>タ</t>
    </rPh>
    <rPh sb="4" eb="7">
      <t>チョウサシャ</t>
    </rPh>
    <phoneticPr fontId="3"/>
  </si>
  <si>
    <t>代表となる調査者</t>
    <rPh sb="0" eb="2">
      <t>ダイヒョウ</t>
    </rPh>
    <rPh sb="5" eb="8">
      <t>チョウサシャ</t>
    </rPh>
    <phoneticPr fontId="3"/>
  </si>
  <si>
    <t>囲い込み又は封じ込めによる飛散防止措置の劣化及び損傷の状況　</t>
    <phoneticPr fontId="3"/>
  </si>
  <si>
    <t>無</t>
    <rPh sb="0" eb="1">
      <t>ナ</t>
    </rPh>
    <phoneticPr fontId="3"/>
  </si>
  <si>
    <t>令第112条第11項から第13項までに規定する区画の状況</t>
    <rPh sb="12" eb="13">
      <t>ダイ</t>
    </rPh>
    <rPh sb="15" eb="16">
      <t>コウ</t>
    </rPh>
    <phoneticPr fontId="3"/>
  </si>
  <si>
    <t>令第112条第1項、第4項、第5項又は第7項から第10項までの各項に規定する区画の状況</t>
    <rPh sb="10" eb="11">
      <t>ダイ</t>
    </rPh>
    <rPh sb="12" eb="13">
      <t>コウ</t>
    </rPh>
    <rPh sb="14" eb="15">
      <t>ダイ</t>
    </rPh>
    <rPh sb="16" eb="17">
      <t>コウ</t>
    </rPh>
    <rPh sb="17" eb="18">
      <t>マタ</t>
    </rPh>
    <rPh sb="24" eb="25">
      <t>ダイ</t>
    </rPh>
    <rPh sb="27" eb="28">
      <t>コウ</t>
    </rPh>
    <rPh sb="41" eb="43">
      <t>ジョウキョウ</t>
    </rPh>
    <phoneticPr fontId="3"/>
  </si>
  <si>
    <t>令第112条第18項に規定する区画の状況</t>
    <phoneticPr fontId="3"/>
  </si>
  <si>
    <t>令第112条第16項に規定する外壁等及び同条第17項に規定する防火設備の処置の状況</t>
    <rPh sb="18" eb="19">
      <t>オヨ</t>
    </rPh>
    <rPh sb="20" eb="22">
      <t>ドウジョウ</t>
    </rPh>
    <rPh sb="22" eb="23">
      <t>ダイ</t>
    </rPh>
    <rPh sb="25" eb="26">
      <t>コウ</t>
    </rPh>
    <rPh sb="27" eb="29">
      <t>キテイ</t>
    </rPh>
    <rPh sb="31" eb="33">
      <t>ボウカ</t>
    </rPh>
    <rPh sb="33" eb="35">
      <t>セツビ</t>
    </rPh>
    <phoneticPr fontId="3"/>
  </si>
  <si>
    <t>令第112条第16項に規定する外壁等及び同条第17項に規定する防火設備の劣化及び損傷の状況</t>
    <rPh sb="36" eb="38">
      <t>レッカ</t>
    </rPh>
    <rPh sb="38" eb="40">
      <t>オ</t>
    </rPh>
    <rPh sb="40" eb="42">
      <t>ソンショウ</t>
    </rPh>
    <rPh sb="43" eb="45">
      <t>ジョウキョウ</t>
    </rPh>
    <phoneticPr fontId="3"/>
  </si>
  <si>
    <t>耐火構造の壁又は準耐火構造の壁（防火区画を構成する壁等に限る。）</t>
    <rPh sb="0" eb="2">
      <t>タイカ</t>
    </rPh>
    <rPh sb="2" eb="4">
      <t>コウゾウ</t>
    </rPh>
    <rPh sb="5" eb="6">
      <t>カベ</t>
    </rPh>
    <rPh sb="6" eb="7">
      <t>マタ</t>
    </rPh>
    <rPh sb="8" eb="9">
      <t>ジュン</t>
    </rPh>
    <rPh sb="9" eb="11">
      <t>タイカ</t>
    </rPh>
    <rPh sb="11" eb="13">
      <t>コウゾウ</t>
    </rPh>
    <rPh sb="14" eb="15">
      <t>カベ</t>
    </rPh>
    <rPh sb="16" eb="18">
      <t>ボウカ</t>
    </rPh>
    <rPh sb="18" eb="20">
      <t>クカク</t>
    </rPh>
    <rPh sb="21" eb="23">
      <t>コウセイ</t>
    </rPh>
    <rPh sb="25" eb="26">
      <t>カベ</t>
    </rPh>
    <rPh sb="26" eb="27">
      <t>トウ</t>
    </rPh>
    <rPh sb="28" eb="29">
      <t>カギ</t>
    </rPh>
    <phoneticPr fontId="3"/>
  </si>
  <si>
    <t>防火設備（防火扉、防火シャッターその他これらに類するものに限る。）又は戸</t>
    <rPh sb="33" eb="34">
      <t>マタ</t>
    </rPh>
    <rPh sb="35" eb="36">
      <t>ト</t>
    </rPh>
    <phoneticPr fontId="3"/>
  </si>
  <si>
    <t>区画に対応した防火設備又は戸の設置の状況</t>
    <rPh sb="0" eb="2">
      <t>クカク</t>
    </rPh>
    <rPh sb="3" eb="5">
      <t>タイオウ</t>
    </rPh>
    <rPh sb="7" eb="9">
      <t>ボウカ</t>
    </rPh>
    <rPh sb="9" eb="11">
      <t>セツビ</t>
    </rPh>
    <rPh sb="11" eb="12">
      <t>マタ</t>
    </rPh>
    <rPh sb="13" eb="14">
      <t>ト</t>
    </rPh>
    <rPh sb="15" eb="17">
      <t>セッチ</t>
    </rPh>
    <rPh sb="18" eb="19">
      <t>ジョウ</t>
    </rPh>
    <rPh sb="19" eb="20">
      <t>キョウ</t>
    </rPh>
    <phoneticPr fontId="3"/>
  </si>
  <si>
    <t>居室から地上へ通じる主たる廊下、階段その他の通路に設置された防火設備又は戸におけるくぐり戸の設置の状況</t>
    <rPh sb="0" eb="2">
      <t>キョシツ</t>
    </rPh>
    <rPh sb="4" eb="6">
      <t>チジョウ</t>
    </rPh>
    <rPh sb="7" eb="8">
      <t>ツウ</t>
    </rPh>
    <rPh sb="10" eb="11">
      <t>シュ</t>
    </rPh>
    <rPh sb="13" eb="15">
      <t>ロウカ</t>
    </rPh>
    <rPh sb="16" eb="18">
      <t>カイダン</t>
    </rPh>
    <rPh sb="20" eb="21">
      <t>タ</t>
    </rPh>
    <rPh sb="22" eb="24">
      <t>ツウロ</t>
    </rPh>
    <rPh sb="25" eb="27">
      <t>セッチ</t>
    </rPh>
    <rPh sb="30" eb="32">
      <t>ボウカ</t>
    </rPh>
    <rPh sb="32" eb="34">
      <t>セツビ</t>
    </rPh>
    <rPh sb="34" eb="35">
      <t>マタ</t>
    </rPh>
    <rPh sb="36" eb="37">
      <t>ト</t>
    </rPh>
    <rPh sb="44" eb="45">
      <t>ト</t>
    </rPh>
    <rPh sb="46" eb="48">
      <t>セッチ</t>
    </rPh>
    <phoneticPr fontId="3"/>
  </si>
  <si>
    <t>防火扉又は戸の開放方向</t>
    <rPh sb="2" eb="3">
      <t>トビラ</t>
    </rPh>
    <rPh sb="3" eb="4">
      <t>マタ</t>
    </rPh>
    <rPh sb="5" eb="6">
      <t>ト</t>
    </rPh>
    <rPh sb="7" eb="9">
      <t>カイホウ</t>
    </rPh>
    <rPh sb="9" eb="11">
      <t>ホウコウ</t>
    </rPh>
    <phoneticPr fontId="3"/>
  </si>
  <si>
    <t>常閉防火設備等の本体と枠の劣化及び損傷の状況</t>
    <rPh sb="0" eb="1">
      <t>ツネ</t>
    </rPh>
    <rPh sb="1" eb="2">
      <t>ト</t>
    </rPh>
    <rPh sb="2" eb="4">
      <t>ボウカ</t>
    </rPh>
    <rPh sb="4" eb="6">
      <t>セツビ</t>
    </rPh>
    <rPh sb="6" eb="7">
      <t>トウ</t>
    </rPh>
    <rPh sb="13" eb="15">
      <t>レッカ</t>
    </rPh>
    <rPh sb="15" eb="17">
      <t>オ</t>
    </rPh>
    <rPh sb="17" eb="19">
      <t>ソンショウ</t>
    </rPh>
    <rPh sb="20" eb="22">
      <t>ジョウキョウ</t>
    </rPh>
    <phoneticPr fontId="3"/>
  </si>
  <si>
    <t>常閉防火設備等の閉鎖又は作動の状況</t>
    <rPh sb="2" eb="4">
      <t>ボウカ</t>
    </rPh>
    <rPh sb="4" eb="6">
      <t>セツビ</t>
    </rPh>
    <rPh sb="6" eb="7">
      <t>トウ</t>
    </rPh>
    <rPh sb="8" eb="10">
      <t>ヘイサ</t>
    </rPh>
    <rPh sb="10" eb="12">
      <t>マ</t>
    </rPh>
    <rPh sb="12" eb="14">
      <t>サドウ</t>
    </rPh>
    <rPh sb="15" eb="17">
      <t>ジョウキョウ</t>
    </rPh>
    <phoneticPr fontId="3"/>
  </si>
  <si>
    <t>常閉防火設備等の閉鎖又は作動の障害となる物品の放置の状況</t>
    <rPh sb="6" eb="7">
      <t>トウ</t>
    </rPh>
    <rPh sb="10" eb="12">
      <t>マ</t>
    </rPh>
    <rPh sb="12" eb="14">
      <t>サドウ</t>
    </rPh>
    <rPh sb="21" eb="22">
      <t>シナ</t>
    </rPh>
    <rPh sb="23" eb="25">
      <t>ホウチ</t>
    </rPh>
    <phoneticPr fontId="3"/>
  </si>
  <si>
    <t>常閉防火扉等の固定の状況</t>
    <rPh sb="2" eb="4">
      <t>ボウカ</t>
    </rPh>
    <rPh sb="4" eb="5">
      <t>トビラ</t>
    </rPh>
    <rPh sb="5" eb="6">
      <t>トウ</t>
    </rPh>
    <rPh sb="7" eb="9">
      <t>コテイ</t>
    </rPh>
    <phoneticPr fontId="3"/>
  </si>
  <si>
    <t>防火設備又は戸の閉鎖の障害となる照明器具、懸垂物等の状況</t>
    <rPh sb="4" eb="5">
      <t>マタ</t>
    </rPh>
    <rPh sb="6" eb="7">
      <t>ト</t>
    </rPh>
    <phoneticPr fontId="3"/>
  </si>
  <si>
    <t>耐火構造の床又は準耐火構造の床（防火区画を構成する床に限る。）</t>
    <rPh sb="0" eb="2">
      <t>タイカ</t>
    </rPh>
    <rPh sb="2" eb="4">
      <t>コウゾウ</t>
    </rPh>
    <rPh sb="5" eb="6">
      <t>ユカ</t>
    </rPh>
    <rPh sb="6" eb="7">
      <t>マタ</t>
    </rPh>
    <rPh sb="8" eb="9">
      <t>ジュン</t>
    </rPh>
    <rPh sb="9" eb="11">
      <t>タイカ</t>
    </rPh>
    <rPh sb="11" eb="13">
      <t>コウゾウ</t>
    </rPh>
    <rPh sb="14" eb="15">
      <t>ユカ</t>
    </rPh>
    <rPh sb="16" eb="18">
      <t>ボウカ</t>
    </rPh>
    <rPh sb="18" eb="20">
      <t>クカク</t>
    </rPh>
    <rPh sb="21" eb="23">
      <t>コウセイ</t>
    </rPh>
    <rPh sb="25" eb="26">
      <t>ユカ</t>
    </rPh>
    <rPh sb="27" eb="28">
      <t>カギ</t>
    </rPh>
    <phoneticPr fontId="3"/>
  </si>
  <si>
    <t>住所</t>
    <rPh sb="0" eb="2">
      <t>ジュウショ</t>
    </rPh>
    <phoneticPr fontId="3"/>
  </si>
  <si>
    <t>勤務先</t>
    <rPh sb="0" eb="3">
      <t>キンムサキ</t>
    </rPh>
    <phoneticPr fontId="3"/>
  </si>
  <si>
    <t>所在地</t>
    <rPh sb="0" eb="3">
      <t>ショザイチ</t>
    </rPh>
    <phoneticPr fontId="3"/>
  </si>
  <si>
    <t>防火地域等</t>
    <rPh sb="0" eb="2">
      <t>ボウカ</t>
    </rPh>
    <rPh sb="2" eb="4">
      <t>チイキ</t>
    </rPh>
    <rPh sb="4" eb="5">
      <t>トウ</t>
    </rPh>
    <phoneticPr fontId="3"/>
  </si>
  <si>
    <t>構造</t>
    <rPh sb="0" eb="2">
      <t>コウゾウ</t>
    </rPh>
    <phoneticPr fontId="3"/>
  </si>
  <si>
    <t>階数</t>
    <rPh sb="0" eb="2">
      <t>カイスウ</t>
    </rPh>
    <phoneticPr fontId="3"/>
  </si>
  <si>
    <t>敷地面積</t>
    <rPh sb="0" eb="2">
      <t>シキチ</t>
    </rPh>
    <rPh sb="2" eb="4">
      <t>メンセキ</t>
    </rPh>
    <phoneticPr fontId="3"/>
  </si>
  <si>
    <t>交付番号</t>
    <rPh sb="0" eb="2">
      <t>コウフ</t>
    </rPh>
    <rPh sb="2" eb="4">
      <t>バンゴウ</t>
    </rPh>
    <phoneticPr fontId="3"/>
  </si>
  <si>
    <t>2(1)</t>
    <phoneticPr fontId="3"/>
  </si>
  <si>
    <t>2(2)</t>
    <phoneticPr fontId="3"/>
  </si>
  <si>
    <t>2(3)</t>
    <phoneticPr fontId="3"/>
  </si>
  <si>
    <t>2(4)</t>
    <phoneticPr fontId="3"/>
  </si>
  <si>
    <t>2(5)</t>
    <phoneticPr fontId="3"/>
  </si>
  <si>
    <t>2(6)</t>
    <phoneticPr fontId="3"/>
  </si>
  <si>
    <t>2(7)</t>
    <phoneticPr fontId="3"/>
  </si>
  <si>
    <t>2(8)</t>
    <phoneticPr fontId="3"/>
  </si>
  <si>
    <t>2(9)</t>
    <phoneticPr fontId="3"/>
  </si>
  <si>
    <t>2(10)</t>
    <phoneticPr fontId="3"/>
  </si>
  <si>
    <t>2(11)</t>
    <phoneticPr fontId="3"/>
  </si>
  <si>
    <t>2(12)</t>
    <phoneticPr fontId="3"/>
  </si>
  <si>
    <t>)</t>
    <phoneticPr fontId="3"/>
  </si>
  <si>
    <t>特定建築物調査員</t>
    <rPh sb="0" eb="2">
      <t>トクテイ</t>
    </rPh>
    <rPh sb="2" eb="5">
      <t>ケンチクブツ</t>
    </rPh>
    <rPh sb="5" eb="8">
      <t>チョウサイン</t>
    </rPh>
    <phoneticPr fontId="3"/>
  </si>
  <si>
    <t>建物名称</t>
    <rPh sb="0" eb="2">
      <t>タテモノ</t>
    </rPh>
    <rPh sb="2" eb="4">
      <t>メイショウ</t>
    </rPh>
    <phoneticPr fontId="3"/>
  </si>
  <si>
    <t>敷地の位置</t>
    <rPh sb="0" eb="2">
      <t>シキチ</t>
    </rPh>
    <rPh sb="3" eb="5">
      <t>イチ</t>
    </rPh>
    <phoneticPr fontId="3"/>
  </si>
  <si>
    <t>防火地域</t>
    <rPh sb="0" eb="2">
      <t>ボウカ</t>
    </rPh>
    <rPh sb="2" eb="4">
      <t>チイキ</t>
    </rPh>
    <phoneticPr fontId="3"/>
  </si>
  <si>
    <t>準防火地域</t>
    <rPh sb="0" eb="1">
      <t>ジュン</t>
    </rPh>
    <rPh sb="1" eb="3">
      <t>ボウカ</t>
    </rPh>
    <rPh sb="3" eb="5">
      <t>チイキ</t>
    </rPh>
    <phoneticPr fontId="3"/>
  </si>
  <si>
    <t>その他</t>
    <rPh sb="2" eb="3">
      <t>ホカ</t>
    </rPh>
    <phoneticPr fontId="3"/>
  </si>
  <si>
    <t>指定なし</t>
    <rPh sb="0" eb="2">
      <t>シテイ</t>
    </rPh>
    <phoneticPr fontId="3"/>
  </si>
  <si>
    <t>第一種低層住居専用地域</t>
    <rPh sb="0" eb="1">
      <t>ダイ</t>
    </rPh>
    <rPh sb="1" eb="3">
      <t>イッシュ</t>
    </rPh>
    <rPh sb="3" eb="5">
      <t>テイソウ</t>
    </rPh>
    <rPh sb="5" eb="7">
      <t>ジュウキョ</t>
    </rPh>
    <rPh sb="7" eb="9">
      <t>センヨウ</t>
    </rPh>
    <rPh sb="9" eb="11">
      <t>チイキ</t>
    </rPh>
    <phoneticPr fontId="3"/>
  </si>
  <si>
    <t>第二種低層住居専用地域</t>
    <rPh sb="0" eb="1">
      <t>ダイ</t>
    </rPh>
    <rPh sb="1" eb="2">
      <t>ニ</t>
    </rPh>
    <rPh sb="2" eb="3">
      <t>シュ</t>
    </rPh>
    <rPh sb="3" eb="5">
      <t>テイソウ</t>
    </rPh>
    <rPh sb="5" eb="7">
      <t>ジュウキョ</t>
    </rPh>
    <rPh sb="7" eb="9">
      <t>センヨウ</t>
    </rPh>
    <rPh sb="9" eb="11">
      <t>チイキ</t>
    </rPh>
    <phoneticPr fontId="3"/>
  </si>
  <si>
    <t>第一種中高層住居専用地域</t>
    <rPh sb="0" eb="3">
      <t>ダイイッシュ</t>
    </rPh>
    <rPh sb="3" eb="6">
      <t>チュウコウソウ</t>
    </rPh>
    <rPh sb="6" eb="8">
      <t>ジュウキョ</t>
    </rPh>
    <rPh sb="8" eb="10">
      <t>センヨウ</t>
    </rPh>
    <rPh sb="10" eb="12">
      <t>チイキ</t>
    </rPh>
    <phoneticPr fontId="3"/>
  </si>
  <si>
    <t>第二種中高層住居専用地域</t>
    <rPh sb="0" eb="1">
      <t>ダイ</t>
    </rPh>
    <rPh sb="1" eb="2">
      <t>ニ</t>
    </rPh>
    <rPh sb="2" eb="3">
      <t>シュ</t>
    </rPh>
    <rPh sb="3" eb="6">
      <t>チュウコウソウ</t>
    </rPh>
    <rPh sb="6" eb="8">
      <t>ジュウキョ</t>
    </rPh>
    <rPh sb="8" eb="10">
      <t>センヨウ</t>
    </rPh>
    <rPh sb="10" eb="12">
      <t>チイキ</t>
    </rPh>
    <phoneticPr fontId="3"/>
  </si>
  <si>
    <t>第一種住居地域</t>
    <rPh sb="0" eb="3">
      <t>ダイイッシュ</t>
    </rPh>
    <rPh sb="3" eb="5">
      <t>ジュウキョ</t>
    </rPh>
    <rPh sb="5" eb="7">
      <t>チイキ</t>
    </rPh>
    <phoneticPr fontId="3"/>
  </si>
  <si>
    <t>第二種住居地域</t>
    <rPh sb="0" eb="1">
      <t>ダイ</t>
    </rPh>
    <rPh sb="1" eb="2">
      <t>ニ</t>
    </rPh>
    <rPh sb="2" eb="3">
      <t>シュ</t>
    </rPh>
    <rPh sb="3" eb="5">
      <t>ジュウキョ</t>
    </rPh>
    <rPh sb="5" eb="7">
      <t>チイキ</t>
    </rPh>
    <phoneticPr fontId="3"/>
  </si>
  <si>
    <t>準住居地域</t>
    <rPh sb="0" eb="1">
      <t>ジュン</t>
    </rPh>
    <rPh sb="1" eb="3">
      <t>ジュウキョ</t>
    </rPh>
    <rPh sb="3" eb="5">
      <t>チイキ</t>
    </rPh>
    <phoneticPr fontId="3"/>
  </si>
  <si>
    <t>田園住居地域内</t>
    <rPh sb="0" eb="2">
      <t>デンエン</t>
    </rPh>
    <rPh sb="2" eb="4">
      <t>ジュウキョ</t>
    </rPh>
    <rPh sb="4" eb="6">
      <t>チイキ</t>
    </rPh>
    <rPh sb="6" eb="7">
      <t>ナイ</t>
    </rPh>
    <phoneticPr fontId="3"/>
  </si>
  <si>
    <t>近隣商業地域</t>
    <rPh sb="0" eb="2">
      <t>キンリン</t>
    </rPh>
    <rPh sb="2" eb="4">
      <t>ショウギョウ</t>
    </rPh>
    <rPh sb="4" eb="6">
      <t>チイキ</t>
    </rPh>
    <phoneticPr fontId="3"/>
  </si>
  <si>
    <t>準工業地域</t>
    <rPh sb="0" eb="1">
      <t>ジュン</t>
    </rPh>
    <rPh sb="1" eb="3">
      <t>コウギョウ</t>
    </rPh>
    <rPh sb="3" eb="5">
      <t>チイキ</t>
    </rPh>
    <phoneticPr fontId="3"/>
  </si>
  <si>
    <t>商業地域</t>
    <rPh sb="0" eb="2">
      <t>ショウギョウ</t>
    </rPh>
    <rPh sb="2" eb="4">
      <t>チイキ</t>
    </rPh>
    <phoneticPr fontId="3"/>
  </si>
  <si>
    <t>工業地域</t>
    <rPh sb="0" eb="2">
      <t>コウギョウ</t>
    </rPh>
    <rPh sb="2" eb="4">
      <t>チイキ</t>
    </rPh>
    <phoneticPr fontId="3"/>
  </si>
  <si>
    <t>地上</t>
    <rPh sb="0" eb="2">
      <t>チジョウ</t>
    </rPh>
    <phoneticPr fontId="3"/>
  </si>
  <si>
    <t>地下</t>
    <rPh sb="0" eb="2">
      <t>チカ</t>
    </rPh>
    <phoneticPr fontId="3"/>
  </si>
  <si>
    <t>耐火性能検証法</t>
    <rPh sb="0" eb="2">
      <t>タイカ</t>
    </rPh>
    <rPh sb="2" eb="4">
      <t>セイノウ</t>
    </rPh>
    <rPh sb="4" eb="6">
      <t>ケンショウ</t>
    </rPh>
    <rPh sb="6" eb="7">
      <t>ホウ</t>
    </rPh>
    <phoneticPr fontId="3"/>
  </si>
  <si>
    <t>防火区画検証法</t>
    <rPh sb="0" eb="2">
      <t>ボウカ</t>
    </rPh>
    <rPh sb="2" eb="4">
      <t>クカク</t>
    </rPh>
    <rPh sb="4" eb="6">
      <t>ケンショウ</t>
    </rPh>
    <rPh sb="6" eb="7">
      <t>ホウ</t>
    </rPh>
    <phoneticPr fontId="3"/>
  </si>
  <si>
    <t>区画避難安全検証法</t>
    <rPh sb="0" eb="2">
      <t>クカク</t>
    </rPh>
    <rPh sb="2" eb="4">
      <t>ヒナン</t>
    </rPh>
    <rPh sb="4" eb="6">
      <t>アンゼン</t>
    </rPh>
    <rPh sb="6" eb="8">
      <t>ケンショウ</t>
    </rPh>
    <rPh sb="8" eb="9">
      <t>ホウ</t>
    </rPh>
    <phoneticPr fontId="3"/>
  </si>
  <si>
    <t>階避難安全検証法</t>
    <rPh sb="0" eb="1">
      <t>カイ</t>
    </rPh>
    <rPh sb="1" eb="3">
      <t>ヒナン</t>
    </rPh>
    <rPh sb="3" eb="5">
      <t>アンゼン</t>
    </rPh>
    <rPh sb="5" eb="7">
      <t>ケンショウ</t>
    </rPh>
    <rPh sb="7" eb="8">
      <t>ホウ</t>
    </rPh>
    <phoneticPr fontId="3"/>
  </si>
  <si>
    <t>全館避難安全検証法</t>
    <rPh sb="0" eb="1">
      <t>ゼン</t>
    </rPh>
    <rPh sb="1" eb="2">
      <t>カン</t>
    </rPh>
    <rPh sb="2" eb="4">
      <t>ヒナン</t>
    </rPh>
    <rPh sb="4" eb="6">
      <t>アンゼン</t>
    </rPh>
    <rPh sb="6" eb="8">
      <t>ケンショウ</t>
    </rPh>
    <rPh sb="8" eb="9">
      <t>ホウ</t>
    </rPh>
    <phoneticPr fontId="3"/>
  </si>
  <si>
    <t>各階合計</t>
    <rPh sb="0" eb="2">
      <t>カクカイ</t>
    </rPh>
    <rPh sb="2" eb="4">
      <t>ゴウケイ</t>
    </rPh>
    <phoneticPr fontId="3"/>
  </si>
  <si>
    <t>建築主事</t>
    <rPh sb="0" eb="2">
      <t>ケンチク</t>
    </rPh>
    <rPh sb="2" eb="4">
      <t>シュジ</t>
    </rPh>
    <phoneticPr fontId="3"/>
  </si>
  <si>
    <t>維持管理保全に関する準則又は計画</t>
    <rPh sb="0" eb="2">
      <t>イジ</t>
    </rPh>
    <rPh sb="2" eb="4">
      <t>カンリ</t>
    </rPh>
    <rPh sb="4" eb="6">
      <t>ホゼン</t>
    </rPh>
    <rPh sb="7" eb="8">
      <t>カン</t>
    </rPh>
    <rPh sb="10" eb="12">
      <t>ジュンソク</t>
    </rPh>
    <rPh sb="12" eb="13">
      <t>マタ</t>
    </rPh>
    <rPh sb="14" eb="16">
      <t>ケイカク</t>
    </rPh>
    <phoneticPr fontId="3"/>
  </si>
  <si>
    <t>対象外</t>
    <rPh sb="0" eb="3">
      <t>タイショウガイ</t>
    </rPh>
    <phoneticPr fontId="3"/>
  </si>
  <si>
    <t>前回の調査に関する書類の写し</t>
    <rPh sb="0" eb="2">
      <t>ゼンカイ</t>
    </rPh>
    <rPh sb="3" eb="5">
      <t>チョウサ</t>
    </rPh>
    <rPh sb="6" eb="7">
      <t>カン</t>
    </rPh>
    <rPh sb="9" eb="11">
      <t>ショルイ</t>
    </rPh>
    <rPh sb="12" eb="13">
      <t>ウツ</t>
    </rPh>
    <phoneticPr fontId="3"/>
  </si>
  <si>
    <t>前回の調査</t>
    <rPh sb="0" eb="2">
      <t>ゼンカイ</t>
    </rPh>
    <rPh sb="3" eb="5">
      <t>チョウサ</t>
    </rPh>
    <phoneticPr fontId="3"/>
  </si>
  <si>
    <t>建築設備の検査</t>
    <rPh sb="0" eb="2">
      <t>ケンチク</t>
    </rPh>
    <rPh sb="2" eb="4">
      <t>セツビ</t>
    </rPh>
    <rPh sb="5" eb="7">
      <t>ケンサ</t>
    </rPh>
    <phoneticPr fontId="3"/>
  </si>
  <si>
    <t>未実施</t>
    <rPh sb="0" eb="3">
      <t>ミジッシ</t>
    </rPh>
    <phoneticPr fontId="3"/>
  </si>
  <si>
    <t>該当する室</t>
    <rPh sb="0" eb="2">
      <t>ガイトウ</t>
    </rPh>
    <rPh sb="4" eb="5">
      <t>シツ</t>
    </rPh>
    <phoneticPr fontId="3"/>
  </si>
  <si>
    <t>耐震診断</t>
    <rPh sb="0" eb="2">
      <t>タイシン</t>
    </rPh>
    <rPh sb="2" eb="4">
      <t>シンダン</t>
    </rPh>
    <phoneticPr fontId="3"/>
  </si>
  <si>
    <t>耐震改修</t>
    <rPh sb="0" eb="2">
      <t>タイシン</t>
    </rPh>
    <rPh sb="2" eb="4">
      <t>カイシュウ</t>
    </rPh>
    <phoneticPr fontId="3"/>
  </si>
  <si>
    <t>2(13)</t>
    <phoneticPr fontId="3"/>
  </si>
  <si>
    <t>2(14)</t>
    <phoneticPr fontId="3"/>
  </si>
  <si>
    <t>2(15)</t>
    <phoneticPr fontId="3"/>
  </si>
  <si>
    <t>2(16)</t>
    <phoneticPr fontId="3"/>
  </si>
  <si>
    <t>2(17)</t>
    <phoneticPr fontId="3"/>
  </si>
  <si>
    <t>2(18)</t>
    <phoneticPr fontId="3"/>
  </si>
  <si>
    <t>3(1)</t>
    <phoneticPr fontId="3"/>
  </si>
  <si>
    <t>3(2)</t>
    <phoneticPr fontId="3"/>
  </si>
  <si>
    <t>3(3)</t>
    <phoneticPr fontId="3"/>
  </si>
  <si>
    <t>3(4)</t>
    <phoneticPr fontId="3"/>
  </si>
  <si>
    <t>3(5)</t>
    <phoneticPr fontId="3"/>
  </si>
  <si>
    <t>3(6)</t>
    <phoneticPr fontId="3"/>
  </si>
  <si>
    <t>3(7)</t>
    <phoneticPr fontId="3"/>
  </si>
  <si>
    <t>3(8)</t>
    <phoneticPr fontId="3"/>
  </si>
  <si>
    <t>3(9)</t>
    <phoneticPr fontId="3"/>
  </si>
  <si>
    <t>令和</t>
    <rPh sb="0" eb="2">
      <t>レイワ</t>
    </rPh>
    <phoneticPr fontId="3"/>
  </si>
  <si>
    <t>不具合等の記録</t>
    <rPh sb="0" eb="3">
      <t>フグアイ</t>
    </rPh>
    <rPh sb="3" eb="4">
      <t>トウ</t>
    </rPh>
    <rPh sb="5" eb="7">
      <t>キロク</t>
    </rPh>
    <phoneticPr fontId="3"/>
  </si>
  <si>
    <t>改善措置の概要等</t>
    <rPh sb="0" eb="2">
      <t>カイゼン</t>
    </rPh>
    <rPh sb="2" eb="4">
      <t>ソチ</t>
    </rPh>
    <rPh sb="5" eb="7">
      <t>ガイヨウ</t>
    </rPh>
    <rPh sb="7" eb="8">
      <t>トウ</t>
    </rPh>
    <phoneticPr fontId="3"/>
  </si>
  <si>
    <t>（理由：</t>
    <rPh sb="1" eb="3">
      <t>リユウ</t>
    </rPh>
    <phoneticPr fontId="3"/>
  </si>
  <si>
    <t>（時期：</t>
    <rPh sb="1" eb="3">
      <t>ジキ</t>
    </rPh>
    <phoneticPr fontId="3"/>
  </si>
  <si>
    <t>月に</t>
    <rPh sb="0" eb="1">
      <t>ガツ</t>
    </rPh>
    <phoneticPr fontId="3"/>
  </si>
  <si>
    <t>ホテル</t>
  </si>
  <si>
    <t>ネイルサロン</t>
  </si>
  <si>
    <t>キャバレー</t>
  </si>
  <si>
    <t>カフェー</t>
  </si>
  <si>
    <t>ナイトクラブ</t>
  </si>
  <si>
    <t>バー</t>
  </si>
  <si>
    <t>ダンスホール</t>
  </si>
  <si>
    <t>用途大分類</t>
  </si>
  <si>
    <t>階）</t>
    <rPh sb="0" eb="1">
      <t>カイ</t>
    </rPh>
    <phoneticPr fontId="3"/>
  </si>
  <si>
    <t>対象外</t>
    <phoneticPr fontId="3"/>
  </si>
  <si>
    <t>予定なし</t>
    <rPh sb="0" eb="2">
      <t>ヨテイ</t>
    </rPh>
    <phoneticPr fontId="3"/>
  </si>
  <si>
    <t>－</t>
    <phoneticPr fontId="3"/>
  </si>
  <si>
    <t>実施日</t>
    <rPh sb="0" eb="3">
      <t>ジッシビ</t>
    </rPh>
    <phoneticPr fontId="3"/>
  </si>
  <si>
    <t>大字・町名</t>
    <rPh sb="0" eb="2">
      <t>オオアザ</t>
    </rPh>
    <rPh sb="3" eb="5">
      <t>チョウメイ</t>
    </rPh>
    <phoneticPr fontId="3"/>
  </si>
  <si>
    <t>ID</t>
  </si>
  <si>
    <t>法人名</t>
    <phoneticPr fontId="3"/>
  </si>
  <si>
    <t>建築士事務所</t>
    <rPh sb="0" eb="2">
      <t>ケンチク</t>
    </rPh>
    <rPh sb="2" eb="3">
      <t>シ</t>
    </rPh>
    <rPh sb="3" eb="6">
      <t>ジムショ</t>
    </rPh>
    <phoneticPr fontId="3"/>
  </si>
  <si>
    <t>肩書</t>
    <phoneticPr fontId="3"/>
  </si>
  <si>
    <t>氏名</t>
    <phoneticPr fontId="3"/>
  </si>
  <si>
    <t>建築面積</t>
    <rPh sb="0" eb="4">
      <t>ケンチクメンセキ</t>
    </rPh>
    <phoneticPr fontId="3"/>
  </si>
  <si>
    <t>関数1</t>
    <rPh sb="0" eb="2">
      <t>カンスウ</t>
    </rPh>
    <phoneticPr fontId="3"/>
  </si>
  <si>
    <t>関数2</t>
    <rPh sb="0" eb="2">
      <t>カンスウ</t>
    </rPh>
    <phoneticPr fontId="3"/>
  </si>
  <si>
    <t>レ</t>
    <phoneticPr fontId="3"/>
  </si>
  <si>
    <t>管理者氏名</t>
    <rPh sb="0" eb="3">
      <t>カンリシャ</t>
    </rPh>
    <rPh sb="3" eb="5">
      <t>シメイ</t>
    </rPh>
    <phoneticPr fontId="3"/>
  </si>
  <si>
    <t>準防火地域</t>
    <rPh sb="0" eb="5">
      <t>ジュンボウカチイキ</t>
    </rPh>
    <phoneticPr fontId="3"/>
  </si>
  <si>
    <t>対象外項目</t>
    <rPh sb="0" eb="3">
      <t>タイショウガイ</t>
    </rPh>
    <rPh sb="3" eb="5">
      <t>コウモク</t>
    </rPh>
    <phoneticPr fontId="25"/>
  </si>
  <si>
    <t>指摘なし</t>
    <rPh sb="0" eb="2">
      <t>シテキ</t>
    </rPh>
    <phoneticPr fontId="25"/>
  </si>
  <si>
    <t>要是正</t>
    <rPh sb="0" eb="3">
      <t>ヨウゼセイ</t>
    </rPh>
    <phoneticPr fontId="25"/>
  </si>
  <si>
    <t>既存不適格</t>
    <rPh sb="0" eb="5">
      <t>キゾンフテキカク</t>
    </rPh>
    <phoneticPr fontId="25"/>
  </si>
  <si>
    <t xml:space="preserve">組積造の塀又は補強コンクリートブロック造の塀等の耐震対策の状況
</t>
    <rPh sb="0" eb="1">
      <t>ソ</t>
    </rPh>
    <rPh sb="1" eb="2">
      <t>セキ</t>
    </rPh>
    <rPh sb="2" eb="3">
      <t>ゾウ</t>
    </rPh>
    <rPh sb="4" eb="5">
      <t>ヘイ</t>
    </rPh>
    <rPh sb="5" eb="6">
      <t>マタ</t>
    </rPh>
    <rPh sb="7" eb="9">
      <t>ホキョウ</t>
    </rPh>
    <rPh sb="19" eb="20">
      <t>ゾウ</t>
    </rPh>
    <rPh sb="21" eb="22">
      <t>ヘイ</t>
    </rPh>
    <rPh sb="29" eb="30">
      <t>ジョウ</t>
    </rPh>
    <phoneticPr fontId="3"/>
  </si>
  <si>
    <t>階＼用途</t>
    <rPh sb="0" eb="1">
      <t>カイ</t>
    </rPh>
    <rPh sb="2" eb="4">
      <t>ヨウト</t>
    </rPh>
    <phoneticPr fontId="3"/>
  </si>
  <si>
    <t>塔屋 1</t>
    <rPh sb="0" eb="2">
      <t>トウヤ</t>
    </rPh>
    <phoneticPr fontId="3"/>
  </si>
  <si>
    <t>塔屋 2</t>
    <rPh sb="0" eb="2">
      <t>トウヤ</t>
    </rPh>
    <phoneticPr fontId="3"/>
  </si>
  <si>
    <t>塔屋 3</t>
    <rPh sb="0" eb="2">
      <t>トウヤ</t>
    </rPh>
    <phoneticPr fontId="3"/>
  </si>
  <si>
    <t>塔屋 4</t>
    <rPh sb="0" eb="2">
      <t>トウヤ</t>
    </rPh>
    <phoneticPr fontId="3"/>
  </si>
  <si>
    <t>塔屋 5</t>
    <rPh sb="0" eb="2">
      <t>トウヤ</t>
    </rPh>
    <phoneticPr fontId="3"/>
  </si>
  <si>
    <t>シート</t>
    <phoneticPr fontId="3"/>
  </si>
  <si>
    <t>必須入力</t>
    <rPh sb="0" eb="4">
      <t>ヒッスニュウリョク</t>
    </rPh>
    <phoneticPr fontId="3"/>
  </si>
  <si>
    <t>任意入力</t>
    <rPh sb="0" eb="2">
      <t>ニンイ</t>
    </rPh>
    <rPh sb="2" eb="4">
      <t>ニュウリョク</t>
    </rPh>
    <phoneticPr fontId="3"/>
  </si>
  <si>
    <t>地下1</t>
    <rPh sb="0" eb="2">
      <t>チカ</t>
    </rPh>
    <phoneticPr fontId="3"/>
  </si>
  <si>
    <t>地下2</t>
    <rPh sb="0" eb="2">
      <t>チカ</t>
    </rPh>
    <phoneticPr fontId="3"/>
  </si>
  <si>
    <t>地下3</t>
    <rPh sb="0" eb="2">
      <t>チカ</t>
    </rPh>
    <phoneticPr fontId="3"/>
  </si>
  <si>
    <t>地下4</t>
    <rPh sb="0" eb="2">
      <t>チカ</t>
    </rPh>
    <phoneticPr fontId="3"/>
  </si>
  <si>
    <t>延べ面積</t>
    <phoneticPr fontId="3"/>
  </si>
  <si>
    <t>エラー入力（入力不要な箇所に入力がある等）</t>
    <rPh sb="3" eb="5">
      <t>ニュウリョク</t>
    </rPh>
    <phoneticPr fontId="3"/>
  </si>
  <si>
    <t>第一面４欄</t>
  </si>
  <si>
    <t>第一面１欄</t>
    <phoneticPr fontId="3"/>
  </si>
  <si>
    <t>第一面２欄</t>
    <phoneticPr fontId="3"/>
  </si>
  <si>
    <t>第一面３欄</t>
    <phoneticPr fontId="3"/>
  </si>
  <si>
    <t>第二面１欄</t>
    <rPh sb="1" eb="2">
      <t>ニ</t>
    </rPh>
    <rPh sb="2" eb="3">
      <t>メン</t>
    </rPh>
    <phoneticPr fontId="3"/>
  </si>
  <si>
    <t>第二面２欄</t>
    <rPh sb="1" eb="2">
      <t>ニ</t>
    </rPh>
    <rPh sb="2" eb="3">
      <t>メン</t>
    </rPh>
    <phoneticPr fontId="3"/>
  </si>
  <si>
    <t>第二面４欄</t>
    <rPh sb="1" eb="2">
      <t>ニ</t>
    </rPh>
    <rPh sb="2" eb="3">
      <t>メン</t>
    </rPh>
    <phoneticPr fontId="3"/>
  </si>
  <si>
    <t>第三面１欄</t>
    <rPh sb="1" eb="2">
      <t>サン</t>
    </rPh>
    <rPh sb="2" eb="3">
      <t>メン</t>
    </rPh>
    <phoneticPr fontId="3"/>
  </si>
  <si>
    <t>第三面３欄</t>
    <rPh sb="1" eb="2">
      <t>サン</t>
    </rPh>
    <rPh sb="2" eb="3">
      <t>メン</t>
    </rPh>
    <phoneticPr fontId="3"/>
  </si>
  <si>
    <t>第三面４欄</t>
    <rPh sb="1" eb="2">
      <t>サン</t>
    </rPh>
    <rPh sb="2" eb="3">
      <t>メン</t>
    </rPh>
    <phoneticPr fontId="3"/>
  </si>
  <si>
    <t>第二面７欄</t>
    <rPh sb="1" eb="2">
      <t>ニ</t>
    </rPh>
    <rPh sb="2" eb="3">
      <t>メン</t>
    </rPh>
    <phoneticPr fontId="3"/>
  </si>
  <si>
    <t>第三面６欄</t>
    <rPh sb="1" eb="2">
      <t>サン</t>
    </rPh>
    <rPh sb="2" eb="3">
      <t>メン</t>
    </rPh>
    <rPh sb="4" eb="5">
      <t>ラン</t>
    </rPh>
    <phoneticPr fontId="3"/>
  </si>
  <si>
    <t>備考（３面）</t>
    <rPh sb="0" eb="2">
      <t>ビコウ</t>
    </rPh>
    <rPh sb="4" eb="5">
      <t>メン</t>
    </rPh>
    <phoneticPr fontId="3"/>
  </si>
  <si>
    <t>チェックボックス</t>
    <phoneticPr fontId="3"/>
  </si>
  <si>
    <t>用途地域</t>
  </si>
  <si>
    <t>第二面５欄</t>
    <rPh sb="1" eb="2">
      <t>ニ</t>
    </rPh>
    <rPh sb="2" eb="3">
      <t>メン</t>
    </rPh>
    <phoneticPr fontId="3"/>
  </si>
  <si>
    <t>月</t>
    <rPh sb="0" eb="1">
      <t>ツキ</t>
    </rPh>
    <phoneticPr fontId="3"/>
  </si>
  <si>
    <t>概要（</t>
    <rPh sb="0" eb="2">
      <t>ガイヨウ</t>
    </rPh>
    <phoneticPr fontId="3"/>
  </si>
  <si>
    <t>不具合等を把握した年月</t>
    <rPh sb="0" eb="4">
      <t>フグアイトウ</t>
    </rPh>
    <rPh sb="5" eb="7">
      <t>ハアク</t>
    </rPh>
    <rPh sb="9" eb="11">
      <t>ネンゲツ</t>
    </rPh>
    <phoneticPr fontId="3"/>
  </si>
  <si>
    <t>不具合等の概要</t>
    <rPh sb="0" eb="4">
      <t>フグアイナド</t>
    </rPh>
    <rPh sb="5" eb="7">
      <t>ガイヨウ</t>
    </rPh>
    <phoneticPr fontId="3"/>
  </si>
  <si>
    <t>改善（予定）年月</t>
    <rPh sb="0" eb="2">
      <t>カイゼン</t>
    </rPh>
    <rPh sb="3" eb="5">
      <t>ヨテイ</t>
    </rPh>
    <rPh sb="6" eb="8">
      <t>ネンゲツ</t>
    </rPh>
    <phoneticPr fontId="3"/>
  </si>
  <si>
    <t>階)</t>
    <rPh sb="0" eb="1">
      <t>カイ</t>
    </rPh>
    <phoneticPr fontId="3"/>
  </si>
  <si>
    <t>防火地域等</t>
    <rPh sb="0" eb="5">
      <t>ボウカチイキナド</t>
    </rPh>
    <phoneticPr fontId="3"/>
  </si>
  <si>
    <t>階別用途別床面積</t>
    <rPh sb="0" eb="2">
      <t>カイベツ</t>
    </rPh>
    <rPh sb="2" eb="5">
      <t>ヨウトベツ</t>
    </rPh>
    <rPh sb="5" eb="8">
      <t>ユカメンセキ</t>
    </rPh>
    <phoneticPr fontId="3"/>
  </si>
  <si>
    <t>東京都知事</t>
    <phoneticPr fontId="3"/>
  </si>
  <si>
    <t>多摩建築指導事務所長　</t>
    <phoneticPr fontId="3"/>
  </si>
  <si>
    <t>第三十六号の二様式（第五条関係）（Ａ４）</t>
    <rPh sb="0" eb="1">
      <t>ダイ</t>
    </rPh>
    <rPh sb="1" eb="5">
      <t>サンジュウロクゴウ</t>
    </rPh>
    <rPh sb="6" eb="7">
      <t>フタ</t>
    </rPh>
    <rPh sb="7" eb="9">
      <t>ヨウシキ</t>
    </rPh>
    <rPh sb="10" eb="11">
      <t>ダイ</t>
    </rPh>
    <rPh sb="11" eb="13">
      <t>ゴジョウ</t>
    </rPh>
    <rPh sb="13" eb="15">
      <t>カンケイ</t>
    </rPh>
    <phoneticPr fontId="3"/>
  </si>
  <si>
    <t>定期調査報告書</t>
    <phoneticPr fontId="3"/>
  </si>
  <si>
    <t>（第一面）</t>
  </si>
  <si>
    <t>　建築基準法第12条第１項の規定による定期調査の結果を報告します。この報告書に記載の事項は、</t>
    <phoneticPr fontId="3"/>
  </si>
  <si>
    <t>事実に相違ありません。</t>
    <phoneticPr fontId="3"/>
  </si>
  <si>
    <t>様</t>
    <rPh sb="0" eb="1">
      <t>サマ</t>
    </rPh>
    <phoneticPr fontId="3"/>
  </si>
  <si>
    <t>日</t>
    <rPh sb="0" eb="1">
      <t>ヒ</t>
    </rPh>
    <phoneticPr fontId="3"/>
  </si>
  <si>
    <t>報告者氏名</t>
    <rPh sb="0" eb="3">
      <t>ホウコクシャ</t>
    </rPh>
    <rPh sb="3" eb="5">
      <t>シメイ</t>
    </rPh>
    <phoneticPr fontId="3"/>
  </si>
  <si>
    <t>調査者氏名</t>
    <rPh sb="0" eb="2">
      <t>チョウサ</t>
    </rPh>
    <rPh sb="2" eb="3">
      <t>シャ</t>
    </rPh>
    <rPh sb="3" eb="5">
      <t>シメイ</t>
    </rPh>
    <phoneticPr fontId="3"/>
  </si>
  <si>
    <t>【1．所有者】</t>
    <rPh sb="3" eb="6">
      <t>ショユウシャ</t>
    </rPh>
    <phoneticPr fontId="3"/>
  </si>
  <si>
    <t>【イ．氏名のフリガナ】</t>
    <rPh sb="3" eb="5">
      <t>シメイ</t>
    </rPh>
    <phoneticPr fontId="3"/>
  </si>
  <si>
    <t>【ロ．氏名】</t>
    <rPh sb="3" eb="5">
      <t>シメイ</t>
    </rPh>
    <phoneticPr fontId="3"/>
  </si>
  <si>
    <t>【ハ．郵便番号】</t>
    <rPh sb="3" eb="5">
      <t>ユウビン</t>
    </rPh>
    <rPh sb="5" eb="7">
      <t>バンゴウ</t>
    </rPh>
    <phoneticPr fontId="3"/>
  </si>
  <si>
    <t>【ニ．住所】</t>
    <rPh sb="3" eb="5">
      <t>ジュウショ</t>
    </rPh>
    <phoneticPr fontId="3"/>
  </si>
  <si>
    <t>【ホ．電話番号】</t>
    <rPh sb="3" eb="5">
      <t>デンワ</t>
    </rPh>
    <rPh sb="5" eb="7">
      <t>バンゴウ</t>
    </rPh>
    <phoneticPr fontId="3"/>
  </si>
  <si>
    <t>【2．管理者】</t>
    <rPh sb="3" eb="5">
      <t>カンリ</t>
    </rPh>
    <phoneticPr fontId="3"/>
  </si>
  <si>
    <t>【3．調査者】</t>
    <rPh sb="3" eb="6">
      <t>チョウサシャ</t>
    </rPh>
    <phoneticPr fontId="3"/>
  </si>
  <si>
    <t>（代表となる調査者）</t>
    <phoneticPr fontId="3"/>
  </si>
  <si>
    <t>【イ．資格】</t>
    <phoneticPr fontId="3"/>
  </si>
  <si>
    <t>）建築士</t>
    <phoneticPr fontId="3"/>
  </si>
  <si>
    <t>）登録</t>
    <phoneticPr fontId="3"/>
  </si>
  <si>
    <t>第</t>
    <phoneticPr fontId="3"/>
  </si>
  <si>
    <t>号</t>
    <phoneticPr fontId="3"/>
  </si>
  <si>
    <t>【ロ．氏名のフリガナ】</t>
    <rPh sb="3" eb="5">
      <t>シメイ</t>
    </rPh>
    <phoneticPr fontId="3"/>
  </si>
  <si>
    <t xml:space="preserve">【ハ．氏名】 </t>
    <rPh sb="3" eb="5">
      <t>シメイ</t>
    </rPh>
    <phoneticPr fontId="3"/>
  </si>
  <si>
    <t>【ニ．勤務先】</t>
    <rPh sb="3" eb="5">
      <t>キンム</t>
    </rPh>
    <rPh sb="5" eb="6">
      <t>サキ</t>
    </rPh>
    <phoneticPr fontId="3"/>
  </si>
  <si>
    <t>）建築士事務所</t>
    <phoneticPr fontId="3"/>
  </si>
  <si>
    <t>）知事登録</t>
    <rPh sb="1" eb="3">
      <t>チジ</t>
    </rPh>
    <phoneticPr fontId="3"/>
  </si>
  <si>
    <t>【ホ．郵便番号】</t>
    <rPh sb="3" eb="5">
      <t>ユウビン</t>
    </rPh>
    <rPh sb="5" eb="7">
      <t>バンゴウ</t>
    </rPh>
    <phoneticPr fontId="3"/>
  </si>
  <si>
    <t>【へ．所在地】</t>
    <rPh sb="3" eb="6">
      <t>ショザイチ</t>
    </rPh>
    <phoneticPr fontId="3"/>
  </si>
  <si>
    <t>【ト．電話番号】</t>
    <rPh sb="3" eb="5">
      <t>デンワ</t>
    </rPh>
    <rPh sb="5" eb="7">
      <t>バンゴウ</t>
    </rPh>
    <phoneticPr fontId="3"/>
  </si>
  <si>
    <t>（その他の調査者）</t>
    <phoneticPr fontId="3"/>
  </si>
  <si>
    <t>【イ．資格】</t>
    <rPh sb="3" eb="5">
      <t>シカク</t>
    </rPh>
    <phoneticPr fontId="3"/>
  </si>
  <si>
    <t>【4．報告対象建築物】</t>
    <rPh sb="3" eb="5">
      <t>ホウコク</t>
    </rPh>
    <rPh sb="5" eb="7">
      <t>タイショウ</t>
    </rPh>
    <rPh sb="7" eb="9">
      <t>ケンチク</t>
    </rPh>
    <rPh sb="9" eb="10">
      <t>ブツ</t>
    </rPh>
    <phoneticPr fontId="3"/>
  </si>
  <si>
    <t>【イ．所在地】</t>
    <phoneticPr fontId="3"/>
  </si>
  <si>
    <t>【ロ．名称のフリガナ】</t>
    <phoneticPr fontId="3"/>
  </si>
  <si>
    <t>【ハ．名称】</t>
    <phoneticPr fontId="3"/>
  </si>
  <si>
    <t>【ニ．用途】</t>
    <phoneticPr fontId="3"/>
  </si>
  <si>
    <t>【5．調査による指摘の概要】</t>
    <phoneticPr fontId="3"/>
  </si>
  <si>
    <t>【イ．指摘の内容】</t>
    <rPh sb="3" eb="5">
      <t>シテキ</t>
    </rPh>
    <rPh sb="6" eb="8">
      <t>ナイヨウ</t>
    </rPh>
    <phoneticPr fontId="3"/>
  </si>
  <si>
    <t>要是正の指摘あり</t>
    <rPh sb="0" eb="1">
      <t>ヨウ</t>
    </rPh>
    <rPh sb="1" eb="3">
      <t>ゼセイ</t>
    </rPh>
    <rPh sb="4" eb="6">
      <t>シテキ</t>
    </rPh>
    <phoneticPr fontId="3"/>
  </si>
  <si>
    <t>既存不適格）</t>
    <rPh sb="0" eb="2">
      <t>キゾン</t>
    </rPh>
    <rPh sb="2" eb="4">
      <t>フテキ</t>
    </rPh>
    <rPh sb="4" eb="5">
      <t>カク</t>
    </rPh>
    <phoneticPr fontId="3"/>
  </si>
  <si>
    <t>指摘なし</t>
    <rPh sb="0" eb="2">
      <t>シテキ</t>
    </rPh>
    <phoneticPr fontId="3"/>
  </si>
  <si>
    <t>【ロ．指摘の概要】</t>
    <rPh sb="3" eb="5">
      <t>シテキ</t>
    </rPh>
    <rPh sb="6" eb="8">
      <t>ガイヨウ</t>
    </rPh>
    <phoneticPr fontId="3"/>
  </si>
  <si>
    <t>【ハ．改善予定の有無】</t>
    <rPh sb="3" eb="5">
      <t>カイゼン</t>
    </rPh>
    <rPh sb="5" eb="7">
      <t>ヨテイ</t>
    </rPh>
    <rPh sb="8" eb="10">
      <t>ウム</t>
    </rPh>
    <phoneticPr fontId="3"/>
  </si>
  <si>
    <t>有（</t>
    <rPh sb="0" eb="1">
      <t>アリ</t>
    </rPh>
    <phoneticPr fontId="3"/>
  </si>
  <si>
    <t>月に改善予定）</t>
    <rPh sb="0" eb="1">
      <t>ツキ</t>
    </rPh>
    <rPh sb="2" eb="4">
      <t>カイゼン</t>
    </rPh>
    <rPh sb="4" eb="6">
      <t>ヨテイ</t>
    </rPh>
    <phoneticPr fontId="3"/>
  </si>
  <si>
    <t>無</t>
    <rPh sb="0" eb="1">
      <t>ナシ</t>
    </rPh>
    <phoneticPr fontId="3"/>
  </si>
  <si>
    <t>【ニ．その他特記事項】</t>
    <rPh sb="5" eb="6">
      <t>タ</t>
    </rPh>
    <rPh sb="6" eb="8">
      <t>トッキ</t>
    </rPh>
    <rPh sb="8" eb="10">
      <t>ジコウ</t>
    </rPh>
    <phoneticPr fontId="3"/>
  </si>
  <si>
    <t>　※受付欄</t>
    <rPh sb="2" eb="4">
      <t>ウケツケ</t>
    </rPh>
    <rPh sb="4" eb="5">
      <t>ラン</t>
    </rPh>
    <phoneticPr fontId="3"/>
  </si>
  <si>
    <t>※特記欄</t>
    <rPh sb="1" eb="3">
      <t>トッキ</t>
    </rPh>
    <rPh sb="3" eb="4">
      <t>ラン</t>
    </rPh>
    <phoneticPr fontId="3"/>
  </si>
  <si>
    <t>係員氏名</t>
    <rPh sb="0" eb="2">
      <t>カカリイン</t>
    </rPh>
    <rPh sb="2" eb="4">
      <t>シメイ</t>
    </rPh>
    <phoneticPr fontId="3"/>
  </si>
  <si>
    <t>（第二面）</t>
    <rPh sb="1" eb="2">
      <t>ダイ</t>
    </rPh>
    <rPh sb="2" eb="3">
      <t>ニ</t>
    </rPh>
    <rPh sb="3" eb="4">
      <t>メン</t>
    </rPh>
    <phoneticPr fontId="3"/>
  </si>
  <si>
    <t>建築物及びその敷地に関する事項</t>
    <rPh sb="0" eb="3">
      <t>ケンチクブツ</t>
    </rPh>
    <rPh sb="3" eb="4">
      <t>オヨ</t>
    </rPh>
    <rPh sb="7" eb="9">
      <t>シキチ</t>
    </rPh>
    <rPh sb="10" eb="11">
      <t>カン</t>
    </rPh>
    <rPh sb="13" eb="15">
      <t>ジコウ</t>
    </rPh>
    <phoneticPr fontId="3"/>
  </si>
  <si>
    <t>【1．敷地の位置】</t>
    <rPh sb="3" eb="5">
      <t>シキチ</t>
    </rPh>
    <rPh sb="6" eb="8">
      <t>イチ</t>
    </rPh>
    <phoneticPr fontId="3"/>
  </si>
  <si>
    <t>【イ．防火地域等】</t>
    <phoneticPr fontId="3"/>
  </si>
  <si>
    <t>防火地域</t>
  </si>
  <si>
    <t>その他（</t>
    <rPh sb="2" eb="3">
      <t>タ</t>
    </rPh>
    <phoneticPr fontId="3"/>
  </si>
  <si>
    <t>【ロ．用途地域】</t>
    <phoneticPr fontId="3"/>
  </si>
  <si>
    <t>【2．建築物及びその敷地の概要】</t>
    <rPh sb="3" eb="6">
      <t>ケンチクブツ</t>
    </rPh>
    <rPh sb="6" eb="7">
      <t>オヨ</t>
    </rPh>
    <rPh sb="10" eb="12">
      <t>シキチ</t>
    </rPh>
    <rPh sb="13" eb="15">
      <t>ガイヨウ</t>
    </rPh>
    <phoneticPr fontId="3"/>
  </si>
  <si>
    <t>【イ．構造】</t>
    <phoneticPr fontId="3"/>
  </si>
  <si>
    <t>鉄筋コンクリート造</t>
    <phoneticPr fontId="3"/>
  </si>
  <si>
    <t>鉄骨鉄筋コンクリート造</t>
    <rPh sb="0" eb="2">
      <t>テッコツ</t>
    </rPh>
    <rPh sb="2" eb="4">
      <t>テッキン</t>
    </rPh>
    <rPh sb="10" eb="11">
      <t>ヅクリ</t>
    </rPh>
    <phoneticPr fontId="3"/>
  </si>
  <si>
    <t>鉄骨造</t>
    <phoneticPr fontId="3"/>
  </si>
  <si>
    <t>【ロ．階数】</t>
    <rPh sb="3" eb="5">
      <t>カイスウ</t>
    </rPh>
    <phoneticPr fontId="3"/>
  </si>
  <si>
    <t>【ハ．敷地面積】</t>
    <phoneticPr fontId="3"/>
  </si>
  <si>
    <t>【ニ．建築面積】</t>
    <phoneticPr fontId="3"/>
  </si>
  <si>
    <t>【ホ．延べ面積】</t>
    <phoneticPr fontId="3"/>
  </si>
  <si>
    <t>【3．階別用途別床面積】</t>
    <rPh sb="3" eb="4">
      <t>カイ</t>
    </rPh>
    <rPh sb="4" eb="5">
      <t>ベツ</t>
    </rPh>
    <rPh sb="5" eb="7">
      <t>ヨウト</t>
    </rPh>
    <rPh sb="7" eb="8">
      <t>ベツ</t>
    </rPh>
    <rPh sb="8" eb="11">
      <t>ユカメンセキ</t>
    </rPh>
    <phoneticPr fontId="3"/>
  </si>
  <si>
    <t>用途</t>
    <rPh sb="0" eb="2">
      <t>ヨウト</t>
    </rPh>
    <phoneticPr fontId="3"/>
  </si>
  <si>
    <t>床面積</t>
    <rPh sb="0" eb="3">
      <t>ユカメンセキ</t>
    </rPh>
    <phoneticPr fontId="3"/>
  </si>
  <si>
    <t>【イ．階別用途別】</t>
    <rPh sb="3" eb="4">
      <t>カイ</t>
    </rPh>
    <rPh sb="4" eb="5">
      <t>ベツ</t>
    </rPh>
    <rPh sb="5" eb="7">
      <t>ヨウト</t>
    </rPh>
    <rPh sb="7" eb="8">
      <t>ベツ</t>
    </rPh>
    <phoneticPr fontId="3"/>
  </si>
  <si>
    <t>【ロ．用途別】</t>
    <phoneticPr fontId="3"/>
  </si>
  <si>
    <t xml:space="preserve"> （その他の検査者２）</t>
    <rPh sb="4" eb="5">
      <t>タ</t>
    </rPh>
    <rPh sb="6" eb="9">
      <t>ケンサシャ</t>
    </rPh>
    <phoneticPr fontId="3"/>
  </si>
  <si>
    <t>（</t>
  </si>
  <si>
    <t xml:space="preserve"> ）建築士</t>
    <rPh sb="2" eb="5">
      <t>ケンチクシ</t>
    </rPh>
    <phoneticPr fontId="3"/>
  </si>
  <si>
    <t>)登録第</t>
    <phoneticPr fontId="3"/>
  </si>
  <si>
    <t>建築設備検査員</t>
    <rPh sb="0" eb="2">
      <t>ケンチク</t>
    </rPh>
    <rPh sb="2" eb="4">
      <t>セツビ</t>
    </rPh>
    <rPh sb="4" eb="6">
      <t>ケンサ</t>
    </rPh>
    <rPh sb="6" eb="7">
      <t>イン</t>
    </rPh>
    <phoneticPr fontId="3"/>
  </si>
  <si>
    <t>登録建築設備検査資格者講習を修了した者</t>
    <rPh sb="0" eb="2">
      <t>トウロク</t>
    </rPh>
    <rPh sb="2" eb="4">
      <t>ケンチク</t>
    </rPh>
    <rPh sb="4" eb="6">
      <t>セツビ</t>
    </rPh>
    <rPh sb="6" eb="8">
      <t>ケンサ</t>
    </rPh>
    <rPh sb="8" eb="11">
      <t>シカクシャ</t>
    </rPh>
    <rPh sb="11" eb="13">
      <t>コウシュウ</t>
    </rPh>
    <rPh sb="14" eb="16">
      <t>シュウリョウ</t>
    </rPh>
    <rPh sb="18" eb="19">
      <t>モノ</t>
    </rPh>
    <phoneticPr fontId="3"/>
  </si>
  <si>
    <t>【ハ．氏名】</t>
    <rPh sb="3" eb="5">
      <t>シメイ</t>
    </rPh>
    <phoneticPr fontId="3"/>
  </si>
  <si>
    <t>【ニ．勤務先】</t>
    <rPh sb="3" eb="6">
      <t>キンムサキ</t>
    </rPh>
    <phoneticPr fontId="3"/>
  </si>
  <si>
    <t xml:space="preserve"> ）建築士事務所</t>
    <rPh sb="2" eb="5">
      <t>ケンチクシ</t>
    </rPh>
    <phoneticPr fontId="3"/>
  </si>
  <si>
    <t>)知事登録第</t>
    <phoneticPr fontId="3"/>
  </si>
  <si>
    <t>【ホ．郵便番号】</t>
    <rPh sb="3" eb="7">
      <t>ユウビンバンゴウ</t>
    </rPh>
    <phoneticPr fontId="3"/>
  </si>
  <si>
    <t>【ヘ．所在地】</t>
    <rPh sb="3" eb="6">
      <t>ショザイチ</t>
    </rPh>
    <phoneticPr fontId="3"/>
  </si>
  <si>
    <t>【4．性能検証法等の適用】</t>
    <phoneticPr fontId="3"/>
  </si>
  <si>
    <t>防火区画検証法</t>
    <rPh sb="0" eb="2">
      <t>ボウカ</t>
    </rPh>
    <rPh sb="2" eb="4">
      <t>クカク</t>
    </rPh>
    <rPh sb="4" eb="7">
      <t>ケンショウホウ</t>
    </rPh>
    <phoneticPr fontId="3"/>
  </si>
  <si>
    <t>区画避難安全検証法（</t>
    <rPh sb="0" eb="2">
      <t>クカク</t>
    </rPh>
    <rPh sb="2" eb="4">
      <t>ヒナン</t>
    </rPh>
    <rPh sb="4" eb="6">
      <t>アンゼン</t>
    </rPh>
    <rPh sb="6" eb="9">
      <t>ケンショウホウ</t>
    </rPh>
    <phoneticPr fontId="3"/>
  </si>
  <si>
    <t>階避難安全検証法（</t>
    <rPh sb="0" eb="1">
      <t>カイ</t>
    </rPh>
    <rPh sb="1" eb="3">
      <t>ヒナン</t>
    </rPh>
    <rPh sb="3" eb="5">
      <t>アンゼン</t>
    </rPh>
    <rPh sb="5" eb="8">
      <t>ケンショウホウ</t>
    </rPh>
    <phoneticPr fontId="3"/>
  </si>
  <si>
    <t>全館避難安全検証法</t>
    <rPh sb="0" eb="2">
      <t>ゼンカン</t>
    </rPh>
    <rPh sb="2" eb="4">
      <t>ヒナン</t>
    </rPh>
    <rPh sb="4" eb="6">
      <t>アンゼン</t>
    </rPh>
    <rPh sb="6" eb="9">
      <t>ケンショウホウ</t>
    </rPh>
    <phoneticPr fontId="3"/>
  </si>
  <si>
    <t>【5．増築、改築、用途変更等の経過】</t>
    <rPh sb="3" eb="5">
      <t>ゾウチク</t>
    </rPh>
    <rPh sb="6" eb="8">
      <t>カイチク</t>
    </rPh>
    <rPh sb="9" eb="11">
      <t>ヨウト</t>
    </rPh>
    <rPh sb="11" eb="14">
      <t>ヘンコウナド</t>
    </rPh>
    <rPh sb="15" eb="17">
      <t>ケイカ</t>
    </rPh>
    <phoneticPr fontId="3"/>
  </si>
  <si>
    <t>【6．関連図書の整備状況】</t>
    <rPh sb="3" eb="5">
      <t>カンレン</t>
    </rPh>
    <rPh sb="5" eb="7">
      <t>トショ</t>
    </rPh>
    <rPh sb="8" eb="10">
      <t>セイビ</t>
    </rPh>
    <rPh sb="10" eb="12">
      <t>ジョウキョウ</t>
    </rPh>
    <phoneticPr fontId="3"/>
  </si>
  <si>
    <t>【イ．確認に要した図書】</t>
    <phoneticPr fontId="3"/>
  </si>
  <si>
    <t>有（</t>
    <rPh sb="0" eb="1">
      <t>ア</t>
    </rPh>
    <phoneticPr fontId="3"/>
  </si>
  <si>
    <t>各階平面図あり）</t>
    <rPh sb="0" eb="2">
      <t>カクカイ</t>
    </rPh>
    <rPh sb="2" eb="5">
      <t>ヘイメンズ</t>
    </rPh>
    <phoneticPr fontId="3"/>
  </si>
  <si>
    <t>【ロ．確認済証】</t>
    <phoneticPr fontId="3"/>
  </si>
  <si>
    <t>有</t>
    <rPh sb="0" eb="1">
      <t>ア</t>
    </rPh>
    <phoneticPr fontId="3"/>
  </si>
  <si>
    <t xml:space="preserve">  交付者</t>
    <rPh sb="2" eb="4">
      <t>コウフ</t>
    </rPh>
    <rPh sb="4" eb="5">
      <t>シャ</t>
    </rPh>
    <phoneticPr fontId="3"/>
  </si>
  <si>
    <t>指定確認検査機関（</t>
    <rPh sb="0" eb="2">
      <t>シテイ</t>
    </rPh>
    <rPh sb="2" eb="4">
      <t>カクニン</t>
    </rPh>
    <rPh sb="4" eb="6">
      <t>ケンサ</t>
    </rPh>
    <rPh sb="6" eb="8">
      <t>キカン</t>
    </rPh>
    <phoneticPr fontId="3"/>
  </si>
  <si>
    <t>【ハ．完了検査に要した図書】</t>
    <phoneticPr fontId="3"/>
  </si>
  <si>
    <t>【ニ．検査済証】</t>
    <phoneticPr fontId="3"/>
  </si>
  <si>
    <t>　交付者</t>
    <rPh sb="1" eb="3">
      <t>コウフ</t>
    </rPh>
    <rPh sb="3" eb="4">
      <t>シャ</t>
    </rPh>
    <phoneticPr fontId="3"/>
  </si>
  <si>
    <t>【ホ．維持保全に関する準則又は計画】</t>
    <phoneticPr fontId="3"/>
  </si>
  <si>
    <t>【ヘ．前回の調査に関する書類の写し】</t>
    <phoneticPr fontId="3"/>
  </si>
  <si>
    <t>建築設備検査員</t>
    <rPh sb="0" eb="2">
      <t>ケンチク</t>
    </rPh>
    <rPh sb="2" eb="4">
      <t>セツビ</t>
    </rPh>
    <rPh sb="4" eb="7">
      <t>ケンサイン</t>
    </rPh>
    <phoneticPr fontId="3"/>
  </si>
  <si>
    <t>【7．備考】</t>
    <rPh sb="3" eb="5">
      <t>ビコウ</t>
    </rPh>
    <phoneticPr fontId="3"/>
  </si>
  <si>
    <t>（第三面）</t>
    <rPh sb="1" eb="2">
      <t>ダイ</t>
    </rPh>
    <rPh sb="3" eb="4">
      <t>メン</t>
    </rPh>
    <phoneticPr fontId="3"/>
  </si>
  <si>
    <t>調査等の概要</t>
    <rPh sb="0" eb="2">
      <t>チョウサ</t>
    </rPh>
    <rPh sb="2" eb="3">
      <t>トウ</t>
    </rPh>
    <rPh sb="4" eb="6">
      <t>ガイヨウ</t>
    </rPh>
    <phoneticPr fontId="3"/>
  </si>
  <si>
    <t>【1．調査及び検査の状況】</t>
    <rPh sb="3" eb="5">
      <t>チョウサ</t>
    </rPh>
    <rPh sb="5" eb="6">
      <t>オヨ</t>
    </rPh>
    <rPh sb="7" eb="9">
      <t>ケンサ</t>
    </rPh>
    <rPh sb="10" eb="12">
      <t>ジョウキョウ</t>
    </rPh>
    <phoneticPr fontId="3"/>
  </si>
  <si>
    <t>【イ．今回の調査】</t>
    <phoneticPr fontId="3"/>
  </si>
  <si>
    <t>日実施</t>
    <rPh sb="0" eb="1">
      <t>ヒ</t>
    </rPh>
    <phoneticPr fontId="3"/>
  </si>
  <si>
    <t>【ロ．前回の調査】</t>
    <rPh sb="3" eb="5">
      <t>ゼンカイ</t>
    </rPh>
    <phoneticPr fontId="3"/>
  </si>
  <si>
    <t>実施（</t>
    <rPh sb="0" eb="2">
      <t>ジッシ</t>
    </rPh>
    <phoneticPr fontId="3"/>
  </si>
  <si>
    <t>日報告）</t>
    <rPh sb="0" eb="1">
      <t>ヒ</t>
    </rPh>
    <rPh sb="1" eb="3">
      <t>ホウコク</t>
    </rPh>
    <phoneticPr fontId="3"/>
  </si>
  <si>
    <t>【ハ．建築設備の検査】</t>
    <phoneticPr fontId="3"/>
  </si>
  <si>
    <t>【ニ．昇降機等の検査】</t>
    <phoneticPr fontId="3"/>
  </si>
  <si>
    <t>【ホ．防火設備の検査】</t>
    <phoneticPr fontId="3"/>
  </si>
  <si>
    <t>【2．調査の状況】</t>
    <rPh sb="3" eb="5">
      <t>チョウサ</t>
    </rPh>
    <rPh sb="6" eb="8">
      <t>ジョウキョウ</t>
    </rPh>
    <phoneticPr fontId="3"/>
  </si>
  <si>
    <t>（敷地及び地盤）</t>
    <phoneticPr fontId="3"/>
  </si>
  <si>
    <t>【ハ．改善予定の有無】</t>
    <phoneticPr fontId="3"/>
  </si>
  <si>
    <t>（建築物の外部）</t>
    <phoneticPr fontId="3"/>
  </si>
  <si>
    <t>【イ．指摘の内容】</t>
    <phoneticPr fontId="3"/>
  </si>
  <si>
    <t>【ロ．指摘の概要】</t>
    <phoneticPr fontId="3"/>
  </si>
  <si>
    <t>（屋上及び屋根）</t>
    <phoneticPr fontId="3"/>
  </si>
  <si>
    <t>（建築物の内部）</t>
    <phoneticPr fontId="3"/>
  </si>
  <si>
    <t>（避難施設等）</t>
    <phoneticPr fontId="3"/>
  </si>
  <si>
    <t>（その他）</t>
    <phoneticPr fontId="3"/>
  </si>
  <si>
    <t>【3．石綿を添加した建築材料の調査状況】</t>
    <rPh sb="3" eb="5">
      <t>イシワタ</t>
    </rPh>
    <rPh sb="6" eb="8">
      <t>テンカ</t>
    </rPh>
    <rPh sb="10" eb="12">
      <t>ケンチク</t>
    </rPh>
    <rPh sb="12" eb="14">
      <t>ザイリョウ</t>
    </rPh>
    <rPh sb="15" eb="17">
      <t>チョウサ</t>
    </rPh>
    <rPh sb="17" eb="19">
      <t>ジョウキョウ</t>
    </rPh>
    <phoneticPr fontId="3"/>
  </si>
  <si>
    <t>（該当する室）</t>
    <phoneticPr fontId="3"/>
  </si>
  <si>
    <t>【イ．該当建築材料の有無】</t>
    <phoneticPr fontId="3"/>
  </si>
  <si>
    <t>有（飛散防止措置無）</t>
    <phoneticPr fontId="3"/>
  </si>
  <si>
    <t>有（飛散防止措置有）</t>
    <phoneticPr fontId="3"/>
  </si>
  <si>
    <t>無</t>
    <phoneticPr fontId="3"/>
  </si>
  <si>
    <t>【4．耐震診断及び耐震改修の調査状況】</t>
    <phoneticPr fontId="3"/>
  </si>
  <si>
    <t>【イ．耐震診断の実施の有無】</t>
    <phoneticPr fontId="3"/>
  </si>
  <si>
    <t>有</t>
    <phoneticPr fontId="3"/>
  </si>
  <si>
    <t>無（</t>
    <phoneticPr fontId="3"/>
  </si>
  <si>
    <t>【ロ．耐震改修の実施の有無】</t>
    <phoneticPr fontId="3"/>
  </si>
  <si>
    <t>【5．建築物等に係る不具合等の状況】</t>
    <phoneticPr fontId="3"/>
  </si>
  <si>
    <t>【イ．不具合等】</t>
    <rPh sb="3" eb="6">
      <t>フグアイ</t>
    </rPh>
    <rPh sb="6" eb="7">
      <t>トウ</t>
    </rPh>
    <phoneticPr fontId="3"/>
  </si>
  <si>
    <t>【ロ．不具合等の記録】</t>
    <rPh sb="3" eb="6">
      <t>フグアイ</t>
    </rPh>
    <rPh sb="6" eb="7">
      <t>トウ</t>
    </rPh>
    <rPh sb="8" eb="10">
      <t>キロク</t>
    </rPh>
    <phoneticPr fontId="3"/>
  </si>
  <si>
    <t>【ハ．改善の状況】</t>
    <rPh sb="3" eb="5">
      <t>カイゼン</t>
    </rPh>
    <rPh sb="6" eb="8">
      <t>ジョウキョウ</t>
    </rPh>
    <phoneticPr fontId="3"/>
  </si>
  <si>
    <t>実施済</t>
    <rPh sb="0" eb="2">
      <t>ジッシ</t>
    </rPh>
    <rPh sb="2" eb="3">
      <t>スミ</t>
    </rPh>
    <phoneticPr fontId="3"/>
  </si>
  <si>
    <t>改善予定</t>
    <rPh sb="0" eb="2">
      <t>カイゼン</t>
    </rPh>
    <rPh sb="2" eb="4">
      <t>ヨテイ</t>
    </rPh>
    <phoneticPr fontId="3"/>
  </si>
  <si>
    <t>【6．備考】</t>
    <rPh sb="3" eb="5">
      <t>ビコウ</t>
    </rPh>
    <phoneticPr fontId="3"/>
  </si>
  <si>
    <t>（第四面）</t>
    <rPh sb="1" eb="2">
      <t>ダイ</t>
    </rPh>
    <rPh sb="3" eb="4">
      <t>メン</t>
    </rPh>
    <phoneticPr fontId="3"/>
  </si>
  <si>
    <t>建築物等に係る不具合等の状況</t>
    <rPh sb="0" eb="4">
      <t>ケンチクブツナド</t>
    </rPh>
    <rPh sb="5" eb="6">
      <t>カカワ</t>
    </rPh>
    <rPh sb="7" eb="10">
      <t>フグアイ</t>
    </rPh>
    <rPh sb="10" eb="11">
      <t>トウ</t>
    </rPh>
    <rPh sb="12" eb="14">
      <t>ジョウキョウ</t>
    </rPh>
    <phoneticPr fontId="3"/>
  </si>
  <si>
    <t>不具合等の概要</t>
    <rPh sb="0" eb="3">
      <t>フグアイ</t>
    </rPh>
    <rPh sb="5" eb="7">
      <t>ガイヨウ</t>
    </rPh>
    <phoneticPr fontId="3"/>
  </si>
  <si>
    <t>考えられる原因</t>
    <rPh sb="0" eb="1">
      <t>カンガ</t>
    </rPh>
    <rPh sb="5" eb="7">
      <t>ゲンイン</t>
    </rPh>
    <phoneticPr fontId="3"/>
  </si>
  <si>
    <t>年月</t>
    <rPh sb="0" eb="1">
      <t>ネン</t>
    </rPh>
    <rPh sb="1" eb="2">
      <t>ツキ</t>
    </rPh>
    <phoneticPr fontId="3"/>
  </si>
  <si>
    <t>(注意)</t>
  </si>
  <si>
    <t>1. 各面共通関係</t>
  </si>
  <si>
    <t>　①　※印のある欄は記入しないでください。</t>
  </si>
  <si>
    <t>　②　数字は算用数字を、単位はメートル法を用いてください。</t>
  </si>
  <si>
    <t>　③　記入欄が不足する場合は、枠を拡大、行を追加して記入するか、別紙に必要な事項を記入し添えて</t>
    <phoneticPr fontId="3"/>
  </si>
  <si>
    <t>　　ください。</t>
    <phoneticPr fontId="3"/>
  </si>
  <si>
    <t>2. 第一面関係</t>
  </si>
  <si>
    <t>　①　調査者が２人以上のときは、代表となる調査者を調査者氏名欄に記入してください。</t>
    <phoneticPr fontId="3"/>
  </si>
  <si>
    <t>　②　１欄及び２欄は、所有者又は管理者が法人のときは、「ロ」はそれぞれ法人の名称及び代表者氏名</t>
    <phoneticPr fontId="3"/>
  </si>
  <si>
    <t>　　を、「ニ」はそれぞれ法人の所在地を記入してください。</t>
    <phoneticPr fontId="3"/>
  </si>
  <si>
    <t>　③　３欄は、代表となる調査者及び当該建築物の調査を行ったすべての調査者について記入してくださ</t>
    <phoneticPr fontId="3"/>
  </si>
  <si>
    <t>　　い。当該建築物の調査を行った調査者が１人の場合は、その他の調査者欄は削除して構いません。</t>
    <phoneticPr fontId="3"/>
  </si>
  <si>
    <t>　④　３欄の「イ」は、調査者の有する資格について記入してください。調査者が特定建築物調査員であ</t>
    <phoneticPr fontId="3"/>
  </si>
  <si>
    <t>　　る場合は、特定建築物調査員資格者証の交付番号を「特定建築物調査員」の番号欄に記入してくださ</t>
    <phoneticPr fontId="3"/>
  </si>
  <si>
    <t>　　い。</t>
    <phoneticPr fontId="3"/>
  </si>
  <si>
    <t>　⑤　３欄の「ニ」は、調査者が法人に勤務している場合は、調査者の勤務先について記入し、勤務先が</t>
    <phoneticPr fontId="3"/>
  </si>
  <si>
    <t>　　建築士事務所のときは、事務所登録番号を併せて記入してください。</t>
    <phoneticPr fontId="3"/>
  </si>
  <si>
    <t>　⑥　３欄の「ホ」から「ト」までは、調査者が法人に勤務している場合は、調査者の勤務先について記</t>
    <phoneticPr fontId="3"/>
  </si>
  <si>
    <t>　　入し、調査者が法人に勤務していない場合は、調査者の住所について記入してください。</t>
    <phoneticPr fontId="3"/>
  </si>
  <si>
    <t>　⑦　第三面の２欄のいずれかの「イ」において「要是正の指摘あり」のチェックボックスに「レ」マー</t>
    <phoneticPr fontId="3"/>
  </si>
  <si>
    <t>　　クを入れたときは、５欄の「イ」の「要是正の指摘あり」のチェックボックスに「レ」マークを入れ、</t>
    <phoneticPr fontId="3"/>
  </si>
  <si>
    <t>　　それ以外のときは、「指摘なし」のチェックボックスに「レ」マークを入れてください。また、第三</t>
    <phoneticPr fontId="3"/>
  </si>
  <si>
    <t>　　面の２欄の「イ」の「要是正の指摘あり」のチェックボックスに「レ」マークを入れたものの全てに</t>
    <phoneticPr fontId="3"/>
  </si>
  <si>
    <t>　　おいて、「既存不適格」のチェックボックスに「レ」マークを入れたときは、併せて５欄の「イ」の</t>
    <phoneticPr fontId="3"/>
  </si>
  <si>
    <t>　　「既存不適格」のチェックボックスに「レ」マークを入れてください。</t>
    <phoneticPr fontId="3"/>
  </si>
  <si>
    <t>　⑧　５欄の「ロ」は、指摘された事項のうち特に報告すべき事項があれば記入してください。</t>
    <phoneticPr fontId="3"/>
  </si>
  <si>
    <t>　⑨　５欄の「ハ」は、第三面の２欄のいずれかの「ハ」において改善予定があるとしているときは「</t>
    <phoneticPr fontId="3"/>
  </si>
  <si>
    <t>　　有」のチェックボックスに「レ」マークを入れ、第三面の２欄の「ハ」に記入された改善予定年月の</t>
    <phoneticPr fontId="3"/>
  </si>
  <si>
    <t>　　うち最も早いものを併せて記入してください。</t>
    <phoneticPr fontId="3"/>
  </si>
  <si>
    <t>　⑩　５欄の「ニ」は、指摘された事項以外に特に報告すべき事項があれば記入してください。</t>
    <phoneticPr fontId="3"/>
  </si>
  <si>
    <t>3. 第二面関係</t>
  </si>
  <si>
    <t>　①　この書類は、建築物ごとに作成してください。</t>
    <phoneticPr fontId="3"/>
  </si>
  <si>
    <t>　②　敷地が複数の地域にまたがるときは、１欄の「イ」は、該当するすべてのチェックボックスに「</t>
    <phoneticPr fontId="3"/>
  </si>
  <si>
    <t>　　レ」マークを入れてください。建築基準法第22条第１項の規定により地域指定がされている場合、災</t>
    <phoneticPr fontId="3"/>
  </si>
  <si>
    <t>　　害危険区域に指定されている場合その他建築基準法又はそれに基づく命令により地域等の指定がされ</t>
    <phoneticPr fontId="3"/>
  </si>
  <si>
    <t>　　ている場合は、「その他」のチェックボックスに「レ」マークを入れ、併せてその内容を記入して下</t>
    <phoneticPr fontId="3"/>
  </si>
  <si>
    <t>　　さい。</t>
    <phoneticPr fontId="3"/>
  </si>
  <si>
    <t>　③　１欄の「ロ」は、該当する用途地域名を全て記入してください。</t>
    <phoneticPr fontId="3"/>
  </si>
  <si>
    <t>　④　２欄の「イ」は、該当する全てのチェックボックスに「レ」マークを入れてください。なお、その</t>
    <phoneticPr fontId="3"/>
  </si>
  <si>
    <t>　　他の構造からなる場合には、「その他」のチェックボックスに「レ」マークを入れ、併せて具体的な</t>
    <phoneticPr fontId="3"/>
  </si>
  <si>
    <t>　　構造を記入してください。</t>
    <phoneticPr fontId="3"/>
  </si>
  <si>
    <t>　⑤　３欄の「イ」は、建築基準法別表第一（い）欄に掲げる用途に供する部分について、最上階から順</t>
    <phoneticPr fontId="3"/>
  </si>
  <si>
    <t>　　に記入し、当該用途に供する部分の床面積を記入してください。ただし、特定行政庁が報告の必要が</t>
    <phoneticPr fontId="3"/>
  </si>
  <si>
    <t>　　ある用途を定めている場合には、その用途について記入して下さい。該当する用途が複数あるときは</t>
    <phoneticPr fontId="3"/>
  </si>
  <si>
    <t>　　、それらを全て記入してください。</t>
    <phoneticPr fontId="3"/>
  </si>
  <si>
    <t>　⑥　３欄の「ロ」は、「イ」の用途ごとに床面積の合計を記入してください。</t>
    <phoneticPr fontId="3"/>
  </si>
  <si>
    <t>　⑦　４欄は、建築基準法施行令第108条の３第２項に規定する耐火性能検証法により耐火に関する性能</t>
    <phoneticPr fontId="3"/>
  </si>
  <si>
    <t>　　が検証されたときは「耐火性能検証法」のチェックボックスに、同令第108条の３第５項に規定する</t>
    <phoneticPr fontId="3"/>
  </si>
  <si>
    <t>　　防火区画検証法により遮炎に関する性能が検証されたときは「防火区画検証法」のチェックボックス</t>
    <phoneticPr fontId="3"/>
  </si>
  <si>
    <t>　　に、同令第128条の６第３項に規定する区画避難安全検証法により区画避難安全性能が検証されたとき</t>
    <phoneticPr fontId="3"/>
  </si>
  <si>
    <t>　　は「区画避難安全検証法」のチェックボックスに、同令第129条第３項に規定する階避難安全検証法に</t>
    <phoneticPr fontId="3"/>
  </si>
  <si>
    <t>　　より階避難安全性能が検証されたときは「階避難安全検証法」のチェックボックスに、同令第129条の</t>
    <phoneticPr fontId="3"/>
  </si>
  <si>
    <t>　　２第４項に規定する全館避難安全検証法により全館避難安全性能が検証されたときは「全館避難安全</t>
    <rPh sb="41" eb="42">
      <t>ゼン</t>
    </rPh>
    <phoneticPr fontId="3"/>
  </si>
  <si>
    <t>　　検証法」のチェックボックスに、それぞれ「レ」マークを入れ、「区画避難安全検証法」の場合は区</t>
    <phoneticPr fontId="3"/>
  </si>
  <si>
    <t>　　画避難安全性能を検証した階を、「階避難安全検証法」の場合は階避難安全性能を検証した階を、併</t>
    <phoneticPr fontId="3"/>
  </si>
  <si>
    <t>　　せて記入してください。建築基準法第38条（同法第66条、第67条の２及び第88条第１項において準用</t>
    <phoneticPr fontId="3"/>
  </si>
  <si>
    <t>　　する場合を含む。）の規定による特殊構造方法等認定、同法第68条の25第１項の規定による構造方法</t>
    <phoneticPr fontId="3"/>
  </si>
  <si>
    <t>　　等の認定又は建築基準法の一部を改正する法律（平成10年法律第100号）による改正前の建築基準法</t>
    <phoneticPr fontId="3"/>
  </si>
  <si>
    <t>　　第38条の規定による認定を受けている建築物のうち、当該適用について特に報告が必要なものについ</t>
    <phoneticPr fontId="3"/>
  </si>
  <si>
    <t>　　ては「その他」のチェックボックスに「レ」マークを入れ、その概要を記入してください。</t>
    <phoneticPr fontId="3"/>
  </si>
  <si>
    <t>　⑧　５欄は、前回調査時以降の建築（新築を除く。）、模様替え、修繕又は用途の変更（以下「増築、</t>
    <phoneticPr fontId="3"/>
  </si>
  <si>
    <t>　　改築、用途変更等」という。）について、古いものから順に記入し、確認（建築基準法第６条第１項</t>
    <phoneticPr fontId="3"/>
  </si>
  <si>
    <t>　　に規定する確認。以下同じ。）を受けている場合は建築確認済証交付年月日を、受けていない場合は</t>
    <phoneticPr fontId="3"/>
  </si>
  <si>
    <t>　　増築、改築、用途変更等が完了した年月日を、併せて記入し、それぞれ増築、改築、用途変更等の概</t>
    <phoneticPr fontId="3"/>
  </si>
  <si>
    <t>　　要を記入してください。</t>
    <phoneticPr fontId="3"/>
  </si>
  <si>
    <t>　⑨　６欄の「イ」は、最近の確認について、当該確認に要した図書の全部又は一部があるときは「有」</t>
    <phoneticPr fontId="3"/>
  </si>
  <si>
    <t>　　のチェックボックスに「レ」マークを入れ、そのうち各階平面図のみがあるときは併せて「各階平面</t>
    <phoneticPr fontId="3"/>
  </si>
  <si>
    <t>　　図あり」のチェックボックスに「レ」マークを入れてください。</t>
    <phoneticPr fontId="3"/>
  </si>
  <si>
    <t>　⑩　６欄の「ロ」は、最近の確認に係る確認済証について、該当するチェックボックスに「レ」マーク</t>
    <phoneticPr fontId="3"/>
  </si>
  <si>
    <t>　　を入れてください。「有」の場合は、確認済証の交付年月日を記入し、交付者に関するチェックボッ</t>
    <phoneticPr fontId="3"/>
  </si>
  <si>
    <t>　　クスに「レ」マークを入れ、「指定確認検査機関」の場合は、併せてその名称を記入してください。</t>
    <phoneticPr fontId="3"/>
  </si>
  <si>
    <t>　⑪　６欄の「ハ」は、直近の完了検査について、当該完了検査に要した図書の全部又は一部があるとき</t>
    <phoneticPr fontId="3"/>
  </si>
  <si>
    <t>　　は「有」のチェックボックスに「レ」マークを入れてください。</t>
    <phoneticPr fontId="3"/>
  </si>
  <si>
    <t>　⑫　６欄の「ニ」は、（注意）⑩に準じて記入してください。</t>
    <phoneticPr fontId="3"/>
  </si>
  <si>
    <t>　⑬　６欄の「ホ」は、建築基準法第８条第２項に規定する維持保全に関する準則又は計画について記入</t>
    <phoneticPr fontId="3"/>
  </si>
  <si>
    <t>　　してください。</t>
    <phoneticPr fontId="3"/>
  </si>
  <si>
    <t>　⑭　６欄の「ヘ」は、前回の定期調査の結果を記録した書類の保存の有無について記入してください。</t>
    <phoneticPr fontId="3"/>
  </si>
  <si>
    <t>　⑮　建築基準法第86条の８又は同法第87条の２の規定の適用を受けている場合において、７欄にその旨</t>
    <phoneticPr fontId="3"/>
  </si>
  <si>
    <t>　　を記載してください。</t>
    <phoneticPr fontId="3"/>
  </si>
  <si>
    <t>　⑯　ここに書き表せない事項で特に報告すべき事項は、７欄又は別紙に記載して添えてください。</t>
    <phoneticPr fontId="3"/>
  </si>
  <si>
    <t>4.第三面関係</t>
  </si>
  <si>
    <t>　①　この書類は、建築物ごとに、当該建築物の敷地、構造及び建築設備の状況（別途建築設備の検査を</t>
    <phoneticPr fontId="3"/>
  </si>
  <si>
    <t>　　行っている場合は建築設備の設置の状況に係るものに限る。）に関する調査の結果について作成して</t>
    <phoneticPr fontId="3"/>
  </si>
  <si>
    <t>　②　１欄の「イ」は、調査が終了した年月日を記入してください。</t>
    <phoneticPr fontId="3"/>
  </si>
  <si>
    <t>　③　１欄の「ロ」から「ホ」までは、報告の対象となっていない場合には「未実施」のチェックボック</t>
    <phoneticPr fontId="3"/>
  </si>
  <si>
    <t>　　スに「レ」マークを入れてください。</t>
    <phoneticPr fontId="3"/>
  </si>
  <si>
    <t>　④　１欄の「ハ」から「ホ」までは、直前の報告について、それぞれ記入してください。</t>
    <phoneticPr fontId="3"/>
  </si>
  <si>
    <t>　⑤　２欄の「イ」は、調査結果において、是正が必要と認められるときは「要是正の指摘あり」のチェ</t>
    <phoneticPr fontId="3"/>
  </si>
  <si>
    <t>　　ックボックスに「レ」マークを入れ、建築基準法第３条第２項（同法第86条の９第１項において準用</t>
    <phoneticPr fontId="3"/>
  </si>
  <si>
    <t>　　する場合を含む。）の規定の適用を受けているものであることが確認されたときは併せて「既存不適</t>
    <phoneticPr fontId="3"/>
  </si>
  <si>
    <t>　　格」のチェックボックスに「レ」マークを入れてください。</t>
    <phoneticPr fontId="3"/>
  </si>
  <si>
    <t>　⑥　２欄の「イ」の「要是正の指摘あり」のチェックボックスに「レ」マークを入れたとき（「既存不</t>
    <phoneticPr fontId="3"/>
  </si>
  <si>
    <t>　　適格」のチェックボックスに「レ」マークを入れたときを除く。）は、「ロ」に指摘の概要を記入し</t>
    <phoneticPr fontId="3"/>
  </si>
  <si>
    <t>　　て下さい。</t>
    <phoneticPr fontId="3"/>
  </si>
  <si>
    <t>　⑦　２欄の「イ」の「要是正の指摘あり」のチェックボックスに「レ」マークを入れた当該指摘をうけ</t>
    <phoneticPr fontId="3"/>
  </si>
  <si>
    <t>　　た項目について改善予定があるときは「ハ」の「有」のチェックボックスに「レ」マークを入れ、併</t>
    <phoneticPr fontId="3"/>
  </si>
  <si>
    <t>　　せて改善予定年月を記入してください。改善予定がないときは「ハ」の「無」のチェックボックスに</t>
    <phoneticPr fontId="3"/>
  </si>
  <si>
    <t>　　「レ」マークを入れてください。</t>
    <phoneticPr fontId="3"/>
  </si>
  <si>
    <t>　⑧　３欄は、建築基準法第28条の２の規定の適用を受ける石綿を添加した建築材料について記入してく</t>
    <phoneticPr fontId="3"/>
  </si>
  <si>
    <t>　　ださい。「イ」の「有（飛散防止措置無）」又は「有（飛散防止措置有）」のチェックボックスに「</t>
    <phoneticPr fontId="3"/>
  </si>
  <si>
    <t>　　レ」マークを入れたときは、当該建築材料が確認された室を記入してください。当該建築材料につい</t>
    <phoneticPr fontId="3"/>
  </si>
  <si>
    <t>　　て飛散防止措置を行う予定があるときは、「ロ」の「有」のチェックボックスに「レ」マークを入れ、</t>
    <phoneticPr fontId="3"/>
  </si>
  <si>
    <t>　　併せて措置予定年月を記入してください。措置を行う予定がないときは、「ロ」の「無」のチェック</t>
    <phoneticPr fontId="3"/>
  </si>
  <si>
    <t>　　ボックスに「レ」マークを入れてください。</t>
    <phoneticPr fontId="3"/>
  </si>
  <si>
    <t>　⑨　４欄は、建築物の耐震改修の促進に関する法律（平成７年法律第123号）第２条第１項又は第２項に</t>
    <phoneticPr fontId="3"/>
  </si>
  <si>
    <t>　　規定する耐震診断又は耐震改修の実施の有無について記入してください。耐震診断又は耐震改修の実</t>
    <phoneticPr fontId="3"/>
  </si>
  <si>
    <t>　　施の予定があるときは、実施予定年月を記入し、具体的な耐震改修の内容を定めている場合は別紙に</t>
    <phoneticPr fontId="3"/>
  </si>
  <si>
    <t>　　記入し添えてください。</t>
    <phoneticPr fontId="3"/>
  </si>
  <si>
    <t>　⑩　前回調査時以降に把握した屋根ふき材、内装材、外装材等及び広告塔、装飾塔その他建築物の屋外</t>
    <phoneticPr fontId="3"/>
  </si>
  <si>
    <t>　　に取り付けられたものの脱落、バルコニー、屋上等の手すりその他建築物の部分の脱落等（以下「不</t>
    <phoneticPr fontId="3"/>
  </si>
  <si>
    <t>　　具合等」という。）について第四面の「不具合等の概要」欄に記入したときは、５欄の「イ」の「有</t>
    <phoneticPr fontId="3"/>
  </si>
  <si>
    <t>　　」のチェックボックスに「レ」マークを入れ、当該不具合等について記録が有るときは「ロ」の「有</t>
    <phoneticPr fontId="3"/>
  </si>
  <si>
    <t>　　」のチェックボックスに「レ」マークを入れ、記録が無いときは「ロ」の「無」のチェックボックス</t>
    <phoneticPr fontId="3"/>
  </si>
  <si>
    <t>　　に「レ」マークを入れてください。また、第四面に記入された不具合等のうち当該不具合等を受け既</t>
    <phoneticPr fontId="3"/>
  </si>
  <si>
    <t>　　に改善を実施しているものがあり、かつ、改善を行う予定があるものがない場合には「ハ」の「実施</t>
    <phoneticPr fontId="3"/>
  </si>
  <si>
    <t>　　済」のチェックボックスに「レ」マークを入れ、第四面に記入された不具合等のうち改善を行う予定</t>
    <phoneticPr fontId="3"/>
  </si>
  <si>
    <t>　　があるものがある場合には「改善予定」のチェックボックスに「レ」マークを入れ、第四面の「改善</t>
    <phoneticPr fontId="3"/>
  </si>
  <si>
    <t>　　（予定）年月」欄に記入された改善予定年月のうち最も早いものを併せて記入し、これら以外の場合</t>
    <phoneticPr fontId="3"/>
  </si>
  <si>
    <t>　　には「予定なし」のチェックボックスに「レ」マークを入れてください。</t>
    <phoneticPr fontId="3"/>
  </si>
  <si>
    <t>　⑪　各欄に掲げられている項目以外で特に報告すべき事項は、６欄又は別紙に記入して添えてください。</t>
    <phoneticPr fontId="3"/>
  </si>
  <si>
    <t>5.第四面関係</t>
    <phoneticPr fontId="3"/>
  </si>
  <si>
    <t>　①　第四面は、前回調査時以降に把握した建築物等に係る不具合等のうち第三面の２欄において指摘さ</t>
    <phoneticPr fontId="3"/>
  </si>
  <si>
    <t>　　れるもの以外のものについて、把握できる範囲において記入してください。前回調査時以降の不具合</t>
    <phoneticPr fontId="3"/>
  </si>
  <si>
    <t>　　等を把握していない場合は、第四面を省略することができます。</t>
    <phoneticPr fontId="3"/>
  </si>
  <si>
    <t>　②　「不具合等を把握した年月」欄は、当該不具合等を把握した年月を記入してください。</t>
    <phoneticPr fontId="3"/>
  </si>
  <si>
    <t>　③　「不具合等の概要」欄は、当該不具合等の概要を記入してください。</t>
    <phoneticPr fontId="3"/>
  </si>
  <si>
    <t>　④　「考えられる原因」欄は、当該不具合等が生じた原因として考えられるものを記入してください。</t>
    <phoneticPr fontId="3"/>
  </si>
  <si>
    <t>　⑤　「改善（予定）年月」欄は、既に改善を実施している場合には実施年月を、改善を行う予定がある</t>
    <phoneticPr fontId="3"/>
  </si>
  <si>
    <t>　　場合には改善予定年月を記入し、改善を行う予定がない場合には「－」マークを記入してください。</t>
    <phoneticPr fontId="3"/>
  </si>
  <si>
    <t>　⑥　「改善措置の概要等」欄は、既に改善を実施している場合又は改善を行う予定がある場合に、具体</t>
    <phoneticPr fontId="3"/>
  </si>
  <si>
    <t>　　的措置の概要を記入してください。改善を行う予定がない場合には、その理由を記入してください。</t>
    <phoneticPr fontId="3"/>
  </si>
  <si>
    <t>　　</t>
    <phoneticPr fontId="3"/>
  </si>
  <si>
    <t>未定</t>
    <rPh sb="0" eb="2">
      <t>ミテイ</t>
    </rPh>
    <phoneticPr fontId="3"/>
  </si>
  <si>
    <t>第三十六号の三様式（第五条、第六条の三、第十一条の三関係）（Ａ４）</t>
    <rPh sb="0" eb="1">
      <t>ダイ</t>
    </rPh>
    <rPh sb="1" eb="5">
      <t>サンジュウロクゴウ</t>
    </rPh>
    <rPh sb="6" eb="7">
      <t>ミ</t>
    </rPh>
    <rPh sb="7" eb="9">
      <t>ヨウシキ</t>
    </rPh>
    <rPh sb="10" eb="11">
      <t>ダイ</t>
    </rPh>
    <rPh sb="11" eb="13">
      <t>ゴジョウ</t>
    </rPh>
    <rPh sb="14" eb="15">
      <t>ダイ</t>
    </rPh>
    <rPh sb="15" eb="17">
      <t>ロクジョウ</t>
    </rPh>
    <rPh sb="18" eb="19">
      <t>ミ</t>
    </rPh>
    <rPh sb="20" eb="21">
      <t>ダイ</t>
    </rPh>
    <rPh sb="21" eb="24">
      <t>ジュウイチジョウ</t>
    </rPh>
    <rPh sb="25" eb="26">
      <t>サン</t>
    </rPh>
    <rPh sb="26" eb="28">
      <t>カンケイ</t>
    </rPh>
    <phoneticPr fontId="3"/>
  </si>
  <si>
    <t>定期調査報告概要書</t>
    <phoneticPr fontId="3"/>
  </si>
  <si>
    <t>【6．調査及び検査の状況】</t>
    <rPh sb="3" eb="5">
      <t>チョウサ</t>
    </rPh>
    <rPh sb="5" eb="6">
      <t>オヨ</t>
    </rPh>
    <rPh sb="7" eb="9">
      <t>ケンサ</t>
    </rPh>
    <rPh sb="10" eb="12">
      <t>ジョウキョウ</t>
    </rPh>
    <phoneticPr fontId="3"/>
  </si>
  <si>
    <t>【7．建築物等に係る不具合等の状況】</t>
    <rPh sb="3" eb="6">
      <t>ケンチクブツ</t>
    </rPh>
    <rPh sb="6" eb="7">
      <t>トウ</t>
    </rPh>
    <rPh sb="8" eb="9">
      <t>カカ</t>
    </rPh>
    <rPh sb="10" eb="13">
      <t>フグアイ</t>
    </rPh>
    <rPh sb="13" eb="14">
      <t>トウ</t>
    </rPh>
    <rPh sb="15" eb="17">
      <t>ジョウキョウ</t>
    </rPh>
    <phoneticPr fontId="3"/>
  </si>
  <si>
    <t>【ハ．不具合等の概要】</t>
    <rPh sb="3" eb="6">
      <t>フグアイ</t>
    </rPh>
    <rPh sb="6" eb="7">
      <t>トウ</t>
    </rPh>
    <rPh sb="8" eb="10">
      <t>ガイヨウ</t>
    </rPh>
    <phoneticPr fontId="3"/>
  </si>
  <si>
    <t>【ニ．改善の状況】</t>
    <rPh sb="3" eb="5">
      <t>カイゼン</t>
    </rPh>
    <rPh sb="6" eb="8">
      <t>ジョウキョウ</t>
    </rPh>
    <phoneticPr fontId="3"/>
  </si>
  <si>
    <t>改善予定（</t>
    <rPh sb="0" eb="2">
      <t>カイゼン</t>
    </rPh>
    <rPh sb="2" eb="4">
      <t>ヨテイ</t>
    </rPh>
    <phoneticPr fontId="3"/>
  </si>
  <si>
    <t>　この様式には、第三十六号の二様式に記入した内容と同一の内容を記入してください。なお、第一面</t>
    <phoneticPr fontId="3"/>
  </si>
  <si>
    <t>の５欄の「ロ」及び「ニ」は同様式第三面の２欄から４欄において指摘があつた項目について、第一面</t>
    <rPh sb="2" eb="3">
      <t>ラン</t>
    </rPh>
    <rPh sb="7" eb="8">
      <t>オヨ</t>
    </rPh>
    <rPh sb="13" eb="14">
      <t>ドウ</t>
    </rPh>
    <rPh sb="14" eb="16">
      <t>ヨウシキ</t>
    </rPh>
    <rPh sb="16" eb="17">
      <t>ダイ</t>
    </rPh>
    <rPh sb="17" eb="18">
      <t>ミ</t>
    </rPh>
    <rPh sb="18" eb="19">
      <t>メン</t>
    </rPh>
    <rPh sb="21" eb="22">
      <t>ラン</t>
    </rPh>
    <rPh sb="25" eb="26">
      <t>ラン</t>
    </rPh>
    <rPh sb="30" eb="32">
      <t>シテキ</t>
    </rPh>
    <rPh sb="36" eb="38">
      <t>コウモク</t>
    </rPh>
    <rPh sb="43" eb="45">
      <t>ダイイチ</t>
    </rPh>
    <rPh sb="45" eb="46">
      <t>メン</t>
    </rPh>
    <phoneticPr fontId="3"/>
  </si>
  <si>
    <t>の７欄の「ハ」は同様式第四面に記入されたものについて、すべて記入してください。</t>
    <phoneticPr fontId="3"/>
  </si>
  <si>
    <t>知事登録</t>
    <rPh sb="0" eb="2">
      <t>チジ</t>
    </rPh>
    <rPh sb="2" eb="4">
      <t>トウロク</t>
    </rPh>
    <phoneticPr fontId="3"/>
  </si>
  <si>
    <t>登録</t>
  </si>
  <si>
    <t>報告日</t>
    <rPh sb="0" eb="2">
      <t>ホウコク</t>
    </rPh>
    <rPh sb="2" eb="3">
      <t>ビ</t>
    </rPh>
    <phoneticPr fontId="3"/>
  </si>
  <si>
    <t>鉄骨造（S造）</t>
    <phoneticPr fontId="3"/>
  </si>
  <si>
    <t>その他</t>
    <phoneticPr fontId="3"/>
  </si>
  <si>
    <t>構造</t>
    <phoneticPr fontId="3"/>
  </si>
  <si>
    <t>備考（第二面）</t>
    <rPh sb="0" eb="2">
      <t>ビコウ</t>
    </rPh>
    <rPh sb="3" eb="4">
      <t>ダイ</t>
    </rPh>
    <rPh sb="4" eb="5">
      <t>ニ</t>
    </rPh>
    <rPh sb="5" eb="6">
      <t>メン</t>
    </rPh>
    <phoneticPr fontId="3"/>
  </si>
  <si>
    <t>セル　上端</t>
    <rPh sb="3" eb="5">
      <t>ジョウタン</t>
    </rPh>
    <phoneticPr fontId="3"/>
  </si>
  <si>
    <t>セル　下端</t>
    <rPh sb="3" eb="4">
      <t>シタ</t>
    </rPh>
    <rPh sb="4" eb="5">
      <t>ハシ</t>
    </rPh>
    <phoneticPr fontId="3"/>
  </si>
  <si>
    <t>項目番号</t>
    <rPh sb="0" eb="4">
      <t>コウモクバンゴウ</t>
    </rPh>
    <phoneticPr fontId="3"/>
  </si>
  <si>
    <t>その他</t>
    <rPh sb="2" eb="3">
      <t>タ</t>
    </rPh>
    <phoneticPr fontId="3"/>
  </si>
  <si>
    <t>フリガナ</t>
    <phoneticPr fontId="3"/>
  </si>
  <si>
    <t>番地など</t>
    <rPh sb="0" eb="2">
      <t>バンチ</t>
    </rPh>
    <phoneticPr fontId="3"/>
  </si>
  <si>
    <t>フリガナ</t>
    <phoneticPr fontId="3"/>
  </si>
  <si>
    <t>事務所登録</t>
    <rPh sb="0" eb="5">
      <t>ジムショトウロク</t>
    </rPh>
    <phoneticPr fontId="3"/>
  </si>
  <si>
    <t>建築士</t>
    <rPh sb="0" eb="3">
      <t>ケンチクシ</t>
    </rPh>
    <phoneticPr fontId="3"/>
  </si>
  <si>
    <t>名称</t>
    <rPh sb="0" eb="2">
      <t>メイショウ</t>
    </rPh>
    <phoneticPr fontId="3"/>
  </si>
  <si>
    <t>FAX番号</t>
    <rPh sb="3" eb="5">
      <t>バンゴウ</t>
    </rPh>
    <phoneticPr fontId="3"/>
  </si>
  <si>
    <t>防火地域等　1</t>
    <phoneticPr fontId="3"/>
  </si>
  <si>
    <t>防火地域等　2</t>
    <phoneticPr fontId="3"/>
  </si>
  <si>
    <t>防火地域等　3</t>
    <phoneticPr fontId="3"/>
  </si>
  <si>
    <t>用途地域　1</t>
  </si>
  <si>
    <t>用途地域　2</t>
    <phoneticPr fontId="3"/>
  </si>
  <si>
    <t>用途地域　3</t>
    <phoneticPr fontId="3"/>
  </si>
  <si>
    <t>用途地域</t>
    <rPh sb="0" eb="2">
      <t>ヨウト</t>
    </rPh>
    <rPh sb="2" eb="4">
      <t>チイキ</t>
    </rPh>
    <phoneticPr fontId="3"/>
  </si>
  <si>
    <t>構造　1</t>
    <phoneticPr fontId="3"/>
  </si>
  <si>
    <t>その他</t>
    <phoneticPr fontId="3"/>
  </si>
  <si>
    <t>構造　2</t>
    <phoneticPr fontId="3"/>
  </si>
  <si>
    <t>構造　3</t>
    <phoneticPr fontId="3"/>
  </si>
  <si>
    <t>所有者氏名</t>
    <rPh sb="0" eb="3">
      <t>ショユウシャ</t>
    </rPh>
    <rPh sb="3" eb="5">
      <t>シメイ</t>
    </rPh>
    <phoneticPr fontId="3"/>
  </si>
  <si>
    <t>確認に要した図書</t>
    <rPh sb="0" eb="2">
      <t>カクニン</t>
    </rPh>
    <rPh sb="3" eb="4">
      <t>ヨウ</t>
    </rPh>
    <rPh sb="6" eb="8">
      <t>トショ</t>
    </rPh>
    <phoneticPr fontId="3"/>
  </si>
  <si>
    <t>完了検査に要した図書</t>
    <rPh sb="0" eb="2">
      <t>カンリョウ</t>
    </rPh>
    <rPh sb="2" eb="4">
      <t>ケンサ</t>
    </rPh>
    <rPh sb="5" eb="6">
      <t>ヨウ</t>
    </rPh>
    <rPh sb="8" eb="10">
      <t>トショ</t>
    </rPh>
    <phoneticPr fontId="3"/>
  </si>
  <si>
    <t>交付番号</t>
    <phoneticPr fontId="3"/>
  </si>
  <si>
    <t>交付者</t>
    <phoneticPr fontId="3"/>
  </si>
  <si>
    <t>有無</t>
    <rPh sb="0" eb="2">
      <t>ウム</t>
    </rPh>
    <phoneticPr fontId="3"/>
  </si>
  <si>
    <t>検査機関</t>
    <rPh sb="0" eb="4">
      <t>ケンサキカン</t>
    </rPh>
    <phoneticPr fontId="3"/>
  </si>
  <si>
    <t>交付年月日</t>
    <rPh sb="2" eb="5">
      <t>ネンガッピ</t>
    </rPh>
    <phoneticPr fontId="3"/>
  </si>
  <si>
    <t>今回の調査　実施日</t>
    <rPh sb="0" eb="2">
      <t>コンカイ</t>
    </rPh>
    <rPh sb="3" eb="5">
      <t>チョウサ</t>
    </rPh>
    <phoneticPr fontId="3"/>
  </si>
  <si>
    <t>昇降機等の検査</t>
    <phoneticPr fontId="3"/>
  </si>
  <si>
    <t>防火設備の検査</t>
    <phoneticPr fontId="3"/>
  </si>
  <si>
    <t>建築設備</t>
    <rPh sb="0" eb="4">
      <t>ケンチクセツビ</t>
    </rPh>
    <phoneticPr fontId="3"/>
  </si>
  <si>
    <t>機械換気設備</t>
    <rPh sb="0" eb="2">
      <t>キカイ</t>
    </rPh>
    <rPh sb="2" eb="6">
      <t>カンキセツビ</t>
    </rPh>
    <phoneticPr fontId="3"/>
  </si>
  <si>
    <t>機械排煙設備</t>
    <rPh sb="0" eb="2">
      <t>キカイ</t>
    </rPh>
    <rPh sb="2" eb="6">
      <t>ハイエンセツビ</t>
    </rPh>
    <phoneticPr fontId="3"/>
  </si>
  <si>
    <t>非常用の照明装置</t>
    <rPh sb="0" eb="3">
      <t>ヒジョウヨウ</t>
    </rPh>
    <rPh sb="4" eb="8">
      <t>ショウメイソウチ</t>
    </rPh>
    <phoneticPr fontId="3"/>
  </si>
  <si>
    <t>給水設備及び排水設備</t>
    <rPh sb="0" eb="4">
      <t>キュウスイセツビ</t>
    </rPh>
    <rPh sb="4" eb="5">
      <t>オヨ</t>
    </rPh>
    <rPh sb="6" eb="8">
      <t>ハイスイ</t>
    </rPh>
    <rPh sb="8" eb="10">
      <t>セツビ</t>
    </rPh>
    <phoneticPr fontId="3"/>
  </si>
  <si>
    <t>随時閉鎖式の防火設備</t>
  </si>
  <si>
    <t>防火設備</t>
    <rPh sb="0" eb="2">
      <t>ボウカ</t>
    </rPh>
    <rPh sb="2" eb="4">
      <t>セツビ</t>
    </rPh>
    <phoneticPr fontId="3"/>
  </si>
  <si>
    <t>有無</t>
    <rPh sb="0" eb="2">
      <t>ウム</t>
    </rPh>
    <phoneticPr fontId="3"/>
  </si>
  <si>
    <t>設置されている階</t>
    <phoneticPr fontId="3"/>
  </si>
  <si>
    <t>定期報告対象</t>
    <rPh sb="0" eb="2">
      <t>テイキ</t>
    </rPh>
    <rPh sb="2" eb="4">
      <t>ホウコク</t>
    </rPh>
    <rPh sb="4" eb="6">
      <t>タイショウ</t>
    </rPh>
    <phoneticPr fontId="3"/>
  </si>
  <si>
    <t>自動消火設備</t>
    <rPh sb="0" eb="1">
      <t>ジ</t>
    </rPh>
    <rPh sb="1" eb="2">
      <t>ドウ</t>
    </rPh>
    <rPh sb="2" eb="4">
      <t>ショウカ</t>
    </rPh>
    <rPh sb="4" eb="6">
      <t>セツビ</t>
    </rPh>
    <phoneticPr fontId="3"/>
  </si>
  <si>
    <t>自動消火設備（スプリンクラー設備、水噴霧消火設備、泡消火設備等）</t>
    <rPh sb="0" eb="2">
      <t>ジドウ</t>
    </rPh>
    <rPh sb="2" eb="6">
      <t>ショウカセツビ</t>
    </rPh>
    <rPh sb="14" eb="16">
      <t>セツビ</t>
    </rPh>
    <rPh sb="17" eb="18">
      <t>ミズ</t>
    </rPh>
    <rPh sb="18" eb="20">
      <t>フンム</t>
    </rPh>
    <rPh sb="20" eb="22">
      <t>ショウカ</t>
    </rPh>
    <rPh sb="22" eb="24">
      <t>セツビ</t>
    </rPh>
    <rPh sb="25" eb="26">
      <t>アワ</t>
    </rPh>
    <rPh sb="26" eb="28">
      <t>ショウカ</t>
    </rPh>
    <rPh sb="28" eb="30">
      <t>セツビ</t>
    </rPh>
    <rPh sb="30" eb="31">
      <t>ナド</t>
    </rPh>
    <phoneticPr fontId="3"/>
  </si>
  <si>
    <t>有無</t>
    <phoneticPr fontId="3"/>
  </si>
  <si>
    <t>該当建築材料</t>
    <rPh sb="0" eb="2">
      <t>ガイトウ</t>
    </rPh>
    <rPh sb="2" eb="4">
      <t>ケンチク</t>
    </rPh>
    <rPh sb="4" eb="6">
      <t>ザイリョウ</t>
    </rPh>
    <phoneticPr fontId="3"/>
  </si>
  <si>
    <t>改善予定年月</t>
    <phoneticPr fontId="3"/>
  </si>
  <si>
    <t>措置予定</t>
    <rPh sb="0" eb="2">
      <t>ソチ</t>
    </rPh>
    <rPh sb="2" eb="4">
      <t>ヨテイ</t>
    </rPh>
    <phoneticPr fontId="3"/>
  </si>
  <si>
    <t>乗降ロビーの構造及び面積の確保の状況</t>
    <rPh sb="8" eb="9">
      <t>オヨ</t>
    </rPh>
    <rPh sb="10" eb="12">
      <t>メンセキ</t>
    </rPh>
    <rPh sb="13" eb="15">
      <t>カクホ</t>
    </rPh>
    <rPh sb="16" eb="18">
      <t>ジョウキョウ</t>
    </rPh>
    <phoneticPr fontId="3"/>
  </si>
  <si>
    <t>月</t>
    <rPh sb="0" eb="1">
      <t>ツキ</t>
    </rPh>
    <phoneticPr fontId="3"/>
  </si>
  <si>
    <t>年月日</t>
    <rPh sb="0" eb="3">
      <t>ネンガッピ</t>
    </rPh>
    <phoneticPr fontId="3"/>
  </si>
  <si>
    <t>概要</t>
    <rPh sb="0" eb="2">
      <t>ガイヨウ</t>
    </rPh>
    <phoneticPr fontId="3"/>
  </si>
  <si>
    <t>要是正と既存不適格</t>
    <rPh sb="0" eb="3">
      <t>ヨウゼセイ</t>
    </rPh>
    <rPh sb="4" eb="9">
      <t>キゾンフテキカク</t>
    </rPh>
    <phoneticPr fontId="3"/>
  </si>
  <si>
    <t>竣工（改修含む）から10年以内</t>
    <rPh sb="0" eb="2">
      <t>シュンコウ</t>
    </rPh>
    <rPh sb="3" eb="5">
      <t>カイシュウ</t>
    </rPh>
    <rPh sb="5" eb="6">
      <t>フク</t>
    </rPh>
    <rPh sb="12" eb="15">
      <t>ネンイナイ</t>
    </rPh>
    <phoneticPr fontId="3"/>
  </si>
  <si>
    <t>安全対策を実施しているため、全面打診等は不要</t>
    <rPh sb="0" eb="2">
      <t>アンゼン</t>
    </rPh>
    <rPh sb="2" eb="4">
      <t>タイサク</t>
    </rPh>
    <rPh sb="5" eb="7">
      <t>ジッシ</t>
    </rPh>
    <rPh sb="14" eb="18">
      <t>ゼンメンダシン</t>
    </rPh>
    <rPh sb="18" eb="19">
      <t>ナド</t>
    </rPh>
    <rPh sb="20" eb="22">
      <t>フヨウ</t>
    </rPh>
    <phoneticPr fontId="3"/>
  </si>
  <si>
    <t>全面打診等が実施できていない（実施の必要がある）</t>
    <rPh sb="0" eb="2">
      <t>ゼンメン</t>
    </rPh>
    <rPh sb="2" eb="4">
      <t>ダシン</t>
    </rPh>
    <rPh sb="4" eb="5">
      <t>トウ</t>
    </rPh>
    <rPh sb="6" eb="8">
      <t>ジッシ</t>
    </rPh>
    <rPh sb="15" eb="17">
      <t>ジッシ</t>
    </rPh>
    <rPh sb="18" eb="20">
      <t>ヒツヨウ</t>
    </rPh>
    <phoneticPr fontId="3"/>
  </si>
  <si>
    <t>全面打診等の実施状況</t>
    <phoneticPr fontId="3"/>
  </si>
  <si>
    <t>外装仕上材のタイル・石貼り等、モルタル塗り等の使用</t>
    <rPh sb="0" eb="2">
      <t>ガイソウ</t>
    </rPh>
    <rPh sb="2" eb="5">
      <t>シアゲザイ</t>
    </rPh>
    <rPh sb="10" eb="12">
      <t>イシバ</t>
    </rPh>
    <rPh sb="13" eb="14">
      <t>ナド</t>
    </rPh>
    <rPh sb="19" eb="20">
      <t>ヌ</t>
    </rPh>
    <rPh sb="21" eb="22">
      <t>ナド</t>
    </rPh>
    <rPh sb="23" eb="25">
      <t>シヨウ</t>
    </rPh>
    <phoneticPr fontId="3"/>
  </si>
  <si>
    <t>調査者
番号</t>
    <rPh sb="0" eb="3">
      <t>チョウサシャ</t>
    </rPh>
    <rPh sb="4" eb="6">
      <t>バンゴウ</t>
    </rPh>
    <phoneticPr fontId="3"/>
  </si>
  <si>
    <t>年月カウント</t>
    <rPh sb="0" eb="2">
      <t>ネンゲツ</t>
    </rPh>
    <phoneticPr fontId="3"/>
  </si>
  <si>
    <t>項目</t>
    <rPh sb="0" eb="2">
      <t>コウモク</t>
    </rPh>
    <phoneticPr fontId="3"/>
  </si>
  <si>
    <t>1(1)</t>
  </si>
  <si>
    <t>1(2)</t>
  </si>
  <si>
    <t>1(3)</t>
  </si>
  <si>
    <t>1(4)</t>
  </si>
  <si>
    <t>1(5)</t>
  </si>
  <si>
    <t>1(6)</t>
  </si>
  <si>
    <t>1(7)</t>
  </si>
  <si>
    <t>1(8)</t>
  </si>
  <si>
    <t>1(9)</t>
  </si>
  <si>
    <t>4(1)</t>
  </si>
  <si>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</si>
  <si>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</si>
  <si>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</si>
  <si>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</si>
  <si>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</si>
  <si>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</si>
  <si>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</si>
  <si>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</si>
  <si>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</si>
  <si>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</si>
  <si>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</si>
  <si>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</si>
  <si>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</si>
  <si>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</si>
  <si>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</si>
  <si>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</si>
  <si>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</si>
  <si>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</si>
  <si>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</si>
  <si>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</si>
  <si>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</si>
  <si>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</si>
  <si>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</si>
  <si>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</si>
  <si>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</si>
  <si>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</si>
  <si>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</si>
  <si>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</si>
  <si>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</si>
  <si>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</si>
  <si>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</si>
  <si>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</si>
  <si>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</si>
  <si>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</si>
  <si>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</si>
  <si>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</si>
  <si>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</si>
  <si>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</si>
  <si>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</si>
  <si>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</si>
  <si>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</si>
  <si>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</si>
  <si>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</si>
  <si>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</si>
  <si>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5(1)</t>
  </si>
  <si>
    <t>5(2)</t>
  </si>
  <si>
    <t>5(3)</t>
  </si>
  <si>
    <t>5(4)</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</si>
  <si>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</si>
  <si>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</si>
  <si>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</si>
  <si>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</si>
  <si>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</si>
  <si>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</si>
  <si>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</si>
  <si>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</si>
  <si>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</si>
  <si>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</si>
  <si>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</si>
  <si>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</si>
  <si>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</si>
  <si>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</si>
  <si>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</si>
  <si>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</si>
  <si>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</si>
  <si>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</si>
  <si>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</si>
  <si>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</si>
  <si>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</si>
  <si>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</si>
  <si>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</si>
  <si>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</si>
  <si>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</si>
  <si>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</si>
  <si>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</si>
  <si>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</si>
  <si>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</si>
  <si>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</si>
  <si>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</si>
  <si>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</si>
  <si>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</si>
  <si>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</si>
  <si>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</si>
  <si>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</si>
  <si>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6(1)</t>
  </si>
  <si>
    <t>6(2)</t>
  </si>
  <si>
    <t>6(3)</t>
  </si>
  <si>
    <t>6(4)</t>
  </si>
  <si>
    <t>6(5)</t>
  </si>
  <si>
    <t>6(6)</t>
  </si>
  <si>
    <t>6(7)</t>
  </si>
  <si>
    <t>6(8)</t>
  </si>
  <si>
    <t>6(9)</t>
  </si>
  <si>
    <t>7(1)</t>
  </si>
  <si>
    <t>7(2)</t>
  </si>
  <si>
    <t>7(3)</t>
  </si>
  <si>
    <t>7(4)</t>
  </si>
  <si>
    <t>7(5)</t>
  </si>
  <si>
    <t>項目番号
関数なし</t>
    <rPh sb="0" eb="4">
      <t>コウモクバンゴウ</t>
    </rPh>
    <rPh sb="5" eb="7">
      <t>カンスウ</t>
    </rPh>
    <phoneticPr fontId="3"/>
  </si>
  <si>
    <t>3．階別用途別床面積</t>
  </si>
  <si>
    <t>年
(令和)</t>
    <rPh sb="0" eb="1">
      <t>ネン</t>
    </rPh>
    <rPh sb="3" eb="5">
      <t>レイワ</t>
    </rPh>
    <phoneticPr fontId="3"/>
  </si>
  <si>
    <t>確認図書あり</t>
    <phoneticPr fontId="3"/>
  </si>
  <si>
    <t>確認図書なし</t>
    <phoneticPr fontId="3"/>
  </si>
  <si>
    <t>平面図のみあり</t>
    <phoneticPr fontId="3"/>
  </si>
  <si>
    <t>有</t>
    <rPh sb="0" eb="1">
      <t>アリ</t>
    </rPh>
    <phoneticPr fontId="3"/>
  </si>
  <si>
    <t>無</t>
  </si>
  <si>
    <t>無</t>
    <rPh sb="0" eb="1">
      <t>ナシ</t>
    </rPh>
    <phoneticPr fontId="3"/>
  </si>
  <si>
    <t>新築</t>
    <phoneticPr fontId="3"/>
  </si>
  <si>
    <t>増築</t>
    <phoneticPr fontId="3"/>
  </si>
  <si>
    <t>大規模の模様替</t>
    <phoneticPr fontId="3"/>
  </si>
  <si>
    <t>用途変更</t>
    <phoneticPr fontId="3"/>
  </si>
  <si>
    <t>大規模の修繕</t>
    <phoneticPr fontId="3"/>
  </si>
  <si>
    <t>改築</t>
    <phoneticPr fontId="3"/>
  </si>
  <si>
    <t>移転</t>
    <phoneticPr fontId="3"/>
  </si>
  <si>
    <t>建築主事</t>
    <phoneticPr fontId="3"/>
  </si>
  <si>
    <t>指定確認検査機関</t>
    <phoneticPr fontId="3"/>
  </si>
  <si>
    <t>対象外</t>
    <rPh sb="0" eb="3">
      <t>タイショウガイ</t>
    </rPh>
    <phoneticPr fontId="3"/>
  </si>
  <si>
    <t>実施</t>
    <rPh sb="0" eb="2">
      <t>ジッシ</t>
    </rPh>
    <phoneticPr fontId="3"/>
  </si>
  <si>
    <t>有（飛散防止措置無）</t>
    <phoneticPr fontId="3"/>
  </si>
  <si>
    <t>未調査</t>
    <phoneticPr fontId="3"/>
  </si>
  <si>
    <t>有（飛散防止措置有）</t>
    <phoneticPr fontId="3"/>
  </si>
  <si>
    <t>未実施</t>
    <phoneticPr fontId="3"/>
  </si>
  <si>
    <t>対象外</t>
    <phoneticPr fontId="3"/>
  </si>
  <si>
    <t>無</t>
    <phoneticPr fontId="3"/>
  </si>
  <si>
    <t>年</t>
    <rPh sb="0" eb="1">
      <t>ネン</t>
    </rPh>
    <phoneticPr fontId="1"/>
  </si>
  <si>
    <t>2-1.調査の状況</t>
  </si>
  <si>
    <t>ｲ．指摘の内容</t>
    <rPh sb="2" eb="4">
      <t>シテキ</t>
    </rPh>
    <rPh sb="5" eb="7">
      <t>ナイヨウ</t>
    </rPh>
    <phoneticPr fontId="1"/>
  </si>
  <si>
    <t>要是正の指摘あり</t>
    <rPh sb="0" eb="1">
      <t>ヨウ</t>
    </rPh>
    <rPh sb="1" eb="3">
      <t>ゼセイ</t>
    </rPh>
    <rPh sb="4" eb="6">
      <t>シテキ</t>
    </rPh>
    <phoneticPr fontId="1"/>
  </si>
  <si>
    <t>既存不適格）</t>
    <rPh sb="0" eb="2">
      <t>キゾン</t>
    </rPh>
    <rPh sb="2" eb="5">
      <t>フテキカク</t>
    </rPh>
    <phoneticPr fontId="1"/>
  </si>
  <si>
    <t>(敷地及び地盤)</t>
    <rPh sb="1" eb="3">
      <t>シキチ</t>
    </rPh>
    <rPh sb="3" eb="4">
      <t>オヨ</t>
    </rPh>
    <rPh sb="5" eb="7">
      <t>ジバン</t>
    </rPh>
    <phoneticPr fontId="1"/>
  </si>
  <si>
    <t>ﾛ．指摘の概要</t>
    <rPh sb="2" eb="4">
      <t>シテキ</t>
    </rPh>
    <rPh sb="5" eb="7">
      <t>ガイヨウ</t>
    </rPh>
    <phoneticPr fontId="1"/>
  </si>
  <si>
    <t>ﾊ．改善予定の有無</t>
    <rPh sb="2" eb="4">
      <t>カイゼン</t>
    </rPh>
    <rPh sb="4" eb="6">
      <t>ヨテイ</t>
    </rPh>
    <rPh sb="7" eb="9">
      <t>ウム</t>
    </rPh>
    <phoneticPr fontId="1"/>
  </si>
  <si>
    <t>2-2.調査の状況</t>
  </si>
  <si>
    <t>(建築物の外部)</t>
    <rPh sb="1" eb="4">
      <t>ケンチクブツ</t>
    </rPh>
    <rPh sb="5" eb="7">
      <t>ガイブ</t>
    </rPh>
    <phoneticPr fontId="1"/>
  </si>
  <si>
    <t>2-3.調査の状況</t>
  </si>
  <si>
    <t>(屋上及び屋根)</t>
    <rPh sb="1" eb="3">
      <t>オクジョウ</t>
    </rPh>
    <rPh sb="3" eb="4">
      <t>オヨ</t>
    </rPh>
    <rPh sb="5" eb="7">
      <t>ヤネ</t>
    </rPh>
    <phoneticPr fontId="1"/>
  </si>
  <si>
    <t>2-4.調査の状況</t>
  </si>
  <si>
    <t>(建築物の内部)</t>
    <rPh sb="1" eb="4">
      <t>ケンチクブツ</t>
    </rPh>
    <rPh sb="5" eb="7">
      <t>ナイブ</t>
    </rPh>
    <phoneticPr fontId="1"/>
  </si>
  <si>
    <t>指摘なし</t>
  </si>
  <si>
    <t>有</t>
    <rPh sb="0" eb="1">
      <t>ア</t>
    </rPh>
    <phoneticPr fontId="1"/>
  </si>
  <si>
    <t>(令和</t>
    <rPh sb="1" eb="3">
      <t>レイワ</t>
    </rPh>
    <phoneticPr fontId="1"/>
  </si>
  <si>
    <t>無</t>
    <rPh sb="0" eb="1">
      <t>ナ</t>
    </rPh>
    <phoneticPr fontId="1"/>
  </si>
  <si>
    <t>2-5.調査の状況</t>
  </si>
  <si>
    <t>(避難施設等)</t>
    <rPh sb="1" eb="3">
      <t>ヒナン</t>
    </rPh>
    <rPh sb="3" eb="5">
      <t>シセツ</t>
    </rPh>
    <rPh sb="5" eb="6">
      <t>トウ</t>
    </rPh>
    <phoneticPr fontId="1"/>
  </si>
  <si>
    <t>2-6.調査の状況</t>
  </si>
  <si>
    <t>（その他）</t>
    <rPh sb="3" eb="4">
      <t>ホカ</t>
    </rPh>
    <phoneticPr fontId="1"/>
  </si>
  <si>
    <t>指摘の具体的内容等
要是正＋（既存不適格）</t>
    <rPh sb="0" eb="2">
      <t>シテキ</t>
    </rPh>
    <rPh sb="8" eb="9">
      <t>トウ</t>
    </rPh>
    <rPh sb="10" eb="13">
      <t>ヨウゼセイ</t>
    </rPh>
    <rPh sb="15" eb="20">
      <t>キゾンフテキカク</t>
    </rPh>
    <phoneticPr fontId="3"/>
  </si>
  <si>
    <t>カウント
報告書用</t>
    <rPh sb="5" eb="8">
      <t>ホウコクショ</t>
    </rPh>
    <rPh sb="8" eb="9">
      <t>ヨウ</t>
    </rPh>
    <phoneticPr fontId="3"/>
  </si>
  <si>
    <t xml:space="preserve"> ※整理番号欄</t>
    <rPh sb="2" eb="4">
      <t>セイリ</t>
    </rPh>
    <rPh sb="4" eb="6">
      <t>バンゴウ</t>
    </rPh>
    <rPh sb="6" eb="7">
      <t>ラン</t>
    </rPh>
    <phoneticPr fontId="3"/>
  </si>
  <si>
    <t>要是正の指摘あり （</t>
    <rPh sb="0" eb="1">
      <t>ヨウ</t>
    </rPh>
    <rPh sb="1" eb="3">
      <t>ゼセイ</t>
    </rPh>
    <rPh sb="4" eb="6">
      <t>シテキ</t>
    </rPh>
    <phoneticPr fontId="3"/>
  </si>
  <si>
    <t>改善（予定）</t>
    <rPh sb="0" eb="2">
      <t>カイゼン</t>
    </rPh>
    <rPh sb="3" eb="5">
      <t>ヨテイ</t>
    </rPh>
    <phoneticPr fontId="3"/>
  </si>
  <si>
    <t>←調査結果表に記入する内容については、記入不要です</t>
    <rPh sb="1" eb="6">
      <t>チョウサケッカヒョウ</t>
    </rPh>
    <rPh sb="7" eb="9">
      <t>キニュウ</t>
    </rPh>
    <rPh sb="11" eb="13">
      <t>ナイヨウ</t>
    </rPh>
    <rPh sb="19" eb="23">
      <t>キニュウフヨウ</t>
    </rPh>
    <phoneticPr fontId="3"/>
  </si>
  <si>
    <t>改善の状況</t>
    <rPh sb="0" eb="2">
      <t>カイゼン</t>
    </rPh>
    <rPh sb="3" eb="5">
      <t>ジョウキョウ</t>
    </rPh>
    <phoneticPr fontId="3"/>
  </si>
  <si>
    <t>改善措置の概要等又は改善の予定がない場合は理由</t>
    <rPh sb="0" eb="4">
      <t>カイゼンソチ</t>
    </rPh>
    <rPh sb="5" eb="7">
      <t>ガイヨウ</t>
    </rPh>
    <rPh sb="7" eb="8">
      <t>ナド</t>
    </rPh>
    <rPh sb="8" eb="9">
      <t>マタ</t>
    </rPh>
    <rPh sb="10" eb="12">
      <t>カイゼン</t>
    </rPh>
    <rPh sb="13" eb="15">
      <t>ヨテイ</t>
    </rPh>
    <rPh sb="18" eb="20">
      <t>バアイ</t>
    </rPh>
    <rPh sb="21" eb="23">
      <t>リユウ</t>
    </rPh>
    <phoneticPr fontId="3"/>
  </si>
  <si>
    <t>年月</t>
    <rPh sb="0" eb="2">
      <t>ネンゲツ</t>
    </rPh>
    <phoneticPr fontId="3"/>
  </si>
  <si>
    <t>要是正カウント（別添2リンク先）</t>
    <rPh sb="0" eb="3">
      <t>ヨウゼセイ</t>
    </rPh>
    <rPh sb="8" eb="10">
      <t>ベッテン</t>
    </rPh>
    <rPh sb="14" eb="15">
      <t>サキ</t>
    </rPh>
    <phoneticPr fontId="3"/>
  </si>
  <si>
    <t>（注意事項）</t>
    <rPh sb="1" eb="5">
      <t>チュウイジコウ</t>
    </rPh>
    <phoneticPr fontId="3"/>
  </si>
  <si>
    <t>第三面５欄・第四面</t>
    <rPh sb="1" eb="2">
      <t>サン</t>
    </rPh>
    <rPh sb="2" eb="3">
      <t>メン</t>
    </rPh>
    <rPh sb="6" eb="9">
      <t>ダイヨンメン</t>
    </rPh>
    <phoneticPr fontId="3"/>
  </si>
  <si>
    <t>実施済み</t>
    <rPh sb="0" eb="3">
      <t>ジッシズ</t>
    </rPh>
    <phoneticPr fontId="3"/>
  </si>
  <si>
    <t>改善予定</t>
    <rPh sb="0" eb="4">
      <t>カイゼンヨテイ</t>
    </rPh>
    <phoneticPr fontId="3"/>
  </si>
  <si>
    <t>予定なし</t>
    <rPh sb="0" eb="2">
      <t>ヨテイ</t>
    </rPh>
    <phoneticPr fontId="3"/>
  </si>
  <si>
    <t>資格</t>
    <rPh sb="0" eb="2">
      <t>シカク</t>
    </rPh>
    <phoneticPr fontId="3"/>
  </si>
  <si>
    <t>第</t>
    <rPh sb="0" eb="1">
      <t>ダイ</t>
    </rPh>
    <phoneticPr fontId="3"/>
  </si>
  <si>
    <t>（第二面　別紙）</t>
    <rPh sb="1" eb="2">
      <t>ダイ</t>
    </rPh>
    <rPh sb="2" eb="4">
      <t>ニメン</t>
    </rPh>
    <rPh sb="5" eb="7">
      <t>ベッシ</t>
    </rPh>
    <phoneticPr fontId="3"/>
  </si>
  <si>
    <t>（第三面　別紙1）</t>
    <rPh sb="1" eb="2">
      <t>ダイ</t>
    </rPh>
    <rPh sb="2" eb="3">
      <t>サン</t>
    </rPh>
    <rPh sb="3" eb="4">
      <t>メン</t>
    </rPh>
    <rPh sb="5" eb="7">
      <t>ベッシ</t>
    </rPh>
    <phoneticPr fontId="3"/>
  </si>
  <si>
    <t>既存不適格のみの場合</t>
    <rPh sb="0" eb="5">
      <t>キゾンフテキカク</t>
    </rPh>
    <rPh sb="8" eb="10">
      <t>バアイ</t>
    </rPh>
    <phoneticPr fontId="3"/>
  </si>
  <si>
    <t>改善（予定）
年月</t>
    <phoneticPr fontId="3"/>
  </si>
  <si>
    <t>年
(令和)</t>
    <phoneticPr fontId="3"/>
  </si>
  <si>
    <t>月</t>
    <phoneticPr fontId="3"/>
  </si>
  <si>
    <t>実施済</t>
    <rPh sb="0" eb="3">
      <t>ジッシズ</t>
    </rPh>
    <phoneticPr fontId="3"/>
  </si>
  <si>
    <t>未実施
対象外</t>
    <rPh sb="0" eb="3">
      <t>ミジッシ</t>
    </rPh>
    <rPh sb="4" eb="7">
      <t>タイショウガイ</t>
    </rPh>
    <phoneticPr fontId="3"/>
  </si>
  <si>
    <t>要是正ありの場合</t>
    <rPh sb="0" eb="3">
      <t>ヨウゼセイ</t>
    </rPh>
    <rPh sb="6" eb="8">
      <t>バアイ</t>
    </rPh>
    <phoneticPr fontId="3"/>
  </si>
  <si>
    <t>関連写真添付　リンク指定先一覧</t>
    <rPh sb="0" eb="4">
      <t>カンレンシャシン</t>
    </rPh>
    <rPh sb="4" eb="6">
      <t>テンプ</t>
    </rPh>
    <rPh sb="10" eb="13">
      <t>シテイサキ</t>
    </rPh>
    <rPh sb="13" eb="15">
      <t>イチラン</t>
    </rPh>
    <phoneticPr fontId="3"/>
  </si>
  <si>
    <t>関連写真添付　リンク指定先</t>
    <phoneticPr fontId="3"/>
  </si>
  <si>
    <t>報告書１面5欄用</t>
    <rPh sb="0" eb="3">
      <t>ホウコクショ</t>
    </rPh>
    <rPh sb="4" eb="5">
      <t>メン</t>
    </rPh>
    <rPh sb="6" eb="7">
      <t>ラン</t>
    </rPh>
    <rPh sb="7" eb="8">
      <t>ヨウ</t>
    </rPh>
    <phoneticPr fontId="3"/>
  </si>
  <si>
    <t>要是正</t>
    <rPh sb="0" eb="3">
      <t>ヨウゼセイ</t>
    </rPh>
    <phoneticPr fontId="3"/>
  </si>
  <si>
    <t>変換/有</t>
    <rPh sb="0" eb="2">
      <t>ヘンカン</t>
    </rPh>
    <rPh sb="3" eb="4">
      <t>アリ</t>
    </rPh>
    <phoneticPr fontId="3"/>
  </si>
  <si>
    <t>西暦変換/(有)</t>
    <rPh sb="0" eb="2">
      <t>セイレキ</t>
    </rPh>
    <rPh sb="2" eb="4">
      <t>ヘンカン</t>
    </rPh>
    <rPh sb="6" eb="7">
      <t>アリ</t>
    </rPh>
    <phoneticPr fontId="3"/>
  </si>
  <si>
    <t>未来の年月
カウント/年</t>
    <rPh sb="0" eb="2">
      <t>ミライ</t>
    </rPh>
    <rPh sb="3" eb="5">
      <t>ネンゲツ</t>
    </rPh>
    <rPh sb="11" eb="12">
      <t>ネン</t>
    </rPh>
    <phoneticPr fontId="3"/>
  </si>
  <si>
    <t>未来の直近/月</t>
    <rPh sb="0" eb="2">
      <t>ミライ</t>
    </rPh>
    <rPh sb="3" eb="5">
      <t>チョッキン</t>
    </rPh>
    <rPh sb="6" eb="7">
      <t>ツキ</t>
    </rPh>
    <phoneticPr fontId="3"/>
  </si>
  <si>
    <t>未定/無</t>
    <rPh sb="3" eb="4">
      <t>ナシ</t>
    </rPh>
    <phoneticPr fontId="3"/>
  </si>
  <si>
    <t>報告書　第三面別紙</t>
    <phoneticPr fontId="3"/>
  </si>
  <si>
    <t>配列関数（セルを選択した際はCtrl+Shift+Enterで）</t>
    <rPh sb="0" eb="4">
      <t>ハイレツカンスウ</t>
    </rPh>
    <rPh sb="8" eb="10">
      <t>センタク</t>
    </rPh>
    <rPh sb="12" eb="13">
      <t>サイ</t>
    </rPh>
    <phoneticPr fontId="3"/>
  </si>
  <si>
    <t>報告書　第一面5</t>
    <rPh sb="5" eb="6">
      <t>イチ</t>
    </rPh>
    <rPh sb="6" eb="7">
      <t>メン</t>
    </rPh>
    <phoneticPr fontId="3"/>
  </si>
  <si>
    <t>西暦変換
/有（済）</t>
    <rPh sb="0" eb="2">
      <t>セイレキ</t>
    </rPh>
    <rPh sb="2" eb="4">
      <t>ヘンカン</t>
    </rPh>
    <rPh sb="6" eb="7">
      <t>アリ</t>
    </rPh>
    <rPh sb="8" eb="9">
      <t>スミ</t>
    </rPh>
    <phoneticPr fontId="3"/>
  </si>
  <si>
    <t>変換
/有(予定)</t>
    <rPh sb="0" eb="2">
      <t>ヘンカン</t>
    </rPh>
    <rPh sb="4" eb="5">
      <t>アリ</t>
    </rPh>
    <rPh sb="6" eb="8">
      <t>ヨテイ</t>
    </rPh>
    <phoneticPr fontId="3"/>
  </si>
  <si>
    <t>未来の直近</t>
    <rPh sb="0" eb="2">
      <t>ミライ</t>
    </rPh>
    <rPh sb="3" eb="5">
      <t>チョッキン</t>
    </rPh>
    <phoneticPr fontId="3"/>
  </si>
  <si>
    <t>過去の直近</t>
    <rPh sb="0" eb="2">
      <t>カコ</t>
    </rPh>
    <rPh sb="3" eb="5">
      <t>チョッキン</t>
    </rPh>
    <phoneticPr fontId="3"/>
  </si>
  <si>
    <t>　/無</t>
    <phoneticPr fontId="3"/>
  </si>
  <si>
    <t>第二面　別紙参照</t>
    <rPh sb="0" eb="3">
      <t>ダイニメン</t>
    </rPh>
    <rPh sb="4" eb="8">
      <t>ベッシサンショウ</t>
    </rPh>
    <phoneticPr fontId="3"/>
  </si>
  <si>
    <t>調査結果表</t>
    <rPh sb="0" eb="2">
      <t>チョウサ</t>
    </rPh>
    <rPh sb="2" eb="5">
      <t>ケッカヒョウ</t>
    </rPh>
    <phoneticPr fontId="3"/>
  </si>
  <si>
    <t>対象外項目</t>
    <rPh sb="0" eb="3">
      <t>タイショウガイ</t>
    </rPh>
    <rPh sb="3" eb="5">
      <t>コウモク</t>
    </rPh>
    <phoneticPr fontId="3"/>
  </si>
  <si>
    <t>担当
調査者
番号</t>
    <rPh sb="0" eb="2">
      <t>タントウ</t>
    </rPh>
    <rPh sb="3" eb="6">
      <t>チョウサシャ</t>
    </rPh>
    <rPh sb="7" eb="9">
      <t>バンゴウ</t>
    </rPh>
    <phoneticPr fontId="3"/>
  </si>
  <si>
    <t>指摘
なし</t>
    <phoneticPr fontId="3"/>
  </si>
  <si>
    <t>要是正</t>
    <rPh sb="0" eb="1">
      <t>ヨウ</t>
    </rPh>
    <rPh sb="1" eb="3">
      <t>ゼセイ</t>
    </rPh>
    <phoneticPr fontId="3"/>
  </si>
  <si>
    <t>既　存
不適格</t>
    <phoneticPr fontId="3"/>
  </si>
  <si>
    <t>(2)</t>
    <phoneticPr fontId="3"/>
  </si>
  <si>
    <t>(3)</t>
    <phoneticPr fontId="3"/>
  </si>
  <si>
    <t>(4)</t>
    <phoneticPr fontId="3"/>
  </si>
  <si>
    <t>(5)</t>
    <phoneticPr fontId="3"/>
  </si>
  <si>
    <t>組積造の塀又は補強コンクリートブロック造の塀等の耐震対策の状況</t>
    <rPh sb="0" eb="1">
      <t>ソ</t>
    </rPh>
    <rPh sb="1" eb="2">
      <t>セキ</t>
    </rPh>
    <rPh sb="2" eb="3">
      <t>ゾウ</t>
    </rPh>
    <rPh sb="4" eb="5">
      <t>ヘイ</t>
    </rPh>
    <rPh sb="5" eb="6">
      <t>マタ</t>
    </rPh>
    <rPh sb="7" eb="9">
      <t>ホキョウ</t>
    </rPh>
    <rPh sb="19" eb="20">
      <t>ゾウ</t>
    </rPh>
    <rPh sb="21" eb="22">
      <t>ヘイ</t>
    </rPh>
    <rPh sb="29" eb="30">
      <t>ジョウ</t>
    </rPh>
    <phoneticPr fontId="3"/>
  </si>
  <si>
    <t>(7)</t>
    <phoneticPr fontId="3"/>
  </si>
  <si>
    <t>(8)</t>
    <phoneticPr fontId="3"/>
  </si>
  <si>
    <t>(9)</t>
    <phoneticPr fontId="3"/>
  </si>
  <si>
    <t>(10)</t>
    <phoneticPr fontId="3"/>
  </si>
  <si>
    <t>(11)</t>
    <phoneticPr fontId="3"/>
  </si>
  <si>
    <t>(12)</t>
    <phoneticPr fontId="3"/>
  </si>
  <si>
    <t>(13)</t>
    <phoneticPr fontId="3"/>
  </si>
  <si>
    <t>(14)</t>
    <phoneticPr fontId="3"/>
  </si>
  <si>
    <t>(15)</t>
    <phoneticPr fontId="3"/>
  </si>
  <si>
    <t>(16)</t>
    <phoneticPr fontId="3"/>
  </si>
  <si>
    <t>(17)</t>
    <phoneticPr fontId="3"/>
  </si>
  <si>
    <t>(18)</t>
    <phoneticPr fontId="3"/>
  </si>
  <si>
    <t>警報設備</t>
    <phoneticPr fontId="3"/>
  </si>
  <si>
    <t>警報設備の設置の状況</t>
    <phoneticPr fontId="3"/>
  </si>
  <si>
    <t>警報設備の劣化及び損傷の状況</t>
    <phoneticPr fontId="3"/>
  </si>
  <si>
    <t>(45)</t>
    <phoneticPr fontId="3"/>
  </si>
  <si>
    <t>(46)</t>
    <phoneticPr fontId="3"/>
  </si>
  <si>
    <t>(47)</t>
    <phoneticPr fontId="3"/>
  </si>
  <si>
    <t>(19)</t>
    <phoneticPr fontId="3"/>
  </si>
  <si>
    <t>(20)</t>
    <phoneticPr fontId="3"/>
  </si>
  <si>
    <t>(21)</t>
    <phoneticPr fontId="3"/>
  </si>
  <si>
    <t>(22)</t>
    <phoneticPr fontId="3"/>
  </si>
  <si>
    <t>(23)</t>
    <phoneticPr fontId="3"/>
  </si>
  <si>
    <t>(24)</t>
    <phoneticPr fontId="3"/>
  </si>
  <si>
    <t>(25)</t>
    <phoneticPr fontId="3"/>
  </si>
  <si>
    <t>(26)</t>
    <phoneticPr fontId="3"/>
  </si>
  <si>
    <t>(27)</t>
    <phoneticPr fontId="3"/>
  </si>
  <si>
    <t>(28)</t>
    <phoneticPr fontId="3"/>
  </si>
  <si>
    <t>(29)</t>
    <phoneticPr fontId="3"/>
  </si>
  <si>
    <t>(30)</t>
    <phoneticPr fontId="3"/>
  </si>
  <si>
    <t>(31)</t>
    <phoneticPr fontId="3"/>
  </si>
  <si>
    <t>(32)</t>
    <phoneticPr fontId="3"/>
  </si>
  <si>
    <t>(33)</t>
    <phoneticPr fontId="3"/>
  </si>
  <si>
    <t>(34)</t>
    <phoneticPr fontId="3"/>
  </si>
  <si>
    <t>(35)</t>
    <phoneticPr fontId="3"/>
  </si>
  <si>
    <t>(36)</t>
    <phoneticPr fontId="3"/>
  </si>
  <si>
    <t>(37)</t>
    <phoneticPr fontId="3"/>
  </si>
  <si>
    <t>(38)</t>
    <phoneticPr fontId="3"/>
  </si>
  <si>
    <t>(39)</t>
    <phoneticPr fontId="3"/>
  </si>
  <si>
    <t>(40)</t>
    <phoneticPr fontId="3"/>
  </si>
  <si>
    <t>法第12条第3項の規定による検査を要する防火設備の有無</t>
    <rPh sb="0" eb="1">
      <t>ダイ</t>
    </rPh>
    <rPh sb="3" eb="4">
      <t>ジョウ</t>
    </rPh>
    <rPh sb="4" eb="5">
      <t>ダイ</t>
    </rPh>
    <rPh sb="6" eb="7">
      <t>コウ</t>
    </rPh>
    <rPh sb="8" eb="10">
      <t>キテイ</t>
    </rPh>
    <rPh sb="13" eb="15">
      <t>ケンサ</t>
    </rPh>
    <rPh sb="16" eb="17">
      <t>ヨウ</t>
    </rPh>
    <rPh sb="19" eb="21">
      <t>ボウカ</t>
    </rPh>
    <rPh sb="21" eb="23">
      <t>セツビ</t>
    </rPh>
    <rPh sb="24" eb="26">
      <t>ウム</t>
    </rPh>
    <phoneticPr fontId="3"/>
  </si>
  <si>
    <t>調査項目</t>
    <rPh sb="0" eb="2">
      <t>チョウサ</t>
    </rPh>
    <rPh sb="2" eb="4">
      <t>コウモク</t>
    </rPh>
    <phoneticPr fontId="3"/>
  </si>
  <si>
    <t>　この書類は、特殊建築物等ごとに作成してください。</t>
    <rPh sb="7" eb="9">
      <t>トクシュ</t>
    </rPh>
    <rPh sb="9" eb="12">
      <t>ケンチクブツ</t>
    </rPh>
    <rPh sb="12" eb="13">
      <t>トウ</t>
    </rPh>
    <phoneticPr fontId="3"/>
  </si>
  <si>
    <t>　記入欄が不足する場合は、枠を拡大、行を追加して記入するか、別紙に必要な事項を記入して添えてください。</t>
    <rPh sb="1" eb="4">
      <t>キニュウラン</t>
    </rPh>
    <rPh sb="5" eb="7">
      <t>フソク</t>
    </rPh>
    <rPh sb="9" eb="11">
      <t>バアイ</t>
    </rPh>
    <rPh sb="13" eb="14">
      <t>ワク</t>
    </rPh>
    <rPh sb="15" eb="17">
      <t>カクダイ</t>
    </rPh>
    <rPh sb="18" eb="19">
      <t>ギョウ</t>
    </rPh>
    <rPh sb="20" eb="22">
      <t>ツイカ</t>
    </rPh>
    <rPh sb="24" eb="26">
      <t>キニュウ</t>
    </rPh>
    <rPh sb="30" eb="32">
      <t>ベッシ</t>
    </rPh>
    <rPh sb="33" eb="35">
      <t>ヒツヨウ</t>
    </rPh>
    <rPh sb="36" eb="38">
      <t>ジコウ</t>
    </rPh>
    <rPh sb="39" eb="41">
      <t>キニュウ</t>
    </rPh>
    <rPh sb="43" eb="44">
      <t>ソ</t>
    </rPh>
    <phoneticPr fontId="3"/>
  </si>
  <si>
    <t>　「当該調査に関与した調査者」欄は、建築基準法施行規則別記第36の２様式第一面３欄に記入した調査者について記入し、「調査者番号」欄に調査者を特定できる番号、記号等を記入してください。当該建築物の調査を行った調査者が１人の場合は、その他の調査者欄は削除して構いません。</t>
    <rPh sb="2" eb="4">
      <t>トウガイ</t>
    </rPh>
    <rPh sb="4" eb="6">
      <t>チョウサ</t>
    </rPh>
    <rPh sb="7" eb="9">
      <t>カンヨ</t>
    </rPh>
    <rPh sb="11" eb="14">
      <t>チョウサシャ</t>
    </rPh>
    <rPh sb="15" eb="16">
      <t>ラン</t>
    </rPh>
    <rPh sb="18" eb="20">
      <t>ケンチク</t>
    </rPh>
    <rPh sb="20" eb="23">
      <t>キジュンホウ</t>
    </rPh>
    <rPh sb="23" eb="25">
      <t>セコウ</t>
    </rPh>
    <rPh sb="25" eb="27">
      <t>キソク</t>
    </rPh>
    <rPh sb="27" eb="29">
      <t>ベッキ</t>
    </rPh>
    <rPh sb="29" eb="30">
      <t>ダイ</t>
    </rPh>
    <rPh sb="34" eb="36">
      <t>ヨウシキ</t>
    </rPh>
    <rPh sb="36" eb="37">
      <t>ダイ</t>
    </rPh>
    <rPh sb="37" eb="38">
      <t>イチ</t>
    </rPh>
    <rPh sb="38" eb="39">
      <t>メン</t>
    </rPh>
    <rPh sb="40" eb="41">
      <t>ラン</t>
    </rPh>
    <rPh sb="42" eb="44">
      <t>キニュウ</t>
    </rPh>
    <rPh sb="46" eb="49">
      <t>チョウサシャ</t>
    </rPh>
    <rPh sb="53" eb="55">
      <t>キニュウ</t>
    </rPh>
    <rPh sb="58" eb="61">
      <t>チョウサシャ</t>
    </rPh>
    <rPh sb="64" eb="65">
      <t>ラン</t>
    </rPh>
    <phoneticPr fontId="3"/>
  </si>
  <si>
    <t>　該当しない調査項目がある場合は、当該項目の「番号」欄から「担当調査者番号」欄までを取消線で抹消してください。</t>
    <rPh sb="6" eb="8">
      <t>チョウサ</t>
    </rPh>
    <rPh sb="17" eb="19">
      <t>トウガイ</t>
    </rPh>
    <rPh sb="19" eb="21">
      <t>コウモク</t>
    </rPh>
    <rPh sb="32" eb="34">
      <t>チョウサ</t>
    </rPh>
    <rPh sb="42" eb="44">
      <t>トリケシ</t>
    </rPh>
    <phoneticPr fontId="3"/>
  </si>
  <si>
    <t>　「調査結果」欄は、別表（い）欄に掲げる各調査項目ごとに記入してください。</t>
    <rPh sb="2" eb="4">
      <t>チョウサ</t>
    </rPh>
    <rPh sb="21" eb="23">
      <t>チョウサ</t>
    </rPh>
    <phoneticPr fontId="3"/>
  </si>
  <si>
    <t>　「調査結果」欄のうち「要是正」欄は、別表（い）欄に掲げる調査項目について（は）欄に掲げる判定基準に該当する場合に○印を記入してください。</t>
    <rPh sb="2" eb="4">
      <t>チョウサ</t>
    </rPh>
    <rPh sb="29" eb="31">
      <t>チョウサ</t>
    </rPh>
    <phoneticPr fontId="3"/>
  </si>
  <si>
    <t>　「検査結果」欄のうち「指摘なし」欄は、⑥に該当しない場合に○印を記入してください。</t>
    <phoneticPr fontId="3"/>
  </si>
  <si>
    <t>　「既存不適格」欄は、「要是正」欄に○印を記入した場合で、建築基準法第３条第２項の規定の適用を受けているものであることが確認されたときは、○印を記入してください。</t>
    <phoneticPr fontId="3"/>
  </si>
  <si>
    <t>　「担当調査者番号」欄は、「調査に関与した調査者」欄で記入した番号、記号等を記入してください。ただし、当該建築物の調査を行った調査者が１人の場合は、記入しなくても構いません。</t>
    <rPh sb="4" eb="6">
      <t>チョウサ</t>
    </rPh>
    <rPh sb="14" eb="16">
      <t>チョウサ</t>
    </rPh>
    <rPh sb="17" eb="19">
      <t>カンヨ</t>
    </rPh>
    <rPh sb="21" eb="24">
      <t>チョウサシャ</t>
    </rPh>
    <rPh sb="25" eb="26">
      <t>ラン</t>
    </rPh>
    <rPh sb="27" eb="29">
      <t>キニュウ</t>
    </rPh>
    <rPh sb="34" eb="36">
      <t>キゴウ</t>
    </rPh>
    <rPh sb="36" eb="37">
      <t>トウ</t>
    </rPh>
    <rPh sb="53" eb="56">
      <t>ケンチクブツ</t>
    </rPh>
    <rPh sb="57" eb="59">
      <t>チョウサ</t>
    </rPh>
    <rPh sb="60" eb="61">
      <t>オコナ</t>
    </rPh>
    <rPh sb="63" eb="65">
      <t>チョウサ</t>
    </rPh>
    <rPh sb="68" eb="69">
      <t>ニン</t>
    </rPh>
    <phoneticPr fontId="3"/>
  </si>
  <si>
    <t>　７「上記以外の調査項目」欄は、第１ただし書の規定により特定行政庁が調査項目を追加したときに、特定行政庁が追加した調査項目を追加し、⑤から⑧に準じて調査結果等を記入してください。なお、これらの項目がない場合は、７は削除して構いません。</t>
    <rPh sb="8" eb="10">
      <t>チョウサ</t>
    </rPh>
    <rPh sb="13" eb="14">
      <t>ラン</t>
    </rPh>
    <rPh sb="23" eb="25">
      <t>キテイ</t>
    </rPh>
    <rPh sb="28" eb="30">
      <t>トクテイ</t>
    </rPh>
    <rPh sb="30" eb="33">
      <t>ギョウセイチョウ</t>
    </rPh>
    <rPh sb="34" eb="36">
      <t>チョウサ</t>
    </rPh>
    <rPh sb="36" eb="38">
      <t>コウモク</t>
    </rPh>
    <rPh sb="39" eb="41">
      <t>ツイカ</t>
    </rPh>
    <rPh sb="47" eb="49">
      <t>トクテイ</t>
    </rPh>
    <rPh sb="49" eb="52">
      <t>ギョウセイチョウ</t>
    </rPh>
    <rPh sb="53" eb="55">
      <t>ツイカ</t>
    </rPh>
    <rPh sb="57" eb="59">
      <t>チョウサ</t>
    </rPh>
    <rPh sb="59" eb="61">
      <t>コウモク</t>
    </rPh>
    <rPh sb="74" eb="76">
      <t>チョウサ</t>
    </rPh>
    <rPh sb="96" eb="98">
      <t>コウモク</t>
    </rPh>
    <rPh sb="101" eb="103">
      <t>バアイ</t>
    </rPh>
    <rPh sb="107" eb="109">
      <t>サクジョ</t>
    </rPh>
    <rPh sb="111" eb="112">
      <t>カマ</t>
    </rPh>
    <phoneticPr fontId="3"/>
  </si>
  <si>
    <t>「その他確認事項」は、法第12条第３項の規定による検査を要する随時閉鎖又は作動ができる防火設備の設置の有無を確認し、該当するチェックボックスに「レ」マークを入れてください。「有」の場合は、当該防火設備が設置されている階を記入してください。</t>
    <phoneticPr fontId="3"/>
  </si>
  <si>
    <t>　「特記事項」は、調査の結果、要是正の指摘があった場合のほか、指摘がない場合にあっても特記すべき事項がある場合に、該当する調査項目の番号、調査項目を記入し、「指摘の具体的内容等」欄に指摘又は特記すべき事項の具体的内容を記入するとともに、改善済みの場合及び改善策が明らかになっている場合は「改善策の具体的内容等」欄にその内容を記入し、改善した場合は「改善（予定）年月」欄に当該年月を記入し、改善予定年月が明らかになっている場合は「改善（予定）年月」欄に当該年月を（　）書きで記入してください。</t>
    <rPh sb="9" eb="11">
      <t>チョウサ</t>
    </rPh>
    <rPh sb="61" eb="63">
      <t>チョウサ</t>
    </rPh>
    <rPh sb="69" eb="71">
      <t>チョウサ</t>
    </rPh>
    <rPh sb="93" eb="94">
      <t>マタ</t>
    </rPh>
    <rPh sb="118" eb="120">
      <t>カイゼン</t>
    </rPh>
    <rPh sb="120" eb="121">
      <t>ズ</t>
    </rPh>
    <rPh sb="123" eb="125">
      <t>バアイ</t>
    </rPh>
    <rPh sb="125" eb="127">
      <t>オ</t>
    </rPh>
    <rPh sb="153" eb="154">
      <t>トウ</t>
    </rPh>
    <rPh sb="166" eb="168">
      <t>カイゼン</t>
    </rPh>
    <rPh sb="170" eb="172">
      <t>バアイ</t>
    </rPh>
    <rPh sb="183" eb="184">
      <t>ラン</t>
    </rPh>
    <rPh sb="185" eb="187">
      <t>トウガイ</t>
    </rPh>
    <rPh sb="187" eb="189">
      <t>ネンゲツ</t>
    </rPh>
    <rPh sb="190" eb="192">
      <t>キニュウ</t>
    </rPh>
    <rPh sb="233" eb="234">
      <t>カ</t>
    </rPh>
    <phoneticPr fontId="3"/>
  </si>
  <si>
    <t>配置図及び各階平面図を別添１の様式に従い添付し、指摘(特記すべき事項を含む）のあった箇所や撮影した写真の位置等を明記してください。</t>
    <rPh sb="0" eb="2">
      <t>ハイチ</t>
    </rPh>
    <rPh sb="2" eb="3">
      <t>ズ</t>
    </rPh>
    <rPh sb="3" eb="4">
      <t>オヨ</t>
    </rPh>
    <rPh sb="5" eb="7">
      <t>カクカイ</t>
    </rPh>
    <rPh sb="7" eb="10">
      <t>ヘイメンズ</t>
    </rPh>
    <rPh sb="11" eb="13">
      <t>ベッテン</t>
    </rPh>
    <rPh sb="15" eb="17">
      <t>ヨウシキ</t>
    </rPh>
    <rPh sb="18" eb="19">
      <t>シタガ</t>
    </rPh>
    <rPh sb="20" eb="22">
      <t>テンプ</t>
    </rPh>
    <rPh sb="24" eb="26">
      <t>シテキ</t>
    </rPh>
    <rPh sb="27" eb="29">
      <t>トッキ</t>
    </rPh>
    <rPh sb="32" eb="34">
      <t>ジコウ</t>
    </rPh>
    <rPh sb="35" eb="36">
      <t>フク</t>
    </rPh>
    <rPh sb="42" eb="44">
      <t>カショ</t>
    </rPh>
    <rPh sb="45" eb="47">
      <t>サツエイ</t>
    </rPh>
    <rPh sb="49" eb="51">
      <t>シャシン</t>
    </rPh>
    <rPh sb="52" eb="55">
      <t>イチナド</t>
    </rPh>
    <rPh sb="56" eb="58">
      <t>メイキ</t>
    </rPh>
    <phoneticPr fontId="3"/>
  </si>
  <si>
    <t>　要是正とされた調査項目（既存不適格の場合を除く。）については、要是正とされた部分を撮影した写真を別添２の様式に従い添付してください。</t>
    <rPh sb="1" eb="2">
      <t>ヨウ</t>
    </rPh>
    <rPh sb="2" eb="4">
      <t>ゼセイ</t>
    </rPh>
    <rPh sb="8" eb="10">
      <t>チョウサ</t>
    </rPh>
    <rPh sb="10" eb="12">
      <t>コウモク</t>
    </rPh>
    <rPh sb="13" eb="15">
      <t>キソン</t>
    </rPh>
    <rPh sb="15" eb="18">
      <t>フテキカク</t>
    </rPh>
    <rPh sb="19" eb="21">
      <t>バアイ</t>
    </rPh>
    <rPh sb="22" eb="23">
      <t>ノゾ</t>
    </rPh>
    <rPh sb="32" eb="33">
      <t>ヨウ</t>
    </rPh>
    <rPh sb="33" eb="35">
      <t>ゼセイ</t>
    </rPh>
    <rPh sb="39" eb="41">
      <t>ブブン</t>
    </rPh>
    <rPh sb="42" eb="44">
      <t>サツエイ</t>
    </rPh>
    <rPh sb="46" eb="48">
      <t>シャシン</t>
    </rPh>
    <rPh sb="49" eb="51">
      <t>ベッテン</t>
    </rPh>
    <rPh sb="53" eb="55">
      <t>ヨウシキ</t>
    </rPh>
    <rPh sb="56" eb="57">
      <t>シタガ</t>
    </rPh>
    <rPh sb="58" eb="60">
      <t>テンプ</t>
    </rPh>
    <phoneticPr fontId="3"/>
  </si>
  <si>
    <t>４　管理者</t>
    <rPh sb="2" eb="5">
      <t>カンリシャ</t>
    </rPh>
    <phoneticPr fontId="3"/>
  </si>
  <si>
    <t>５　代表となる調査者</t>
    <rPh sb="2" eb="4">
      <t>ダイヒョウ</t>
    </rPh>
    <rPh sb="7" eb="10">
      <t>チョウサシャ</t>
    </rPh>
    <phoneticPr fontId="3"/>
  </si>
  <si>
    <t>建物所在地</t>
    <rPh sb="2" eb="5">
      <t>ショザイチ</t>
    </rPh>
    <phoneticPr fontId="3"/>
  </si>
  <si>
    <t>２　報告内容に関する問合せ先</t>
    <rPh sb="2" eb="4">
      <t>ホウコク</t>
    </rPh>
    <rPh sb="4" eb="6">
      <t>ナイヨウ</t>
    </rPh>
    <rPh sb="7" eb="8">
      <t>カン</t>
    </rPh>
    <rPh sb="10" eb="12">
      <t>トイアワ</t>
    </rPh>
    <rPh sb="13" eb="14">
      <t>サキ</t>
    </rPh>
    <phoneticPr fontId="3"/>
  </si>
  <si>
    <t>メールアドレス（半角）</t>
    <rPh sb="8" eb="10">
      <t>ハンカク</t>
    </rPh>
    <phoneticPr fontId="3"/>
  </si>
  <si>
    <t>６　その他の調査者１</t>
    <rPh sb="4" eb="5">
      <t>タ</t>
    </rPh>
    <rPh sb="6" eb="9">
      <t>チョウサシャ</t>
    </rPh>
    <phoneticPr fontId="3"/>
  </si>
  <si>
    <t>７　その他の調査者２</t>
    <rPh sb="4" eb="5">
      <t>タ</t>
    </rPh>
    <rPh sb="6" eb="9">
      <t>チョウサシャ</t>
    </rPh>
    <phoneticPr fontId="3"/>
  </si>
  <si>
    <t>８　敷地の位置</t>
    <rPh sb="2" eb="4">
      <t>シキチ</t>
    </rPh>
    <rPh sb="5" eb="7">
      <t>イチ</t>
    </rPh>
    <phoneticPr fontId="3"/>
  </si>
  <si>
    <t>９　建物及びその敷地の概要</t>
    <rPh sb="2" eb="4">
      <t>タテモノ</t>
    </rPh>
    <rPh sb="4" eb="5">
      <t>オヨ</t>
    </rPh>
    <rPh sb="8" eb="10">
      <t>シキチ</t>
    </rPh>
    <rPh sb="11" eb="13">
      <t>ガイヨウ</t>
    </rPh>
    <phoneticPr fontId="3"/>
  </si>
  <si>
    <t>確認</t>
    <rPh sb="0" eb="2">
      <t>カクニン</t>
    </rPh>
    <phoneticPr fontId="3"/>
  </si>
  <si>
    <t>確認済証の有無</t>
    <rPh sb="0" eb="2">
      <t>カクニン</t>
    </rPh>
    <rPh sb="2" eb="3">
      <t>スミ</t>
    </rPh>
    <rPh sb="3" eb="4">
      <t>ショウ</t>
    </rPh>
    <rPh sb="5" eb="7">
      <t>ウム</t>
    </rPh>
    <phoneticPr fontId="3"/>
  </si>
  <si>
    <t>工事種別</t>
    <rPh sb="0" eb="4">
      <t>コウジシュベツ</t>
    </rPh>
    <phoneticPr fontId="3"/>
  </si>
  <si>
    <t>完了</t>
    <rPh sb="0" eb="2">
      <t>カンリョウ</t>
    </rPh>
    <phoneticPr fontId="3"/>
  </si>
  <si>
    <t>←3箇月以内に提出</t>
    <rPh sb="2" eb="4">
      <t>カゲツ</t>
    </rPh>
    <rPh sb="4" eb="6">
      <t>イナイ</t>
    </rPh>
    <rPh sb="7" eb="9">
      <t>テイシュツ</t>
    </rPh>
    <phoneticPr fontId="3"/>
  </si>
  <si>
    <t>別添１様式</t>
    <rPh sb="0" eb="2">
      <t>ベッテン</t>
    </rPh>
    <rPh sb="3" eb="5">
      <t>ヨウシキ</t>
    </rPh>
    <phoneticPr fontId="3"/>
  </si>
  <si>
    <t>（Ａ３）</t>
    <phoneticPr fontId="3"/>
  </si>
  <si>
    <t>調　査　結　果　図</t>
    <rPh sb="0" eb="1">
      <t>チョウ</t>
    </rPh>
    <rPh sb="2" eb="3">
      <t>サ</t>
    </rPh>
    <rPh sb="4" eb="5">
      <t>ムスブ</t>
    </rPh>
    <rPh sb="6" eb="7">
      <t>ハタシ</t>
    </rPh>
    <rPh sb="8" eb="9">
      <t>ズ</t>
    </rPh>
    <phoneticPr fontId="3"/>
  </si>
  <si>
    <t>（1）</t>
    <phoneticPr fontId="3"/>
  </si>
  <si>
    <t>地盤</t>
    <rPh sb="0" eb="2">
      <t>ジバン</t>
    </rPh>
    <phoneticPr fontId="3"/>
  </si>
  <si>
    <t>（2）</t>
    <phoneticPr fontId="3"/>
  </si>
  <si>
    <t>敷地</t>
    <rPh sb="0" eb="2">
      <t>シキチ</t>
    </rPh>
    <phoneticPr fontId="3"/>
  </si>
  <si>
    <t>（3）から（5）</t>
    <phoneticPr fontId="3"/>
  </si>
  <si>
    <t>敷地内の通路</t>
    <rPh sb="0" eb="2">
      <t>シキチ</t>
    </rPh>
    <rPh sb="2" eb="3">
      <t>ナイ</t>
    </rPh>
    <rPh sb="4" eb="6">
      <t>ツウロ</t>
    </rPh>
    <phoneticPr fontId="3"/>
  </si>
  <si>
    <t>（6）から（7）</t>
    <phoneticPr fontId="3"/>
  </si>
  <si>
    <t>塀等</t>
    <rPh sb="0" eb="1">
      <t>ヘイ</t>
    </rPh>
    <rPh sb="1" eb="2">
      <t>トウ</t>
    </rPh>
    <phoneticPr fontId="3"/>
  </si>
  <si>
    <t>（8）から（9）</t>
    <phoneticPr fontId="3"/>
  </si>
  <si>
    <t>擁壁</t>
    <rPh sb="0" eb="1">
      <t>ヨウ</t>
    </rPh>
    <rPh sb="1" eb="2">
      <t>ヘキ</t>
    </rPh>
    <phoneticPr fontId="3"/>
  </si>
  <si>
    <t>（1）から（2）</t>
    <phoneticPr fontId="3"/>
  </si>
  <si>
    <t>（3）から（4）</t>
    <phoneticPr fontId="3"/>
  </si>
  <si>
    <t>（5）から（18）</t>
    <phoneticPr fontId="3"/>
  </si>
  <si>
    <t>外壁</t>
    <rPh sb="0" eb="2">
      <t>ガイヘキ</t>
    </rPh>
    <phoneticPr fontId="3"/>
  </si>
  <si>
    <t>屋上面の状況</t>
    <rPh sb="0" eb="2">
      <t>オクジョウ</t>
    </rPh>
    <rPh sb="2" eb="3">
      <t>メン</t>
    </rPh>
    <rPh sb="4" eb="6">
      <t>ジョウキョウ</t>
    </rPh>
    <phoneticPr fontId="3"/>
  </si>
  <si>
    <t>（2）から（5）</t>
    <phoneticPr fontId="3"/>
  </si>
  <si>
    <t>屋上周りの状況（屋上面を除く。）</t>
    <rPh sb="0" eb="2">
      <t>オクジョウ</t>
    </rPh>
    <rPh sb="2" eb="3">
      <t>マワ</t>
    </rPh>
    <rPh sb="5" eb="7">
      <t>ジョウキョウ</t>
    </rPh>
    <rPh sb="8" eb="10">
      <t>オクジョウ</t>
    </rPh>
    <rPh sb="10" eb="11">
      <t>メン</t>
    </rPh>
    <rPh sb="12" eb="13">
      <t>ノゾ</t>
    </rPh>
    <phoneticPr fontId="3"/>
  </si>
  <si>
    <t>機器及び工作物（冷却等設備、等）</t>
    <rPh sb="0" eb="2">
      <t>キキ</t>
    </rPh>
    <rPh sb="2" eb="3">
      <t>オヨ</t>
    </rPh>
    <rPh sb="4" eb="7">
      <t>コウサクブツ</t>
    </rPh>
    <rPh sb="8" eb="10">
      <t>レイキャク</t>
    </rPh>
    <rPh sb="10" eb="11">
      <t>トウ</t>
    </rPh>
    <rPh sb="11" eb="13">
      <t>セツビ</t>
    </rPh>
    <rPh sb="14" eb="15">
      <t>トウ</t>
    </rPh>
    <phoneticPr fontId="3"/>
  </si>
  <si>
    <t>建物の内部</t>
    <rPh sb="0" eb="2">
      <t>タテモノ</t>
    </rPh>
    <rPh sb="3" eb="5">
      <t>ナイブ</t>
    </rPh>
    <phoneticPr fontId="3"/>
  </si>
  <si>
    <t>（1）から（5）</t>
    <phoneticPr fontId="3"/>
  </si>
  <si>
    <t>（6）から（16）</t>
    <phoneticPr fontId="3"/>
  </si>
  <si>
    <t>壁の室内に面する部分</t>
    <rPh sb="0" eb="1">
      <t>カベ</t>
    </rPh>
    <rPh sb="2" eb="4">
      <t>シツナイ</t>
    </rPh>
    <rPh sb="5" eb="6">
      <t>メン</t>
    </rPh>
    <rPh sb="8" eb="10">
      <t>ブブン</t>
    </rPh>
    <phoneticPr fontId="3"/>
  </si>
  <si>
    <t>（17）から（22）</t>
    <phoneticPr fontId="3"/>
  </si>
  <si>
    <t>（23）から（25）</t>
    <phoneticPr fontId="3"/>
  </si>
  <si>
    <t>（26）から（33）</t>
    <phoneticPr fontId="3"/>
  </si>
  <si>
    <t>防火設備又は戸</t>
    <rPh sb="0" eb="2">
      <t>ボウカ</t>
    </rPh>
    <rPh sb="2" eb="4">
      <t>セツビ</t>
    </rPh>
    <rPh sb="4" eb="5">
      <t>マタ</t>
    </rPh>
    <rPh sb="6" eb="7">
      <t>ト</t>
    </rPh>
    <phoneticPr fontId="3"/>
  </si>
  <si>
    <t>（34）から（35）</t>
    <phoneticPr fontId="3"/>
  </si>
  <si>
    <t>照明器具、懸垂物等</t>
    <rPh sb="0" eb="2">
      <t>ショウメイ</t>
    </rPh>
    <rPh sb="2" eb="4">
      <t>キグ</t>
    </rPh>
    <rPh sb="5" eb="7">
      <t>ケンスイ</t>
    </rPh>
    <rPh sb="7" eb="8">
      <t>ブツ</t>
    </rPh>
    <rPh sb="8" eb="9">
      <t>トウ</t>
    </rPh>
    <phoneticPr fontId="3"/>
  </si>
  <si>
    <t>居室の採光及び換気</t>
    <rPh sb="0" eb="2">
      <t>キョシツ</t>
    </rPh>
    <rPh sb="3" eb="5">
      <t>サイコウ</t>
    </rPh>
    <rPh sb="5" eb="6">
      <t>オヨ</t>
    </rPh>
    <rPh sb="7" eb="9">
      <t>カンキ</t>
    </rPh>
    <phoneticPr fontId="3"/>
  </si>
  <si>
    <t>石綿等を添加した建築材料</t>
    <rPh sb="0" eb="2">
      <t>セキメン</t>
    </rPh>
    <rPh sb="2" eb="3">
      <t>トウ</t>
    </rPh>
    <rPh sb="4" eb="6">
      <t>テンカ</t>
    </rPh>
    <rPh sb="8" eb="10">
      <t>ケンチク</t>
    </rPh>
    <rPh sb="10" eb="12">
      <t>ザイリョウ</t>
    </rPh>
    <phoneticPr fontId="3"/>
  </si>
  <si>
    <t>避難施設等</t>
    <rPh sb="0" eb="2">
      <t>ヒナン</t>
    </rPh>
    <rPh sb="2" eb="5">
      <t>シセツナド</t>
    </rPh>
    <phoneticPr fontId="3"/>
  </si>
  <si>
    <t>令第１２０条第２項に規定する通路</t>
    <rPh sb="0" eb="1">
      <t>レイ</t>
    </rPh>
    <rPh sb="1" eb="2">
      <t>ダイ</t>
    </rPh>
    <rPh sb="5" eb="6">
      <t>ジョウ</t>
    </rPh>
    <rPh sb="6" eb="7">
      <t>ダイ</t>
    </rPh>
    <rPh sb="8" eb="9">
      <t>コウ</t>
    </rPh>
    <rPh sb="10" eb="12">
      <t>キテイ</t>
    </rPh>
    <rPh sb="14" eb="16">
      <t>ツウロ</t>
    </rPh>
    <phoneticPr fontId="3"/>
  </si>
  <si>
    <t>（２)から（3）</t>
    <phoneticPr fontId="3"/>
  </si>
  <si>
    <t>（4）から（5）</t>
    <phoneticPr fontId="3"/>
  </si>
  <si>
    <t>出入口</t>
    <rPh sb="0" eb="2">
      <t>デイリ</t>
    </rPh>
    <rPh sb="2" eb="3">
      <t>クチ</t>
    </rPh>
    <phoneticPr fontId="3"/>
  </si>
  <si>
    <t>（6）</t>
    <phoneticPr fontId="3"/>
  </si>
  <si>
    <t>（7）から（10）</t>
    <phoneticPr fontId="3"/>
  </si>
  <si>
    <t>避難上有効なバルコニー</t>
    <rPh sb="0" eb="2">
      <t>ヒナン</t>
    </rPh>
    <rPh sb="2" eb="3">
      <t>ウエ</t>
    </rPh>
    <rPh sb="3" eb="5">
      <t>ユウコウ</t>
    </rPh>
    <phoneticPr fontId="3"/>
  </si>
  <si>
    <t>（11）から（23）</t>
    <phoneticPr fontId="3"/>
  </si>
  <si>
    <t>（24）から（29）</t>
    <phoneticPr fontId="3"/>
  </si>
  <si>
    <t>排煙設備等</t>
    <rPh sb="0" eb="2">
      <t>ハイエン</t>
    </rPh>
    <rPh sb="2" eb="4">
      <t>セツビ</t>
    </rPh>
    <rPh sb="4" eb="5">
      <t>トウ</t>
    </rPh>
    <phoneticPr fontId="3"/>
  </si>
  <si>
    <t>（30）から（40）</t>
    <phoneticPr fontId="3"/>
  </si>
  <si>
    <t>その他の設備等</t>
    <rPh sb="2" eb="3">
      <t>タ</t>
    </rPh>
    <rPh sb="4" eb="6">
      <t>セツビ</t>
    </rPh>
    <rPh sb="6" eb="7">
      <t>トウ</t>
    </rPh>
    <phoneticPr fontId="3"/>
  </si>
  <si>
    <t>（1）から（4）</t>
    <phoneticPr fontId="3"/>
  </si>
  <si>
    <t>特殊な構造等</t>
    <rPh sb="0" eb="2">
      <t>トクシュ</t>
    </rPh>
    <rPh sb="3" eb="6">
      <t>コウゾウトウ</t>
    </rPh>
    <phoneticPr fontId="3"/>
  </si>
  <si>
    <t>（5）</t>
    <phoneticPr fontId="3"/>
  </si>
  <si>
    <t>（6）から（9）</t>
    <phoneticPr fontId="3"/>
  </si>
  <si>
    <t>注）　配置図及び各階平面図を添付し、指摘のあった箇所（特記すべき事項を含む）や撮影した写真の位置等を明記すること。</t>
    <rPh sb="0" eb="1">
      <t>チュウ</t>
    </rPh>
    <rPh sb="3" eb="5">
      <t>ハイチ</t>
    </rPh>
    <rPh sb="5" eb="6">
      <t>ズ</t>
    </rPh>
    <rPh sb="6" eb="7">
      <t>オヨ</t>
    </rPh>
    <rPh sb="8" eb="10">
      <t>カクカイ</t>
    </rPh>
    <rPh sb="10" eb="13">
      <t>ヘイメンズ</t>
    </rPh>
    <rPh sb="14" eb="16">
      <t>テンプ</t>
    </rPh>
    <rPh sb="18" eb="20">
      <t>シテキ</t>
    </rPh>
    <rPh sb="24" eb="26">
      <t>カショ</t>
    </rPh>
    <rPh sb="27" eb="29">
      <t>トッキ</t>
    </rPh>
    <rPh sb="32" eb="34">
      <t>ジコウ</t>
    </rPh>
    <rPh sb="35" eb="36">
      <t>フク</t>
    </rPh>
    <rPh sb="39" eb="41">
      <t>サツエイ</t>
    </rPh>
    <rPh sb="43" eb="45">
      <t>シャシン</t>
    </rPh>
    <rPh sb="46" eb="48">
      <t>イチ</t>
    </rPh>
    <rPh sb="48" eb="49">
      <t>トウ</t>
    </rPh>
    <rPh sb="50" eb="52">
      <t>メイキ</t>
    </rPh>
    <phoneticPr fontId="3"/>
  </si>
  <si>
    <t>資格名称</t>
    <rPh sb="0" eb="2">
      <t>シカク</t>
    </rPh>
    <rPh sb="2" eb="4">
      <t>メイショウ</t>
    </rPh>
    <phoneticPr fontId="3"/>
  </si>
  <si>
    <t>（注）前回の調査日以降</t>
  </si>
  <si>
    <t>工事種別</t>
    <rPh sb="0" eb="2">
      <t>コウジ</t>
    </rPh>
    <rPh sb="2" eb="4">
      <t>シュベツ</t>
    </rPh>
    <phoneticPr fontId="3"/>
  </si>
  <si>
    <t>A272</t>
  </si>
  <si>
    <t>AU293</t>
  </si>
  <si>
    <t>A10</t>
  </si>
  <si>
    <t>A33</t>
  </si>
  <si>
    <t>A69</t>
  </si>
  <si>
    <t>A92</t>
  </si>
  <si>
    <t>A152</t>
  </si>
  <si>
    <t>A189</t>
  </si>
  <si>
    <t>A212</t>
  </si>
  <si>
    <t>A249</t>
  </si>
  <si>
    <t>A309</t>
  </si>
  <si>
    <t>A332</t>
  </si>
  <si>
    <t>A369</t>
  </si>
  <si>
    <t>A392</t>
  </si>
  <si>
    <t>A429</t>
  </si>
  <si>
    <t>A452</t>
  </si>
  <si>
    <t>A489</t>
  </si>
  <si>
    <t>A512</t>
  </si>
  <si>
    <t>A549</t>
  </si>
  <si>
    <t>A572</t>
  </si>
  <si>
    <t>AU31</t>
  </si>
  <si>
    <t>AU54</t>
  </si>
  <si>
    <t>AU90</t>
  </si>
  <si>
    <t>AU150</t>
  </si>
  <si>
    <t>AU173</t>
  </si>
  <si>
    <t>AU210</t>
  </si>
  <si>
    <t>AU233</t>
  </si>
  <si>
    <t>AU270</t>
  </si>
  <si>
    <t>AU330</t>
  </si>
  <si>
    <t>AU353</t>
  </si>
  <si>
    <t>AU390</t>
  </si>
  <si>
    <t>AU413</t>
  </si>
  <si>
    <t>AU450</t>
  </si>
  <si>
    <t>AU473</t>
  </si>
  <si>
    <t>AU510</t>
  </si>
  <si>
    <t>AU533</t>
  </si>
  <si>
    <t>AU570</t>
  </si>
  <si>
    <t>AU593</t>
  </si>
  <si>
    <t>#'3_入力シート【写真】'</t>
  </si>
  <si>
    <t>（36）から（37）</t>
    <phoneticPr fontId="3"/>
  </si>
  <si>
    <t>警報設備</t>
    <rPh sb="0" eb="4">
      <t>ケイホウセツビ</t>
    </rPh>
    <phoneticPr fontId="3"/>
  </si>
  <si>
    <t>（38）から（43）</t>
    <phoneticPr fontId="3"/>
  </si>
  <si>
    <t>（44）から（47）</t>
    <phoneticPr fontId="3"/>
  </si>
  <si>
    <t>警報設備</t>
    <rPh sb="0" eb="4">
      <t>ケイホウセツビ</t>
    </rPh>
    <phoneticPr fontId="3"/>
  </si>
  <si>
    <t>警報設備の設置の状況</t>
    <phoneticPr fontId="3"/>
  </si>
  <si>
    <t>警報設備の劣化及び損傷の状況</t>
    <phoneticPr fontId="3"/>
  </si>
  <si>
    <t>4(46)</t>
  </si>
  <si>
    <t>4(47)</t>
  </si>
  <si>
    <t>概要または改善未記入</t>
    <rPh sb="0" eb="2">
      <t>ガイヨウ</t>
    </rPh>
    <rPh sb="5" eb="7">
      <t>カイゼン</t>
    </rPh>
    <rPh sb="7" eb="10">
      <t>ミキニュウ</t>
    </rPh>
    <phoneticPr fontId="3"/>
  </si>
  <si>
    <t>実施済・改善予定合計</t>
    <rPh sb="0" eb="3">
      <t>ジッシズ</t>
    </rPh>
    <rPh sb="4" eb="6">
      <t>カイゼン</t>
    </rPh>
    <rPh sb="6" eb="10">
      <t>ヨテイゴウケイ</t>
    </rPh>
    <phoneticPr fontId="3"/>
  </si>
  <si>
    <t>実施済みか改善予定合計行単位</t>
    <rPh sb="0" eb="3">
      <t>ジッシズ</t>
    </rPh>
    <rPh sb="5" eb="9">
      <t>カイゼンヨテイ</t>
    </rPh>
    <rPh sb="9" eb="11">
      <t>ゴウケイ</t>
    </rPh>
    <rPh sb="11" eb="14">
      <t>ギョウタンイ</t>
    </rPh>
    <phoneticPr fontId="3"/>
  </si>
  <si>
    <t>実施済・改善予定</t>
    <rPh sb="0" eb="2">
      <t>ジッシ</t>
    </rPh>
    <rPh sb="2" eb="3">
      <t>スミ</t>
    </rPh>
    <rPh sb="4" eb="6">
      <t>カイゼン</t>
    </rPh>
    <rPh sb="6" eb="8">
      <t>ヨテイ</t>
    </rPh>
    <phoneticPr fontId="3"/>
  </si>
  <si>
    <t>有で実施済・改善予定</t>
    <rPh sb="0" eb="1">
      <t>アリ</t>
    </rPh>
    <rPh sb="2" eb="5">
      <t>ジッシズ</t>
    </rPh>
    <rPh sb="6" eb="10">
      <t>カイゼンヨテイ</t>
    </rPh>
    <phoneticPr fontId="3"/>
  </si>
  <si>
    <t>×要是正（既存不適格以外）</t>
  </si>
  <si>
    <t>―対象外</t>
  </si>
  <si>
    <t>○指摘なし</t>
  </si>
  <si>
    <t>空白で反映</t>
    <rPh sb="0" eb="2">
      <t>クウハク</t>
    </rPh>
    <rPh sb="3" eb="5">
      <t>ハンエイ</t>
    </rPh>
    <phoneticPr fontId="3"/>
  </si>
  <si>
    <t>1級2級変換</t>
    <rPh sb="1" eb="2">
      <t>キュウ</t>
    </rPh>
    <rPh sb="3" eb="4">
      <t>キュウ</t>
    </rPh>
    <rPh sb="4" eb="6">
      <t>ヘンカン</t>
    </rPh>
    <phoneticPr fontId="3"/>
  </si>
  <si>
    <t>選択肢候補1</t>
    <rPh sb="0" eb="3">
      <t>センタクシ</t>
    </rPh>
    <rPh sb="3" eb="5">
      <t>コウホ</t>
    </rPh>
    <phoneticPr fontId="3"/>
  </si>
  <si>
    <t>選択肢候補2</t>
    <rPh sb="0" eb="3">
      <t>センタクシ</t>
    </rPh>
    <rPh sb="3" eb="5">
      <t>コウホ</t>
    </rPh>
    <phoneticPr fontId="3"/>
  </si>
  <si>
    <t>選択肢候補3</t>
    <rPh sb="0" eb="3">
      <t>センタクシ</t>
    </rPh>
    <rPh sb="3" eb="5">
      <t>コウホ</t>
    </rPh>
    <phoneticPr fontId="3"/>
  </si>
  <si>
    <t>選択肢候補4</t>
    <rPh sb="0" eb="3">
      <t>センタクシ</t>
    </rPh>
    <rPh sb="3" eb="5">
      <t>コウホ</t>
    </rPh>
    <phoneticPr fontId="3"/>
  </si>
  <si>
    <t>選択肢候補5</t>
    <rPh sb="0" eb="3">
      <t>センタクシ</t>
    </rPh>
    <rPh sb="3" eb="5">
      <t>コウホ</t>
    </rPh>
    <phoneticPr fontId="3"/>
  </si>
  <si>
    <t>１０　性能検証法等の適用</t>
    <rPh sb="3" eb="5">
      <t>セイノウ</t>
    </rPh>
    <rPh sb="5" eb="7">
      <t>ケンショウ</t>
    </rPh>
    <rPh sb="7" eb="8">
      <t>ホウ</t>
    </rPh>
    <rPh sb="8" eb="9">
      <t>トウ</t>
    </rPh>
    <rPh sb="10" eb="12">
      <t>テキヨウ</t>
    </rPh>
    <phoneticPr fontId="3"/>
  </si>
  <si>
    <t>１１　増築、改築、用途変更等の経過</t>
    <rPh sb="3" eb="5">
      <t>ゾウチク</t>
    </rPh>
    <rPh sb="6" eb="8">
      <t>カイチク</t>
    </rPh>
    <rPh sb="9" eb="13">
      <t>ヨウトヘンコウ</t>
    </rPh>
    <rPh sb="13" eb="14">
      <t>ナド</t>
    </rPh>
    <rPh sb="15" eb="17">
      <t>ケイカ</t>
    </rPh>
    <phoneticPr fontId="3"/>
  </si>
  <si>
    <t>１２　関連図書の整備</t>
    <rPh sb="3" eb="5">
      <t>カンレン</t>
    </rPh>
    <rPh sb="5" eb="7">
      <t>トショ</t>
    </rPh>
    <rPh sb="8" eb="10">
      <t>セイビ</t>
    </rPh>
    <phoneticPr fontId="3"/>
  </si>
  <si>
    <t>１４　調査及び検査の状況</t>
    <rPh sb="3" eb="5">
      <t>チョウサ</t>
    </rPh>
    <rPh sb="5" eb="6">
      <t>オヨ</t>
    </rPh>
    <rPh sb="7" eb="9">
      <t>ケンサ</t>
    </rPh>
    <rPh sb="10" eb="12">
      <t>ジョウキョウ</t>
    </rPh>
    <phoneticPr fontId="3"/>
  </si>
  <si>
    <t>１５　石綿を添加した建築材料の調査状況</t>
    <rPh sb="3" eb="5">
      <t>イシワタ</t>
    </rPh>
    <rPh sb="6" eb="8">
      <t>テンカ</t>
    </rPh>
    <rPh sb="10" eb="12">
      <t>ケンチク</t>
    </rPh>
    <rPh sb="12" eb="14">
      <t>ザイリョウ</t>
    </rPh>
    <rPh sb="15" eb="17">
      <t>チョウサ</t>
    </rPh>
    <rPh sb="17" eb="19">
      <t>ジョウキョウ</t>
    </rPh>
    <phoneticPr fontId="3"/>
  </si>
  <si>
    <t>１６　耐震診断及び耐震改修の調査状況</t>
    <rPh sb="3" eb="5">
      <t>タイシン</t>
    </rPh>
    <rPh sb="5" eb="7">
      <t>シンダン</t>
    </rPh>
    <rPh sb="7" eb="8">
      <t>オヨ</t>
    </rPh>
    <rPh sb="9" eb="11">
      <t>タイシン</t>
    </rPh>
    <rPh sb="11" eb="13">
      <t>カイシュウ</t>
    </rPh>
    <rPh sb="14" eb="16">
      <t>チョウサ</t>
    </rPh>
    <rPh sb="16" eb="18">
      <t>ジョウキョウ</t>
    </rPh>
    <phoneticPr fontId="3"/>
  </si>
  <si>
    <t>１７　建築物等に係る不具合等の状況</t>
    <rPh sb="3" eb="6">
      <t>ケンチクブツ</t>
    </rPh>
    <rPh sb="6" eb="7">
      <t>ナド</t>
    </rPh>
    <rPh sb="8" eb="9">
      <t>カカ</t>
    </rPh>
    <rPh sb="10" eb="13">
      <t>フグアイ</t>
    </rPh>
    <rPh sb="13" eb="14">
      <t>ナド</t>
    </rPh>
    <rPh sb="15" eb="17">
      <t>ジョウキョウ</t>
    </rPh>
    <phoneticPr fontId="3"/>
  </si>
  <si>
    <t>１９　外装仕上げ材等について</t>
    <phoneticPr fontId="3"/>
  </si>
  <si>
    <t>－</t>
    <phoneticPr fontId="3"/>
  </si>
  <si>
    <t>都道府県</t>
    <rPh sb="0" eb="4">
      <t>トドウフケン</t>
    </rPh>
    <phoneticPr fontId="3"/>
  </si>
  <si>
    <t>市郡</t>
    <rPh sb="0" eb="1">
      <t>シ</t>
    </rPh>
    <rPh sb="1" eb="2">
      <t>グン</t>
    </rPh>
    <phoneticPr fontId="3"/>
  </si>
  <si>
    <t>区町村</t>
    <rPh sb="0" eb="1">
      <t>ク</t>
    </rPh>
    <rPh sb="1" eb="3">
      <t>チョウソン</t>
    </rPh>
    <phoneticPr fontId="3"/>
  </si>
  <si>
    <t>－</t>
    <phoneticPr fontId="3"/>
  </si>
  <si>
    <t>特定建築物調査員</t>
    <rPh sb="0" eb="2">
      <t>トクテイ</t>
    </rPh>
    <rPh sb="2" eb="4">
      <t>ケンチク</t>
    </rPh>
    <rPh sb="4" eb="5">
      <t>ブツ</t>
    </rPh>
    <rPh sb="5" eb="7">
      <t>チョウサ</t>
    </rPh>
    <rPh sb="7" eb="8">
      <t>イン</t>
    </rPh>
    <phoneticPr fontId="3"/>
  </si>
  <si>
    <t>特定建築物調査員</t>
    <rPh sb="0" eb="2">
      <t>トクテイ</t>
    </rPh>
    <rPh sb="2" eb="4">
      <t>ケンチク</t>
    </rPh>
    <rPh sb="4" eb="5">
      <t>ブツ</t>
    </rPh>
    <rPh sb="5" eb="8">
      <t>チョウサイン</t>
    </rPh>
    <phoneticPr fontId="3"/>
  </si>
  <si>
    <t>二級建築士</t>
    <phoneticPr fontId="3"/>
  </si>
  <si>
    <t>特定建築物調査員</t>
    <rPh sb="7" eb="8">
      <t>イン</t>
    </rPh>
    <phoneticPr fontId="3"/>
  </si>
  <si>
    <t>一級建築士</t>
    <phoneticPr fontId="3"/>
  </si>
  <si>
    <t>特定建築物調査員</t>
    <phoneticPr fontId="3"/>
  </si>
  <si>
    <t>有(各階平面図のみあり)</t>
    <phoneticPr fontId="3"/>
  </si>
  <si>
    <t>確認済証の有無</t>
    <rPh sb="0" eb="3">
      <t>カクニンズ</t>
    </rPh>
    <rPh sb="3" eb="4">
      <t>ショウ</t>
    </rPh>
    <rPh sb="5" eb="7">
      <t>ウム</t>
    </rPh>
    <phoneticPr fontId="3"/>
  </si>
  <si>
    <t>元号</t>
    <rPh sb="0" eb="2">
      <t>ゲンゴウ</t>
    </rPh>
    <phoneticPr fontId="3"/>
  </si>
  <si>
    <t>小荷物専用昇降機の有無</t>
    <rPh sb="0" eb="3">
      <t>コニモツ</t>
    </rPh>
    <rPh sb="3" eb="5">
      <t>センヨウ</t>
    </rPh>
    <rPh sb="5" eb="8">
      <t>ショウコウキ</t>
    </rPh>
    <rPh sb="9" eb="11">
      <t>ウム</t>
    </rPh>
    <phoneticPr fontId="3"/>
  </si>
  <si>
    <t>半角統一</t>
    <rPh sb="0" eb="2">
      <t>ハンカク</t>
    </rPh>
    <rPh sb="2" eb="4">
      <t>トウイツ</t>
    </rPh>
    <phoneticPr fontId="3"/>
  </si>
  <si>
    <t>連結</t>
    <rPh sb="0" eb="2">
      <t>レンケツ</t>
    </rPh>
    <phoneticPr fontId="3"/>
  </si>
  <si>
    <t>検査済証の有無</t>
    <rPh sb="0" eb="3">
      <t>ケンサズ</t>
    </rPh>
    <rPh sb="3" eb="4">
      <t>ショウ</t>
    </rPh>
    <rPh sb="5" eb="7">
      <t>ウム</t>
    </rPh>
    <phoneticPr fontId="3"/>
  </si>
  <si>
    <t>△既存不適格</t>
  </si>
  <si>
    <t>国交省調査結果表転記用</t>
  </si>
  <si>
    <t>要是正</t>
  </si>
  <si>
    <t>既存不適格</t>
  </si>
  <si>
    <t>担当者番号</t>
  </si>
  <si>
    <t>1(2)</t>
    <phoneticPr fontId="3"/>
  </si>
  <si>
    <t>調査者番号</t>
    <rPh sb="0" eb="3">
      <t>チョウサシャ</t>
    </rPh>
    <rPh sb="3" eb="5">
      <t>バンゴウ</t>
    </rPh>
    <phoneticPr fontId="3"/>
  </si>
  <si>
    <t>２.　調査の状況</t>
    <rPh sb="3" eb="5">
      <t>チョウサ</t>
    </rPh>
    <rPh sb="6" eb="8">
      <t>ジョウキョウ</t>
    </rPh>
    <phoneticPr fontId="3"/>
  </si>
  <si>
    <t>改善予定</t>
    <rPh sb="0" eb="2">
      <t>カイゼン</t>
    </rPh>
    <rPh sb="2" eb="4">
      <t>ヨテイ</t>
    </rPh>
    <phoneticPr fontId="3"/>
  </si>
  <si>
    <t>予定なし</t>
    <rPh sb="0" eb="2">
      <t>ヨテイ</t>
    </rPh>
    <phoneticPr fontId="3"/>
  </si>
  <si>
    <t>実施済</t>
    <phoneticPr fontId="3"/>
  </si>
  <si>
    <t>1(3)</t>
    <phoneticPr fontId="3"/>
  </si>
  <si>
    <t>1(4)</t>
    <phoneticPr fontId="3"/>
  </si>
  <si>
    <t>1(5)</t>
    <phoneticPr fontId="3"/>
  </si>
  <si>
    <t>1(6)</t>
    <phoneticPr fontId="3"/>
  </si>
  <si>
    <t>1(7)</t>
    <phoneticPr fontId="3"/>
  </si>
  <si>
    <t>1(8)</t>
    <phoneticPr fontId="3"/>
  </si>
  <si>
    <t>1(9)</t>
    <phoneticPr fontId="3"/>
  </si>
  <si>
    <t>2(2)</t>
    <phoneticPr fontId="3"/>
  </si>
  <si>
    <t>2(3)</t>
    <phoneticPr fontId="3"/>
  </si>
  <si>
    <t>2(4)</t>
    <phoneticPr fontId="3"/>
  </si>
  <si>
    <t>2(5)</t>
    <phoneticPr fontId="3"/>
  </si>
  <si>
    <t>2(6)</t>
    <phoneticPr fontId="3"/>
  </si>
  <si>
    <t>2(7)</t>
    <phoneticPr fontId="3"/>
  </si>
  <si>
    <t>2(8)</t>
    <phoneticPr fontId="3"/>
  </si>
  <si>
    <t>2(9)</t>
    <phoneticPr fontId="3"/>
  </si>
  <si>
    <t>2(10)</t>
    <phoneticPr fontId="3"/>
  </si>
  <si>
    <t>2(11)</t>
    <phoneticPr fontId="3"/>
  </si>
  <si>
    <t>2(12)</t>
    <phoneticPr fontId="3"/>
  </si>
  <si>
    <t>2(13)</t>
    <phoneticPr fontId="3"/>
  </si>
  <si>
    <t>2(14)</t>
    <phoneticPr fontId="3"/>
  </si>
  <si>
    <t>2(15)</t>
    <phoneticPr fontId="3"/>
  </si>
  <si>
    <t>2(16)</t>
    <phoneticPr fontId="3"/>
  </si>
  <si>
    <t>2(17)</t>
    <phoneticPr fontId="3"/>
  </si>
  <si>
    <t>2(18)</t>
    <phoneticPr fontId="3"/>
  </si>
  <si>
    <t>3(2)</t>
    <phoneticPr fontId="3"/>
  </si>
  <si>
    <t>3(3)</t>
    <phoneticPr fontId="3"/>
  </si>
  <si>
    <t>3(4)</t>
    <phoneticPr fontId="3"/>
  </si>
  <si>
    <t>3(5)</t>
    <phoneticPr fontId="3"/>
  </si>
  <si>
    <t>3(6)</t>
    <phoneticPr fontId="3"/>
  </si>
  <si>
    <t>3(7)</t>
    <phoneticPr fontId="3"/>
  </si>
  <si>
    <t>3(8)</t>
    <phoneticPr fontId="3"/>
  </si>
  <si>
    <t>3(9)</t>
    <phoneticPr fontId="3"/>
  </si>
  <si>
    <t>4(1)</t>
    <phoneticPr fontId="3"/>
  </si>
  <si>
    <t>4(2)</t>
    <phoneticPr fontId="3"/>
  </si>
  <si>
    <t>4(3)</t>
    <phoneticPr fontId="3"/>
  </si>
  <si>
    <t>4(4)</t>
    <phoneticPr fontId="3"/>
  </si>
  <si>
    <t>4(5)</t>
    <phoneticPr fontId="3"/>
  </si>
  <si>
    <t>4(6)</t>
    <phoneticPr fontId="3"/>
  </si>
  <si>
    <t>4(7)</t>
    <phoneticPr fontId="3"/>
  </si>
  <si>
    <t>4(8)</t>
    <phoneticPr fontId="3"/>
  </si>
  <si>
    <t>4(9)</t>
    <phoneticPr fontId="3"/>
  </si>
  <si>
    <t>4(10)</t>
    <phoneticPr fontId="3"/>
  </si>
  <si>
    <t>4(11)</t>
    <phoneticPr fontId="3"/>
  </si>
  <si>
    <t>4(12)</t>
    <phoneticPr fontId="3"/>
  </si>
  <si>
    <t>4(13)</t>
    <phoneticPr fontId="3"/>
  </si>
  <si>
    <t>4(14)</t>
    <phoneticPr fontId="3"/>
  </si>
  <si>
    <t>4(15)</t>
    <phoneticPr fontId="3"/>
  </si>
  <si>
    <t>4(16)</t>
    <phoneticPr fontId="3"/>
  </si>
  <si>
    <t>4(17)</t>
    <phoneticPr fontId="3"/>
  </si>
  <si>
    <t>4(18)</t>
    <phoneticPr fontId="3"/>
  </si>
  <si>
    <t>4(19)</t>
    <phoneticPr fontId="3"/>
  </si>
  <si>
    <t>4(20)</t>
    <phoneticPr fontId="3"/>
  </si>
  <si>
    <t>4(21)</t>
    <phoneticPr fontId="3"/>
  </si>
  <si>
    <t>4(22)</t>
    <phoneticPr fontId="3"/>
  </si>
  <si>
    <t>4(23)</t>
    <phoneticPr fontId="3"/>
  </si>
  <si>
    <t>4(24)</t>
    <phoneticPr fontId="3"/>
  </si>
  <si>
    <t>4(25)</t>
    <phoneticPr fontId="3"/>
  </si>
  <si>
    <t>4(26)</t>
    <phoneticPr fontId="3"/>
  </si>
  <si>
    <t>4(27)</t>
    <phoneticPr fontId="3"/>
  </si>
  <si>
    <t>4(28)</t>
    <phoneticPr fontId="3"/>
  </si>
  <si>
    <t>4(29)</t>
    <phoneticPr fontId="3"/>
  </si>
  <si>
    <t>4(30)</t>
    <phoneticPr fontId="3"/>
  </si>
  <si>
    <t>4(31)</t>
    <phoneticPr fontId="3"/>
  </si>
  <si>
    <t>4(32)</t>
    <phoneticPr fontId="3"/>
  </si>
  <si>
    <t>4(33)</t>
    <phoneticPr fontId="3"/>
  </si>
  <si>
    <t>4(34)</t>
    <phoneticPr fontId="3"/>
  </si>
  <si>
    <t>4(35)</t>
    <phoneticPr fontId="3"/>
  </si>
  <si>
    <t>4(36)</t>
    <phoneticPr fontId="3"/>
  </si>
  <si>
    <t>4(37)</t>
    <phoneticPr fontId="3"/>
  </si>
  <si>
    <t>4(38)</t>
    <phoneticPr fontId="3"/>
  </si>
  <si>
    <t>4(39)</t>
    <phoneticPr fontId="3"/>
  </si>
  <si>
    <t>4(40)</t>
    <phoneticPr fontId="3"/>
  </si>
  <si>
    <t>4(41)</t>
    <phoneticPr fontId="3"/>
  </si>
  <si>
    <t>4(42)</t>
    <phoneticPr fontId="3"/>
  </si>
  <si>
    <t>4(43)</t>
    <phoneticPr fontId="3"/>
  </si>
  <si>
    <t>4(44)</t>
    <phoneticPr fontId="3"/>
  </si>
  <si>
    <t>4(45)</t>
    <phoneticPr fontId="3"/>
  </si>
  <si>
    <t>4(46)</t>
    <phoneticPr fontId="3"/>
  </si>
  <si>
    <t>4(47)</t>
    <phoneticPr fontId="3"/>
  </si>
  <si>
    <t>5(1)</t>
    <phoneticPr fontId="3"/>
  </si>
  <si>
    <t>5(2)</t>
    <phoneticPr fontId="3"/>
  </si>
  <si>
    <t>5(3)</t>
    <phoneticPr fontId="3"/>
  </si>
  <si>
    <t>5(4)</t>
    <phoneticPr fontId="3"/>
  </si>
  <si>
    <t>5(5)</t>
    <phoneticPr fontId="3"/>
  </si>
  <si>
    <t>5(6)</t>
    <phoneticPr fontId="3"/>
  </si>
  <si>
    <t>5(7)</t>
    <phoneticPr fontId="3"/>
  </si>
  <si>
    <t>5(8)</t>
    <phoneticPr fontId="3"/>
  </si>
  <si>
    <t>5(9)</t>
    <phoneticPr fontId="3"/>
  </si>
  <si>
    <t>5(10)</t>
    <phoneticPr fontId="3"/>
  </si>
  <si>
    <t>5(11)</t>
    <phoneticPr fontId="3"/>
  </si>
  <si>
    <t>5(12)</t>
    <phoneticPr fontId="3"/>
  </si>
  <si>
    <t>5(13)</t>
    <phoneticPr fontId="3"/>
  </si>
  <si>
    <t>5(14)</t>
    <phoneticPr fontId="3"/>
  </si>
  <si>
    <t>5(15)</t>
    <phoneticPr fontId="3"/>
  </si>
  <si>
    <t>5(16)</t>
    <phoneticPr fontId="3"/>
  </si>
  <si>
    <t>5(17)</t>
    <phoneticPr fontId="3"/>
  </si>
  <si>
    <t>5(18)</t>
    <phoneticPr fontId="3"/>
  </si>
  <si>
    <t>5(19)</t>
    <phoneticPr fontId="3"/>
  </si>
  <si>
    <t>5(20)</t>
    <phoneticPr fontId="3"/>
  </si>
  <si>
    <t>5(21)</t>
    <phoneticPr fontId="3"/>
  </si>
  <si>
    <t>5(22)</t>
    <phoneticPr fontId="3"/>
  </si>
  <si>
    <t>5(23)</t>
    <phoneticPr fontId="3"/>
  </si>
  <si>
    <t>5(24)</t>
    <phoneticPr fontId="3"/>
  </si>
  <si>
    <t>5(25)</t>
    <phoneticPr fontId="3"/>
  </si>
  <si>
    <t>5(26)</t>
    <phoneticPr fontId="3"/>
  </si>
  <si>
    <t>5(27)</t>
    <phoneticPr fontId="3"/>
  </si>
  <si>
    <t>5(28)</t>
    <phoneticPr fontId="3"/>
  </si>
  <si>
    <t>5(29)</t>
    <phoneticPr fontId="3"/>
  </si>
  <si>
    <t>5(30)</t>
    <phoneticPr fontId="3"/>
  </si>
  <si>
    <t>5(31)</t>
    <phoneticPr fontId="3"/>
  </si>
  <si>
    <t>5(32)</t>
    <phoneticPr fontId="3"/>
  </si>
  <si>
    <t>5(33)</t>
    <phoneticPr fontId="3"/>
  </si>
  <si>
    <t>5(34)</t>
    <phoneticPr fontId="3"/>
  </si>
  <si>
    <t>5(35)</t>
    <phoneticPr fontId="3"/>
  </si>
  <si>
    <t>5(36)</t>
    <phoneticPr fontId="3"/>
  </si>
  <si>
    <t>5(37)</t>
    <phoneticPr fontId="3"/>
  </si>
  <si>
    <t>5(38)</t>
    <phoneticPr fontId="3"/>
  </si>
  <si>
    <t>5(39)</t>
    <phoneticPr fontId="3"/>
  </si>
  <si>
    <t>5(40)</t>
    <phoneticPr fontId="3"/>
  </si>
  <si>
    <t>6(1)</t>
    <phoneticPr fontId="3"/>
  </si>
  <si>
    <t>6(2)</t>
    <phoneticPr fontId="3"/>
  </si>
  <si>
    <t>6(3)</t>
    <phoneticPr fontId="3"/>
  </si>
  <si>
    <t>6(4)</t>
    <phoneticPr fontId="3"/>
  </si>
  <si>
    <t>6(5)</t>
    <phoneticPr fontId="3"/>
  </si>
  <si>
    <t>6(6)</t>
    <phoneticPr fontId="3"/>
  </si>
  <si>
    <t>6(7)</t>
    <phoneticPr fontId="3"/>
  </si>
  <si>
    <t>6(8)</t>
    <phoneticPr fontId="3"/>
  </si>
  <si>
    <t>6(9)</t>
    <phoneticPr fontId="3"/>
  </si>
  <si>
    <t>7(1)</t>
    <phoneticPr fontId="3"/>
  </si>
  <si>
    <t>7(2)</t>
    <phoneticPr fontId="3"/>
  </si>
  <si>
    <t>7(3)</t>
    <phoneticPr fontId="3"/>
  </si>
  <si>
    <t>7(4)</t>
    <phoneticPr fontId="3"/>
  </si>
  <si>
    <t>7(5)</t>
    <phoneticPr fontId="3"/>
  </si>
  <si>
    <t>予定</t>
    <rPh sb="0" eb="2">
      <t>ヨテイ</t>
    </rPh>
    <phoneticPr fontId="3"/>
  </si>
  <si>
    <t>改善済</t>
    <rPh sb="0" eb="3">
      <t>カイゼンズ</t>
    </rPh>
    <phoneticPr fontId="3"/>
  </si>
  <si>
    <t>1(1)</t>
    <phoneticPr fontId="3"/>
  </si>
  <si>
    <t>考えられる要因</t>
    <rPh sb="0" eb="1">
      <t>カンガ</t>
    </rPh>
    <rPh sb="5" eb="7">
      <t>ヨウイン</t>
    </rPh>
    <phoneticPr fontId="3"/>
  </si>
  <si>
    <t>年
（令和）</t>
    <rPh sb="0" eb="1">
      <t>ネン</t>
    </rPh>
    <rPh sb="3" eb="5">
      <t>レイワ</t>
    </rPh>
    <phoneticPr fontId="3"/>
  </si>
  <si>
    <t>調査者番号</t>
    <rPh sb="0" eb="3">
      <t>チョウサシャ</t>
    </rPh>
    <rPh sb="3" eb="5">
      <t>バンゴウ</t>
    </rPh>
    <phoneticPr fontId="3"/>
  </si>
  <si>
    <t>調査者番号入力制限向け</t>
    <rPh sb="0" eb="3">
      <t>チョウサシャ</t>
    </rPh>
    <rPh sb="3" eb="5">
      <t>バンゴウ</t>
    </rPh>
    <rPh sb="5" eb="7">
      <t>ニュウリョク</t>
    </rPh>
    <rPh sb="7" eb="9">
      <t>セイゲン</t>
    </rPh>
    <rPh sb="9" eb="10">
      <t>ム</t>
    </rPh>
    <phoneticPr fontId="3"/>
  </si>
  <si>
    <t>対象</t>
    <rPh sb="0" eb="2">
      <t>タイショウ</t>
    </rPh>
    <phoneticPr fontId="3"/>
  </si>
  <si>
    <t>擁壁</t>
  </si>
  <si>
    <t>対象外</t>
    <rPh sb="0" eb="2">
      <t>タイショウ</t>
    </rPh>
    <rPh sb="2" eb="3">
      <t>ガイ</t>
    </rPh>
    <phoneticPr fontId="3"/>
  </si>
  <si>
    <t>＜入力不要＞調査結果表転記</t>
    <rPh sb="1" eb="5">
      <t>ニュウリョクフヨウ</t>
    </rPh>
    <rPh sb="6" eb="11">
      <t>チョウサケッカヒョウ</t>
    </rPh>
    <rPh sb="11" eb="13">
      <t>テンキ</t>
    </rPh>
    <phoneticPr fontId="3"/>
  </si>
  <si>
    <t>（第一面　別紙）</t>
    <rPh sb="1" eb="2">
      <t>ダイ</t>
    </rPh>
    <rPh sb="2" eb="3">
      <t>イチ</t>
    </rPh>
    <rPh sb="3" eb="4">
      <t>メン</t>
    </rPh>
    <rPh sb="5" eb="7">
      <t>ベッシ</t>
    </rPh>
    <phoneticPr fontId="3"/>
  </si>
  <si>
    <t>5.調査による指摘の概要</t>
    <rPh sb="2" eb="4">
      <t>チョウサ</t>
    </rPh>
    <rPh sb="7" eb="9">
      <t>シテキ</t>
    </rPh>
    <rPh sb="10" eb="12">
      <t>ガイヨウ</t>
    </rPh>
    <phoneticPr fontId="3"/>
  </si>
  <si>
    <t>ﾊ．不具合等の概要</t>
    <rPh sb="2" eb="6">
      <t>フグアイトウ</t>
    </rPh>
    <rPh sb="7" eb="9">
      <t>ガイヨウ</t>
    </rPh>
    <phoneticPr fontId="1"/>
  </si>
  <si>
    <t>（その他の調査者2）</t>
    <phoneticPr fontId="3"/>
  </si>
  <si>
    <t>3.調査者</t>
    <rPh sb="2" eb="4">
      <t>チョウサ</t>
    </rPh>
    <rPh sb="4" eb="5">
      <t>モノ</t>
    </rPh>
    <phoneticPr fontId="3"/>
  </si>
  <si>
    <t>7.建築物等に係る不具合等の状況</t>
    <rPh sb="2" eb="5">
      <t>ケンチクブツ</t>
    </rPh>
    <rPh sb="5" eb="6">
      <t>ナド</t>
    </rPh>
    <rPh sb="7" eb="8">
      <t>カカリ</t>
    </rPh>
    <rPh sb="9" eb="12">
      <t>フグアイ</t>
    </rPh>
    <rPh sb="12" eb="13">
      <t>トウ</t>
    </rPh>
    <rPh sb="14" eb="16">
      <t>ジョウキョウ</t>
    </rPh>
    <phoneticPr fontId="3"/>
  </si>
  <si>
    <t>無</t>
    <rPh sb="0" eb="1">
      <t>ム</t>
    </rPh>
    <phoneticPr fontId="3"/>
  </si>
  <si>
    <t>(41)</t>
    <phoneticPr fontId="3"/>
  </si>
  <si>
    <t>(42)</t>
    <phoneticPr fontId="3"/>
  </si>
  <si>
    <t>(43)</t>
    <phoneticPr fontId="3"/>
  </si>
  <si>
    <t>(44)</t>
    <phoneticPr fontId="3"/>
  </si>
  <si>
    <t>階）</t>
    <phoneticPr fontId="3"/>
  </si>
  <si>
    <t>定期報告対象対象階</t>
    <rPh sb="0" eb="4">
      <t>テイキホウコク</t>
    </rPh>
    <rPh sb="4" eb="6">
      <t>タイショウ</t>
    </rPh>
    <rPh sb="6" eb="8">
      <t>タイショウ</t>
    </rPh>
    <rPh sb="8" eb="9">
      <t>カイ</t>
    </rPh>
    <phoneticPr fontId="3"/>
  </si>
  <si>
    <t>外壁に緊結された広告板、空調室外機等</t>
    <phoneticPr fontId="3"/>
  </si>
  <si>
    <t>　　氏　名</t>
  </si>
  <si>
    <t>石綿等を添加した建築材料　</t>
  </si>
  <si>
    <t>非常用の進入口等</t>
  </si>
  <si>
    <t>非常用エレベーター</t>
  </si>
  <si>
    <t>その他確認事項</t>
    <phoneticPr fontId="3"/>
  </si>
  <si>
    <t>特記事項</t>
  </si>
  <si>
    <t>①</t>
  </si>
  <si>
    <t>②</t>
  </si>
  <si>
    <t>③</t>
  </si>
  <si>
    <t>④</t>
  </si>
  <si>
    <t>⑤</t>
  </si>
  <si>
    <t>⑥</t>
  </si>
  <si>
    <t>⑦</t>
  </si>
  <si>
    <t>⑧</t>
  </si>
  <si>
    <t>⑨</t>
  </si>
  <si>
    <t>⑩</t>
  </si>
  <si>
    <t>⑪</t>
  </si>
  <si>
    <t>⑫</t>
  </si>
  <si>
    <t>⑬</t>
  </si>
  <si>
    <t>⑭</t>
  </si>
  <si>
    <t>昭和</t>
    <rPh sb="0" eb="2">
      <t>ショウワ</t>
    </rPh>
    <phoneticPr fontId="3"/>
  </si>
  <si>
    <t>平成</t>
    <rPh sb="0" eb="2">
      <t>ヘイセイ</t>
    </rPh>
    <phoneticPr fontId="3"/>
  </si>
  <si>
    <t>第三面　別紙参照</t>
  </si>
  <si>
    <t>第一面別紙参照</t>
  </si>
  <si>
    <t>第一面別紙参照</t>
    <phoneticPr fontId="3"/>
  </si>
  <si>
    <t>【ロ．措置予定の有無】</t>
    <rPh sb="3" eb="7">
      <t>ソチヨテイ</t>
    </rPh>
    <rPh sb="8" eb="10">
      <t>ウム</t>
    </rPh>
    <phoneticPr fontId="3"/>
  </si>
  <si>
    <t>第二面別紙参照</t>
  </si>
  <si>
    <t>無</t>
    <rPh sb="0" eb="1">
      <t>ナシ</t>
    </rPh>
    <phoneticPr fontId="3"/>
  </si>
  <si>
    <t>令和</t>
    <rPh sb="0" eb="2">
      <t>レイワ</t>
    </rPh>
    <phoneticPr fontId="3"/>
  </si>
  <si>
    <t>年</t>
    <rPh sb="0" eb="1">
      <t>ネン</t>
    </rPh>
    <phoneticPr fontId="3"/>
  </si>
  <si>
    <t>建築</t>
    <rPh sb="0" eb="2">
      <t>ケンチク</t>
    </rPh>
    <phoneticPr fontId="3"/>
  </si>
  <si>
    <t>郵便番号</t>
    <phoneticPr fontId="3"/>
  </si>
  <si>
    <t>電話番号</t>
    <phoneticPr fontId="3"/>
  </si>
  <si>
    <t>7(6)</t>
  </si>
  <si>
    <t>7(7)</t>
  </si>
  <si>
    <t>7(8)</t>
  </si>
  <si>
    <t>7(9)</t>
  </si>
  <si>
    <t>7(10)</t>
  </si>
  <si>
    <t>―対象外</t>
    <phoneticPr fontId="3"/>
  </si>
  <si>
    <t>△既存不適格</t>
    <phoneticPr fontId="3"/>
  </si>
  <si>
    <t>×要是正（既存不適格以外）</t>
    <phoneticPr fontId="3"/>
  </si>
  <si>
    <t>○指摘なし</t>
    <phoneticPr fontId="3"/>
  </si>
  <si>
    <t>未来の直近
/月</t>
    <rPh sb="0" eb="2">
      <t>ミライ</t>
    </rPh>
    <rPh sb="3" eb="5">
      <t>チョッキン</t>
    </rPh>
    <rPh sb="7" eb="8">
      <t>ツキ</t>
    </rPh>
    <phoneticPr fontId="3"/>
  </si>
  <si>
    <t>別記（A４)　</t>
    <rPh sb="0" eb="2">
      <t>ベッキ</t>
    </rPh>
    <phoneticPr fontId="3"/>
  </si>
  <si>
    <t>項目番号</t>
    <rPh sb="0" eb="2">
      <t>コウモク</t>
    </rPh>
    <rPh sb="2" eb="4">
      <t>バンゴウ</t>
    </rPh>
    <phoneticPr fontId="3"/>
  </si>
  <si>
    <t>0</t>
    <phoneticPr fontId="3"/>
  </si>
  <si>
    <t>1</t>
    <phoneticPr fontId="3"/>
  </si>
  <si>
    <t>2</t>
    <phoneticPr fontId="3"/>
  </si>
  <si>
    <t>3</t>
    <phoneticPr fontId="3"/>
  </si>
  <si>
    <t>登録</t>
    <rPh sb="0" eb="2">
      <t>トウロク</t>
    </rPh>
    <phoneticPr fontId="3"/>
  </si>
  <si>
    <t>4</t>
    <phoneticPr fontId="3"/>
  </si>
  <si>
    <t>交付年月日</t>
    <rPh sb="0" eb="2">
      <t>コウフ</t>
    </rPh>
    <rPh sb="2" eb="5">
      <t>ネンガッピ</t>
    </rPh>
    <phoneticPr fontId="3"/>
  </si>
  <si>
    <t>完了検査に要した図書</t>
  </si>
  <si>
    <t>交付番号</t>
  </si>
  <si>
    <t>交付者</t>
  </si>
  <si>
    <t>防火設備の検査</t>
  </si>
  <si>
    <t>項番なし0</t>
    <rPh sb="0" eb="1">
      <t>コウ</t>
    </rPh>
    <rPh sb="1" eb="2">
      <t>バン</t>
    </rPh>
    <phoneticPr fontId="3"/>
  </si>
  <si>
    <t>CSVフィールド名（数式）</t>
    <rPh sb="8" eb="9">
      <t>メイ</t>
    </rPh>
    <rPh sb="10" eb="12">
      <t>スウシキ</t>
    </rPh>
    <phoneticPr fontId="3"/>
  </si>
  <si>
    <t>行政所管庁(初期値固定)</t>
    <rPh sb="0" eb="2">
      <t>ギョウセイ</t>
    </rPh>
    <rPh sb="2" eb="4">
      <t>ショカン</t>
    </rPh>
    <rPh sb="4" eb="5">
      <t>チョウ</t>
    </rPh>
    <rPh sb="6" eb="9">
      <t>ショキチ</t>
    </rPh>
    <rPh sb="9" eb="11">
      <t>コテイ</t>
    </rPh>
    <phoneticPr fontId="3"/>
  </si>
  <si>
    <t>-</t>
    <phoneticPr fontId="3"/>
  </si>
  <si>
    <t>0報告日-令和</t>
  </si>
  <si>
    <t>0報告日-月</t>
  </si>
  <si>
    <t>0報告日-日</t>
  </si>
  <si>
    <t>_</t>
    <phoneticPr fontId="3"/>
  </si>
  <si>
    <t>所有者同一と同一チェック</t>
    <rPh sb="0" eb="3">
      <t>ショユウシャ</t>
    </rPh>
    <rPh sb="3" eb="5">
      <t>ドウイツ</t>
    </rPh>
    <rPh sb="6" eb="8">
      <t>ドウイツ</t>
    </rPh>
    <phoneticPr fontId="3"/>
  </si>
  <si>
    <t>階別用途別床面積-1-大分類</t>
  </si>
  <si>
    <t>階別用途別床面積-1-小分類</t>
  </si>
  <si>
    <t>階別用途別床面積-1-地下1階</t>
  </si>
  <si>
    <t>階別用途別床面積-1-地下2階</t>
  </si>
  <si>
    <t>階別用途別床面積-1-地下3階</t>
  </si>
  <si>
    <t>階別用途別床面積-1-塔屋 1階</t>
  </si>
  <si>
    <t>階別用途別床面積-1-塔屋 2階</t>
  </si>
  <si>
    <t>階別用途別床面積-1-塔屋 3階</t>
  </si>
  <si>
    <t>階別用途別床面積-1-塔屋 5階</t>
  </si>
  <si>
    <t>階別用途別床面積-1-1階</t>
  </si>
  <si>
    <t>階別用途別床面積-1-2階</t>
  </si>
  <si>
    <t>階別用途別床面積-1-3階</t>
  </si>
  <si>
    <t>階別用途別床面積-1-5階</t>
  </si>
  <si>
    <t>階別用途別床面積-1-6階</t>
  </si>
  <si>
    <t>階別用途別床面積-1-7階</t>
  </si>
  <si>
    <t>階別用途別床面積-1-8階</t>
  </si>
  <si>
    <t>階別用途別床面積-1-9階</t>
  </si>
  <si>
    <t>階別用途別床面積-1-10階</t>
  </si>
  <si>
    <t>階別用途別床面積-1-11階</t>
  </si>
  <si>
    <t>階別用途別床面積-1-12階</t>
  </si>
  <si>
    <t>階別用途別床面積-1-13階</t>
  </si>
  <si>
    <t>階別用途別床面積-1-15階</t>
  </si>
  <si>
    <t>階別用途別床面積-1-16階</t>
  </si>
  <si>
    <t>階別用途別床面積-1-17階</t>
  </si>
  <si>
    <t>階別用途別床面積-1-18階</t>
  </si>
  <si>
    <t>階別用途別床面積-1-19階</t>
  </si>
  <si>
    <t>階別用途別床面積-1-20階</t>
  </si>
  <si>
    <t>階別用途別床面積-1-21階</t>
  </si>
  <si>
    <t>階別用途別床面積-1-22階</t>
  </si>
  <si>
    <t>階別用途別床面積-1-23階</t>
  </si>
  <si>
    <t>階別用途別床面積-1-25階</t>
  </si>
  <si>
    <t>階別用途別床面積-1-26階</t>
  </si>
  <si>
    <t>階別用途別床面積-1-27階</t>
  </si>
  <si>
    <t>階別用途別床面積-1-28階</t>
  </si>
  <si>
    <t>階別用途別床面積-1-29階</t>
  </si>
  <si>
    <t>階別用途別床面積-1-30階</t>
  </si>
  <si>
    <t>階別用途別床面積-1-31階</t>
  </si>
  <si>
    <t>階別用途別床面積-1-32階</t>
  </si>
  <si>
    <t>階別用途別床面積-1-33階</t>
  </si>
  <si>
    <t>階別用途別床面積-1-35階</t>
  </si>
  <si>
    <t>階別用途別床面積-1-36階</t>
  </si>
  <si>
    <t>階別用途別床面積-1-37階</t>
  </si>
  <si>
    <t>階別用途別床面積-1-38階</t>
  </si>
  <si>
    <t>階別用途別床面積-1-39階</t>
  </si>
  <si>
    <t>階別用途別床面積-1-50階</t>
  </si>
  <si>
    <t>階別用途別床面積-2-大分類</t>
  </si>
  <si>
    <t>階別用途別床面積-2-小分類</t>
  </si>
  <si>
    <t>階別用途別床面積-2-地下1階</t>
  </si>
  <si>
    <t>階別用途別床面積-2-地下2階</t>
  </si>
  <si>
    <t>階別用途別床面積-2-地下3階</t>
  </si>
  <si>
    <t>階別用途別床面積-2-塔屋 1階</t>
  </si>
  <si>
    <t>階別用途別床面積-2-塔屋 2階</t>
  </si>
  <si>
    <t>階別用途別床面積-2-塔屋 3階</t>
  </si>
  <si>
    <t>階別用途別床面積-2-塔屋 5階</t>
  </si>
  <si>
    <t>階別用途別床面積-2-1階</t>
  </si>
  <si>
    <t>階別用途別床面積-2-2階</t>
  </si>
  <si>
    <t>階別用途別床面積-2-3階</t>
  </si>
  <si>
    <t>階別用途別床面積-2-5階</t>
  </si>
  <si>
    <t>階別用途別床面積-2-6階</t>
  </si>
  <si>
    <t>階別用途別床面積-2-7階</t>
  </si>
  <si>
    <t>階別用途別床面積-2-8階</t>
  </si>
  <si>
    <t>階別用途別床面積-2-9階</t>
  </si>
  <si>
    <t>階別用途別床面積-2-10階</t>
  </si>
  <si>
    <t>階別用途別床面積-2-11階</t>
  </si>
  <si>
    <t>階別用途別床面積-2-12階</t>
  </si>
  <si>
    <t>階別用途別床面積-2-13階</t>
  </si>
  <si>
    <t>階別用途別床面積-2-15階</t>
  </si>
  <si>
    <t>階別用途別床面積-2-16階</t>
  </si>
  <si>
    <t>階別用途別床面積-2-17階</t>
  </si>
  <si>
    <t>階別用途別床面積-2-18階</t>
  </si>
  <si>
    <t>階別用途別床面積-2-19階</t>
  </si>
  <si>
    <t>階別用途別床面積-2-20階</t>
  </si>
  <si>
    <t>階別用途別床面積-2-21階</t>
  </si>
  <si>
    <t>階別用途別床面積-2-22階</t>
  </si>
  <si>
    <t>階別用途別床面積-2-23階</t>
  </si>
  <si>
    <t>階別用途別床面積-2-25階</t>
  </si>
  <si>
    <t>階別用途別床面積-2-26階</t>
  </si>
  <si>
    <t>階別用途別床面積-2-27階</t>
  </si>
  <si>
    <t>階別用途別床面積-2-28階</t>
  </si>
  <si>
    <t>階別用途別床面積-2-29階</t>
  </si>
  <si>
    <t>階別用途別床面積-2-30階</t>
  </si>
  <si>
    <t>階別用途別床面積-2-31階</t>
  </si>
  <si>
    <t>階別用途別床面積-2-32階</t>
  </si>
  <si>
    <t>階別用途別床面積-2-33階</t>
  </si>
  <si>
    <t>階別用途別床面積-2-35階</t>
  </si>
  <si>
    <t>階別用途別床面積-2-36階</t>
  </si>
  <si>
    <t>階別用途別床面積-2-37階</t>
  </si>
  <si>
    <t>階別用途別床面積-2-38階</t>
  </si>
  <si>
    <t>階別用途別床面積-2-39階</t>
  </si>
  <si>
    <t>1行目</t>
    <rPh sb="1" eb="3">
      <t>ギョウメ</t>
    </rPh>
    <phoneticPr fontId="3"/>
  </si>
  <si>
    <t>階別用途別床面積-2-50階</t>
  </si>
  <si>
    <t>階別用途別床面積-3-大分類</t>
  </si>
  <si>
    <t>階別用途別床面積-3-小分類</t>
  </si>
  <si>
    <t>階別用途別床面積-3-地下1階</t>
  </si>
  <si>
    <t>階別用途別床面積-3-地下2階</t>
  </si>
  <si>
    <t>階別用途別床面積-3-地下3階</t>
  </si>
  <si>
    <t>階別用途別床面積-3-塔屋 1階</t>
  </si>
  <si>
    <t>階別用途別床面積-3-塔屋 2階</t>
  </si>
  <si>
    <t>2行目</t>
    <rPh sb="1" eb="3">
      <t>ギョウメ</t>
    </rPh>
    <phoneticPr fontId="3"/>
  </si>
  <si>
    <t>階別用途別床面積-3-塔屋 3階</t>
  </si>
  <si>
    <t>階別用途別床面積-3-塔屋 5階</t>
  </si>
  <si>
    <t>階別用途別床面積-3-1階</t>
  </si>
  <si>
    <t>階別用途別床面積-3-2階</t>
  </si>
  <si>
    <t>階別用途別床面積-3-3階</t>
  </si>
  <si>
    <t>階別用途別床面積-3-5階</t>
  </si>
  <si>
    <t>階別用途別床面積-3-6階</t>
  </si>
  <si>
    <t>3行目</t>
    <rPh sb="1" eb="3">
      <t>ギョウメ</t>
    </rPh>
    <phoneticPr fontId="3"/>
  </si>
  <si>
    <t>階別用途別床面積-3-7階</t>
  </si>
  <si>
    <t>階別用途別床面積-3-8階</t>
  </si>
  <si>
    <t>階別用途別床面積-3-9階</t>
  </si>
  <si>
    <t>階別用途別床面積-3-10階</t>
  </si>
  <si>
    <t>階別用途別床面積-3-11階</t>
  </si>
  <si>
    <t>階別用途別床面積-3-12階</t>
  </si>
  <si>
    <t>階別用途別床面積-3-13階</t>
  </si>
  <si>
    <t>階別用途別床面積-3-15階</t>
  </si>
  <si>
    <t>4行目</t>
    <rPh sb="1" eb="3">
      <t>ギョウメ</t>
    </rPh>
    <phoneticPr fontId="3"/>
  </si>
  <si>
    <t>階別用途別床面積-3-16階</t>
  </si>
  <si>
    <t>階別用途別床面積-3-17階</t>
  </si>
  <si>
    <t>階別用途別床面積-3-18階</t>
  </si>
  <si>
    <t>階別用途別床面積-3-19階</t>
  </si>
  <si>
    <t>階別用途別床面積-3-20階</t>
  </si>
  <si>
    <t>階別用途別床面積-3-21階</t>
  </si>
  <si>
    <t>階別用途別床面積-3-22階</t>
  </si>
  <si>
    <t>階別用途別床面積-3-23階</t>
  </si>
  <si>
    <t>5行目</t>
    <rPh sb="1" eb="3">
      <t>ギョウメ</t>
    </rPh>
    <phoneticPr fontId="3"/>
  </si>
  <si>
    <t>階別用途別床面積-3-25階</t>
  </si>
  <si>
    <t>階別用途別床面積-3-26階</t>
  </si>
  <si>
    <t>階別用途別床面積-3-27階</t>
  </si>
  <si>
    <t>階別用途別床面積-3-28階</t>
  </si>
  <si>
    <t>階別用途別床面積-3-29階</t>
  </si>
  <si>
    <t>階別用途別床面積-3-30階</t>
  </si>
  <si>
    <t>階別用途別床面積-3-31階</t>
  </si>
  <si>
    <t>階別用途別床面積-3-32階</t>
  </si>
  <si>
    <t>階別用途別床面積-3-33階</t>
  </si>
  <si>
    <t>6行目</t>
    <rPh sb="1" eb="3">
      <t>ギョウメ</t>
    </rPh>
    <phoneticPr fontId="3"/>
  </si>
  <si>
    <t>階別用途別床面積-3-35階</t>
  </si>
  <si>
    <t>階別用途別床面積-3-36階</t>
  </si>
  <si>
    <t>階別用途別床面積-3-37階</t>
  </si>
  <si>
    <t>階別用途別床面積-3-38階</t>
  </si>
  <si>
    <t>階別用途別床面積-3-39階</t>
  </si>
  <si>
    <t>7行目</t>
    <rPh sb="1" eb="3">
      <t>ギョウメ</t>
    </rPh>
    <phoneticPr fontId="3"/>
  </si>
  <si>
    <t>階別用途別床面積-3-50階</t>
  </si>
  <si>
    <t>8行目</t>
    <rPh sb="1" eb="3">
      <t>ギョウメ</t>
    </rPh>
    <phoneticPr fontId="3"/>
  </si>
  <si>
    <t>9行目</t>
    <rPh sb="1" eb="3">
      <t>ギョウメ</t>
    </rPh>
    <phoneticPr fontId="3"/>
  </si>
  <si>
    <t>10行目</t>
    <rPh sb="2" eb="4">
      <t>ギョウメ</t>
    </rPh>
    <phoneticPr fontId="3"/>
  </si>
  <si>
    <t>階別用途別床面積-5-大分類</t>
  </si>
  <si>
    <t>階別用途別床面積-5-小分類</t>
  </si>
  <si>
    <t>階別用途別床面積-5-地下1階</t>
  </si>
  <si>
    <t>階別用途別床面積-5-地下2階</t>
  </si>
  <si>
    <t>階別用途別床面積-5-地下3階</t>
  </si>
  <si>
    <t>階別用途別床面積-5-塔屋 1階</t>
  </si>
  <si>
    <t>階別用途別床面積-5-塔屋 2階</t>
  </si>
  <si>
    <t>階別用途別床面積-5-塔屋 3階</t>
  </si>
  <si>
    <t>階別用途別床面積-5-塔屋 5階</t>
  </si>
  <si>
    <t>階別用途別床面積-5-1階</t>
  </si>
  <si>
    <t>階別用途別床面積-5-2階</t>
  </si>
  <si>
    <t>階別用途別床面積-5-3階</t>
  </si>
  <si>
    <t>階別用途別床面積-5-5階</t>
  </si>
  <si>
    <t>階別用途別床面積-5-6階</t>
  </si>
  <si>
    <t>階別用途別床面積-5-7階</t>
  </si>
  <si>
    <t>階別用途別床面積-5-8階</t>
  </si>
  <si>
    <t>階別用途別床面積-5-9階</t>
  </si>
  <si>
    <t>階別用途別床面積-5-10階</t>
  </si>
  <si>
    <t>階別用途別床面積-5-11階</t>
  </si>
  <si>
    <t>階別用途別床面積-5-12階</t>
  </si>
  <si>
    <t>階別用途別床面積-5-13階</t>
  </si>
  <si>
    <t>階別用途別床面積-5-15階</t>
  </si>
  <si>
    <t>階別用途別床面積-5-16階</t>
  </si>
  <si>
    <t>階別用途別床面積-5-17階</t>
  </si>
  <si>
    <t>階別用途別床面積-5-18階</t>
  </si>
  <si>
    <t>階別用途別床面積-5-19階</t>
  </si>
  <si>
    <t>階別用途別床面積-5-20階</t>
  </si>
  <si>
    <t>階別用途別床面積-5-21階</t>
  </si>
  <si>
    <t>階別用途別床面積-5-22階</t>
  </si>
  <si>
    <t>階別用途別床面積-5-23階</t>
  </si>
  <si>
    <t>階別用途別床面積-5-25階</t>
  </si>
  <si>
    <t>階別用途別床面積-5-26階</t>
  </si>
  <si>
    <t>階別用途別床面積-5-27階</t>
  </si>
  <si>
    <t>階別用途別床面積-5-28階</t>
  </si>
  <si>
    <t>階別用途別床面積-5-29階</t>
  </si>
  <si>
    <t>階別用途別床面積-5-30階</t>
  </si>
  <si>
    <t>階別用途別床面積-5-31階</t>
  </si>
  <si>
    <t>階別用途別床面積-5-32階</t>
  </si>
  <si>
    <t>階別用途別床面積-5-33階</t>
  </si>
  <si>
    <t>階別用途別床面積-5-35階</t>
  </si>
  <si>
    <t>階別用途別床面積-5-36階</t>
  </si>
  <si>
    <t>階別用途別床面積-5-37階</t>
  </si>
  <si>
    <t>階別用途別床面積-5-38階</t>
  </si>
  <si>
    <t>階別用途別床面積-5-39階</t>
  </si>
  <si>
    <t>階別用途別床面積-5-50階</t>
  </si>
  <si>
    <t>階別用途別床面積-6-大分類</t>
  </si>
  <si>
    <t>階別用途別床面積-6-小分類</t>
  </si>
  <si>
    <t>階別用途別床面積-6-地下1階</t>
  </si>
  <si>
    <t>階別用途別床面積-6-地下2階</t>
  </si>
  <si>
    <t>階別用途別床面積-6-地下3階</t>
  </si>
  <si>
    <t>階別用途別床面積-6-塔屋 1階</t>
  </si>
  <si>
    <t>階別用途別床面積-6-塔屋 2階</t>
  </si>
  <si>
    <t>階別用途別床面積-6-塔屋 3階</t>
  </si>
  <si>
    <t>階別用途別床面積-6-塔屋 5階</t>
  </si>
  <si>
    <t>階別用途別床面積-6-1階</t>
  </si>
  <si>
    <t>階別用途別床面積-6-2階</t>
  </si>
  <si>
    <t>階別用途別床面積-6-3階</t>
  </si>
  <si>
    <t>階別用途別床面積-6-5階</t>
  </si>
  <si>
    <t>階別用途別床面積-6-6階</t>
  </si>
  <si>
    <t>階別用途別床面積-6-7階</t>
  </si>
  <si>
    <t>階別用途別床面積-6-8階</t>
  </si>
  <si>
    <t>階別用途別床面積-6-9階</t>
  </si>
  <si>
    <t>階別用途別床面積-6-10階</t>
  </si>
  <si>
    <t>階別用途別床面積-6-11階</t>
  </si>
  <si>
    <t>階別用途別床面積-6-12階</t>
  </si>
  <si>
    <t>階別用途別床面積-6-13階</t>
  </si>
  <si>
    <t>階別用途別床面積-6-15階</t>
  </si>
  <si>
    <t>階別用途別床面積-6-16階</t>
  </si>
  <si>
    <t>階別用途別床面積-6-17階</t>
  </si>
  <si>
    <t>階別用途別床面積-6-18階</t>
  </si>
  <si>
    <t>階別用途別床面積-6-19階</t>
  </si>
  <si>
    <t>階別用途別床面積-6-20階</t>
  </si>
  <si>
    <t>階別用途別床面積-6-21階</t>
  </si>
  <si>
    <t>階別用途別床面積-6-22階</t>
  </si>
  <si>
    <t>階別用途別床面積-6-23階</t>
  </si>
  <si>
    <t>階別用途別床面積-6-25階</t>
  </si>
  <si>
    <t>階別用途別床面積-6-26階</t>
  </si>
  <si>
    <t>階別用途別床面積-6-27階</t>
  </si>
  <si>
    <t>階別用途別床面積-6-28階</t>
  </si>
  <si>
    <t>階別用途別床面積-6-29階</t>
  </si>
  <si>
    <t>階別用途別床面積-6-30階</t>
  </si>
  <si>
    <t>階別用途別床面積-6-31階</t>
  </si>
  <si>
    <t>階別用途別床面積-6-32階</t>
  </si>
  <si>
    <t>階別用途別床面積-6-33階</t>
  </si>
  <si>
    <t>階別用途別床面積-6-35階</t>
  </si>
  <si>
    <t>階別用途別床面積-6-36階</t>
  </si>
  <si>
    <t>階別用途別床面積-6-37階</t>
  </si>
  <si>
    <t>階別用途別床面積-6-38階</t>
  </si>
  <si>
    <t>階別用途別床面積-6-39階</t>
  </si>
  <si>
    <t>階別用途別床面積-6-50階</t>
  </si>
  <si>
    <t>階別用途別床面積-7-大分類</t>
  </si>
  <si>
    <t>階別用途別床面積-7-小分類</t>
  </si>
  <si>
    <t>階別用途別床面積-7-地下1階</t>
  </si>
  <si>
    <t>階別用途別床面積-7-地下2階</t>
  </si>
  <si>
    <t>階別用途別床面積-7-地下3階</t>
  </si>
  <si>
    <t>階別用途別床面積-7-塔屋 1階</t>
  </si>
  <si>
    <t>階別用途別床面積-7-塔屋 2階</t>
  </si>
  <si>
    <t>階別用途別床面積-7-塔屋 3階</t>
  </si>
  <si>
    <t>階別用途別床面積-7-塔屋 5階</t>
  </si>
  <si>
    <t>階別用途別床面積-7-1階</t>
  </si>
  <si>
    <t>階別用途別床面積-7-2階</t>
  </si>
  <si>
    <t>階別用途別床面積-7-3階</t>
  </si>
  <si>
    <t>階別用途別床面積-7-5階</t>
  </si>
  <si>
    <t>階別用途別床面積-7-6階</t>
  </si>
  <si>
    <t>階別用途別床面積-7-7階</t>
  </si>
  <si>
    <t>階別用途別床面積-7-8階</t>
  </si>
  <si>
    <t>階別用途別床面積-7-9階</t>
  </si>
  <si>
    <t>階別用途別床面積-7-10階</t>
  </si>
  <si>
    <t>階別用途別床面積-7-11階</t>
  </si>
  <si>
    <t>階別用途別床面積-7-12階</t>
  </si>
  <si>
    <t>階別用途別床面積-7-13階</t>
  </si>
  <si>
    <t>階別用途別床面積-7-15階</t>
  </si>
  <si>
    <t>階別用途別床面積-7-16階</t>
  </si>
  <si>
    <t>階別用途別床面積-7-17階</t>
  </si>
  <si>
    <t>階別用途別床面積-7-18階</t>
  </si>
  <si>
    <t>階別用途別床面積-7-19階</t>
  </si>
  <si>
    <t>階別用途別床面積-7-20階</t>
  </si>
  <si>
    <t>階別用途別床面積-7-21階</t>
  </si>
  <si>
    <t>階別用途別床面積-7-22階</t>
  </si>
  <si>
    <t>階別用途別床面積-7-23階</t>
  </si>
  <si>
    <t>階別用途別床面積-7-25階</t>
  </si>
  <si>
    <t>階別用途別床面積-7-26階</t>
  </si>
  <si>
    <t>階別用途別床面積-7-27階</t>
  </si>
  <si>
    <t>階別用途別床面積-7-28階</t>
  </si>
  <si>
    <t>階別用途別床面積-7-29階</t>
  </si>
  <si>
    <t>階別用途別床面積-7-30階</t>
  </si>
  <si>
    <t>階別用途別床面積-7-31階</t>
  </si>
  <si>
    <t>階別用途別床面積-7-32階</t>
  </si>
  <si>
    <t>階別用途別床面積-7-33階</t>
  </si>
  <si>
    <t>階別用途別床面積-7-35階</t>
  </si>
  <si>
    <t>階別用途別床面積-7-36階</t>
  </si>
  <si>
    <t>階別用途別床面積-7-37階</t>
  </si>
  <si>
    <t>階別用途別床面積-7-38階</t>
  </si>
  <si>
    <t>階別用途別床面積-7-39階</t>
  </si>
  <si>
    <t>階別用途別床面積-7-50階</t>
  </si>
  <si>
    <t>１　報告対象建築物</t>
    <phoneticPr fontId="3"/>
  </si>
  <si>
    <t>未調査</t>
  </si>
  <si>
    <t>自由記入欄</t>
    <rPh sb="0" eb="5">
      <t>ジユウキニュウラン</t>
    </rPh>
    <phoneticPr fontId="3"/>
  </si>
  <si>
    <t>有（飛散防止措置無）か未調査</t>
    <rPh sb="0" eb="1">
      <t>アリ</t>
    </rPh>
    <rPh sb="2" eb="4">
      <t>ヒサン</t>
    </rPh>
    <rPh sb="4" eb="6">
      <t>ボウシ</t>
    </rPh>
    <rPh sb="6" eb="8">
      <t>ソチ</t>
    </rPh>
    <rPh sb="8" eb="9">
      <t>ム</t>
    </rPh>
    <rPh sb="11" eb="14">
      <t>ミチョウサ</t>
    </rPh>
    <phoneticPr fontId="3"/>
  </si>
  <si>
    <t>１５.石綿</t>
    <rPh sb="3" eb="5">
      <t>イシワタ</t>
    </rPh>
    <phoneticPr fontId="3"/>
  </si>
  <si>
    <t>無か未定</t>
    <rPh sb="2" eb="4">
      <t>ミテイ</t>
    </rPh>
    <phoneticPr fontId="3"/>
  </si>
  <si>
    <t>第一面別紙</t>
    <rPh sb="3" eb="5">
      <t>ベッシ</t>
    </rPh>
    <phoneticPr fontId="3"/>
  </si>
  <si>
    <t>状況</t>
    <rPh sb="0" eb="2">
      <t>ジョウキョウ</t>
    </rPh>
    <phoneticPr fontId="3"/>
  </si>
  <si>
    <t>8</t>
    <phoneticPr fontId="3"/>
  </si>
  <si>
    <t>事前処理</t>
    <rPh sb="0" eb="4">
      <t>ジゼンショリ</t>
    </rPh>
    <phoneticPr fontId="3"/>
  </si>
  <si>
    <t>CSVリンク用</t>
    <rPh sb="6" eb="7">
      <t>ヨウ</t>
    </rPh>
    <phoneticPr fontId="3"/>
  </si>
  <si>
    <t>特殊</t>
    <rPh sb="0" eb="2">
      <t>トクシュ</t>
    </rPh>
    <phoneticPr fontId="3"/>
  </si>
  <si>
    <t>●●●●</t>
  </si>
  <si>
    <t>固定</t>
    <rPh sb="0" eb="2">
      <t>コテイ</t>
    </rPh>
    <phoneticPr fontId="3"/>
  </si>
  <si>
    <t>報告日</t>
    <rPh sb="0" eb="3">
      <t>ホウコクビ</t>
    </rPh>
    <phoneticPr fontId="3"/>
  </si>
  <si>
    <t>0報告日-年</t>
  </si>
  <si>
    <t>報告対象建築物</t>
    <rPh sb="0" eb="2">
      <t>ホウコク</t>
    </rPh>
    <rPh sb="2" eb="4">
      <t>タイショウ</t>
    </rPh>
    <rPh sb="4" eb="7">
      <t>ケンチクブツ</t>
    </rPh>
    <phoneticPr fontId="3"/>
  </si>
  <si>
    <t>ID</t>
    <phoneticPr fontId="3"/>
  </si>
  <si>
    <t>1報告対象建築物-ID-1</t>
  </si>
  <si>
    <t>1報告対象建築物-ID-2</t>
  </si>
  <si>
    <t>1報告対象建築物-ID-3</t>
  </si>
  <si>
    <t>建築名称</t>
    <rPh sb="0" eb="2">
      <t>ケンチク</t>
    </rPh>
    <rPh sb="2" eb="4">
      <t>メイショウ</t>
    </rPh>
    <phoneticPr fontId="3"/>
  </si>
  <si>
    <t>1報告対象建築物-建築名称-フリガナ</t>
  </si>
  <si>
    <t>1報告対象建築物-建築名称-建築名称</t>
  </si>
  <si>
    <t>建物所在地</t>
    <rPh sb="0" eb="2">
      <t>タテモノ</t>
    </rPh>
    <rPh sb="2" eb="5">
      <t>ショザイチ</t>
    </rPh>
    <phoneticPr fontId="3"/>
  </si>
  <si>
    <t>1報告対象建築物-建物所在地-都道府県</t>
  </si>
  <si>
    <t>1報告対象建築物-建物所在地-市郡</t>
  </si>
  <si>
    <t>区町村</t>
    <rPh sb="0" eb="3">
      <t>クチョウソン</t>
    </rPh>
    <phoneticPr fontId="3"/>
  </si>
  <si>
    <t>1報告対象建築物-建物所在地-区町村</t>
  </si>
  <si>
    <t>1報告対象建築物-建物所在地-大字・町名</t>
  </si>
  <si>
    <t>1報告対象建築物-建物所在地-番地など</t>
  </si>
  <si>
    <t>報告内容に関する問合せ先</t>
    <rPh sb="0" eb="2">
      <t>ホウコク</t>
    </rPh>
    <rPh sb="2" eb="4">
      <t>ナイヨウ</t>
    </rPh>
    <rPh sb="5" eb="6">
      <t>カン</t>
    </rPh>
    <rPh sb="8" eb="10">
      <t>トイアワ</t>
    </rPh>
    <rPh sb="11" eb="12">
      <t>サキ</t>
    </rPh>
    <phoneticPr fontId="3"/>
  </si>
  <si>
    <t>法人名</t>
    <rPh sb="0" eb="3">
      <t>ホウジンメイ</t>
    </rPh>
    <phoneticPr fontId="3"/>
  </si>
  <si>
    <t>2報告内容に関する問合せ先-法人名-フリガナ</t>
  </si>
  <si>
    <t>2報告内容に関する問合せ先-法人名-法人名</t>
  </si>
  <si>
    <t>肩書</t>
    <rPh sb="0" eb="2">
      <t>カタガキ</t>
    </rPh>
    <phoneticPr fontId="3"/>
  </si>
  <si>
    <t>2報告内容に関する問合せ先-肩書-フリガナ</t>
  </si>
  <si>
    <t>2報告内容に関する問合せ先-肩書-肩書</t>
  </si>
  <si>
    <t>氏名</t>
    <rPh sb="0" eb="2">
      <t>シメイ</t>
    </rPh>
    <phoneticPr fontId="3"/>
  </si>
  <si>
    <t>2報告内容に関する問合せ先-氏名-フリガナ</t>
  </si>
  <si>
    <t>2報告内容に関する問合せ先-氏名-氏名</t>
  </si>
  <si>
    <t>郵便番号</t>
    <rPh sb="0" eb="2">
      <t>ユウビン</t>
    </rPh>
    <rPh sb="2" eb="4">
      <t>バンゴウ</t>
    </rPh>
    <phoneticPr fontId="3"/>
  </si>
  <si>
    <t>2報告内容に関する問合せ先-郵便番号</t>
  </si>
  <si>
    <t>2報告内容に関する問合せ先-住所</t>
  </si>
  <si>
    <t>電話番号</t>
    <rPh sb="0" eb="2">
      <t>デンワ</t>
    </rPh>
    <rPh sb="2" eb="4">
      <t>バンゴウ</t>
    </rPh>
    <phoneticPr fontId="3"/>
  </si>
  <si>
    <t>2報告内容に関する問合せ先-電話番号</t>
  </si>
  <si>
    <t>2報告内容に関する問合せ先-FAX番号</t>
  </si>
  <si>
    <t>2報告内容に関する問合せ先-メールアドレス（半角）</t>
  </si>
  <si>
    <t>所有者</t>
    <rPh sb="0" eb="3">
      <t>ショユウシャ</t>
    </rPh>
    <phoneticPr fontId="3"/>
  </si>
  <si>
    <t>3所有者-所有者氏名-法人名</t>
  </si>
  <si>
    <t>3所有者-所有者氏名-肩書</t>
  </si>
  <si>
    <t>3所有者-所有者氏名-氏名</t>
  </si>
  <si>
    <t>3所有者-郵便番号</t>
  </si>
  <si>
    <t>3所有者-住所</t>
  </si>
  <si>
    <t>3所有者-電話番号</t>
  </si>
  <si>
    <t>管理者</t>
    <rPh sb="0" eb="3">
      <t>カンリシャ</t>
    </rPh>
    <phoneticPr fontId="3"/>
  </si>
  <si>
    <t>4管理者-所有者同一と同一チェック</t>
  </si>
  <si>
    <t>4管理者-管理者氏名-法人名</t>
  </si>
  <si>
    <t>4管理者-管理者氏名-肩書</t>
  </si>
  <si>
    <t>4管理者-管理者氏名-氏名</t>
  </si>
  <si>
    <t>4管理者-郵便番号</t>
  </si>
  <si>
    <t>4管理者-住所</t>
  </si>
  <si>
    <t>4管理者-電話番号</t>
  </si>
  <si>
    <t>5</t>
    <phoneticPr fontId="3"/>
  </si>
  <si>
    <t>代表となる調査者</t>
    <rPh sb="0" eb="2">
      <t>ダイヒョウ</t>
    </rPh>
    <rPh sb="5" eb="7">
      <t>チョウサ</t>
    </rPh>
    <rPh sb="7" eb="8">
      <t>シャ</t>
    </rPh>
    <phoneticPr fontId="3"/>
  </si>
  <si>
    <t>5代表となる調査者-資格-資格名称</t>
  </si>
  <si>
    <t>5代表となる調査者-資格-建築士-登録</t>
  </si>
  <si>
    <t>5代表となる調査者-資格-建築士-号</t>
  </si>
  <si>
    <t>5代表となる調査者-資格-特定建築物調査員-号</t>
  </si>
  <si>
    <t>5代表となる調査者-氏名-フリガナ</t>
  </si>
  <si>
    <t>5代表となる調査者-氏名-氏名</t>
  </si>
  <si>
    <t>5代表となる調査者-勤務先-名称</t>
  </si>
  <si>
    <t>事務所登録</t>
    <rPh sb="0" eb="3">
      <t>ジムショ</t>
    </rPh>
    <rPh sb="3" eb="5">
      <t>トウロク</t>
    </rPh>
    <phoneticPr fontId="3"/>
  </si>
  <si>
    <t>建築士事務所</t>
    <rPh sb="0" eb="3">
      <t>ケンチクシ</t>
    </rPh>
    <rPh sb="3" eb="6">
      <t>ジムショ</t>
    </rPh>
    <phoneticPr fontId="3"/>
  </si>
  <si>
    <t>5代表となる調査者-勤務先-事務所登録-建築士事務所</t>
  </si>
  <si>
    <t>5代表となる調査者-勤務先-事務所登録-知事登録</t>
  </si>
  <si>
    <t>5代表となる調査者-勤務先-事務所登録-号</t>
  </si>
  <si>
    <t>郵便番号</t>
    <rPh sb="0" eb="4">
      <t>ユウビンバンゴウ</t>
    </rPh>
    <phoneticPr fontId="3"/>
  </si>
  <si>
    <t>5代表となる調査者-勤務先郵便番号</t>
  </si>
  <si>
    <t>5代表となる調査者-勤務先-所在地</t>
  </si>
  <si>
    <t>5代表となる調査者-勤務先-電話番号</t>
  </si>
  <si>
    <t>6</t>
    <phoneticPr fontId="3"/>
  </si>
  <si>
    <t>その他の調査者1</t>
    <rPh sb="2" eb="3">
      <t>タ</t>
    </rPh>
    <rPh sb="4" eb="6">
      <t>チョウサ</t>
    </rPh>
    <rPh sb="6" eb="7">
      <t>シャ</t>
    </rPh>
    <phoneticPr fontId="3"/>
  </si>
  <si>
    <t>代表となる調査者と勤務先が同じ1</t>
    <rPh sb="0" eb="2">
      <t>ダイヒョウ</t>
    </rPh>
    <rPh sb="5" eb="8">
      <t>チョウサシャ</t>
    </rPh>
    <rPh sb="9" eb="11">
      <t>キンム</t>
    </rPh>
    <rPh sb="11" eb="12">
      <t>サキ</t>
    </rPh>
    <rPh sb="13" eb="14">
      <t>オナ</t>
    </rPh>
    <phoneticPr fontId="3"/>
  </si>
  <si>
    <t>6その他の調査者1-代表となる調査者と勤務先が同じ1-</t>
  </si>
  <si>
    <t>6その他の調査者1-資格-資格名称</t>
  </si>
  <si>
    <t>6その他の調査者1-資格-建築士-登録</t>
  </si>
  <si>
    <t>6その他の調査者1-資格-建築士-号</t>
  </si>
  <si>
    <t>6その他の調査者1-資格-特定建築物調査員</t>
  </si>
  <si>
    <t>6その他の調査者1-氏名-フリガナ</t>
  </si>
  <si>
    <t>6その他の調査者1-氏名-氏名</t>
  </si>
  <si>
    <t>6その他の調査者1-勤務先-名称</t>
  </si>
  <si>
    <t>6その他の調査者1-勤務先-事務所登録-建築士事務所</t>
  </si>
  <si>
    <t>6その他の調査者1-勤務先-事務所登録-知事登録</t>
  </si>
  <si>
    <t>6その他の調査者1-勤務先-事務所登録-号</t>
  </si>
  <si>
    <t>6その他の調査者1-勤務先-郵便番号</t>
  </si>
  <si>
    <t>6その他の調査者1-勤務先-所在地</t>
  </si>
  <si>
    <t>電話番号</t>
    <rPh sb="0" eb="4">
      <t>デンワバンゴウ</t>
    </rPh>
    <phoneticPr fontId="3"/>
  </si>
  <si>
    <t>6その他の調査者1-勤務先-電話番号</t>
  </si>
  <si>
    <t>7</t>
    <phoneticPr fontId="3"/>
  </si>
  <si>
    <t>その他の調査者2</t>
    <rPh sb="2" eb="3">
      <t>タ</t>
    </rPh>
    <rPh sb="4" eb="6">
      <t>チョウサ</t>
    </rPh>
    <rPh sb="6" eb="7">
      <t>シャ</t>
    </rPh>
    <phoneticPr fontId="3"/>
  </si>
  <si>
    <t>代表となる調査者と勤務先が同じ</t>
    <rPh sb="0" eb="2">
      <t>ダイヒョウ</t>
    </rPh>
    <rPh sb="5" eb="8">
      <t>チョウサシャ</t>
    </rPh>
    <rPh sb="9" eb="11">
      <t>キンム</t>
    </rPh>
    <rPh sb="11" eb="12">
      <t>サキ</t>
    </rPh>
    <rPh sb="13" eb="14">
      <t>オナ</t>
    </rPh>
    <phoneticPr fontId="3"/>
  </si>
  <si>
    <t>7その他の調査者2-代表となる調査者と勤務先が同じ</t>
  </si>
  <si>
    <t>7その他の調査者2-資格-資格名称</t>
  </si>
  <si>
    <t>7その他の調査者2-資格-建築士-登録</t>
  </si>
  <si>
    <t>7その他の調査者2-資格-建築士-号</t>
  </si>
  <si>
    <t>7その他の調査者2-資格-特定建築物調査員-号</t>
  </si>
  <si>
    <t>7その他の調査者2-氏名-フリガナ</t>
  </si>
  <si>
    <t>7その他の調査者2-氏名-氏名</t>
  </si>
  <si>
    <t>防火地域等</t>
    <rPh sb="0" eb="2">
      <t>ボウカ</t>
    </rPh>
    <rPh sb="2" eb="4">
      <t>チイキ</t>
    </rPh>
    <rPh sb="4" eb="5">
      <t>ナド</t>
    </rPh>
    <phoneticPr fontId="3"/>
  </si>
  <si>
    <t>防火地域等 1</t>
    <rPh sb="0" eb="2">
      <t>ボウカ</t>
    </rPh>
    <rPh sb="2" eb="4">
      <t>チイキ</t>
    </rPh>
    <rPh sb="4" eb="5">
      <t>ナド</t>
    </rPh>
    <phoneticPr fontId="3"/>
  </si>
  <si>
    <t>8敷地の位置-防火地域等-防火地域等 1</t>
  </si>
  <si>
    <t>防火地域等 2</t>
    <rPh sb="0" eb="2">
      <t>ボウカ</t>
    </rPh>
    <rPh sb="2" eb="4">
      <t>チイキ</t>
    </rPh>
    <rPh sb="4" eb="5">
      <t>ナド</t>
    </rPh>
    <phoneticPr fontId="3"/>
  </si>
  <si>
    <t>8敷地の位置-防火地域等-防火地域等 2</t>
  </si>
  <si>
    <t>防火地域等 3</t>
    <rPh sb="0" eb="2">
      <t>ボウカ</t>
    </rPh>
    <rPh sb="2" eb="4">
      <t>チイキ</t>
    </rPh>
    <rPh sb="4" eb="5">
      <t>ナド</t>
    </rPh>
    <phoneticPr fontId="3"/>
  </si>
  <si>
    <t>8敷地の位置-防火地域等-防火地域等 3</t>
  </si>
  <si>
    <t>8敷地の位置-防火地域等-その他</t>
  </si>
  <si>
    <t>用途地域 1</t>
    <rPh sb="0" eb="2">
      <t>ヨウト</t>
    </rPh>
    <rPh sb="2" eb="4">
      <t>チイキ</t>
    </rPh>
    <phoneticPr fontId="3"/>
  </si>
  <si>
    <t>8敷地の位置-用途地域-用途地域 1</t>
  </si>
  <si>
    <t>用途地域 2</t>
    <rPh sb="0" eb="2">
      <t>ヨウト</t>
    </rPh>
    <rPh sb="2" eb="4">
      <t>チイキ</t>
    </rPh>
    <phoneticPr fontId="3"/>
  </si>
  <si>
    <t>8敷地の位置-用途地域-用途地域 2</t>
  </si>
  <si>
    <t>用途地域 3</t>
    <rPh sb="0" eb="2">
      <t>ヨウト</t>
    </rPh>
    <rPh sb="2" eb="4">
      <t>チイキ</t>
    </rPh>
    <phoneticPr fontId="3"/>
  </si>
  <si>
    <t>8敷地の位置-用途地域-用途地域 3</t>
  </si>
  <si>
    <t>9</t>
    <phoneticPr fontId="3"/>
  </si>
  <si>
    <t>建物及びその敷地の概要</t>
    <rPh sb="0" eb="2">
      <t>タテモノ</t>
    </rPh>
    <rPh sb="2" eb="3">
      <t>オヨ</t>
    </rPh>
    <rPh sb="6" eb="8">
      <t>シキチ</t>
    </rPh>
    <rPh sb="9" eb="11">
      <t>ガイヨウ</t>
    </rPh>
    <phoneticPr fontId="3"/>
  </si>
  <si>
    <t>構造 1</t>
    <rPh sb="0" eb="2">
      <t>コウゾウ</t>
    </rPh>
    <phoneticPr fontId="3"/>
  </si>
  <si>
    <t>9建物及びその敷地の概要-構造-構造 1</t>
  </si>
  <si>
    <t>構造 2</t>
    <rPh sb="0" eb="2">
      <t>コウゾウ</t>
    </rPh>
    <phoneticPr fontId="3"/>
  </si>
  <si>
    <t>9建物及びその敷地の概要-構造-構造 2</t>
  </si>
  <si>
    <t>構造 3</t>
    <rPh sb="0" eb="2">
      <t>コウゾウ</t>
    </rPh>
    <phoneticPr fontId="3"/>
  </si>
  <si>
    <t>9建物及びその敷地の概要-構造-構造 3</t>
  </si>
  <si>
    <t>9建物及びその敷地の概要-構造-その他</t>
  </si>
  <si>
    <t>9建物及びその敷地の概要-階数-地上-階</t>
  </si>
  <si>
    <t>階数</t>
    <rPh sb="0" eb="1">
      <t>カイ</t>
    </rPh>
    <rPh sb="1" eb="2">
      <t>スウ</t>
    </rPh>
    <phoneticPr fontId="3"/>
  </si>
  <si>
    <t>9建物及びその敷地の概要-階数-地下-階</t>
  </si>
  <si>
    <t>9建物及びその敷地の概要-敷地面積-㎡</t>
  </si>
  <si>
    <t>建築面積</t>
    <rPh sb="0" eb="2">
      <t>ケンチク</t>
    </rPh>
    <rPh sb="2" eb="4">
      <t>メンセキ</t>
    </rPh>
    <phoneticPr fontId="3"/>
  </si>
  <si>
    <t>9建物及びその敷地の概要-建築面積-㎡</t>
  </si>
  <si>
    <t>10</t>
    <phoneticPr fontId="3"/>
  </si>
  <si>
    <t>性能検証法等の適用</t>
    <rPh sb="0" eb="2">
      <t>セイノウ</t>
    </rPh>
    <rPh sb="2" eb="4">
      <t>ケンショウ</t>
    </rPh>
    <rPh sb="4" eb="5">
      <t>ホウ</t>
    </rPh>
    <rPh sb="5" eb="6">
      <t>ナド</t>
    </rPh>
    <rPh sb="7" eb="9">
      <t>テキヨウ</t>
    </rPh>
    <phoneticPr fontId="3"/>
  </si>
  <si>
    <t>10性能検証法等の適用-耐火性能検証法</t>
  </si>
  <si>
    <t>10性能検証法等の適用-防火区画検証法</t>
  </si>
  <si>
    <t>10性能検証法等の適用-区画避難安全検証法</t>
  </si>
  <si>
    <t>10性能検証法等の適用-区画避難安全検証法-階</t>
  </si>
  <si>
    <t>10性能検証法等の適用-階避難安全検証法</t>
  </si>
  <si>
    <t>10性能検証法等の適用-階避難安全検証法-階</t>
  </si>
  <si>
    <t>全館避難安全検証法</t>
    <rPh sb="0" eb="2">
      <t>ゼンカン</t>
    </rPh>
    <rPh sb="2" eb="4">
      <t>ヒナン</t>
    </rPh>
    <rPh sb="4" eb="6">
      <t>アンゼン</t>
    </rPh>
    <rPh sb="6" eb="8">
      <t>ケンショウ</t>
    </rPh>
    <rPh sb="8" eb="9">
      <t>ホウ</t>
    </rPh>
    <phoneticPr fontId="3"/>
  </si>
  <si>
    <t>10性能検証法等の適用-全館避難安全検証法</t>
  </si>
  <si>
    <t>10性能検証法等の適用-その他</t>
  </si>
  <si>
    <t>11</t>
    <phoneticPr fontId="3"/>
  </si>
  <si>
    <t>増築、改築、用途変更等の経過</t>
    <rPh sb="0" eb="2">
      <t>ゾウチク</t>
    </rPh>
    <rPh sb="3" eb="5">
      <t>カイチク</t>
    </rPh>
    <rPh sb="6" eb="8">
      <t>ヨウト</t>
    </rPh>
    <rPh sb="8" eb="10">
      <t>ヘンコウ</t>
    </rPh>
    <rPh sb="10" eb="11">
      <t>ナド</t>
    </rPh>
    <rPh sb="12" eb="14">
      <t>ケイカ</t>
    </rPh>
    <phoneticPr fontId="3"/>
  </si>
  <si>
    <t>11増築、改築、用途変更等の経過-年月日-元号_1</t>
  </si>
  <si>
    <t>11増築、改築、用途変更等の経過-年月日-元号_2</t>
  </si>
  <si>
    <t>11増築、改築、用途変更等の経過-年月日-元号_3</t>
  </si>
  <si>
    <t>11増築、改築、用途変更等の経過-年月日-元号_4</t>
  </si>
  <si>
    <t>12</t>
    <phoneticPr fontId="3"/>
  </si>
  <si>
    <t>関連図書の整備</t>
    <rPh sb="0" eb="2">
      <t>カンレン</t>
    </rPh>
    <rPh sb="2" eb="4">
      <t>トショ</t>
    </rPh>
    <rPh sb="5" eb="7">
      <t>セイビ</t>
    </rPh>
    <phoneticPr fontId="3"/>
  </si>
  <si>
    <t>直近の確認申請</t>
    <rPh sb="0" eb="2">
      <t>チョッキン</t>
    </rPh>
    <rPh sb="3" eb="5">
      <t>カクニン</t>
    </rPh>
    <rPh sb="5" eb="7">
      <t>シンセイ</t>
    </rPh>
    <phoneticPr fontId="3"/>
  </si>
  <si>
    <t>12関連図書の整備-直近の確認申請-確認に要した図書</t>
  </si>
  <si>
    <t>12関連図書の整備-直近の確認申請-確認-確認済証の有無</t>
  </si>
  <si>
    <t>12関連図書の整備-直近の確認申請-確認-工事種別</t>
  </si>
  <si>
    <t>12関連図書の整備-直近の確認申請-確認-交付年月日-元号</t>
  </si>
  <si>
    <t>12関連図書の整備-直近の確認申請-確認-交付年月日-年</t>
  </si>
  <si>
    <t>12関連図書の整備-直近の確認申請-確認-交付年月日-月</t>
  </si>
  <si>
    <t>12関連図書の整備-直近の確認申請-確認-交付年月日-日</t>
  </si>
  <si>
    <t>12関連図書の整備-直近の確認申請-確認-交付番号-号</t>
  </si>
  <si>
    <t>交付者</t>
    <rPh sb="0" eb="3">
      <t>コウフシャ</t>
    </rPh>
    <phoneticPr fontId="3"/>
  </si>
  <si>
    <t>12関連図書の整備-直近の確認申請-確認-交付者</t>
  </si>
  <si>
    <t>検査機関</t>
    <rPh sb="0" eb="2">
      <t>ケンサ</t>
    </rPh>
    <rPh sb="2" eb="4">
      <t>キカン</t>
    </rPh>
    <phoneticPr fontId="3"/>
  </si>
  <si>
    <t>12関連図書の整備-直近の確認申請-確認-検査機関</t>
  </si>
  <si>
    <t>12関連図書の整備-直近の確認申請-完了検査に要した図書</t>
  </si>
  <si>
    <t>検査済証の有無</t>
    <rPh sb="0" eb="2">
      <t>ケンサ</t>
    </rPh>
    <rPh sb="2" eb="3">
      <t>スミ</t>
    </rPh>
    <rPh sb="3" eb="4">
      <t>ショウ</t>
    </rPh>
    <rPh sb="5" eb="7">
      <t>ウム</t>
    </rPh>
    <phoneticPr fontId="3"/>
  </si>
  <si>
    <t>12関連図書の整備-直近の確認申請-完了-検査済証の有無</t>
  </si>
  <si>
    <t>12関連図書の整備-直近の確認申請-完了-交付年月日-元号</t>
  </si>
  <si>
    <t>12関連図書の整備-直近の確認申請-完了-交付年月日-年</t>
  </si>
  <si>
    <t>12関連図書の整備-直近の確認申請-完了-交付年月日-月</t>
  </si>
  <si>
    <t>12関連図書の整備-直近の確認申請-完了-交付年月日-日</t>
  </si>
  <si>
    <t>12関連図書の整備-直近の確認申請-完了-交付番号-号</t>
  </si>
  <si>
    <t>12関連図書の整備-直近の確認申請-完了-交付者</t>
  </si>
  <si>
    <t>12関連図書の整備-直近の確認申請-完了-検査機関</t>
  </si>
  <si>
    <t>新築時の確認申請</t>
    <rPh sb="0" eb="3">
      <t>シンチクジ</t>
    </rPh>
    <rPh sb="4" eb="6">
      <t>カクニン</t>
    </rPh>
    <rPh sb="6" eb="8">
      <t>シンセイ</t>
    </rPh>
    <phoneticPr fontId="3"/>
  </si>
  <si>
    <t>直近と記載の確認と同一</t>
    <rPh sb="0" eb="2">
      <t>チョッキン</t>
    </rPh>
    <rPh sb="3" eb="5">
      <t>キサイ</t>
    </rPh>
    <rPh sb="6" eb="8">
      <t>カクニン</t>
    </rPh>
    <rPh sb="9" eb="11">
      <t>ドウイツ</t>
    </rPh>
    <phoneticPr fontId="3"/>
  </si>
  <si>
    <t>12関連図書の整備-新築時の確認申請-直近と記載の確認と同一-</t>
  </si>
  <si>
    <t>12関連図書の整備-新築時の確認申請-確認に要した図書-</t>
  </si>
  <si>
    <t>12関連図書の整備-新築時の確認申請-確認-確認済証の有無</t>
  </si>
  <si>
    <t>12関連図書の整備-新築時の確認申請-確認-工事種別</t>
  </si>
  <si>
    <t>-</t>
  </si>
  <si>
    <t>12関連図書の整備-新築時の確認申請-確認-交付年月日-元号</t>
  </si>
  <si>
    <t>12関連図書の整備-新築時の確認申請-確認-交付年月日-年</t>
  </si>
  <si>
    <t>12関連図書の整備-新築時の確認申請-確認-交付年月日-月</t>
  </si>
  <si>
    <t>12関連図書の整備-新築時の確認申請-確認-交付年月日-日</t>
  </si>
  <si>
    <t>12関連図書の整備-新築時の確認申請-確認-交付番号-号</t>
  </si>
  <si>
    <t>12関連図書の整備-新築時の確認申請-確認-交付者</t>
  </si>
  <si>
    <t>12関連図書の整備-新築時の確認申請-確認-検査機関</t>
  </si>
  <si>
    <t>12関連図書の整備-新築時の確認申請-完了検査に要した図書-</t>
  </si>
  <si>
    <t>12関連図書の整備-新築時の確認申請-完了-検査済証の有無</t>
  </si>
  <si>
    <t>12関連図書の整備-新築時の確認申請-完了-交付年月日-元号</t>
  </si>
  <si>
    <t>12関連図書の整備-新築時の確認申請-完了-交付年月日-年</t>
  </si>
  <si>
    <t>12関連図書の整備-新築時の確認申請-完了-交付年月日-月</t>
  </si>
  <si>
    <t>12関連図書の整備-新築時の確認申請-完了-交付年月日-日</t>
  </si>
  <si>
    <t>12関連図書の整備-新築時の確認申請-完了-交付番号-号</t>
  </si>
  <si>
    <t>12関連図書の整備-新築時の確認申請-完了-交付者</t>
  </si>
  <si>
    <t>12関連図書の整備-新築時の確認申請-完了-検査機関</t>
  </si>
  <si>
    <t>維持管理保全に関する準則又は計画</t>
    <rPh sb="0" eb="2">
      <t>イジ</t>
    </rPh>
    <rPh sb="2" eb="4">
      <t>カンリ</t>
    </rPh>
    <rPh sb="4" eb="6">
      <t>ホゼン</t>
    </rPh>
    <rPh sb="7" eb="8">
      <t>カン</t>
    </rPh>
    <rPh sb="10" eb="11">
      <t>ジュン</t>
    </rPh>
    <rPh sb="11" eb="12">
      <t>ソク</t>
    </rPh>
    <rPh sb="12" eb="13">
      <t>マタ</t>
    </rPh>
    <rPh sb="14" eb="16">
      <t>ケイカク</t>
    </rPh>
    <phoneticPr fontId="3"/>
  </si>
  <si>
    <t>12関連図書の整備-維持管理保全に関する準則又は計画</t>
  </si>
  <si>
    <t>12関連図書の整備-前回の調査に関する書類の写し</t>
  </si>
  <si>
    <t>13</t>
    <phoneticPr fontId="3"/>
  </si>
  <si>
    <t>備考</t>
    <rPh sb="0" eb="2">
      <t>ビコウ</t>
    </rPh>
    <phoneticPr fontId="3"/>
  </si>
  <si>
    <t>備考（第二面）</t>
    <rPh sb="0" eb="2">
      <t>ビコウ</t>
    </rPh>
    <rPh sb="3" eb="4">
      <t>ダイ</t>
    </rPh>
    <rPh sb="4" eb="6">
      <t>ニメン</t>
    </rPh>
    <phoneticPr fontId="3"/>
  </si>
  <si>
    <t>13備考-備考（第二面）</t>
  </si>
  <si>
    <t>14</t>
    <phoneticPr fontId="3"/>
  </si>
  <si>
    <t>調査及び検査の状況</t>
    <rPh sb="0" eb="2">
      <t>チョウサ</t>
    </rPh>
    <rPh sb="2" eb="3">
      <t>オヨ</t>
    </rPh>
    <rPh sb="4" eb="6">
      <t>ケンサ</t>
    </rPh>
    <rPh sb="7" eb="9">
      <t>ジョウキョウ</t>
    </rPh>
    <phoneticPr fontId="3"/>
  </si>
  <si>
    <t>今回の調査　実施日</t>
    <rPh sb="0" eb="2">
      <t>コンカイ</t>
    </rPh>
    <rPh sb="3" eb="5">
      <t>チョウサ</t>
    </rPh>
    <rPh sb="6" eb="8">
      <t>ジッシ</t>
    </rPh>
    <rPh sb="8" eb="9">
      <t>ヒ</t>
    </rPh>
    <phoneticPr fontId="3"/>
  </si>
  <si>
    <t>14調査及び検査の状況-今回の調査　実施日-令和</t>
  </si>
  <si>
    <t>14調査及び検査の状況-今回の調査　実施日-年</t>
  </si>
  <si>
    <t>14調査及び検査の状況-今回の調査　実施日-月</t>
  </si>
  <si>
    <t>14調査及び検査の状況-今回の調査　実施日-日</t>
  </si>
  <si>
    <t>14調査及び検査の状況-前回の調査-有無</t>
  </si>
  <si>
    <t>14調査及び検査の状況-前回の調査-実施日-元号</t>
  </si>
  <si>
    <t>14調査及び検査の状況-前回の調査-実施日-年</t>
  </si>
  <si>
    <t>14調査及び検査の状況-前回の調査-実施日-月</t>
  </si>
  <si>
    <t>14調査及び検査の状況-前回の調査-実施日-日</t>
  </si>
  <si>
    <t>14調査及び検査の状況-建築設備の検査-有無</t>
  </si>
  <si>
    <t>14調査及び検査の状況-建築設備の検査-実施日-元号</t>
  </si>
  <si>
    <t>14調査及び検査の状況-建築設備の検査-実施日-年</t>
  </si>
  <si>
    <t>14調査及び検査の状況-建築設備の検査-実施日-月</t>
  </si>
  <si>
    <t>14調査及び検査の状況-建築設備の検査-実施日-日</t>
  </si>
  <si>
    <t>昇降機等の検査</t>
    <rPh sb="0" eb="2">
      <t>ショウコウ</t>
    </rPh>
    <rPh sb="2" eb="3">
      <t>キ</t>
    </rPh>
    <rPh sb="3" eb="4">
      <t>ナド</t>
    </rPh>
    <rPh sb="5" eb="7">
      <t>ケンサ</t>
    </rPh>
    <phoneticPr fontId="3"/>
  </si>
  <si>
    <t>14調査及び検査の状況-昇降機等の検査-有無</t>
  </si>
  <si>
    <t>14調査及び検査の状況-昇降機等の検査-実施日-元号</t>
  </si>
  <si>
    <t>14調査及び検査の状況-昇降機等の検査-実施日-年</t>
  </si>
  <si>
    <t>14調査及び検査の状況-昇降機等の検査-実施日-月</t>
  </si>
  <si>
    <t>14調査及び検査の状況-昇降機等の検査-実施日-日</t>
  </si>
  <si>
    <t>防火設備の検査</t>
    <rPh sb="0" eb="2">
      <t>ボウカ</t>
    </rPh>
    <rPh sb="2" eb="4">
      <t>セツビ</t>
    </rPh>
    <rPh sb="5" eb="7">
      <t>ケンサ</t>
    </rPh>
    <phoneticPr fontId="3"/>
  </si>
  <si>
    <t>14調査及び検査の状況-防火設備の検査-有無</t>
  </si>
  <si>
    <t>14調査及び検査の状況-防火設備の検査-実施日-元号</t>
  </si>
  <si>
    <t>14調査及び検査の状況-防火設備の検査-実施日-年</t>
  </si>
  <si>
    <t>14調査及び検査の状況-防火設備の検査-実施日-月</t>
  </si>
  <si>
    <t>14調査及び検査の状況-防火設備の検査-実施日-日</t>
  </si>
  <si>
    <t>15</t>
    <phoneticPr fontId="3"/>
  </si>
  <si>
    <t>石綿を添加した建築材料の調査状況</t>
    <rPh sb="0" eb="2">
      <t>イシワタ</t>
    </rPh>
    <rPh sb="3" eb="5">
      <t>テンカ</t>
    </rPh>
    <rPh sb="7" eb="9">
      <t>ケンチク</t>
    </rPh>
    <rPh sb="9" eb="11">
      <t>ザイリョウ</t>
    </rPh>
    <rPh sb="12" eb="14">
      <t>チョウサ</t>
    </rPh>
    <rPh sb="14" eb="16">
      <t>ジョウキョウ</t>
    </rPh>
    <phoneticPr fontId="3"/>
  </si>
  <si>
    <t>15石綿を添加した建築材料の調査状況-該当建築材料-有無</t>
  </si>
  <si>
    <t>15石綿を添加した建築材料の調査状況-該当建築材料-該当する室</t>
  </si>
  <si>
    <t>15石綿を添加した建築材料の調査状況-措置予定-有無</t>
  </si>
  <si>
    <t>改善予定年月</t>
    <rPh sb="0" eb="2">
      <t>カイゼン</t>
    </rPh>
    <rPh sb="2" eb="4">
      <t>ヨテイ</t>
    </rPh>
    <rPh sb="4" eb="6">
      <t>ネンゲツ</t>
    </rPh>
    <phoneticPr fontId="3"/>
  </si>
  <si>
    <t>15石綿を添加した建築材料の調査状況-措置予定-改善予定年月-令和</t>
  </si>
  <si>
    <t>15石綿を添加した建築材料の調査状況-措置予定-改善予定年月-年</t>
  </si>
  <si>
    <t>月実施予定</t>
    <rPh sb="0" eb="1">
      <t>ツキ</t>
    </rPh>
    <rPh sb="1" eb="3">
      <t>ジッシ</t>
    </rPh>
    <rPh sb="3" eb="5">
      <t>ヨテイ</t>
    </rPh>
    <phoneticPr fontId="3"/>
  </si>
  <si>
    <t>15石綿を添加した建築材料の調査状況-措置予定-改善予定年月-月実施予定</t>
  </si>
  <si>
    <t>16</t>
    <phoneticPr fontId="3"/>
  </si>
  <si>
    <t>耐震診断及び耐震改修の調査状況</t>
    <rPh sb="0" eb="2">
      <t>タイシン</t>
    </rPh>
    <rPh sb="2" eb="4">
      <t>シンダン</t>
    </rPh>
    <rPh sb="4" eb="5">
      <t>オヨ</t>
    </rPh>
    <rPh sb="6" eb="8">
      <t>タイシン</t>
    </rPh>
    <rPh sb="8" eb="10">
      <t>カイシュウ</t>
    </rPh>
    <rPh sb="11" eb="13">
      <t>チョウサ</t>
    </rPh>
    <rPh sb="13" eb="15">
      <t>ジョウキョウ</t>
    </rPh>
    <phoneticPr fontId="3"/>
  </si>
  <si>
    <t>16耐震診断及び耐震改修の調査状況-耐震診断-有無</t>
  </si>
  <si>
    <t>実施予定年月</t>
    <rPh sb="0" eb="2">
      <t>ジッシ</t>
    </rPh>
    <rPh sb="2" eb="4">
      <t>ヨテイ</t>
    </rPh>
    <rPh sb="4" eb="6">
      <t>ネンゲツ</t>
    </rPh>
    <phoneticPr fontId="3"/>
  </si>
  <si>
    <t>16耐震診断及び耐震改修の調査状況-耐震診断-実施予定年月-令和</t>
  </si>
  <si>
    <t>16耐震診断及び耐震改修の調査状況-耐震診断-実施予定年月-年</t>
  </si>
  <si>
    <t>16耐震診断及び耐震改修の調査状況-耐震診断-実施予定年月-月実施予定</t>
  </si>
  <si>
    <t>16耐震診断及び耐震改修の調査状況-耐震改修-有無</t>
  </si>
  <si>
    <t>16耐震診断及び耐震改修の調査状況-耐震改修-実施予定年月-令和</t>
  </si>
  <si>
    <t>16耐震診断及び耐震改修の調査状況-耐震改修-実施予定年月-年</t>
  </si>
  <si>
    <t>16耐震診断及び耐震改修の調査状況-耐震改修-実施予定年月-月実施予定</t>
  </si>
  <si>
    <t>17</t>
    <phoneticPr fontId="3"/>
  </si>
  <si>
    <t>建築物等に係る不具合等の状況</t>
    <rPh sb="0" eb="2">
      <t>ケンチク</t>
    </rPh>
    <rPh sb="2" eb="3">
      <t>ブツ</t>
    </rPh>
    <rPh sb="3" eb="4">
      <t>ナド</t>
    </rPh>
    <rPh sb="5" eb="6">
      <t>カカワ</t>
    </rPh>
    <rPh sb="7" eb="10">
      <t>フグアイ</t>
    </rPh>
    <rPh sb="10" eb="11">
      <t>ナド</t>
    </rPh>
    <rPh sb="12" eb="14">
      <t>ジョウキョウ</t>
    </rPh>
    <phoneticPr fontId="3"/>
  </si>
  <si>
    <t>不具合等</t>
    <rPh sb="0" eb="3">
      <t>フグアイ</t>
    </rPh>
    <rPh sb="3" eb="4">
      <t>ナド</t>
    </rPh>
    <phoneticPr fontId="3"/>
  </si>
  <si>
    <t>17建築物等に係る不具合等の状況-不具合等</t>
  </si>
  <si>
    <t>不具合等の記録</t>
    <rPh sb="0" eb="3">
      <t>フグアイ</t>
    </rPh>
    <rPh sb="3" eb="4">
      <t>ナド</t>
    </rPh>
    <rPh sb="5" eb="7">
      <t>キロク</t>
    </rPh>
    <phoneticPr fontId="3"/>
  </si>
  <si>
    <t>17建築物等に係る不具合等の状況-不具合等の記録</t>
  </si>
  <si>
    <t>不具合等を把握した年月</t>
    <rPh sb="0" eb="3">
      <t>フグアイ</t>
    </rPh>
    <rPh sb="3" eb="4">
      <t>ナド</t>
    </rPh>
    <rPh sb="5" eb="7">
      <t>ハアク</t>
    </rPh>
    <rPh sb="9" eb="11">
      <t>ネンゲツ</t>
    </rPh>
    <phoneticPr fontId="3"/>
  </si>
  <si>
    <t>17建築物等に係る不具合等の状況-不具合等を把握した年月-元号_1</t>
  </si>
  <si>
    <t>17建築物等に係る不具合等の状況-不具合等を把握した年月-年_1</t>
  </si>
  <si>
    <t>17建築物等に係る不具合等の状況-不具合等を把握した年月-月_1</t>
  </si>
  <si>
    <t>17建築物等に係る不具合等の状況-不具合等の概要_1</t>
  </si>
  <si>
    <t>17建築物等に係る不具合等の状況-考えられる要因_1</t>
  </si>
  <si>
    <t>17建築物等に係る不具合等の状況-改善の状況_1</t>
  </si>
  <si>
    <t>年（令和）</t>
    <rPh sb="0" eb="1">
      <t>ネン</t>
    </rPh>
    <rPh sb="2" eb="4">
      <t>レイワ</t>
    </rPh>
    <phoneticPr fontId="3"/>
  </si>
  <si>
    <t>17建築物等に係る不具合等の状況-改善（予定）年月-年（令和）_1</t>
  </si>
  <si>
    <t>17建築物等に係る不具合等の状況-改善（予定）年月-月_1</t>
  </si>
  <si>
    <t>改善措置の概要等又は改善の予定がない場合は理由</t>
    <rPh sb="0" eb="2">
      <t>カイゼン</t>
    </rPh>
    <rPh sb="2" eb="4">
      <t>ソチ</t>
    </rPh>
    <rPh sb="5" eb="7">
      <t>ガイヨウ</t>
    </rPh>
    <rPh sb="7" eb="8">
      <t>ナド</t>
    </rPh>
    <rPh sb="8" eb="9">
      <t>マタ</t>
    </rPh>
    <rPh sb="10" eb="12">
      <t>カイゼン</t>
    </rPh>
    <rPh sb="13" eb="15">
      <t>ヨテイ</t>
    </rPh>
    <rPh sb="18" eb="20">
      <t>バアイ</t>
    </rPh>
    <rPh sb="21" eb="23">
      <t>リユウ</t>
    </rPh>
    <phoneticPr fontId="3"/>
  </si>
  <si>
    <t>17建築物等に係る不具合等の状況-改善措置の概要等又は改善の予定がない場合は理由_1</t>
  </si>
  <si>
    <t>17建築物等に係る不具合等の状況-不具合等を把握した年月-元号_2</t>
  </si>
  <si>
    <t>17建築物等に係る不具合等の状況-不具合等を把握した年月-年_2</t>
  </si>
  <si>
    <t>17建築物等に係る不具合等の状況-不具合等を把握した年月-月_2</t>
  </si>
  <si>
    <t>17建築物等に係る不具合等の状況-不具合等の概要_2</t>
  </si>
  <si>
    <t>17建築物等に係る不具合等の状況-考えられる要因_2</t>
  </si>
  <si>
    <t>17建築物等に係る不具合等の状況-改善の状況_2</t>
  </si>
  <si>
    <t>17建築物等に係る不具合等の状況-改善（予定）年月-年（令和）_2</t>
  </si>
  <si>
    <t>17建築物等に係る不具合等の状況-改善（予定）年月-月_2</t>
  </si>
  <si>
    <t>17建築物等に係る不具合等の状況-改善措置の概要等又は改善の予定がない場合は理由_2</t>
  </si>
  <si>
    <t>17建築物等に係る不具合等の状況-不具合等を把握した年月-元号_3</t>
  </si>
  <si>
    <t>17建築物等に係る不具合等の状況-不具合等を把握した年月-年_3</t>
  </si>
  <si>
    <t>17建築物等に係る不具合等の状況-不具合等を把握した年月-月_3</t>
  </si>
  <si>
    <t>17建築物等に係る不具合等の状況-不具合等の概要_3</t>
  </si>
  <si>
    <t>17建築物等に係る不具合等の状況-考えられる要因_3</t>
  </si>
  <si>
    <t>17建築物等に係る不具合等の状況-改善の状況_3</t>
  </si>
  <si>
    <t>17建築物等に係る不具合等の状況-改善（予定）年月-年（令和）_3</t>
  </si>
  <si>
    <t>17建築物等に係る不具合等の状況-改善（予定）年月-月_3</t>
  </si>
  <si>
    <t>17建築物等に係る不具合等の状況-改善措置の概要等又は改善の予定がない場合は理由_3</t>
  </si>
  <si>
    <t>17建築物等に係る不具合等の状況-不具合等を把握した年月-元号_4</t>
  </si>
  <si>
    <t>17建築物等に係る不具合等の状況-不具合等を把握した年月-年_4</t>
  </si>
  <si>
    <t>17建築物等に係る不具合等の状況-不具合等を把握した年月-月_4</t>
  </si>
  <si>
    <t>17建築物等に係る不具合等の状況-不具合等の概要_4</t>
  </si>
  <si>
    <t>17建築物等に係る不具合等の状況-考えられる要因_4</t>
  </si>
  <si>
    <t>17建築物等に係る不具合等の状況-改善の状況_4</t>
  </si>
  <si>
    <t>17建築物等に係る不具合等の状況-改善（予定）年月-年（令和）_4</t>
  </si>
  <si>
    <t>17建築物等に係る不具合等の状況-改善（予定）年月-月_4</t>
  </si>
  <si>
    <t>17建築物等に係る不具合等の状況-改善措置の概要等又は改善の予定がない場合は理由_4</t>
  </si>
  <si>
    <t>17建築物等に係る不具合等の状況-不具合等を把握した年月-元号_5</t>
  </si>
  <si>
    <t>17建築物等に係る不具合等の状況-不具合等を把握した年月-年_5</t>
  </si>
  <si>
    <t>17建築物等に係る不具合等の状況-不具合等を把握した年月-月_5</t>
  </si>
  <si>
    <t>17建築物等に係る不具合等の状況-不具合等の概要_5</t>
  </si>
  <si>
    <t>17建築物等に係る不具合等の状況-考えられる要因_5</t>
  </si>
  <si>
    <t>17建築物等に係る不具合等の状況-改善の状況_5</t>
  </si>
  <si>
    <t>17建築物等に係る不具合等の状況-改善（予定）年月-年（令和）_5</t>
  </si>
  <si>
    <t>17建築物等に係る不具合等の状況-改善（予定）年月-月_5</t>
  </si>
  <si>
    <t>17建築物等に係る不具合等の状況-改善措置の概要等又は改善の予定がない場合は理由_5</t>
  </si>
  <si>
    <t>18</t>
    <phoneticPr fontId="3"/>
  </si>
  <si>
    <t>備考（3）</t>
    <rPh sb="0" eb="2">
      <t>ビコウ</t>
    </rPh>
    <phoneticPr fontId="3"/>
  </si>
  <si>
    <t>18備考-備考（3）</t>
  </si>
  <si>
    <t>19</t>
    <phoneticPr fontId="3"/>
  </si>
  <si>
    <t>外装仕上げ材等について</t>
    <rPh sb="0" eb="2">
      <t>ガイソウ</t>
    </rPh>
    <rPh sb="2" eb="4">
      <t>シア</t>
    </rPh>
    <rPh sb="5" eb="6">
      <t>ザイ</t>
    </rPh>
    <rPh sb="6" eb="7">
      <t>ナド</t>
    </rPh>
    <phoneticPr fontId="3"/>
  </si>
  <si>
    <t>前面打診等の実施状況</t>
    <rPh sb="0" eb="2">
      <t>ゼンメン</t>
    </rPh>
    <rPh sb="2" eb="4">
      <t>ダシン</t>
    </rPh>
    <rPh sb="4" eb="5">
      <t>ナド</t>
    </rPh>
    <rPh sb="6" eb="8">
      <t>ジッシ</t>
    </rPh>
    <rPh sb="8" eb="10">
      <t>ジョウキョウ</t>
    </rPh>
    <phoneticPr fontId="3"/>
  </si>
  <si>
    <t>時期：</t>
    <rPh sb="0" eb="2">
      <t>ジキ</t>
    </rPh>
    <phoneticPr fontId="3"/>
  </si>
  <si>
    <t>月に</t>
    <rPh sb="0" eb="1">
      <t>ツキ</t>
    </rPh>
    <phoneticPr fontId="3"/>
  </si>
  <si>
    <t>理由：</t>
    <rPh sb="0" eb="2">
      <t>リユウ</t>
    </rPh>
    <phoneticPr fontId="3"/>
  </si>
  <si>
    <t>設備（法第12条第三項関係など）</t>
    <rPh sb="0" eb="2">
      <t>セツビ</t>
    </rPh>
    <rPh sb="3" eb="4">
      <t>ホウ</t>
    </rPh>
    <rPh sb="4" eb="5">
      <t>ダイ</t>
    </rPh>
    <rPh sb="7" eb="8">
      <t>ジョウ</t>
    </rPh>
    <rPh sb="8" eb="9">
      <t>ダイ</t>
    </rPh>
    <rPh sb="9" eb="10">
      <t>サン</t>
    </rPh>
    <rPh sb="10" eb="11">
      <t>コウ</t>
    </rPh>
    <rPh sb="11" eb="13">
      <t>カンケイ</t>
    </rPh>
    <phoneticPr fontId="3"/>
  </si>
  <si>
    <t>建築設備</t>
    <rPh sb="0" eb="2">
      <t>ケンチク</t>
    </rPh>
    <rPh sb="2" eb="4">
      <t>セツビ</t>
    </rPh>
    <phoneticPr fontId="3"/>
  </si>
  <si>
    <t>機械換気設備</t>
    <rPh sb="0" eb="2">
      <t>キカイ</t>
    </rPh>
    <rPh sb="2" eb="4">
      <t>カンキ</t>
    </rPh>
    <rPh sb="4" eb="6">
      <t>セツビ</t>
    </rPh>
    <phoneticPr fontId="3"/>
  </si>
  <si>
    <t>機械排煙設備</t>
    <rPh sb="0" eb="2">
      <t>キカイ</t>
    </rPh>
    <rPh sb="2" eb="4">
      <t>ハイエン</t>
    </rPh>
    <rPh sb="4" eb="6">
      <t>セツビ</t>
    </rPh>
    <phoneticPr fontId="3"/>
  </si>
  <si>
    <t>非常用の照明装置</t>
    <rPh sb="0" eb="3">
      <t>ヒジョウヨウ</t>
    </rPh>
    <rPh sb="4" eb="6">
      <t>ショウメイ</t>
    </rPh>
    <rPh sb="6" eb="8">
      <t>ソウチ</t>
    </rPh>
    <phoneticPr fontId="3"/>
  </si>
  <si>
    <t>給水設備及び排水設備</t>
    <rPh sb="0" eb="2">
      <t>キュウスイ</t>
    </rPh>
    <rPh sb="2" eb="4">
      <t>セツビ</t>
    </rPh>
    <rPh sb="4" eb="5">
      <t>オヨ</t>
    </rPh>
    <rPh sb="6" eb="8">
      <t>ハイスイ</t>
    </rPh>
    <rPh sb="8" eb="10">
      <t>セツビ</t>
    </rPh>
    <phoneticPr fontId="3"/>
  </si>
  <si>
    <t>設置されている階</t>
    <rPh sb="0" eb="2">
      <t>セッチ</t>
    </rPh>
    <rPh sb="7" eb="8">
      <t>カイ</t>
    </rPh>
    <phoneticPr fontId="3"/>
  </si>
  <si>
    <t>小荷物専用昇降機の有無</t>
    <rPh sb="0" eb="3">
      <t>コニモツ</t>
    </rPh>
    <rPh sb="3" eb="5">
      <t>センヨウ</t>
    </rPh>
    <rPh sb="5" eb="7">
      <t>ショウコウ</t>
    </rPh>
    <rPh sb="7" eb="8">
      <t>キ</t>
    </rPh>
    <rPh sb="9" eb="11">
      <t>ウム</t>
    </rPh>
    <phoneticPr fontId="3"/>
  </si>
  <si>
    <t>自動消火設備</t>
    <rPh sb="0" eb="2">
      <t>ジドウ</t>
    </rPh>
    <rPh sb="2" eb="4">
      <t>ショウカ</t>
    </rPh>
    <rPh sb="4" eb="6">
      <t>セツビ</t>
    </rPh>
    <phoneticPr fontId="3"/>
  </si>
  <si>
    <t>自由記入欄</t>
    <rPh sb="0" eb="2">
      <t>ジユウ</t>
    </rPh>
    <rPh sb="2" eb="5">
      <t>キニュウラン</t>
    </rPh>
    <phoneticPr fontId="3"/>
  </si>
  <si>
    <t>調査者番号</t>
    <rPh sb="0" eb="2">
      <t>チョウサ</t>
    </rPh>
    <rPh sb="2" eb="3">
      <t>シャ</t>
    </rPh>
    <rPh sb="3" eb="5">
      <t>バンゴウ</t>
    </rPh>
    <phoneticPr fontId="3"/>
  </si>
  <si>
    <t>1（1）</t>
  </si>
  <si>
    <t>指摘の具体的内容等</t>
    <rPh sb="0" eb="2">
      <t>シテキ</t>
    </rPh>
    <rPh sb="3" eb="6">
      <t>グタイテキ</t>
    </rPh>
    <rPh sb="6" eb="8">
      <t>ナイヨウ</t>
    </rPh>
    <rPh sb="8" eb="9">
      <t>ナド</t>
    </rPh>
    <phoneticPr fontId="3"/>
  </si>
  <si>
    <t>改善策の具体的内容等</t>
    <rPh sb="0" eb="2">
      <t>カイゼン</t>
    </rPh>
    <rPh sb="2" eb="3">
      <t>サク</t>
    </rPh>
    <rPh sb="4" eb="7">
      <t>グタイテキ</t>
    </rPh>
    <rPh sb="7" eb="9">
      <t>ナイヨウ</t>
    </rPh>
    <rPh sb="9" eb="10">
      <t>ナド</t>
    </rPh>
    <phoneticPr fontId="3"/>
  </si>
  <si>
    <t>1（1）</t>
    <phoneticPr fontId="3"/>
  </si>
  <si>
    <t>1（2）</t>
  </si>
  <si>
    <t>1（3）</t>
  </si>
  <si>
    <t>1（4）</t>
  </si>
  <si>
    <t>1（5）</t>
  </si>
  <si>
    <t>1（6）</t>
  </si>
  <si>
    <t>1（7）</t>
  </si>
  <si>
    <t>1（8）</t>
  </si>
  <si>
    <t>1（9）</t>
  </si>
  <si>
    <t>2（1）</t>
    <phoneticPr fontId="3"/>
  </si>
  <si>
    <t>2（2）</t>
  </si>
  <si>
    <t>2（3）</t>
  </si>
  <si>
    <t>2（4）</t>
  </si>
  <si>
    <t>2（5）</t>
  </si>
  <si>
    <t>2（6）</t>
  </si>
  <si>
    <t>2（7）</t>
  </si>
  <si>
    <t>2（8）</t>
  </si>
  <si>
    <t>2（9）</t>
  </si>
  <si>
    <t>2（10）</t>
  </si>
  <si>
    <t>2（11）</t>
  </si>
  <si>
    <t>2（12）</t>
  </si>
  <si>
    <t>2（13）</t>
  </si>
  <si>
    <t>2（14）</t>
  </si>
  <si>
    <t>2（15）</t>
  </si>
  <si>
    <t>2（16）</t>
  </si>
  <si>
    <t>2（17）</t>
  </si>
  <si>
    <t>2（18）</t>
  </si>
  <si>
    <t>3（1）</t>
    <phoneticPr fontId="3"/>
  </si>
  <si>
    <t>3（2）</t>
  </si>
  <si>
    <t>3（3）</t>
  </si>
  <si>
    <t>3（4）</t>
  </si>
  <si>
    <t>3（5）</t>
  </si>
  <si>
    <t>3（6）</t>
  </si>
  <si>
    <t>3（7）</t>
  </si>
  <si>
    <t>3（8）</t>
  </si>
  <si>
    <t>3（9）</t>
  </si>
  <si>
    <t>建築物の内部</t>
    <rPh sb="0" eb="3">
      <t>ケンチクブツ</t>
    </rPh>
    <rPh sb="4" eb="6">
      <t>ナイブ</t>
    </rPh>
    <phoneticPr fontId="3"/>
  </si>
  <si>
    <t>4（1）</t>
    <phoneticPr fontId="3"/>
  </si>
  <si>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</si>
  <si>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</si>
  <si>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</si>
  <si>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</si>
  <si>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</si>
  <si>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</si>
  <si>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</si>
  <si>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</si>
  <si>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</si>
  <si>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</si>
  <si>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</si>
  <si>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</si>
  <si>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</si>
  <si>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</si>
  <si>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</si>
  <si>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</si>
  <si>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</si>
  <si>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</si>
  <si>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</si>
  <si>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</si>
  <si>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</si>
  <si>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</si>
  <si>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</si>
  <si>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</si>
  <si>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</si>
  <si>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</si>
  <si>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</si>
  <si>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</si>
  <si>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</si>
  <si>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</si>
  <si>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</si>
  <si>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</si>
  <si>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</si>
  <si>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</si>
  <si>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</si>
  <si>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</si>
  <si>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</si>
  <si>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</si>
  <si>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</si>
  <si>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</si>
  <si>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</si>
  <si>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</si>
  <si>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</si>
  <si>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</si>
  <si>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</si>
  <si>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</si>
  <si>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5（1）</t>
    <phoneticPr fontId="3"/>
  </si>
  <si>
    <t>5（2）</t>
  </si>
  <si>
    <t>5（3）</t>
  </si>
  <si>
    <t>5（4）</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</si>
  <si>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</si>
  <si>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</si>
  <si>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</si>
  <si>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</si>
  <si>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</si>
  <si>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</si>
  <si>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</si>
  <si>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</si>
  <si>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</si>
  <si>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</si>
  <si>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</si>
  <si>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</si>
  <si>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</si>
  <si>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</si>
  <si>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</si>
  <si>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</si>
  <si>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</si>
  <si>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</si>
  <si>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</si>
  <si>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</si>
  <si>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</si>
  <si>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</si>
  <si>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</si>
  <si>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</si>
  <si>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</si>
  <si>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</si>
  <si>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</si>
  <si>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</si>
  <si>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</si>
  <si>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</si>
  <si>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</si>
  <si>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</si>
  <si>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</si>
  <si>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</si>
  <si>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</si>
  <si>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</si>
  <si>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6（1）</t>
    <phoneticPr fontId="3"/>
  </si>
  <si>
    <t>6（2）</t>
  </si>
  <si>
    <t>6（3）</t>
  </si>
  <si>
    <t>6（4）</t>
  </si>
  <si>
    <t>6（5）</t>
  </si>
  <si>
    <t>6（6）</t>
  </si>
  <si>
    <t>6（7）</t>
  </si>
  <si>
    <t>6（8）</t>
  </si>
  <si>
    <t>6（9）</t>
  </si>
  <si>
    <t>7（1）</t>
    <phoneticPr fontId="3"/>
  </si>
  <si>
    <t>7（2）</t>
  </si>
  <si>
    <t>7（3）</t>
  </si>
  <si>
    <t>7（4）</t>
  </si>
  <si>
    <t>7（5）</t>
  </si>
  <si>
    <t>7（6）</t>
  </si>
  <si>
    <t>7（7）</t>
  </si>
  <si>
    <t>7（8）</t>
  </si>
  <si>
    <t>7（9）</t>
  </si>
  <si>
    <t>7（10）</t>
  </si>
  <si>
    <t>上記1から7に記載のない事項</t>
    <rPh sb="0" eb="2">
      <t>ジョウキ</t>
    </rPh>
    <rPh sb="7" eb="9">
      <t>キサイ</t>
    </rPh>
    <rPh sb="12" eb="14">
      <t>ジコウ</t>
    </rPh>
    <phoneticPr fontId="3"/>
  </si>
  <si>
    <t>階別用途別床面積-1-地下4階</t>
  </si>
  <si>
    <t>階別用途別床面積-1-塔屋 4階</t>
  </si>
  <si>
    <t>階別用途別床面積-1-4階</t>
  </si>
  <si>
    <t>階別用途別床面積-2-地下4階</t>
  </si>
  <si>
    <t>階別用途別床面積-2-塔屋 4階</t>
  </si>
  <si>
    <t>地下1階</t>
  </si>
  <si>
    <t>地下2階</t>
  </si>
  <si>
    <t>地下3階</t>
  </si>
  <si>
    <t>地下4階</t>
  </si>
  <si>
    <t>塔屋 1階</t>
  </si>
  <si>
    <t>塔屋 2階</t>
  </si>
  <si>
    <t>塔屋 3階</t>
  </si>
  <si>
    <t>塔屋 4階</t>
  </si>
  <si>
    <t>塔屋 5階</t>
  </si>
  <si>
    <t>1階</t>
  </si>
  <si>
    <t>2階</t>
  </si>
  <si>
    <t>3階</t>
  </si>
  <si>
    <t>4階</t>
  </si>
  <si>
    <t>5階</t>
  </si>
  <si>
    <t>6階</t>
  </si>
  <si>
    <t>7階</t>
  </si>
  <si>
    <t>8階</t>
  </si>
  <si>
    <t>9階</t>
  </si>
  <si>
    <t>10階</t>
  </si>
  <si>
    <t>11階</t>
  </si>
  <si>
    <t>12階</t>
  </si>
  <si>
    <t>13階</t>
  </si>
  <si>
    <t>14階</t>
  </si>
  <si>
    <t>15階</t>
  </si>
  <si>
    <t>16階</t>
  </si>
  <si>
    <t>17階</t>
  </si>
  <si>
    <t>18階</t>
  </si>
  <si>
    <t>19階</t>
  </si>
  <si>
    <t>20階</t>
  </si>
  <si>
    <t>21階</t>
  </si>
  <si>
    <t>22階</t>
  </si>
  <si>
    <t>23階</t>
  </si>
  <si>
    <t>24階</t>
  </si>
  <si>
    <t>25階</t>
  </si>
  <si>
    <t>26階</t>
  </si>
  <si>
    <t>27階</t>
  </si>
  <si>
    <t>28階</t>
  </si>
  <si>
    <t>29階</t>
  </si>
  <si>
    <t>30階</t>
  </si>
  <si>
    <t>31階</t>
  </si>
  <si>
    <t>32階</t>
  </si>
  <si>
    <t>33階</t>
  </si>
  <si>
    <t>34階</t>
  </si>
  <si>
    <t>35階</t>
  </si>
  <si>
    <t>36階</t>
  </si>
  <si>
    <t>37階</t>
  </si>
  <si>
    <t>38階</t>
  </si>
  <si>
    <t>39階</t>
  </si>
  <si>
    <t>40階</t>
  </si>
  <si>
    <t>41階</t>
  </si>
  <si>
    <t>42階</t>
  </si>
  <si>
    <t>43階</t>
  </si>
  <si>
    <t>44階</t>
  </si>
  <si>
    <t>45階</t>
  </si>
  <si>
    <t>46階</t>
  </si>
  <si>
    <t>47階</t>
  </si>
  <si>
    <t>48階</t>
  </si>
  <si>
    <t>49階</t>
  </si>
  <si>
    <t>50階</t>
  </si>
  <si>
    <t>大分類</t>
  </si>
  <si>
    <t>小分類</t>
  </si>
  <si>
    <t>5</t>
  </si>
  <si>
    <t>5</t>
    <phoneticPr fontId="3"/>
  </si>
  <si>
    <t>6</t>
  </si>
  <si>
    <t>6</t>
    <phoneticPr fontId="3"/>
  </si>
  <si>
    <t>7</t>
  </si>
  <si>
    <t>7</t>
    <phoneticPr fontId="3"/>
  </si>
  <si>
    <t>階別用途別床面積</t>
    <phoneticPr fontId="3"/>
  </si>
  <si>
    <t>-</t>
    <phoneticPr fontId="3"/>
  </si>
  <si>
    <t>階別用途別床面積-1-14階</t>
  </si>
  <si>
    <t>階別用途別床面積-1-24階</t>
  </si>
  <si>
    <t>階別用途別床面積-1-34階</t>
  </si>
  <si>
    <t>階別用途別床面積-1-40階</t>
  </si>
  <si>
    <t>階別用途別床面積-1-41階</t>
  </si>
  <si>
    <t>階別用途別床面積-1-42階</t>
  </si>
  <si>
    <t>階別用途別床面積-1-43階</t>
  </si>
  <si>
    <t>階別用途別床面積-1-44階</t>
  </si>
  <si>
    <t>階別用途別床面積-1-45階</t>
  </si>
  <si>
    <t>階別用途別床面積-1-46階</t>
  </si>
  <si>
    <t>階別用途別床面積-1-47階</t>
  </si>
  <si>
    <t>階別用途別床面積-1-48階</t>
  </si>
  <si>
    <t>階別用途別床面積-1-49階</t>
  </si>
  <si>
    <t>階別用途別床面積-2-4階</t>
  </si>
  <si>
    <t>階別用途別床面積-2-14階</t>
  </si>
  <si>
    <t>階別用途別床面積-2-24階</t>
  </si>
  <si>
    <t>階別用途別床面積-2-34階</t>
  </si>
  <si>
    <t>階別用途別床面積-2-40階</t>
  </si>
  <si>
    <t>階別用途別床面積-2-41階</t>
  </si>
  <si>
    <t>階別用途別床面積-2-42階</t>
  </si>
  <si>
    <t>階別用途別床面積-2-43階</t>
  </si>
  <si>
    <t>階別用途別床面積-2-44階</t>
  </si>
  <si>
    <t>階別用途別床面積-2-45階</t>
  </si>
  <si>
    <t>階別用途別床面積-2-46階</t>
  </si>
  <si>
    <t>階別用途別床面積-2-47階</t>
  </si>
  <si>
    <t>階別用途別床面積-2-48階</t>
  </si>
  <si>
    <t>階別用途別床面積-2-49階</t>
  </si>
  <si>
    <t>階別用途別床面積-3-地下4階</t>
  </si>
  <si>
    <t>階別用途別床面積-3-塔屋 4階</t>
  </si>
  <si>
    <t>階別用途別床面積-3-4階</t>
  </si>
  <si>
    <t>階別用途別床面積-3-14階</t>
  </si>
  <si>
    <t>階別用途別床面積-3-24階</t>
  </si>
  <si>
    <t>階別用途別床面積-3-34階</t>
  </si>
  <si>
    <t>階別用途別床面積-3-40階</t>
  </si>
  <si>
    <t>階別用途別床面積-3-41階</t>
  </si>
  <si>
    <t>階別用途別床面積-3-42階</t>
  </si>
  <si>
    <t>階別用途別床面積-3-43階</t>
  </si>
  <si>
    <t>階別用途別床面積-3-44階</t>
  </si>
  <si>
    <t>階別用途別床面積-3-45階</t>
  </si>
  <si>
    <t>階別用途別床面積-3-46階</t>
  </si>
  <si>
    <t>階別用途別床面積-3-47階</t>
  </si>
  <si>
    <t>階別用途別床面積-3-48階</t>
  </si>
  <si>
    <t>階別用途別床面積-3-49階</t>
  </si>
  <si>
    <t>階別用途別床面積-4-大分類</t>
  </si>
  <si>
    <t>階別用途別床面積-4-小分類</t>
  </si>
  <si>
    <t>階別用途別床面積-4-地下1階</t>
  </si>
  <si>
    <t>階別用途別床面積-4-地下2階</t>
  </si>
  <si>
    <t>階別用途別床面積-4-地下3階</t>
  </si>
  <si>
    <t>階別用途別床面積-4-地下4階</t>
  </si>
  <si>
    <t>階別用途別床面積-4-塔屋 1階</t>
  </si>
  <si>
    <t>階別用途別床面積-4-塔屋 2階</t>
  </si>
  <si>
    <t>階別用途別床面積-4-塔屋 3階</t>
  </si>
  <si>
    <t>階別用途別床面積-4-塔屋 4階</t>
  </si>
  <si>
    <t>階別用途別床面積-4-塔屋 5階</t>
  </si>
  <si>
    <t>階別用途別床面積-4-1階</t>
  </si>
  <si>
    <t>階別用途別床面積-4-2階</t>
  </si>
  <si>
    <t>階別用途別床面積-4-3階</t>
  </si>
  <si>
    <t>階別用途別床面積-4-4階</t>
  </si>
  <si>
    <t>階別用途別床面積-4-5階</t>
  </si>
  <si>
    <t>階別用途別床面積-4-6階</t>
  </si>
  <si>
    <t>階別用途別床面積-4-7階</t>
  </si>
  <si>
    <t>階別用途別床面積-4-8階</t>
  </si>
  <si>
    <t>階別用途別床面積-4-9階</t>
  </si>
  <si>
    <t>階別用途別床面積-4-10階</t>
  </si>
  <si>
    <t>階別用途別床面積-4-11階</t>
  </si>
  <si>
    <t>階別用途別床面積-4-12階</t>
  </si>
  <si>
    <t>階別用途別床面積-4-13階</t>
  </si>
  <si>
    <t>階別用途別床面積-4-14階</t>
  </si>
  <si>
    <t>階別用途別床面積-4-15階</t>
  </si>
  <si>
    <t>階別用途別床面積-4-16階</t>
  </si>
  <si>
    <t>階別用途別床面積-4-17階</t>
  </si>
  <si>
    <t>階別用途別床面積-4-18階</t>
  </si>
  <si>
    <t>階別用途別床面積-4-19階</t>
  </si>
  <si>
    <t>階別用途別床面積-4-20階</t>
  </si>
  <si>
    <t>階別用途別床面積-4-21階</t>
  </si>
  <si>
    <t>階別用途別床面積-4-22階</t>
  </si>
  <si>
    <t>階別用途別床面積-4-23階</t>
  </si>
  <si>
    <t>階別用途別床面積-4-24階</t>
  </si>
  <si>
    <t>階別用途別床面積-4-25階</t>
  </si>
  <si>
    <t>階別用途別床面積-4-26階</t>
  </si>
  <si>
    <t>階別用途別床面積-4-27階</t>
  </si>
  <si>
    <t>階別用途別床面積-4-28階</t>
  </si>
  <si>
    <t>階別用途別床面積-4-29階</t>
  </si>
  <si>
    <t>階別用途別床面積-4-30階</t>
  </si>
  <si>
    <t>階別用途別床面積-4-31階</t>
  </si>
  <si>
    <t>階別用途別床面積-4-32階</t>
  </si>
  <si>
    <t>階別用途別床面積-4-33階</t>
  </si>
  <si>
    <t>階別用途別床面積-4-34階</t>
  </si>
  <si>
    <t>階別用途別床面積-4-35階</t>
  </si>
  <si>
    <t>階別用途別床面積-4-36階</t>
  </si>
  <si>
    <t>階別用途別床面積-4-37階</t>
  </si>
  <si>
    <t>階別用途別床面積-4-38階</t>
  </si>
  <si>
    <t>階別用途別床面積-4-39階</t>
  </si>
  <si>
    <t>階別用途別床面積-4-40階</t>
  </si>
  <si>
    <t>階別用途別床面積-4-41階</t>
  </si>
  <si>
    <t>階別用途別床面積-4-42階</t>
  </si>
  <si>
    <t>階別用途別床面積-4-43階</t>
  </si>
  <si>
    <t>階別用途別床面積-4-44階</t>
  </si>
  <si>
    <t>階別用途別床面積-4-45階</t>
  </si>
  <si>
    <t>階別用途別床面積-4-46階</t>
  </si>
  <si>
    <t>階別用途別床面積-4-47階</t>
  </si>
  <si>
    <t>階別用途別床面積-4-48階</t>
  </si>
  <si>
    <t>階別用途別床面積-4-49階</t>
  </si>
  <si>
    <t>階別用途別床面積-4-50階</t>
  </si>
  <si>
    <t>階別用途別床面積-5-地下4階</t>
  </si>
  <si>
    <t>階別用途別床面積-5-塔屋 4階</t>
  </si>
  <si>
    <t>階別用途別床面積-5-4階</t>
  </si>
  <si>
    <t>階別用途別床面積-5-14階</t>
  </si>
  <si>
    <t>階別用途別床面積-5-24階</t>
  </si>
  <si>
    <t>階別用途別床面積-5-34階</t>
  </si>
  <si>
    <t>階別用途別床面積-5-40階</t>
  </si>
  <si>
    <t>階別用途別床面積-5-41階</t>
  </si>
  <si>
    <t>階別用途別床面積-5-42階</t>
  </si>
  <si>
    <t>階別用途別床面積-5-43階</t>
  </si>
  <si>
    <t>階別用途別床面積-5-44階</t>
  </si>
  <si>
    <t>階別用途別床面積-5-45階</t>
  </si>
  <si>
    <t>階別用途別床面積-5-46階</t>
  </si>
  <si>
    <t>階別用途別床面積-5-47階</t>
  </si>
  <si>
    <t>階別用途別床面積-5-48階</t>
  </si>
  <si>
    <t>階別用途別床面積-5-49階</t>
  </si>
  <si>
    <t>階別用途別床面積-6-地下4階</t>
  </si>
  <si>
    <t>階別用途別床面積-6-塔屋 4階</t>
  </si>
  <si>
    <t>階別用途別床面積-6-4階</t>
  </si>
  <si>
    <t>階別用途別床面積-6-14階</t>
  </si>
  <si>
    <t>階別用途別床面積-6-24階</t>
  </si>
  <si>
    <t>階別用途別床面積-6-34階</t>
  </si>
  <si>
    <t>階別用途別床面積-6-40階</t>
  </si>
  <si>
    <t>階別用途別床面積-6-41階</t>
  </si>
  <si>
    <t>階別用途別床面積-6-42階</t>
  </si>
  <si>
    <t>階別用途別床面積-6-43階</t>
  </si>
  <si>
    <t>階別用途別床面積-6-44階</t>
  </si>
  <si>
    <t>階別用途別床面積-6-45階</t>
  </si>
  <si>
    <t>階別用途別床面積-6-46階</t>
  </si>
  <si>
    <t>階別用途別床面積-6-47階</t>
  </si>
  <si>
    <t>階別用途別床面積-6-48階</t>
  </si>
  <si>
    <t>階別用途別床面積-6-49階</t>
  </si>
  <si>
    <t>階別用途別床面積-7-地下4階</t>
  </si>
  <si>
    <t>階別用途別床面積-7-塔屋 4階</t>
  </si>
  <si>
    <t>階別用途別床面積-7-4階</t>
  </si>
  <si>
    <t>階別用途別床面積-7-14階</t>
  </si>
  <si>
    <t>階別用途別床面積-7-24階</t>
  </si>
  <si>
    <t>階別用途別床面積-7-34階</t>
  </si>
  <si>
    <t>階別用途別床面積-7-40階</t>
  </si>
  <si>
    <t>階別用途別床面積-7-41階</t>
  </si>
  <si>
    <t>階別用途別床面積-7-42階</t>
  </si>
  <si>
    <t>階別用途別床面積-7-43階</t>
  </si>
  <si>
    <t>階別用途別床面積-7-44階</t>
  </si>
  <si>
    <t>階別用途別床面積-7-45階</t>
  </si>
  <si>
    <t>階別用途別床面積-7-46階</t>
  </si>
  <si>
    <t>階別用途別床面積-7-47階</t>
  </si>
  <si>
    <t>階別用途別床面積-7-48階</t>
  </si>
  <si>
    <t>階別用途別床面積-7-49階</t>
  </si>
  <si>
    <t>別紙に反映されない範囲⇒</t>
    <rPh sb="0" eb="2">
      <t>ベッシ</t>
    </rPh>
    <rPh sb="3" eb="5">
      <t>ハンエイ</t>
    </rPh>
    <rPh sb="9" eb="11">
      <t>ハンイ</t>
    </rPh>
    <phoneticPr fontId="3"/>
  </si>
  <si>
    <t xml:space="preserve">西暦変換
</t>
    <rPh sb="0" eb="2">
      <t>セイレキ</t>
    </rPh>
    <rPh sb="2" eb="4">
      <t>ヘンカン</t>
    </rPh>
    <phoneticPr fontId="3"/>
  </si>
  <si>
    <t>和暦変換（予定は( )付き）</t>
    <rPh sb="0" eb="2">
      <t>ワレキ</t>
    </rPh>
    <rPh sb="2" eb="4">
      <t>ヘンカン</t>
    </rPh>
    <rPh sb="5" eb="7">
      <t>ヨテイ</t>
    </rPh>
    <rPh sb="11" eb="12">
      <t>ツ</t>
    </rPh>
    <phoneticPr fontId="3"/>
  </si>
  <si>
    <t>0</t>
    <phoneticPr fontId="3"/>
  </si>
  <si>
    <t>号</t>
    <rPh sb="0" eb="1">
      <t>ゴウ</t>
    </rPh>
    <phoneticPr fontId="3"/>
  </si>
  <si>
    <t>報告</t>
    <rPh sb="0" eb="2">
      <t>ホウコク</t>
    </rPh>
    <phoneticPr fontId="3"/>
  </si>
  <si>
    <t>和暦</t>
    <rPh sb="0" eb="2">
      <t>ワレキ</t>
    </rPh>
    <phoneticPr fontId="3"/>
  </si>
  <si>
    <t>年</t>
    <rPh sb="0" eb="1">
      <t>ネン</t>
    </rPh>
    <phoneticPr fontId="3"/>
  </si>
  <si>
    <t>報告種別</t>
    <rPh sb="0" eb="4">
      <t>ホウコクシュベツ</t>
    </rPh>
    <phoneticPr fontId="3"/>
  </si>
  <si>
    <t>0報告-和暦</t>
  </si>
  <si>
    <t>0報告-年</t>
  </si>
  <si>
    <t>0報告-報告種別</t>
  </si>
  <si>
    <t>←選択肢にない場合は、直接入力してください。</t>
    <rPh sb="1" eb="4">
      <t>センタクシ</t>
    </rPh>
    <rPh sb="7" eb="9">
      <t>バアイ</t>
    </rPh>
    <rPh sb="11" eb="15">
      <t>チョクセツニュウリョク</t>
    </rPh>
    <phoneticPr fontId="3"/>
  </si>
  <si>
    <t>無合計</t>
    <rPh sb="0" eb="1">
      <t>ナ</t>
    </rPh>
    <rPh sb="1" eb="3">
      <t>ゴウケイ</t>
    </rPh>
    <phoneticPr fontId="3"/>
  </si>
  <si>
    <t>３　所有者　</t>
    <rPh sb="2" eb="5">
      <t>ショユウシャ</t>
    </rPh>
    <phoneticPr fontId="3"/>
  </si>
  <si>
    <t>予定なし</t>
    <rPh sb="0" eb="2">
      <t>ヨテイ</t>
    </rPh>
    <phoneticPr fontId="3"/>
  </si>
  <si>
    <t>フリガナ</t>
    <phoneticPr fontId="3"/>
  </si>
  <si>
    <t>法人名</t>
    <rPh sb="0" eb="3">
      <t>ホウジンメイ</t>
    </rPh>
    <phoneticPr fontId="3"/>
  </si>
  <si>
    <t>フリガネ</t>
    <phoneticPr fontId="3"/>
  </si>
  <si>
    <t>肩書</t>
    <rPh sb="0" eb="2">
      <t>カタガキ</t>
    </rPh>
    <phoneticPr fontId="3"/>
  </si>
  <si>
    <t>氏名</t>
    <rPh sb="0" eb="2">
      <t>シメイ</t>
    </rPh>
    <phoneticPr fontId="3"/>
  </si>
  <si>
    <t>指摘の具体的内容等</t>
  </si>
  <si>
    <t>（既存不適格）を付ける</t>
    <rPh sb="1" eb="6">
      <t>キゾンフテキカク</t>
    </rPh>
    <rPh sb="8" eb="9">
      <t>ツ</t>
    </rPh>
    <phoneticPr fontId="3"/>
  </si>
  <si>
    <t>事前日付処理反映前</t>
    <rPh sb="0" eb="2">
      <t>ジゼン</t>
    </rPh>
    <rPh sb="2" eb="4">
      <t>ヒヅケ</t>
    </rPh>
    <rPh sb="4" eb="6">
      <t>ショリ</t>
    </rPh>
    <rPh sb="6" eb="9">
      <t>ハンエイマエ</t>
    </rPh>
    <phoneticPr fontId="3"/>
  </si>
  <si>
    <t>所有者氏名の編集</t>
    <rPh sb="0" eb="3">
      <t>ショユウシャ</t>
    </rPh>
    <rPh sb="3" eb="5">
      <t>シメイ</t>
    </rPh>
    <rPh sb="6" eb="8">
      <t>ヘンシュウ</t>
    </rPh>
    <phoneticPr fontId="3"/>
  </si>
  <si>
    <t>管理者氏名の編集</t>
    <rPh sb="0" eb="3">
      <t>カンリシャ</t>
    </rPh>
    <rPh sb="3" eb="5">
      <t>シメイ</t>
    </rPh>
    <rPh sb="6" eb="8">
      <t>ヘンシュウ</t>
    </rPh>
    <phoneticPr fontId="3"/>
  </si>
  <si>
    <t>和暦変換（予定は（）付き）の編集</t>
    <rPh sb="0" eb="2">
      <t>ワレキ</t>
    </rPh>
    <rPh sb="2" eb="4">
      <t>ヘンカン</t>
    </rPh>
    <rPh sb="5" eb="7">
      <t>ヨテイ</t>
    </rPh>
    <rPh sb="10" eb="11">
      <t>ツ</t>
    </rPh>
    <rPh sb="14" eb="16">
      <t>ヘンシュウ</t>
    </rPh>
    <phoneticPr fontId="3"/>
  </si>
  <si>
    <t>項目
要是正＆
既存不適格</t>
    <rPh sb="0" eb="2">
      <t>コウモク</t>
    </rPh>
    <rPh sb="3" eb="6">
      <t>ヨウゼセイ</t>
    </rPh>
    <rPh sb="8" eb="13">
      <t>キゾンフテキカク</t>
    </rPh>
    <phoneticPr fontId="3"/>
  </si>
  <si>
    <t>特定建築物調査員判定</t>
    <rPh sb="0" eb="5">
      <t>トクテイケンチクブツ</t>
    </rPh>
    <rPh sb="5" eb="8">
      <t>チョウサイン</t>
    </rPh>
    <rPh sb="8" eb="10">
      <t>ハンテイ</t>
    </rPh>
    <phoneticPr fontId="3"/>
  </si>
  <si>
    <t>対象外</t>
    <rPh sb="0" eb="3">
      <t>タイショウガイ</t>
    </rPh>
    <phoneticPr fontId="3"/>
  </si>
  <si>
    <t>結合↓</t>
    <rPh sb="0" eb="2">
      <t>ケツゴウ</t>
    </rPh>
    <phoneticPr fontId="3"/>
  </si>
  <si>
    <t>追加集計・別フォーム転記向け（紫）</t>
    <rPh sb="0" eb="2">
      <t>ツイカ</t>
    </rPh>
    <rPh sb="2" eb="4">
      <t>シュウケイ</t>
    </rPh>
    <rPh sb="5" eb="6">
      <t>ベツ</t>
    </rPh>
    <rPh sb="10" eb="13">
      <t>テンキム</t>
    </rPh>
    <rPh sb="15" eb="16">
      <t>ムラサキ</t>
    </rPh>
    <phoneticPr fontId="3"/>
  </si>
  <si>
    <t>実際にCSVシートに飛ぶ</t>
    <rPh sb="0" eb="2">
      <t>ジッサイ</t>
    </rPh>
    <rPh sb="10" eb="11">
      <t>ト</t>
    </rPh>
    <phoneticPr fontId="3"/>
  </si>
  <si>
    <t>住所結合</t>
    <rPh sb="0" eb="4">
      <t>ジュウショケツゴウ</t>
    </rPh>
    <phoneticPr fontId="3"/>
  </si>
  <si>
    <t>国交省調査結果表転記用</t>
    <phoneticPr fontId="3"/>
  </si>
  <si>
    <t>現在不使用</t>
    <rPh sb="0" eb="2">
      <t>ゲンザイ</t>
    </rPh>
    <rPh sb="2" eb="5">
      <t>フシヨウ</t>
    </rPh>
    <phoneticPr fontId="3"/>
  </si>
  <si>
    <t>要是正</t>
    <rPh sb="0" eb="3">
      <t>ヨウゼセイ</t>
    </rPh>
    <phoneticPr fontId="3"/>
  </si>
  <si>
    <t>国交省調査結果表別パターン転記用</t>
    <rPh sb="8" eb="9">
      <t>ベツ</t>
    </rPh>
    <phoneticPr fontId="3"/>
  </si>
  <si>
    <t>郵便番号</t>
    <rPh sb="0" eb="4">
      <t>ユウビンバンゴウ</t>
    </rPh>
    <phoneticPr fontId="3"/>
  </si>
  <si>
    <t>電話番号</t>
    <rPh sb="0" eb="4">
      <t>デンワバンゴウ</t>
    </rPh>
    <phoneticPr fontId="3"/>
  </si>
  <si>
    <t>↓メッセージ補助</t>
    <rPh sb="6" eb="8">
      <t>ホジョ</t>
    </rPh>
    <phoneticPr fontId="3"/>
  </si>
  <si>
    <t>メッセージ補助</t>
    <rPh sb="5" eb="7">
      <t>ホジョ</t>
    </rPh>
    <phoneticPr fontId="3"/>
  </si>
  <si>
    <t>3面5転記基準用</t>
    <rPh sb="1" eb="2">
      <t>メン</t>
    </rPh>
    <rPh sb="3" eb="5">
      <t>テンキ</t>
    </rPh>
    <rPh sb="5" eb="7">
      <t>キジュン</t>
    </rPh>
    <rPh sb="7" eb="8">
      <t>ヨウ</t>
    </rPh>
    <phoneticPr fontId="3"/>
  </si>
  <si>
    <t>↓結合</t>
    <rPh sb="1" eb="3">
      <t>ケツゴウ</t>
    </rPh>
    <phoneticPr fontId="3"/>
  </si>
  <si>
    <t>5,6,7 代表となる調査者</t>
    <rPh sb="6" eb="8">
      <t>ダイヒョウ</t>
    </rPh>
    <rPh sb="11" eb="14">
      <t>チョウサシャ</t>
    </rPh>
    <phoneticPr fontId="3"/>
  </si>
  <si>
    <t>8 敷地の位置</t>
    <rPh sb="2" eb="4">
      <t>シキチ</t>
    </rPh>
    <rPh sb="5" eb="7">
      <t>イチ</t>
    </rPh>
    <phoneticPr fontId="3"/>
  </si>
  <si>
    <t>9 建物及びその敷地の概要</t>
    <rPh sb="2" eb="4">
      <t>タテモノ</t>
    </rPh>
    <rPh sb="4" eb="5">
      <t>オヨ</t>
    </rPh>
    <rPh sb="8" eb="10">
      <t>シキチ</t>
    </rPh>
    <rPh sb="11" eb="13">
      <t>ガイヨウ</t>
    </rPh>
    <phoneticPr fontId="3"/>
  </si>
  <si>
    <t>19 外装仕上げ材等について</t>
    <phoneticPr fontId="3"/>
  </si>
  <si>
    <t>17 建築物等に係る不具合等の状況</t>
    <rPh sb="3" eb="5">
      <t>ケンチク</t>
    </rPh>
    <rPh sb="5" eb="6">
      <t>ブツ</t>
    </rPh>
    <rPh sb="6" eb="7">
      <t>ナド</t>
    </rPh>
    <rPh sb="8" eb="9">
      <t>カカワ</t>
    </rPh>
    <rPh sb="10" eb="13">
      <t>フグアイ</t>
    </rPh>
    <rPh sb="13" eb="14">
      <t>ナド</t>
    </rPh>
    <rPh sb="15" eb="17">
      <t>ジョウキョウ</t>
    </rPh>
    <phoneticPr fontId="3"/>
  </si>
  <si>
    <t>改善（予定）年月 状況</t>
    <rPh sb="0" eb="2">
      <t>カイゼン</t>
    </rPh>
    <rPh sb="3" eb="5">
      <t>ヨテイ</t>
    </rPh>
    <rPh sb="6" eb="8">
      <t>ネンゲツ</t>
    </rPh>
    <rPh sb="9" eb="11">
      <t>ジョウキョウ</t>
    </rPh>
    <phoneticPr fontId="3"/>
  </si>
  <si>
    <t>調査者番号（1）は入力不要</t>
    <rPh sb="0" eb="3">
      <t>チョウサシャ</t>
    </rPh>
    <rPh sb="3" eb="5">
      <t>バンゴウ</t>
    </rPh>
    <rPh sb="9" eb="11">
      <t>ニュウリョク</t>
    </rPh>
    <rPh sb="11" eb="13">
      <t>フヨウ</t>
    </rPh>
    <phoneticPr fontId="3"/>
  </si>
  <si>
    <t>調査結果</t>
    <rPh sb="0" eb="2">
      <t>チョウサ</t>
    </rPh>
    <rPh sb="2" eb="4">
      <t>ケッカ</t>
    </rPh>
    <phoneticPr fontId="3"/>
  </si>
  <si>
    <t>措置予定</t>
    <rPh sb="0" eb="2">
      <t>ソチ</t>
    </rPh>
    <rPh sb="2" eb="4">
      <t>ヨテイ</t>
    </rPh>
    <phoneticPr fontId="3"/>
  </si>
  <si>
    <t>22 調査結果</t>
    <rPh sb="3" eb="5">
      <t>チョウサ</t>
    </rPh>
    <rPh sb="5" eb="7">
      <t>ケッカ</t>
    </rPh>
    <phoneticPr fontId="3"/>
  </si>
  <si>
    <t>法人名フリガナ</t>
    <rPh sb="0" eb="3">
      <t>ホウジンメイ</t>
    </rPh>
    <phoneticPr fontId="3"/>
  </si>
  <si>
    <t>肩書フリガナ</t>
    <rPh sb="0" eb="2">
      <t>カタガキ</t>
    </rPh>
    <phoneticPr fontId="3"/>
  </si>
  <si>
    <t>氏名フリガナ</t>
    <rPh sb="0" eb="2">
      <t>シメイ</t>
    </rPh>
    <phoneticPr fontId="3"/>
  </si>
  <si>
    <t>-</t>
    <phoneticPr fontId="3"/>
  </si>
  <si>
    <t>詳細</t>
    <rPh sb="0" eb="2">
      <t>ショウサイ</t>
    </rPh>
    <phoneticPr fontId="3"/>
  </si>
  <si>
    <t>0行政所管庁(初期値固定)</t>
  </si>
  <si>
    <t>3所有者-所有者氏名-法人名フリガナ</t>
  </si>
  <si>
    <t>3所有者-所有者氏名-肩書フリガナ</t>
  </si>
  <si>
    <t>3所有者-所有者氏名-氏名フリガナ</t>
  </si>
  <si>
    <t>4管理者-管理者氏名-法人名フリガナ</t>
  </si>
  <si>
    <t>4管理者-管理者氏名-肩書フリガナ</t>
  </si>
  <si>
    <t>4管理者-管理者氏名-氏名フリガナ</t>
  </si>
  <si>
    <t>10性能検証法等の適用-その他-詳細</t>
  </si>
  <si>
    <t>11増築、改築、用途変更等の経過-年月日-年1</t>
  </si>
  <si>
    <t>11増築、改築、用途変更等の経過-年月日-月1</t>
  </si>
  <si>
    <t>11増築、改築、用途変更等の経過-年月日-日1</t>
  </si>
  <si>
    <t>11増築、改築、用途変更等の経過-工事種別1</t>
  </si>
  <si>
    <t>11増築、改築、用途変更等の経過-概要1</t>
  </si>
  <si>
    <t>11増築、改築、用途変更等の経過-年月日-年2</t>
  </si>
  <si>
    <t>11増築、改築、用途変更等の経過-年月日-月2</t>
  </si>
  <si>
    <t>11増築、改築、用途変更等の経過-年月日-日2</t>
  </si>
  <si>
    <t>11増築、改築、用途変更等の経過-工事種別2</t>
  </si>
  <si>
    <t>11増築、改築、用途変更等の経過-概要2</t>
  </si>
  <si>
    <t>11増築、改築、用途変更等の経過-年月日-年3</t>
  </si>
  <si>
    <t>11増築、改築、用途変更等の経過-年月日-月3</t>
  </si>
  <si>
    <t>11増築、改築、用途変更等の経過-年月日-日3</t>
  </si>
  <si>
    <t>11増築、改築、用途変更等の経過-工事種別3</t>
  </si>
  <si>
    <t>11増築、改築、用途変更等の経過-概要3</t>
  </si>
  <si>
    <t>11増築、改築、用途変更等の経過-年月日-年4</t>
  </si>
  <si>
    <t>11増築、改築、用途変更等の経過-年月日-月4</t>
  </si>
  <si>
    <t>11増築、改築、用途変更等の経過-年月日-日4</t>
  </si>
  <si>
    <t>11増築、改築、用途変更等の経過-工事種別4</t>
  </si>
  <si>
    <t>11増築、改築、用途変更等の経過-概要4</t>
  </si>
  <si>
    <t>郵便番号</t>
    <rPh sb="0" eb="4">
      <t>ユウビンバンゴウ</t>
    </rPh>
    <phoneticPr fontId="3"/>
  </si>
  <si>
    <t>電話番号</t>
    <rPh sb="0" eb="2">
      <t>デンワ</t>
    </rPh>
    <rPh sb="2" eb="4">
      <t>バンゴウ</t>
    </rPh>
    <phoneticPr fontId="3"/>
  </si>
  <si>
    <t>電話番号</t>
    <rPh sb="0" eb="4">
      <t>デンワバンゴウ</t>
    </rPh>
    <phoneticPr fontId="3"/>
  </si>
  <si>
    <t>その他特記事項</t>
  </si>
  <si>
    <t>-</t>
    <phoneticPr fontId="3"/>
  </si>
  <si>
    <t>自由記入欄</t>
    <rPh sb="0" eb="2">
      <t>ジユウ</t>
    </rPh>
    <rPh sb="2" eb="5">
      <t>キニュウラン</t>
    </rPh>
    <phoneticPr fontId="3"/>
  </si>
  <si>
    <t>日付欄完全未入力で14</t>
    <rPh sb="0" eb="2">
      <t>ヒヅケ</t>
    </rPh>
    <rPh sb="2" eb="3">
      <t>ラン</t>
    </rPh>
    <rPh sb="3" eb="5">
      <t>カンゼン</t>
    </rPh>
    <rPh sb="5" eb="8">
      <t>ミニュウリョク</t>
    </rPh>
    <phoneticPr fontId="3"/>
  </si>
  <si>
    <t>外装仕上げ材</t>
    <rPh sb="0" eb="4">
      <t>ガイソウシア</t>
    </rPh>
    <rPh sb="5" eb="6">
      <t>ザイ</t>
    </rPh>
    <phoneticPr fontId="3"/>
  </si>
  <si>
    <t>未使用1</t>
    <rPh sb="0" eb="3">
      <t>ミシヨウ</t>
    </rPh>
    <phoneticPr fontId="3"/>
  </si>
  <si>
    <t>使用2</t>
    <rPh sb="0" eb="2">
      <t>シヨウ</t>
    </rPh>
    <phoneticPr fontId="3"/>
  </si>
  <si>
    <t>実施状況</t>
    <rPh sb="0" eb="4">
      <t>ジッシジョウキョウ</t>
    </rPh>
    <phoneticPr fontId="3"/>
  </si>
  <si>
    <t>２０　設備（法第12条第三項関係など）</t>
  </si>
  <si>
    <t>年月判定用</t>
    <rPh sb="0" eb="2">
      <t>ネンゲツ</t>
    </rPh>
    <rPh sb="2" eb="4">
      <t>ハンテイ</t>
    </rPh>
    <rPh sb="4" eb="5">
      <t>ヨウ</t>
    </rPh>
    <phoneticPr fontId="3"/>
  </si>
  <si>
    <t>報告日和暦連結</t>
    <rPh sb="0" eb="3">
      <t>ホウコクビ</t>
    </rPh>
    <rPh sb="3" eb="5">
      <t>ワレキ</t>
    </rPh>
    <rPh sb="5" eb="7">
      <t>レンケツ</t>
    </rPh>
    <phoneticPr fontId="3"/>
  </si>
  <si>
    <t>平成30年最終日</t>
    <rPh sb="0" eb="2">
      <t>ヘイセイ</t>
    </rPh>
    <rPh sb="4" eb="5">
      <t>ネン</t>
    </rPh>
    <rPh sb="5" eb="8">
      <t>サイシュウビ</t>
    </rPh>
    <phoneticPr fontId="3"/>
  </si>
  <si>
    <t>法第22条区域</t>
    <rPh sb="0" eb="1">
      <t>ホウ</t>
    </rPh>
    <rPh sb="1" eb="2">
      <t>ダイ</t>
    </rPh>
    <rPh sb="4" eb="7">
      <t>ジョウクイキ</t>
    </rPh>
    <phoneticPr fontId="3"/>
  </si>
  <si>
    <t>事務所登録</t>
    <rPh sb="0" eb="3">
      <t>ジムショ</t>
    </rPh>
    <rPh sb="3" eb="5">
      <t>トウロク</t>
    </rPh>
    <phoneticPr fontId="3"/>
  </si>
  <si>
    <t>一級</t>
    <rPh sb="0" eb="2">
      <t>イッキュウ</t>
    </rPh>
    <phoneticPr fontId="3"/>
  </si>
  <si>
    <t>二級</t>
    <rPh sb="0" eb="2">
      <t>ニキュウ</t>
    </rPh>
    <phoneticPr fontId="3"/>
  </si>
  <si>
    <t>鉄筋コンクリート造（RC造）</t>
    <phoneticPr fontId="3"/>
  </si>
  <si>
    <t>鉄骨鉄筋コンクリート造（SRC造）</t>
    <phoneticPr fontId="3"/>
  </si>
  <si>
    <t>10 性能検証法等の適用</t>
    <rPh sb="3" eb="5">
      <t>セイノウ</t>
    </rPh>
    <rPh sb="5" eb="7">
      <t>ケンショウ</t>
    </rPh>
    <rPh sb="7" eb="8">
      <t>ホウ</t>
    </rPh>
    <rPh sb="8" eb="9">
      <t>ナド</t>
    </rPh>
    <rPh sb="10" eb="12">
      <t>テキヨウ</t>
    </rPh>
    <phoneticPr fontId="3"/>
  </si>
  <si>
    <t>適用</t>
    <rPh sb="0" eb="2">
      <t>テキヨウ</t>
    </rPh>
    <phoneticPr fontId="3"/>
  </si>
  <si>
    <t>11 増築、改築、用途変更等の経過</t>
    <rPh sb="3" eb="5">
      <t>ゾウチク</t>
    </rPh>
    <rPh sb="6" eb="8">
      <t>カイチク</t>
    </rPh>
    <rPh sb="9" eb="11">
      <t>ヨウト</t>
    </rPh>
    <rPh sb="11" eb="13">
      <t>ヘンコウ</t>
    </rPh>
    <rPh sb="13" eb="14">
      <t>ナド</t>
    </rPh>
    <rPh sb="15" eb="17">
      <t>ケイカ</t>
    </rPh>
    <phoneticPr fontId="3"/>
  </si>
  <si>
    <t>和暦</t>
    <rPh sb="0" eb="2">
      <t>ワレキ</t>
    </rPh>
    <phoneticPr fontId="3"/>
  </si>
  <si>
    <t>※自由入力可</t>
    <rPh sb="1" eb="5">
      <t>ジユウニュウリョク</t>
    </rPh>
    <rPh sb="5" eb="6">
      <t>カ</t>
    </rPh>
    <phoneticPr fontId="3"/>
  </si>
  <si>
    <t>工事種別</t>
    <rPh sb="0" eb="2">
      <t>コウジ</t>
    </rPh>
    <rPh sb="2" eb="4">
      <t>シュベツ</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</si>
  <si>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</si>
  <si>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</si>
  <si>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</si>
  <si>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</si>
  <si>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模様替え</t>
    <rPh sb="0" eb="3">
      <t>モヨウガ</t>
    </rPh>
    <phoneticPr fontId="3"/>
  </si>
  <si>
    <t>修繕</t>
    <rPh sb="0" eb="2">
      <t>シュウゼン</t>
    </rPh>
    <phoneticPr fontId="3"/>
  </si>
  <si>
    <t>12 関連図書の整備</t>
    <rPh sb="3" eb="7">
      <t>カンレントショ</t>
    </rPh>
    <rPh sb="8" eb="10">
      <t>セイビ</t>
    </rPh>
    <phoneticPr fontId="3"/>
  </si>
  <si>
    <t>確認に要した図書</t>
    <rPh sb="0" eb="2">
      <t>カクニン</t>
    </rPh>
    <rPh sb="3" eb="4">
      <t>ヨウ</t>
    </rPh>
    <rPh sb="6" eb="8">
      <t>トショ</t>
    </rPh>
    <phoneticPr fontId="3"/>
  </si>
  <si>
    <t>確認検証の有無、完了検証の有無</t>
    <rPh sb="0" eb="2">
      <t>カクニン</t>
    </rPh>
    <rPh sb="2" eb="4">
      <t>ケンショウ</t>
    </rPh>
    <rPh sb="5" eb="7">
      <t>ウム</t>
    </rPh>
    <rPh sb="8" eb="10">
      <t>カンリョウ</t>
    </rPh>
    <rPh sb="10" eb="12">
      <t>ケンショウ</t>
    </rPh>
    <rPh sb="13" eb="15">
      <t>ウム</t>
    </rPh>
    <phoneticPr fontId="3"/>
  </si>
  <si>
    <t>前回の調査に関する書類の写し</t>
    <rPh sb="0" eb="2">
      <t>ゼンカイ</t>
    </rPh>
    <rPh sb="3" eb="5">
      <t>チョウサ</t>
    </rPh>
    <rPh sb="6" eb="7">
      <t>カン</t>
    </rPh>
    <rPh sb="9" eb="11">
      <t>ショルイ</t>
    </rPh>
    <rPh sb="12" eb="13">
      <t>ウツ</t>
    </rPh>
    <phoneticPr fontId="3"/>
  </si>
  <si>
    <t>完了検査に要した図書</t>
    <rPh sb="0" eb="2">
      <t>カンリョウ</t>
    </rPh>
    <rPh sb="2" eb="4">
      <t>ケンサ</t>
    </rPh>
    <rPh sb="5" eb="6">
      <t>ヨウ</t>
    </rPh>
    <rPh sb="8" eb="10">
      <t>トショ</t>
    </rPh>
    <phoneticPr fontId="3"/>
  </si>
  <si>
    <t>有</t>
    <rPh sb="0" eb="1">
      <t>ウ</t>
    </rPh>
    <phoneticPr fontId="3"/>
  </si>
  <si>
    <t>無</t>
    <rPh sb="0" eb="1">
      <t>ム</t>
    </rPh>
    <phoneticPr fontId="3"/>
  </si>
  <si>
    <t>和暦</t>
    <rPh sb="0" eb="2">
      <t>ワレキ</t>
    </rPh>
    <phoneticPr fontId="3"/>
  </si>
  <si>
    <t>工事種別</t>
    <rPh sb="0" eb="4">
      <t>コウジシュベツ</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</si>
  <si>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</si>
  <si>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</si>
  <si>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</si>
  <si>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</si>
  <si>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</si>
  <si>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</si>
  <si>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大規模の模様替え</t>
    <rPh sb="0" eb="3">
      <t>ダイキボ</t>
    </rPh>
    <rPh sb="4" eb="7">
      <t>モヨウガ</t>
    </rPh>
    <phoneticPr fontId="3"/>
  </si>
  <si>
    <t>※自由入力可</t>
    <rPh sb="1" eb="6">
      <t>ジユウニュウリョクカ</t>
    </rPh>
    <phoneticPr fontId="3"/>
  </si>
  <si>
    <t>交付者</t>
    <rPh sb="0" eb="3">
      <t>コウフシャ</t>
    </rPh>
    <phoneticPr fontId="3"/>
  </si>
  <si>
    <t>建築主事</t>
    <rPh sb="0" eb="2">
      <t>ケンチク</t>
    </rPh>
    <rPh sb="2" eb="4">
      <t>シュジ</t>
    </rPh>
    <phoneticPr fontId="3"/>
  </si>
  <si>
    <t>指定確認検査機関</t>
    <rPh sb="0" eb="2">
      <t>シテイ</t>
    </rPh>
    <rPh sb="2" eb="4">
      <t>カクニン</t>
    </rPh>
    <rPh sb="4" eb="6">
      <t>ケンサ</t>
    </rPh>
    <rPh sb="6" eb="8">
      <t>キカン</t>
    </rPh>
    <phoneticPr fontId="3"/>
  </si>
  <si>
    <t>維持管理保全に関する準則又は計画</t>
    <rPh sb="0" eb="2">
      <t>イジ</t>
    </rPh>
    <rPh sb="2" eb="4">
      <t>カンリ</t>
    </rPh>
    <rPh sb="4" eb="6">
      <t>ホゼン</t>
    </rPh>
    <rPh sb="7" eb="8">
      <t>カン</t>
    </rPh>
    <rPh sb="10" eb="11">
      <t>ジュン</t>
    </rPh>
    <rPh sb="11" eb="12">
      <t>ソク</t>
    </rPh>
    <rPh sb="12" eb="13">
      <t>マタ</t>
    </rPh>
    <rPh sb="14" eb="16">
      <t>ケイカク</t>
    </rPh>
    <phoneticPr fontId="3"/>
  </si>
  <si>
    <t>14 調査及び検査の状況</t>
    <rPh sb="3" eb="5">
      <t>チョウサ</t>
    </rPh>
    <rPh sb="5" eb="6">
      <t>オヨ</t>
    </rPh>
    <rPh sb="7" eb="9">
      <t>ケンサ</t>
    </rPh>
    <rPh sb="10" eb="12">
      <t>ジョウキョウ</t>
    </rPh>
    <phoneticPr fontId="3"/>
  </si>
  <si>
    <t>実施</t>
    <rPh sb="0" eb="2">
      <t>ジッシ</t>
    </rPh>
    <phoneticPr fontId="3"/>
  </si>
  <si>
    <t>未実施</t>
    <rPh sb="0" eb="1">
      <t>ミ</t>
    </rPh>
    <rPh sb="1" eb="3">
      <t>ジッシ</t>
    </rPh>
    <phoneticPr fontId="3"/>
  </si>
  <si>
    <t>対象外</t>
    <rPh sb="0" eb="3">
      <t>タイショウガイ</t>
    </rPh>
    <phoneticPr fontId="3"/>
  </si>
  <si>
    <t>平成</t>
    <rPh sb="0" eb="2">
      <t>ヘイセイ</t>
    </rPh>
    <phoneticPr fontId="3"/>
  </si>
  <si>
    <t>令和</t>
    <rPh sb="0" eb="2">
      <t>レイワ</t>
    </rPh>
    <phoneticPr fontId="3"/>
  </si>
  <si>
    <t>16 耐震診断及び耐震改修の調査状況</t>
    <rPh sb="3" eb="5">
      <t>タイシン</t>
    </rPh>
    <rPh sb="5" eb="7">
      <t>シンダン</t>
    </rPh>
    <rPh sb="7" eb="8">
      <t>オヨ</t>
    </rPh>
    <rPh sb="9" eb="11">
      <t>タイシン</t>
    </rPh>
    <rPh sb="11" eb="13">
      <t>カイシュウ</t>
    </rPh>
    <rPh sb="14" eb="16">
      <t>チョウサ</t>
    </rPh>
    <rPh sb="16" eb="18">
      <t>ジョウキョウ</t>
    </rPh>
    <phoneticPr fontId="3"/>
  </si>
  <si>
    <t>耐震診断</t>
    <rPh sb="0" eb="2">
      <t>タイシン</t>
    </rPh>
    <rPh sb="2" eb="4">
      <t>シンダン</t>
    </rPh>
    <phoneticPr fontId="3"/>
  </si>
  <si>
    <t>耐震改修</t>
    <rPh sb="0" eb="2">
      <t>タイシン</t>
    </rPh>
    <rPh sb="2" eb="4">
      <t>カイシュウ</t>
    </rPh>
    <phoneticPr fontId="3"/>
  </si>
  <si>
    <t>不具合等</t>
    <rPh sb="0" eb="3">
      <t>フグアイ</t>
    </rPh>
    <rPh sb="3" eb="4">
      <t>ナド</t>
    </rPh>
    <phoneticPr fontId="3"/>
  </si>
  <si>
    <t>不具合等の記録</t>
    <rPh sb="0" eb="4">
      <t>フグアイナド</t>
    </rPh>
    <rPh sb="5" eb="7">
      <t>キロク</t>
    </rPh>
    <phoneticPr fontId="3"/>
  </si>
  <si>
    <t>※自由入力可</t>
    <rPh sb="0" eb="6">
      <t>コメジユウニュウリョクカ</t>
    </rPh>
    <phoneticPr fontId="3"/>
  </si>
  <si>
    <t>改善の状況</t>
    <rPh sb="0" eb="2">
      <t>カイゼン</t>
    </rPh>
    <rPh sb="3" eb="5">
      <t>ジョウキョウ</t>
    </rPh>
    <phoneticPr fontId="3"/>
  </si>
  <si>
    <t>外装仕上げ材のタイル、石貼り等、モルタル塗り等の使用</t>
    <rPh sb="0" eb="2">
      <t>ガイソウ</t>
    </rPh>
    <rPh sb="2" eb="4">
      <t>シア</t>
    </rPh>
    <rPh sb="5" eb="6">
      <t>ザイ</t>
    </rPh>
    <rPh sb="11" eb="12">
      <t>イシ</t>
    </rPh>
    <rPh sb="12" eb="13">
      <t>ハ</t>
    </rPh>
    <rPh sb="14" eb="15">
      <t>ナド</t>
    </rPh>
    <rPh sb="20" eb="21">
      <t>ヌ</t>
    </rPh>
    <rPh sb="22" eb="23">
      <t>ナド</t>
    </rPh>
    <rPh sb="24" eb="26">
      <t>シヨウ</t>
    </rPh>
    <phoneticPr fontId="3"/>
  </si>
  <si>
    <t>〇　タイル等の外装仕上げ材を使用</t>
    <rPh sb="5" eb="6">
      <t>ナド</t>
    </rPh>
    <rPh sb="7" eb="9">
      <t>ガイソウ</t>
    </rPh>
    <rPh sb="9" eb="11">
      <t>シア</t>
    </rPh>
    <rPh sb="12" eb="13">
      <t>ザイ</t>
    </rPh>
    <rPh sb="14" eb="16">
      <t>シヨウ</t>
    </rPh>
    <phoneticPr fontId="3"/>
  </si>
  <si>
    <t>―　未使用</t>
    <rPh sb="2" eb="5">
      <t>ミシヨウ</t>
    </rPh>
    <phoneticPr fontId="3"/>
  </si>
  <si>
    <t>全面打診等の実施から10年以内</t>
    <rPh sb="0" eb="2">
      <t>ゼンメン</t>
    </rPh>
    <rPh sb="2" eb="4">
      <t>ダシン</t>
    </rPh>
    <rPh sb="4" eb="5">
      <t>トウ</t>
    </rPh>
    <rPh sb="6" eb="8">
      <t>ジッシ</t>
    </rPh>
    <rPh sb="12" eb="13">
      <t>ネン</t>
    </rPh>
    <rPh sb="13" eb="15">
      <t>イナイ</t>
    </rPh>
    <phoneticPr fontId="3"/>
  </si>
  <si>
    <t>今回の定期調査時に全面打診等を実施</t>
    <rPh sb="0" eb="2">
      <t>コンカイ</t>
    </rPh>
    <rPh sb="3" eb="5">
      <t>テイキ</t>
    </rPh>
    <rPh sb="5" eb="7">
      <t>チョウサ</t>
    </rPh>
    <rPh sb="7" eb="8">
      <t>ジ</t>
    </rPh>
    <rPh sb="9" eb="11">
      <t>ゼンメン</t>
    </rPh>
    <rPh sb="11" eb="13">
      <t>ダシン</t>
    </rPh>
    <rPh sb="13" eb="14">
      <t>トウ</t>
    </rPh>
    <rPh sb="15" eb="17">
      <t>ジッシ</t>
    </rPh>
    <phoneticPr fontId="3"/>
  </si>
  <si>
    <t>設置されている箇所</t>
    <rPh sb="7" eb="9">
      <t>カショ</t>
    </rPh>
    <phoneticPr fontId="3"/>
  </si>
  <si>
    <t>全面打診等の実施状況</t>
    <rPh sb="0" eb="2">
      <t>ゼンメン</t>
    </rPh>
    <rPh sb="2" eb="4">
      <t>ダシン</t>
    </rPh>
    <rPh sb="4" eb="5">
      <t>ナド</t>
    </rPh>
    <rPh sb="6" eb="8">
      <t>ジッシ</t>
    </rPh>
    <rPh sb="8" eb="10">
      <t>ジョウキョウ</t>
    </rPh>
    <phoneticPr fontId="3"/>
  </si>
  <si>
    <t>1(10)</t>
    <phoneticPr fontId="3"/>
  </si>
  <si>
    <t>1(11)</t>
    <phoneticPr fontId="3"/>
  </si>
  <si>
    <t>1(12)</t>
    <phoneticPr fontId="3"/>
  </si>
  <si>
    <t>1(13)</t>
    <phoneticPr fontId="3"/>
  </si>
  <si>
    <t>1(14)</t>
    <phoneticPr fontId="3"/>
  </si>
  <si>
    <t>2(19)</t>
    <phoneticPr fontId="3"/>
  </si>
  <si>
    <t>220)</t>
    <phoneticPr fontId="3"/>
  </si>
  <si>
    <t>2(21)</t>
    <phoneticPr fontId="3"/>
  </si>
  <si>
    <t>2(22)</t>
    <phoneticPr fontId="3"/>
  </si>
  <si>
    <t>2(23)</t>
    <phoneticPr fontId="3"/>
  </si>
  <si>
    <t>3(10)</t>
    <phoneticPr fontId="3"/>
  </si>
  <si>
    <t>3(11)</t>
    <phoneticPr fontId="3"/>
  </si>
  <si>
    <t>3(12)</t>
    <phoneticPr fontId="3"/>
  </si>
  <si>
    <t>3(13)</t>
    <phoneticPr fontId="3"/>
  </si>
  <si>
    <t>3(14)</t>
    <phoneticPr fontId="3"/>
  </si>
  <si>
    <t>4(48)</t>
    <phoneticPr fontId="3"/>
  </si>
  <si>
    <t>4(49)</t>
    <phoneticPr fontId="3"/>
  </si>
  <si>
    <t>4(50)</t>
    <phoneticPr fontId="3"/>
  </si>
  <si>
    <t>4(51)</t>
    <phoneticPr fontId="3"/>
  </si>
  <si>
    <t>4(52)</t>
    <phoneticPr fontId="3"/>
  </si>
  <si>
    <t>5(41)</t>
    <phoneticPr fontId="3"/>
  </si>
  <si>
    <t>5(42)</t>
    <phoneticPr fontId="3"/>
  </si>
  <si>
    <t>5(43)</t>
    <phoneticPr fontId="3"/>
  </si>
  <si>
    <t>5(44)</t>
    <phoneticPr fontId="3"/>
  </si>
  <si>
    <t>5(45)</t>
    <phoneticPr fontId="3"/>
  </si>
  <si>
    <t>6(10)</t>
    <phoneticPr fontId="3"/>
  </si>
  <si>
    <t>6(11)</t>
    <phoneticPr fontId="3"/>
  </si>
  <si>
    <t>6(12)</t>
    <phoneticPr fontId="3"/>
  </si>
  <si>
    <t>6(13)</t>
    <phoneticPr fontId="3"/>
  </si>
  <si>
    <t>6(14)</t>
    <phoneticPr fontId="3"/>
  </si>
  <si>
    <t>7(11)</t>
    <phoneticPr fontId="3"/>
  </si>
  <si>
    <t>7(12)</t>
    <phoneticPr fontId="3"/>
  </si>
  <si>
    <t>7(13)</t>
    <phoneticPr fontId="3"/>
  </si>
  <si>
    <t>7(14)</t>
    <phoneticPr fontId="3"/>
  </si>
  <si>
    <t>7(15)</t>
    <phoneticPr fontId="3"/>
  </si>
  <si>
    <t>5(41)</t>
    <phoneticPr fontId="3"/>
  </si>
  <si>
    <t>5(42)</t>
    <phoneticPr fontId="3"/>
  </si>
  <si>
    <t>5(43)</t>
    <phoneticPr fontId="3"/>
  </si>
  <si>
    <t>5(44)</t>
    <phoneticPr fontId="3"/>
  </si>
  <si>
    <t>5(45)</t>
    <phoneticPr fontId="3"/>
  </si>
  <si>
    <t>4(48)</t>
    <phoneticPr fontId="3"/>
  </si>
  <si>
    <t>4(49)</t>
    <phoneticPr fontId="3"/>
  </si>
  <si>
    <t>4(50)</t>
    <phoneticPr fontId="3"/>
  </si>
  <si>
    <t>4(51)</t>
    <phoneticPr fontId="3"/>
  </si>
  <si>
    <t>4(52)</t>
    <phoneticPr fontId="3"/>
  </si>
  <si>
    <t>2(20)</t>
    <phoneticPr fontId="3"/>
  </si>
  <si>
    <t>☑</t>
    <phoneticPr fontId="3"/>
  </si>
  <si>
    <t>☐</t>
    <phoneticPr fontId="3"/>
  </si>
  <si>
    <t>4_入力シート【写真】</t>
    <rPh sb="2" eb="4">
      <t>ニュウリョク</t>
    </rPh>
    <rPh sb="8" eb="10">
      <t>シャシン</t>
    </rPh>
    <phoneticPr fontId="3"/>
  </si>
  <si>
    <t>AU113</t>
    <phoneticPr fontId="3"/>
  </si>
  <si>
    <t>A129</t>
    <phoneticPr fontId="3"/>
  </si>
  <si>
    <t>1(10)</t>
  </si>
  <si>
    <t>1(11)</t>
  </si>
  <si>
    <t>1(12)</t>
  </si>
  <si>
    <t>1(13)</t>
  </si>
  <si>
    <t>1(14)</t>
  </si>
  <si>
    <t>改修済</t>
    <rPh sb="0" eb="3">
      <t>カイシュウズ</t>
    </rPh>
    <phoneticPr fontId="3"/>
  </si>
  <si>
    <t>改修済</t>
    <rPh sb="0" eb="2">
      <t>カイシュウ</t>
    </rPh>
    <rPh sb="2" eb="3">
      <t>スミ</t>
    </rPh>
    <phoneticPr fontId="3"/>
  </si>
  <si>
    <t>3(10)</t>
  </si>
  <si>
    <t>3(11)</t>
  </si>
  <si>
    <t>3(12)</t>
  </si>
  <si>
    <t>3(13)</t>
  </si>
  <si>
    <t>3(14)</t>
  </si>
  <si>
    <t>6(10)</t>
  </si>
  <si>
    <t>6(11)</t>
  </si>
  <si>
    <t>6(12)</t>
  </si>
  <si>
    <t>6(13)</t>
  </si>
  <si>
    <t>6(14)</t>
  </si>
  <si>
    <t>（理由：</t>
    <phoneticPr fontId="3"/>
  </si>
  <si>
    <t>適用数</t>
    <rPh sb="0" eb="3">
      <t>テキヨウスウ</t>
    </rPh>
    <phoneticPr fontId="3"/>
  </si>
  <si>
    <t>※調査から3箇月以内の報告が必要です。</t>
    <rPh sb="1" eb="3">
      <t>チョウサ</t>
    </rPh>
    <rPh sb="6" eb="8">
      <t>カゲツ</t>
    </rPh>
    <rPh sb="7" eb="8">
      <t>ゲツ</t>
    </rPh>
    <rPh sb="8" eb="10">
      <t>イナイ</t>
    </rPh>
    <rPh sb="11" eb="13">
      <t>ホウコク</t>
    </rPh>
    <rPh sb="14" eb="16">
      <t>ヒツヨウ</t>
    </rPh>
    <phoneticPr fontId="3"/>
  </si>
  <si>
    <t>いない庁舎者番号を排除</t>
    <rPh sb="3" eb="6">
      <t>チョウシャシャ</t>
    </rPh>
    <rPh sb="6" eb="8">
      <t>バンゴウ</t>
    </rPh>
    <rPh sb="9" eb="11">
      <t>ハイジョ</t>
    </rPh>
    <phoneticPr fontId="3"/>
  </si>
  <si>
    <t>調査者の選任数</t>
    <rPh sb="0" eb="3">
      <t>チョウサシャ</t>
    </rPh>
    <rPh sb="4" eb="7">
      <t>センニンスウ</t>
    </rPh>
    <phoneticPr fontId="3"/>
  </si>
  <si>
    <t>←1だと調査者番号欄は入力不要</t>
    <rPh sb="4" eb="9">
      <t>チョウサシャバンゴウ</t>
    </rPh>
    <rPh sb="9" eb="10">
      <t>ラン</t>
    </rPh>
    <rPh sb="11" eb="13">
      <t>ニュウリョク</t>
    </rPh>
    <rPh sb="13" eb="15">
      <t>フヨウ</t>
    </rPh>
    <phoneticPr fontId="3"/>
  </si>
  <si>
    <t>適用</t>
    <rPh sb="0" eb="2">
      <t>テキヨウ</t>
    </rPh>
    <phoneticPr fontId="3"/>
  </si>
  <si>
    <t>.</t>
    <phoneticPr fontId="3"/>
  </si>
  <si>
    <t>7(11)</t>
  </si>
  <si>
    <t>7(12)</t>
  </si>
  <si>
    <t>7(13)</t>
  </si>
  <si>
    <t>7(14)</t>
  </si>
  <si>
    <t>7(15)</t>
  </si>
  <si>
    <t>法第12条第3項の規定による検査を要する防火設備の有無</t>
    <rPh sb="0" eb="1">
      <t>ダイ</t>
    </rPh>
    <rPh sb="3" eb="4">
      <t>ジョウ</t>
    </rPh>
    <rPh sb="4" eb="5">
      <t>ダイ</t>
    </rPh>
    <rPh sb="6" eb="7">
      <t>コウ</t>
    </rPh>
    <rPh sb="8" eb="10">
      <t>キテイ</t>
    </rPh>
    <rPh sb="13" eb="15">
      <t>ケンサ</t>
    </rPh>
    <rPh sb="16" eb="17">
      <t>ヨウ</t>
    </rPh>
    <rPh sb="19" eb="21">
      <t>ボウカ</t>
    </rPh>
    <rPh sb="21" eb="23">
      <t>セツビ</t>
    </rPh>
    <rPh sb="24" eb="26">
      <t>ウム</t>
    </rPh>
    <phoneticPr fontId="3"/>
  </si>
  <si>
    <t>【イ．防火地域】</t>
    <phoneticPr fontId="3"/>
  </si>
  <si>
    <t>検査済証の有無</t>
    <phoneticPr fontId="3"/>
  </si>
  <si>
    <t>線引き
（現在不使用）</t>
    <rPh sb="5" eb="7">
      <t>ゲンザイ</t>
    </rPh>
    <rPh sb="7" eb="10">
      <t>フシヨウ</t>
    </rPh>
    <phoneticPr fontId="3"/>
  </si>
  <si>
    <t>未定/改善済のみ</t>
    <rPh sb="0" eb="2">
      <t>ミテイ</t>
    </rPh>
    <rPh sb="3" eb="6">
      <t>カイゼンズ</t>
    </rPh>
    <phoneticPr fontId="3"/>
  </si>
  <si>
    <t>既存不適格のみ</t>
    <rPh sb="0" eb="5">
      <t>キゾンフテキカク</t>
    </rPh>
    <phoneticPr fontId="3"/>
  </si>
  <si>
    <t>京都市編集</t>
    <rPh sb="0" eb="3">
      <t>キョウトシ</t>
    </rPh>
    <rPh sb="3" eb="5">
      <t>ヘンシュウ</t>
    </rPh>
    <phoneticPr fontId="3"/>
  </si>
  <si>
    <t>A</t>
  </si>
  <si>
    <t>B</t>
  </si>
  <si>
    <t>C</t>
  </si>
  <si>
    <t>D</t>
  </si>
  <si>
    <t>E</t>
  </si>
  <si>
    <t>F</t>
  </si>
  <si>
    <t>G</t>
  </si>
  <si>
    <t>H</t>
  </si>
  <si>
    <t>I</t>
  </si>
  <si>
    <t>J</t>
  </si>
  <si>
    <t>K</t>
  </si>
  <si>
    <t>1 報告対象建築物</t>
    <phoneticPr fontId="3"/>
  </si>
  <si>
    <t>ID_用途記号</t>
    <rPh sb="3" eb="7">
      <t>ヨウトキゴウ</t>
    </rPh>
    <phoneticPr fontId="3"/>
  </si>
  <si>
    <t>ID_種別番号</t>
    <rPh sb="3" eb="5">
      <t>シュベツ</t>
    </rPh>
    <rPh sb="5" eb="7">
      <t>バンゴウ</t>
    </rPh>
    <phoneticPr fontId="3"/>
  </si>
  <si>
    <t>京都市</t>
    <rPh sb="0" eb="3">
      <t>キョウトシ</t>
    </rPh>
    <phoneticPr fontId="3"/>
  </si>
  <si>
    <t>担当者</t>
    <phoneticPr fontId="3"/>
  </si>
  <si>
    <t>指定なし（都市計画区域外）</t>
    <phoneticPr fontId="3"/>
  </si>
  <si>
    <t>指定なし（市街化調整区域）</t>
    <rPh sb="0" eb="2">
      <t>シテイ</t>
    </rPh>
    <phoneticPr fontId="3"/>
  </si>
  <si>
    <t>シート内リンク→</t>
    <rPh sb="3" eb="4">
      <t>ナイ</t>
    </rPh>
    <phoneticPr fontId="3"/>
  </si>
  <si>
    <t>↑このシート内での移動に利用できるリンクです</t>
    <rPh sb="6" eb="7">
      <t>ナイ</t>
    </rPh>
    <rPh sb="9" eb="11">
      <t>イドウ</t>
    </rPh>
    <rPh sb="12" eb="14">
      <t>リヨウ</t>
    </rPh>
    <phoneticPr fontId="3"/>
  </si>
  <si>
    <t>防火設備（防火扉、防火シャッターその他これらに類するものに限る。）</t>
    <phoneticPr fontId="3"/>
  </si>
  <si>
    <t>昭和48年建設省告示第2563号第１第一号ロに規定する基準への適合の状況</t>
    <rPh sb="19" eb="20">
      <t>１</t>
    </rPh>
    <phoneticPr fontId="3"/>
  </si>
  <si>
    <t>常時閉鎖又は作動をした状態にあるもの以外の防火設備（以下「随閉防火設備」という。）における煙又は熱を感知し自動的に閉鎖又は動作の状況</t>
    <rPh sb="0" eb="2">
      <t>ジョウジ</t>
    </rPh>
    <rPh sb="2" eb="4">
      <t>ヘイサ</t>
    </rPh>
    <rPh sb="4" eb="5">
      <t>マタ</t>
    </rPh>
    <rPh sb="6" eb="8">
      <t>サドウ</t>
    </rPh>
    <rPh sb="11" eb="13">
      <t>ジョウタイ</t>
    </rPh>
    <rPh sb="18" eb="20">
      <t>イガイ</t>
    </rPh>
    <rPh sb="21" eb="23">
      <t>ボウカ</t>
    </rPh>
    <rPh sb="23" eb="25">
      <t>セツビ</t>
    </rPh>
    <rPh sb="26" eb="28">
      <t>イカ</t>
    </rPh>
    <rPh sb="29" eb="30">
      <t>ズイ</t>
    </rPh>
    <rPh sb="30" eb="31">
      <t>ヘイ</t>
    </rPh>
    <rPh sb="31" eb="33">
      <t>ボウカ</t>
    </rPh>
    <rPh sb="33" eb="35">
      <t>セツビ</t>
    </rPh>
    <rPh sb="45" eb="46">
      <t>ケムリ</t>
    </rPh>
    <rPh sb="46" eb="47">
      <t>マタ</t>
    </rPh>
    <rPh sb="48" eb="49">
      <t>ネツ</t>
    </rPh>
    <rPh sb="50" eb="52">
      <t>カンチ</t>
    </rPh>
    <rPh sb="53" eb="56">
      <t>ジドウテキ</t>
    </rPh>
    <rPh sb="57" eb="59">
      <t>ヘイサ</t>
    </rPh>
    <rPh sb="59" eb="60">
      <t>マタ</t>
    </rPh>
    <rPh sb="61" eb="63">
      <t>ドウサ</t>
    </rPh>
    <rPh sb="64" eb="66">
      <t>ジョウキョウ</t>
    </rPh>
    <phoneticPr fontId="3"/>
  </si>
  <si>
    <t>随閉防火設備の本体と枠の劣化及び損傷の状況</t>
    <rPh sb="7" eb="9">
      <t>ホンタイ</t>
    </rPh>
    <rPh sb="10" eb="11">
      <t>ワク</t>
    </rPh>
    <rPh sb="12" eb="14">
      <t>レッカ</t>
    </rPh>
    <rPh sb="14" eb="15">
      <t>オヨ</t>
    </rPh>
    <rPh sb="16" eb="18">
      <t>ソンショウ</t>
    </rPh>
    <rPh sb="19" eb="21">
      <t>ジョウキョウ</t>
    </rPh>
    <phoneticPr fontId="3"/>
  </si>
  <si>
    <t>随閉防火設備の閉鎖又は作動の状況</t>
    <rPh sb="7" eb="9">
      <t>ヘイサ</t>
    </rPh>
    <rPh sb="9" eb="10">
      <t>マタ</t>
    </rPh>
    <rPh sb="11" eb="13">
      <t>サドウ</t>
    </rPh>
    <rPh sb="14" eb="16">
      <t>ジョウキョウ</t>
    </rPh>
    <phoneticPr fontId="3"/>
  </si>
  <si>
    <t>随閉防火設備の閉鎖又は作動の障害となる物品の放置の状況</t>
    <rPh sb="7" eb="9">
      <t>ヘイサ</t>
    </rPh>
    <rPh sb="9" eb="10">
      <t>マタ</t>
    </rPh>
    <rPh sb="11" eb="13">
      <t>サドウ</t>
    </rPh>
    <rPh sb="14" eb="16">
      <t>ショウガイ</t>
    </rPh>
    <rPh sb="19" eb="21">
      <t>ブッピン</t>
    </rPh>
    <rPh sb="22" eb="24">
      <t>ホウチ</t>
    </rPh>
    <rPh sb="25" eb="27">
      <t>ジョウキョウ</t>
    </rPh>
    <phoneticPr fontId="3"/>
  </si>
  <si>
    <t>2(1)</t>
  </si>
  <si>
    <t>2(2)</t>
  </si>
  <si>
    <t>2(3)</t>
  </si>
  <si>
    <t>2(4)</t>
  </si>
  <si>
    <t>2(5)</t>
  </si>
  <si>
    <t>2(6)</t>
  </si>
  <si>
    <t>2(7)</t>
  </si>
  <si>
    <t>2(8)</t>
  </si>
  <si>
    <t>2(9)</t>
  </si>
  <si>
    <t>2(10)</t>
  </si>
  <si>
    <t>2(11)</t>
  </si>
  <si>
    <t>2(12)</t>
  </si>
  <si>
    <t>2(13)</t>
  </si>
  <si>
    <t>2(14)</t>
  </si>
  <si>
    <t>2(15)</t>
  </si>
  <si>
    <t>2(16)</t>
  </si>
  <si>
    <t>2(17)</t>
  </si>
  <si>
    <t>2(18)</t>
  </si>
  <si>
    <t>3(1)</t>
  </si>
  <si>
    <t>3(2)</t>
  </si>
  <si>
    <t>3(3)</t>
  </si>
  <si>
    <t>3(4)</t>
  </si>
  <si>
    <t>3(5)</t>
  </si>
  <si>
    <t>3(6)</t>
  </si>
  <si>
    <t>3(7)</t>
  </si>
  <si>
    <t>3(8)</t>
  </si>
  <si>
    <t>3(9)</t>
  </si>
  <si>
    <t>特定行政庁　京都市長</t>
    <rPh sb="0" eb="2">
      <t>トクテイ</t>
    </rPh>
    <rPh sb="2" eb="5">
      <t>ギョウセイチョウ</t>
    </rPh>
    <rPh sb="6" eb="8">
      <t>キョウト</t>
    </rPh>
    <rPh sb="8" eb="10">
      <t>シチョウ</t>
    </rPh>
    <phoneticPr fontId="3"/>
  </si>
  <si>
    <t>大項目振り分け</t>
  </si>
  <si>
    <t>空白</t>
    <rPh sb="0" eb="2">
      <t>クウハク</t>
    </rPh>
    <phoneticPr fontId="3"/>
  </si>
  <si>
    <t>その他</t>
  </si>
  <si>
    <t>要是正なし:0、あり:1</t>
    <phoneticPr fontId="3"/>
  </si>
  <si>
    <t>改善予定:1、改善済:2、その他:空白</t>
    <rPh sb="0" eb="2">
      <t>カイゼン</t>
    </rPh>
    <rPh sb="2" eb="4">
      <t>ヨテイ</t>
    </rPh>
    <rPh sb="15" eb="16">
      <t>タ</t>
    </rPh>
    <rPh sb="17" eb="19">
      <t>クウハク</t>
    </rPh>
    <phoneticPr fontId="3"/>
  </si>
  <si>
    <t>その他</t>
    <rPh sb="2" eb="3">
      <t>タ</t>
    </rPh>
    <phoneticPr fontId="3"/>
  </si>
  <si>
    <t>要是正あり</t>
    <phoneticPr fontId="3"/>
  </si>
  <si>
    <t>改善済</t>
    <rPh sb="0" eb="2">
      <t>カイゼン</t>
    </rPh>
    <phoneticPr fontId="3"/>
  </si>
  <si>
    <t>合計</t>
    <rPh sb="0" eb="2">
      <t>ゴウケイ</t>
    </rPh>
    <phoneticPr fontId="3"/>
  </si>
  <si>
    <t>タイル貼等は手の届く範囲のみであり、今回の定期調査時に打診等を実施</t>
  </si>
  <si>
    <t>タイル貼等は手の届く範囲のみであり、今回の定期調査時に打診等を実施</t>
    <rPh sb="3" eb="4">
      <t>ハ</t>
    </rPh>
    <rPh sb="4" eb="5">
      <t>トウ</t>
    </rPh>
    <rPh sb="6" eb="7">
      <t>テ</t>
    </rPh>
    <rPh sb="8" eb="9">
      <t>トド</t>
    </rPh>
    <rPh sb="10" eb="12">
      <t>ハンイ</t>
    </rPh>
    <rPh sb="18" eb="20">
      <t>コンカイ</t>
    </rPh>
    <rPh sb="21" eb="23">
      <t>テイキ</t>
    </rPh>
    <rPh sb="23" eb="25">
      <t>チョウサ</t>
    </rPh>
    <rPh sb="25" eb="26">
      <t>ジ</t>
    </rPh>
    <rPh sb="27" eb="29">
      <t>ダシン</t>
    </rPh>
    <rPh sb="29" eb="30">
      <t>トウ</t>
    </rPh>
    <rPh sb="31" eb="33">
      <t>ジッシ</t>
    </rPh>
    <phoneticPr fontId="3"/>
  </si>
  <si>
    <t>大分類</t>
    <rPh sb="0" eb="3">
      <t>ダイブンルイ</t>
    </rPh>
    <phoneticPr fontId="3"/>
  </si>
  <si>
    <t>小分類</t>
    <rPh sb="0" eb="3">
      <t>ショウブンルイ</t>
    </rPh>
    <phoneticPr fontId="3"/>
  </si>
  <si>
    <t>用途</t>
    <rPh sb="0" eb="2">
      <t>ヨウト</t>
    </rPh>
    <phoneticPr fontId="3"/>
  </si>
  <si>
    <t>プルダウン一覧</t>
    <phoneticPr fontId="3"/>
  </si>
  <si>
    <t>←用途別合計</t>
    <phoneticPr fontId="3"/>
  </si>
  <si>
    <t>　階別床面積、
　延べ床面積</t>
    <rPh sb="3" eb="4">
      <t>ユカ</t>
    </rPh>
    <rPh sb="11" eb="12">
      <t>ユカ</t>
    </rPh>
    <phoneticPr fontId="3"/>
  </si>
  <si>
    <t>←「0」の記入は不要</t>
  </si>
  <si>
    <t xml:space="preserve">
【階別、用途別床面積の入力】</t>
    <rPh sb="2" eb="3">
      <t>カイ</t>
    </rPh>
    <rPh sb="3" eb="4">
      <t>ベツ</t>
    </rPh>
    <rPh sb="5" eb="7">
      <t>ヨウト</t>
    </rPh>
    <rPh sb="7" eb="8">
      <t>ベツ</t>
    </rPh>
    <rPh sb="8" eb="11">
      <t>ユカメンセキ</t>
    </rPh>
    <rPh sb="12" eb="14">
      <t>ニュウリョク</t>
    </rPh>
    <phoneticPr fontId="3"/>
  </si>
  <si>
    <t>【要是正項目の写真添付】</t>
    <rPh sb="1" eb="2">
      <t>ヨウ</t>
    </rPh>
    <rPh sb="2" eb="4">
      <t>ゼセイ</t>
    </rPh>
    <rPh sb="4" eb="6">
      <t>コウモク</t>
    </rPh>
    <rPh sb="7" eb="9">
      <t>シャシン</t>
    </rPh>
    <rPh sb="9" eb="11">
      <t>テンプ</t>
    </rPh>
    <phoneticPr fontId="3"/>
  </si>
  <si>
    <t>↓メモの記入可能</t>
  </si>
  <si>
    <t>【基本情報(調査結果含む）の入力】</t>
    <rPh sb="1" eb="3">
      <t>キホン</t>
    </rPh>
    <rPh sb="3" eb="5">
      <t>ジョウホウ</t>
    </rPh>
    <rPh sb="6" eb="8">
      <t>チョウサ</t>
    </rPh>
    <rPh sb="8" eb="10">
      <t>ケッカ</t>
    </rPh>
    <rPh sb="10" eb="11">
      <t>フク</t>
    </rPh>
    <phoneticPr fontId="3"/>
  </si>
  <si>
    <t>提出日を記入してください。報告書１面右肩に転記されます。</t>
    <rPh sb="19" eb="20">
      <t>カタ</t>
    </rPh>
    <phoneticPr fontId="3"/>
  </si>
  <si>
    <t>←</t>
  </si>
  <si>
    <t>←</t>
    <phoneticPr fontId="3"/>
  </si>
  <si>
    <t>←例　A3-9999</t>
    <rPh sb="1" eb="2">
      <t>レイ</t>
    </rPh>
    <phoneticPr fontId="3"/>
  </si>
  <si>
    <t>例</t>
  </si>
  <si>
    <t>中京区</t>
  </si>
  <si>
    <t>寺町通御池上る上本能寺前町</t>
    <rPh sb="0" eb="2">
      <t>テラマチ</t>
    </rPh>
    <rPh sb="2" eb="3">
      <t>ドオリ</t>
    </rPh>
    <rPh sb="3" eb="5">
      <t>オイケ</t>
    </rPh>
    <rPh sb="5" eb="6">
      <t>ノボ</t>
    </rPh>
    <rPh sb="7" eb="8">
      <t>カミ</t>
    </rPh>
    <rPh sb="8" eb="11">
      <t>ホンノウジ</t>
    </rPh>
    <rPh sb="11" eb="12">
      <t>マエ</t>
    </rPh>
    <rPh sb="12" eb="13">
      <t>マチ</t>
    </rPh>
    <phoneticPr fontId="3"/>
  </si>
  <si>
    <t>確認に要した図書</t>
  </si>
  <si>
    <t>確認済証の有無</t>
  </si>
  <si>
    <t>工事種別</t>
  </si>
  <si>
    <t>交付年月日</t>
  </si>
  <si>
    <t>検査機関</t>
  </si>
  <si>
    <t>検査済証の有無</t>
  </si>
  <si>
    <t>R</t>
    <phoneticPr fontId="3"/>
  </si>
  <si>
    <t>建　築　物</t>
    <rPh sb="0" eb="1">
      <t>ケン</t>
    </rPh>
    <rPh sb="2" eb="3">
      <t>チク</t>
    </rPh>
    <rPh sb="4" eb="5">
      <t>ブツ</t>
    </rPh>
    <phoneticPr fontId="3"/>
  </si>
  <si>
    <r>
      <t>　　　　　　　建物ＩＤ</t>
    </r>
    <r>
      <rPr>
        <sz val="9"/>
        <color indexed="8"/>
        <rFont val="HG丸ｺﾞｼｯｸM-PRO"/>
        <family val="3"/>
        <charset val="128"/>
      </rPr>
      <t xml:space="preserve">
</t>
    </r>
    <r>
      <rPr>
        <sz val="8"/>
        <color indexed="8"/>
        <rFont val="HG丸ｺﾞｼｯｸM-PRO"/>
        <family val="3"/>
        <charset val="128"/>
      </rPr>
      <t/>
    </r>
    <rPh sb="7" eb="9">
      <t>タテモノ</t>
    </rPh>
    <phoneticPr fontId="3"/>
  </si>
  <si>
    <t>建築物名</t>
    <rPh sb="0" eb="3">
      <t>ケンチクブツ</t>
    </rPh>
    <rPh sb="3" eb="4">
      <t>メイ</t>
    </rPh>
    <phoneticPr fontId="3"/>
  </si>
  <si>
    <t>外装仕上材のタイル・石貼り等、
モルタル塗り等の使用</t>
    <rPh sb="0" eb="2">
      <t>ガイソウ</t>
    </rPh>
    <rPh sb="2" eb="5">
      <t>シアゲザイ</t>
    </rPh>
    <rPh sb="10" eb="12">
      <t>イシバ</t>
    </rPh>
    <rPh sb="13" eb="14">
      <t>ナド</t>
    </rPh>
    <rPh sb="20" eb="21">
      <t>ヌ</t>
    </rPh>
    <rPh sb="22" eb="23">
      <t>ナド</t>
    </rPh>
    <rPh sb="24" eb="26">
      <t>シヨウ</t>
    </rPh>
    <phoneticPr fontId="3"/>
  </si>
  <si>
    <t>　設備（法第12条第三項関係など）</t>
    <rPh sb="1" eb="3">
      <t>セツビ</t>
    </rPh>
    <rPh sb="4" eb="5">
      <t>ホウ</t>
    </rPh>
    <rPh sb="5" eb="6">
      <t>ダイ</t>
    </rPh>
    <rPh sb="8" eb="9">
      <t>ジョウ</t>
    </rPh>
    <rPh sb="9" eb="10">
      <t>ダイ</t>
    </rPh>
    <rPh sb="10" eb="12">
      <t>サンコウ</t>
    </rPh>
    <rPh sb="12" eb="14">
      <t>カンケイ</t>
    </rPh>
    <phoneticPr fontId="3"/>
  </si>
  <si>
    <t>随閉防火設備</t>
    <rPh sb="2" eb="4">
      <t>ボウカ</t>
    </rPh>
    <rPh sb="4" eb="6">
      <t>セツビ</t>
    </rPh>
    <phoneticPr fontId="3"/>
  </si>
  <si>
    <t>小荷物専用昇降機</t>
    <rPh sb="0" eb="3">
      <t>コニモツ</t>
    </rPh>
    <rPh sb="3" eb="5">
      <t>センヨウ</t>
    </rPh>
    <rPh sb="5" eb="8">
      <t>ショウコウキ</t>
    </rPh>
    <phoneticPr fontId="3"/>
  </si>
  <si>
    <t>　新築時の確認申請</t>
    <rPh sb="5" eb="7">
      <t>カクニン</t>
    </rPh>
    <rPh sb="7" eb="9">
      <t>シンセイ</t>
    </rPh>
    <phoneticPr fontId="3"/>
  </si>
  <si>
    <t>※欄は事務処理欄ですので何も記入しないでください。</t>
    <phoneticPr fontId="3"/>
  </si>
  <si>
    <t>※備考</t>
    <rPh sb="1" eb="3">
      <t>ビコウ</t>
    </rPh>
    <phoneticPr fontId="3"/>
  </si>
  <si>
    <t>①ID用途面積　　　 　（　　　　　　　　　）㎡</t>
    <phoneticPr fontId="3"/>
  </si>
  <si>
    <t>②建築設備対象面積    （　　　　　　　　　）㎡</t>
    <phoneticPr fontId="3"/>
  </si>
  <si>
    <t>③特殊建築物　　　　 （　　　　　　　　　）㎡　</t>
    <phoneticPr fontId="3"/>
  </si>
  <si>
    <t>※供覧</t>
  </si>
  <si>
    <t>入力</t>
    <rPh sb="0" eb="2">
      <t>ニュウリョク</t>
    </rPh>
    <phoneticPr fontId="3"/>
  </si>
  <si>
    <t>1     2</t>
    <phoneticPr fontId="3"/>
  </si>
  <si>
    <t>受付管理票</t>
    <rPh sb="0" eb="2">
      <t>ウケツケ</t>
    </rPh>
    <rPh sb="2" eb="4">
      <t>カンリ</t>
    </rPh>
    <rPh sb="4" eb="5">
      <t>ヒョウ</t>
    </rPh>
    <phoneticPr fontId="3"/>
  </si>
  <si>
    <t>2</t>
  </si>
  <si>
    <t>診断済</t>
  </si>
  <si>
    <t>診断済</t>
    <rPh sb="0" eb="2">
      <t>シンダン</t>
    </rPh>
    <rPh sb="2" eb="3">
      <t>スミ</t>
    </rPh>
    <phoneticPr fontId="3"/>
  </si>
  <si>
    <t>診断済</t>
    <phoneticPr fontId="3"/>
  </si>
  <si>
    <t>受付管理票</t>
    <rPh sb="0" eb="2">
      <t>ウケツケ</t>
    </rPh>
    <rPh sb="2" eb="4">
      <t>カンリ</t>
    </rPh>
    <rPh sb="4" eb="5">
      <t>ヒョウ</t>
    </rPh>
    <phoneticPr fontId="3"/>
  </si>
  <si>
    <t>報告書等への転記先を示しています（以下、同様です）。</t>
    <rPh sb="3" eb="4">
      <t>トウ</t>
    </rPh>
    <rPh sb="10" eb="11">
      <t>シメ</t>
    </rPh>
    <rPh sb="17" eb="19">
      <t>イカ</t>
    </rPh>
    <rPh sb="20" eb="22">
      <t>ドウヨウ</t>
    </rPh>
    <phoneticPr fontId="3"/>
  </si>
  <si>
    <t>未実施（実施時期未定）</t>
    <rPh sb="0" eb="1">
      <t>ミ</t>
    </rPh>
    <rPh sb="1" eb="3">
      <t>ジッシ</t>
    </rPh>
    <rPh sb="4" eb="6">
      <t>ジッシ</t>
    </rPh>
    <rPh sb="6" eb="8">
      <t>ジキ</t>
    </rPh>
    <rPh sb="8" eb="10">
      <t>ミテイ</t>
    </rPh>
    <phoneticPr fontId="3"/>
  </si>
  <si>
    <t>未実施（実施時期未定）</t>
    <rPh sb="0" eb="3">
      <t>ミジッシ</t>
    </rPh>
    <phoneticPr fontId="3"/>
  </si>
  <si>
    <t>未実施（実施予定あり）</t>
    <rPh sb="0" eb="3">
      <t>ミジッシ</t>
    </rPh>
    <rPh sb="6" eb="8">
      <t>ヨテイ</t>
    </rPh>
    <phoneticPr fontId="3"/>
  </si>
  <si>
    <t>未実施（実施予定あり）</t>
    <rPh sb="0" eb="1">
      <t>ミ</t>
    </rPh>
    <rPh sb="1" eb="3">
      <t>ジッシ</t>
    </rPh>
    <phoneticPr fontId="3"/>
  </si>
  <si>
    <t>対象外</t>
  </si>
  <si>
    <t>【報告書】転記された内容に誤りがないか確認してください。</t>
    <rPh sb="1" eb="4">
      <t>ホウコクショ</t>
    </rPh>
    <rPh sb="5" eb="7">
      <t>テンキ</t>
    </rPh>
    <rPh sb="10" eb="12">
      <t>ナイヨウ</t>
    </rPh>
    <phoneticPr fontId="3"/>
  </si>
  <si>
    <t>建物ID</t>
  </si>
  <si>
    <t>【概要書】転記された内容に誤りがないか確認してください。</t>
    <rPh sb="1" eb="4">
      <t>ガイヨウショ</t>
    </rPh>
    <rPh sb="5" eb="7">
      <t>テンキ</t>
    </rPh>
    <rPh sb="10" eb="12">
      <t>ナイヨウ</t>
    </rPh>
    <phoneticPr fontId="3"/>
  </si>
  <si>
    <t>【調査結果表】転記された内容に誤りがないか確認してください。</t>
    <rPh sb="1" eb="3">
      <t>チョウサ</t>
    </rPh>
    <rPh sb="3" eb="5">
      <t>ケッカ</t>
    </rPh>
    <rPh sb="5" eb="6">
      <t>ヒョウ</t>
    </rPh>
    <rPh sb="7" eb="9">
      <t>テンキ</t>
    </rPh>
    <rPh sb="12" eb="14">
      <t>ナイヨウ</t>
    </rPh>
    <phoneticPr fontId="3"/>
  </si>
  <si>
    <t>１８　備考（任意入力です。入力内容は報告書の第三面6欄に反映されます）</t>
    <rPh sb="22" eb="24">
      <t>ダイサン</t>
    </rPh>
    <rPh sb="24" eb="25">
      <t>メン</t>
    </rPh>
    <phoneticPr fontId="3"/>
  </si>
  <si>
    <t>月に実施</t>
    <rPh sb="0" eb="1">
      <t>ツキ</t>
    </rPh>
    <rPh sb="2" eb="4">
      <t>ジッシ</t>
    </rPh>
    <phoneticPr fontId="3"/>
  </si>
  <si>
    <t>予定</t>
    <phoneticPr fontId="3"/>
  </si>
  <si>
    <t>）</t>
  </si>
  <si>
    <t>その他特記事項
（第一面5欄ニに転記されます）</t>
    <phoneticPr fontId="3"/>
  </si>
  <si>
    <t>第一面５欄</t>
    <rPh sb="0" eb="2">
      <t>ダイイチ</t>
    </rPh>
    <rPh sb="2" eb="3">
      <t>メン</t>
    </rPh>
    <rPh sb="4" eb="5">
      <t>ラン</t>
    </rPh>
    <phoneticPr fontId="3"/>
  </si>
  <si>
    <t>受付管理票</t>
    <phoneticPr fontId="3"/>
  </si>
  <si>
    <t>別紙による</t>
    <phoneticPr fontId="3"/>
  </si>
  <si>
    <t>【図面】</t>
    <rPh sb="1" eb="3">
      <t>ズメン</t>
    </rPh>
    <phoneticPr fontId="3"/>
  </si>
  <si>
    <t>管理者とは：</t>
  </si>
  <si>
    <t>建物の維持管理について権限を持っている者を指します。清掃等の日常管理のみを行う者ではありませんのでご注意ください。</t>
    <phoneticPr fontId="3"/>
  </si>
  <si>
    <t>←</t>
    <phoneticPr fontId="3"/>
  </si>
  <si>
    <t>その場合、報告書及び概要書には、5.代表となる調査者に入力した勤務先が転記されます。</t>
    <phoneticPr fontId="3"/>
  </si>
  <si>
    <t>代表となる調査者と勤務先が同じ場合、チェックボックスにチェックを入れてください。</t>
    <phoneticPr fontId="3"/>
  </si>
  <si>
    <t>建築士が業として調査・報告を行う場合、建築士事務所登録が必要です。</t>
    <phoneticPr fontId="3"/>
  </si>
  <si>
    <t>調査者が法人に勤務していない場合、調査者の住所を記入してください。</t>
    <phoneticPr fontId="3"/>
  </si>
  <si>
    <t>災害危険区域に指定されている場合その他建築基準法又はそれに基づく命令により地域等の指定がされている場合は、プルダウン選択肢より「その他」を選択し、併せてその内容を記入して下さい。</t>
    <phoneticPr fontId="3"/>
  </si>
  <si>
    <t>敷地が複数の用途地域にまたがるときは、用途地域2・3にも記入してください。</t>
    <phoneticPr fontId="3"/>
  </si>
  <si>
    <t>敷地が複数の地域にまたがるときは、防火地域等2・3にも記入してください。</t>
    <phoneticPr fontId="3"/>
  </si>
  <si>
    <t>該当する全ての構造を記入してください。</t>
    <rPh sb="0" eb="2">
      <t>ガイトウ</t>
    </rPh>
    <rPh sb="4" eb="5">
      <t>スベ</t>
    </rPh>
    <rPh sb="7" eb="9">
      <t>コウゾウ</t>
    </rPh>
    <rPh sb="10" eb="12">
      <t>キニュウ</t>
    </rPh>
    <phoneticPr fontId="3"/>
  </si>
  <si>
    <t>その他構造からなる場合は、プルダウン選択肢より「その他」を選択し、併せて具体的な構造を記入してください。</t>
    <phoneticPr fontId="3"/>
  </si>
  <si>
    <t>建築基準法上の階数で記載してください。
（傾斜地にあるもの、中2階があるもの等は現地の階数表示と異なる場合があります）</t>
    <rPh sb="5" eb="6">
      <t>ジョウ</t>
    </rPh>
    <rPh sb="30" eb="31">
      <t>チュウ</t>
    </rPh>
    <rPh sb="32" eb="33">
      <t>カイ</t>
    </rPh>
    <rPh sb="38" eb="39">
      <t>トウ</t>
    </rPh>
    <phoneticPr fontId="3"/>
  </si>
  <si>
    <t>適用項目がない場合、記入不要です。</t>
    <rPh sb="0" eb="2">
      <t>テキヨウ</t>
    </rPh>
    <rPh sb="2" eb="4">
      <t>コウモク</t>
    </rPh>
    <rPh sb="7" eb="9">
      <t>バアイ</t>
    </rPh>
    <rPh sb="10" eb="12">
      <t>キニュウ</t>
    </rPh>
    <rPh sb="12" eb="14">
      <t>フヨウ</t>
    </rPh>
    <phoneticPr fontId="3"/>
  </si>
  <si>
    <t>有・・・確認に要した図書の全部又は一部がある場合
有(各階平面図のみあり)・・・各階平面図のみがある場合
無・・・確認に要した図書がない場合</t>
    <rPh sb="0" eb="1">
      <t>アリ</t>
    </rPh>
    <rPh sb="22" eb="24">
      <t>バアイ</t>
    </rPh>
    <rPh sb="50" eb="52">
      <t>バアイ</t>
    </rPh>
    <rPh sb="53" eb="54">
      <t>ナ</t>
    </rPh>
    <rPh sb="57" eb="59">
      <t>カクニン</t>
    </rPh>
    <rPh sb="60" eb="61">
      <t>ヨウ</t>
    </rPh>
    <rPh sb="63" eb="65">
      <t>トショ</t>
    </rPh>
    <rPh sb="68" eb="70">
      <t>バアイ</t>
    </rPh>
    <phoneticPr fontId="3"/>
  </si>
  <si>
    <t>今回が初回の調査である場合、対象外にチェックしてください。</t>
    <rPh sb="0" eb="2">
      <t>コンカイ</t>
    </rPh>
    <phoneticPr fontId="3"/>
  </si>
  <si>
    <t>建築基準法第8条第2項に規定する維持保全に関する準則又は計画について記入してください。</t>
    <phoneticPr fontId="3"/>
  </si>
  <si>
    <t>調査が終了した年月日を記入してください。</t>
    <phoneticPr fontId="3"/>
  </si>
  <si>
    <t>直近の報告について記入してください。</t>
    <rPh sb="0" eb="2">
      <t>チョッキン</t>
    </rPh>
    <phoneticPr fontId="3"/>
  </si>
  <si>
    <t>建築基準法第28条の２の規定の適用を受ける石綿を添加した建築材料について記入してください。</t>
    <phoneticPr fontId="3"/>
  </si>
  <si>
    <t>新耐震基準の場合、対象外を選択してください。
（昭和56年6月1日以降に新築工事に着手：新耐震基準）</t>
    <phoneticPr fontId="3"/>
  </si>
  <si>
    <t>飛散防止措置／調査を行う予定があるとき：「有」を選択</t>
    <rPh sb="7" eb="9">
      <t>チョウサ</t>
    </rPh>
    <rPh sb="21" eb="22">
      <t>アリ</t>
    </rPh>
    <rPh sb="24" eb="26">
      <t>センタク</t>
    </rPh>
    <phoneticPr fontId="3"/>
  </si>
  <si>
    <t>飛散防止措置／調査を行う予定がないとき：「無」を選択</t>
    <phoneticPr fontId="3"/>
  </si>
  <si>
    <t>不具合等とは：</t>
    <rPh sb="0" eb="3">
      <t>フグアイ</t>
    </rPh>
    <rPh sb="3" eb="4">
      <t>トウ</t>
    </rPh>
    <phoneticPr fontId="3"/>
  </si>
  <si>
    <t>報告書の第三面に転記されます。概要書には反映されません。</t>
    <rPh sb="8" eb="10">
      <t>テンキ</t>
    </rPh>
    <rPh sb="15" eb="18">
      <t>ガイヨウショ</t>
    </rPh>
    <rPh sb="20" eb="22">
      <t>ハンエイ</t>
    </rPh>
    <phoneticPr fontId="3"/>
  </si>
  <si>
    <t>タイル・石貼り等は乾式工法によるものを除きます。</t>
    <phoneticPr fontId="3"/>
  </si>
  <si>
    <t>（調査者が4名以上の場合）
・この欄には3名を記入のうえ、4人目以降について、第一面の別紙をPDFにて作成し報告書に添えて提出してください。</t>
    <rPh sb="6" eb="7">
      <t>メイ</t>
    </rPh>
    <rPh sb="30" eb="31">
      <t>ニン</t>
    </rPh>
    <rPh sb="31" eb="32">
      <t>メ</t>
    </rPh>
    <rPh sb="32" eb="34">
      <t>イコウ</t>
    </rPh>
    <rPh sb="39" eb="41">
      <t>ダイイチ</t>
    </rPh>
    <rPh sb="41" eb="42">
      <t>メン</t>
    </rPh>
    <phoneticPr fontId="3"/>
  </si>
  <si>
    <t>（管理者が法人の場合）
・法人の名称及び所在地を記入してください。
・代表者の肩書及び個人名まで記入してください。
（管理者が複数の場合）
・この欄には1名のみを記入のうえ、2人目以降について、第一面の別紙をPDFにて作成し報告書に添えて提出してください。</t>
    <rPh sb="1" eb="3">
      <t>カンリ</t>
    </rPh>
    <phoneticPr fontId="3"/>
  </si>
  <si>
    <t>（所有者が法人の場合）
・法人の名称及び所在地を記入してください。
・代表者の肩書及び個人名まで記入してください。
（所有者が複数の場合）
・この欄には1名のみを記入のうえ、2人目以降について、第一面の別紙をPDFにて作成し報告書に添えて提出してください。</t>
    <rPh sb="20" eb="23">
      <t>ショザイチ</t>
    </rPh>
    <rPh sb="24" eb="26">
      <t>キニュウ</t>
    </rPh>
    <rPh sb="41" eb="42">
      <t>オヨ</t>
    </rPh>
    <phoneticPr fontId="3"/>
  </si>
  <si>
    <t>←</t>
    <phoneticPr fontId="3"/>
  </si>
  <si>
    <t>概要書には転記されません。</t>
    <rPh sb="0" eb="3">
      <t>ガイヨウショ</t>
    </rPh>
    <rPh sb="5" eb="7">
      <t>テンキ</t>
    </rPh>
    <phoneticPr fontId="3"/>
  </si>
  <si>
    <t>全面打診等の実施
　　　　　から10年以内</t>
    <phoneticPr fontId="3"/>
  </si>
  <si>
    <t>竣工（改修含む）
　　　　　から10年以内</t>
    <phoneticPr fontId="3"/>
  </si>
  <si>
    <t>随時閉鎖式の防火設備がない場合、「対象外」です。</t>
    <rPh sb="13" eb="15">
      <t>バアイ</t>
    </rPh>
    <rPh sb="17" eb="20">
      <t>タイショウガイ</t>
    </rPh>
    <phoneticPr fontId="3"/>
  </si>
  <si>
    <t>調査結果表特記事項
受付管理票</t>
    <rPh sb="0" eb="2">
      <t>チョウサ</t>
    </rPh>
    <rPh sb="2" eb="4">
      <t>ケッカ</t>
    </rPh>
    <rPh sb="4" eb="5">
      <t>ヒョウ</t>
    </rPh>
    <rPh sb="5" eb="9">
      <t>トッキジコウ</t>
    </rPh>
    <rPh sb="10" eb="15">
      <t>ウケツケカンリヒョウ</t>
    </rPh>
    <phoneticPr fontId="3"/>
  </si>
  <si>
    <t>第一面５欄・第三面２欄
調査結果表</t>
    <rPh sb="0" eb="2">
      <t>ダイイチ</t>
    </rPh>
    <rPh sb="2" eb="3">
      <t>メン</t>
    </rPh>
    <rPh sb="4" eb="5">
      <t>ラン</t>
    </rPh>
    <rPh sb="6" eb="8">
      <t>ダイサン</t>
    </rPh>
    <rPh sb="8" eb="9">
      <t>メン</t>
    </rPh>
    <rPh sb="10" eb="11">
      <t>ラン</t>
    </rPh>
    <rPh sb="12" eb="14">
      <t>チョウサ</t>
    </rPh>
    <rPh sb="14" eb="16">
      <t>ケッカ</t>
    </rPh>
    <rPh sb="16" eb="17">
      <t>ヒョウ</t>
    </rPh>
    <phoneticPr fontId="3"/>
  </si>
  <si>
    <t>受付管理票にのみ転記されます。
全ての出し入れ口の床面からの高さが50cm以上のものは、「対象外」です。</t>
    <phoneticPr fontId="3"/>
  </si>
  <si>
    <t>第一面５欄ニに転記されます。指摘された事項以外に特に報告すべき事項があれば記入してください。</t>
    <phoneticPr fontId="3"/>
  </si>
  <si>
    <t>注意事項・参考事項等</t>
    <rPh sb="0" eb="2">
      <t>チュウイ</t>
    </rPh>
    <rPh sb="2" eb="4">
      <t>ジコウ</t>
    </rPh>
    <rPh sb="5" eb="7">
      <t>サンコウ</t>
    </rPh>
    <rPh sb="7" eb="9">
      <t>ジコウ</t>
    </rPh>
    <rPh sb="9" eb="10">
      <t>トウ</t>
    </rPh>
    <phoneticPr fontId="3"/>
  </si>
  <si>
    <t>面積区画・高層区画</t>
    <phoneticPr fontId="3"/>
  </si>
  <si>
    <t>異種用途区画</t>
    <phoneticPr fontId="3"/>
  </si>
  <si>
    <t>スパンドレル</t>
    <phoneticPr fontId="3"/>
  </si>
  <si>
    <t>内装制限</t>
    <phoneticPr fontId="3"/>
  </si>
  <si>
    <t>常閉防火設備等のみが対象</t>
    <phoneticPr fontId="3"/>
  </si>
  <si>
    <t>自然排煙口のみが設置されている場合でも、調査対象</t>
    <phoneticPr fontId="3"/>
  </si>
  <si>
    <t>機械式の排煙設備が対象</t>
    <phoneticPr fontId="3"/>
  </si>
  <si>
    <t>防火区画を構成する床がある場合、調査対象</t>
    <phoneticPr fontId="3"/>
  </si>
  <si>
    <t>防火区画を構成する壁がある場合、調査対象</t>
    <phoneticPr fontId="3"/>
  </si>
  <si>
    <t>（注意事項）
・セルの着色及び各所の注釈を参考に、入力ください。</t>
    <rPh sb="15" eb="17">
      <t>カクショ</t>
    </rPh>
    <phoneticPr fontId="3"/>
  </si>
  <si>
    <r>
      <rPr>
        <u/>
        <sz val="11"/>
        <rFont val="ＭＳ Ｐゴシック"/>
        <family val="3"/>
        <charset val="128"/>
        <scheme val="major"/>
      </rPr>
      <t>前回調査時以降に把握した</t>
    </r>
    <r>
      <rPr>
        <sz val="11"/>
        <rFont val="ＭＳ Ｐゴシック"/>
        <family val="3"/>
        <charset val="128"/>
        <scheme val="major"/>
      </rPr>
      <t>、建築物等に係る不具合等について記入しください。</t>
    </r>
    <phoneticPr fontId="3"/>
  </si>
  <si>
    <r>
      <t>随時閉鎖式の防火設備</t>
    </r>
    <r>
      <rPr>
        <sz val="11"/>
        <rFont val="ＭＳ Ｐゴシック"/>
        <family val="3"/>
        <charset val="128"/>
        <scheme val="major"/>
      </rPr>
      <t>※について、記入してください。
　※　随時閉鎖又は作動をできる防火設備
　　　（防火ダンパーを除く）をいいます（以下、同様です）。</t>
    </r>
    <phoneticPr fontId="3"/>
  </si>
  <si>
    <r>
      <rPr>
        <b/>
        <sz val="11"/>
        <rFont val="ＭＳ Ｐゴシック"/>
        <family val="3"/>
        <charset val="128"/>
        <scheme val="major"/>
      </rPr>
      <t>竪穴区画</t>
    </r>
    <r>
      <rPr>
        <sz val="11"/>
        <rFont val="ＭＳ Ｐゴシック"/>
        <family val="3"/>
        <charset val="128"/>
        <scheme val="major"/>
      </rPr>
      <t xml:space="preserve">
H14/5/31　EV扉遮煙性能の見直し</t>
    </r>
    <phoneticPr fontId="3"/>
  </si>
  <si>
    <r>
      <rPr>
        <b/>
        <sz val="11"/>
        <rFont val="ＭＳ Ｐゴシック"/>
        <family val="3"/>
        <charset val="128"/>
        <scheme val="major"/>
      </rPr>
      <t>随閉・常閉防火設備等の両方が対象</t>
    </r>
    <r>
      <rPr>
        <sz val="11"/>
        <rFont val="ＭＳ Ｐゴシック"/>
        <family val="3"/>
        <charset val="128"/>
        <scheme val="major"/>
      </rPr>
      <t xml:space="preserve">
S49/1/1　竪穴区画の防火設備には温度ヒューズ使用不可</t>
    </r>
    <phoneticPr fontId="3"/>
  </si>
  <si>
    <r>
      <rPr>
        <b/>
        <sz val="11"/>
        <rFont val="ＭＳ Ｐゴシック"/>
        <family val="3"/>
        <charset val="128"/>
        <scheme val="major"/>
      </rPr>
      <t>常閉防火設備等のみが対象</t>
    </r>
    <r>
      <rPr>
        <sz val="11"/>
        <rFont val="ＭＳ Ｐゴシック"/>
        <family val="3"/>
        <charset val="128"/>
        <scheme val="major"/>
      </rPr>
      <t xml:space="preserve">
※随閉防火設備に係る指摘がある場合は、7(1)又は防火設備の定期検査報告で報告してください。</t>
    </r>
    <phoneticPr fontId="3"/>
  </si>
  <si>
    <r>
      <rPr>
        <b/>
        <sz val="11"/>
        <rFont val="ＭＳ Ｐゴシック"/>
        <family val="3"/>
        <charset val="128"/>
        <scheme val="major"/>
      </rPr>
      <t>常閉防火設備等のみが対象</t>
    </r>
    <r>
      <rPr>
        <sz val="11"/>
        <rFont val="ＭＳ Ｐゴシック"/>
        <family val="3"/>
        <charset val="128"/>
        <scheme val="major"/>
      </rPr>
      <t xml:space="preserve">
※随閉防火設備に係る指摘がある場合は、7(1)又は防火設備の定期検査報告で報告してください。</t>
    </r>
    <rPh sb="21" eb="22">
      <t>カカワ</t>
    </rPh>
    <rPh sb="43" eb="45">
      <t>テイキ</t>
    </rPh>
    <phoneticPr fontId="3"/>
  </si>
  <si>
    <t>上記１から７で表現できない項目</t>
    <phoneticPr fontId="3"/>
  </si>
  <si>
    <t>488番地、押小路通河原町西入榎木町450の2</t>
    <rPh sb="3" eb="5">
      <t>バンチ</t>
    </rPh>
    <phoneticPr fontId="3"/>
  </si>
  <si>
    <t>区・町をまたぐ場合は、主要な番地について記入のうえ、「番地など」欄の末尾に、その他について追記してください。</t>
    <phoneticPr fontId="3"/>
  </si>
  <si>
    <t>※</t>
  </si>
  <si>
    <t>↓　1つの項目番号に「要是正」や「既存不適格」の指摘内容が複数ある場合、「要是正」について1つ記入し、</t>
    <phoneticPr fontId="3"/>
  </si>
  <si>
    <t>上記１から７で表現できない項目</t>
    <phoneticPr fontId="3"/>
  </si>
  <si>
    <t>国土交通大臣</t>
    <rPh sb="0" eb="2">
      <t>コクド</t>
    </rPh>
    <rPh sb="2" eb="4">
      <t>コウツウ</t>
    </rPh>
    <rPh sb="4" eb="6">
      <t>ダイジン</t>
    </rPh>
    <phoneticPr fontId="1"/>
  </si>
  <si>
    <t>京都府　知事</t>
  </si>
  <si>
    <t>滋賀県　知事</t>
  </si>
  <si>
    <t>大阪府　知事</t>
  </si>
  <si>
    <t>兵庫県　知事</t>
  </si>
  <si>
    <t>奈良県　知事</t>
  </si>
  <si>
    <t>和歌山県知事</t>
  </si>
  <si>
    <t>北海道　知事</t>
  </si>
  <si>
    <t>青森県　知事</t>
  </si>
  <si>
    <t>岩手県　知事</t>
  </si>
  <si>
    <t>宮城県　知事</t>
  </si>
  <si>
    <t>秋田県　知事</t>
  </si>
  <si>
    <t>山形県　知事</t>
  </si>
  <si>
    <t>福島県　知事</t>
  </si>
  <si>
    <t>茨城県　知事</t>
  </si>
  <si>
    <t>栃木県　知事</t>
  </si>
  <si>
    <t>群馬県　知事</t>
  </si>
  <si>
    <t>埼玉県　知事</t>
  </si>
  <si>
    <t>千葉県　知事</t>
  </si>
  <si>
    <t>東京都　知事</t>
  </si>
  <si>
    <t>神奈川県知事</t>
  </si>
  <si>
    <t>新潟県　知事</t>
  </si>
  <si>
    <t>富山県　知事</t>
  </si>
  <si>
    <t>石川県　知事</t>
  </si>
  <si>
    <t>福井県　知事</t>
  </si>
  <si>
    <t>山梨県　知事</t>
  </si>
  <si>
    <t>長野県　知事</t>
  </si>
  <si>
    <t>岐阜県　知事</t>
  </si>
  <si>
    <t>静岡県　知事</t>
  </si>
  <si>
    <t>愛知県　知事</t>
  </si>
  <si>
    <t>三重県　知事</t>
  </si>
  <si>
    <t>鳥取県　知事</t>
  </si>
  <si>
    <t>島根県　知事</t>
  </si>
  <si>
    <t>岡山県　知事</t>
  </si>
  <si>
    <t>広島県　知事</t>
  </si>
  <si>
    <t>山口県　知事</t>
  </si>
  <si>
    <t>徳島県　知事</t>
  </si>
  <si>
    <t>香川県　知事</t>
  </si>
  <si>
    <t>愛媛県　知事</t>
  </si>
  <si>
    <t>高知県　知事</t>
  </si>
  <si>
    <t>福岡県　知事</t>
  </si>
  <si>
    <t>佐賀県　知事</t>
  </si>
  <si>
    <t>長崎県　知事</t>
  </si>
  <si>
    <t>熊本県　知事</t>
  </si>
  <si>
    <t>大分県　知事</t>
  </si>
  <si>
    <t>宮崎県　知事</t>
  </si>
  <si>
    <t>鹿児島県知事</t>
  </si>
  <si>
    <t>沖縄県　知事</t>
  </si>
  <si>
    <t>建築士登録</t>
    <rPh sb="0" eb="3">
      <t>ケンチクシ</t>
    </rPh>
    <rPh sb="3" eb="5">
      <t>トウロク</t>
    </rPh>
    <phoneticPr fontId="3"/>
  </si>
  <si>
    <t>事務所登録</t>
    <rPh sb="0" eb="2">
      <t>ジム</t>
    </rPh>
    <rPh sb="2" eb="3">
      <t>ショ</t>
    </rPh>
    <rPh sb="3" eb="5">
      <t>トウロク</t>
    </rPh>
    <phoneticPr fontId="3"/>
  </si>
  <si>
    <t>京都府</t>
  </si>
  <si>
    <t>滋賀県</t>
  </si>
  <si>
    <t>大阪府</t>
  </si>
  <si>
    <t>兵庫県</t>
  </si>
  <si>
    <t>奈良県</t>
  </si>
  <si>
    <t>和歌山県</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</si>
  <si>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</si>
  <si>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</si>
  <si>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</si>
  <si>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</si>
  <si>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</si>
  <si>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</si>
  <si>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</si>
  <si>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</si>
  <si>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</si>
  <si>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</si>
  <si>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</si>
  <si>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</si>
  <si>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</si>
  <si>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</si>
  <si>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</si>
  <si>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</si>
  <si>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</si>
  <si>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</si>
  <si>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</si>
  <si>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</si>
  <si>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</si>
  <si>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</si>
  <si>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</si>
  <si>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</si>
  <si>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</si>
  <si>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</si>
  <si>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</si>
  <si>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</si>
  <si>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</si>
  <si>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</si>
  <si>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</si>
  <si>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</si>
  <si>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</si>
  <si>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</si>
  <si>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</si>
  <si>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</si>
  <si>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</si>
  <si>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</si>
  <si>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</si>
  <si>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</si>
  <si>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</si>
  <si>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敷地及び地盤
　</t>
    <rPh sb="0" eb="2">
      <t>シキチ</t>
    </rPh>
    <rPh sb="2" eb="3">
      <t>オヨ</t>
    </rPh>
    <rPh sb="4" eb="6">
      <t>ジバン</t>
    </rPh>
    <phoneticPr fontId="3"/>
  </si>
  <si>
    <t xml:space="preserve">↓プルダウン選択
</t>
    <rPh sb="6" eb="8">
      <t>センタク</t>
    </rPh>
    <phoneticPr fontId="3"/>
  </si>
  <si>
    <t>↓プルダウン選択
　　　（直接入力も可能）</t>
    <rPh sb="6" eb="8">
      <t>センタク</t>
    </rPh>
    <rPh sb="13" eb="15">
      <t>チョクセツ</t>
    </rPh>
    <rPh sb="15" eb="17">
      <t>ニュウリョク</t>
    </rPh>
    <rPh sb="18" eb="20">
      <t>カノウ</t>
    </rPh>
    <phoneticPr fontId="3"/>
  </si>
  <si>
    <t xml:space="preserve">※
</t>
    <phoneticPr fontId="3"/>
  </si>
  <si>
    <t xml:space="preserve">項目間で入力内容のコピー＆ペーストをする場合、
貼り付けの方法によっては、セルの結合が解除されてしまうことがあります。
不具合の原因となりますので、「元に戻す」で貼り付けを一旦キャンセルしていただき、
「値の貼り付け」により貼り付けてください。
</t>
    <rPh sb="0" eb="2">
      <t>コウモク</t>
    </rPh>
    <rPh sb="2" eb="3">
      <t>カン</t>
    </rPh>
    <phoneticPr fontId="3"/>
  </si>
  <si>
    <t>↑「0」「1」「その他」で条件付き書式設定</t>
    <phoneticPr fontId="3"/>
  </si>
  <si>
    <t>定期報告提出チェックシート</t>
    <rPh sb="0" eb="2">
      <t>テイキ</t>
    </rPh>
    <rPh sb="2" eb="4">
      <t>ホウコク</t>
    </rPh>
    <rPh sb="4" eb="6">
      <t>テイシュツ</t>
    </rPh>
    <phoneticPr fontId="3"/>
  </si>
  <si>
    <t>建築物</t>
    <rPh sb="0" eb="3">
      <t>ケンチクブツ</t>
    </rPh>
    <phoneticPr fontId="3"/>
  </si>
  <si>
    <t>　報告に当たり、以下について確認し、チェックを入れたうえで報告書を提出してください。</t>
    <rPh sb="27" eb="30">
      <t>ホウコクショ</t>
    </rPh>
    <rPh sb="31" eb="32">
      <t>ゴ</t>
    </rPh>
    <phoneticPr fontId="78"/>
  </si>
  <si>
    <t>■チェック項目■</t>
    <rPh sb="5" eb="7">
      <t>コウモク</t>
    </rPh>
    <phoneticPr fontId="3"/>
  </si>
  <si>
    <t>入力必要</t>
    <rPh sb="0" eb="2">
      <t>ニュウリョク</t>
    </rPh>
    <rPh sb="2" eb="4">
      <t>ヒツヨウ</t>
    </rPh>
    <phoneticPr fontId="78"/>
  </si>
  <si>
    <t>入力あり</t>
    <rPh sb="0" eb="2">
      <t>ニュウリョク</t>
    </rPh>
    <phoneticPr fontId="78"/>
  </si>
  <si>
    <t>受付チェック用</t>
    <rPh sb="0" eb="2">
      <t>ウケツケ</t>
    </rPh>
    <rPh sb="6" eb="7">
      <t>ヨウ</t>
    </rPh>
    <phoneticPr fontId="78"/>
  </si>
  <si>
    <t>【提出書類の確認】</t>
    <phoneticPr fontId="3"/>
  </si>
  <si>
    <t>　　報告書の正確性の担保、データの処理のため、必ず確認してください。</t>
    <phoneticPr fontId="78"/>
  </si>
  <si>
    <t>　　（入力支援ファイル）</t>
    <rPh sb="3" eb="7">
      <t>ニュウリョクシエン</t>
    </rPh>
    <phoneticPr fontId="3"/>
  </si>
  <si>
    <r>
      <t>① 京都市が公開している</t>
    </r>
    <r>
      <rPr>
        <b/>
        <u/>
        <sz val="12"/>
        <color theme="1"/>
        <rFont val="メイリオ"/>
        <family val="3"/>
        <charset val="128"/>
      </rPr>
      <t>最新の入力支援ファイル</t>
    </r>
    <r>
      <rPr>
        <b/>
        <sz val="12"/>
        <color theme="1"/>
        <rFont val="メイリオ"/>
        <family val="3"/>
        <charset val="128"/>
      </rPr>
      <t>を使用していますか。</t>
    </r>
    <phoneticPr fontId="78"/>
  </si>
  <si>
    <t>② 入力支援ファイルの「入力シート」に、必要事項を全て記入していますか。</t>
    <phoneticPr fontId="78"/>
  </si>
  <si>
    <t>入力不備</t>
    <rPh sb="0" eb="2">
      <t>ニュウリョク</t>
    </rPh>
    <rPh sb="2" eb="4">
      <t>フビ</t>
    </rPh>
    <phoneticPr fontId="78"/>
  </si>
  <si>
    <t>　　　【主な注意点】（記入がないと、報告書の正確性のほか、データの処理にも支障のある項目）</t>
    <rPh sb="4" eb="5">
      <t>オモ</t>
    </rPh>
    <rPh sb="6" eb="9">
      <t>チュウイテン</t>
    </rPh>
    <rPh sb="11" eb="13">
      <t>キニュウ</t>
    </rPh>
    <rPh sb="18" eb="21">
      <t>ホウコクショ</t>
    </rPh>
    <rPh sb="22" eb="25">
      <t>セイカクセイ</t>
    </rPh>
    <rPh sb="37" eb="39">
      <t>シショウ</t>
    </rPh>
    <rPh sb="42" eb="44">
      <t>コウモク</t>
    </rPh>
    <phoneticPr fontId="78"/>
  </si>
  <si>
    <r>
      <t>　　　　</t>
    </r>
    <r>
      <rPr>
        <u/>
        <sz val="12"/>
        <color theme="1"/>
        <rFont val="メイリオ"/>
        <family val="3"/>
        <charset val="128"/>
      </rPr>
      <t>（1_入力シート【基本情報】）</t>
    </r>
    <phoneticPr fontId="78"/>
  </si>
  <si>
    <r>
      <t>　　　　　　②－１　</t>
    </r>
    <r>
      <rPr>
        <b/>
        <u/>
        <sz val="12"/>
        <color theme="1"/>
        <rFont val="メイリオ"/>
        <family val="3"/>
        <charset val="128"/>
      </rPr>
      <t>報告対象となる年</t>
    </r>
    <r>
      <rPr>
        <b/>
        <sz val="12"/>
        <color theme="1"/>
        <rFont val="メイリオ"/>
        <family val="3"/>
        <charset val="128"/>
      </rPr>
      <t>を記入していますか。</t>
    </r>
    <rPh sb="10" eb="12">
      <t>ホウコク</t>
    </rPh>
    <rPh sb="12" eb="14">
      <t>タイショウ</t>
    </rPh>
    <rPh sb="17" eb="18">
      <t>トシ</t>
    </rPh>
    <rPh sb="19" eb="21">
      <t>キニュウ</t>
    </rPh>
    <phoneticPr fontId="78"/>
  </si>
  <si>
    <r>
      <t>　　　　　　②－２　建築物の</t>
    </r>
    <r>
      <rPr>
        <b/>
        <u/>
        <sz val="12"/>
        <color theme="1"/>
        <rFont val="メイリオ"/>
        <family val="3"/>
        <charset val="128"/>
      </rPr>
      <t>ID、名称、所在地</t>
    </r>
    <r>
      <rPr>
        <b/>
        <sz val="12"/>
        <color theme="1"/>
        <rFont val="メイリオ"/>
        <family val="3"/>
        <charset val="128"/>
      </rPr>
      <t>を記入していますか。</t>
    </r>
    <rPh sb="24" eb="26">
      <t>キニュウ</t>
    </rPh>
    <phoneticPr fontId="78"/>
  </si>
  <si>
    <r>
      <t>　　　　　　②－３　</t>
    </r>
    <r>
      <rPr>
        <b/>
        <u/>
        <sz val="12"/>
        <color theme="1"/>
        <rFont val="メイリオ"/>
        <family val="3"/>
        <charset val="128"/>
      </rPr>
      <t>所有者、管理者、調査者</t>
    </r>
    <r>
      <rPr>
        <b/>
        <sz val="12"/>
        <color theme="1"/>
        <rFont val="メイリオ"/>
        <family val="3"/>
        <charset val="128"/>
      </rPr>
      <t>の情報を記入していますか。</t>
    </r>
    <rPh sb="10" eb="13">
      <t>ショユウシャ</t>
    </rPh>
    <rPh sb="14" eb="17">
      <t>カンリシャ</t>
    </rPh>
    <rPh sb="18" eb="21">
      <t>チョウサシャ</t>
    </rPh>
    <rPh sb="22" eb="24">
      <t>ジョウホウ</t>
    </rPh>
    <phoneticPr fontId="78"/>
  </si>
  <si>
    <r>
      <t>　　　　　　②－４　</t>
    </r>
    <r>
      <rPr>
        <b/>
        <u/>
        <sz val="12"/>
        <color theme="1"/>
        <rFont val="メイリオ"/>
        <family val="3"/>
        <charset val="128"/>
      </rPr>
      <t>確認済証、検査済証</t>
    </r>
    <r>
      <rPr>
        <b/>
        <sz val="12"/>
        <color theme="1"/>
        <rFont val="メイリオ"/>
        <family val="3"/>
        <charset val="128"/>
      </rPr>
      <t>の交付年月日等を記入していますか。</t>
    </r>
    <rPh sb="10" eb="12">
      <t>カクニン</t>
    </rPh>
    <rPh sb="12" eb="13">
      <t>スミ</t>
    </rPh>
    <rPh sb="13" eb="14">
      <t>ショウ</t>
    </rPh>
    <rPh sb="15" eb="19">
      <t>ケンズミ</t>
    </rPh>
    <rPh sb="20" eb="22">
      <t>コウフ</t>
    </rPh>
    <rPh sb="22" eb="25">
      <t>ネンガッピ</t>
    </rPh>
    <rPh sb="25" eb="26">
      <t>トウ</t>
    </rPh>
    <rPh sb="27" eb="29">
      <t>キニュウ</t>
    </rPh>
    <phoneticPr fontId="78"/>
  </si>
  <si>
    <r>
      <t>　　　　　　②－５　</t>
    </r>
    <r>
      <rPr>
        <b/>
        <u/>
        <sz val="12"/>
        <color theme="1"/>
        <rFont val="メイリオ"/>
        <family val="3"/>
        <charset val="128"/>
      </rPr>
      <t>調査結果</t>
    </r>
    <r>
      <rPr>
        <b/>
        <sz val="12"/>
        <color theme="1"/>
        <rFont val="メイリオ"/>
        <family val="3"/>
        <charset val="128"/>
      </rPr>
      <t>を記入していますか。</t>
    </r>
    <rPh sb="10" eb="14">
      <t>チョウサケッカ</t>
    </rPh>
    <phoneticPr fontId="78"/>
  </si>
  <si>
    <r>
      <t>　　　　</t>
    </r>
    <r>
      <rPr>
        <u/>
        <sz val="12"/>
        <color theme="1"/>
        <rFont val="メイリオ"/>
        <family val="3"/>
        <charset val="128"/>
      </rPr>
      <t>（2_入力シート【用途面積】）</t>
    </r>
    <phoneticPr fontId="78"/>
  </si>
  <si>
    <r>
      <t>　　　　　　②－６　</t>
    </r>
    <r>
      <rPr>
        <b/>
        <u/>
        <sz val="12"/>
        <color theme="1"/>
        <rFont val="メイリオ"/>
        <family val="3"/>
        <charset val="128"/>
      </rPr>
      <t>各用途</t>
    </r>
    <r>
      <rPr>
        <b/>
        <sz val="12"/>
        <color theme="1"/>
        <rFont val="メイリオ"/>
        <family val="3"/>
        <charset val="128"/>
      </rPr>
      <t>について、</t>
    </r>
    <r>
      <rPr>
        <b/>
        <u/>
        <sz val="12"/>
        <color theme="1"/>
        <rFont val="メイリオ"/>
        <family val="3"/>
        <charset val="128"/>
      </rPr>
      <t>各階</t>
    </r>
    <r>
      <rPr>
        <b/>
        <sz val="12"/>
        <color theme="1"/>
        <rFont val="メイリオ"/>
        <family val="3"/>
        <charset val="128"/>
      </rPr>
      <t>の</t>
    </r>
    <r>
      <rPr>
        <b/>
        <u/>
        <sz val="12"/>
        <color theme="1"/>
        <rFont val="メイリオ"/>
        <family val="3"/>
        <charset val="128"/>
      </rPr>
      <t>床面積</t>
    </r>
    <r>
      <rPr>
        <b/>
        <sz val="12"/>
        <color theme="1"/>
        <rFont val="メイリオ"/>
        <family val="3"/>
        <charset val="128"/>
      </rPr>
      <t>を記入していますか。</t>
    </r>
    <rPh sb="10" eb="13">
      <t>カクヨウト</t>
    </rPh>
    <rPh sb="18" eb="20">
      <t>カクカイ</t>
    </rPh>
    <rPh sb="21" eb="24">
      <t>ユカメンセキ</t>
    </rPh>
    <rPh sb="25" eb="27">
      <t>キニュウ</t>
    </rPh>
    <phoneticPr fontId="78"/>
  </si>
  <si>
    <t>　　（図面）</t>
    <phoneticPr fontId="3"/>
  </si>
  <si>
    <r>
      <t>③ 必要な図面を全て添付していますか（付近見取図、配置図、</t>
    </r>
    <r>
      <rPr>
        <b/>
        <u/>
        <sz val="12"/>
        <color theme="1"/>
        <rFont val="メイリオ"/>
        <family val="3"/>
        <charset val="128"/>
      </rPr>
      <t>各階</t>
    </r>
    <r>
      <rPr>
        <b/>
        <sz val="12"/>
        <color theme="1"/>
        <rFont val="メイリオ"/>
        <family val="3"/>
        <charset val="128"/>
      </rPr>
      <t>平面図）。</t>
    </r>
    <rPh sb="2" eb="4">
      <t>ヒツヨウ</t>
    </rPh>
    <rPh sb="5" eb="7">
      <t>ズメン</t>
    </rPh>
    <rPh sb="8" eb="9">
      <t>スベ</t>
    </rPh>
    <rPh sb="10" eb="12">
      <t>テンプ</t>
    </rPh>
    <rPh sb="19" eb="21">
      <t>フキン</t>
    </rPh>
    <rPh sb="21" eb="24">
      <t>ミトリズ</t>
    </rPh>
    <rPh sb="25" eb="27">
      <t>ハイチ</t>
    </rPh>
    <rPh sb="27" eb="28">
      <t>ズ</t>
    </rPh>
    <rPh sb="29" eb="31">
      <t>カクカイ</t>
    </rPh>
    <rPh sb="31" eb="34">
      <t>ヘイメンズ</t>
    </rPh>
    <phoneticPr fontId="78"/>
  </si>
  <si>
    <t>④ 必要な事項を明瞭に図示していますか
　 （防火区画、防火設備、延焼のおそれのある部分、非常用進入口等。
　　 京都市建築基準法施行細則第２８条別表第６の右欄「明示すべき事項」参照）。</t>
    <rPh sb="2" eb="4">
      <t>ズシ</t>
    </rPh>
    <rPh sb="11" eb="13">
      <t>ボウカ</t>
    </rPh>
    <rPh sb="19" eb="21">
      <t>クカク</t>
    </rPh>
    <rPh sb="22" eb="24">
      <t>セツビ</t>
    </rPh>
    <rPh sb="25" eb="27">
      <t>エンショウ</t>
    </rPh>
    <rPh sb="34" eb="36">
      <t>ブブン</t>
    </rPh>
    <rPh sb="37" eb="40">
      <t>ヒジョウヨウ</t>
    </rPh>
    <rPh sb="40" eb="42">
      <t>シンニュウ</t>
    </rPh>
    <rPh sb="42" eb="44">
      <t>グチナド</t>
    </rPh>
    <rPh sb="51" eb="54">
      <t>キョウトシケンチク</t>
    </rPh>
    <rPh sb="57" eb="59">
      <t>シコウ</t>
    </rPh>
    <rPh sb="59" eb="61">
      <t>サイソク</t>
    </rPh>
    <rPh sb="61" eb="62">
      <t>ダイ</t>
    </rPh>
    <rPh sb="64" eb="65">
      <t>ジョウ</t>
    </rPh>
    <rPh sb="65" eb="67">
      <t>ベッピョウ</t>
    </rPh>
    <rPh sb="67" eb="68">
      <t>ダイ</t>
    </rPh>
    <rPh sb="70" eb="72">
      <t>ウラン</t>
    </rPh>
    <rPh sb="73" eb="75">
      <t>メイジ</t>
    </rPh>
    <rPh sb="78" eb="80">
      <t>ジコウ</t>
    </rPh>
    <rPh sb="81" eb="83">
      <t>サンショウ</t>
    </rPh>
    <phoneticPr fontId="78"/>
  </si>
  <si>
    <t>【調査結果等に関する説明等】</t>
    <rPh sb="1" eb="3">
      <t>チョウサ</t>
    </rPh>
    <rPh sb="3" eb="5">
      <t>ケッカ</t>
    </rPh>
    <rPh sb="5" eb="6">
      <t>トウ</t>
    </rPh>
    <rPh sb="7" eb="8">
      <t>カン</t>
    </rPh>
    <rPh sb="10" eb="12">
      <t>セツメイ</t>
    </rPh>
    <rPh sb="12" eb="13">
      <t>トウ</t>
    </rPh>
    <phoneticPr fontId="3"/>
  </si>
  <si>
    <t>　　調査の結果について、調査者等から所有者又は管理者への説明を実施してください。
　　　※「要是正」「既存不適格」等の指摘事項がある場合、建築物の利用者等に危険が及ぶ可能性もあります。
　　　　　所有者又は管理者は、今後の対応について、十分に検討してください。</t>
    <phoneticPr fontId="78"/>
  </si>
  <si>
    <t>　　（全般）</t>
    <rPh sb="3" eb="5">
      <t>ゼンパン</t>
    </rPh>
    <phoneticPr fontId="3"/>
  </si>
  <si>
    <t>⑤ 所有者又は管理者は、調査者等から説明を受け、調査結果等の報告書の内容について、十分理解していますか。</t>
    <rPh sb="41" eb="43">
      <t>ジュウブン</t>
    </rPh>
    <rPh sb="43" eb="45">
      <t>リカイ</t>
    </rPh>
    <phoneticPr fontId="78"/>
  </si>
  <si>
    <t>　　（「要是正」「既存不適格」に該当する項目について）</t>
    <phoneticPr fontId="78"/>
  </si>
  <si>
    <t>⑥ 「要是正」「既存不適格」に該当する項目がありますか。</t>
    <rPh sb="3" eb="4">
      <t>ヨウ</t>
    </rPh>
    <rPh sb="4" eb="6">
      <t>ゼセイ</t>
    </rPh>
    <rPh sb="8" eb="10">
      <t>キソン</t>
    </rPh>
    <rPh sb="10" eb="13">
      <t>フテキカク</t>
    </rPh>
    <rPh sb="15" eb="17">
      <t>ガイトウ</t>
    </rPh>
    <rPh sb="19" eb="21">
      <t>コウモク</t>
    </rPh>
    <phoneticPr fontId="78"/>
  </si>
  <si>
    <t>　　⑥－１ 所有者又は管理者は、調査者等から説明を受け、報告書記載の「要是正」「既存不適格」に対する改善策
　　　　　　その他の今後必要となる対応等（※）について、十分理解していますか。</t>
    <rPh sb="16" eb="19">
      <t>チョウサシャ</t>
    </rPh>
    <rPh sb="19" eb="20">
      <t>トウ</t>
    </rPh>
    <rPh sb="22" eb="24">
      <t>セツメイ</t>
    </rPh>
    <rPh sb="25" eb="26">
      <t>ウ</t>
    </rPh>
    <rPh sb="28" eb="31">
      <t>ホウコクショ</t>
    </rPh>
    <rPh sb="31" eb="33">
      <t>キサイ</t>
    </rPh>
    <rPh sb="35" eb="36">
      <t>ヨウ</t>
    </rPh>
    <rPh sb="36" eb="38">
      <t>ゼセイ</t>
    </rPh>
    <rPh sb="40" eb="42">
      <t>キソン</t>
    </rPh>
    <rPh sb="42" eb="45">
      <t>フテキカク</t>
    </rPh>
    <rPh sb="47" eb="48">
      <t>タイ</t>
    </rPh>
    <rPh sb="52" eb="53">
      <t>サク</t>
    </rPh>
    <rPh sb="62" eb="63">
      <t>タ</t>
    </rPh>
    <phoneticPr fontId="78"/>
  </si>
  <si>
    <t>　　　※「既存不適格」以外の「要是正」については、改善計画／完了報告書の提出を含みます。</t>
    <rPh sb="11" eb="13">
      <t>イガイ</t>
    </rPh>
    <rPh sb="25" eb="27">
      <t>カイゼン</t>
    </rPh>
    <rPh sb="27" eb="29">
      <t>ケイカク</t>
    </rPh>
    <rPh sb="30" eb="32">
      <t>カンリョウ</t>
    </rPh>
    <rPh sb="32" eb="35">
      <t>ホウコクショ</t>
    </rPh>
    <rPh sb="36" eb="38">
      <t>テイシュツ</t>
    </rPh>
    <rPh sb="39" eb="40">
      <t>フク</t>
    </rPh>
    <phoneticPr fontId="78"/>
  </si>
  <si>
    <t>　（石綿について）</t>
    <rPh sb="2" eb="4">
      <t>セキメン</t>
    </rPh>
    <phoneticPr fontId="3"/>
  </si>
  <si>
    <t>⑦ 石綿を添加した建築材料が使用されていますか。</t>
    <rPh sb="14" eb="16">
      <t>シヨウ</t>
    </rPh>
    <phoneticPr fontId="78"/>
  </si>
  <si>
    <t>　　⑦－１ 所有者又は管理者は、調査者等から説明を受け、
　　　　　　石綿の使用状況、危険性、対応の必要性について、十分理解していますか。</t>
    <phoneticPr fontId="78"/>
  </si>
  <si>
    <t>　（耐震性能について）</t>
    <rPh sb="2" eb="4">
      <t>タイシン</t>
    </rPh>
    <rPh sb="4" eb="6">
      <t>セイノウ</t>
    </rPh>
    <phoneticPr fontId="3"/>
  </si>
  <si>
    <t>⑧ 現行の耐震関係規定に適合していますか（適 又は 否（既存不適格））。</t>
    <rPh sb="2" eb="4">
      <t>ゲンコウ</t>
    </rPh>
    <rPh sb="5" eb="7">
      <t>タイシン</t>
    </rPh>
    <rPh sb="7" eb="9">
      <t>カンケイ</t>
    </rPh>
    <rPh sb="9" eb="11">
      <t>キテイ</t>
    </rPh>
    <rPh sb="12" eb="14">
      <t>テキゴウ</t>
    </rPh>
    <rPh sb="21" eb="22">
      <t>テキ</t>
    </rPh>
    <rPh sb="23" eb="24">
      <t>マタ</t>
    </rPh>
    <rPh sb="26" eb="27">
      <t>イナ</t>
    </rPh>
    <rPh sb="28" eb="33">
      <t>キゾンフテキカク</t>
    </rPh>
    <phoneticPr fontId="78"/>
  </si>
  <si>
    <t>まとめ</t>
    <phoneticPr fontId="78"/>
  </si>
  <si>
    <t>【チェックシート】</t>
    <phoneticPr fontId="3"/>
  </si>
  <si>
    <t>【受付管理票】</t>
    <rPh sb="1" eb="6">
      <t>ウケツケカンリヒョウ</t>
    </rPh>
    <phoneticPr fontId="3"/>
  </si>
  <si>
    <t>　なお、報告書の内容について確認を要する場合、京都市から所有者・管理者の方に直接、連絡する場合があります。</t>
    <rPh sb="28" eb="31">
      <t>ショユウシャ</t>
    </rPh>
    <rPh sb="32" eb="35">
      <t>カンリシャ</t>
    </rPh>
    <rPh sb="36" eb="37">
      <t>カタ</t>
    </rPh>
    <phoneticPr fontId="78"/>
  </si>
  <si>
    <t>チェックシート</t>
  </si>
  <si>
    <t>参照先シート</t>
    <rPh sb="0" eb="2">
      <t>サンショウ</t>
    </rPh>
    <rPh sb="2" eb="3">
      <t>サキ</t>
    </rPh>
    <phoneticPr fontId="3"/>
  </si>
  <si>
    <t>参照先セル</t>
    <rPh sb="0" eb="2">
      <t>サンショウ</t>
    </rPh>
    <rPh sb="2" eb="3">
      <t>サキ</t>
    </rPh>
    <phoneticPr fontId="3"/>
  </si>
  <si>
    <t>A1</t>
    <phoneticPr fontId="3"/>
  </si>
  <si>
    <t>表示名</t>
    <rPh sb="0" eb="2">
      <t>ヒョウジ</t>
    </rPh>
    <rPh sb="2" eb="3">
      <t>メイ</t>
    </rPh>
    <phoneticPr fontId="3"/>
  </si>
  <si>
    <t>（注意事項）
・図面は、このExcelファイルとは別に、PDF形式で
　1つのファイルにまとめて添付してください。</t>
    <rPh sb="1" eb="3">
      <t>チュウイ</t>
    </rPh>
    <rPh sb="3" eb="5">
      <t>ジコウ</t>
    </rPh>
    <rPh sb="8" eb="10">
      <t>ズメン</t>
    </rPh>
    <rPh sb="25" eb="26">
      <t>ベツ</t>
    </rPh>
    <rPh sb="31" eb="33">
      <t>ケイシキ</t>
    </rPh>
    <rPh sb="48" eb="50">
      <t>テンプ</t>
    </rPh>
    <phoneticPr fontId="3"/>
  </si>
  <si>
    <t>1_入力シート【基本情報】</t>
  </si>
  <si>
    <t>2_入力シート【用途面積】</t>
  </si>
  <si>
    <t>3_入力シート【写真】</t>
  </si>
  <si>
    <t>＜別途添付要＞図面</t>
  </si>
  <si>
    <t>＜入力不要＞報告書</t>
  </si>
  <si>
    <t>＜入力不要＞概要書</t>
  </si>
  <si>
    <t>＜入力不要＞調査結果表</t>
  </si>
  <si>
    <t>注意事項</t>
  </si>
  <si>
    <t>●</t>
    <phoneticPr fontId="3"/>
  </si>
  <si>
    <t>▲</t>
  </si>
  <si>
    <t>▲</t>
    <phoneticPr fontId="3"/>
  </si>
  <si>
    <t>＜入力不要＞受付管理票</t>
    <phoneticPr fontId="3"/>
  </si>
  <si>
    <t>非表示</t>
    <rPh sb="0" eb="3">
      <t>ヒヒョウジ</t>
    </rPh>
    <phoneticPr fontId="3"/>
  </si>
  <si>
    <t>電子申請システムでの
添付方法</t>
    <rPh sb="0" eb="4">
      <t>デンシシンセイ</t>
    </rPh>
    <rPh sb="11" eb="13">
      <t>テンプ</t>
    </rPh>
    <rPh sb="13" eb="15">
      <t>ホウホウ</t>
    </rPh>
    <phoneticPr fontId="3"/>
  </si>
  <si>
    <t>・調査及び報告書の作成の前に、まず、このシートのチェック項目を確認してください。
・報告書の提出に当たり、改めて確認し、チェックを入れて提出してください。</t>
    <rPh sb="12" eb="13">
      <t>マエ</t>
    </rPh>
    <phoneticPr fontId="3"/>
  </si>
  <si>
    <t>(注意事項)
　以下の内容について、
　・調査及び報告書の作成の前に、まず、チェック項目を確認してください。
　・報告書の提出に当たり、改めて確認し、チェックを入れて提出してください。</t>
    <rPh sb="72" eb="75">
      <t>ホウコクショ</t>
    </rPh>
    <rPh sb="76" eb="78">
      <t>テイシュツ</t>
    </rPh>
    <rPh sb="79" eb="80">
      <t>ア</t>
    </rPh>
    <rPh sb="83" eb="84">
      <t>アラタ</t>
    </rPh>
    <rPh sb="86" eb="88">
      <t>カクニンイテイシュツ</t>
    </rPh>
    <phoneticPr fontId="3"/>
  </si>
  <si>
    <t>(注意事項)
・入力シートに記入した内容が転記されます。直接編集はできません。
・内容に誤りがないか確認し、提出してください。</t>
    <rPh sb="14" eb="16">
      <t>キニュウ</t>
    </rPh>
    <rPh sb="18" eb="20">
      <t>ナイヨウテイシュツ</t>
    </rPh>
    <phoneticPr fontId="3"/>
  </si>
  <si>
    <t>（凡例）</t>
    <rPh sb="1" eb="3">
      <t>ハンレイ</t>
    </rPh>
    <phoneticPr fontId="3"/>
  </si>
  <si>
    <t>入力支援ファイル（このExcelファイル）</t>
  </si>
  <si>
    <t>Excel
入力</t>
    <rPh sb="6" eb="8">
      <t>ニュウリョク</t>
    </rPh>
    <phoneticPr fontId="3"/>
  </si>
  <si>
    <t>シート名
（リンク付き）</t>
    <rPh sb="3" eb="4">
      <t>メイ</t>
    </rPh>
    <rPh sb="9" eb="10">
      <t>ツ</t>
    </rPh>
    <phoneticPr fontId="3"/>
  </si>
  <si>
    <t>別途添付</t>
    <rPh sb="0" eb="2">
      <t>ベット</t>
    </rPh>
    <rPh sb="2" eb="4">
      <t>テンプ</t>
    </rPh>
    <phoneticPr fontId="3"/>
  </si>
  <si>
    <t>【入力支援ファイル（このExcelファイル）の使用方法】</t>
    <rPh sb="23" eb="25">
      <t>シヨウ</t>
    </rPh>
    <rPh sb="25" eb="27">
      <t>ホウホウ</t>
    </rPh>
    <phoneticPr fontId="3"/>
  </si>
  <si>
    <t>・入力シートの内容が転記されます。誤りがないか確認してください。</t>
  </si>
  <si>
    <t>・要是正（既存不適格以外）の項目が、転記されます。
　状況が確認できる写真を挿入してください。また、必要に応じ特記事項欄に補記してください。
・番号、調査項目及び調査結果は、１_入力シート（基本情報）から転記されます。
・最大20項目が転記されます。20項目を超える要是正の指摘がある場合は、別途作成し、別添PDFで提出してください。
・既存不適格及び指摘なし等については転記されません。特記すべき事項があれば、必要に応じ別途作成し、別添PDFで提出してください。</t>
    <rPh sb="27" eb="29">
      <t>ジョウキョウ</t>
    </rPh>
    <rPh sb="30" eb="32">
      <t>カクニン</t>
    </rPh>
    <rPh sb="35" eb="37">
      <t>シャシン</t>
    </rPh>
    <rPh sb="38" eb="40">
      <t>ソウニュウ</t>
    </rPh>
    <rPh sb="50" eb="52">
      <t>ヒツヨウ</t>
    </rPh>
    <rPh sb="53" eb="54">
      <t>オウ</t>
    </rPh>
    <rPh sb="55" eb="57">
      <t>トッキ</t>
    </rPh>
    <rPh sb="57" eb="59">
      <t>ジコウ</t>
    </rPh>
    <rPh sb="59" eb="60">
      <t>ラン</t>
    </rPh>
    <rPh sb="61" eb="63">
      <t>ホキ</t>
    </rPh>
    <phoneticPr fontId="3"/>
  </si>
  <si>
    <t>1つ目の
ファイル
添付ボタン</t>
    <rPh sb="2" eb="3">
      <t>メ</t>
    </rPh>
    <rPh sb="10" eb="12">
      <t>テンプ</t>
    </rPh>
    <phoneticPr fontId="3"/>
  </si>
  <si>
    <t>2つ目の
ファイル
添付ボタン</t>
    <rPh sb="2" eb="3">
      <t>メ</t>
    </rPh>
    <rPh sb="10" eb="12">
      <t>テンプ</t>
    </rPh>
    <phoneticPr fontId="3"/>
  </si>
  <si>
    <t>3つ目の
ファイル
添付ボタン</t>
    <rPh sb="2" eb="3">
      <t>メ</t>
    </rPh>
    <rPh sb="10" eb="12">
      <t>テンプ</t>
    </rPh>
    <phoneticPr fontId="3"/>
  </si>
  <si>
    <t>・</t>
    <phoneticPr fontId="124"/>
  </si>
  <si>
    <t>なお、上段から順に入力することを想定し、セルの色を設定しています。</t>
    <phoneticPr fontId="124"/>
  </si>
  <si>
    <t>必須</t>
    <rPh sb="0" eb="2">
      <t>ヒッスウ</t>
    </rPh>
    <phoneticPr fontId="124"/>
  </si>
  <si>
    <t>必ず入力してください。</t>
    <rPh sb="0" eb="1">
      <t>カナラ</t>
    </rPh>
    <rPh sb="2" eb="4">
      <t>ニュウリョク</t>
    </rPh>
    <phoneticPr fontId="124"/>
  </si>
  <si>
    <t>任意</t>
    <rPh sb="0" eb="2">
      <t>ニンイ</t>
    </rPh>
    <phoneticPr fontId="124"/>
  </si>
  <si>
    <t>必要に応じて入力してください。</t>
    <rPh sb="0" eb="2">
      <t>ヒツヨウ</t>
    </rPh>
    <rPh sb="3" eb="4">
      <t>オウ</t>
    </rPh>
    <rPh sb="6" eb="8">
      <t>ニュウリョク</t>
    </rPh>
    <phoneticPr fontId="124"/>
  </si>
  <si>
    <t>入力済・入力不要</t>
    <rPh sb="0" eb="2">
      <t>ニュウリョク</t>
    </rPh>
    <rPh sb="2" eb="3">
      <t>ズ</t>
    </rPh>
    <rPh sb="4" eb="6">
      <t>ニュウリョク</t>
    </rPh>
    <rPh sb="6" eb="8">
      <t>フヨウ</t>
    </rPh>
    <phoneticPr fontId="124"/>
  </si>
  <si>
    <t>入力済又は入力不要</t>
    <rPh sb="0" eb="2">
      <t>ニュウリョク</t>
    </rPh>
    <rPh sb="2" eb="3">
      <t>ズ</t>
    </rPh>
    <rPh sb="3" eb="4">
      <t>マタ</t>
    </rPh>
    <rPh sb="5" eb="7">
      <t>ニュウリョク</t>
    </rPh>
    <rPh sb="7" eb="9">
      <t>フヨウ</t>
    </rPh>
    <phoneticPr fontId="124"/>
  </si>
  <si>
    <t>エラー</t>
    <phoneticPr fontId="124"/>
  </si>
  <si>
    <t>誤記の可能性があります。入力内容を確認してください。</t>
    <rPh sb="0" eb="2">
      <t>ゴキ</t>
    </rPh>
    <rPh sb="3" eb="6">
      <t>カノウセイ</t>
    </rPh>
    <rPh sb="12" eb="14">
      <t>ニュウリョク</t>
    </rPh>
    <rPh sb="14" eb="16">
      <t>ナイヨウ</t>
    </rPh>
    <rPh sb="17" eb="19">
      <t>カクニン</t>
    </rPh>
    <phoneticPr fontId="124"/>
  </si>
  <si>
    <t>自動で転記される箇所等、記入の必要がない箇所についてはロックがかけられています。</t>
    <rPh sb="0" eb="2">
      <t>ジドウ</t>
    </rPh>
    <rPh sb="3" eb="5">
      <t>テンキ</t>
    </rPh>
    <rPh sb="8" eb="10">
      <t>カショ</t>
    </rPh>
    <rPh sb="10" eb="11">
      <t>ナド</t>
    </rPh>
    <rPh sb="12" eb="14">
      <t>キニュウ</t>
    </rPh>
    <rPh sb="15" eb="17">
      <t>ヒツヨウ</t>
    </rPh>
    <rPh sb="20" eb="22">
      <t>カショ</t>
    </rPh>
    <phoneticPr fontId="124"/>
  </si>
  <si>
    <t>kenchiku-teiho@city.kyoto.lg.jp</t>
    <phoneticPr fontId="124"/>
  </si>
  <si>
    <t>入力済・入力不要</t>
    <rPh sb="0" eb="3">
      <t>ニュウリョクズ</t>
    </rPh>
    <rPh sb="4" eb="8">
      <t>ニュウリョクフヨウ</t>
    </rPh>
    <phoneticPr fontId="3"/>
  </si>
  <si>
    <t>報告書（階別用途別面積表）
概要書（階別用途別面積表）</t>
    <phoneticPr fontId="3"/>
  </si>
  <si>
    <t>このファイルで記載できない項目がある場合は、当該箇所について別紙を作成してください。</t>
    <rPh sb="7" eb="9">
      <t>キサイ</t>
    </rPh>
    <rPh sb="13" eb="15">
      <t>コウモク</t>
    </rPh>
    <rPh sb="18" eb="20">
      <t>バアイ</t>
    </rPh>
    <rPh sb="22" eb="24">
      <t>トウガイ</t>
    </rPh>
    <rPh sb="24" eb="26">
      <t>カショ</t>
    </rPh>
    <rPh sb="30" eb="32">
      <t>ベッシ</t>
    </rPh>
    <rPh sb="33" eb="35">
      <t>サクセイ</t>
    </rPh>
    <phoneticPr fontId="124"/>
  </si>
  <si>
    <t>入力支援ファイル
に
含まれるシート</t>
    <rPh sb="11" eb="12">
      <t>フク</t>
    </rPh>
    <phoneticPr fontId="3"/>
  </si>
  <si>
    <t>受付管理票
報告書（用途及び面積を除く）
概要書（用途及び面積を除く）
調査結果表
調査写真</t>
    <rPh sb="0" eb="5">
      <t>ウケツケカンリヒョウ</t>
    </rPh>
    <phoneticPr fontId="3"/>
  </si>
  <si>
    <t>転記先</t>
    <rPh sb="0" eb="2">
      <t>テンキ</t>
    </rPh>
    <rPh sb="2" eb="3">
      <t>サキ</t>
    </rPh>
    <phoneticPr fontId="3"/>
  </si>
  <si>
    <t>オートコンプリート機能とは、過去に入力した文字を記憶し、次に入力される内容を予想して表示する機能です。</t>
    <rPh sb="9" eb="11">
      <t>キノウ</t>
    </rPh>
    <rPh sb="14" eb="16">
      <t>カコ</t>
    </rPh>
    <rPh sb="17" eb="19">
      <t>ニュウリョク</t>
    </rPh>
    <rPh sb="21" eb="23">
      <t>モジ</t>
    </rPh>
    <rPh sb="24" eb="26">
      <t>キオク</t>
    </rPh>
    <rPh sb="28" eb="29">
      <t>ツギ</t>
    </rPh>
    <rPh sb="30" eb="32">
      <t>ニュウリョク</t>
    </rPh>
    <rPh sb="35" eb="37">
      <t>ナイヨウ</t>
    </rPh>
    <rPh sb="38" eb="40">
      <t>ヨソウ</t>
    </rPh>
    <rPh sb="42" eb="44">
      <t>ヒョウジ</t>
    </rPh>
    <rPh sb="46" eb="48">
      <t>キノウ</t>
    </rPh>
    <phoneticPr fontId="124"/>
  </si>
  <si>
    <t>オートコンプリート機能が入力の弊害になる為、無効にすることを推奨します。</t>
    <rPh sb="9" eb="11">
      <t>キノウ</t>
    </rPh>
    <rPh sb="12" eb="14">
      <t>ニュウリョク</t>
    </rPh>
    <rPh sb="15" eb="17">
      <t>ヘイガイ</t>
    </rPh>
    <rPh sb="20" eb="21">
      <t>タメ</t>
    </rPh>
    <rPh sb="22" eb="24">
      <t>ムコウ</t>
    </rPh>
    <rPh sb="30" eb="32">
      <t>スイショウ</t>
    </rPh>
    <phoneticPr fontId="124"/>
  </si>
  <si>
    <r>
      <t>Excelのオートコンプリート機能を無効にすることを推奨します。</t>
    </r>
    <r>
      <rPr>
        <b/>
        <sz val="11"/>
        <color theme="1"/>
        <rFont val="Meiryo UI"/>
        <family val="3"/>
        <charset val="128"/>
      </rPr>
      <t>III.オートコンプリート解除方法</t>
    </r>
    <r>
      <rPr>
        <sz val="11"/>
        <color theme="1"/>
        <rFont val="Meiryo UI"/>
        <family val="3"/>
        <charset val="128"/>
      </rPr>
      <t>参照</t>
    </r>
    <rPh sb="15" eb="17">
      <t>キノウ</t>
    </rPh>
    <rPh sb="18" eb="20">
      <t>ムコウ</t>
    </rPh>
    <rPh sb="26" eb="28">
      <t>スイショウ</t>
    </rPh>
    <phoneticPr fontId="124"/>
  </si>
  <si>
    <t>III. オートコンプリー解除方法</t>
    <rPh sb="13" eb="15">
      <t>カイジョ</t>
    </rPh>
    <rPh sb="15" eb="17">
      <t>ホウホウ</t>
    </rPh>
    <phoneticPr fontId="124"/>
  </si>
  <si>
    <t>切れてしまう場合は、当該箇所を別途作成し、報告書に添えて提出してください。</t>
    <rPh sb="0" eb="1">
      <t>キ</t>
    </rPh>
    <rPh sb="6" eb="8">
      <t>バアイ</t>
    </rPh>
    <rPh sb="10" eb="12">
      <t>トウガイ</t>
    </rPh>
    <rPh sb="12" eb="14">
      <t>カショ</t>
    </rPh>
    <phoneticPr fontId="124"/>
  </si>
  <si>
    <t>紙に印刷を行う場合やPDF形式に変換する場合、文字が切れて表示される場合があります。御注意ください。</t>
    <rPh sb="0" eb="1">
      <t>カミ</t>
    </rPh>
    <rPh sb="2" eb="4">
      <t>インサツ</t>
    </rPh>
    <rPh sb="5" eb="6">
      <t>オコナ</t>
    </rPh>
    <rPh sb="7" eb="9">
      <t>バアイ</t>
    </rPh>
    <rPh sb="13" eb="15">
      <t>ケイシキ</t>
    </rPh>
    <rPh sb="16" eb="18">
      <t>ヘンカン</t>
    </rPh>
    <rPh sb="20" eb="22">
      <t>バアイ</t>
    </rPh>
    <rPh sb="23" eb="25">
      <t>モジ</t>
    </rPh>
    <rPh sb="26" eb="27">
      <t>ギ</t>
    </rPh>
    <rPh sb="29" eb="31">
      <t>ヒョウジ</t>
    </rPh>
    <rPh sb="34" eb="36">
      <t>バアイ</t>
    </rPh>
    <phoneticPr fontId="124"/>
  </si>
  <si>
    <t>このファイルを使用したことにより生じるいかなる損害についても、本市は一切の責任を負いません。</t>
    <rPh sb="7" eb="9">
      <t>シヨウ</t>
    </rPh>
    <rPh sb="16" eb="17">
      <t>ショウ</t>
    </rPh>
    <rPh sb="23" eb="25">
      <t>ソンガイ</t>
    </rPh>
    <phoneticPr fontId="124"/>
  </si>
  <si>
    <t>Excel等ソフトウェアの使用方法についてのお問合せはお受けできません。</t>
    <rPh sb="5" eb="6">
      <t>ナド</t>
    </rPh>
    <rPh sb="13" eb="15">
      <t>シヨウ</t>
    </rPh>
    <rPh sb="15" eb="17">
      <t>ホウホウ</t>
    </rPh>
    <rPh sb="23" eb="25">
      <t>トイアワ</t>
    </rPh>
    <rPh sb="28" eb="29">
      <t>ウ</t>
    </rPh>
    <phoneticPr fontId="124"/>
  </si>
  <si>
    <t>Excelのオプション→詳細設定→【オートコンプリートを使用する】のチェックを外す</t>
    <rPh sb="12" eb="14">
      <t>ショウサイ</t>
    </rPh>
    <rPh sb="14" eb="16">
      <t>セッテイ</t>
    </rPh>
    <rPh sb="28" eb="30">
      <t>シヨウ</t>
    </rPh>
    <rPh sb="39" eb="40">
      <t>ハズ</t>
    </rPh>
    <phoneticPr fontId="124"/>
  </si>
  <si>
    <r>
      <t>解除方法</t>
    </r>
    <r>
      <rPr>
        <sz val="11"/>
        <rFont val="Meiryo UI"/>
        <family val="3"/>
        <charset val="128"/>
      </rPr>
      <t>（例）</t>
    </r>
    <rPh sb="5" eb="6">
      <t>レイ</t>
    </rPh>
    <phoneticPr fontId="124"/>
  </si>
  <si>
    <t>I. 入力支援ファイルの使用方法・全般注意事項</t>
    <rPh sb="12" eb="14">
      <t>シヨウ</t>
    </rPh>
    <rPh sb="14" eb="16">
      <t>ホウホウ</t>
    </rPh>
    <rPh sb="17" eb="19">
      <t>ゼンパン</t>
    </rPh>
    <rPh sb="19" eb="21">
      <t>チュウイ</t>
    </rPh>
    <rPh sb="21" eb="23">
      <t>ジコウ</t>
    </rPh>
    <phoneticPr fontId="124"/>
  </si>
  <si>
    <t>様式名</t>
    <rPh sb="0" eb="2">
      <t>ヨウシキ</t>
    </rPh>
    <rPh sb="2" eb="3">
      <t>メイ</t>
    </rPh>
    <phoneticPr fontId="3"/>
  </si>
  <si>
    <t>（チェックシート）</t>
    <phoneticPr fontId="3"/>
  </si>
  <si>
    <t>（受付管理票）</t>
    <rPh sb="1" eb="6">
      <t>ウケツケカンリヒョウ</t>
    </rPh>
    <phoneticPr fontId="20"/>
  </si>
  <si>
    <t>報告書
（第三十六号の二様式）</t>
  </si>
  <si>
    <t>概要書
（第三十六号の三様式）</t>
  </si>
  <si>
    <t>調査結果表
（告示第２８２号別記）</t>
  </si>
  <si>
    <t>入力を補助するために、記入が必要なセルに色がついています。色の意味は以下のとおりです。</t>
    <rPh sb="0" eb="2">
      <t>ニュウリョク</t>
    </rPh>
    <rPh sb="3" eb="5">
      <t>ホジョ</t>
    </rPh>
    <rPh sb="14" eb="16">
      <t>ヒツヨウ</t>
    </rPh>
    <rPh sb="34" eb="36">
      <t>イカ</t>
    </rPh>
    <phoneticPr fontId="124"/>
  </si>
  <si>
    <t>II. シート一覧・注意事項・様式名・転記先</t>
    <rPh sb="7" eb="9">
      <t>イチラン</t>
    </rPh>
    <rPh sb="10" eb="12">
      <t>チュウイ</t>
    </rPh>
    <rPh sb="12" eb="14">
      <t>ジコウ</t>
    </rPh>
    <rPh sb="15" eb="17">
      <t>ヨウシキ</t>
    </rPh>
    <rPh sb="17" eb="18">
      <t>メイ</t>
    </rPh>
    <phoneticPr fontId="124"/>
  </si>
  <si>
    <t>必須</t>
  </si>
  <si>
    <t>必要な場合</t>
  </si>
  <si>
    <t>入力不要</t>
  </si>
  <si>
    <t>入力シートに記入すると、定められた報告様式の各所に転記されるようになっています。</t>
    <rPh sb="0" eb="2">
      <t>ニュウリョク</t>
    </rPh>
    <rPh sb="6" eb="8">
      <t>キニュウ</t>
    </rPh>
    <rPh sb="12" eb="13">
      <t>サダ</t>
    </rPh>
    <rPh sb="17" eb="19">
      <t>ホウコク</t>
    </rPh>
    <rPh sb="19" eb="21">
      <t>ヨウシキ</t>
    </rPh>
    <rPh sb="22" eb="24">
      <t>カクショ</t>
    </rPh>
    <phoneticPr fontId="124"/>
  </si>
  <si>
    <t>チェックボックス生データ</t>
    <rPh sb="8" eb="9">
      <t>ナマ</t>
    </rPh>
    <phoneticPr fontId="78"/>
  </si>
  <si>
    <t>その他生データ</t>
    <rPh sb="2" eb="3">
      <t>タ</t>
    </rPh>
    <rPh sb="3" eb="4">
      <t>ナマ</t>
    </rPh>
    <phoneticPr fontId="3"/>
  </si>
  <si>
    <t>非表示</t>
    <rPh sb="0" eb="3">
      <t>ヒヒョウジ</t>
    </rPh>
    <phoneticPr fontId="3"/>
  </si>
  <si>
    <t>ロック解除</t>
    <rPh sb="3" eb="5">
      <t>カイジョ</t>
    </rPh>
    <phoneticPr fontId="3"/>
  </si>
  <si>
    <t>ロック</t>
    <phoneticPr fontId="3"/>
  </si>
  <si>
    <t>指摘の具体的内容等　要是正＋（既存不適格）</t>
  </si>
  <si>
    <t>吹付け石綿及び吹付けロックウールでその含有する石綿の重量が当該建築材料の重量の0.1パーセントを超えるもの（以下「吹付け石綿等」という。）の使用の状況</t>
  </si>
  <si>
    <t>吹付け石綿等の劣化の状況</t>
  </si>
  <si>
    <t>除去又は囲い込み若しくは封じ込めによる飛散防止措置の実施の状況</t>
  </si>
  <si>
    <t>囲い込み又は封じ込めによる飛散防止措置の劣化及び損傷の状況</t>
  </si>
  <si>
    <t>吹付け石綿等の劣化の状況</t>
    <rPh sb="0" eb="2">
      <t>フキツ</t>
    </rPh>
    <phoneticPr fontId="3"/>
  </si>
  <si>
    <t>除去又は囲い込み若しくは封じ込めによる飛散防止措置の実施の状況</t>
    <rPh sb="2" eb="4">
      <t>マ</t>
    </rPh>
    <rPh sb="8" eb="9">
      <t>モ</t>
    </rPh>
    <phoneticPr fontId="3"/>
  </si>
  <si>
    <t>囲い込み又は封じ込めによる飛散防止措置の劣化及び損傷の状況</t>
    <phoneticPr fontId="3"/>
  </si>
  <si>
    <t>4(石綿関係)</t>
    <phoneticPr fontId="3"/>
  </si>
  <si>
    <t>まとめ（改善済/一部改善済/未改善/要是正なし）</t>
  </si>
  <si>
    <t>「上記１から７で表現できない項目」記載分小計</t>
    <rPh sb="17" eb="19">
      <t>キサイ</t>
    </rPh>
    <rPh sb="19" eb="20">
      <t>ブン</t>
    </rPh>
    <rPh sb="20" eb="22">
      <t>ショウケイ</t>
    </rPh>
    <phoneticPr fontId="3"/>
  </si>
  <si>
    <t>「上記１から７」記載分転記</t>
    <rPh sb="1" eb="3">
      <t>ジョウキ</t>
    </rPh>
    <rPh sb="8" eb="10">
      <t>キサイ</t>
    </rPh>
    <rPh sb="10" eb="11">
      <t>ブン</t>
    </rPh>
    <rPh sb="11" eb="13">
      <t>テンキ</t>
    </rPh>
    <phoneticPr fontId="3"/>
  </si>
  <si>
    <t>計</t>
    <rPh sb="0" eb="1">
      <t>ケイ</t>
    </rPh>
    <phoneticPr fontId="3"/>
  </si>
  <si>
    <t>計</t>
    <phoneticPr fontId="3"/>
  </si>
  <si>
    <t>プルダウン以外許さない場合は、「その他」は単なる中間処理↓</t>
    <rPh sb="11" eb="13">
      <t>イガイ</t>
    </rPh>
    <rPh sb="13" eb="14">
      <t>ユル</t>
    </rPh>
    <rPh sb="21" eb="22">
      <t>タン</t>
    </rPh>
    <rPh sb="24" eb="28">
      <t>チュウカンショリバアイムイミ</t>
    </rPh>
    <phoneticPr fontId="3"/>
  </si>
  <si>
    <t>「上記１から７で表現できない項目」を大項目１～７に振り分け</t>
    <rPh sb="18" eb="21">
      <t>ダイコウモク</t>
    </rPh>
    <rPh sb="25" eb="26">
      <t>フ</t>
    </rPh>
    <rPh sb="27" eb="28">
      <t>ワ</t>
    </rPh>
    <phoneticPr fontId="3"/>
  </si>
  <si>
    <r>
      <t>1つの項目番号に「要是正」や「既存不適格」の指摘内容が複数ある場合、上欄に「要是正」を1つ記入し、残りの指摘内容はこちらの欄に記入してください。</t>
    </r>
    <r>
      <rPr>
        <sz val="11"/>
        <rFont val="ＭＳ Ｐゴシック"/>
        <family val="3"/>
        <charset val="128"/>
        <scheme val="major"/>
      </rPr>
      <t xml:space="preserve">
項目番号はプルダウン選択できます。</t>
    </r>
    <rPh sb="3" eb="5">
      <t>コウモク</t>
    </rPh>
    <rPh sb="24" eb="26">
      <t>ナイヨウ</t>
    </rPh>
    <rPh sb="27" eb="29">
      <t>フクスウ</t>
    </rPh>
    <rPh sb="45" eb="47">
      <t>キニュウ</t>
    </rPh>
    <phoneticPr fontId="3"/>
  </si>
  <si>
    <t>1面5、3面2への石綿既存不適格の転記対象に、「上記1から7に記載のない事項」記載分を含める</t>
    <rPh sb="1" eb="2">
      <t>メン</t>
    </rPh>
    <rPh sb="5" eb="6">
      <t>メン</t>
    </rPh>
    <rPh sb="9" eb="11">
      <t>セキメン</t>
    </rPh>
    <rPh sb="11" eb="13">
      <t>キゾン</t>
    </rPh>
    <rPh sb="13" eb="16">
      <t>フテキカク</t>
    </rPh>
    <rPh sb="17" eb="19">
      <t>テンキ</t>
    </rPh>
    <rPh sb="19" eb="21">
      <t>タイショウ</t>
    </rPh>
    <rPh sb="24" eb="26">
      <t>ジョウキ</t>
    </rPh>
    <rPh sb="31" eb="33">
      <t>キサイ</t>
    </rPh>
    <rPh sb="36" eb="38">
      <t>ジコウ</t>
    </rPh>
    <rPh sb="39" eb="41">
      <t>キサイ</t>
    </rPh>
    <rPh sb="41" eb="42">
      <t>ブン</t>
    </rPh>
    <rPh sb="43" eb="44">
      <t>フク</t>
    </rPh>
    <phoneticPr fontId="3"/>
  </si>
  <si>
    <t>3面2への指摘事項の転記対象に「７ 上記以外の調査項目」「上記1から7に記載のない事項」記載分を含める</t>
    <rPh sb="1" eb="2">
      <t>メン</t>
    </rPh>
    <rPh sb="5" eb="7">
      <t>シテキ</t>
    </rPh>
    <rPh sb="7" eb="9">
      <t>ジコウ</t>
    </rPh>
    <rPh sb="10" eb="12">
      <t>テンキ</t>
    </rPh>
    <rPh sb="12" eb="14">
      <t>タイショウ</t>
    </rPh>
    <rPh sb="18" eb="20">
      <t>ジョウキ</t>
    </rPh>
    <rPh sb="20" eb="22">
      <t>イガイ</t>
    </rPh>
    <rPh sb="23" eb="25">
      <t>チョウサ</t>
    </rPh>
    <rPh sb="25" eb="27">
      <t>コウモク</t>
    </rPh>
    <rPh sb="29" eb="31">
      <t>ジョウキ</t>
    </rPh>
    <rPh sb="36" eb="38">
      <t>キサイ</t>
    </rPh>
    <rPh sb="41" eb="43">
      <t>ジコウ</t>
    </rPh>
    <rPh sb="44" eb="46">
      <t>キサイ</t>
    </rPh>
    <rPh sb="46" eb="47">
      <t>ブン</t>
    </rPh>
    <rPh sb="48" eb="49">
      <t>フク</t>
    </rPh>
    <phoneticPr fontId="3"/>
  </si>
  <si>
    <t>4,7合算</t>
    <rPh sb="3" eb="5">
      <t>ガッサン</t>
    </rPh>
    <phoneticPr fontId="3"/>
  </si>
  <si>
    <t>1面5、3面2に指摘事項の「改善済」「一部改善済」を表示（「上記１から７で表現できない項目」記載分含む）（「７ 上記以外の調査項目」は「４　建築物の内部」に統合）</t>
    <phoneticPr fontId="3"/>
  </si>
  <si>
    <t>4,4石綿,7統合</t>
    <rPh sb="3" eb="5">
      <t>セキメン</t>
    </rPh>
    <rPh sb="7" eb="9">
      <t>トウゴウ</t>
    </rPh>
    <phoneticPr fontId="3"/>
  </si>
  <si>
    <t>結合</t>
    <phoneticPr fontId="3"/>
  </si>
  <si>
    <t>２０　直通階段の数について</t>
    <rPh sb="3" eb="5">
      <t>チョクツウ</t>
    </rPh>
    <rPh sb="5" eb="7">
      <t>カイダン</t>
    </rPh>
    <rPh sb="8" eb="9">
      <t>カズ</t>
    </rPh>
    <phoneticPr fontId="3"/>
  </si>
  <si>
    <t>20 直通階段の数</t>
    <rPh sb="3" eb="5">
      <t>チョクツウ</t>
    </rPh>
    <rPh sb="5" eb="7">
      <t>カイダン</t>
    </rPh>
    <rPh sb="8" eb="9">
      <t>カズ</t>
    </rPh>
    <phoneticPr fontId="3"/>
  </si>
  <si>
    <t>避難階以外で居室を有する階がない</t>
    <rPh sb="0" eb="2">
      <t>ヒナン</t>
    </rPh>
    <rPh sb="2" eb="3">
      <t>カイ</t>
    </rPh>
    <rPh sb="3" eb="5">
      <t>イガイ</t>
    </rPh>
    <rPh sb="6" eb="8">
      <t>キョシツ</t>
    </rPh>
    <rPh sb="9" eb="10">
      <t>ユウ</t>
    </rPh>
    <rPh sb="12" eb="13">
      <t>カイ</t>
    </rPh>
    <phoneticPr fontId="3"/>
  </si>
  <si>
    <t>直通階段の数</t>
    <rPh sb="0" eb="4">
      <t>チョクツウカイダン</t>
    </rPh>
    <rPh sb="5" eb="6">
      <t>カズ</t>
    </rPh>
    <phoneticPr fontId="3"/>
  </si>
  <si>
    <t>居室を有する階のうち、直通階段の数が最も少ない階について、記載してください。</t>
    <rPh sb="0" eb="2">
      <t>キョシツ</t>
    </rPh>
    <rPh sb="3" eb="4">
      <t>ユウ</t>
    </rPh>
    <rPh sb="6" eb="7">
      <t>カイ</t>
    </rPh>
    <rPh sb="11" eb="15">
      <t>チョクツウカイダン</t>
    </rPh>
    <rPh sb="16" eb="17">
      <t>カズ</t>
    </rPh>
    <rPh sb="18" eb="19">
      <t>モット</t>
    </rPh>
    <rPh sb="20" eb="21">
      <t>スク</t>
    </rPh>
    <rPh sb="23" eb="24">
      <t>カイ</t>
    </rPh>
    <rPh sb="29" eb="31">
      <t>キサイ</t>
    </rPh>
    <phoneticPr fontId="3"/>
  </si>
  <si>
    <t>直通階段の数</t>
    <rPh sb="0" eb="2">
      <t>チョクツウ</t>
    </rPh>
    <rPh sb="2" eb="4">
      <t>カイダン</t>
    </rPh>
    <rPh sb="5" eb="6">
      <t>カズ</t>
    </rPh>
    <phoneticPr fontId="3"/>
  </si>
  <si>
    <t>２１　設備（法第12条第三項関係など）</t>
    <rPh sb="3" eb="5">
      <t>セツビ</t>
    </rPh>
    <rPh sb="6" eb="7">
      <t>ホウ</t>
    </rPh>
    <rPh sb="7" eb="8">
      <t>ダイ</t>
    </rPh>
    <rPh sb="10" eb="11">
      <t>ジョウ</t>
    </rPh>
    <rPh sb="11" eb="12">
      <t>ダイ</t>
    </rPh>
    <rPh sb="12" eb="14">
      <t>サンコウ</t>
    </rPh>
    <rPh sb="14" eb="16">
      <t>カンケイ</t>
    </rPh>
    <phoneticPr fontId="3"/>
  </si>
  <si>
    <t>２３　調査結果</t>
    <phoneticPr fontId="3"/>
  </si>
  <si>
    <t>23-1</t>
    <phoneticPr fontId="3"/>
  </si>
  <si>
    <t>23-2</t>
    <phoneticPr fontId="3"/>
  </si>
  <si>
    <t>23-5</t>
    <phoneticPr fontId="3"/>
  </si>
  <si>
    <t>23-3</t>
    <phoneticPr fontId="3"/>
  </si>
  <si>
    <t>23-4</t>
    <phoneticPr fontId="3"/>
  </si>
  <si>
    <t>23-6</t>
    <phoneticPr fontId="3"/>
  </si>
  <si>
    <t>23-7</t>
    <phoneticPr fontId="3"/>
  </si>
  <si>
    <t>23-8</t>
    <phoneticPr fontId="3"/>
  </si>
  <si>
    <t>定期報告に関するお知らせ　その他建築物の安心安全に係る情報等をお送りすることがあります。受付管理票にのみ転記されます。</t>
    <rPh sb="0" eb="2">
      <t>テイキ</t>
    </rPh>
    <rPh sb="2" eb="4">
      <t>ホウコク</t>
    </rPh>
    <rPh sb="5" eb="6">
      <t>カン</t>
    </rPh>
    <rPh sb="9" eb="10">
      <t>シ</t>
    </rPh>
    <rPh sb="15" eb="16">
      <t>タ</t>
    </rPh>
    <rPh sb="16" eb="19">
      <t>ケンｔ</t>
    </rPh>
    <rPh sb="20" eb="22">
      <t>アンシン</t>
    </rPh>
    <rPh sb="22" eb="24">
      <t>アンゼン</t>
    </rPh>
    <rPh sb="25" eb="26">
      <t>カカ</t>
    </rPh>
    <rPh sb="27" eb="29">
      <t>ジョウホウ</t>
    </rPh>
    <rPh sb="29" eb="30">
      <t>トウ</t>
    </rPh>
    <rPh sb="44" eb="49">
      <t>ウケツケカンリヒョウ</t>
    </rPh>
    <rPh sb="52" eb="54">
      <t>テンキ</t>
    </rPh>
    <phoneticPr fontId="3"/>
  </si>
  <si>
    <t>※床面積は</t>
    <phoneticPr fontId="3"/>
  </si>
  <si>
    <r>
      <t>「2_入力シート【用途面積】」</t>
    </r>
    <r>
      <rPr>
        <b/>
        <sz val="12"/>
        <color rgb="FFFF0000"/>
        <rFont val="ＭＳ Ｐゴシック"/>
        <family val="3"/>
        <charset val="128"/>
      </rPr>
      <t>で記載</t>
    </r>
    <phoneticPr fontId="3"/>
  </si>
  <si>
    <t>実施（予定）年月</t>
    <rPh sb="0" eb="2">
      <t>ジッシ</t>
    </rPh>
    <rPh sb="3" eb="5">
      <t>ヨテイ</t>
    </rPh>
    <rPh sb="6" eb="8">
      <t>ネンゲツ</t>
    </rPh>
    <phoneticPr fontId="3"/>
  </si>
  <si>
    <t>←報告対象となる年を記入してください。</t>
    <phoneticPr fontId="3"/>
  </si>
  <si>
    <t>このファイルについて、正しく表示されないなどのエラーを発見された場合は、お手数ですが以下のメールアドレスまで御連絡ください。</t>
    <rPh sb="11" eb="12">
      <t>タダ</t>
    </rPh>
    <rPh sb="14" eb="16">
      <t>ヒョウジ</t>
    </rPh>
    <rPh sb="27" eb="29">
      <t>ハッケン</t>
    </rPh>
    <rPh sb="32" eb="34">
      <t>バアイ</t>
    </rPh>
    <rPh sb="42" eb="44">
      <t>イカ</t>
    </rPh>
    <rPh sb="54" eb="55">
      <t>ゴ</t>
    </rPh>
    <phoneticPr fontId="124"/>
  </si>
  <si>
    <t>法令改正、その他このファイルの使用環境の情報等を基に、改版を行うことがあります。</t>
    <rPh sb="0" eb="2">
      <t>ホウレイ</t>
    </rPh>
    <rPh sb="2" eb="4">
      <t>カイセイ</t>
    </rPh>
    <rPh sb="7" eb="8">
      <t>タ</t>
    </rPh>
    <rPh sb="15" eb="17">
      <t>シヨウ</t>
    </rPh>
    <rPh sb="17" eb="19">
      <t>カンキョウ</t>
    </rPh>
    <rPh sb="20" eb="22">
      <t>ジョウホウ</t>
    </rPh>
    <rPh sb="22" eb="23">
      <t>トウ</t>
    </rPh>
    <rPh sb="24" eb="25">
      <t>モト</t>
    </rPh>
    <rPh sb="27" eb="29">
      <t>カイハン</t>
    </rPh>
    <rPh sb="30" eb="31">
      <t>オコナ</t>
    </rPh>
    <phoneticPr fontId="124"/>
  </si>
  <si>
    <r>
      <t>京都市情報館の以下の</t>
    </r>
    <r>
      <rPr>
        <u/>
        <sz val="11"/>
        <color theme="1"/>
        <rFont val="Meiryo UI"/>
        <family val="3"/>
        <charset val="128"/>
      </rPr>
      <t>ダウンロードページから最新の版を入手</t>
    </r>
    <r>
      <rPr>
        <sz val="11"/>
        <color theme="1"/>
        <rFont val="Meiryo UI"/>
        <family val="3"/>
        <charset val="128"/>
      </rPr>
      <t>し、使用してください。他のファイル、改変されたファイルは、電子申請システムで受付できません。</t>
    </r>
    <rPh sb="7" eb="9">
      <t>イカ</t>
    </rPh>
    <phoneticPr fontId="3"/>
  </si>
  <si>
    <t>PDF
（図面）
添付</t>
    <phoneticPr fontId="3"/>
  </si>
  <si>
    <t>PDF
（追加）
添付</t>
    <rPh sb="5" eb="7">
      <t>ツイカ</t>
    </rPh>
    <phoneticPr fontId="3"/>
  </si>
  <si>
    <r>
      <t xml:space="preserve">・基本情報（調査結果表の内容含む）を記入してください。
</t>
    </r>
    <r>
      <rPr>
        <sz val="11"/>
        <rFont val="Meiryo UI"/>
        <family val="3"/>
        <charset val="128"/>
      </rPr>
      <t>・書ききれない項目がある場合、転記先の＜入力不要＞各様式を、PDF（追加）の別途添付により提出してください。</t>
    </r>
    <rPh sb="1" eb="3">
      <t>キホン</t>
    </rPh>
    <rPh sb="3" eb="5">
      <t>ジョウホウ</t>
    </rPh>
    <rPh sb="6" eb="11">
      <t>チョウサケッカヒョウ</t>
    </rPh>
    <rPh sb="12" eb="14">
      <t>ナイヨウ</t>
    </rPh>
    <rPh sb="14" eb="15">
      <t>フク</t>
    </rPh>
    <rPh sb="18" eb="27">
      <t>キニュウ</t>
    </rPh>
    <rPh sb="29" eb="30">
      <t>カ</t>
    </rPh>
    <rPh sb="40" eb="42">
      <t>バアイ</t>
    </rPh>
    <rPh sb="43" eb="45">
      <t>テンキ</t>
    </rPh>
    <rPh sb="45" eb="46">
      <t>サキ</t>
    </rPh>
    <rPh sb="48" eb="50">
      <t>ニュウリョク</t>
    </rPh>
    <rPh sb="50" eb="52">
      <t>フヨウ</t>
    </rPh>
    <rPh sb="53" eb="54">
      <t>カク</t>
    </rPh>
    <rPh sb="54" eb="56">
      <t>ヨウシキ</t>
    </rPh>
    <rPh sb="66" eb="68">
      <t>ベット</t>
    </rPh>
    <phoneticPr fontId="3"/>
  </si>
  <si>
    <r>
      <t xml:space="preserve">・階別、用途別床面積を記入してください。
</t>
    </r>
    <r>
      <rPr>
        <sz val="11"/>
        <rFont val="Meiryo UI"/>
        <family val="3"/>
        <charset val="128"/>
      </rPr>
      <t>・用途が8以上の場合、転記先の＜入力不要＞各様式を、PDF（追加）の別途添付により提出してください。</t>
    </r>
    <rPh sb="11" eb="13">
      <t>キニュウ</t>
    </rPh>
    <rPh sb="22" eb="24">
      <t>ヨウト</t>
    </rPh>
    <rPh sb="26" eb="28">
      <t>イジョウ</t>
    </rPh>
    <phoneticPr fontId="3"/>
  </si>
  <si>
    <r>
      <rPr>
        <b/>
        <sz val="11"/>
        <color rgb="FFFF0000"/>
        <rFont val="Meiryo UI"/>
        <family val="3"/>
        <charset val="128"/>
      </rPr>
      <t>・要是正（既存不適格以外）の指摘がある場合、</t>
    </r>
    <r>
      <rPr>
        <sz val="11"/>
        <rFont val="Meiryo UI"/>
        <family val="3"/>
        <charset val="128"/>
      </rPr>
      <t>入力シートの内容が転記されます。各欄に</t>
    </r>
    <r>
      <rPr>
        <b/>
        <sz val="11"/>
        <color rgb="FFFF0000"/>
        <rFont val="Meiryo UI"/>
        <family val="3"/>
        <charset val="128"/>
      </rPr>
      <t>写真を挿入してください。</t>
    </r>
    <r>
      <rPr>
        <sz val="11"/>
        <rFont val="Meiryo UI"/>
        <family val="3"/>
        <charset val="128"/>
      </rPr>
      <t xml:space="preserve">
・最大20項目が転記されます。20項目を超える場合、PDF（追加）の別途添付により提出してください。
・転記された指摘以外で、既存不適格等、特記すべき事項があれば、必要に応じ、PDF（追加）の別途添付により提出してください。</t>
    </r>
    <rPh sb="110" eb="112">
      <t>シテキ</t>
    </rPh>
    <rPh sb="112" eb="114">
      <t>イガイ</t>
    </rPh>
    <phoneticPr fontId="3"/>
  </si>
  <si>
    <t>・入力シートの内容が転記されます。誤りがないか確認してください。
・印刷する場合は、文字が切れて表示されていないが確認してください。
・所有者・管理者が複数である、備考欄のスペース不足、用途が8以上等、入力シートに書ききれない項目がある場合、
　当該項目については、PDF（追加）の別途添付により提出してください。</t>
    <rPh sb="101" eb="103">
      <t>ニュウリョク</t>
    </rPh>
    <rPh sb="123" eb="125">
      <t>トウガイ</t>
    </rPh>
    <rPh sb="125" eb="127">
      <t>コウモク</t>
    </rPh>
    <phoneticPr fontId="3"/>
  </si>
  <si>
    <t>メールアドレス（半角）</t>
    <phoneticPr fontId="3"/>
  </si>
  <si>
    <t xml:space="preserve"> 会社</t>
    <rPh sb="1" eb="3">
      <t>カイシャ</t>
    </rPh>
    <phoneticPr fontId="3"/>
  </si>
  <si>
    <t xml:space="preserve"> 氏名</t>
    <rPh sb="1" eb="3">
      <t>シメイ</t>
    </rPh>
    <phoneticPr fontId="3"/>
  </si>
  <si>
    <t xml:space="preserve"> 電話</t>
    <rPh sb="1" eb="3">
      <t>デンワ</t>
    </rPh>
    <phoneticPr fontId="3"/>
  </si>
  <si>
    <t xml:space="preserve"> メール</t>
    <phoneticPr fontId="3"/>
  </si>
  <si>
    <t>　外装仕上げ材等について</t>
  </si>
  <si>
    <t>　直通階段の数について</t>
    <phoneticPr fontId="3"/>
  </si>
  <si>
    <t>建築物の管理者の連絡先</t>
    <rPh sb="0" eb="3">
      <t>ケンｔ</t>
    </rPh>
    <rPh sb="4" eb="7">
      <t>カンリシャ</t>
    </rPh>
    <rPh sb="8" eb="11">
      <t>レンラクサキ</t>
    </rPh>
    <phoneticPr fontId="3"/>
  </si>
  <si>
    <t>和暦</t>
  </si>
  <si>
    <t>昭和</t>
  </si>
  <si>
    <t>平成</t>
  </si>
  <si>
    <t>令和</t>
  </si>
  <si>
    <t>※自由入力可</t>
  </si>
  <si>
    <t>直通階段の数
（居室を有する階で最少の階）</t>
    <rPh sb="16" eb="18">
      <t>サイショウ</t>
    </rPh>
    <rPh sb="19" eb="20">
      <t>カイ</t>
    </rPh>
    <phoneticPr fontId="3"/>
  </si>
  <si>
    <t>https://www.city.kyoto.lg.jp/tokei/page/0000301596.html</t>
    <phoneticPr fontId="3"/>
  </si>
  <si>
    <t>１以下</t>
    <rPh sb="0" eb="2">
      <t>イカ</t>
    </rPh>
    <phoneticPr fontId="3"/>
  </si>
  <si>
    <t>２以上</t>
    <rPh sb="1" eb="3">
      <t>イジョウ</t>
    </rPh>
    <phoneticPr fontId="3"/>
  </si>
  <si>
    <t>インターネットカフェ</t>
  </si>
  <si>
    <t>特記</t>
    <rPh sb="0" eb="2">
      <t>トッキ</t>
    </rPh>
    <phoneticPr fontId="3"/>
  </si>
  <si>
    <r>
      <t>↓↓　</t>
    </r>
    <r>
      <rPr>
        <b/>
        <u/>
        <sz val="11"/>
        <color rgb="FFFF0000"/>
        <rFont val="ＭＳ Ｐゴシック"/>
        <family val="3"/>
        <charset val="128"/>
      </rPr>
      <t>上段</t>
    </r>
    <r>
      <rPr>
        <b/>
        <sz val="11"/>
        <color rgb="FFFF0000"/>
        <rFont val="ＭＳ Ｐゴシック"/>
        <family val="3"/>
        <charset val="128"/>
      </rPr>
      <t>「大分類」→</t>
    </r>
    <r>
      <rPr>
        <b/>
        <u/>
        <sz val="11"/>
        <color rgb="FFFF0000"/>
        <rFont val="ＭＳ Ｐゴシック"/>
        <family val="3"/>
        <charset val="128"/>
      </rPr>
      <t>下段</t>
    </r>
    <r>
      <rPr>
        <b/>
        <sz val="11"/>
        <color rgb="FFFF0000"/>
        <rFont val="ＭＳ Ｐゴシック"/>
        <family val="3"/>
        <charset val="128"/>
      </rPr>
      <t>「小分類」</t>
    </r>
    <r>
      <rPr>
        <b/>
        <u/>
        <sz val="11"/>
        <color rgb="FFFF0000"/>
        <rFont val="ＭＳ Ｐゴシック"/>
        <family val="3"/>
        <charset val="128"/>
      </rPr>
      <t>の順に</t>
    </r>
    <r>
      <rPr>
        <b/>
        <sz val="11"/>
        <color rgb="FFFF0000"/>
        <rFont val="ＭＳ Ｐゴシック"/>
        <family val="3"/>
        <charset val="128"/>
      </rPr>
      <t>選択してください。　</t>
    </r>
    <r>
      <rPr>
        <sz val="11"/>
        <color rgb="FFFF0000"/>
        <rFont val="ＭＳ Ｐゴシック"/>
        <family val="3"/>
        <charset val="128"/>
      </rPr>
      <t>（「小分類」については、直接入力も可能です。）</t>
    </r>
    <r>
      <rPr>
        <b/>
        <sz val="11"/>
        <color rgb="FFFF0000"/>
        <rFont val="ＭＳ Ｐゴシック"/>
        <family val="3"/>
        <charset val="128"/>
      </rPr>
      <t>　↓↓</t>
    </r>
    <rPh sb="3" eb="5">
      <t>ジョウダン</t>
    </rPh>
    <rPh sb="6" eb="9">
      <t>ダイブンルイ</t>
    </rPh>
    <rPh sb="11" eb="13">
      <t>ゲダン</t>
    </rPh>
    <rPh sb="14" eb="17">
      <t>ショウブンルイ</t>
    </rPh>
    <rPh sb="19" eb="20">
      <t>ジュン</t>
    </rPh>
    <rPh sb="21" eb="23">
      <t>センタク</t>
    </rPh>
    <rPh sb="48" eb="50">
      <t>カノウ</t>
    </rPh>
    <phoneticPr fontId="3"/>
  </si>
  <si>
    <t>集会場等</t>
  </si>
  <si>
    <t>病院系施設</t>
  </si>
  <si>
    <t>宿泊施設</t>
  </si>
  <si>
    <t>美術館等</t>
  </si>
  <si>
    <t>スポーツ練習場等</t>
  </si>
  <si>
    <t>物販店等</t>
  </si>
  <si>
    <t>展示場等</t>
  </si>
  <si>
    <t>飲食等</t>
  </si>
  <si>
    <t>遊技場等</t>
  </si>
  <si>
    <t>自動車車庫等</t>
  </si>
  <si>
    <t>学校</t>
  </si>
  <si>
    <t>体育館（学校に付属するもの以外）</t>
  </si>
  <si>
    <t>工場</t>
  </si>
  <si>
    <t>体育館（学校に付属するもの）</t>
  </si>
  <si>
    <t>マーケット</t>
  </si>
  <si>
    <t>駅舎</t>
  </si>
  <si>
    <t>住宅</t>
  </si>
  <si>
    <t>障害者福祉サービスを行う事業所（生活介護を行う事業所）</t>
  </si>
  <si>
    <t>テレビスタジオ</t>
  </si>
  <si>
    <t>障害者福祉サービスを行う事業所（就労継続支援を行う事業所）</t>
  </si>
  <si>
    <t>学習塾</t>
  </si>
  <si>
    <t>障害者福祉サービスを行う事業所（自立訓練を行う事業所で、利用者の就寝の用に供しないもの）</t>
  </si>
  <si>
    <t>障害者福祉サービスを行う事業所（就労移行支援を行う事業所で、利用者の就寝の用に供しないもの）</t>
  </si>
  <si>
    <t>老人デイサービスセンター（宿泊サービスを提供するもの）</t>
  </si>
  <si>
    <t>障害者福祉サービスを行う事業所（自立訓練を行う事業所で、利用者の就寝の用に供するもの）</t>
  </si>
  <si>
    <t>観覧場（屋外観覧場を除く）</t>
    <rPh sb="0" eb="2">
      <t>カンラン</t>
    </rPh>
    <rPh sb="2" eb="3">
      <t>ジョウ</t>
    </rPh>
    <rPh sb="4" eb="6">
      <t>オクガイ</t>
    </rPh>
    <rPh sb="6" eb="8">
      <t>カンラン</t>
    </rPh>
    <rPh sb="8" eb="9">
      <t>ジョウ</t>
    </rPh>
    <rPh sb="10" eb="11">
      <t>ノゾ</t>
    </rPh>
    <phoneticPr fontId="132"/>
  </si>
  <si>
    <t>病院</t>
    <rPh sb="0" eb="2">
      <t>ビョウイン</t>
    </rPh>
    <phoneticPr fontId="132"/>
  </si>
  <si>
    <t>ホテル</t>
    <phoneticPr fontId="132"/>
  </si>
  <si>
    <t>公会堂</t>
    <rPh sb="0" eb="3">
      <t>コウカイドウ</t>
    </rPh>
    <phoneticPr fontId="132"/>
  </si>
  <si>
    <t>診療所（患者の収容施設があるもの）</t>
    <rPh sb="0" eb="3">
      <t>シンリョウジョ</t>
    </rPh>
    <rPh sb="4" eb="6">
      <t>カンジャ</t>
    </rPh>
    <rPh sb="7" eb="9">
      <t>シュウヨウ</t>
    </rPh>
    <rPh sb="9" eb="11">
      <t>シセツ</t>
    </rPh>
    <phoneticPr fontId="132"/>
  </si>
  <si>
    <t>更生施設</t>
    <rPh sb="0" eb="2">
      <t>コウセイ</t>
    </rPh>
    <rPh sb="2" eb="4">
      <t>シセツ</t>
    </rPh>
    <phoneticPr fontId="132"/>
  </si>
  <si>
    <t>遊技場</t>
    <rPh sb="0" eb="3">
      <t>ユウギジョウ</t>
    </rPh>
    <phoneticPr fontId="132"/>
  </si>
  <si>
    <t>有料老人ホーム</t>
    <rPh sb="0" eb="2">
      <t>ユウリョウ</t>
    </rPh>
    <rPh sb="2" eb="4">
      <t>ロウジン</t>
    </rPh>
    <phoneticPr fontId="132"/>
  </si>
  <si>
    <t>劇場</t>
    <rPh sb="0" eb="2">
      <t>ゲキジョウ</t>
    </rPh>
    <phoneticPr fontId="132"/>
  </si>
  <si>
    <t>下宿</t>
    <rPh sb="0" eb="2">
      <t>ゲシュク</t>
    </rPh>
    <phoneticPr fontId="132"/>
  </si>
  <si>
    <t>サービス付き高齢者向け住宅</t>
    <rPh sb="4" eb="5">
      <t>ツ</t>
    </rPh>
    <rPh sb="6" eb="9">
      <t>コウレイシャ</t>
    </rPh>
    <rPh sb="9" eb="10">
      <t>ム</t>
    </rPh>
    <rPh sb="11" eb="13">
      <t>ジュウタク</t>
    </rPh>
    <phoneticPr fontId="132"/>
  </si>
  <si>
    <t>助産施設</t>
    <rPh sb="0" eb="2">
      <t>ジョサン</t>
    </rPh>
    <rPh sb="2" eb="4">
      <t>シセツ</t>
    </rPh>
    <phoneticPr fontId="132"/>
  </si>
  <si>
    <t>博物館</t>
    <rPh sb="0" eb="3">
      <t>ハクブツカン</t>
    </rPh>
    <phoneticPr fontId="132"/>
  </si>
  <si>
    <t>ボーリング場</t>
    <rPh sb="5" eb="6">
      <t>ジョウ</t>
    </rPh>
    <phoneticPr fontId="132"/>
  </si>
  <si>
    <t>百貨店</t>
    <rPh sb="0" eb="3">
      <t>ヒャッカテン</t>
    </rPh>
    <phoneticPr fontId="132"/>
  </si>
  <si>
    <t>展示場</t>
    <rPh sb="0" eb="3">
      <t>テンジジョウ</t>
    </rPh>
    <phoneticPr fontId="132"/>
  </si>
  <si>
    <t>飲食店</t>
    <rPh sb="0" eb="2">
      <t>インショク</t>
    </rPh>
    <rPh sb="2" eb="3">
      <t>テン</t>
    </rPh>
    <phoneticPr fontId="132"/>
  </si>
  <si>
    <t>公衆浴場</t>
    <rPh sb="0" eb="2">
      <t>コウシュウ</t>
    </rPh>
    <rPh sb="2" eb="4">
      <t>ヨクジョウ</t>
    </rPh>
    <phoneticPr fontId="132"/>
  </si>
  <si>
    <t>自動車車庫</t>
    <rPh sb="0" eb="3">
      <t>ジドウシャ</t>
    </rPh>
    <rPh sb="3" eb="5">
      <t>シャコ</t>
    </rPh>
    <phoneticPr fontId="132"/>
  </si>
  <si>
    <t>事務所</t>
    <rPh sb="0" eb="2">
      <t>ジム</t>
    </rPh>
    <rPh sb="2" eb="3">
      <t>ショ</t>
    </rPh>
    <phoneticPr fontId="132"/>
  </si>
  <si>
    <t>倉庫（別の用途に附属するもの以外）</t>
    <rPh sb="3" eb="4">
      <t>ベツ</t>
    </rPh>
    <phoneticPr fontId="134"/>
  </si>
  <si>
    <t>映画館</t>
    <rPh sb="0" eb="3">
      <t>エイガカン</t>
    </rPh>
    <phoneticPr fontId="132"/>
  </si>
  <si>
    <t>旅館</t>
    <rPh sb="0" eb="2">
      <t>リョカン</t>
    </rPh>
    <phoneticPr fontId="132"/>
  </si>
  <si>
    <t>共同住宅</t>
    <rPh sb="0" eb="2">
      <t>キョウドウ</t>
    </rPh>
    <rPh sb="2" eb="4">
      <t>ジュウタク</t>
    </rPh>
    <phoneticPr fontId="132"/>
  </si>
  <si>
    <t>認知症高齢者グループホーム</t>
    <rPh sb="0" eb="3">
      <t>ニンチショウ</t>
    </rPh>
    <rPh sb="3" eb="6">
      <t>コウレイシャ</t>
    </rPh>
    <phoneticPr fontId="132"/>
  </si>
  <si>
    <t>乳児院</t>
    <rPh sb="0" eb="2">
      <t>ニュウジ</t>
    </rPh>
    <rPh sb="2" eb="3">
      <t>イン</t>
    </rPh>
    <phoneticPr fontId="132"/>
  </si>
  <si>
    <t>美術館</t>
    <rPh sb="0" eb="3">
      <t>ビジュツカン</t>
    </rPh>
    <phoneticPr fontId="132"/>
  </si>
  <si>
    <t>スキー場</t>
    <rPh sb="3" eb="4">
      <t>ジョウ</t>
    </rPh>
    <phoneticPr fontId="132"/>
  </si>
  <si>
    <t>料理店</t>
    <rPh sb="0" eb="2">
      <t>リョウリ</t>
    </rPh>
    <rPh sb="2" eb="3">
      <t>テン</t>
    </rPh>
    <phoneticPr fontId="132"/>
  </si>
  <si>
    <t>自動車修理工場</t>
    <rPh sb="0" eb="3">
      <t>ジドウシャ</t>
    </rPh>
    <rPh sb="3" eb="5">
      <t>シュウリ</t>
    </rPh>
    <rPh sb="5" eb="7">
      <t>コウジョウ</t>
    </rPh>
    <phoneticPr fontId="132"/>
  </si>
  <si>
    <t>美容室</t>
    <rPh sb="0" eb="3">
      <t>ビヨウシツ</t>
    </rPh>
    <phoneticPr fontId="132"/>
  </si>
  <si>
    <t>演芸場</t>
    <rPh sb="0" eb="1">
      <t>ヒロシ</t>
    </rPh>
    <rPh sb="1" eb="2">
      <t>ゲイ</t>
    </rPh>
    <rPh sb="2" eb="3">
      <t>ジョウ</t>
    </rPh>
    <phoneticPr fontId="132"/>
  </si>
  <si>
    <t>集会場</t>
    <rPh sb="0" eb="3">
      <t>シュウカイジョウ</t>
    </rPh>
    <phoneticPr fontId="132"/>
  </si>
  <si>
    <t>寄宿舎</t>
    <rPh sb="0" eb="3">
      <t>キシュクシャ</t>
    </rPh>
    <phoneticPr fontId="132"/>
  </si>
  <si>
    <t>障害者グループホーム</t>
    <rPh sb="0" eb="3">
      <t>ショウガイシャ</t>
    </rPh>
    <phoneticPr fontId="132"/>
  </si>
  <si>
    <t>障害児入所施設</t>
    <rPh sb="0" eb="2">
      <t>ショウガイ</t>
    </rPh>
    <rPh sb="2" eb="3">
      <t>ジ</t>
    </rPh>
    <rPh sb="3" eb="5">
      <t>ニュウショ</t>
    </rPh>
    <rPh sb="5" eb="7">
      <t>シセツ</t>
    </rPh>
    <phoneticPr fontId="132"/>
  </si>
  <si>
    <t>図書館</t>
    <rPh sb="0" eb="3">
      <t>トショカン</t>
    </rPh>
    <phoneticPr fontId="132"/>
  </si>
  <si>
    <t>スケート場</t>
    <rPh sb="4" eb="5">
      <t>ジョウ</t>
    </rPh>
    <phoneticPr fontId="132"/>
  </si>
  <si>
    <t>物品販売業を営む店舗</t>
    <rPh sb="0" eb="2">
      <t>ブッピン</t>
    </rPh>
    <rPh sb="2" eb="4">
      <t>ハンバイ</t>
    </rPh>
    <rPh sb="4" eb="5">
      <t>ギョウ</t>
    </rPh>
    <rPh sb="6" eb="7">
      <t>イトナ</t>
    </rPh>
    <rPh sb="8" eb="10">
      <t>テンポ</t>
    </rPh>
    <phoneticPr fontId="132"/>
  </si>
  <si>
    <t>待合</t>
    <rPh sb="0" eb="2">
      <t>マチアイ</t>
    </rPh>
    <phoneticPr fontId="132"/>
  </si>
  <si>
    <t>映画スタジオ</t>
    <rPh sb="0" eb="2">
      <t>エイガ</t>
    </rPh>
    <phoneticPr fontId="132"/>
  </si>
  <si>
    <t>助産所</t>
    <rPh sb="0" eb="2">
      <t>ジョサン</t>
    </rPh>
    <rPh sb="2" eb="3">
      <t>ジョ</t>
    </rPh>
    <phoneticPr fontId="132"/>
  </si>
  <si>
    <t>水泳場</t>
    <rPh sb="0" eb="3">
      <t>スイエイジョウ</t>
    </rPh>
    <phoneticPr fontId="132"/>
  </si>
  <si>
    <t>診療所（患者の収容施設がないもの）</t>
    <rPh sb="0" eb="3">
      <t>シンリョウジョ</t>
    </rPh>
    <phoneticPr fontId="132"/>
  </si>
  <si>
    <t>盲導犬訓練施設</t>
    <rPh sb="0" eb="3">
      <t>モウドウケン</t>
    </rPh>
    <rPh sb="3" eb="5">
      <t>クンレン</t>
    </rPh>
    <rPh sb="5" eb="7">
      <t>シセツ</t>
    </rPh>
    <phoneticPr fontId="132"/>
  </si>
  <si>
    <t>スポーツの練習場</t>
    <rPh sb="5" eb="8">
      <t>レンシュウジョウ</t>
    </rPh>
    <phoneticPr fontId="132"/>
  </si>
  <si>
    <t>救護施設</t>
    <rPh sb="0" eb="2">
      <t>キュウゴ</t>
    </rPh>
    <rPh sb="2" eb="4">
      <t>シセツ</t>
    </rPh>
    <phoneticPr fontId="132"/>
  </si>
  <si>
    <t>老人短期入所施設</t>
    <rPh sb="0" eb="2">
      <t>ロウジン</t>
    </rPh>
    <rPh sb="2" eb="4">
      <t>タンキ</t>
    </rPh>
    <rPh sb="4" eb="6">
      <t>ニュウショ</t>
    </rPh>
    <rPh sb="6" eb="8">
      <t>シセツ</t>
    </rPh>
    <phoneticPr fontId="132"/>
  </si>
  <si>
    <t>小規模多機能居宅介護の事業所</t>
    <rPh sb="0" eb="3">
      <t>ショウキボ</t>
    </rPh>
    <rPh sb="3" eb="6">
      <t>タキノウ</t>
    </rPh>
    <rPh sb="6" eb="8">
      <t>キョタク</t>
    </rPh>
    <rPh sb="8" eb="10">
      <t>カイゴ</t>
    </rPh>
    <rPh sb="11" eb="14">
      <t>ジギョウショ</t>
    </rPh>
    <phoneticPr fontId="132"/>
  </si>
  <si>
    <t>看護小規模多機能型居宅介護の事業所</t>
    <rPh sb="0" eb="2">
      <t>カンゴ</t>
    </rPh>
    <rPh sb="2" eb="5">
      <t>ショウキボ</t>
    </rPh>
    <rPh sb="5" eb="9">
      <t>タキノウガタ</t>
    </rPh>
    <rPh sb="9" eb="11">
      <t>キョタク</t>
    </rPh>
    <rPh sb="11" eb="13">
      <t>カイゴ</t>
    </rPh>
    <rPh sb="14" eb="17">
      <t>ジギョウショ</t>
    </rPh>
    <phoneticPr fontId="132"/>
  </si>
  <si>
    <t>養護老人ホーム</t>
    <rPh sb="0" eb="2">
      <t>ヨウゴ</t>
    </rPh>
    <rPh sb="2" eb="4">
      <t>ロウジン</t>
    </rPh>
    <phoneticPr fontId="132"/>
  </si>
  <si>
    <t>特別養護老人ホーム</t>
    <rPh sb="0" eb="2">
      <t>トクベツ</t>
    </rPh>
    <rPh sb="2" eb="4">
      <t>ヨウゴ</t>
    </rPh>
    <rPh sb="4" eb="6">
      <t>ロウジン</t>
    </rPh>
    <phoneticPr fontId="132"/>
  </si>
  <si>
    <t>軽費老人ホーム</t>
    <rPh sb="0" eb="2">
      <t>ケイヒ</t>
    </rPh>
    <rPh sb="2" eb="4">
      <t>ロウジン</t>
    </rPh>
    <phoneticPr fontId="132"/>
  </si>
  <si>
    <t>母子保健施設</t>
    <rPh sb="0" eb="2">
      <t>ボシ</t>
    </rPh>
    <rPh sb="2" eb="4">
      <t>ホケン</t>
    </rPh>
    <rPh sb="4" eb="6">
      <t>シセツ</t>
    </rPh>
    <phoneticPr fontId="132"/>
  </si>
  <si>
    <t>障害者支援施設</t>
    <rPh sb="0" eb="3">
      <t>ショウガイシャ</t>
    </rPh>
    <rPh sb="3" eb="5">
      <t>シエン</t>
    </rPh>
    <rPh sb="5" eb="7">
      <t>シセツ</t>
    </rPh>
    <phoneticPr fontId="132"/>
  </si>
  <si>
    <t>福祉ホーム</t>
    <rPh sb="0" eb="2">
      <t>フクシ</t>
    </rPh>
    <phoneticPr fontId="132"/>
  </si>
  <si>
    <t>障害者福祉サービスを行う事業所（自立訓練を行う事業所で、利用者の就寝の用に供するもの）</t>
    <phoneticPr fontId="134"/>
  </si>
  <si>
    <t>障害者福祉サービスを行う事業所（就労移行支援を行う事業所で、利用者の就寝の用に供するもの）</t>
    <rPh sb="0" eb="3">
      <t>ショウガイシャ</t>
    </rPh>
    <rPh sb="3" eb="5">
      <t>フクシ</t>
    </rPh>
    <phoneticPr fontId="132"/>
  </si>
  <si>
    <t>劇場</t>
    <rPh sb="0" eb="2">
      <t>ゲキジョウ</t>
    </rPh>
    <phoneticPr fontId="5"/>
  </si>
  <si>
    <t>映画館</t>
    <rPh sb="0" eb="3">
      <t>エイガカン</t>
    </rPh>
    <phoneticPr fontId="5"/>
  </si>
  <si>
    <t>演芸場</t>
    <rPh sb="0" eb="1">
      <t>ヒロシ</t>
    </rPh>
    <rPh sb="1" eb="2">
      <t>ゲイ</t>
    </rPh>
    <rPh sb="2" eb="3">
      <t>ジョウ</t>
    </rPh>
    <phoneticPr fontId="5"/>
  </si>
  <si>
    <t>観覧場（屋外観覧場を除く）</t>
    <rPh sb="0" eb="2">
      <t>カンラン</t>
    </rPh>
    <rPh sb="2" eb="3">
      <t>ジョウ</t>
    </rPh>
    <rPh sb="4" eb="6">
      <t>オクガイ</t>
    </rPh>
    <rPh sb="6" eb="8">
      <t>カンラン</t>
    </rPh>
    <rPh sb="8" eb="9">
      <t>ジョウ</t>
    </rPh>
    <rPh sb="10" eb="11">
      <t>ノゾ</t>
    </rPh>
    <phoneticPr fontId="5"/>
  </si>
  <si>
    <t>公会堂</t>
    <rPh sb="0" eb="3">
      <t>コウカイドウ</t>
    </rPh>
    <phoneticPr fontId="5"/>
  </si>
  <si>
    <t>集会場</t>
    <rPh sb="0" eb="3">
      <t>シュウカイジョウ</t>
    </rPh>
    <phoneticPr fontId="5"/>
  </si>
  <si>
    <t>病院</t>
    <rPh sb="0" eb="2">
      <t>ビョウイン</t>
    </rPh>
    <phoneticPr fontId="5"/>
  </si>
  <si>
    <t>診療所（患者の収容施設があるもの）</t>
    <rPh sb="0" eb="3">
      <t>シンリョウジョ</t>
    </rPh>
    <rPh sb="4" eb="6">
      <t>カンジャ</t>
    </rPh>
    <rPh sb="7" eb="9">
      <t>シュウヨウ</t>
    </rPh>
    <rPh sb="9" eb="11">
      <t>シセツ</t>
    </rPh>
    <phoneticPr fontId="5"/>
  </si>
  <si>
    <t>旅館</t>
    <rPh sb="0" eb="2">
      <t>リョカン</t>
    </rPh>
    <phoneticPr fontId="5"/>
  </si>
  <si>
    <t>下宿</t>
    <rPh sb="0" eb="2">
      <t>ゲシュク</t>
    </rPh>
    <phoneticPr fontId="5"/>
  </si>
  <si>
    <t>共同住宅</t>
    <rPh sb="0" eb="2">
      <t>キョウドウ</t>
    </rPh>
    <rPh sb="2" eb="4">
      <t>ジュウタク</t>
    </rPh>
    <phoneticPr fontId="5"/>
  </si>
  <si>
    <t>寄宿舎</t>
    <rPh sb="0" eb="3">
      <t>キシュクシャ</t>
    </rPh>
    <phoneticPr fontId="5"/>
  </si>
  <si>
    <t>サービス付き高齢者向け住宅</t>
    <rPh sb="4" eb="5">
      <t>ツ</t>
    </rPh>
    <rPh sb="6" eb="9">
      <t>コウレイシャ</t>
    </rPh>
    <rPh sb="9" eb="10">
      <t>ム</t>
    </rPh>
    <rPh sb="11" eb="13">
      <t>ジュウタク</t>
    </rPh>
    <phoneticPr fontId="5"/>
  </si>
  <si>
    <t>認知症高齢者グループホーム</t>
    <rPh sb="0" eb="3">
      <t>ニンチショウ</t>
    </rPh>
    <rPh sb="3" eb="6">
      <t>コウレイシャ</t>
    </rPh>
    <phoneticPr fontId="5"/>
  </si>
  <si>
    <t>障害者グループホーム</t>
    <rPh sb="0" eb="3">
      <t>ショウガイシャ</t>
    </rPh>
    <phoneticPr fontId="5"/>
  </si>
  <si>
    <t>助産施設</t>
    <rPh sb="0" eb="2">
      <t>ジョサン</t>
    </rPh>
    <rPh sb="2" eb="4">
      <t>シセツ</t>
    </rPh>
    <phoneticPr fontId="5"/>
  </si>
  <si>
    <t>乳児院</t>
    <rPh sb="0" eb="2">
      <t>ニュウジ</t>
    </rPh>
    <rPh sb="2" eb="3">
      <t>イン</t>
    </rPh>
    <phoneticPr fontId="5"/>
  </si>
  <si>
    <t>障害児入所施設</t>
    <rPh sb="0" eb="2">
      <t>ショウガイ</t>
    </rPh>
    <rPh sb="2" eb="3">
      <t>ジ</t>
    </rPh>
    <rPh sb="3" eb="5">
      <t>ニュウショ</t>
    </rPh>
    <rPh sb="5" eb="7">
      <t>シセツ</t>
    </rPh>
    <phoneticPr fontId="5"/>
  </si>
  <si>
    <t>助産所</t>
    <rPh sb="0" eb="2">
      <t>ジョサン</t>
    </rPh>
    <rPh sb="2" eb="3">
      <t>ジョ</t>
    </rPh>
    <phoneticPr fontId="5"/>
  </si>
  <si>
    <t>盲導犬訓練施設</t>
    <rPh sb="0" eb="3">
      <t>モウドウケン</t>
    </rPh>
    <rPh sb="3" eb="5">
      <t>クンレン</t>
    </rPh>
    <rPh sb="5" eb="7">
      <t>シセツ</t>
    </rPh>
    <phoneticPr fontId="5"/>
  </si>
  <si>
    <t>救護施設</t>
    <rPh sb="0" eb="2">
      <t>キュウゴ</t>
    </rPh>
    <rPh sb="2" eb="4">
      <t>シセツ</t>
    </rPh>
    <phoneticPr fontId="5"/>
  </si>
  <si>
    <t>更生施設</t>
    <rPh sb="0" eb="2">
      <t>コウセイ</t>
    </rPh>
    <rPh sb="2" eb="4">
      <t>シセツ</t>
    </rPh>
    <phoneticPr fontId="5"/>
  </si>
  <si>
    <t>老人短期入所施設</t>
    <rPh sb="0" eb="2">
      <t>ロウジン</t>
    </rPh>
    <rPh sb="2" eb="4">
      <t>タンキ</t>
    </rPh>
    <rPh sb="4" eb="6">
      <t>ニュウショ</t>
    </rPh>
    <rPh sb="6" eb="8">
      <t>シセツ</t>
    </rPh>
    <phoneticPr fontId="5"/>
  </si>
  <si>
    <t>小規模多機能居宅介護の事業所</t>
    <rPh sb="0" eb="3">
      <t>ショウキボ</t>
    </rPh>
    <rPh sb="3" eb="6">
      <t>タキノウ</t>
    </rPh>
    <rPh sb="6" eb="8">
      <t>キョタク</t>
    </rPh>
    <rPh sb="8" eb="10">
      <t>カイゴ</t>
    </rPh>
    <rPh sb="11" eb="14">
      <t>ジギョウショ</t>
    </rPh>
    <phoneticPr fontId="5"/>
  </si>
  <si>
    <t>看護小規模多機能型居宅介護の事業所</t>
    <rPh sb="0" eb="2">
      <t>カンゴ</t>
    </rPh>
    <rPh sb="2" eb="5">
      <t>ショウキボ</t>
    </rPh>
    <rPh sb="5" eb="9">
      <t>タキノウガタ</t>
    </rPh>
    <rPh sb="9" eb="11">
      <t>キョタク</t>
    </rPh>
    <rPh sb="11" eb="13">
      <t>カイゴ</t>
    </rPh>
    <rPh sb="14" eb="17">
      <t>ジギョウショ</t>
    </rPh>
    <phoneticPr fontId="5"/>
  </si>
  <si>
    <t>養護老人ホーム</t>
    <rPh sb="0" eb="2">
      <t>ヨウゴ</t>
    </rPh>
    <rPh sb="2" eb="4">
      <t>ロウジン</t>
    </rPh>
    <phoneticPr fontId="5"/>
  </si>
  <si>
    <t>特別養護老人ホーム</t>
    <rPh sb="0" eb="2">
      <t>トクベツ</t>
    </rPh>
    <rPh sb="2" eb="4">
      <t>ヨウゴ</t>
    </rPh>
    <rPh sb="4" eb="6">
      <t>ロウジン</t>
    </rPh>
    <phoneticPr fontId="5"/>
  </si>
  <si>
    <t>軽費老人ホーム</t>
    <rPh sb="0" eb="2">
      <t>ケイヒ</t>
    </rPh>
    <rPh sb="2" eb="4">
      <t>ロウジン</t>
    </rPh>
    <phoneticPr fontId="5"/>
  </si>
  <si>
    <t>有料老人ホーム</t>
    <rPh sb="0" eb="2">
      <t>ユウリョウ</t>
    </rPh>
    <rPh sb="2" eb="4">
      <t>ロウジン</t>
    </rPh>
    <phoneticPr fontId="5"/>
  </si>
  <si>
    <t>母子保健施設</t>
    <rPh sb="0" eb="2">
      <t>ボシ</t>
    </rPh>
    <rPh sb="2" eb="4">
      <t>ホケン</t>
    </rPh>
    <rPh sb="4" eb="6">
      <t>シセツ</t>
    </rPh>
    <phoneticPr fontId="5"/>
  </si>
  <si>
    <t>障害者支援施設</t>
    <rPh sb="0" eb="3">
      <t>ショウガイシャ</t>
    </rPh>
    <rPh sb="3" eb="5">
      <t>シエン</t>
    </rPh>
    <rPh sb="5" eb="7">
      <t>シセツ</t>
    </rPh>
    <phoneticPr fontId="5"/>
  </si>
  <si>
    <t>福祉ホーム</t>
    <rPh sb="0" eb="2">
      <t>フクシ</t>
    </rPh>
    <phoneticPr fontId="5"/>
  </si>
  <si>
    <t>障害者福祉サービスを行う事業所（就労移行支援を行う事業所で、利用者の就寝の用に供するもの）</t>
    <rPh sb="0" eb="3">
      <t>ショウガイシャ</t>
    </rPh>
    <rPh sb="3" eb="5">
      <t>フクシ</t>
    </rPh>
    <phoneticPr fontId="5"/>
  </si>
  <si>
    <t>―住居系施設(高齢者,障害者等以外)―</t>
  </si>
  <si>
    <t>―集会場等――――――――――――</t>
  </si>
  <si>
    <t>―病院系施設―――――――――――</t>
  </si>
  <si>
    <t>―宿泊施設――――――――――――</t>
  </si>
  <si>
    <t>―住居系施設(高齢者,障害者等)―――</t>
  </si>
  <si>
    <t>―体育館（学校付属以外）―――――</t>
  </si>
  <si>
    <t>―美術館等――――――――――――</t>
  </si>
  <si>
    <t>博物館</t>
    <rPh sb="0" eb="3">
      <t>ハクブツカン</t>
    </rPh>
    <phoneticPr fontId="5"/>
  </si>
  <si>
    <t>美術館</t>
    <rPh sb="0" eb="3">
      <t>ビジュツカン</t>
    </rPh>
    <phoneticPr fontId="5"/>
  </si>
  <si>
    <t>図書館</t>
    <rPh sb="0" eb="3">
      <t>トショカン</t>
    </rPh>
    <phoneticPr fontId="5"/>
  </si>
  <si>
    <t>―スポーツ練習場等――――――――</t>
  </si>
  <si>
    <t>ボーリング場</t>
    <rPh sb="5" eb="6">
      <t>ジョウ</t>
    </rPh>
    <phoneticPr fontId="5"/>
  </si>
  <si>
    <t>スキー場</t>
    <rPh sb="3" eb="4">
      <t>ジョウ</t>
    </rPh>
    <phoneticPr fontId="5"/>
  </si>
  <si>
    <t>スケート場</t>
    <rPh sb="4" eb="5">
      <t>ジョウ</t>
    </rPh>
    <phoneticPr fontId="5"/>
  </si>
  <si>
    <t>水泳場</t>
    <rPh sb="0" eb="3">
      <t>スイエイジョウ</t>
    </rPh>
    <phoneticPr fontId="5"/>
  </si>
  <si>
    <t>スポーツの練習場</t>
    <rPh sb="5" eb="8">
      <t>レンシュウジョウ</t>
    </rPh>
    <phoneticPr fontId="5"/>
  </si>
  <si>
    <t>―物販店等――――――――――――</t>
  </si>
  <si>
    <t>百貨店</t>
    <rPh sb="0" eb="3">
      <t>ヒャッカテン</t>
    </rPh>
    <phoneticPr fontId="5"/>
  </si>
  <si>
    <t>物品販売業を営む店舗</t>
    <rPh sb="0" eb="2">
      <t>ブッピン</t>
    </rPh>
    <rPh sb="2" eb="4">
      <t>ハンバイ</t>
    </rPh>
    <rPh sb="4" eb="5">
      <t>ギョウ</t>
    </rPh>
    <rPh sb="6" eb="7">
      <t>イトナ</t>
    </rPh>
    <rPh sb="8" eb="10">
      <t>テンポ</t>
    </rPh>
    <phoneticPr fontId="5"/>
  </si>
  <si>
    <t>―展示場等――――――――――――</t>
  </si>
  <si>
    <t>展示場</t>
    <rPh sb="0" eb="3">
      <t>テンジジョウ</t>
    </rPh>
    <phoneticPr fontId="5"/>
  </si>
  <si>
    <t>―飲食等―――――――――――――</t>
  </si>
  <si>
    <t>飲食店</t>
    <rPh sb="0" eb="2">
      <t>インショク</t>
    </rPh>
    <rPh sb="2" eb="3">
      <t>テン</t>
    </rPh>
    <phoneticPr fontId="5"/>
  </si>
  <si>
    <t>料理店</t>
    <rPh sb="0" eb="2">
      <t>リョウリ</t>
    </rPh>
    <rPh sb="2" eb="3">
      <t>テン</t>
    </rPh>
    <phoneticPr fontId="5"/>
  </si>
  <si>
    <t>待合</t>
    <rPh sb="0" eb="2">
      <t>マチアイ</t>
    </rPh>
    <phoneticPr fontId="5"/>
  </si>
  <si>
    <t>―遊技場等――――――――――――</t>
  </si>
  <si>
    <t>公衆浴場</t>
    <rPh sb="0" eb="2">
      <t>コウシュウ</t>
    </rPh>
    <rPh sb="2" eb="4">
      <t>ヨクジョウ</t>
    </rPh>
    <phoneticPr fontId="5"/>
  </si>
  <si>
    <t>遊技場</t>
    <rPh sb="0" eb="3">
      <t>ユウギジョウ</t>
    </rPh>
    <phoneticPr fontId="5"/>
  </si>
  <si>
    <t>―自動車車庫等――――――――――</t>
  </si>
  <si>
    <t>自動車車庫</t>
    <rPh sb="0" eb="3">
      <t>ジドウシャ</t>
    </rPh>
    <rPh sb="3" eb="5">
      <t>シャコ</t>
    </rPh>
    <phoneticPr fontId="5"/>
  </si>
  <si>
    <t>自動車修理工場</t>
    <rPh sb="0" eb="3">
      <t>ジドウシャ</t>
    </rPh>
    <rPh sb="3" eb="5">
      <t>シュウリ</t>
    </rPh>
    <rPh sb="5" eb="7">
      <t>コウジョウ</t>
    </rPh>
    <phoneticPr fontId="5"/>
  </si>
  <si>
    <t>映画スタジオ</t>
    <rPh sb="0" eb="2">
      <t>エイガ</t>
    </rPh>
    <phoneticPr fontId="5"/>
  </si>
  <si>
    <t>事務所</t>
    <rPh sb="0" eb="2">
      <t>ジム</t>
    </rPh>
    <rPh sb="2" eb="3">
      <t>ショ</t>
    </rPh>
    <phoneticPr fontId="5"/>
  </si>
  <si>
    <t>美容室</t>
    <rPh sb="0" eb="3">
      <t>ビヨウシツ</t>
    </rPh>
    <phoneticPr fontId="5"/>
  </si>
  <si>
    <t>診療所（患者の収容施設がないもの）</t>
    <rPh sb="0" eb="3">
      <t>シンリョウジョ</t>
    </rPh>
    <phoneticPr fontId="5"/>
  </si>
  <si>
    <t>―定報対象以外の用途（倉庫）―――</t>
  </si>
  <si>
    <t>倉庫（別の用途に附属するもの以外）</t>
    <rPh sb="3" eb="4">
      <t>ベツ</t>
    </rPh>
    <phoneticPr fontId="4"/>
  </si>
  <si>
    <t>―定報対象以外の用途（倉庫以外）―</t>
  </si>
  <si>
    <t>―劇場,映画館等――――――――――</t>
  </si>
  <si>
    <t>―学校,体育館（学校付属）―――――</t>
  </si>
  <si>
    <t>―事務所,サービス店舗等――――――</t>
  </si>
  <si>
    <t>劇場,映画館等</t>
  </si>
  <si>
    <t>住居系施設(高齢者,障害者等以外)</t>
  </si>
  <si>
    <t>住居系施設(高齢者,障害者等)</t>
  </si>
  <si>
    <t>事務所,サービス店舗等</t>
  </si>
  <si>
    <t>学校,体育館(学校付属)</t>
  </si>
  <si>
    <t>体育館(学校付属以外)</t>
  </si>
  <si>
    <t>定報対象以外の用途(倉庫)</t>
  </si>
  <si>
    <t>定報対象以外の用途(倉庫以外)</t>
  </si>
  <si>
    <t>名前定義用→</t>
    <rPh sb="0" eb="2">
      <t>ナマエ</t>
    </rPh>
    <rPh sb="2" eb="4">
      <t>テイギ</t>
    </rPh>
    <rPh sb="4" eb="5">
      <t>ヨウ</t>
    </rPh>
    <phoneticPr fontId="132"/>
  </si>
  <si>
    <t>大分類プルダウン→</t>
    <rPh sb="0" eb="3">
      <t>ダイブンルイ</t>
    </rPh>
    <phoneticPr fontId="132"/>
  </si>
  <si>
    <t>マージャン屋</t>
  </si>
  <si>
    <t>ぱちんこ屋</t>
  </si>
  <si>
    <t>カラオケボックス</t>
  </si>
  <si>
    <t>漫画喫茶</t>
  </si>
  <si>
    <t>個室ビデオ</t>
  </si>
  <si>
    <t>特記</t>
    <rPh sb="0" eb="2">
      <t>トッキ</t>
    </rPh>
    <phoneticPr fontId="132"/>
  </si>
  <si>
    <t>特殊な用途</t>
    <rPh sb="0" eb="2">
      <t>トクシュ</t>
    </rPh>
    <rPh sb="3" eb="5">
      <t>ヨウト</t>
    </rPh>
    <phoneticPr fontId="132"/>
  </si>
  <si>
    <t>（該当なし）</t>
    <rPh sb="1" eb="3">
      <t>ガイトウ</t>
    </rPh>
    <phoneticPr fontId="132"/>
  </si>
  <si>
    <t>←プルダウンに該当する用途があれば選択</t>
    <rPh sb="7" eb="9">
      <t>ガイトウ</t>
    </rPh>
    <rPh sb="11" eb="13">
      <t>ヨウト</t>
    </rPh>
    <rPh sb="17" eb="19">
      <t>センタク</t>
    </rPh>
    <phoneticPr fontId="3"/>
  </si>
  <si>
    <t>入力未完</t>
    <phoneticPr fontId="3"/>
  </si>
  <si>
    <r>
      <t>　　※入力欄の赤色</t>
    </r>
    <r>
      <rPr>
        <sz val="12"/>
        <color rgb="FFFF0000"/>
        <rFont val="メイリオ"/>
        <family val="3"/>
        <charset val="128"/>
      </rPr>
      <t>■</t>
    </r>
    <r>
      <rPr>
        <sz val="12"/>
        <color theme="1"/>
        <rFont val="メイリオ"/>
        <family val="3"/>
        <charset val="128"/>
      </rPr>
      <t>着色(入力不備)、緑色</t>
    </r>
    <r>
      <rPr>
        <sz val="12"/>
        <color rgb="FF99FF33"/>
        <rFont val="メイリオ"/>
        <family val="3"/>
        <charset val="128"/>
      </rPr>
      <t>■</t>
    </r>
    <r>
      <rPr>
        <sz val="12"/>
        <color theme="1"/>
        <rFont val="メイリオ"/>
        <family val="3"/>
        <charset val="128"/>
      </rPr>
      <t>着色(入力未完)が残らないようにしてください。</t>
    </r>
    <rPh sb="7" eb="8">
      <t>アカ</t>
    </rPh>
    <rPh sb="10" eb="12">
      <t>チャクショク</t>
    </rPh>
    <rPh sb="13" eb="15">
      <t>ニュウリョク</t>
    </rPh>
    <rPh sb="15" eb="17">
      <t>フビ</t>
    </rPh>
    <rPh sb="19" eb="21">
      <t>ミドリイロ</t>
    </rPh>
    <phoneticPr fontId="78"/>
  </si>
  <si>
    <t>　　⑧－１ 所有者又は管理者は、調査者等から説明を受け、
　　　　　　現行の規定への適合状況、耐震診断・耐震改修の必要性について、十分理解していますか。　　　　</t>
    <phoneticPr fontId="78"/>
  </si>
  <si>
    <t>特記用途</t>
    <rPh sb="0" eb="2">
      <t>トッキ</t>
    </rPh>
    <rPh sb="2" eb="4">
      <t>ヨウト</t>
    </rPh>
    <phoneticPr fontId="3"/>
  </si>
  <si>
    <t>☐</t>
  </si>
  <si>
    <t>関係写真
（告示第２８２号別記
　　別添２様式）</t>
    <rPh sb="0" eb="2">
      <t>カンケイ</t>
    </rPh>
    <phoneticPr fontId="3"/>
  </si>
  <si>
    <t>京都市の建物IDは、英字＋数字+数字4桁で付与しています。
（所有者又は管理者の方にお送りしている通知文に記載しています。）</t>
    <rPh sb="21" eb="23">
      <t>フヨ</t>
    </rPh>
    <phoneticPr fontId="3"/>
  </si>
  <si>
    <t>・新築時以降建築確認を受けていない場合、新築時の建築確認
・増築や用途変更等で建築確認を受けた場合、うち直近のもの
を記入してください。
・建築時期の把握は既存不適格の判断に必要な情報ですので、必ず御確認ください。
・確認年月日等が不明であっても，建築計画概要書等で調べられる場合があります。
建築審査課の窓口で建築計画概要書等を閲覧し、記入してください。</t>
    <phoneticPr fontId="3"/>
  </si>
  <si>
    <t>今回が初回の調査時期である場合、「対象外」としてください。</t>
  </si>
  <si>
    <t>建築設備・防火設備の定期報告が必要な建築物かどうか、リーフレット「建築基準法に基づく定期報告制度について」等により御確認ください。</t>
    <phoneticPr fontId="3"/>
  </si>
  <si>
    <t>調査者1，2，3それぞれの氏名は調査者の入力欄から自動反映されます。（調査者2及び3はいない場合もあります）
調査者が1名のみの場合、以下の調査者番号は入力不要です。</t>
    <phoneticPr fontId="3"/>
  </si>
  <si>
    <t>図面判断等で石綿含有吹付け建材使用のおそれがあり、分析調査を行っていない場合についても要是正とする</t>
    <phoneticPr fontId="3"/>
  </si>
  <si>
    <r>
      <t>「</t>
    </r>
    <r>
      <rPr>
        <b/>
        <sz val="11"/>
        <rFont val="ＭＳ Ｐゴシック"/>
        <family val="3"/>
        <charset val="128"/>
        <scheme val="major"/>
      </rPr>
      <t>随時閉鎖式</t>
    </r>
    <r>
      <rPr>
        <sz val="11"/>
        <rFont val="ＭＳ Ｐゴシック"/>
        <family val="3"/>
        <charset val="128"/>
        <scheme val="major"/>
      </rPr>
      <t>の防火設備</t>
    </r>
    <r>
      <rPr>
        <b/>
        <sz val="11"/>
        <rFont val="ＭＳ Ｐゴシック"/>
        <family val="3"/>
        <charset val="128"/>
        <scheme val="major"/>
      </rPr>
      <t>を有する</t>
    </r>
    <r>
      <rPr>
        <sz val="11"/>
        <rFont val="ＭＳ Ｐゴシック"/>
        <family val="3"/>
        <charset val="128"/>
        <scheme val="major"/>
      </rPr>
      <t xml:space="preserve">」
</t>
    </r>
    <r>
      <rPr>
        <b/>
        <sz val="11"/>
        <rFont val="ＭＳ Ｐゴシック"/>
        <family val="3"/>
        <charset val="128"/>
        <scheme val="major"/>
      </rPr>
      <t xml:space="preserve">かつ
</t>
    </r>
    <r>
      <rPr>
        <sz val="11"/>
        <rFont val="ＭＳ Ｐゴシック"/>
        <family val="3"/>
        <charset val="128"/>
        <scheme val="major"/>
      </rPr>
      <t>「</t>
    </r>
    <r>
      <rPr>
        <b/>
        <sz val="11"/>
        <rFont val="ＭＳ Ｐゴシック"/>
        <family val="3"/>
        <charset val="128"/>
        <scheme val="major"/>
      </rPr>
      <t>防火設備</t>
    </r>
    <r>
      <rPr>
        <sz val="11"/>
        <rFont val="ＭＳ Ｐゴシック"/>
        <family val="3"/>
        <charset val="128"/>
        <scheme val="major"/>
      </rPr>
      <t>の定期検査報告の</t>
    </r>
    <r>
      <rPr>
        <b/>
        <sz val="11"/>
        <rFont val="ＭＳ Ｐゴシック"/>
        <family val="3"/>
        <charset val="128"/>
        <scheme val="major"/>
      </rPr>
      <t>対象外</t>
    </r>
    <r>
      <rPr>
        <sz val="11"/>
        <rFont val="ＭＳ Ｐゴシック"/>
        <family val="3"/>
        <charset val="128"/>
        <scheme val="major"/>
      </rPr>
      <t>」
の建築物</t>
    </r>
    <r>
      <rPr>
        <b/>
        <sz val="11"/>
        <rFont val="ＭＳ Ｐゴシック"/>
        <family val="3"/>
        <charset val="128"/>
        <scheme val="major"/>
      </rPr>
      <t>のみ調査対象</t>
    </r>
    <rPh sb="1" eb="3">
      <t>ズイジ</t>
    </rPh>
    <rPh sb="3" eb="5">
      <t>ヘイサ</t>
    </rPh>
    <rPh sb="5" eb="6">
      <t>シキ</t>
    </rPh>
    <rPh sb="28" eb="30">
      <t>ケンサ</t>
    </rPh>
    <phoneticPr fontId="3"/>
  </si>
  <si>
    <r>
      <t>・図面はこのExcelファイルには添付できません。</t>
    </r>
    <r>
      <rPr>
        <b/>
        <sz val="11"/>
        <color rgb="FFFF0000"/>
        <rFont val="Meiryo UI"/>
        <family val="3"/>
        <charset val="128"/>
      </rPr>
      <t>PDF（図面）の別途添付</t>
    </r>
    <r>
      <rPr>
        <sz val="11"/>
        <rFont val="Meiryo UI"/>
        <family val="3"/>
        <charset val="128"/>
      </rPr>
      <t>により提出してください。
　（付近見取図、配置図、各階平面図を1つのPDFファイルにまとめてください。）</t>
    </r>
    <rPh sb="1" eb="3">
      <t>ズメン</t>
    </rPh>
    <rPh sb="17" eb="19">
      <t>テンプ</t>
    </rPh>
    <rPh sb="29" eb="31">
      <t>ズメン</t>
    </rPh>
    <rPh sb="52" eb="56">
      <t>フキンミト</t>
    </rPh>
    <rPh sb="56" eb="57">
      <t>ズ</t>
    </rPh>
    <rPh sb="58" eb="60">
      <t>ハイチ</t>
    </rPh>
    <rPh sb="60" eb="61">
      <t>ズ</t>
    </rPh>
    <rPh sb="62" eb="67">
      <t>カクカイヘイメンズ</t>
    </rPh>
    <phoneticPr fontId="3"/>
  </si>
  <si>
    <t>調査結果図
（告示第２８２号別記
　　別添１様式）・添付図面</t>
    <rPh sb="0" eb="2">
      <t>チョウサ</t>
    </rPh>
    <rPh sb="2" eb="4">
      <t>ケッカ</t>
    </rPh>
    <rPh sb="4" eb="5">
      <t>ズ</t>
    </rPh>
    <phoneticPr fontId="3"/>
  </si>
  <si>
    <t>特記用途</t>
    <rPh sb="0" eb="4">
      <t>トッキヨウト</t>
    </rPh>
    <phoneticPr fontId="3"/>
  </si>
  <si>
    <t>幼保連携型認定こども園</t>
  </si>
  <si>
    <t>児童厚生施設</t>
  </si>
  <si>
    <t>児童養護施設</t>
  </si>
  <si>
    <t>身体障害者福祉センター</t>
  </si>
  <si>
    <t>老人福祉センター</t>
  </si>
  <si>
    <t>保育所</t>
    <phoneticPr fontId="3"/>
  </si>
  <si>
    <t>老人デイサービスセンター（宿泊サービスを提供しないもの）</t>
    <phoneticPr fontId="3"/>
  </si>
  <si>
    <t>　　　令第115条の3第1項第1号に掲げる児童福祉施設等</t>
  </si>
  <si>
    <t>　　　（平成28年国土交通省告示第240号第1第2項に掲げる</t>
  </si>
  <si>
    <t>　　　　高齢者、障害者等の就寝の用に供する用途）</t>
  </si>
  <si>
    <t>※ 児童福祉施設等(1)(2)については、</t>
    <phoneticPr fontId="3"/>
  </si>
  <si>
    <t>　　　小分類は、「児童福祉施設等 (2) （国指定）」小分類プルダウンから選択</t>
  </si>
  <si>
    <t>　　　小分類は、「児童福祉施設等 (1) （市指定）」小分類プルダウンから選択、</t>
  </si>
  <si>
    <t>　　　　　　　　　又は、直接入力</t>
  </si>
  <si>
    <t>　　以下のとおり、大分類・小分類を入力してください。</t>
    <rPh sb="13" eb="16">
      <t>ショウブンルイ</t>
    </rPh>
    <rPh sb="17" eb="19">
      <t>ニュウリョク</t>
    </rPh>
    <phoneticPr fontId="3"/>
  </si>
  <si>
    <r>
      <t xml:space="preserve">　・「児童福祉施設等 (2) </t>
    </r>
    <r>
      <rPr>
        <b/>
        <sz val="10"/>
        <rFont val="ＭＳ Ｐゴシック"/>
        <family val="3"/>
        <charset val="128"/>
      </rPr>
      <t>（国指定）</t>
    </r>
    <r>
      <rPr>
        <sz val="10"/>
        <rFont val="ＭＳ Ｐゴシック"/>
        <family val="3"/>
        <charset val="128"/>
      </rPr>
      <t>」小分類プルダウン</t>
    </r>
    <r>
      <rPr>
        <b/>
        <sz val="10"/>
        <rFont val="ＭＳ Ｐゴシック"/>
        <family val="3"/>
        <charset val="128"/>
      </rPr>
      <t>一覧にない</t>
    </r>
    <r>
      <rPr>
        <sz val="10"/>
        <rFont val="ＭＳ Ｐゴシック"/>
        <family val="3"/>
        <charset val="128"/>
      </rPr>
      <t>、</t>
    </r>
    <phoneticPr fontId="3"/>
  </si>
  <si>
    <r>
      <t xml:space="preserve">　・「児童福祉施設等 (2) </t>
    </r>
    <r>
      <rPr>
        <b/>
        <sz val="10"/>
        <rFont val="ＭＳ Ｐゴシック"/>
        <family val="3"/>
        <charset val="128"/>
      </rPr>
      <t>（国指定）</t>
    </r>
    <r>
      <rPr>
        <sz val="10"/>
        <rFont val="ＭＳ Ｐゴシック"/>
        <family val="3"/>
        <charset val="128"/>
      </rPr>
      <t>」小分類プルダウン</t>
    </r>
    <r>
      <rPr>
        <b/>
        <sz val="10"/>
        <rFont val="ＭＳ Ｐゴシック"/>
        <family val="3"/>
        <charset val="128"/>
      </rPr>
      <t>一覧にある</t>
    </r>
    <r>
      <rPr>
        <sz val="10"/>
        <rFont val="ＭＳ Ｐゴシック"/>
        <family val="3"/>
        <charset val="128"/>
      </rPr>
      <t>用途</t>
    </r>
    <phoneticPr fontId="3"/>
  </si>
  <si>
    <r>
      <t xml:space="preserve">　　→大分類は、「児童福祉施設等 (2) </t>
    </r>
    <r>
      <rPr>
        <b/>
        <sz val="10"/>
        <rFont val="ＭＳ Ｐゴシック"/>
        <family val="3"/>
        <charset val="128"/>
      </rPr>
      <t>（国指定）</t>
    </r>
    <r>
      <rPr>
        <sz val="10"/>
        <rFont val="ＭＳ Ｐゴシック"/>
        <family val="3"/>
        <charset val="128"/>
      </rPr>
      <t>」</t>
    </r>
    <phoneticPr fontId="3"/>
  </si>
  <si>
    <r>
      <t xml:space="preserve">　　→大分類は、「児童福祉施設等 (1) </t>
    </r>
    <r>
      <rPr>
        <b/>
        <sz val="10"/>
        <rFont val="ＭＳ Ｐゴシック"/>
        <family val="3"/>
        <charset val="128"/>
      </rPr>
      <t>（市指定）</t>
    </r>
    <r>
      <rPr>
        <sz val="10"/>
        <rFont val="ＭＳ Ｐゴシック"/>
        <family val="3"/>
        <charset val="128"/>
      </rPr>
      <t>」</t>
    </r>
    <phoneticPr fontId="3"/>
  </si>
  <si>
    <t>１３　備考（入力内容は概要書及び報告書の第二面7欄に反映されます）</t>
    <rPh sb="3" eb="5">
      <t>ビコウ</t>
    </rPh>
    <rPh sb="20" eb="21">
      <t>ダイ</t>
    </rPh>
    <rPh sb="21" eb="23">
      <t>ニメン</t>
    </rPh>
    <phoneticPr fontId="3"/>
  </si>
  <si>
    <r>
      <rPr>
        <b/>
        <sz val="11"/>
        <rFont val="ＭＳ Ｐゴシック"/>
        <family val="3"/>
        <charset val="128"/>
        <scheme val="major"/>
      </rPr>
      <t>前回調査時以降</t>
    </r>
    <r>
      <rPr>
        <sz val="11"/>
        <rFont val="ＭＳ Ｐゴシック"/>
        <family val="3"/>
        <charset val="128"/>
        <scheme val="major"/>
      </rPr>
      <t>の「増築、改築、用途変更等」について、古いものから順に記入してください。
建築確認を受けている場合は確認番号・検査済番号、各交付年月日を記入し、受けていない場合は工事が完了した年月日を記入してください。</t>
    </r>
    <rPh sb="44" eb="46">
      <t>ケンチク</t>
    </rPh>
    <rPh sb="68" eb="69">
      <t>カク</t>
    </rPh>
    <rPh sb="88" eb="90">
      <t>コウジ</t>
    </rPh>
    <phoneticPr fontId="3"/>
  </si>
  <si>
    <r>
      <rPr>
        <b/>
        <sz val="11"/>
        <rFont val="ＭＳ Ｐゴシック"/>
        <family val="3"/>
        <charset val="128"/>
        <scheme val="major"/>
      </rPr>
      <t>前回調査時より前</t>
    </r>
    <r>
      <rPr>
        <sz val="11"/>
        <rFont val="ＭＳ Ｐゴシック"/>
        <family val="3"/>
        <charset val="128"/>
        <scheme val="major"/>
      </rPr>
      <t>（＝</t>
    </r>
    <r>
      <rPr>
        <b/>
        <sz val="11"/>
        <rFont val="ＭＳ Ｐゴシック"/>
        <family val="3"/>
        <charset val="128"/>
        <scheme val="major"/>
      </rPr>
      <t>１１</t>
    </r>
    <r>
      <rPr>
        <sz val="11"/>
        <rFont val="ＭＳ Ｐゴシック"/>
        <family val="3"/>
        <charset val="128"/>
        <scheme val="major"/>
      </rPr>
      <t>　増築、改築、用途変更等の経過」に記載のもの</t>
    </r>
    <r>
      <rPr>
        <b/>
        <sz val="11"/>
        <rFont val="ＭＳ Ｐゴシック"/>
        <family val="3"/>
        <charset val="128"/>
        <scheme val="major"/>
      </rPr>
      <t>以外</t>
    </r>
    <r>
      <rPr>
        <sz val="11"/>
        <rFont val="ＭＳ Ｐゴシック"/>
        <family val="3"/>
        <charset val="128"/>
        <scheme val="major"/>
      </rPr>
      <t>）の「増築、改築、用途変更等」について、記入してください。建築確認を受けている場合は確認番号・検査済番号、各交付年月日を記入し、受けていない場合は工事が完了した年月日を記入してください。
全体計画認定の適用を受けている場合において、その旨を記入してください。
記載枠が足りず書ききれない場合は、別紙PDFを作成し、報告書に添えて提出してください。</t>
    </r>
    <phoneticPr fontId="3"/>
  </si>
  <si>
    <t>↑307行目～320行目結果の変換</t>
    <phoneticPr fontId="3"/>
  </si>
  <si>
    <t>↑325行目～347行目結果の変換</t>
  </si>
  <si>
    <t>↑352行目～365行目結果の変換</t>
    <phoneticPr fontId="3"/>
  </si>
  <si>
    <t>↑370行目～421行目結果の変換</t>
  </si>
  <si>
    <t>↑426行目～470行目結果の変換</t>
  </si>
  <si>
    <t>↑475行目～488行目結果の変換</t>
  </si>
  <si>
    <t>↑493行目～507行目結果の変換</t>
  </si>
  <si>
    <t>↑512行目～526行目結果の変換</t>
  </si>
  <si>
    <t>11行目</t>
    <rPh sb="2" eb="4">
      <t>ギョウメ</t>
    </rPh>
    <phoneticPr fontId="3"/>
  </si>
  <si>
    <t>12行目</t>
    <rPh sb="2" eb="4">
      <t>ギョウメ</t>
    </rPh>
    <phoneticPr fontId="3"/>
  </si>
  <si>
    <t>13行目</t>
    <rPh sb="2" eb="4">
      <t>ギョウメ</t>
    </rPh>
    <phoneticPr fontId="3"/>
  </si>
  <si>
    <t>14行目</t>
    <rPh sb="2" eb="4">
      <t>ギョウメ</t>
    </rPh>
    <phoneticPr fontId="3"/>
  </si>
  <si>
    <t>15行目</t>
    <rPh sb="2" eb="4">
      <t>ギョウメ</t>
    </rPh>
    <phoneticPr fontId="3"/>
  </si>
  <si>
    <t>20</t>
    <phoneticPr fontId="3"/>
  </si>
  <si>
    <t>直通階段の数について</t>
    <rPh sb="0" eb="4">
      <t>チョクツウカイダン</t>
    </rPh>
    <rPh sb="5" eb="6">
      <t>カズ</t>
    </rPh>
    <phoneticPr fontId="3"/>
  </si>
  <si>
    <t>直通階段の数</t>
    <phoneticPr fontId="3"/>
  </si>
  <si>
    <t>4</t>
  </si>
  <si>
    <t>メールアドレス（半角）</t>
  </si>
  <si>
    <t>代表となる調査者と同一チェック</t>
    <rPh sb="0" eb="2">
      <t>ダイヒョウ</t>
    </rPh>
    <rPh sb="5" eb="8">
      <t>チョウサシャ</t>
    </rPh>
    <rPh sb="9" eb="11">
      <t>ドウイツ</t>
    </rPh>
    <phoneticPr fontId="3"/>
  </si>
  <si>
    <t>代表となる調査者と勤務先が同一チェック</t>
    <rPh sb="0" eb="2">
      <t>ダイヒョウ</t>
    </rPh>
    <rPh sb="5" eb="8">
      <t>チョウサシャ</t>
    </rPh>
    <rPh sb="9" eb="11">
      <t>キンム</t>
    </rPh>
    <rPh sb="11" eb="12">
      <t>サキ</t>
    </rPh>
    <rPh sb="13" eb="15">
      <t>ドウイツ</t>
    </rPh>
    <phoneticPr fontId="3"/>
  </si>
  <si>
    <t>延べ面積</t>
    <rPh sb="0" eb="1">
      <t>ノ</t>
    </rPh>
    <rPh sb="2" eb="4">
      <t>メンセキ</t>
    </rPh>
    <phoneticPr fontId="3"/>
  </si>
  <si>
    <t>関係写真</t>
  </si>
  <si>
    <t>関係写真</t>
    <phoneticPr fontId="3"/>
  </si>
  <si>
    <t>特記事項(自由記入)</t>
  </si>
  <si>
    <t>特記事項(自由記入)</t>
    <phoneticPr fontId="3"/>
  </si>
  <si>
    <t>1</t>
  </si>
  <si>
    <t>1</t>
    <phoneticPr fontId="3"/>
  </si>
  <si>
    <t>2</t>
    <phoneticPr fontId="3"/>
  </si>
  <si>
    <t>3</t>
    <phoneticPr fontId="3"/>
  </si>
  <si>
    <t>4</t>
    <phoneticPr fontId="3"/>
  </si>
  <si>
    <t>5</t>
    <phoneticPr fontId="3"/>
  </si>
  <si>
    <t>6</t>
    <phoneticPr fontId="3"/>
  </si>
  <si>
    <t>7</t>
    <phoneticPr fontId="3"/>
  </si>
  <si>
    <t>8</t>
    <phoneticPr fontId="3"/>
  </si>
  <si>
    <t>9</t>
    <phoneticPr fontId="3"/>
  </si>
  <si>
    <t>10</t>
    <phoneticPr fontId="3"/>
  </si>
  <si>
    <t>11</t>
    <phoneticPr fontId="3"/>
  </si>
  <si>
    <t>12</t>
    <phoneticPr fontId="3"/>
  </si>
  <si>
    <t>13</t>
    <phoneticPr fontId="3"/>
  </si>
  <si>
    <t>14</t>
    <phoneticPr fontId="3"/>
  </si>
  <si>
    <t>15</t>
    <phoneticPr fontId="3"/>
  </si>
  <si>
    <t>16</t>
    <phoneticPr fontId="3"/>
  </si>
  <si>
    <t>17</t>
    <phoneticPr fontId="3"/>
  </si>
  <si>
    <t>18</t>
    <phoneticPr fontId="3"/>
  </si>
  <si>
    <t>19</t>
    <phoneticPr fontId="3"/>
  </si>
  <si>
    <t>20</t>
    <phoneticPr fontId="3"/>
  </si>
  <si>
    <t>項目番号</t>
    <rPh sb="0" eb="2">
      <t>コウモク</t>
    </rPh>
    <rPh sb="2" eb="4">
      <t>バンゴウ</t>
    </rPh>
    <phoneticPr fontId="3"/>
  </si>
  <si>
    <t>その他チェック</t>
    <rPh sb="2" eb="3">
      <t>タ</t>
    </rPh>
    <phoneticPr fontId="3"/>
  </si>
  <si>
    <t>特記</t>
    <phoneticPr fontId="3"/>
  </si>
  <si>
    <t>階別用途別床面積</t>
  </si>
  <si>
    <t>2報告内容に関する問合せ先-代表となる調査者と同一チェック-</t>
  </si>
  <si>
    <t>2報告内容に関する問合せ先-代表となる調査者と勤務先が同一チェック-</t>
  </si>
  <si>
    <t>4管理者-メールアドレス（半角）</t>
  </si>
  <si>
    <t>21設備（法第12条第三項関係など）-建築設備-有無-機械換気設備</t>
  </si>
  <si>
    <t>21設備（法第12条第三項関係など）-建築設備-有無-機械排煙設備</t>
  </si>
  <si>
    <t>21設備（法第12条第三項関係など）-建築設備-有無-非常用の照明装置</t>
  </si>
  <si>
    <t>21設備（法第12条第三項関係など）-建築設備-有無-給水設備及び排水設備</t>
  </si>
  <si>
    <t>21設備（法第12条第三項関係など）-建築設備-定期報告対象</t>
  </si>
  <si>
    <t>21設備（法第12条第三項関係など）-防火設備-有無</t>
  </si>
  <si>
    <t>21設備（法第12条第三項関係など）-防火設備-設置されている階-階</t>
  </si>
  <si>
    <t>21設備（法第12条第三項関係など）-防火設備-定期報告対象</t>
  </si>
  <si>
    <t>21設備（法第12条第三項関係など）-小荷物専用昇降機の有無-有無</t>
  </si>
  <si>
    <t>21設備（法第12条第三項関係など）-小荷物専用昇降機の有無-定期報告対象</t>
  </si>
  <si>
    <t>21設備（法第12条第三項関係など）-自動消火設備-有無-自動消火設備</t>
  </si>
  <si>
    <t>21設備（法第12条第三項関係など）-自動消火設備-設置されている階-階</t>
  </si>
  <si>
    <t>22自由記入欄-自由記入欄</t>
  </si>
  <si>
    <t>22自由記入欄-その他特記事項</t>
  </si>
  <si>
    <t>23調査結果-調査者番号-1</t>
  </si>
  <si>
    <t>23調査結果-調査者番号-2</t>
  </si>
  <si>
    <t>23調査結果-調査者番号-3</t>
  </si>
  <si>
    <t>23調査結果-敷地及び地盤-1（1）-調査結果</t>
  </si>
  <si>
    <t>23調査結果-敷地及び地盤-1（1）-調査者番号</t>
  </si>
  <si>
    <t>23調査結果-敷地及び地盤-1（1）-指摘の具体的内容等</t>
  </si>
  <si>
    <t>23調査結果-敷地及び地盤-1（1）-改善策の具体的内容等</t>
  </si>
  <si>
    <t>23調査結果-敷地及び地盤-1（1）-改善（予定）年月-年（令和）</t>
  </si>
  <si>
    <t>23調査結果-敷地及び地盤-1（1）-改善（予定）年月-月</t>
  </si>
  <si>
    <t>23調査結果-敷地及び地盤-1（1）-改善（予定）年月-未定</t>
  </si>
  <si>
    <t>23調査結果-敷地及び地盤-1（2）-調査結果</t>
  </si>
  <si>
    <t>23調査結果-敷地及び地盤-1（2）-調査者番号</t>
  </si>
  <si>
    <t>23調査結果-敷地及び地盤-1（2）-指摘の具体的内容等</t>
  </si>
  <si>
    <t>23調査結果-敷地及び地盤-1（2）-改善策の具体的内容等</t>
  </si>
  <si>
    <t>23調査結果-敷地及び地盤-1（2）-改善（予定）年月-年（令和）</t>
  </si>
  <si>
    <t>23調査結果-敷地及び地盤-1（2）-改善（予定）年月-月</t>
  </si>
  <si>
    <t>23調査結果-敷地及び地盤-1（2）-改善（予定）年月-未定</t>
  </si>
  <si>
    <t>23調査結果-敷地及び地盤-1（3）-調査結果</t>
  </si>
  <si>
    <t>23調査結果-敷地及び地盤-1（3）-調査者番号</t>
  </si>
  <si>
    <t>23調査結果-敷地及び地盤-1（3）-指摘の具体的内容等</t>
  </si>
  <si>
    <t>23調査結果-敷地及び地盤-1（3）-改善策の具体的内容等</t>
  </si>
  <si>
    <t>23調査結果-敷地及び地盤-1（3）-改善（予定）年月-年（令和）</t>
  </si>
  <si>
    <t>23調査結果-敷地及び地盤-1（3）-改善（予定）年月-月</t>
  </si>
  <si>
    <t>23調査結果-敷地及び地盤-1（3）-改善（予定）年月-未定</t>
  </si>
  <si>
    <t>23調査結果-敷地及び地盤-1（4）-調査結果</t>
  </si>
  <si>
    <t>23調査結果-敷地及び地盤-1（4）-調査者番号</t>
  </si>
  <si>
    <t>23調査結果-敷地及び地盤-1（4）-指摘の具体的内容等</t>
  </si>
  <si>
    <t>23調査結果-敷地及び地盤-1（4）-改善策の具体的内容等</t>
  </si>
  <si>
    <t>23調査結果-敷地及び地盤-1（4）-改善（予定）年月-年（令和）</t>
  </si>
  <si>
    <t>23調査結果-敷地及び地盤-1（4）-改善（予定）年月-月</t>
  </si>
  <si>
    <t>23調査結果-敷地及び地盤-1（4）-改善（予定）年月-未定</t>
  </si>
  <si>
    <t>23調査結果-敷地及び地盤-1（5）-調査結果</t>
  </si>
  <si>
    <t>23調査結果-敷地及び地盤-1（5）-調査者番号</t>
  </si>
  <si>
    <t>23調査結果-敷地及び地盤-1（5）-指摘の具体的内容等</t>
  </si>
  <si>
    <t>23調査結果-敷地及び地盤-1（5）-改善策の具体的内容等</t>
  </si>
  <si>
    <t>23調査結果-敷地及び地盤-1（5）-改善（予定）年月-年（令和）</t>
  </si>
  <si>
    <t>23調査結果-敷地及び地盤-1（5）-改善（予定）年月-月</t>
  </si>
  <si>
    <t>23調査結果-敷地及び地盤-1（5）-改善（予定）年月-未定</t>
  </si>
  <si>
    <t>23調査結果-敷地及び地盤-1（6）-調査結果</t>
  </si>
  <si>
    <t>23調査結果-敷地及び地盤-1（6）-調査者番号</t>
  </si>
  <si>
    <t>23調査結果-敷地及び地盤-1（6）-指摘の具体的内容等</t>
  </si>
  <si>
    <t>23調査結果-敷地及び地盤-1（6）-改善策の具体的内容等</t>
  </si>
  <si>
    <t>23調査結果-敷地及び地盤-1（6）-改善（予定）年月-年（令和）</t>
  </si>
  <si>
    <t>23調査結果-敷地及び地盤-1（6）-改善（予定）年月-月</t>
  </si>
  <si>
    <t>23調査結果-敷地及び地盤-1（6）-改善（予定）年月-未定</t>
  </si>
  <si>
    <t>23調査結果-敷地及び地盤-1（7）-調査結果</t>
  </si>
  <si>
    <t>23調査結果-敷地及び地盤-1（7）-調査者番号</t>
  </si>
  <si>
    <t>23調査結果-敷地及び地盤-1（7）-指摘の具体的内容等</t>
  </si>
  <si>
    <t>23調査結果-敷地及び地盤-1（7）-改善策の具体的内容等</t>
  </si>
  <si>
    <t>23調査結果-敷地及び地盤-1（7）-改善（予定）年月-年（令和）</t>
  </si>
  <si>
    <t>23調査結果-敷地及び地盤-1（7）-改善（予定）年月-月</t>
  </si>
  <si>
    <t>23調査結果-敷地及び地盤-1（7）-改善（予定）年月-未定</t>
  </si>
  <si>
    <t>23調査結果-敷地及び地盤-1（8）-調査結果</t>
  </si>
  <si>
    <t>23調査結果-敷地及び地盤-1（8）-調査者番号</t>
  </si>
  <si>
    <t>23調査結果-敷地及び地盤-1（8）-指摘の具体的内容等</t>
  </si>
  <si>
    <t>23調査結果-敷地及び地盤-1（8）-改善策の具体的内容等</t>
  </si>
  <si>
    <t>23調査結果-敷地及び地盤-1（8）-改善（予定）年月-年（令和）</t>
  </si>
  <si>
    <t>23調査結果-敷地及び地盤-1（8）-改善（予定）年月-月</t>
  </si>
  <si>
    <t>23調査結果-敷地及び地盤-1（8）-改善（予定）年月-未定</t>
  </si>
  <si>
    <t>23調査結果-敷地及び地盤-1（9）-調査結果</t>
  </si>
  <si>
    <t>23調査結果-敷地及び地盤-1（9）-調査者番号</t>
  </si>
  <si>
    <t>23調査結果-敷地及び地盤-1（9）-指摘の具体的内容等</t>
  </si>
  <si>
    <t>23調査結果-敷地及び地盤-1（9）-改善策の具体的内容等</t>
  </si>
  <si>
    <t>23調査結果-敷地及び地盤-1（9）-改善（予定）年月-年（令和）</t>
  </si>
  <si>
    <t>23調査結果-敷地及び地盤-1（9）-改善（予定）年月-月</t>
  </si>
  <si>
    <t>23調査結果-敷地及び地盤-1（9）-改善（予定）年月-未定</t>
  </si>
  <si>
    <t>23調査結果-建築物の外部-2（1）-調査結果</t>
  </si>
  <si>
    <t>23調査結果-建築物の外部-2（1）-調査者番号</t>
  </si>
  <si>
    <t>23調査結果-建築物の外部-2（1）-指摘の具体的内容等</t>
  </si>
  <si>
    <t>23調査結果-建築物の外部-2（1）-改善策の具体的内容等</t>
  </si>
  <si>
    <t>23調査結果-建築物の外部-2（1）-改善（予定）年月-年（令和）</t>
  </si>
  <si>
    <t>23調査結果-建築物の外部-2（1）-改善（予定）年月-月</t>
  </si>
  <si>
    <t>23調査結果-建築物の外部-2（1）-改善（予定）年月-未定</t>
  </si>
  <si>
    <t>23調査結果-建築物の外部-2（2）-調査結果</t>
  </si>
  <si>
    <t>23調査結果-建築物の外部-2（2）-調査者番号</t>
  </si>
  <si>
    <t>23調査結果-建築物の外部-2（2）-指摘の具体的内容等</t>
  </si>
  <si>
    <t>23調査結果-建築物の外部-2（2）-改善策の具体的内容等</t>
  </si>
  <si>
    <t>23調査結果-建築物の外部-2（2）-改善（予定）年月-年（令和）</t>
  </si>
  <si>
    <t>23調査結果-建築物の外部-2（2）-改善（予定）年月-月</t>
  </si>
  <si>
    <t>23調査結果-建築物の外部-2（2）-改善（予定）年月-未定</t>
  </si>
  <si>
    <t>23調査結果-建築物の外部-2（3）-調査結果</t>
  </si>
  <si>
    <t>23調査結果-建築物の外部-2（3）-調査者番号</t>
  </si>
  <si>
    <t>23調査結果-建築物の外部-2（3）-指摘の具体的内容等</t>
  </si>
  <si>
    <t>23調査結果-建築物の外部-2（3）-改善策の具体的内容等</t>
  </si>
  <si>
    <t>23調査結果-建築物の外部-2（3）-改善（予定）年月-年（令和）</t>
  </si>
  <si>
    <t>23調査結果-建築物の外部-2（3）-改善（予定）年月-月</t>
  </si>
  <si>
    <t>23調査結果-建築物の外部-2（3）-改善（予定）年月-未定</t>
  </si>
  <si>
    <t>23調査結果-建築物の外部-2（4）-調査結果</t>
  </si>
  <si>
    <t>23調査結果-建築物の外部-2（4）-調査者番号</t>
  </si>
  <si>
    <t>23調査結果-建築物の外部-2（4）-指摘の具体的内容等</t>
  </si>
  <si>
    <t>23調査結果-建築物の外部-2（4）-改善策の具体的内容等</t>
  </si>
  <si>
    <t>23調査結果-建築物の外部-2（4）-改善（予定）年月-年（令和）</t>
  </si>
  <si>
    <t>23調査結果-建築物の外部-2（4）-改善（予定）年月-月</t>
  </si>
  <si>
    <t>23調査結果-建築物の外部-2（4）-改善（予定）年月-未定</t>
  </si>
  <si>
    <t>23調査結果-建築物の外部-2（5）-調査結果</t>
  </si>
  <si>
    <t>23調査結果-建築物の外部-2（5）-調査者番号</t>
  </si>
  <si>
    <t>23調査結果-建築物の外部-2（5）-指摘の具体的内容等</t>
  </si>
  <si>
    <t>23調査結果-建築物の外部-2（5）-改善策の具体的内容等</t>
  </si>
  <si>
    <t>23調査結果-建築物の外部-2（5）-改善（予定）年月-年（令和）</t>
  </si>
  <si>
    <t>23調査結果-建築物の外部-2（5）-改善（予定）年月-月</t>
  </si>
  <si>
    <t>23調査結果-建築物の外部-2（5）-改善（予定）年月-未定</t>
  </si>
  <si>
    <t>23調査結果-建築物の外部-2（6）-調査結果</t>
  </si>
  <si>
    <t>23調査結果-建築物の外部-2（6）-調査者番号</t>
  </si>
  <si>
    <t>23調査結果-建築物の外部-2（6）-指摘の具体的内容等</t>
  </si>
  <si>
    <t>23調査結果-建築物の外部-2（6）-改善策の具体的内容等</t>
  </si>
  <si>
    <t>23調査結果-建築物の外部-2（6）-改善（予定）年月-年（令和）</t>
  </si>
  <si>
    <t>23調査結果-建築物の外部-2（6）-改善（予定）年月-月</t>
  </si>
  <si>
    <t>23調査結果-建築物の外部-2（6）-改善（予定）年月-未定</t>
  </si>
  <si>
    <t>23調査結果-建築物の外部-2（7）-調査結果</t>
  </si>
  <si>
    <t>23調査結果-建築物の外部-2（7）-調査者番号</t>
  </si>
  <si>
    <t>23調査結果-建築物の外部-2（7）-指摘の具体的内容等</t>
  </si>
  <si>
    <t>23調査結果-建築物の外部-2（7）-改善策の具体的内容等</t>
  </si>
  <si>
    <t>23調査結果-建築物の外部-2（7）-改善（予定）年月-年（令和）</t>
  </si>
  <si>
    <t>23調査結果-建築物の外部-2（7）-改善（予定）年月-月</t>
  </si>
  <si>
    <t>23調査結果-建築物の外部-2（7）-改善（予定）年月-未定</t>
  </si>
  <si>
    <t>23調査結果-建築物の外部-2（8）-調査結果</t>
  </si>
  <si>
    <t>23調査結果-建築物の外部-2（8）-調査者番号</t>
  </si>
  <si>
    <t>23調査結果-建築物の外部-2（8）-指摘の具体的内容等</t>
  </si>
  <si>
    <t>23調査結果-建築物の外部-2（8）-改善策の具体的内容等</t>
  </si>
  <si>
    <t>23調査結果-建築物の外部-2（8）-改善（予定）年月-年（令和）</t>
  </si>
  <si>
    <t>23調査結果-建築物の外部-2（8）-改善（予定）年月-月</t>
  </si>
  <si>
    <t>23調査結果-建築物の外部-2（8）-改善（予定）年月-未定</t>
  </si>
  <si>
    <t>23調査結果-建築物の外部-2（9）-調査結果</t>
  </si>
  <si>
    <t>23調査結果-建築物の外部-2（9）-調査者番号</t>
  </si>
  <si>
    <t>23調査結果-建築物の外部-2（9）-指摘の具体的内容等</t>
  </si>
  <si>
    <t>23調査結果-建築物の外部-2（9）-改善策の具体的内容等</t>
  </si>
  <si>
    <t>23調査結果-建築物の外部-2（9）-改善（予定）年月-年（令和）</t>
  </si>
  <si>
    <t>23調査結果-建築物の外部-2（9）-改善（予定）年月-月</t>
  </si>
  <si>
    <t>23調査結果-建築物の外部-2（9）-改善（予定）年月-未定</t>
  </si>
  <si>
    <t>23調査結果-建築物の外部-2（10）-調査結果</t>
  </si>
  <si>
    <t>23調査結果-建築物の外部-2（10）-調査者番号</t>
  </si>
  <si>
    <t>23調査結果-建築物の外部-2（10）-指摘の具体的内容等</t>
  </si>
  <si>
    <t>23調査結果-建築物の外部-2（10）-改善策の具体的内容等</t>
  </si>
  <si>
    <t>23調査結果-建築物の外部-2（10）-改善（予定）年月-年（令和）</t>
  </si>
  <si>
    <t>23調査結果-建築物の外部-2（10）-改善（予定）年月-月</t>
  </si>
  <si>
    <t>23調査結果-建築物の外部-2（10）-改善（予定）年月-未定</t>
  </si>
  <si>
    <t>23調査結果-建築物の外部-2（11）-調査結果</t>
  </si>
  <si>
    <t>23調査結果-建築物の外部-2（11）-調査者番号</t>
  </si>
  <si>
    <t>23調査結果-建築物の外部-2（11）-指摘の具体的内容等</t>
  </si>
  <si>
    <t>23調査結果-建築物の外部-2（11）-改善策の具体的内容等</t>
  </si>
  <si>
    <t>23調査結果-建築物の外部-2（11）-改善（予定）年月-年（令和）</t>
  </si>
  <si>
    <t>23調査結果-建築物の外部-2（11）-改善（予定）年月-月</t>
  </si>
  <si>
    <t>23調査結果-建築物の外部-2（11）-改善（予定）年月-未定</t>
  </si>
  <si>
    <t>23調査結果-建築物の外部-2（12）-調査結果</t>
  </si>
  <si>
    <t>23調査結果-建築物の外部-2（12）-調査者番号</t>
  </si>
  <si>
    <t>23調査結果-建築物の外部-2（12）-指摘の具体的内容等</t>
  </si>
  <si>
    <t>23調査結果-建築物の外部-2（12）-改善策の具体的内容等</t>
  </si>
  <si>
    <t>23調査結果-建築物の外部-2（12）-改善（予定）年月-年（令和）</t>
  </si>
  <si>
    <t>23調査結果-建築物の外部-2（12）-改善（予定）年月-月</t>
  </si>
  <si>
    <t>23調査結果-建築物の外部-2（12）-改善（予定）年月-未定</t>
  </si>
  <si>
    <t>23調査結果-建築物の外部-2（13）-調査結果</t>
  </si>
  <si>
    <t>23調査結果-建築物の外部-2（13）-調査者番号</t>
  </si>
  <si>
    <t>23調査結果-建築物の外部-2（13）-指摘の具体的内容等</t>
  </si>
  <si>
    <t>23調査結果-建築物の外部-2（13）-改善策の具体的内容等</t>
  </si>
  <si>
    <t>23調査結果-建築物の外部-2（13）-改善（予定）年月-年（令和）</t>
  </si>
  <si>
    <t>23調査結果-建築物の外部-2（13）-改善（予定）年月-月</t>
  </si>
  <si>
    <t>23調査結果-建築物の外部-2（13）-改善（予定）年月-未定</t>
  </si>
  <si>
    <t>23調査結果-建築物の外部-2（14）-調査結果</t>
  </si>
  <si>
    <t>23調査結果-建築物の外部-2（14）-調査者番号</t>
  </si>
  <si>
    <t>23調査結果-建築物の外部-2（14）-指摘の具体的内容等</t>
  </si>
  <si>
    <t>23調査結果-建築物の外部-2（14）-改善策の具体的内容等</t>
  </si>
  <si>
    <t>23調査結果-建築物の外部-2（14）-改善（予定）年月-年（令和）</t>
  </si>
  <si>
    <t>23調査結果-建築物の外部-2（14）-改善（予定）年月-月</t>
  </si>
  <si>
    <t>23調査結果-建築物の外部-2（14）-改善（予定）年月-未定</t>
  </si>
  <si>
    <t>23調査結果-建築物の外部-2（15）-調査結果</t>
  </si>
  <si>
    <t>23調査結果-建築物の外部-2（15）-調査者番号</t>
  </si>
  <si>
    <t>23調査結果-建築物の外部-2（15）-指摘の具体的内容等</t>
  </si>
  <si>
    <t>23調査結果-建築物の外部-2（15）-改善策の具体的内容等</t>
  </si>
  <si>
    <t>23調査結果-建築物の外部-2（15）-改善（予定）年月-年（令和）</t>
  </si>
  <si>
    <t>23調査結果-建築物の外部-2（15）-改善（予定）年月-月</t>
  </si>
  <si>
    <t>23調査結果-建築物の外部-2（15）-改善（予定）年月-未定</t>
  </si>
  <si>
    <t>23調査結果-建築物の外部-2（16）-調査結果</t>
  </si>
  <si>
    <t>23調査結果-建築物の外部-2（16）-調査者番号</t>
  </si>
  <si>
    <t>23調査結果-建築物の外部-2（16）-指摘の具体的内容等</t>
  </si>
  <si>
    <t>23調査結果-建築物の外部-2（16）-改善策の具体的内容等</t>
  </si>
  <si>
    <t>23調査結果-建築物の外部-2（16）-改善（予定）年月-年（令和）</t>
  </si>
  <si>
    <t>23調査結果-建築物の外部-2（16）-改善（予定）年月-月</t>
  </si>
  <si>
    <t>23調査結果-建築物の外部-2（16）-改善（予定）年月-未定</t>
  </si>
  <si>
    <t>23調査結果-建築物の外部-2（17）-調査結果</t>
  </si>
  <si>
    <t>23調査結果-建築物の外部-2（17）-調査者番号</t>
  </si>
  <si>
    <t>23調査結果-建築物の外部-2（17）-指摘の具体的内容等</t>
  </si>
  <si>
    <t>23調査結果-建築物の外部-2（17）-改善策の具体的内容等</t>
  </si>
  <si>
    <t>23調査結果-建築物の外部-2（17）-改善（予定）年月-年（令和）</t>
  </si>
  <si>
    <t>23調査結果-建築物の外部-2（17）-改善（予定）年月-月</t>
  </si>
  <si>
    <t>23調査結果-建築物の外部-2（17）-改善（予定）年月-未定</t>
  </si>
  <si>
    <t>23調査結果-建築物の外部-2（18）-調査結果</t>
  </si>
  <si>
    <t>23調査結果-建築物の外部-2（18）-調査者番号</t>
  </si>
  <si>
    <t>23調査結果-建築物の外部-2（18）-指摘の具体的内容等</t>
  </si>
  <si>
    <t>23調査結果-建築物の外部-2（18）-改善策の具体的内容等</t>
  </si>
  <si>
    <t>23調査結果-建築物の外部-2（18）-改善（予定）年月-年（令和）</t>
  </si>
  <si>
    <t>23調査結果-建築物の外部-2（18）-改善（予定）年月-月</t>
  </si>
  <si>
    <t>23調査結果-建築物の外部-2（18）-改善（予定）年月-未定</t>
  </si>
  <si>
    <t>23調査結果-屋上及び屋根-3（1）-調査結果</t>
  </si>
  <si>
    <t>23調査結果-屋上及び屋根-3（1）-調査者番号</t>
  </si>
  <si>
    <t>23調査結果-屋上及び屋根-3（1）-指摘の具体的内容等</t>
  </si>
  <si>
    <t>23調査結果-屋上及び屋根-3（1）-改善策の具体的内容等</t>
  </si>
  <si>
    <t>23調査結果-屋上及び屋根-3（1）-改善（予定）年月-年（令和）</t>
  </si>
  <si>
    <t>23調査結果-屋上及び屋根-3（1）-改善（予定）年月-月</t>
  </si>
  <si>
    <t>23調査結果-屋上及び屋根-3（1）-改善（予定）年月-未定</t>
  </si>
  <si>
    <t>23調査結果-屋上及び屋根-3（2）-調査結果</t>
  </si>
  <si>
    <t>23調査結果-屋上及び屋根-3（2）-調査者番号</t>
  </si>
  <si>
    <t>23調査結果-屋上及び屋根-3（2）-指摘の具体的内容等</t>
  </si>
  <si>
    <t>23調査結果-屋上及び屋根-3（2）-改善策の具体的内容等</t>
  </si>
  <si>
    <t>23調査結果-屋上及び屋根-3（2）-改善（予定）年月-年（令和）</t>
  </si>
  <si>
    <t>23調査結果-屋上及び屋根-3（2）-改善（予定）年月-月</t>
  </si>
  <si>
    <t>23調査結果-屋上及び屋根-3（2）-改善（予定）年月-未定</t>
  </si>
  <si>
    <t>23調査結果-屋上及び屋根-3（3）-調査結果</t>
  </si>
  <si>
    <t>23調査結果-屋上及び屋根-3（3）-調査者番号</t>
  </si>
  <si>
    <t>23調査結果-屋上及び屋根-3（3）-指摘の具体的内容等</t>
  </si>
  <si>
    <t>23調査結果-屋上及び屋根-3（3）-改善策の具体的内容等</t>
  </si>
  <si>
    <t>23調査結果-屋上及び屋根-3（3）-改善（予定）年月-年（令和）</t>
  </si>
  <si>
    <t>23調査結果-屋上及び屋根-3（3）-改善（予定）年月-月</t>
  </si>
  <si>
    <t>23調査結果-屋上及び屋根-3（3）-改善（予定）年月-未定</t>
  </si>
  <si>
    <t>23調査結果-屋上及び屋根-3（4）-調査結果</t>
  </si>
  <si>
    <t>23調査結果-屋上及び屋根-3（4）-調査者番号</t>
  </si>
  <si>
    <t>23調査結果-屋上及び屋根-3（4）-指摘の具体的内容等</t>
  </si>
  <si>
    <t>23調査結果-屋上及び屋根-3（4）-改善策の具体的内容等</t>
  </si>
  <si>
    <t>23調査結果-屋上及び屋根-3（4）-改善（予定）年月-年（令和）</t>
  </si>
  <si>
    <t>23調査結果-屋上及び屋根-3（4）-改善（予定）年月-月</t>
  </si>
  <si>
    <t>23調査結果-屋上及び屋根-3（4）-改善（予定）年月-未定</t>
  </si>
  <si>
    <t>23調査結果-屋上及び屋根-3（5）-調査結果</t>
  </si>
  <si>
    <t>23調査結果-屋上及び屋根-3（5）-調査者番号</t>
  </si>
  <si>
    <t>23調査結果-屋上及び屋根-3（5）-指摘の具体的内容等</t>
  </si>
  <si>
    <t>23調査結果-屋上及び屋根-3（5）-改善策の具体的内容等</t>
  </si>
  <si>
    <t>23調査結果-屋上及び屋根-3（5）-改善（予定）年月-年（令和）</t>
  </si>
  <si>
    <t>23調査結果-屋上及び屋根-3（5）-改善（予定）年月-月</t>
  </si>
  <si>
    <t>23調査結果-屋上及び屋根-3（5）-改善（予定）年月-未定</t>
  </si>
  <si>
    <t>23調査結果-屋上及び屋根-3（6）-調査結果</t>
  </si>
  <si>
    <t>23調査結果-屋上及び屋根-3（6）-調査者番号</t>
  </si>
  <si>
    <t>23調査結果-屋上及び屋根-3（6）-指摘の具体的内容等</t>
  </si>
  <si>
    <t>23調査結果-屋上及び屋根-3（6）-改善策の具体的内容等</t>
  </si>
  <si>
    <t>23調査結果-屋上及び屋根-3（6）-改善（予定）年月-年（令和）</t>
  </si>
  <si>
    <t>23調査結果-屋上及び屋根-3（6）-改善（予定）年月-月</t>
  </si>
  <si>
    <t>23調査結果-屋上及び屋根-3（6）-改善（予定）年月-未定</t>
  </si>
  <si>
    <t>23調査結果-屋上及び屋根-3（7）-調査結果</t>
  </si>
  <si>
    <t>23調査結果-屋上及び屋根-3（7）-調査者番号</t>
  </si>
  <si>
    <t>23調査結果-屋上及び屋根-3（7）-指摘の具体的内容等</t>
  </si>
  <si>
    <t>23調査結果-屋上及び屋根-3（7）-改善策の具体的内容等</t>
  </si>
  <si>
    <t>23調査結果-屋上及び屋根-3（7）-改善（予定）年月-年（令和）</t>
  </si>
  <si>
    <t>23調査結果-屋上及び屋根-3（7）-改善（予定）年月-月</t>
  </si>
  <si>
    <t>23調査結果-屋上及び屋根-3（7）-改善（予定）年月-未定</t>
  </si>
  <si>
    <t>23調査結果-屋上及び屋根-3（8）-調査結果</t>
  </si>
  <si>
    <t>23調査結果-屋上及び屋根-3（8）-調査者番号</t>
  </si>
  <si>
    <t>23調査結果-屋上及び屋根-3（8）-指摘の具体的内容等</t>
  </si>
  <si>
    <t>23調査結果-屋上及び屋根-3（8）-改善策の具体的内容等</t>
  </si>
  <si>
    <t>23調査結果-屋上及び屋根-3（8）-改善（予定）年月-年（令和）</t>
  </si>
  <si>
    <t>23調査結果-屋上及び屋根-3（8）-改善（予定）年月-月</t>
  </si>
  <si>
    <t>23調査結果-屋上及び屋根-3（8）-改善（予定）年月-未定</t>
  </si>
  <si>
    <t>23調査結果-屋上及び屋根-3（9）-調査結果</t>
  </si>
  <si>
    <t>23調査結果-屋上及び屋根-3（9）-調査者番号</t>
  </si>
  <si>
    <t>23調査結果-屋上及び屋根-3（9）-指摘の具体的内容等</t>
  </si>
  <si>
    <t>23調査結果-屋上及び屋根-3（9）-改善策の具体的内容等</t>
  </si>
  <si>
    <t>23調査結果-屋上及び屋根-3（9）-改善（予定）年月-年（令和）</t>
  </si>
  <si>
    <t>23調査結果-屋上及び屋根-3（9）-改善（予定）年月-月</t>
  </si>
  <si>
    <t>23調査結果-屋上及び屋根-3（9）-改善（予定）年月-未定</t>
  </si>
  <si>
    <t>23調査結果-建築物の内部-4（1）-調査結果</t>
  </si>
  <si>
    <t>23調査結果-建築物の内部-4（1）-調査者番号</t>
  </si>
  <si>
    <t>23調査結果-建築物の内部-4（1）-指摘の具体的内容等</t>
  </si>
  <si>
    <t>23調査結果-建築物の内部-4（1）-改善策の具体的内容等</t>
  </si>
  <si>
    <t>23調査結果-建築物の内部-4（1）-改善（予定）年月-年（令和）</t>
  </si>
  <si>
    <t>23調査結果-建築物の内部-4（1）-改善（予定）年月-月</t>
  </si>
  <si>
    <t>23調査結果-建築物の内部-4（1）-改善（予定）年月-未定</t>
  </si>
  <si>
    <t>23調査結果-建築物の内部-4（2）-調査結果</t>
  </si>
  <si>
    <t>23調査結果-建築物の内部-4（2）-調査者番号</t>
  </si>
  <si>
    <t>23調査結果-建築物の内部-4（2）-指摘の具体的内容等</t>
  </si>
  <si>
    <t>23調査結果-建築物の内部-4（2）-改善策の具体的内容等</t>
  </si>
  <si>
    <t>23調査結果-建築物の内部-4（2）-改善（予定）年月-年（令和）</t>
  </si>
  <si>
    <t>23調査結果-建築物の内部-4（2）-改善（予定）年月-月</t>
  </si>
  <si>
    <t>23調査結果-建築物の内部-4（2）-改善（予定）年月-未定</t>
  </si>
  <si>
    <t>23調査結果-建築物の内部-4（3）-調査結果</t>
  </si>
  <si>
    <t>23調査結果-建築物の内部-4（3）-調査者番号</t>
  </si>
  <si>
    <t>23調査結果-建築物の内部-4（3）-指摘の具体的内容等</t>
  </si>
  <si>
    <t>23調査結果-建築物の内部-4（3）-改善策の具体的内容等</t>
  </si>
  <si>
    <t>23調査結果-建築物の内部-4（3）-改善（予定）年月-年（令和）</t>
  </si>
  <si>
    <t>23調査結果-建築物の内部-4（3）-改善（予定）年月-月</t>
  </si>
  <si>
    <t>23調査結果-建築物の内部-4（3）-改善（予定）年月-未定</t>
  </si>
  <si>
    <t>23調査結果-建築物の内部-4（4）-調査結果</t>
  </si>
  <si>
    <t>23調査結果-建築物の内部-4（4）-調査者番号</t>
  </si>
  <si>
    <t>23調査結果-建築物の内部-4（4）-指摘の具体的内容等</t>
  </si>
  <si>
    <t>23調査結果-建築物の内部-4（4）-改善策の具体的内容等</t>
  </si>
  <si>
    <t>23調査結果-建築物の内部-4（4）-改善（予定）年月-年（令和）</t>
  </si>
  <si>
    <t>23調査結果-建築物の内部-4（4）-改善（予定）年月-月</t>
  </si>
  <si>
    <t>23調査結果-建築物の内部-4（4）-改善（予定）年月-未定</t>
  </si>
  <si>
    <t>23調査結果-建築物の内部-4（5）-調査結果</t>
  </si>
  <si>
    <t>23調査結果-建築物の内部-4（5）-調査者番号</t>
  </si>
  <si>
    <t>23調査結果-建築物の内部-4（5）-指摘の具体的内容等</t>
  </si>
  <si>
    <t>23調査結果-建築物の内部-4（5）-改善策の具体的内容等</t>
  </si>
  <si>
    <t>23調査結果-建築物の内部-4（5）-改善（予定）年月-年（令和）</t>
  </si>
  <si>
    <t>23調査結果-建築物の内部-4（5）-改善（予定）年月-月</t>
  </si>
  <si>
    <t>23調査結果-建築物の内部-4（5）-改善（予定）年月-未定</t>
  </si>
  <si>
    <t>23調査結果-建築物の内部-4（6）-調査結果</t>
  </si>
  <si>
    <t>23調査結果-建築物の内部-4（6）-調査者番号</t>
  </si>
  <si>
    <t>23調査結果-建築物の内部-4（6）-指摘の具体的内容等</t>
  </si>
  <si>
    <t>23調査結果-建築物の内部-4（6）-改善策の具体的内容等</t>
  </si>
  <si>
    <t>23調査結果-建築物の内部-4（6）-改善（予定）年月-年（令和）</t>
  </si>
  <si>
    <t>23調査結果-建築物の内部-4（6）-改善（予定）年月-月</t>
  </si>
  <si>
    <t>23調査結果-建築物の内部-4（6）-改善（予定）年月-未定</t>
  </si>
  <si>
    <t>23調査結果-建築物の内部-4（7）-調査結果</t>
  </si>
  <si>
    <t>23調査結果-建築物の内部-4（7）-調査者番号</t>
  </si>
  <si>
    <t>23調査結果-建築物の内部-4（7）-指摘の具体的内容等</t>
  </si>
  <si>
    <t>23調査結果-建築物の内部-4（7）-改善策の具体的内容等</t>
  </si>
  <si>
    <t>23調査結果-建築物の内部-4（7）-改善（予定）年月-年（令和）</t>
  </si>
  <si>
    <t>23調査結果-建築物の内部-4（7）-改善（予定）年月-月</t>
  </si>
  <si>
    <t>23調査結果-建築物の内部-4（7）-改善（予定）年月-未定</t>
  </si>
  <si>
    <t>23調査結果-建築物の内部-4（8）-調査結果</t>
  </si>
  <si>
    <t>23調査結果-建築物の内部-4（8）-調査者番号</t>
  </si>
  <si>
    <t>23調査結果-建築物の内部-4（8）-指摘の具体的内容等</t>
  </si>
  <si>
    <t>23調査結果-建築物の内部-4（8）-改善策の具体的内容等</t>
  </si>
  <si>
    <t>23調査結果-建築物の内部-4（8）-改善（予定）年月-年（令和）</t>
  </si>
  <si>
    <t>23調査結果-建築物の内部-4（8）-改善（予定）年月-月</t>
  </si>
  <si>
    <t>23調査結果-建築物の内部-4（8）-改善（予定）年月-未定</t>
  </si>
  <si>
    <t>23調査結果-建築物の内部-4（9）-調査結果</t>
  </si>
  <si>
    <t>23調査結果-建築物の内部-4（9）-調査者番号</t>
  </si>
  <si>
    <t>23調査結果-建築物の内部-4（9）-指摘の具体的内容等</t>
  </si>
  <si>
    <t>23調査結果-建築物の内部-4（9）-改善策の具体的内容等</t>
  </si>
  <si>
    <t>23調査結果-建築物の内部-4（9）-改善（予定）年月-年（令和）</t>
  </si>
  <si>
    <t>23調査結果-建築物の内部-4（9）-改善（予定）年月-月</t>
  </si>
  <si>
    <t>23調査結果-建築物の内部-4（9）-改善（予定）年月-未定</t>
  </si>
  <si>
    <t>23調査結果-建築物の内部-4（10）-調査結果</t>
  </si>
  <si>
    <t>23調査結果-建築物の内部-4（10）-調査者番号</t>
  </si>
  <si>
    <t>23調査結果-建築物の内部-4（10）-指摘の具体的内容等</t>
  </si>
  <si>
    <t>23調査結果-建築物の内部-4（10）-改善策の具体的内容等</t>
  </si>
  <si>
    <t>23調査結果-建築物の内部-4（10）-改善（予定）年月-年（令和）</t>
  </si>
  <si>
    <t>23調査結果-建築物の内部-4（10）-改善（予定）年月-月</t>
  </si>
  <si>
    <t>23調査結果-建築物の内部-4（10）-改善（予定）年月-未定</t>
  </si>
  <si>
    <t>23調査結果-建築物の内部-4（11）-調査結果</t>
  </si>
  <si>
    <t>23調査結果-建築物の内部-4（11）-調査者番号</t>
  </si>
  <si>
    <t>23調査結果-建築物の内部-4（11）-指摘の具体的内容等</t>
  </si>
  <si>
    <t>23調査結果-建築物の内部-4（11）-改善策の具体的内容等</t>
  </si>
  <si>
    <t>23調査結果-建築物の内部-4（11）-改善（予定）年月-年（令和）</t>
  </si>
  <si>
    <t>23調査結果-建築物の内部-4（11）-改善（予定）年月-月</t>
  </si>
  <si>
    <t>23調査結果-建築物の内部-4（11）-改善（予定）年月-未定</t>
  </si>
  <si>
    <t>23調査結果-建築物の内部-4（12）-調査結果</t>
  </si>
  <si>
    <t>23調査結果-建築物の内部-4（12）-調査者番号</t>
  </si>
  <si>
    <t>23調査結果-建築物の内部-4（12）-指摘の具体的内容等</t>
  </si>
  <si>
    <t>23調査結果-建築物の内部-4（12）-改善策の具体的内容等</t>
  </si>
  <si>
    <t>23調査結果-建築物の内部-4（12）-改善（予定）年月-年（令和）</t>
  </si>
  <si>
    <t>23調査結果-建築物の内部-4（12）-改善（予定）年月-月</t>
  </si>
  <si>
    <t>23調査結果-建築物の内部-4（12）-改善（予定）年月-未定</t>
  </si>
  <si>
    <t>23調査結果-建築物の内部-4（13）-調査結果</t>
  </si>
  <si>
    <t>23調査結果-建築物の内部-4（13）-調査者番号</t>
  </si>
  <si>
    <t>23調査結果-建築物の内部-4（13）-指摘の具体的内容等</t>
  </si>
  <si>
    <t>23調査結果-建築物の内部-4（13）-改善策の具体的内容等</t>
  </si>
  <si>
    <t>23調査結果-建築物の内部-4（13）-改善（予定）年月-年（令和）</t>
  </si>
  <si>
    <t>23調査結果-建築物の内部-4（13）-改善（予定）年月-月</t>
  </si>
  <si>
    <t>23調査結果-建築物の内部-4（13）-改善（予定）年月-未定</t>
  </si>
  <si>
    <t>23調査結果-建築物の内部-4（14）-調査結果</t>
  </si>
  <si>
    <t>23調査結果-建築物の内部-4（14）-調査者番号</t>
  </si>
  <si>
    <t>23調査結果-建築物の内部-4（14）-指摘の具体的内容等</t>
  </si>
  <si>
    <t>23調査結果-建築物の内部-4（14）-改善策の具体的内容等</t>
  </si>
  <si>
    <t>23調査結果-建築物の内部-4（14）-改善（予定）年月-年（令和）</t>
  </si>
  <si>
    <t>23調査結果-建築物の内部-4（14）-改善（予定）年月-月</t>
  </si>
  <si>
    <t>23調査結果-建築物の内部-4（14）-改善（予定）年月-未定</t>
  </si>
  <si>
    <t>23調査結果-建築物の内部-4（15）-調査結果</t>
  </si>
  <si>
    <t>23調査結果-建築物の内部-4（15）-調査者番号</t>
  </si>
  <si>
    <t>23調査結果-建築物の内部-4（15）-指摘の具体的内容等</t>
  </si>
  <si>
    <t>23調査結果-建築物の内部-4（15）-改善策の具体的内容等</t>
  </si>
  <si>
    <t>23調査結果-建築物の内部-4（15）-改善（予定）年月-年（令和）</t>
  </si>
  <si>
    <t>23調査結果-建築物の内部-4（15）-改善（予定）年月-月</t>
  </si>
  <si>
    <t>23調査結果-建築物の内部-4（15）-改善（予定）年月-未定</t>
  </si>
  <si>
    <t>23調査結果-建築物の内部-4（16）-調査結果</t>
  </si>
  <si>
    <t>23調査結果-建築物の内部-4（16）-調査者番号</t>
  </si>
  <si>
    <t>23調査結果-建築物の内部-4（16）-指摘の具体的内容等</t>
  </si>
  <si>
    <t>23調査結果-建築物の内部-4（16）-改善策の具体的内容等</t>
  </si>
  <si>
    <t>23調査結果-建築物の内部-4（16）-改善（予定）年月-年（令和）</t>
  </si>
  <si>
    <t>23調査結果-建築物の内部-4（16）-改善（予定）年月-月</t>
  </si>
  <si>
    <t>23調査結果-建築物の内部-4（16）-改善（予定）年月-未定</t>
  </si>
  <si>
    <t>23調査結果-建築物の内部-4（17）-調査結果</t>
  </si>
  <si>
    <t>23調査結果-建築物の内部-4（17）-調査者番号</t>
  </si>
  <si>
    <t>23調査結果-建築物の内部-4（17）-指摘の具体的内容等</t>
  </si>
  <si>
    <t>23調査結果-建築物の内部-4（17）-改善策の具体的内容等</t>
  </si>
  <si>
    <t>23調査結果-建築物の内部-4（17）-改善（予定）年月-年（令和）</t>
  </si>
  <si>
    <t>23調査結果-建築物の内部-4（17）-改善（予定）年月-月</t>
  </si>
  <si>
    <t>23調査結果-建築物の内部-4（17）-改善（予定）年月-未定</t>
  </si>
  <si>
    <t>23調査結果-建築物の内部-4（18）-調査結果</t>
  </si>
  <si>
    <t>23調査結果-建築物の内部-4（18）-調査者番号</t>
  </si>
  <si>
    <t>23調査結果-建築物の内部-4（18）-指摘の具体的内容等</t>
  </si>
  <si>
    <t>23調査結果-建築物の内部-4（18）-改善策の具体的内容等</t>
  </si>
  <si>
    <t>23調査結果-建築物の内部-4（18）-改善（予定）年月-年（令和）</t>
  </si>
  <si>
    <t>23調査結果-建築物の内部-4（18）-改善（予定）年月-月</t>
  </si>
  <si>
    <t>23調査結果-建築物の内部-4（18）-改善（予定）年月-未定</t>
  </si>
  <si>
    <t>23調査結果-建築物の内部-4（19）-調査結果</t>
  </si>
  <si>
    <t>23調査結果-建築物の内部-4（19）-調査者番号</t>
  </si>
  <si>
    <t>23調査結果-建築物の内部-4（19）-指摘の具体的内容等</t>
  </si>
  <si>
    <t>23調査結果-建築物の内部-4（19）-改善策の具体的内容等</t>
  </si>
  <si>
    <t>23調査結果-建築物の内部-4（19）-改善（予定）年月-年（令和）</t>
  </si>
  <si>
    <t>23調査結果-建築物の内部-4（19）-改善（予定）年月-月</t>
  </si>
  <si>
    <t>23調査結果-建築物の内部-4（19）-改善（予定）年月-未定</t>
  </si>
  <si>
    <t>23調査結果-建築物の内部-4（20）-調査結果</t>
  </si>
  <si>
    <t>23調査結果-建築物の内部-4（20）-調査者番号</t>
  </si>
  <si>
    <t>23調査結果-建築物の内部-4（20）-指摘の具体的内容等</t>
  </si>
  <si>
    <t>23調査結果-建築物の内部-4（20）-改善策の具体的内容等</t>
  </si>
  <si>
    <t>23調査結果-建築物の内部-4（20）-改善（予定）年月-年（令和）</t>
  </si>
  <si>
    <t>23調査結果-建築物の内部-4（20）-改善（予定）年月-月</t>
  </si>
  <si>
    <t>23調査結果-建築物の内部-4（20）-改善（予定）年月-未定</t>
  </si>
  <si>
    <t>23調査結果-建築物の内部-4（21）-調査結果</t>
  </si>
  <si>
    <t>23調査結果-建築物の内部-4（21）-調査者番号</t>
  </si>
  <si>
    <t>23調査結果-建築物の内部-4（21）-指摘の具体的内容等</t>
  </si>
  <si>
    <t>23調査結果-建築物の内部-4（21）-改善策の具体的内容等</t>
  </si>
  <si>
    <t>23調査結果-建築物の内部-4（21）-改善（予定）年月-年（令和）</t>
  </si>
  <si>
    <t>23調査結果-建築物の内部-4（21）-改善（予定）年月-月</t>
  </si>
  <si>
    <t>23調査結果-建築物の内部-4（21）-改善（予定）年月-未定</t>
  </si>
  <si>
    <t>23調査結果-建築物の内部-4（22）-調査結果</t>
  </si>
  <si>
    <t>23調査結果-建築物の内部-4（22）-調査者番号</t>
  </si>
  <si>
    <t>23調査結果-建築物の内部-4（22）-指摘の具体的内容等</t>
  </si>
  <si>
    <t>23調査結果-建築物の内部-4（22）-改善策の具体的内容等</t>
  </si>
  <si>
    <t>23調査結果-建築物の内部-4（22）-改善（予定）年月-年（令和）</t>
  </si>
  <si>
    <t>23調査結果-建築物の内部-4（22）-改善（予定）年月-月</t>
  </si>
  <si>
    <t>23調査結果-建築物の内部-4（22）-改善（予定）年月-未定</t>
  </si>
  <si>
    <t>23調査結果-建築物の内部-4（23）-調査結果</t>
  </si>
  <si>
    <t>23調査結果-建築物の内部-4（23）-調査者番号</t>
  </si>
  <si>
    <t>23調査結果-建築物の内部-4（23）-指摘の具体的内容等</t>
  </si>
  <si>
    <t>23調査結果-建築物の内部-4（23）-改善策の具体的内容等</t>
  </si>
  <si>
    <t>23調査結果-建築物の内部-4（23）-改善（予定）年月-年（令和）</t>
  </si>
  <si>
    <t>23調査結果-建築物の内部-4（23）-改善（予定）年月-月</t>
  </si>
  <si>
    <t>23調査結果-建築物の内部-4（23）-改善（予定）年月-未定</t>
  </si>
  <si>
    <t>23調査結果-建築物の内部-4（24）-調査結果</t>
  </si>
  <si>
    <t>23調査結果-建築物の内部-4（24）-調査者番号</t>
  </si>
  <si>
    <t>23調査結果-建築物の内部-4（24）-指摘の具体的内容等</t>
  </si>
  <si>
    <t>23調査結果-建築物の内部-4（24）-改善策の具体的内容等</t>
  </si>
  <si>
    <t>23調査結果-建築物の内部-4（24）-改善（予定）年月-年（令和）</t>
  </si>
  <si>
    <t>23調査結果-建築物の内部-4（24）-改善（予定）年月-月</t>
  </si>
  <si>
    <t>23調査結果-建築物の内部-4（24）-改善（予定）年月-未定</t>
  </si>
  <si>
    <t>23調査結果-建築物の内部-4（25）-調査結果</t>
  </si>
  <si>
    <t>23調査結果-建築物の内部-4（25）-調査者番号</t>
  </si>
  <si>
    <t>23調査結果-建築物の内部-4（25）-指摘の具体的内容等</t>
  </si>
  <si>
    <t>23調査結果-建築物の内部-4（25）-改善策の具体的内容等</t>
  </si>
  <si>
    <t>23調査結果-建築物の内部4（25）-改善（予定）年月-年（令和）</t>
  </si>
  <si>
    <t>23調査結果-建築物の内部-4（25）-改善（予定）年月-月</t>
  </si>
  <si>
    <t>23調査結果-建築物の内部-4（25）-改善（予定）年月-未定</t>
  </si>
  <si>
    <t>23調査結果-建築物の内部-4（26）-調査結果</t>
  </si>
  <si>
    <t>23調査結果-建築物の内部-4（26）-調査者番号</t>
  </si>
  <si>
    <t>23調査結果-建築物の内部-4（26）-指摘の具体的内容等</t>
  </si>
  <si>
    <t>23調査結果-建築物の内部-4（26）-改善策の具体的内容等</t>
  </si>
  <si>
    <t>23調査結果-建築物の内部-4（26）-改善（予定）年月-年（令和）</t>
  </si>
  <si>
    <t>23調査結果-建築物の内部4（26）-改善（予定）年月-月</t>
  </si>
  <si>
    <t>23調査結果-建築物の内部-4（26）-改善（予定）年月-未定</t>
  </si>
  <si>
    <t>23調査結果-建築物の内部-4（27）-調査結果</t>
  </si>
  <si>
    <t>23調査結果-建築物の内部-4（27）-調査者番号</t>
  </si>
  <si>
    <t>23調査結果-建築物の内部-4（27）-指摘の具体的内容等</t>
  </si>
  <si>
    <t>23調査結果-建築物の内部-4（27）-改善策の具体的内容等</t>
  </si>
  <si>
    <t>23調査結果-建築物の内部-4（27）-改善（予定）年月-年（令和）</t>
  </si>
  <si>
    <t>23調査結果-建築物の内部-4（27）-改善（予定）年月-月</t>
  </si>
  <si>
    <t>23調査結果-建築物の内部4（27）-改善（予定）年月-未定</t>
  </si>
  <si>
    <t>23調査結果-建築物の内部-4（28）-調査結果</t>
  </si>
  <si>
    <t>23調査結果-建築物の内部-4（28）-調査者番号</t>
  </si>
  <si>
    <t>23調査結果-建築物の内部-4（28）-指摘の具体的内容等</t>
  </si>
  <si>
    <t>23調査結果-建築物の内部-4（28）-改善策の具体的内容等</t>
  </si>
  <si>
    <t>23調査結果-建築物の内部-4（28）-改善（予定）年月-年（令和）</t>
  </si>
  <si>
    <t>23調査結果-建築物の内部-4（28）-改善（予定）年月-月</t>
  </si>
  <si>
    <t>23調査結果-建築物の内部-4（28）-改善（予定）年月-未定</t>
  </si>
  <si>
    <t>23調査結果-建築物の内部4（29）-調査結果</t>
  </si>
  <si>
    <t>23調査結果-建築物の内部-4（29）-調査者番号</t>
  </si>
  <si>
    <t>23調査結果-建築物の内部-4（29）-指摘の具体的内容等</t>
  </si>
  <si>
    <t>23調査結果-建築物の内部-4（29）-改善策の具体的内容等</t>
  </si>
  <si>
    <t>23調査結果-建築物の内部-4（29）-改善（予定）年月-年（令和）</t>
  </si>
  <si>
    <t>23調査結果-建築物の内部-4（29）-改善（予定）年月-月</t>
  </si>
  <si>
    <t>23調査結果-建築物の内部-4（29）-改善（予定）年月-未定</t>
  </si>
  <si>
    <t>23調査結果-建築物の内部-4（30）-調査結果</t>
  </si>
  <si>
    <t>23調査結果-建築物の内部4（30）-調査者番号</t>
  </si>
  <si>
    <t>23調査結果-建築物の内部-4（30）-指摘の具体的内容等</t>
  </si>
  <si>
    <t>23調査結果-建築物の内部-4（30）-改善策の具体的内容等</t>
  </si>
  <si>
    <t>23調査結果-建築物の内部-4（30）-改善（予定）年月-年（令和）</t>
  </si>
  <si>
    <t>23調査結果-建築物の内部-4（30）-改善（予定）年月-月</t>
  </si>
  <si>
    <t>23調査結果-建築物の内部-4（30）-改善（予定）年月-未定</t>
  </si>
  <si>
    <t>23調査結果-建築物の内部-4（31）-調査結果</t>
  </si>
  <si>
    <t>23調査結果-建築物の内部-4（31）-調査者番号</t>
  </si>
  <si>
    <t>23調査結果-建築物の内部4（31）-指摘の具体的内容等</t>
  </si>
  <si>
    <t>23調査結果-建築物の内部-4（31）-改善策の具体的内容等</t>
  </si>
  <si>
    <t>23調査結果-建築物の内部-4（31）-改善（予定）年月-年（令和）</t>
  </si>
  <si>
    <t>23調査結果-建築物の内部-4（31）-改善（予定）年月-月</t>
  </si>
  <si>
    <t>23調査結果-建築物の内部-4（31）-改善（予定）年月-未定</t>
  </si>
  <si>
    <t>23調査結果-建築物の内部-4（32）-調査結果</t>
  </si>
  <si>
    <t>23調査結果-建築物の内部-4（32）-調査者番号</t>
  </si>
  <si>
    <t>23調査結果-建築物の内部-4（32）-指摘の具体的内容等</t>
  </si>
  <si>
    <t>23調査結果-建築物の内部4（32）-改善策の具体的内容等</t>
  </si>
  <si>
    <t>23調査結果-建築物の内部-4（32）-改善（予定）年月-年（令和）</t>
  </si>
  <si>
    <t>23調査結果-建築物の内部-4（32）-改善（予定）年月-月</t>
  </si>
  <si>
    <t>23調査結果-建築物の内部-4（32）-改善（予定）年月-未定</t>
  </si>
  <si>
    <t>23調査結果-建築物の内部-4（33）-調査結果</t>
  </si>
  <si>
    <t>23調査結果-建築物の内部-4（33）-調査者番号</t>
  </si>
  <si>
    <t>23調査結果-建築物の内部-4（33）-指摘の具体的内容等</t>
  </si>
  <si>
    <t>23調査結果-建築物の内部-4（33）-改善策の具体的内容等</t>
  </si>
  <si>
    <t>23調査結果-建築物の内部4（33）-改善（予定）年月-年（令和）</t>
  </si>
  <si>
    <t>23調査結果-建築物の内部-4（33）-改善（予定）年月-月</t>
  </si>
  <si>
    <t>23調査結果-建築物の内部-4（33）-改善（予定）年月-未定</t>
  </si>
  <si>
    <t>23調査結果-建築物の内部-4（34）-調査結果</t>
  </si>
  <si>
    <t>23調査結果-建築物の内部-4（34）-調査者番号</t>
  </si>
  <si>
    <t>23調査結果-建築物の内部-4（34）-指摘の具体的内容等</t>
  </si>
  <si>
    <t>23調査結果-建築物の内部-4（34）-改善策の具体的内容等</t>
  </si>
  <si>
    <t>23調査結果-建築物の内部-4（34）-改善（予定）年月-年（令和）</t>
  </si>
  <si>
    <t>23調査結果-建築物の内部4（34）-改善（予定）年月-月</t>
  </si>
  <si>
    <t>23調査結果-建築物の内部-4（34）-改善（予定）年月-未定</t>
  </si>
  <si>
    <t>23調査結果-建築物の内部-4（35）-調査結果</t>
  </si>
  <si>
    <t>23調査結果-建築物の内部-4（35）-調査者番号</t>
  </si>
  <si>
    <t>23調査結果-建築物の内部-4（35）-指摘の具体的内容等</t>
  </si>
  <si>
    <t>23調査結果-建築物の内部-4（35）-改善策の具体的内容等</t>
  </si>
  <si>
    <t>23調査結果-建築物の内部-4（35）-改善（予定）年月-年（令和）</t>
  </si>
  <si>
    <t>23調査結果-建築物の内部-4（35）-改善（予定）年月-月</t>
  </si>
  <si>
    <t>23調査結果-建築物の内部4（35）-改善（予定）年月-未定</t>
  </si>
  <si>
    <t>23調査結果-建築物の内部-4（36）-調査結果</t>
  </si>
  <si>
    <t>23調査結果-建築物の内部-4（36）-調査者番号</t>
  </si>
  <si>
    <t>23調査結果-建築物の内部-4（36）-指摘の具体的内容等</t>
  </si>
  <si>
    <t>23調査結果-建築物の内部-4（36）-改善策の具体的内容等</t>
  </si>
  <si>
    <t>23調査結果-建築物の内部-4（36）-改善（予定）年月-年（令和）</t>
  </si>
  <si>
    <t>23調査結果-建築物の内部-4（36）-改善（予定）年月-月</t>
  </si>
  <si>
    <t>23調査結果-建築物の内部-4（36）-改善（予定）年月-未定</t>
  </si>
  <si>
    <t>23調査結果-建築物の内部-4（37）-調査結果</t>
  </si>
  <si>
    <t>23調査結果-建築物の内部-4（37）-調査者番号</t>
  </si>
  <si>
    <t>23調査結果-建築物の内部-4（37）-指摘の具体的内容等</t>
  </si>
  <si>
    <t>23調査結果-建築物の内部-4（37）-改善策の具体的内容等</t>
  </si>
  <si>
    <t>23調査結果-建築物の内部-4（37）-改善（予定）年月-年（令和）</t>
  </si>
  <si>
    <t>23調査結果-建築物の内部-4（37）-改善（予定）年月-月</t>
  </si>
  <si>
    <t>23調査結果-建築物の内部-4（37）-改善（予定）年月-未定</t>
  </si>
  <si>
    <t>23調査結果-建築物の内部-4（38）-調査結果</t>
  </si>
  <si>
    <t>23調査結果-建築物の内部-4（38）-調査者番号</t>
  </si>
  <si>
    <t>23調査結果-建築物の内部-4（38）-指摘の具体的内容等</t>
  </si>
  <si>
    <t>23調査結果-建築物の内部-4（38）-改善策の具体的内容等</t>
  </si>
  <si>
    <t>23調査結果-建築物の内部-4（38）-改善（予定）年月-年（令和）</t>
  </si>
  <si>
    <t>23調査結果-建築物の内部-4（38）-改善（予定）年月-月</t>
  </si>
  <si>
    <t>23調査結果-建築物の内部-4（38）-改善（予定）年月-未定</t>
  </si>
  <si>
    <t>23調査結果-建築物の内部-4（39）-調査結果</t>
  </si>
  <si>
    <t>23調査結果-建築物の内部-4（39）-調査者番号</t>
  </si>
  <si>
    <t>23調査結果-建築物の内部-4（39）-指摘の具体的内容等</t>
  </si>
  <si>
    <t>23調査結果-建築物の内部-4（39）-改善策の具体的内容等</t>
  </si>
  <si>
    <t>23調査結果-建築物の内部-4（39）-改善（予定）年月-年（令和）</t>
  </si>
  <si>
    <t>23調査結果-建築物の内部-4（39）-改善（予定）年月-月</t>
  </si>
  <si>
    <t>23調査結果-建築物の内部-4（39）-改善（予定）年月-未定</t>
  </si>
  <si>
    <t>23調査結果-建築物の内部-4（40）-調査結果</t>
  </si>
  <si>
    <t>23調査結果-建築物の内部-4（40）-調査者番号</t>
  </si>
  <si>
    <t>23調査結果-建築物の内部-4（40）-指摘の具体的内容等</t>
  </si>
  <si>
    <t>23調査結果-建築物の内部-4（40）-改善策の具体的内容等</t>
  </si>
  <si>
    <t>23調査結果-建築物の内部-4（40）-改善（予定）年月-年（令和）</t>
  </si>
  <si>
    <t>23調査結果-建築物の内部-4（40）-改善（予定）年月-月</t>
  </si>
  <si>
    <t>23調査結果-建築物の内部-4（40）-改善（予定）年月-未定</t>
  </si>
  <si>
    <t>23調査結果-建築物の内部-4（41）-調査結果</t>
  </si>
  <si>
    <t>23調査結果-建築物の内部-4（41）-調査者番号</t>
  </si>
  <si>
    <t>23調査結果-建築物の内部-4（41）-指摘の具体的内容等</t>
  </si>
  <si>
    <t>23調査結果-建築物の内部-4（41）-改善策の具体的内容等</t>
  </si>
  <si>
    <t>23調査結果-建築物の内部-4（41）-改善（予定）年月-年（令和）</t>
  </si>
  <si>
    <t>23調査結果-建築物の内部-4（41）-改善（予定）年月-月</t>
  </si>
  <si>
    <t>23調査結果-建築物の内部-4（41）-改善（予定）年月-未定</t>
  </si>
  <si>
    <t>23調査結果-建築物の内部-4（42）-調査結果</t>
  </si>
  <si>
    <t>23調査結果-建築物の内部-4（42）-調査者番号</t>
  </si>
  <si>
    <t>23調査結果-建築物の内部-4（42）-指摘の具体的内容等</t>
  </si>
  <si>
    <t>23調査結果-建築物の内部-4（42）-改善策の具体的内容等</t>
  </si>
  <si>
    <t>23調査結果-建築物の内部-4（42）-改善（予定）年月-年（令和）</t>
  </si>
  <si>
    <t>23調査結果-建築物の内部-4（42）-改善（予定）年月-月</t>
  </si>
  <si>
    <t>23調査結果-建築物の内部-4（42）-改善（予定）年月-未定</t>
  </si>
  <si>
    <t>23調査結果-建築物の内部-4（43）-調査結果</t>
  </si>
  <si>
    <t>23調査結果-建築物の内部-4（43）-調査者番号</t>
  </si>
  <si>
    <t>23調査結果-建築物の内部-4（43）-指摘の具体的内容等</t>
  </si>
  <si>
    <t>23調査結果-建築物の内部-4（43）-改善策の具体的内容等</t>
  </si>
  <si>
    <t>23調査結果-建築物の内部-4（43）-改善（予定）年月-年（令和）</t>
  </si>
  <si>
    <t>23調査結果-建築物の内部-4（43）-改善（予定）年月-月</t>
  </si>
  <si>
    <t>23調査結果-建築物の内部-4（43）-改善（予定）年月-未定</t>
  </si>
  <si>
    <t>23調査結果-建築物の内部-4（44）-調査結果</t>
  </si>
  <si>
    <t>23調査結果-建築物の内部-4（44）-調査者番号</t>
  </si>
  <si>
    <t>23調査結果-建築物の内部-4（44）-指摘の具体的内容等</t>
  </si>
  <si>
    <t>23調査結果-建築物の内部-4（44）-改善策の具体的内容等</t>
  </si>
  <si>
    <t>23調査結果-建築物の内部-4（44）-改善（予定）年月-年（令和）</t>
  </si>
  <si>
    <t>23調査結果-建築物の内部-4（44）-改善（予定）年月-月</t>
  </si>
  <si>
    <t>23調査結果-建築物の内部-4（44）-改善（予定）年月-未定</t>
  </si>
  <si>
    <t>23調査結果-建築物の内部-4（45）-調査結果</t>
  </si>
  <si>
    <t>23調査結果-建築物の内部-4（45）-調査者番号</t>
  </si>
  <si>
    <t>23調査結果-建築物の内部-4（45）-指摘の具体的内容等</t>
  </si>
  <si>
    <t>23調査結果-建築物の内部-4（45）-改善策の具体的内容等</t>
  </si>
  <si>
    <t>23調査結果-建築物の内部-4（45）-改善（予定）年月-年（令和）</t>
  </si>
  <si>
    <t>23調査結果-建築物の内部-4（45）-改善（予定）年月-月</t>
  </si>
  <si>
    <t>23調査結果-建築物の内部-4（45）-改善（予定）年月-未定</t>
  </si>
  <si>
    <t>23調査結果-建築物の内部-4（46）-調査結果</t>
  </si>
  <si>
    <t>23調査結果-建築物の内部-4（46）-調査者番号</t>
  </si>
  <si>
    <t>23調査結果-建築物の内部-4（46）-指摘の具体的内容等</t>
  </si>
  <si>
    <t>23調査結果-建築物の内部-4（46）-改善策の具体的内容等</t>
  </si>
  <si>
    <t>23調査結果-建築物の内部-4（46）-改善（予定）年月-年（令和）</t>
  </si>
  <si>
    <t>23調査結果-建築物の内部-4（46）-改善（予定）年月-月</t>
  </si>
  <si>
    <t>23調査結果-建築物の内部-4（46）-改善（予定）年月-未定</t>
  </si>
  <si>
    <t>23調査結果-建築物の内部-4（47）-調査結果</t>
  </si>
  <si>
    <t>23調査結果-建築物の内部-4（47）-調査者番号</t>
  </si>
  <si>
    <t>23調査結果-建築物の内部-4（47）-指摘の具体的内容等</t>
  </si>
  <si>
    <t>23調査結果-建築物の内部-4（47）-改善策の具体的内容等</t>
  </si>
  <si>
    <t>23調査結果-建築物の内部-4（47）-改善（予定）年月-年（令和）</t>
  </si>
  <si>
    <t>23調査結果-建築物の内部-4（47）-改善（予定）年月-月</t>
  </si>
  <si>
    <t>23調査結果-建築物の内部-4（47）-改善（予定）年月-未定</t>
  </si>
  <si>
    <t>23調査結果-避難施設等-5（1）-調査結果</t>
  </si>
  <si>
    <t>23調査結果-避難施設等-5（1）-調査者番号</t>
  </si>
  <si>
    <t>23調査結果-避難施設等-5（1）-指摘の具体的内容等</t>
  </si>
  <si>
    <t>23調査結果-避難施設等-5（1）-改善策の具体的内容等</t>
  </si>
  <si>
    <t>23調査結果-避難施設等-5（1）-改善（予定）年月-年（令和）</t>
  </si>
  <si>
    <t>23調査結果-避難施設等-5（1）-改善（予定）年月-月</t>
  </si>
  <si>
    <t>23調査結果-避難施設等-5（1）-改善（予定）年月-未定</t>
  </si>
  <si>
    <t>23調査結果-避難施設等-5（2）-調査結果</t>
  </si>
  <si>
    <t>23調査結果-避難施設等-5（2）-調査者番号</t>
  </si>
  <si>
    <t>23調査結果-避難施設等-5（2）-指摘の具体的内容等</t>
  </si>
  <si>
    <t>23調査結果-避難施設等-5（2）-改善策の具体的内容等</t>
  </si>
  <si>
    <t>23調査結果-避難施設等-5（2）-改善（予定）年月-年（令和）</t>
  </si>
  <si>
    <t>23調査結果-避難施設等-5（2）-改善（予定）年月-月</t>
  </si>
  <si>
    <t>23調査結果-避難施設等-5（2）-改善（予定）年月-未定</t>
  </si>
  <si>
    <t>23調査結果-避難施設等-5（3）-調査結果</t>
  </si>
  <si>
    <t>23調査結果-避難施設等-5（3）-調査者番号</t>
  </si>
  <si>
    <t>23調査結果-避難施設等-5（3）-指摘の具体的内容等</t>
  </si>
  <si>
    <t>23調査結果-避難施設等-5（3）-改善策の具体的内容等</t>
  </si>
  <si>
    <t>23調査結果-避難施設等-5（3）-改善（予定）年月-年（令和）</t>
  </si>
  <si>
    <t>23調査結果-避難施設等-5（3）-改善（予定）年月-月</t>
  </si>
  <si>
    <t>23調査結果-避難施設等-5（3）-改善（予定）年月-未定</t>
  </si>
  <si>
    <t>23調査結果-避難施設等-5（4）-調査結果</t>
  </si>
  <si>
    <t>23調査結果-避難施設等-5（4）-調査者番号</t>
  </si>
  <si>
    <t>23調査結果-避難施設等-5（4）-指摘の具体的内容等</t>
  </si>
  <si>
    <t>23調査結果-避難施設等-5（4）-改善策の具体的内容等</t>
  </si>
  <si>
    <t>23調査結果-避難施設等-5（4）-改善（予定）年月-年（令和）</t>
  </si>
  <si>
    <t>23調査結果-避難施設等-5（4）-改善（予定）年月-月</t>
  </si>
  <si>
    <t>23調査結果-避難施設等-5（4）-改善（予定）年月-未定</t>
  </si>
  <si>
    <t>23調査結果-避難施設等-5（5）-調査結果</t>
  </si>
  <si>
    <t>23調査結果-避難施設等-5（5）-調査者番号</t>
  </si>
  <si>
    <t>23調査結果-避難施設等-5（5）-指摘の具体的内容等</t>
  </si>
  <si>
    <t>23調査結果-避難施設等-5（5）-改善策の具体的内容等</t>
  </si>
  <si>
    <t>23調査結果-避難施設等-5（5）-改善（予定）年月-年（令和）</t>
  </si>
  <si>
    <t>23調査結果-避難施設等-5（5）-改善（予定）年月-月</t>
  </si>
  <si>
    <t>23調査結果-避難施設等-5（5）-改善（予定）年月-未定</t>
  </si>
  <si>
    <t>23調査結果-避難施設等-5（6）-調査結果</t>
  </si>
  <si>
    <t>23調査結果-避難施設等-5（6）-調査者番号</t>
  </si>
  <si>
    <t>23調査結果-避難施設等-5（6）-指摘の具体的内容等</t>
  </si>
  <si>
    <t>23調査結果-避難施設等-5（6）-改善策の具体的内容等</t>
  </si>
  <si>
    <t>23調査結果-避難施設等-5（6）-改善（予定）年月-年（令和）</t>
  </si>
  <si>
    <t>23調査結果-避難施設等-5（6）-改善（予定）年月-月</t>
  </si>
  <si>
    <t>23調査結果-避難施設等-5（6）-改善（予定）年月-未定</t>
  </si>
  <si>
    <t>23調査結果-避難施設等-5（7）-調査結果</t>
  </si>
  <si>
    <t>23調査結果-避難施設等-5（7）-調査者番号</t>
  </si>
  <si>
    <t>23調査結果-避難施設等-5（7）-指摘の具体的内容等</t>
  </si>
  <si>
    <t>23調査結果-避難施設等-5（7）-改善策の具体的内容等</t>
  </si>
  <si>
    <t>23調査結果-避難施設等-5（7）-改善（予定）年月-年（令和）</t>
  </si>
  <si>
    <t>23調査結果-避難施設等-5（7）-改善（予定）年月-月</t>
  </si>
  <si>
    <t>23調査結果-避難施設等-5（7）-改善（予定）年月-未定</t>
  </si>
  <si>
    <t>23調査結果-避難施設等-5（8）-調査結果</t>
  </si>
  <si>
    <t>23調査結果-避難施設等-5（8）-調査者番号</t>
  </si>
  <si>
    <t>23調査結果-避難施設等-5（8）-指摘の具体的内容等</t>
  </si>
  <si>
    <t>23調査結果-避難施設等-5（8）-改善策の具体的内容等</t>
  </si>
  <si>
    <t>23調査結果-避難施設等-5（8）-改善（予定）年月-年（令和）</t>
  </si>
  <si>
    <t>23調査結果-避難施設等-5（8）-改善（予定）年月-月</t>
  </si>
  <si>
    <t>23調査結果-避難施設等-5（8）-改善（予定）年月-未定</t>
  </si>
  <si>
    <t>23調査結果-避難施設等-5（9）-調査結果</t>
  </si>
  <si>
    <t>23調査結果-避難施設等-5（9）-調査者番号</t>
  </si>
  <si>
    <t>23調査結果-避難施設等-5（9）-指摘の具体的内容等</t>
  </si>
  <si>
    <t>23調査結果-避難施設等-5（9）-改善策の具体的内容等</t>
  </si>
  <si>
    <t>23調査結果-避難施設等-5（9）-改善（予定）年月-年（令和）</t>
  </si>
  <si>
    <t>23調査結果-避難施設等-5（9）-改善（予定）年月-月</t>
  </si>
  <si>
    <t>23調査結果-避難施設等-5（9）-改善（予定）年月-未定</t>
  </si>
  <si>
    <t>23調査結果-避難施設等-5（10）-調査結果</t>
  </si>
  <si>
    <t>23調査結果-避難施設等-5（10）-調査者番号</t>
  </si>
  <si>
    <t>23調査結果-避難施設等-5（10）-指摘の具体的内容等</t>
  </si>
  <si>
    <t>23調査結果-避難施設等-5（10）-改善策の具体的内容等</t>
  </si>
  <si>
    <t>23調査結果-避難施設等-5（10）-改善（予定）年月-年（令和）</t>
  </si>
  <si>
    <t>23調査結果-避難施設等-5（10）-改善（予定）年月-月</t>
  </si>
  <si>
    <t>23調査結果-避難施設等-5（10）-改善（予定）年月-未定</t>
  </si>
  <si>
    <t>23調査結果-避難施設等-5（11）-調査結果</t>
  </si>
  <si>
    <t>23調査結果-避難施設等-5（11）-調査者番号</t>
  </si>
  <si>
    <t>23調査結果-避難施設等-5（11）-指摘の具体的内容等</t>
  </si>
  <si>
    <t>23調査結果-避難施設等-5（11）-改善策の具体的内容等</t>
  </si>
  <si>
    <t>23調査結果-避難施設等-5（11）-改善（予定）年月-年（令和）</t>
  </si>
  <si>
    <t>23調査結果-避難施設等-5（11）-改善（予定）年月-月</t>
  </si>
  <si>
    <t>23調査結果-避難施設等-5（11）-改善（予定）年月-未定</t>
  </si>
  <si>
    <t>23調査結果-避難施設等-5（12）-調査結果</t>
  </si>
  <si>
    <t>23調査結果-避難施設等-5（12）-調査者番号</t>
  </si>
  <si>
    <t>23調査結果-避難施設等-5（12）-指摘の具体的内容等</t>
  </si>
  <si>
    <t>23調査結果-避難施設等-5（12）-改善策の具体的内容等</t>
  </si>
  <si>
    <t>23調査結果-避難施設等-5（12）-改善（予定）年月-年（令和）</t>
  </si>
  <si>
    <t>23調査結果-避難施設等-5（12）-改善（予定）年月-月</t>
  </si>
  <si>
    <t>23調査結果-避難施設等-5（12）-改善（予定）年月-未定</t>
  </si>
  <si>
    <t>23調査結果-避難施設等-5（13）-調査結果</t>
  </si>
  <si>
    <t>23調査結果-避難施設等-5（13）-調査者番号</t>
  </si>
  <si>
    <t>23調査結果-避難施設等-5（13）-指摘の具体的内容等</t>
  </si>
  <si>
    <t>23調査結果-避難施設等-5（13）-改善策の具体的内容等</t>
  </si>
  <si>
    <t>23調査結果-避難施設等-5（13）-改善（予定）年月-年（令和）</t>
  </si>
  <si>
    <t>23調査結果-避難施設等-5（13）-改善（予定）年月-月</t>
  </si>
  <si>
    <t>23調査結果-避難施設等-5（13）-改善（予定）年月-未定</t>
  </si>
  <si>
    <t>23調査結果-避難施設等-5（14）-調査結果</t>
  </si>
  <si>
    <t>23調査結果-避難施設等-5（14）-調査者番号</t>
  </si>
  <si>
    <t>23調査結果-避難施設等-5（14）-指摘の具体的内容等</t>
  </si>
  <si>
    <t>23調査結果-避難施設等-5（14）-改善策の具体的内容等</t>
  </si>
  <si>
    <t>23調査結果-避難施設等-5（14）-改善（予定）年月-年（令和）</t>
  </si>
  <si>
    <t>23調査結果-避難施設等-5（14）-改善（予定）年月-月</t>
  </si>
  <si>
    <t>23調査結果-避難施設等-5（14）-改善（予定）年月-未定</t>
  </si>
  <si>
    <t>23調査結果-避難施設等-5（15）-調査結果</t>
  </si>
  <si>
    <t>23調査結果-避難施設等-5（15）-調査者番号</t>
  </si>
  <si>
    <t>23調査結果-避難施設等-5（15）-指摘の具体的内容等</t>
  </si>
  <si>
    <t>23調査結果-避難施設等-5（15）-改善策の具体的内容等</t>
  </si>
  <si>
    <t>23調査結果-避難施設等-5（15）-改善（予定）年月-年（令和）</t>
  </si>
  <si>
    <t>23調査結果-避難施設等-5（15）-改善（予定）年月-月</t>
  </si>
  <si>
    <t>23調査結果-避難施設等-5（15）-改善（予定）年月-未定</t>
  </si>
  <si>
    <t>23調査結果-避難施設等-5（16）-調査結果</t>
  </si>
  <si>
    <t>23調査結果-避難施設等-5（16）-調査者番号</t>
  </si>
  <si>
    <t>23調査結果-避難施設等-5（16）-指摘の具体的内容等</t>
  </si>
  <si>
    <t>23調査結果-避難施設等-5（16）-改善策の具体的内容等</t>
  </si>
  <si>
    <t>23調査結果-避難施設等-5（16）-改善（予定）年月-年（令和）</t>
  </si>
  <si>
    <t>23調査結果-避難施設等-5（16）-改善（予定）年月-月</t>
  </si>
  <si>
    <t>23調査結果-避難施設等-5（16）-改善（予定）年月-未定</t>
  </si>
  <si>
    <t>23調査結果-避難施設等-5（17）-調査結果</t>
  </si>
  <si>
    <t>23調査結果-避難施設等-5（17）-調査者番号</t>
  </si>
  <si>
    <t>23調査結果-避難施設等-5（17）-指摘の具体的内容等</t>
  </si>
  <si>
    <t>23調査結果-避難施設等-5（17）-改善策の具体的内容等</t>
  </si>
  <si>
    <t>23調査結果-避難施設等-5（17）-改善（予定）年月-年（令和）</t>
  </si>
  <si>
    <t>23調査結果-避難施設等-5（17）-改善（予定）年月-月</t>
  </si>
  <si>
    <t>23調査結果-避難施設等-5（17）-改善（予定）年月-未定</t>
  </si>
  <si>
    <t>23調査結果-避難施設等-5（18）-調査結果</t>
  </si>
  <si>
    <t>23調査結果-避難施設等-5（18）-調査者番号</t>
  </si>
  <si>
    <t>23調査結果-避難施設等-5（18）-指摘の具体的内容等</t>
  </si>
  <si>
    <t>23調査結果-避難施設等-5（18）-改善策の具体的内容等</t>
  </si>
  <si>
    <t>23調査結果-避難施設等-5（18）-改善（予定）年月-年（令和）</t>
  </si>
  <si>
    <t>23調査結果-避難施設等-5（18）-改善（予定）年月-月</t>
  </si>
  <si>
    <t>23調査結果-避難施設等-5（18）-改善（予定）年月-未定</t>
  </si>
  <si>
    <t>23調査結果-避難施設等-5（19）-調査結果</t>
  </si>
  <si>
    <t>23調査結果-避難施設等-5（19）-調査者番号</t>
  </si>
  <si>
    <t>23調査結果-避難施設等-5（19）-指摘の具体的内容等</t>
  </si>
  <si>
    <t>23調査結果-避難施設等-5（19）-改善策の具体的内容等</t>
  </si>
  <si>
    <t>23調査結果-避難施設等-5（19）-改善（予定）年月-年（令和）</t>
  </si>
  <si>
    <t>23調査結果-避難施設等-5（19）-改善（予定）年月-月</t>
  </si>
  <si>
    <t>23調査結果-避難施設等-5（19）-改善（予定）年月-未定</t>
  </si>
  <si>
    <t>23調査結果-避難施設等-5（20）-調査結果</t>
  </si>
  <si>
    <t>23調査結果-避難施設等-5（20）-調査者番号</t>
  </si>
  <si>
    <t>23調査結果-避難施設等-5（20）-指摘の具体的内容等</t>
  </si>
  <si>
    <t>23調査結果-避難施設等-5（20）-改善策の具体的内容等</t>
  </si>
  <si>
    <t>23調査結果-避難施設等-5（20）-改善（予定）年月-年（令和）</t>
  </si>
  <si>
    <t>23調査結果-避難施設等-5（20）-改善（予定）年月-月</t>
  </si>
  <si>
    <t>23調査結果-避難施設等-5（20）-改善（予定）年月-未定</t>
  </si>
  <si>
    <t>23調査結果-避難施設等-5（21）-調査結果</t>
  </si>
  <si>
    <t>23調査結果-避難施設等-5（21）-調査者番号</t>
  </si>
  <si>
    <t>23調査結果-避難施設等-5（21）-指摘の具体的内容等</t>
  </si>
  <si>
    <t>23調査結果-避難施設等-5（21）-改善策の具体的内容等</t>
  </si>
  <si>
    <t>23調査結果-避難施設等-5（21）-改善（予定）年月-年（令和）</t>
  </si>
  <si>
    <t>23調査結果-避難施設等-5（21）-改善（予定）年月-月</t>
  </si>
  <si>
    <t>23調査結果-避難施設等-5（21）-改善（予定）年月-未定</t>
  </si>
  <si>
    <t>23調査結果-避難施設等-5（22）-調査結果</t>
  </si>
  <si>
    <t>23調査結果-避難施設等-5（22）-調査者番号</t>
  </si>
  <si>
    <t>23調査結果-避難施設等-5（22）-指摘の具体的内容等</t>
  </si>
  <si>
    <t>23調査結果-避難施設等-5（22）-改善策の具体的内容等</t>
  </si>
  <si>
    <t>23調査結果-避難施設等-5（22）-改善（予定）年月-年（令和）</t>
  </si>
  <si>
    <t>23調査結果-避難施設等-5（22）-改善（予定）年月-月</t>
  </si>
  <si>
    <t>23調査結果-避難施設等-5（22）-改善（予定）年月-未定</t>
  </si>
  <si>
    <t>23調査結果-避難施設等-5（23）-調査結果</t>
  </si>
  <si>
    <t>23調査結果-避難施設等-5（23）-調査者番号</t>
  </si>
  <si>
    <t>23調査結果-避難施設等-5（23）-指摘の具体的内容等</t>
  </si>
  <si>
    <t>23調査結果-避難施設等-5（23）-改善策の具体的内容等</t>
  </si>
  <si>
    <t>23調査結果-避難施設等-5（23）-改善（予定）年月-年（令和）</t>
  </si>
  <si>
    <t>23調査結果-避難施設等-5（23）-改善（予定）年月-月</t>
  </si>
  <si>
    <t>23調査結果-避難施設等-5（23）-改善（予定）年月-未定</t>
  </si>
  <si>
    <t>23調査結果-避難施設等-5（24）-調査結果</t>
  </si>
  <si>
    <t>23調査結果-避難施設等-5（24）-調査者番号</t>
  </si>
  <si>
    <t>23調査結果-避難施設等-5（24）-指摘の具体的内容等</t>
  </si>
  <si>
    <t>23調査結果-避難施設等-5（24）-改善策の具体的内容等</t>
  </si>
  <si>
    <t>23調査結果-避難施設等-5（24）-改善（予定）年月-年（令和）</t>
  </si>
  <si>
    <t>23調査結果-避難施設等-5（24）-改善（予定）年月-月</t>
  </si>
  <si>
    <t>23調査結果-避難施設等-5（24）-改善（予定）年月-未定</t>
  </si>
  <si>
    <t>23調査結果-避難施設等-5（25）-調査結果</t>
  </si>
  <si>
    <t>23調査結果-避難施設等-5（25）-調査者番号</t>
  </si>
  <si>
    <t>23調査結果-避難施設等-5（25）-指摘の具体的内容等</t>
  </si>
  <si>
    <t>23調査結果-避難施設等-5（25）-改善策の具体的内容等</t>
  </si>
  <si>
    <t>23調査結果-避難施設等-5（25）-改善（予定）年月-年（令和）</t>
  </si>
  <si>
    <t>23調査結果-避難施設等-5（25）-改善（予定）年月-月</t>
  </si>
  <si>
    <t>23調査結果-避難施設等-5（25）-改善（予定）年月-未定</t>
  </si>
  <si>
    <t>23調査結果-避難施設等-5（26）-調査結果</t>
  </si>
  <si>
    <t>23調査結果-避難施設等-5（26）-調査者番号</t>
  </si>
  <si>
    <t>23調査結果-避難施設等-5（26）-指摘の具体的内容等</t>
  </si>
  <si>
    <t>23調査結果-避難施設等-5（26）-改善策の具体的内容等</t>
  </si>
  <si>
    <t>23調査結果-避難施設等-5（26）-改善（予定）年月-年（令和）</t>
  </si>
  <si>
    <t>23調査結果-避難施設等-5（26）-改善（予定）年月-月</t>
  </si>
  <si>
    <t>23調査結果-避難施設等-5（26）-改善（予定）年月-未定</t>
  </si>
  <si>
    <t>23調査結果-避難施設等-5（27）-調査結果</t>
  </si>
  <si>
    <t>23調査結果-避難施設等-5（27）-調査者番号</t>
  </si>
  <si>
    <t>23調査結果-避難施設等-5（27）-指摘の具体的内容等</t>
  </si>
  <si>
    <t>23調査結果-避難施設等-5（27）-改善策の具体的内容等</t>
  </si>
  <si>
    <t>23調査結果-避難施設等-5（27）-改善（予定）年月-年（令和）</t>
  </si>
  <si>
    <t>23調査結果-避難施設等-5（27）-改善（予定）年月-月</t>
  </si>
  <si>
    <t>23調査結果-避難施設等-5（27）-改善（予定）年月-未定</t>
  </si>
  <si>
    <t>23調査結果-避難施設等-5（28）-調査結果</t>
  </si>
  <si>
    <t>23調査結果-避難施設等-5（28）-調査者番号</t>
  </si>
  <si>
    <t>23調査結果-避難施設等-5（28）-指摘の具体的内容等</t>
  </si>
  <si>
    <t>23調査結果-避難施設等-5（28）-改善策の具体的内容等</t>
  </si>
  <si>
    <t>23調査結果-避難施設等-5（28）-改善（予定）年月-年（令和）</t>
  </si>
  <si>
    <t>23調査結果-避難施設等-5（28）-改善（予定）年月-月</t>
  </si>
  <si>
    <t>23調査結果-避難施設等-5（28）-改善（予定）年月-未定</t>
  </si>
  <si>
    <t>23調査結果-避難施設等-5（29）-調査結果</t>
  </si>
  <si>
    <t>23調査結果-避難施設等-5（29）-調査者番号</t>
  </si>
  <si>
    <t>23調査結果-避難施設等-5（29）-指摘の具体的内容等</t>
  </si>
  <si>
    <t>23調査結果-避難施設等-5（29）-改善策の具体的内容等</t>
  </si>
  <si>
    <t>23調査結果-避難施設等-5（29）-改善（予定）年月-年（令和）</t>
  </si>
  <si>
    <t>23調査結果-避難施設等-5（29）-改善（予定）年月-月</t>
  </si>
  <si>
    <t>23調査結果-避難施設等-5（29）-改善（予定）年月-未定</t>
  </si>
  <si>
    <t>23調査結果-避難施設等-5（30）-調査結果</t>
  </si>
  <si>
    <t>23調査結果-避難施設等-5（30）-調査者番号</t>
  </si>
  <si>
    <t>23調査結果-避難施設等-5（30）-指摘の具体的内容等</t>
  </si>
  <si>
    <t>23調査結果-避難施設等-5（30）-改善策の具体的内容等</t>
  </si>
  <si>
    <t>23調査結果-避難施設等-5（30）-改善（予定）年月-年（令和）</t>
  </si>
  <si>
    <t>23調査結果-避難施設等-5（30）-改善（予定）年月-月</t>
  </si>
  <si>
    <t>23調査結果-避難施設等-5（30）-改善（予定）年月-未定</t>
  </si>
  <si>
    <t>23調査結果-避難施設等-5（31）-調査結果</t>
  </si>
  <si>
    <t>23調査結果-避難施設等-5（31）-調査者番号</t>
  </si>
  <si>
    <t>23調査結果-避難施設等-5（31）-指摘の具体的内容等</t>
  </si>
  <si>
    <t>23調査結果-避難施設等-5（31）-改善策の具体的内容等</t>
  </si>
  <si>
    <t>23調査結果-避難施設等-5（31）-改善（予定）年月-年（令和）</t>
  </si>
  <si>
    <t>23調査結果-避難施設等-5（31）-改善（予定）年月-月</t>
  </si>
  <si>
    <t>23調査結果-避難施設等-5（31）-改善（予定）年月-未定</t>
  </si>
  <si>
    <t>23調査結果-避難施設等-5（32）-調査結果</t>
  </si>
  <si>
    <t>23調査結果-避難施設等-5（32）-調査者番号</t>
  </si>
  <si>
    <t>23調査結果-避難施設等-5（32）-指摘の具体的内容等</t>
  </si>
  <si>
    <t>23調査結果-避難施設等-5（32）-改善策の具体的内容等</t>
  </si>
  <si>
    <t>23調査結果-避難施設等-5（32）-改善（予定）年月-年（令和）</t>
  </si>
  <si>
    <t>23調査結果-避難施設等-5（32）-改善（予定）年月-月</t>
  </si>
  <si>
    <t>23調査結果-避難施設等-5（32）-改善（予定）年月-未定</t>
  </si>
  <si>
    <t>23調査結果-避難施設等-5（33）-調査結果</t>
  </si>
  <si>
    <t>23調査結果-避難施設等-5（33）-調査者番号</t>
  </si>
  <si>
    <t>23調査結果-避難施設等-5（33）-指摘の具体的内容等</t>
  </si>
  <si>
    <t>23調査結果-避難施設等-5（33）-改善策の具体的内容等</t>
  </si>
  <si>
    <t>23調査結果-避難施設等-5（33）-改善（予定）年月-年（令和）</t>
  </si>
  <si>
    <t>23調査結果-避難施設等-5（33）-改善（予定）年月-月</t>
  </si>
  <si>
    <t>23調査結果-避難施設等-5（33）-改善（予定）年月-未定</t>
  </si>
  <si>
    <t>23調査結果-避難施設等-5（34）-調査結果</t>
  </si>
  <si>
    <t>23調査結果-避難施設等-5（34）-調査者番号</t>
  </si>
  <si>
    <t>23調査結果-避難施設等-5（34）-指摘の具体的内容等</t>
  </si>
  <si>
    <t>23調査結果-避難施設等-5（34）-改善策の具体的内容等</t>
  </si>
  <si>
    <t>23調査結果-避難施設等-5（34）-改善（予定）年月-年（令和）</t>
  </si>
  <si>
    <t>23調査結果-避難施設等-5（34）-改善（予定）年月-月</t>
  </si>
  <si>
    <t>23調査結果-避難施設等-5（34）-改善（予定）年月-未定</t>
  </si>
  <si>
    <t>23調査結果-避難施設等-5（35）-調査結果</t>
  </si>
  <si>
    <t>23調査結果-避難施設等-5（35）-調査者番号</t>
  </si>
  <si>
    <t>23調査結果-避難施設等-5（35）-指摘の具体的内容等</t>
  </si>
  <si>
    <t>23調査結果-避難施設等-5（35）-改善策の具体的内容等</t>
  </si>
  <si>
    <t>23調査結果-避難施設等-5（35）-改善（予定）年月-年（令和）</t>
  </si>
  <si>
    <t>23調査結果-避難施設等-5（35）-改善（予定）年月-月</t>
  </si>
  <si>
    <t>23調査結果-避難施設等-5（35）-改善（予定）年月-未定</t>
  </si>
  <si>
    <t>23調査結果-避難施設等-5（36）-調査結果</t>
  </si>
  <si>
    <t>23調査結果-避難施設等-5（36）-調査者番号</t>
  </si>
  <si>
    <t>23調査結果-避難施設等-5（36）-指摘の具体的内容等</t>
  </si>
  <si>
    <t>23調査結果-避難施設等-5（36）-改善策の具体的内容等</t>
  </si>
  <si>
    <t>23調査結果-避難施設等-5（36）-改善（予定）年月-年（令和）</t>
  </si>
  <si>
    <t>23調査結果-避難施設等-5（36）-改善（予定）年月-月</t>
  </si>
  <si>
    <t>23調査結果-避難施設等-5（36）-改善（予定）年月-未定</t>
  </si>
  <si>
    <t>23調査結果-避難施設等-5（37）-調査結果</t>
  </si>
  <si>
    <t>23調査結果-避難施設等-5（37）-調査者番号</t>
  </si>
  <si>
    <t>23調査結果-避難施設等-5（37）-指摘の具体的内容等</t>
  </si>
  <si>
    <t>23調査結果-避難施設等-5（37）-改善策の具体的内容等</t>
  </si>
  <si>
    <t>23調査結果-避難施設等-5（37）-改善（予定）年月-年（令和）</t>
  </si>
  <si>
    <t>23調査結果-避難施設等-5（37）-改善（予定）年月-月</t>
  </si>
  <si>
    <t>23調査結果-避難施設等-5（37）-改善（予定）年月-未定</t>
  </si>
  <si>
    <t>23調査結果-避難施設等-5（38）-調査結果</t>
  </si>
  <si>
    <t>23調査結果-避難施設等-5（38）-調査者番号</t>
  </si>
  <si>
    <t>23調査結果-避難施設等-5（38）-指摘の具体的内容等</t>
  </si>
  <si>
    <t>23調査結果-避難施設等-5（38）-改善策の具体的内容等</t>
  </si>
  <si>
    <t>23調査結果-避難施設等-5（38）-改善（予定）年月-年（令和）</t>
  </si>
  <si>
    <t>23調査結果-避難施設等-5（38）-改善（予定）年月-月</t>
  </si>
  <si>
    <t>23調査結果-避難施設等-5（38）-改善（予定）年月-未定</t>
  </si>
  <si>
    <t>23調査結果-避難施設等-5（39）-調査結果</t>
  </si>
  <si>
    <t>23調査結果-避難施設等-5（39）-調査者番号</t>
  </si>
  <si>
    <t>23調査結果-避難施設等-5（39）-指摘の具体的内容等</t>
  </si>
  <si>
    <t>23調査結果-避難施設等-5（39）-改善策の具体的内容等</t>
  </si>
  <si>
    <t>23調査結果-避難施設等-5（39）-改善（予定）年月-年（令和）</t>
  </si>
  <si>
    <t>23調査結果-避難施設等-5（39）-改善（予定）年月-月</t>
  </si>
  <si>
    <t>23調査結果-避難施設等-5（39）-改善（予定）年月-未定</t>
  </si>
  <si>
    <t>23調査結果-避難施設等-5（40）-調査結果</t>
  </si>
  <si>
    <t>23調査結果-避難施設等-5（40）-調査者番号</t>
  </si>
  <si>
    <t>23調査結果-避難施設等-5（40）-指摘の具体的内容等</t>
  </si>
  <si>
    <t>23調査結果-避難施設等-5（40）-改善策の具体的内容等</t>
  </si>
  <si>
    <t>23調査結果-避難施設等-5（40）-改善（予定）年月-年（令和）</t>
  </si>
  <si>
    <t>23調査結果-避難施設等-5（40）-改善（予定）年月-月</t>
  </si>
  <si>
    <t>23調査結果-避難施設等-5（40）-改善（予定）年月-未定</t>
  </si>
  <si>
    <t>23調査結果-その他-6（1）-調査結果</t>
  </si>
  <si>
    <t>23調査結果-その他-6（1）-調査者番号</t>
  </si>
  <si>
    <t>23調査結果-その他-6（1）-指摘の具体的内容等</t>
  </si>
  <si>
    <t>23調査結果-その他-6（1）-改善策の具体的内容等</t>
  </si>
  <si>
    <t>23調査結果-その他-6（1）-改善（予定）年月-年（令和）</t>
  </si>
  <si>
    <t>23調査結果-その他-6（1）-改善（予定）年月-月</t>
  </si>
  <si>
    <t>23調査結果-その他-6（1）-改善（予定）年月-未定</t>
  </si>
  <si>
    <t>23調査結果-その他-6（2）-調査結果</t>
  </si>
  <si>
    <t>23調査結果-その他-6（2）-調査者番号</t>
  </si>
  <si>
    <t>23調査結果-その他-6（2）-指摘の具体的内容等</t>
  </si>
  <si>
    <t>23調査結果-その他-6（2）-改善策の具体的内容等</t>
  </si>
  <si>
    <t>23調査結果-その他-6（2）-改善（予定）年月-年（令和）</t>
  </si>
  <si>
    <t>23調査結果-その他-6（2）-改善（予定）年月-月</t>
  </si>
  <si>
    <t>23調査結果-その他-6（2）-改善（予定）年月-未定</t>
  </si>
  <si>
    <t>23調査結果-その他-6（3）-調査結果</t>
  </si>
  <si>
    <t>23調査結果-その他-6（3）-調査者番号</t>
  </si>
  <si>
    <t>23調査結果-その他-6（3）-指摘の具体的内容等</t>
  </si>
  <si>
    <t>23調査結果-その他-6（3）-改善策の具体的内容等</t>
  </si>
  <si>
    <t>23調査結果-その他-6（3）-改善（予定）年月-年（令和）</t>
  </si>
  <si>
    <t>23調査結果-その他-6（3）-改善（予定）年月-月</t>
  </si>
  <si>
    <t>23調査結果-その他-6（3）-改善（予定）年月-未定</t>
  </si>
  <si>
    <t>23調査結果-その他-6（4）-調査結果</t>
  </si>
  <si>
    <t>23調査結果-その他-6（4）-調査者番号</t>
  </si>
  <si>
    <t>23調査結果-その他-6（4）-指摘の具体的内容等</t>
  </si>
  <si>
    <t>23調査結果-その他-6（4）-改善策の具体的内容等</t>
  </si>
  <si>
    <t>23調査結果-その他-6（4）-改善（予定）年月-年（令和）</t>
  </si>
  <si>
    <t>23調査結果-その他-6（4）-改善（予定）年月-月</t>
  </si>
  <si>
    <t>23調査結果-その他-6（4）-改善（予定）年月-未定</t>
  </si>
  <si>
    <t>23調査結果-その他-6（5）-調査結果</t>
  </si>
  <si>
    <t>23調査結果-その他-6（5）-調査者番号</t>
  </si>
  <si>
    <t>23調査結果-その他-6（5）-指摘の具体的内容等</t>
  </si>
  <si>
    <t>23調査結果-その他-6（5）-改善策の具体的内容等</t>
  </si>
  <si>
    <t>23調査結果-その他-6（5）-改善（予定）年月-年（令和）</t>
  </si>
  <si>
    <t>23調査結果-その他-6（5）-改善（予定）年月-月</t>
  </si>
  <si>
    <t>23調査結果-その他-6（5）-改善（予定）年月-未定</t>
  </si>
  <si>
    <t>23調査結果-その他-6（6）-調査結果</t>
  </si>
  <si>
    <t>23調査結果-その他-6（6）-調査者番号</t>
  </si>
  <si>
    <t>23調査結果-その他-6（6）-指摘の具体的内容等</t>
  </si>
  <si>
    <t>23調査結果-その他-6（6）-改善策の具体的内容等</t>
  </si>
  <si>
    <t>23調査結果-その他-6（6）-改善（予定）年月-年（令和）</t>
  </si>
  <si>
    <t>23調査結果-その他-6（6）-改善（予定）年月-月</t>
  </si>
  <si>
    <t>23調査結果-その他-6（6）-改善（予定）年月-未定</t>
  </si>
  <si>
    <t>23調査結果-その他-6（7）-調査結果</t>
  </si>
  <si>
    <t>23調査結果-その他-6（7）-調査者番号</t>
  </si>
  <si>
    <t>23調査結果-その他-6（7）-指摘の具体的内容等</t>
  </si>
  <si>
    <t>23調査結果-その他-6（7）-改善策の具体的内容等</t>
  </si>
  <si>
    <t>23調査結果-その他-6（7）-改善（予定）年月-年（令和）</t>
  </si>
  <si>
    <t>23調査結果-その他-6（7）-改善（予定）年月-月</t>
  </si>
  <si>
    <t>23調査結果-その他-6（7）-改善（予定）年月-未定</t>
  </si>
  <si>
    <t>23調査結果-その他-6（8）-調査結果</t>
  </si>
  <si>
    <t>23調査結果-その他-6（8）-調査者番号</t>
  </si>
  <si>
    <t>23調査結果-その他-6（8）-指摘の具体的内容等</t>
  </si>
  <si>
    <t>23調査結果-その他-6（8）-改善策の具体的内容等</t>
  </si>
  <si>
    <t>23調査結果-その他-6（8）-改善（予定）年月-年（令和）</t>
  </si>
  <si>
    <t>23調査結果-その他-6（8）-改善（予定）年月-月</t>
  </si>
  <si>
    <t>23調査結果-その他-6（8）-改善（予定）年月-未定</t>
  </si>
  <si>
    <t>23調査結果-その他-6（9）-調査結果</t>
  </si>
  <si>
    <t>23調査結果-その他-6（9）-調査者番号</t>
  </si>
  <si>
    <t>23調査結果-その他-6（9）-指摘の具体的内容等</t>
  </si>
  <si>
    <t>23調査結果-その他-6（9）-改善策の具体的内容等</t>
  </si>
  <si>
    <t>23調査結果-その他-6（9）-改善（予定）年月-年（令和）</t>
  </si>
  <si>
    <t>23調査結果-その他-6（9）-改善（予定）年月-月</t>
  </si>
  <si>
    <t>23調査結果-その他-6（9）-改善（予定）年月-未定</t>
  </si>
  <si>
    <t>23調査結果-上記以外の調査項目-7（1）-調査者番号</t>
  </si>
  <si>
    <t>23調査結果-上記以外の調査項目-7（1）-指摘の具体的内容等</t>
  </si>
  <si>
    <t>23調査結果-上記以外の調査項目-7（1）-改善策の具体的内容等</t>
  </si>
  <si>
    <t>23調査結果-上記以外の調査項目-7（1）-改善（予定）年月-年（令和）</t>
  </si>
  <si>
    <t>23調査結果-上記以外の調査項目-7（1）-改善（予定）年月-月</t>
  </si>
  <si>
    <t>23調査結果-上記以外の調査項目-7（1）-改善（予定）年月-未定</t>
  </si>
  <si>
    <t>23調査結果-上記以外の調査項目-7（2）-調査結果</t>
  </si>
  <si>
    <t>23調査結果-上記以外の調査項目-7（2）-調査者番号</t>
  </si>
  <si>
    <t>23調査結果-上記以外の調査項目-7（2）-指摘の具体的内容等</t>
  </si>
  <si>
    <t>23調査結果-上記以外の調査項目-7（2）-改善策の具体的内容等</t>
  </si>
  <si>
    <t>23調査結果-上記以外の調査項目-7（2）-改善（予定）年月-年（令和）</t>
  </si>
  <si>
    <t>23調査結果-上記以外の調査項目-7（2）-改善（予定）年月-月</t>
  </si>
  <si>
    <t>23調査結果-上記以外の調査項目-7（2）-改善（予定）年月-未定</t>
  </si>
  <si>
    <t>23調査結果-上記以外の調査項目-7（3）-調査結果</t>
  </si>
  <si>
    <t>23調査結果-上記以外の調査項目-7（3）-調査者番号</t>
  </si>
  <si>
    <t>23調査結果-上記以外の調査項目-7（3）-指摘の具体的内容等</t>
  </si>
  <si>
    <t>23調査結果-上記以外の調査項目-7（3）-改善策の具体的内容等</t>
  </si>
  <si>
    <t>23調査結果-上記以外の調査項目-7（3）-改善（予定）年月-年（令和）</t>
  </si>
  <si>
    <t>23調査結果-上記以外の調査項目-7（3）-改善（予定）年月-月</t>
  </si>
  <si>
    <t>23調査結果-上記以外の調査項目-7（3）-改善（予定）年月-未定</t>
  </si>
  <si>
    <t>23調査結果-上記以外の調査項目-7（4）-調査結果</t>
  </si>
  <si>
    <t>23調査結果-上記以外の調査項目-7（4）-調査者番号</t>
  </si>
  <si>
    <t>23調査結果-上記以外の調査項目-7（4）-指摘の具体的内容等</t>
  </si>
  <si>
    <t>23調査結果-上記以外の調査項目-7（4）-改善策の具体的内容等</t>
  </si>
  <si>
    <t>23調査結果-上記以外の調査項目-7（4）-改善（予定）年月-年（令和）</t>
  </si>
  <si>
    <t>23調査結果-上記以外の調査項目-7（4）-改善（予定）年月-月</t>
  </si>
  <si>
    <t>23調査結果-上記以外の調査項目-7（4）-改善（予定）年月-未定</t>
  </si>
  <si>
    <t>23調査結果-上記以外の調査項目-7（5）-調査結果</t>
  </si>
  <si>
    <t>23調査結果-上記以外の調査項目-7（5）-調査者番号</t>
  </si>
  <si>
    <t>23調査結果-上記以外の調査項目-7（5）-指摘の具体的内容等</t>
  </si>
  <si>
    <t>23調査結果-上記以外の調査項目-7（5）-改善策の具体的内容等</t>
  </si>
  <si>
    <t>23調査結果-上記以外の調査項目-7（5）-改善（予定）年月-年（令和）</t>
  </si>
  <si>
    <t>23調査結果-上記以外の調査項目-7（5）-改善（予定）年月-月</t>
  </si>
  <si>
    <t>23調査結果-上記以外の調査項目-7（5）-改善（予定）年月-未定</t>
  </si>
  <si>
    <t>23調査結果-上記以外の調査項目-7（6）-調査結果</t>
  </si>
  <si>
    <t>23調査結果-上記以外の調査項目-7（6）-調査者番号</t>
  </si>
  <si>
    <t>23調査結果-上記以外の調査項目-7（6）-指摘の具体的内容等</t>
  </si>
  <si>
    <t>23調査結果-上記以外の調査項目-7（6）-改善策の具体的内容等</t>
  </si>
  <si>
    <t>23調査結果-上記以外の調査項目-7（6）-改善（予定）年月-年（令和）</t>
  </si>
  <si>
    <t>23調査結果-上記以外の調査項目-7（6）-改善（予定）年月-月</t>
  </si>
  <si>
    <t>23調査結果-上記以外の調査項目-7（6）-改善（予定）年月-未定</t>
  </si>
  <si>
    <t>23調査結果-上記以外の調査項目-7（7）-調査結果</t>
  </si>
  <si>
    <t>23調査結果-上記以外の調査項目-7（7）-調査者番号</t>
  </si>
  <si>
    <t>23調査結果-上記以外の調査項目-7（7）-指摘の具体的内容等</t>
  </si>
  <si>
    <t>23調査結果-上記以外の調査項目-7（7）-改善策の具体的内容等</t>
  </si>
  <si>
    <t>23調査結果-上記以外の調査項目-7（7）-改善（予定）年月-年（令和）</t>
  </si>
  <si>
    <t>23調査結果-上記以外の調査項目-7（7）-改善（予定）年月-月</t>
  </si>
  <si>
    <t>23調査結果-上記以外の調査項目-7（7）-改善（予定）年月-未定</t>
  </si>
  <si>
    <t>23調査結果-上記以外の調査項目-7（8）-調査結果</t>
  </si>
  <si>
    <t>23調査結果-上記以外の調査項目-7（8）-調査者番号</t>
  </si>
  <si>
    <t>23調査結果-上記以外の調査項目-7（8）-指摘の具体的内容等</t>
  </si>
  <si>
    <t>23調査結果-上記以外の調査項目-7（8）-改善策の具体的内容等</t>
  </si>
  <si>
    <t>23調査結果-上記以外の調査項目-7（8）-改善（予定）年月-年（令和）</t>
  </si>
  <si>
    <t>23調査結果-上記以外の調査項目-7（8）-改善（予定）年月-月</t>
  </si>
  <si>
    <t>23調査結果-上記以外の調査項目-7（8）-改善（予定）年月-未定</t>
  </si>
  <si>
    <t>23調査結果-上記以外の調査項目-7（9）-調査結果</t>
  </si>
  <si>
    <t>23調査結果-上記以外の調査項目-7（9）-調査者番号</t>
  </si>
  <si>
    <t>23調査結果-上記以外の調査項目-7（9）-指摘の具体的内容等</t>
  </si>
  <si>
    <t>23調査結果-上記以外の調査項目-7（9）-改善策の具体的内容等</t>
  </si>
  <si>
    <t>23調査結果-上記以外の調査項目-7（9）-改善（予定）年月-年（令和）</t>
  </si>
  <si>
    <t>23調査結果-上記以外の調査項目-7（9）-改善（予定）年月-月</t>
  </si>
  <si>
    <t>23調査結果-上記以外の調査項目-7（9）-改善（予定）年月-未定</t>
  </si>
  <si>
    <t>23調査結果-上記以外の調査項目-7（10）-調査結果</t>
  </si>
  <si>
    <t>23調査結果-上記以外の調査項目-7（10）-調査者番号</t>
  </si>
  <si>
    <t>23調査結果-上記以外の調査項目-7（10）-指摘の具体的内容等</t>
  </si>
  <si>
    <t>23調査結果-上記以外の調査項目-7（10）-改善策の具体的内容等</t>
  </si>
  <si>
    <t>23調査結果-上記以外の調査項目-7（10）-改善（予定）年月-年（令和）</t>
  </si>
  <si>
    <t>23調査結果-上記以外の調査項目-7（10）-改善（予定）年月-月</t>
  </si>
  <si>
    <t>23調査結果-上記以外の調査項目-7（10）-改善（予定）年月-未定</t>
  </si>
  <si>
    <t>23調査結果-上記1から7に記載のない事項-1行目-番号</t>
  </si>
  <si>
    <t>23調査結果-上記1から7に記載のない事項-1行目-調査項目</t>
  </si>
  <si>
    <t>23調査結果-上記1から7に記載のない事項-1行目-調査結果</t>
  </si>
  <si>
    <t>23調査結果-上記1から7に記載のない事項-1行目-調査者番号</t>
  </si>
  <si>
    <t>23調査結果-上記1から7に記載のない事項-1行目-指摘の具体的内容等</t>
  </si>
  <si>
    <t>23調査結果-上記1から7に記載のない事項-1行目-改善策の具体的内容等</t>
  </si>
  <si>
    <t>23調査結果-上記1から7に記載のない事項-1行目-改善（予定）年月-年（令和）</t>
  </si>
  <si>
    <t>23調査結果-上記1から7に記載のない事項-1行目-改善（予定）年月-月</t>
  </si>
  <si>
    <t>23調査結果-上記1から7に記載のない事項-1行目-改善（予定）年月-未定</t>
  </si>
  <si>
    <t>23調査結果-上記1から7に記載のない事項-2行目-番号</t>
  </si>
  <si>
    <t>23調査結果-上記1から7に記載のない事項-2行目-調査項目</t>
  </si>
  <si>
    <t>23調査結果-上記1から7に記載のない事項-2行目-調査結果</t>
  </si>
  <si>
    <t>23調査結果-上記1から7に記載のない事項-2行目-調査者番号</t>
  </si>
  <si>
    <t>23調査結果-上記1から7に記載のない事項-2行目-指摘の具体的内容等</t>
  </si>
  <si>
    <t>23調査結果-上記1から7に記載のない事項-2行目-改善策の具体的内容等</t>
  </si>
  <si>
    <t>23調査結果-上記1から7に記載のない事項-2行目-改善（予定）年月-年（令和）</t>
  </si>
  <si>
    <t>23調査結果-上記1から7に記載のない事項-2行目-改善（予定）年月-月</t>
  </si>
  <si>
    <t>23調査結果-上記1から7に記載のない事項-2行目-改善（予定）年月-未定</t>
  </si>
  <si>
    <t>23調査結果-上記1から7に記載のない事項-3行目-番号</t>
  </si>
  <si>
    <t>23調査結果-上記1から7に記載のない事項-3行目-調査項目</t>
  </si>
  <si>
    <t>23調査結果-上記1から7に記載のない事項-3行目-調査結果</t>
  </si>
  <si>
    <t>23調査結果-上記1から7に記載のない事項-3行目-調査者番号</t>
  </si>
  <si>
    <t>23調査結果-上記1から7に記載のない事項-3行目-指摘の具体的内容等</t>
  </si>
  <si>
    <t>23調査結果-上記1から7に記載のない事項-3行目-改善策の具体的内容等</t>
  </si>
  <si>
    <t>23調査結果-上記1から7に記載のない事項-3行目-改善（予定）年月-年（令和）</t>
  </si>
  <si>
    <t>23調査結果-上記1から7に記載のない事項-3行目-改善（予定）年月-月</t>
  </si>
  <si>
    <t>23調査結果-上記1から7に記載のない事項-3行目-改善（予定）年月-未定</t>
  </si>
  <si>
    <t>23調査結果-上記1から7に記載のない事項-4行目-番号</t>
  </si>
  <si>
    <t>23調査結果-上記1から7に記載のない事項-4行目-調査項目</t>
  </si>
  <si>
    <t>23調査結果-上記1から7に記載のない事項-4行目-調査結果</t>
  </si>
  <si>
    <t>23調査結果-上記1から7に記載のない事項-4行目-調査者番号</t>
  </si>
  <si>
    <t>23調査結果-上記1から7に記載のない事項-4行目-指摘の具体的内容等</t>
  </si>
  <si>
    <t>23調査結果-上記1から7に記載のない事項-4行目-改善策の具体的内容等</t>
  </si>
  <si>
    <t>23調査結果-上記1から7に記載のない事項-4行目-改善（予定）年月-年（令和）</t>
  </si>
  <si>
    <t>23調査結果-上記1から7に記載のない事項-4行目-改善（予定）年月-月</t>
  </si>
  <si>
    <t>23調査結果-上記1から7に記載のない事項-4行目-改善（予定）年月-未定</t>
  </si>
  <si>
    <t>23調査結果-上記1から7に記載のない事項-5行目-番号</t>
  </si>
  <si>
    <t>23調査結果-上記1から7に記載のない事項-5行目-調査項目</t>
  </si>
  <si>
    <t>23調査結果-上記1から7に記載のない事項-5行目-調査結果</t>
  </si>
  <si>
    <t>23調査結果-上記1から7に記載のない事項-5行目-調査者番号</t>
  </si>
  <si>
    <t>23調査結果-上記1から7に記載のない事項-5行目-指摘の具体的内容等</t>
  </si>
  <si>
    <t>23調査結果-上記1から7に記載のない事項-5行目-改善策の具体的内容等</t>
  </si>
  <si>
    <t>23調査結果-上記1から7に記載のない事項-5行目-改善（予定）年月-年（令和）</t>
  </si>
  <si>
    <t>23調査結果-上記1から7に記載のない事項-5行目-改善（予定）年月-月</t>
  </si>
  <si>
    <t>23調査結果-上記1から7に記載のない事項-5行目-改善（予定）年月-未定</t>
  </si>
  <si>
    <t>23調査結果-上記1から7に記載のない事項-6行目-番号</t>
  </si>
  <si>
    <t>23調査結果-上記1から7に記載のない事項-6行目-調査項目</t>
  </si>
  <si>
    <t>23調査結果-上記1から7に記載のない事項-6行目-調査結果</t>
  </si>
  <si>
    <t>23調査結果-上記1から7に記載のない事項-6行目-調査者番号</t>
  </si>
  <si>
    <t>23調査結果-上記1から7に記載のない事項-6行目-指摘の具体的内容等</t>
  </si>
  <si>
    <t>23調査結果-上記1から7に記載のない事項-6行目-改善策の具体的内容等</t>
  </si>
  <si>
    <t>23調査結果-上記1から7に記載のない事項-6行目-改善（予定）年月-年（令和）</t>
  </si>
  <si>
    <t>23調査結果-上記1から7に記載のない事項-6行目-改善（予定）年月-月</t>
  </si>
  <si>
    <t>23調査結果-上記1から7に記載のない事項-6行目-改善（予定）年月-未定</t>
  </si>
  <si>
    <t>23調査結果-上記1から7に記載のない事項-7行目-番号</t>
  </si>
  <si>
    <t>23調査結果-上記1から7に記載のない事項-7行目-調査項目</t>
  </si>
  <si>
    <t>23調査結果-上記1から7に記載のない事項-7行目-調査結果</t>
  </si>
  <si>
    <t>23調査結果-上記1から7に記載のない事項-7行目-調査者番号</t>
  </si>
  <si>
    <t>23調査結果-上記1から7に記載のない事項-7行目-指摘の具体的内容等</t>
  </si>
  <si>
    <t>23調査結果-上記1から7に記載のない事項-7行目-改善策の具体的内容等</t>
  </si>
  <si>
    <t>23調査結果-上記1から7に記載のない事項-7行目-改善（予定）年月-年（令和）</t>
  </si>
  <si>
    <t>23調査結果-上記1から7に記載のない事項-7行目-改善（予定）年月-月</t>
  </si>
  <si>
    <t>23調査結果-上記1から7に記載のない事項-7行目-改善（予定）年月-未定</t>
  </si>
  <si>
    <t>23調査結果-上記1から7に記載のない事項-8行目-番号</t>
  </si>
  <si>
    <t>23調査結果-上記1から7に記載のない事項-8行目-調査項目</t>
  </si>
  <si>
    <t>23調査結果-上記1から7に記載のない事項-8行目-調査結果</t>
  </si>
  <si>
    <t>23調査結果-上記1から7に記載のない事項-8行目-調査者番号</t>
  </si>
  <si>
    <t>23調査結果-上記1から7に記載のない事項-8行目-指摘の具体的内容等</t>
  </si>
  <si>
    <t>23調査結果-上記1から7に記載のない事項-8行目-改善策の具体的内容等</t>
  </si>
  <si>
    <t>23調査結果-上記1から7に記載のない事項-8行目-改善（予定）年月-年（令和）</t>
  </si>
  <si>
    <t>23調査結果-上記1から7に記載のない事項-8行目-改善（予定）年月-月</t>
  </si>
  <si>
    <t>23調査結果-上記1から7に記載のない事項-8行目-改善（予定）年月-未定</t>
  </si>
  <si>
    <t>23調査結果-上記1から7に記載のない事項-9行目-番号</t>
  </si>
  <si>
    <t>23調査結果-上記1から7に記載のない事項-9行目-調査項目</t>
  </si>
  <si>
    <t>23調査結果-上記1から7に記載のない事項-9行目-調査結果</t>
  </si>
  <si>
    <t>23調査結果-上記1から7に記載のない事項-9行目-調査者番号</t>
  </si>
  <si>
    <t>23調査結果-上記1から7に記載のない事項-9行目-指摘の具体的内容等</t>
  </si>
  <si>
    <t>23調査結果-上記1から7に記載のない事項-9行目-改善策の具体的内容等</t>
  </si>
  <si>
    <t>23調査結果-上記1から7に記載のない事項-9行目-改善（予定）年月-年（令和）</t>
  </si>
  <si>
    <t>23調査結果-上記1から7に記載のない事項-9行目-改善（予定）年月-月</t>
  </si>
  <si>
    <t>23調査結果-上記1から7に記載のない事項-9行目-改善（予定）年月-未定</t>
  </si>
  <si>
    <t>23調査結果-上記1から7に記載のない事項-10行目-番号</t>
  </si>
  <si>
    <t>23調査結果-上記1から7に記載のない事項-10行目-調査項目</t>
  </si>
  <si>
    <t>23調査結果-上記1から7に記載のない事項-10行目-調査結果</t>
  </si>
  <si>
    <t>23調査結果-上記1から7に記載のない事項-10行目-調査者番号</t>
  </si>
  <si>
    <t>23調査結果-上記1から7に記載のない事項-10行目-指摘の具体的内容等</t>
  </si>
  <si>
    <t>23調査結果-上記1から7に記載のない事項-10行目-改善策の具体的内容等</t>
  </si>
  <si>
    <t>23調査結果-上記1から7に記載のない事項-10行目-改善（予定）年月-年（令和）</t>
  </si>
  <si>
    <t>23調査結果-上記1から7に記載のない事項-10行目-改善（予定）年月-月</t>
  </si>
  <si>
    <t>23調査結果-上記1から7に記載のない事項-10行目-改善（予定）年月-未定</t>
  </si>
  <si>
    <t>23調査結果-上記1から7に記載のない事項-11行目-番号</t>
  </si>
  <si>
    <t>23調査結果-上記1から7に記載のない事項-11行目-調査項目</t>
  </si>
  <si>
    <t>23調査結果-上記1から7に記載のない事項-11行目-調査結果</t>
  </si>
  <si>
    <t>23調査結果-上記1から7に記載のない事項-11行目-調査者番号</t>
  </si>
  <si>
    <t>23調査結果-上記1から7に記載のない事項-11行目-指摘の具体的内容等</t>
  </si>
  <si>
    <t>23調査結果-上記1から7に記載のない事項-11行目-改善策の具体的内容等</t>
  </si>
  <si>
    <t>23調査結果-上記1から7に記載のない事項-11行目-改善（予定）年月-年（令和）</t>
  </si>
  <si>
    <t>23調査結果-上記1から7に記載のない事項-11行目-改善（予定）年月-月</t>
  </si>
  <si>
    <t>23調査結果-上記1から7に記載のない事項-11行目-改善（予定）年月-未定</t>
  </si>
  <si>
    <t>23調査結果-上記1から7に記載のない事項-12行目-番号</t>
  </si>
  <si>
    <t>23調査結果-上記1から7に記載のない事項-12行目-調査項目</t>
  </si>
  <si>
    <t>23調査結果-上記1から7に記載のない事項-12行目-調査結果</t>
  </si>
  <si>
    <t>23調査結果-上記1から7に記載のない事項-12行目-調査者番号</t>
  </si>
  <si>
    <t>23調査結果-上記1から7に記載のない事項-12行目-指摘の具体的内容等</t>
  </si>
  <si>
    <t>23調査結果-上記1から7に記載のない事項-12行目-改善策の具体的内容等</t>
  </si>
  <si>
    <t>23調査結果-上記1から7に記載のない事項-12行目-改善（予定）年月-年（令和）</t>
  </si>
  <si>
    <t>23調査結果-上記1から7に記載のない事項-12行目-改善（予定）年月-月</t>
  </si>
  <si>
    <t>23調査結果-上記1から7に記載のない事項-12行目-改善（予定）年月-未定</t>
  </si>
  <si>
    <t>23調査結果-上記1から7に記載のない事項-13行目-番号</t>
  </si>
  <si>
    <t>23調査結果-上記1から7に記載のない事項-13行目-調査項目</t>
  </si>
  <si>
    <t>23調査結果-上記1から7に記載のない事項-13行目-調査結果</t>
  </si>
  <si>
    <t>23調査結果-上記1から7に記載のない事項-13行目-調査者番号</t>
  </si>
  <si>
    <t>23調査結果-上記1から7に記載のない事項-13行目-指摘の具体的内容等</t>
  </si>
  <si>
    <t>23調査結果-上記1から7に記載のない事項-13行目-改善策の具体的内容等</t>
  </si>
  <si>
    <t>23調査結果-上記1から7に記載のない事項-13行目-改善（予定）年月-年（令和）</t>
  </si>
  <si>
    <t>23調査結果-上記1から7に記載のない事項-13行目-改善（予定）年月-月</t>
  </si>
  <si>
    <t>23調査結果-上記1から7に記載のない事項-13行目-改善（予定）年月-未定</t>
  </si>
  <si>
    <t>23調査結果-上記1から7に記載のない事項-14行目-番号</t>
  </si>
  <si>
    <t>23調査結果-上記1から7に記載のない事項-14行目-調査項目</t>
  </si>
  <si>
    <t>23調査結果-上記1から7に記載のない事項-14行目-調査結果</t>
  </si>
  <si>
    <t>23調査結果-上記1から7に記載のない事項-14行目-調査者番号</t>
  </si>
  <si>
    <t>23調査結果-上記1から7に記載のない事項-14行目-指摘の具体的内容等</t>
  </si>
  <si>
    <t>23調査結果-上記1から7に記載のない事項-14行目-改善策の具体的内容等</t>
  </si>
  <si>
    <t>23調査結果-上記1から7に記載のない事項-14行目-改善（予定）年月-年（令和）</t>
  </si>
  <si>
    <t>23調査結果-上記1から7に記載のない事項-14行目-改善（予定）年月-月</t>
  </si>
  <si>
    <t>23調査結果-上記1から7に記載のない事項-14行目-改善（予定）年月-未定</t>
  </si>
  <si>
    <t>23調査結果-上記1から7に記載のない事項-15行目-番号</t>
  </si>
  <si>
    <t>23調査結果-上記1から7に記載のない事項-15行目-調査項目</t>
  </si>
  <si>
    <t>23調査結果-上記1から7に記載のない事項-15行目-調査結果</t>
  </si>
  <si>
    <t>23調査結果-上記1から7に記載のない事項-15行目-調査者番号</t>
  </si>
  <si>
    <t>23調査結果-上記1から7に記載のない事項-15行目-指摘の具体的内容等</t>
  </si>
  <si>
    <t>23調査結果-上記1から7に記載のない事項-15行目-改善策の具体的内容等</t>
  </si>
  <si>
    <t>23調査結果-上記1から7に記載のない事項-15行目-改善（予定）年月-年（令和）</t>
  </si>
  <si>
    <t>23調査結果-上記1から7に記載のない事項-15行目-改善（予定）年月-月</t>
  </si>
  <si>
    <t>23調査結果-上記1から7に記載のない事項-15行目-改善（予定）年月-未定</t>
  </si>
  <si>
    <t>階別用途別床面積-1-特記</t>
  </si>
  <si>
    <t>階別用途別床面積-2-特記</t>
  </si>
  <si>
    <t>階別用途別床面積-3-特記</t>
  </si>
  <si>
    <t>階別用途別床面積-4-特記</t>
  </si>
  <si>
    <t>階別用途別床面積-5-特記</t>
  </si>
  <si>
    <t>階別用途別床面積-6-特記</t>
  </si>
  <si>
    <t>階別用途別床面積-7-特記</t>
  </si>
  <si>
    <t>延べ面積</t>
  </si>
  <si>
    <t>関係写真-1-項目番号</t>
  </si>
  <si>
    <t>関係写真-1-その他チェック</t>
  </si>
  <si>
    <t>関係写真-1-特記事項(自由記入)</t>
  </si>
  <si>
    <t>関係写真-2-項目番号</t>
  </si>
  <si>
    <t>関係写真-2-その他チェック</t>
  </si>
  <si>
    <t>関係写真-2-特記事項(自由記入)</t>
  </si>
  <si>
    <t>関係写真-3-項目番号</t>
  </si>
  <si>
    <t>関係写真-3-その他チェック</t>
  </si>
  <si>
    <t>関係写真-3-特記事項(自由記入)</t>
  </si>
  <si>
    <t>関係写真-4-項目番号</t>
  </si>
  <si>
    <t>関係写真-4-その他チェック</t>
  </si>
  <si>
    <t>関係写真-4-特記事項(自由記入)</t>
  </si>
  <si>
    <t>関係写真-5-項目番号</t>
  </si>
  <si>
    <t>関係写真-5-その他チェック</t>
  </si>
  <si>
    <t>関係写真-5-特記事項(自由記入)</t>
  </si>
  <si>
    <t>関係写真-6-項目番号</t>
  </si>
  <si>
    <t>関係写真-6-その他チェック</t>
  </si>
  <si>
    <t>関係写真-6-特記事項(自由記入)</t>
  </si>
  <si>
    <t>関係写真-7-項目番号</t>
  </si>
  <si>
    <t>関係写真-7-その他チェック</t>
  </si>
  <si>
    <t>関係写真-7-特記事項(自由記入)</t>
  </si>
  <si>
    <t>関係写真-8-項目番号</t>
  </si>
  <si>
    <t>関係写真-8-その他チェック</t>
  </si>
  <si>
    <t>関係写真-8-特記事項(自由記入)</t>
  </si>
  <si>
    <t>関係写真-9-項目番号</t>
  </si>
  <si>
    <t>関係写真-9-その他チェック</t>
  </si>
  <si>
    <t>関係写真-9-特記事項(自由記入)</t>
  </si>
  <si>
    <t>関係写真-10-項目番号</t>
  </si>
  <si>
    <t>関係写真-10-その他チェック</t>
  </si>
  <si>
    <t>関係写真-10-特記事項(自由記入)</t>
  </si>
  <si>
    <t>関係写真-11-項目番号</t>
  </si>
  <si>
    <t>関係写真-11-その他チェック</t>
  </si>
  <si>
    <t>関係写真-11-特記事項(自由記入)</t>
  </si>
  <si>
    <t>関係写真-12-項目番号</t>
  </si>
  <si>
    <t>関係写真-12-その他チェック</t>
  </si>
  <si>
    <t>関係写真-12-特記事項(自由記入)</t>
  </si>
  <si>
    <t>関係写真-13-項目番号</t>
  </si>
  <si>
    <t>関係写真-13-その他チェック</t>
  </si>
  <si>
    <t>関係写真-13-特記事項(自由記入)</t>
  </si>
  <si>
    <t>関係写真-14-項目番号</t>
  </si>
  <si>
    <t>関係写真-14-その他チェック</t>
  </si>
  <si>
    <t>関係写真-14-特記事項(自由記入)</t>
  </si>
  <si>
    <t>関係写真-15-項目番号</t>
  </si>
  <si>
    <t>関係写真-15-その他チェック</t>
  </si>
  <si>
    <t>関係写真-15-特記事項(自由記入)</t>
  </si>
  <si>
    <t>関係写真-16-項目番号</t>
  </si>
  <si>
    <t>関係写真-16-その他チェック</t>
  </si>
  <si>
    <t>関係写真-16-特記事項(自由記入)</t>
  </si>
  <si>
    <t>関係写真-17-項目番号</t>
  </si>
  <si>
    <t>関係写真-17-その他チェック</t>
  </si>
  <si>
    <t>関係写真-17-特記事項(自由記入)</t>
  </si>
  <si>
    <t>関係写真-18-項目番号</t>
  </si>
  <si>
    <t>関係写真-18-その他チェック</t>
  </si>
  <si>
    <t>関係写真-18-特記事項(自由記入)</t>
  </si>
  <si>
    <t>関係写真-19-項目番号</t>
  </si>
  <si>
    <t>関係写真-19-その他チェック</t>
  </si>
  <si>
    <t>関係写真-19-特記事項(自由記入)</t>
  </si>
  <si>
    <t>関係写真-20-項目番号</t>
  </si>
  <si>
    <t>関係写真-20-その他チェック</t>
  </si>
  <si>
    <t>関係写真-20-特記事項(自由記入)</t>
  </si>
  <si>
    <t>報告内容に関する問合せ先中間処理</t>
    <rPh sb="12" eb="14">
      <t>チュウカン</t>
    </rPh>
    <rPh sb="14" eb="16">
      <t>ショリ</t>
    </rPh>
    <phoneticPr fontId="3"/>
  </si>
  <si>
    <t>郵便番号</t>
  </si>
  <si>
    <t>住所</t>
  </si>
  <si>
    <t>電話番号</t>
  </si>
  <si>
    <t>氏名</t>
    <phoneticPr fontId="3"/>
  </si>
  <si>
    <t>法人名</t>
  </si>
  <si>
    <t>法人名＋氏名</t>
    <rPh sb="0" eb="3">
      <t>ホウジンメイ</t>
    </rPh>
    <rPh sb="4" eb="6">
      <t>シメイ</t>
    </rPh>
    <phoneticPr fontId="3"/>
  </si>
  <si>
    <t>7その他の調査者2-勤務先-名称</t>
  </si>
  <si>
    <t>7その他の調査者2-勤務先-事務所登録-建築士事務所</t>
  </si>
  <si>
    <t>7その他の調査者2-勤務先-事務所登録-知事登録</t>
  </si>
  <si>
    <t>7その他の調査者2-勤務先-事務所登録-号</t>
  </si>
  <si>
    <t>7その他の調査者2-勤務先-郵便番号</t>
  </si>
  <si>
    <t>7その他の調査者2-勤務先-所在地</t>
  </si>
  <si>
    <t>7その他の調査者2-勤務先-電話番号</t>
  </si>
  <si>
    <t>確認日</t>
    <rPh sb="0" eb="2">
      <t>カクニン</t>
    </rPh>
    <rPh sb="2" eb="3">
      <t>ビ</t>
    </rPh>
    <phoneticPr fontId="3"/>
  </si>
  <si>
    <t>検済日</t>
    <rPh sb="0" eb="2">
      <t>ケンズミ</t>
    </rPh>
    <rPh sb="2" eb="3">
      <t>ビ</t>
    </rPh>
    <phoneticPr fontId="3"/>
  </si>
  <si>
    <t>新築</t>
    <rPh sb="0" eb="2">
      <t>シンチク</t>
    </rPh>
    <phoneticPr fontId="3"/>
  </si>
  <si>
    <t>外装仕上材のタイル・石貼り等、モルタル塗り等の使用</t>
    <rPh sb="0" eb="2">
      <t>ガイソウ</t>
    </rPh>
    <rPh sb="2" eb="4">
      <t>シア</t>
    </rPh>
    <rPh sb="4" eb="5">
      <t>ザイ</t>
    </rPh>
    <rPh sb="10" eb="11">
      <t>イシ</t>
    </rPh>
    <rPh sb="11" eb="12">
      <t>ハ</t>
    </rPh>
    <rPh sb="13" eb="14">
      <t>ナド</t>
    </rPh>
    <rPh sb="19" eb="20">
      <t>ヌ</t>
    </rPh>
    <rPh sb="21" eb="22">
      <t>ナド</t>
    </rPh>
    <rPh sb="23" eb="25">
      <t>シヨウ</t>
    </rPh>
    <phoneticPr fontId="3"/>
  </si>
  <si>
    <t>外装仕上材のタイル・石貼り等、モルタル塗り等の使用</t>
    <rPh sb="0" eb="2">
      <t>ガイソウ</t>
    </rPh>
    <rPh sb="2" eb="4">
      <t>シア</t>
    </rPh>
    <rPh sb="4" eb="5">
      <t>ザイ</t>
    </rPh>
    <rPh sb="10" eb="11">
      <t>イシ</t>
    </rPh>
    <rPh sb="11" eb="12">
      <t>ハ</t>
    </rPh>
    <rPh sb="13" eb="14">
      <t>ナド</t>
    </rPh>
    <rPh sb="19" eb="20">
      <t>ヌ</t>
    </rPh>
    <rPh sb="21" eb="22">
      <t>ナド</t>
    </rPh>
    <rPh sb="23" eb="24">
      <t>ヨウ</t>
    </rPh>
    <phoneticPr fontId="3"/>
  </si>
  <si>
    <t>19外装仕上げ材等について-外装仕上材のタイル・石貼り等、モルタル塗り等の使用</t>
  </si>
  <si>
    <t>実施年月</t>
    <rPh sb="2" eb="4">
      <t>ネンゲツ</t>
    </rPh>
    <phoneticPr fontId="3"/>
  </si>
  <si>
    <t>19外装仕上げ材等について全面打診等の実施状況</t>
  </si>
  <si>
    <t>19外装仕上げ材等について-全面打診等の実施状況-時期：-元号</t>
  </si>
  <si>
    <t>19外装仕上げ材等について-全面打診等の実施状況-時期：-年</t>
  </si>
  <si>
    <t>19外装仕上げ材等について-全面打診等の実施状況-時期：-月に</t>
  </si>
  <si>
    <t>19外装仕上げ材等について-全面打診等の実施状況-理由：</t>
  </si>
  <si>
    <t>予定</t>
    <rPh sb="0" eb="2">
      <t>ヨテイ</t>
    </rPh>
    <phoneticPr fontId="3"/>
  </si>
  <si>
    <t>改善済</t>
    <rPh sb="0" eb="3">
      <t>カイゼンズ</t>
    </rPh>
    <phoneticPr fontId="3"/>
  </si>
  <si>
    <t>未定</t>
    <rPh sb="0" eb="2">
      <t>ミテイ</t>
    </rPh>
    <phoneticPr fontId="3"/>
  </si>
  <si>
    <t>児童福祉施設等(1)(市指定※)</t>
  </si>
  <si>
    <t>児童福祉施設等(2)(国指定※)</t>
  </si>
  <si>
    <t>劇場_映画館等</t>
  </si>
  <si>
    <t>住居系施設_高齢者_障害者等以外</t>
  </si>
  <si>
    <t>住居系施設_高齢者_障害者等</t>
  </si>
  <si>
    <t>児童福祉施設等_1_市指定</t>
  </si>
  <si>
    <t>児童福祉施設等_2_国指定</t>
  </si>
  <si>
    <t>事務所_サービス店舗等</t>
  </si>
  <si>
    <t>定報対象以外の用途_倉庫</t>
  </si>
  <si>
    <t>定報対象以外の用途_倉庫以外</t>
  </si>
  <si>
    <t>保育所</t>
  </si>
  <si>
    <t>老人デイサービスセンター（宿泊サービスを提供しないもの）</t>
  </si>
  <si>
    <t>学校_体育館_学校付属</t>
    <phoneticPr fontId="132"/>
  </si>
  <si>
    <t>体育館_学校付属以外</t>
    <phoneticPr fontId="132"/>
  </si>
  <si>
    <t>記載枠あふれ可能性</t>
  </si>
  <si>
    <t>記載枠あふれ可能性</t>
    <rPh sb="0" eb="3">
      <t>キサイワク</t>
    </rPh>
    <rPh sb="6" eb="9">
      <t>カノウセイ</t>
    </rPh>
    <phoneticPr fontId="3"/>
  </si>
  <si>
    <t>２２　その他特記事項（入力内容は概要書及び報告書の第一面5欄に反映されます）</t>
    <rPh sb="5" eb="6">
      <t>タ</t>
    </rPh>
    <rPh sb="6" eb="8">
      <t>トッキ</t>
    </rPh>
    <rPh sb="8" eb="10">
      <t>ジコウ</t>
    </rPh>
    <rPh sb="16" eb="19">
      <t>ガイヨウショ</t>
    </rPh>
    <rPh sb="19" eb="20">
      <t>オヨ</t>
    </rPh>
    <phoneticPr fontId="3"/>
  </si>
  <si>
    <t>↓4と7を統合</t>
    <rPh sb="5" eb="7">
      <t>トウゴウ</t>
    </rPh>
    <phoneticPr fontId="3"/>
  </si>
  <si>
    <t>まとめ</t>
  </si>
  <si>
    <t>上記１から７で表現できない項目</t>
  </si>
  <si>
    <t>１から７</t>
  </si>
  <si>
    <t>出力用</t>
    <phoneticPr fontId="3"/>
  </si>
  <si>
    <t>2行目と3行目の相違項目</t>
    <rPh sb="1" eb="3">
      <t>ギョウメ</t>
    </rPh>
    <rPh sb="5" eb="7">
      <t>ギョウメ</t>
    </rPh>
    <rPh sb="8" eb="10">
      <t>ソウイ</t>
    </rPh>
    <rPh sb="10" eb="12">
      <t>コウモク</t>
    </rPh>
    <phoneticPr fontId="134"/>
  </si>
  <si>
    <t>info関数</t>
    <rPh sb="4" eb="6">
      <t>カンスウ</t>
    </rPh>
    <phoneticPr fontId="134"/>
  </si>
  <si>
    <t>操作環境の名前</t>
  </si>
  <si>
    <t>OSのバージョン</t>
  </si>
  <si>
    <t>Excel のバージョン</t>
  </si>
  <si>
    <t>isemail関数</t>
    <rPh sb="7" eb="9">
      <t>カンスウ</t>
    </rPh>
    <phoneticPr fontId="134"/>
  </si>
  <si>
    <t>isemail関数が使用できる環境か</t>
    <rPh sb="10" eb="12">
      <t>シヨウ</t>
    </rPh>
    <rPh sb="15" eb="17">
      <t>カンキョウ</t>
    </rPh>
    <phoneticPr fontId="134"/>
  </si>
  <si>
    <t>市指定（細則29条1項1号）</t>
    <rPh sb="0" eb="3">
      <t>シシテイ</t>
    </rPh>
    <phoneticPr fontId="25"/>
  </si>
  <si>
    <t>国指定まとめ</t>
    <rPh sb="0" eb="3">
      <t>クニシテイ</t>
    </rPh>
    <phoneticPr fontId="25"/>
  </si>
  <si>
    <t>告示240第3_1項2号</t>
    <rPh sb="0" eb="2">
      <t>コクジ</t>
    </rPh>
    <rPh sb="5" eb="6">
      <t>ダイ</t>
    </rPh>
    <rPh sb="9" eb="10">
      <t>コウ</t>
    </rPh>
    <rPh sb="11" eb="12">
      <t>ゴウ</t>
    </rPh>
    <phoneticPr fontId="25"/>
  </si>
  <si>
    <t>告示240第3_1項1号</t>
    <rPh sb="0" eb="2">
      <t>コクジ</t>
    </rPh>
    <rPh sb="5" eb="6">
      <t>ダイ</t>
    </rPh>
    <rPh sb="9" eb="10">
      <t>コウ</t>
    </rPh>
    <rPh sb="11" eb="12">
      <t>ゴウ</t>
    </rPh>
    <phoneticPr fontId="25"/>
  </si>
  <si>
    <t>防火設備判定</t>
    <rPh sb="0" eb="4">
      <t>ボウカセツビ</t>
    </rPh>
    <rPh sb="4" eb="6">
      <t>ハンテイ</t>
    </rPh>
    <phoneticPr fontId="25"/>
  </si>
  <si>
    <t>市指定（細則29条1項2号）</t>
    <rPh sb="0" eb="3">
      <t>シシテイ</t>
    </rPh>
    <phoneticPr fontId="25"/>
  </si>
  <si>
    <t>建築設備判定</t>
    <rPh sb="0" eb="2">
      <t>ケンチク</t>
    </rPh>
    <rPh sb="2" eb="4">
      <t>セツビ</t>
    </rPh>
    <rPh sb="4" eb="6">
      <t>ハンテイ</t>
    </rPh>
    <phoneticPr fontId="25"/>
  </si>
  <si>
    <t>IDと突合用</t>
    <rPh sb="3" eb="5">
      <t>トツゴウ</t>
    </rPh>
    <rPh sb="5" eb="6">
      <t>ヨウ</t>
    </rPh>
    <phoneticPr fontId="25"/>
  </si>
  <si>
    <t>市指定まとめ</t>
    <rPh sb="0" eb="1">
      <t>シ</t>
    </rPh>
    <rPh sb="1" eb="3">
      <t>シテイ</t>
    </rPh>
    <phoneticPr fontId="25"/>
  </si>
  <si>
    <t>市指定（細則28条1項1号）まとめ</t>
    <rPh sb="0" eb="3">
      <t>シシテイ</t>
    </rPh>
    <phoneticPr fontId="25"/>
  </si>
  <si>
    <t>市指定（細則28条1項2号-4号）まとめ</t>
    <rPh sb="0" eb="3">
      <t>シシテイ</t>
    </rPh>
    <phoneticPr fontId="25"/>
  </si>
  <si>
    <t>全階（市）</t>
  </si>
  <si>
    <t>事務所階数5以上</t>
    <rPh sb="0" eb="2">
      <t>ジム</t>
    </rPh>
    <rPh sb="2" eb="3">
      <t>ショ</t>
    </rPh>
    <rPh sb="3" eb="5">
      <t>カイスウ</t>
    </rPh>
    <rPh sb="6" eb="8">
      <t>イジョウ</t>
    </rPh>
    <phoneticPr fontId="139"/>
  </si>
  <si>
    <t>旧耐震仮判定</t>
    <rPh sb="3" eb="6">
      <t>カリハンテイ</t>
    </rPh>
    <phoneticPr fontId="141"/>
  </si>
  <si>
    <t>劇場主階仮判定</t>
    <rPh sb="0" eb="4">
      <t>ゲキジョウシュカイ</t>
    </rPh>
    <rPh sb="4" eb="7">
      <t>カリハンテイ</t>
    </rPh>
    <phoneticPr fontId="139"/>
  </si>
  <si>
    <t>階数</t>
    <rPh sb="0" eb="2">
      <t>カイスウ</t>
    </rPh>
    <phoneticPr fontId="25"/>
  </si>
  <si>
    <t>事務所階数5</t>
    <rPh sb="0" eb="3">
      <t>ジムショ</t>
    </rPh>
    <rPh sb="3" eb="5">
      <t>カイスウ</t>
    </rPh>
    <phoneticPr fontId="139"/>
  </si>
  <si>
    <t>面積_3F～</t>
  </si>
  <si>
    <t>共住旧耐震</t>
    <rPh sb="0" eb="2">
      <t>キョウジュウ</t>
    </rPh>
    <rPh sb="2" eb="5">
      <t>キュウタイシン</t>
    </rPh>
    <phoneticPr fontId="139"/>
  </si>
  <si>
    <t>面積_2F</t>
  </si>
  <si>
    <t>塔屋5/</t>
  </si>
  <si>
    <t>面積_1F</t>
  </si>
  <si>
    <t>塔屋4/</t>
  </si>
  <si>
    <t>面積_B1F</t>
  </si>
  <si>
    <t>告示240/細則28条1項2号-4号まとめ</t>
    <rPh sb="0" eb="2">
      <t>コクジ</t>
    </rPh>
    <rPh sb="6" eb="8">
      <t>サイソク</t>
    </rPh>
    <rPh sb="10" eb="11">
      <t>ジョウ</t>
    </rPh>
    <rPh sb="12" eb="13">
      <t>コウ</t>
    </rPh>
    <rPh sb="14" eb="15">
      <t>ゴウ</t>
    </rPh>
    <rPh sb="17" eb="18">
      <t>ゴウ</t>
    </rPh>
    <phoneticPr fontId="25"/>
  </si>
  <si>
    <t>塔屋3/</t>
  </si>
  <si>
    <t>面積_～B2F</t>
  </si>
  <si>
    <t>塔屋2/</t>
  </si>
  <si>
    <t>用途別面積CSV出力用</t>
    <rPh sb="0" eb="5">
      <t>ヨウトベツメンセキ</t>
    </rPh>
    <rPh sb="8" eb="11">
      <t>シュツリョクヨウ</t>
    </rPh>
    <phoneticPr fontId="25"/>
  </si>
  <si>
    <t>劇場主階1階以外</t>
    <rPh sb="0" eb="4">
      <t>ゲキジョウシュカイ</t>
    </rPh>
    <rPh sb="5" eb="8">
      <t>カイイガイ</t>
    </rPh>
    <phoneticPr fontId="25"/>
  </si>
  <si>
    <t>塔屋1/</t>
  </si>
  <si>
    <t>50/</t>
  </si>
  <si>
    <t>客席200㎡以上</t>
    <rPh sb="0" eb="2">
      <t>キャクセキ</t>
    </rPh>
    <rPh sb="5" eb="8">
      <t>ヘイベイイジョウ</t>
    </rPh>
    <phoneticPr fontId="25"/>
  </si>
  <si>
    <t>49/</t>
  </si>
  <si>
    <t>全階</t>
  </si>
  <si>
    <t>48/</t>
  </si>
  <si>
    <t>3F～</t>
    <phoneticPr fontId="25"/>
  </si>
  <si>
    <t>47/</t>
  </si>
  <si>
    <t>2F</t>
  </si>
  <si>
    <t>46/</t>
  </si>
  <si>
    <t>BF</t>
  </si>
  <si>
    <t>45/</t>
  </si>
  <si>
    <t>44/</t>
  </si>
  <si>
    <t>43/</t>
  </si>
  <si>
    <t>避難階以外あり（法別表1(1)～(4)）</t>
    <rPh sb="0" eb="3">
      <t>ヒナンカイ</t>
    </rPh>
    <rPh sb="3" eb="5">
      <t>イガイ</t>
    </rPh>
    <rPh sb="8" eb="11">
      <t>ホウベッピョウ</t>
    </rPh>
    <phoneticPr fontId="25"/>
  </si>
  <si>
    <t>42/</t>
  </si>
  <si>
    <t>41/</t>
  </si>
  <si>
    <t>令14条の2_1項</t>
    <rPh sb="0" eb="1">
      <t>レイ</t>
    </rPh>
    <rPh sb="3" eb="4">
      <t>ジョウ</t>
    </rPh>
    <rPh sb="8" eb="9">
      <t>コウ</t>
    </rPh>
    <phoneticPr fontId="25"/>
  </si>
  <si>
    <t>40/</t>
  </si>
  <si>
    <t>39/</t>
  </si>
  <si>
    <t>法6条1項1号</t>
    <rPh sb="0" eb="1">
      <t>ホウ</t>
    </rPh>
    <phoneticPr fontId="25"/>
  </si>
  <si>
    <t>38/</t>
  </si>
  <si>
    <t>37/</t>
  </si>
  <si>
    <t>面積（法別表1(1)～(6)）</t>
    <rPh sb="0" eb="2">
      <t>メンセキ</t>
    </rPh>
    <rPh sb="3" eb="6">
      <t>ホウベッピョウ</t>
    </rPh>
    <phoneticPr fontId="25"/>
  </si>
  <si>
    <t>建築物判定</t>
    <rPh sb="0" eb="3">
      <t>ケンチクブツ</t>
    </rPh>
    <rPh sb="3" eb="5">
      <t>ハンテイ</t>
    </rPh>
    <phoneticPr fontId="25"/>
  </si>
  <si>
    <t>36/</t>
  </si>
  <si>
    <t>35/</t>
  </si>
  <si>
    <t>避難階</t>
    <rPh sb="0" eb="3">
      <t>ヒナンカイ</t>
    </rPh>
    <phoneticPr fontId="25"/>
  </si>
  <si>
    <t>34/</t>
  </si>
  <si>
    <t>全階</t>
    <phoneticPr fontId="25"/>
  </si>
  <si>
    <t>33/</t>
  </si>
  <si>
    <t>3F～</t>
  </si>
  <si>
    <t>32/</t>
  </si>
  <si>
    <t>2F</t>
    <phoneticPr fontId="25"/>
  </si>
  <si>
    <t>31/</t>
  </si>
  <si>
    <t>BF</t>
    <phoneticPr fontId="25"/>
  </si>
  <si>
    <t>30/</t>
  </si>
  <si>
    <t>大分類改め（記号）</t>
    <rPh sb="3" eb="4">
      <t>アラタ</t>
    </rPh>
    <rPh sb="6" eb="8">
      <t>キゴウ</t>
    </rPh>
    <phoneticPr fontId="25"/>
  </si>
  <si>
    <t>29/</t>
  </si>
  <si>
    <t>用途7</t>
    <rPh sb="0" eb="2">
      <t>ヨウト</t>
    </rPh>
    <phoneticPr fontId="25"/>
  </si>
  <si>
    <t>用途6</t>
    <rPh sb="0" eb="2">
      <t>ヨウト</t>
    </rPh>
    <phoneticPr fontId="25"/>
  </si>
  <si>
    <t>用途5</t>
    <rPh sb="0" eb="2">
      <t>ヨウト</t>
    </rPh>
    <phoneticPr fontId="25"/>
  </si>
  <si>
    <t>用途4</t>
    <rPh sb="0" eb="2">
      <t>ヨウト</t>
    </rPh>
    <phoneticPr fontId="25"/>
  </si>
  <si>
    <t>用途3</t>
    <rPh sb="0" eb="2">
      <t>ヨウト</t>
    </rPh>
    <phoneticPr fontId="25"/>
  </si>
  <si>
    <t>用途2</t>
    <rPh sb="0" eb="2">
      <t>ヨウト</t>
    </rPh>
    <phoneticPr fontId="25"/>
  </si>
  <si>
    <t>用途1</t>
    <rPh sb="0" eb="2">
      <t>ヨウト</t>
    </rPh>
    <phoneticPr fontId="25"/>
  </si>
  <si>
    <t>面積小計</t>
    <rPh sb="0" eb="4">
      <t>メンセキショウケイ</t>
    </rPh>
    <phoneticPr fontId="25"/>
  </si>
  <si>
    <t>28/</t>
  </si>
  <si>
    <t>&gt;</t>
  </si>
  <si>
    <t>全階</t>
    <phoneticPr fontId="25"/>
  </si>
  <si>
    <t>国</t>
    <rPh sb="0" eb="1">
      <t>クニ</t>
    </rPh>
    <phoneticPr fontId="25"/>
  </si>
  <si>
    <t>27/</t>
  </si>
  <si>
    <t>26/</t>
  </si>
  <si>
    <t>全階</t>
    <rPh sb="0" eb="1">
      <t>ゼン</t>
    </rPh>
    <rPh sb="1" eb="2">
      <t>カイ</t>
    </rPh>
    <phoneticPr fontId="25"/>
  </si>
  <si>
    <t>防火設備判定</t>
    <rPh sb="0" eb="2">
      <t>ボウカ</t>
    </rPh>
    <rPh sb="2" eb="4">
      <t>セツビ</t>
    </rPh>
    <rPh sb="4" eb="6">
      <t>ハンテイ</t>
    </rPh>
    <phoneticPr fontId="25"/>
  </si>
  <si>
    <t>25/</t>
  </si>
  <si>
    <t>24/</t>
  </si>
  <si>
    <t>市</t>
    <rPh sb="0" eb="1">
      <t>シ</t>
    </rPh>
    <phoneticPr fontId="25"/>
  </si>
  <si>
    <t>23/</t>
  </si>
  <si>
    <t>22/</t>
  </si>
  <si>
    <t>全階（市）</t>
    <rPh sb="0" eb="1">
      <t>ゼン</t>
    </rPh>
    <rPh sb="1" eb="2">
      <t>カイ</t>
    </rPh>
    <rPh sb="3" eb="4">
      <t>シ</t>
    </rPh>
    <phoneticPr fontId="25"/>
  </si>
  <si>
    <t>21/</t>
  </si>
  <si>
    <t>20/</t>
  </si>
  <si>
    <t>19/</t>
  </si>
  <si>
    <t>18/</t>
  </si>
  <si>
    <t>17/</t>
  </si>
  <si>
    <t>16/</t>
  </si>
  <si>
    <t>&gt;=</t>
  </si>
  <si>
    <t>15/</t>
  </si>
  <si>
    <t>14/</t>
  </si>
  <si>
    <t>13/</t>
  </si>
  <si>
    <t>12/</t>
  </si>
  <si>
    <t>11/</t>
  </si>
  <si>
    <t>全階</t>
    <rPh sb="0" eb="2">
      <t>ゼンカイ</t>
    </rPh>
    <phoneticPr fontId="25"/>
  </si>
  <si>
    <t>10/</t>
  </si>
  <si>
    <t>9/</t>
  </si>
  <si>
    <t>8/</t>
  </si>
  <si>
    <t>7/</t>
  </si>
  <si>
    <t>6/</t>
  </si>
  <si>
    <t>5/</t>
  </si>
  <si>
    <t>4/</t>
  </si>
  <si>
    <t>3/</t>
  </si>
  <si>
    <t>2/</t>
  </si>
  <si>
    <t>1/</t>
  </si>
  <si>
    <t>○</t>
  </si>
  <si>
    <t>塔屋 5</t>
    <rPh sb="0" eb="2">
      <t>トウヤ</t>
    </rPh>
    <phoneticPr fontId="141"/>
  </si>
  <si>
    <t>塔屋 4</t>
    <rPh sb="0" eb="2">
      <t>トウヤ</t>
    </rPh>
    <phoneticPr fontId="141"/>
  </si>
  <si>
    <t>塔屋 3</t>
    <rPh sb="0" eb="2">
      <t>トウヤ</t>
    </rPh>
    <phoneticPr fontId="141"/>
  </si>
  <si>
    <t>塔屋 2</t>
    <rPh sb="0" eb="2">
      <t>トウヤ</t>
    </rPh>
    <phoneticPr fontId="141"/>
  </si>
  <si>
    <t>塔屋 1</t>
    <rPh sb="0" eb="2">
      <t>トウヤ</t>
    </rPh>
    <phoneticPr fontId="141"/>
  </si>
  <si>
    <t>地下4</t>
    <rPh sb="0" eb="2">
      <t>チカ</t>
    </rPh>
    <phoneticPr fontId="141"/>
  </si>
  <si>
    <t>地下3</t>
    <rPh sb="0" eb="2">
      <t>チカ</t>
    </rPh>
    <phoneticPr fontId="141"/>
  </si>
  <si>
    <t>地下2</t>
    <rPh sb="0" eb="2">
      <t>チカ</t>
    </rPh>
    <phoneticPr fontId="141"/>
  </si>
  <si>
    <t>地下1</t>
    <rPh sb="0" eb="2">
      <t>チカ</t>
    </rPh>
    <phoneticPr fontId="141"/>
  </si>
  <si>
    <t>B1/</t>
  </si>
  <si>
    <t>B2/</t>
  </si>
  <si>
    <t>特記</t>
    <rPh sb="0" eb="2">
      <t>トッキ</t>
    </rPh>
    <phoneticPr fontId="25"/>
  </si>
  <si>
    <t>B3/</t>
  </si>
  <si>
    <t>改め後</t>
    <rPh sb="0" eb="1">
      <t>アラタ</t>
    </rPh>
    <rPh sb="2" eb="3">
      <t>アト</t>
    </rPh>
    <phoneticPr fontId="141"/>
  </si>
  <si>
    <t>B4/</t>
  </si>
  <si>
    <t>改め</t>
    <phoneticPr fontId="25"/>
  </si>
  <si>
    <t>大分類改め</t>
    <rPh sb="3" eb="4">
      <t>アラタ</t>
    </rPh>
    <phoneticPr fontId="25"/>
  </si>
  <si>
    <t>仮判定</t>
    <rPh sb="0" eb="3">
      <t>カリハンテイ</t>
    </rPh>
    <phoneticPr fontId="25"/>
  </si>
  <si>
    <t>小分類自由記入有</t>
    <rPh sb="3" eb="7">
      <t>ジユウキニュウ</t>
    </rPh>
    <rPh sb="7" eb="8">
      <t>アリ</t>
    </rPh>
    <phoneticPr fontId="25"/>
  </si>
  <si>
    <t>対象用途有</t>
    <rPh sb="0" eb="4">
      <t>タイショウヨウト</t>
    </rPh>
    <rPh sb="4" eb="5">
      <t>アリ</t>
    </rPh>
    <phoneticPr fontId="25"/>
  </si>
  <si>
    <t>旧耐震/新耐震</t>
    <rPh sb="4" eb="7">
      <t>シンタイシン</t>
    </rPh>
    <phoneticPr fontId="141"/>
  </si>
  <si>
    <t>客席</t>
    <rPh sb="0" eb="2">
      <t>キャクセキ</t>
    </rPh>
    <phoneticPr fontId="25"/>
  </si>
  <si>
    <t>劇場主階</t>
  </si>
  <si>
    <t>事務所階数</t>
    <rPh sb="0" eb="3">
      <t>ジムショ</t>
    </rPh>
    <rPh sb="3" eb="5">
      <t>カイスウ</t>
    </rPh>
    <phoneticPr fontId="25"/>
  </si>
  <si>
    <t>用途計</t>
    <rPh sb="0" eb="2">
      <t>ヨウト</t>
    </rPh>
    <rPh sb="2" eb="3">
      <t>ケイ</t>
    </rPh>
    <phoneticPr fontId="25"/>
  </si>
  <si>
    <t>避難階設定</t>
    <rPh sb="0" eb="3">
      <t>ヒナンカイ</t>
    </rPh>
    <rPh sb="3" eb="5">
      <t>セッテイ</t>
    </rPh>
    <phoneticPr fontId="25"/>
  </si>
  <si>
    <t>存する階CSV出力用</t>
    <rPh sb="0" eb="1">
      <t>ソン</t>
    </rPh>
    <rPh sb="3" eb="4">
      <t>カイ</t>
    </rPh>
    <rPh sb="7" eb="10">
      <t>シュツリョクヨウ</t>
    </rPh>
    <phoneticPr fontId="25"/>
  </si>
  <si>
    <t>Ka</t>
    <phoneticPr fontId="25"/>
  </si>
  <si>
    <t>Za</t>
  </si>
  <si>
    <t>Ya</t>
  </si>
  <si>
    <t>Ja</t>
  </si>
  <si>
    <t>Ia</t>
  </si>
  <si>
    <t>Hb</t>
  </si>
  <si>
    <t>Ha</t>
  </si>
  <si>
    <t>Gb</t>
  </si>
  <si>
    <t>Ga</t>
  </si>
  <si>
    <t>Fd</t>
  </si>
  <si>
    <t>Fc</t>
  </si>
  <si>
    <t>Fb</t>
  </si>
  <si>
    <t>Fa</t>
  </si>
  <si>
    <t>Eb</t>
  </si>
  <si>
    <t>Ea</t>
  </si>
  <si>
    <t>Db</t>
  </si>
  <si>
    <t>Da</t>
  </si>
  <si>
    <t>Ca</t>
  </si>
  <si>
    <t>Ba</t>
  </si>
  <si>
    <t>Ab</t>
  </si>
  <si>
    <t>Aa</t>
  </si>
  <si>
    <t>CSVシート</t>
  </si>
  <si>
    <t>面積</t>
    <rPh sb="0" eb="2">
      <t>メンセキ</t>
    </rPh>
    <phoneticPr fontId="3"/>
  </si>
  <si>
    <t>用途存否</t>
    <rPh sb="0" eb="2">
      <t>ヨウト</t>
    </rPh>
    <rPh sb="2" eb="4">
      <t>ソンピ</t>
    </rPh>
    <phoneticPr fontId="3"/>
  </si>
  <si>
    <t>面積（国）</t>
    <rPh sb="0" eb="2">
      <t>メンセキ</t>
    </rPh>
    <rPh sb="3" eb="4">
      <t>クニ</t>
    </rPh>
    <phoneticPr fontId="3"/>
  </si>
  <si>
    <t>面積（市）</t>
    <rPh sb="0" eb="2">
      <t>メンセキ</t>
    </rPh>
    <rPh sb="3" eb="4">
      <t>シ</t>
    </rPh>
    <phoneticPr fontId="3"/>
  </si>
  <si>
    <t>面積該否（告示240/細則28条1項2号-4号）</t>
    <rPh sb="2" eb="4">
      <t>ガイヒ</t>
    </rPh>
    <rPh sb="5" eb="7">
      <t>コクジ</t>
    </rPh>
    <rPh sb="11" eb="13">
      <t>サイソク</t>
    </rPh>
    <rPh sb="15" eb="16">
      <t>ジョウ</t>
    </rPh>
    <rPh sb="17" eb="18">
      <t>コウ</t>
    </rPh>
    <rPh sb="19" eb="20">
      <t>ゴウ</t>
    </rPh>
    <rPh sb="22" eb="23">
      <t>ゴウ</t>
    </rPh>
    <phoneticPr fontId="25"/>
  </si>
  <si>
    <t>面積該否（細則28条1項1号）</t>
    <rPh sb="5" eb="7">
      <t>サイソク</t>
    </rPh>
    <rPh sb="9" eb="10">
      <t>ジョウ</t>
    </rPh>
    <rPh sb="11" eb="12">
      <t>コウ</t>
    </rPh>
    <rPh sb="13" eb="14">
      <t>ゴウ</t>
    </rPh>
    <phoneticPr fontId="25"/>
  </si>
  <si>
    <t>同種用途面積振り分け（国）</t>
    <rPh sb="4" eb="7">
      <t>メンセキフ</t>
    </rPh>
    <rPh sb="8" eb="9">
      <t>ワ</t>
    </rPh>
    <rPh sb="11" eb="12">
      <t>クニ</t>
    </rPh>
    <phoneticPr fontId="3"/>
  </si>
  <si>
    <t>同種用途面積振り分け（市）</t>
    <rPh sb="4" eb="7">
      <t>メンセキフ</t>
    </rPh>
    <rPh sb="8" eb="9">
      <t>ワ</t>
    </rPh>
    <rPh sb="11" eb="12">
      <t>シ</t>
    </rPh>
    <phoneticPr fontId="3"/>
  </si>
  <si>
    <t>該否</t>
    <rPh sb="0" eb="2">
      <t>ガイヒ</t>
    </rPh>
    <phoneticPr fontId="3"/>
  </si>
  <si>
    <t>記号</t>
    <rPh sb="0" eb="2">
      <t>キゴウ</t>
    </rPh>
    <phoneticPr fontId="3"/>
  </si>
  <si>
    <t>建築物まとめ</t>
    <rPh sb="0" eb="3">
      <t>ケンチクブツ</t>
    </rPh>
    <phoneticPr fontId="3"/>
  </si>
  <si>
    <t>存在用途まとめ</t>
    <rPh sb="0" eb="4">
      <t>ソンザイヨウト</t>
    </rPh>
    <phoneticPr fontId="3"/>
  </si>
  <si>
    <t>対象用途まとめ（国建）</t>
    <rPh sb="0" eb="4">
      <t>タイショウヨウト</t>
    </rPh>
    <rPh sb="8" eb="9">
      <t>クニ</t>
    </rPh>
    <phoneticPr fontId="3"/>
  </si>
  <si>
    <t>対象用途まとめ（市新建）</t>
    <rPh sb="10" eb="11">
      <t>ケン</t>
    </rPh>
    <phoneticPr fontId="3"/>
  </si>
  <si>
    <t>対象用途まとめ（市従建）</t>
    <rPh sb="9" eb="10">
      <t>ジュウ</t>
    </rPh>
    <rPh sb="10" eb="11">
      <t>ケン</t>
    </rPh>
    <phoneticPr fontId="3"/>
  </si>
  <si>
    <t>対象用途まとめ（市建）</t>
    <rPh sb="9" eb="10">
      <t>ケン</t>
    </rPh>
    <phoneticPr fontId="3"/>
  </si>
  <si>
    <t>対象用途まとめ（建築物）</t>
    <rPh sb="8" eb="11">
      <t>ケンチクブツ</t>
    </rPh>
    <phoneticPr fontId="3"/>
  </si>
  <si>
    <t>対象用途まとめ（市設）</t>
    <rPh sb="8" eb="9">
      <t>シ</t>
    </rPh>
    <rPh sb="9" eb="10">
      <t>セツ</t>
    </rPh>
    <phoneticPr fontId="3"/>
  </si>
  <si>
    <t>対象用途まとめ（国防）</t>
    <rPh sb="8" eb="9">
      <t>クニ</t>
    </rPh>
    <rPh sb="9" eb="10">
      <t>ボウ</t>
    </rPh>
    <phoneticPr fontId="3"/>
  </si>
  <si>
    <t>対象用途まとめ（市新防）</t>
    <rPh sb="8" eb="9">
      <t>シ</t>
    </rPh>
    <rPh sb="9" eb="10">
      <t>シン</t>
    </rPh>
    <rPh sb="10" eb="11">
      <t>ボウ</t>
    </rPh>
    <phoneticPr fontId="3"/>
  </si>
  <si>
    <t>建築物周期</t>
    <rPh sb="0" eb="3">
      <t>ケンチクブツ</t>
    </rPh>
    <rPh sb="3" eb="5">
      <t>シュウキ</t>
    </rPh>
    <phoneticPr fontId="3"/>
  </si>
  <si>
    <t>周期</t>
    <rPh sb="0" eb="2">
      <t>シュウキ</t>
    </rPh>
    <phoneticPr fontId="3"/>
  </si>
  <si>
    <t>周期整合</t>
    <rPh sb="0" eb="4">
      <t>シュウキセイゴウ</t>
    </rPh>
    <phoneticPr fontId="3"/>
  </si>
  <si>
    <t>令和</t>
    <rPh sb="0" eb="2">
      <t>レイワ</t>
    </rPh>
    <phoneticPr fontId="3"/>
  </si>
  <si>
    <t>防火設備まとめ</t>
    <rPh sb="0" eb="4">
      <t>ボウカセツビ</t>
    </rPh>
    <phoneticPr fontId="3"/>
  </si>
  <si>
    <t>対象用途まとめ（防火設備）</t>
    <rPh sb="8" eb="12">
      <t>ボウカセツビ</t>
    </rPh>
    <phoneticPr fontId="3"/>
  </si>
  <si>
    <t>建</t>
    <rPh sb="0" eb="1">
      <t>ケン</t>
    </rPh>
    <phoneticPr fontId="3"/>
  </si>
  <si>
    <t>建・設</t>
    <rPh sb="0" eb="1">
      <t>ケン</t>
    </rPh>
    <rPh sb="2" eb="3">
      <t>セツ</t>
    </rPh>
    <phoneticPr fontId="3"/>
  </si>
  <si>
    <t>建・設・防</t>
    <rPh sb="0" eb="1">
      <t>ケン</t>
    </rPh>
    <rPh sb="2" eb="3">
      <t>セツ</t>
    </rPh>
    <rPh sb="4" eb="5">
      <t>ボウ</t>
    </rPh>
    <phoneticPr fontId="3"/>
  </si>
  <si>
    <t>建・防</t>
    <rPh sb="0" eb="1">
      <t>ケン</t>
    </rPh>
    <rPh sb="2" eb="3">
      <t>ボウ</t>
    </rPh>
    <phoneticPr fontId="3"/>
  </si>
  <si>
    <t>防</t>
    <rPh sb="0" eb="1">
      <t>ボウ</t>
    </rPh>
    <phoneticPr fontId="3"/>
  </si>
  <si>
    <t>対象外</t>
    <phoneticPr fontId="3"/>
  </si>
  <si>
    <t>建築物</t>
    <rPh sb="0" eb="2">
      <t>ケンチク</t>
    </rPh>
    <rPh sb="2" eb="3">
      <t>ブツ</t>
    </rPh>
    <phoneticPr fontId="3"/>
  </si>
  <si>
    <t>対象種別</t>
    <rPh sb="0" eb="4">
      <t>タイショウシュベツ</t>
    </rPh>
    <phoneticPr fontId="3"/>
  </si>
  <si>
    <t>まとめ</t>
    <phoneticPr fontId="3"/>
  </si>
  <si>
    <t>対象年</t>
    <rPh sb="0" eb="2">
      <t>タイショウ</t>
    </rPh>
    <rPh sb="2" eb="3">
      <t>ネン</t>
    </rPh>
    <phoneticPr fontId="3"/>
  </si>
  <si>
    <t>受付管理票備考欄記載事項</t>
    <rPh sb="0" eb="2">
      <t>ウケツケ</t>
    </rPh>
    <rPh sb="2" eb="4">
      <t>カンリ</t>
    </rPh>
    <rPh sb="4" eb="5">
      <t>ヒョウ</t>
    </rPh>
    <rPh sb="5" eb="7">
      <t>ビコウ</t>
    </rPh>
    <rPh sb="7" eb="8">
      <t>ラン</t>
    </rPh>
    <rPh sb="8" eb="12">
      <t>キサイジコウ</t>
    </rPh>
    <phoneticPr fontId="3"/>
  </si>
  <si>
    <t>ID用途面積</t>
  </si>
  <si>
    <t>ID用途面積</t>
    <rPh sb="2" eb="4">
      <t>ヨウト</t>
    </rPh>
    <rPh sb="4" eb="6">
      <t>メンセキ</t>
    </rPh>
    <phoneticPr fontId="3"/>
  </si>
  <si>
    <t>建築設備対象面積</t>
  </si>
  <si>
    <t>建築設備対象面積</t>
    <rPh sb="0" eb="4">
      <t>ケンチクセツビ</t>
    </rPh>
    <rPh sb="4" eb="6">
      <t>タイショウ</t>
    </rPh>
    <rPh sb="6" eb="8">
      <t>メンセキ</t>
    </rPh>
    <phoneticPr fontId="3"/>
  </si>
  <si>
    <t>特殊建築物面積</t>
  </si>
  <si>
    <t>特殊建築物面積</t>
    <rPh sb="0" eb="5">
      <t>トクシュケンチクブツ</t>
    </rPh>
    <rPh sb="5" eb="7">
      <t>メンセキ</t>
    </rPh>
    <phoneticPr fontId="3"/>
  </si>
  <si>
    <t>指定根拠分類</t>
  </si>
  <si>
    <t>記号1字</t>
    <rPh sb="0" eb="2">
      <t>キゴウ</t>
    </rPh>
    <rPh sb="3" eb="4">
      <t>ジ</t>
    </rPh>
    <phoneticPr fontId="3"/>
  </si>
  <si>
    <t>/付き</t>
    <rPh sb="1" eb="2">
      <t>ツ</t>
    </rPh>
    <phoneticPr fontId="3"/>
  </si>
  <si>
    <t>細則別表7指定有無</t>
    <rPh sb="0" eb="2">
      <t>サイソク</t>
    </rPh>
    <rPh sb="2" eb="4">
      <t>ベッピョウ</t>
    </rPh>
    <rPh sb="5" eb="9">
      <t>シテイウム</t>
    </rPh>
    <phoneticPr fontId="3"/>
  </si>
  <si>
    <t>対象用途面積</t>
    <rPh sb="0" eb="4">
      <t>タイショウヨウト</t>
    </rPh>
    <rPh sb="4" eb="6">
      <t>メンセキ</t>
    </rPh>
    <phoneticPr fontId="3"/>
  </si>
  <si>
    <t>受付管理票備考欄用</t>
  </si>
  <si>
    <t>記号1字</t>
    <phoneticPr fontId="3"/>
  </si>
  <si>
    <t>記号1字_A～J最大</t>
    <rPh sb="8" eb="10">
      <t>サイダイ</t>
    </rPh>
    <phoneticPr fontId="3"/>
  </si>
  <si>
    <t>防火設備</t>
    <rPh sb="0" eb="4">
      <t>ボウカセツビ</t>
    </rPh>
    <phoneticPr fontId="3"/>
  </si>
  <si>
    <t>単に転記</t>
    <rPh sb="0" eb="1">
      <t>タン</t>
    </rPh>
    <rPh sb="2" eb="4">
      <t>テンキ</t>
    </rPh>
    <phoneticPr fontId="3"/>
  </si>
  <si>
    <t>演算結果</t>
    <rPh sb="0" eb="2">
      <t>エンザン</t>
    </rPh>
    <rPh sb="2" eb="4">
      <t>ケッカ</t>
    </rPh>
    <phoneticPr fontId="3"/>
  </si>
  <si>
    <t>定数</t>
    <rPh sb="0" eb="2">
      <t>テイスウ</t>
    </rPh>
    <phoneticPr fontId="3"/>
  </si>
  <si>
    <t>適宜書き換え</t>
    <rPh sb="0" eb="3">
      <t>テキギカ</t>
    </rPh>
    <rPh sb="4" eb="5">
      <t>カ</t>
    </rPh>
    <phoneticPr fontId="3"/>
  </si>
  <si>
    <t>注意箇所（条件付き書式）</t>
    <rPh sb="0" eb="4">
      <t>チュウイカショ</t>
    </rPh>
    <rPh sb="5" eb="8">
      <t>ジョウケンツ</t>
    </rPh>
    <rPh sb="9" eb="11">
      <t>ショシキ</t>
    </rPh>
    <phoneticPr fontId="3"/>
  </si>
  <si>
    <t>適宜書き換え（条件付き書式）</t>
    <rPh sb="0" eb="2">
      <t>テキギ</t>
    </rPh>
    <rPh sb="2" eb="3">
      <t>カ</t>
    </rPh>
    <rPh sb="4" eb="5">
      <t>カ</t>
    </rPh>
    <rPh sb="7" eb="10">
      <t>ジョウケンツ</t>
    </rPh>
    <rPh sb="11" eb="13">
      <t>ショシキ</t>
    </rPh>
    <phoneticPr fontId="3"/>
  </si>
  <si>
    <t>概要書印刷確認</t>
    <rPh sb="0" eb="3">
      <t>ガイヨウショ</t>
    </rPh>
    <rPh sb="3" eb="7">
      <t>インサツカクニン</t>
    </rPh>
    <phoneticPr fontId="3"/>
  </si>
  <si>
    <t>（リンク）</t>
    <phoneticPr fontId="3"/>
  </si>
  <si>
    <t>周期（入力）</t>
    <rPh sb="0" eb="2">
      <t>シュウキ</t>
    </rPh>
    <phoneticPr fontId="3"/>
  </si>
  <si>
    <t>建築設備対象用途ID記号</t>
    <rPh sb="0" eb="4">
      <t>ケンチクセツビ</t>
    </rPh>
    <rPh sb="4" eb="6">
      <t>タイショウ</t>
    </rPh>
    <rPh sb="6" eb="8">
      <t>ヨウト</t>
    </rPh>
    <rPh sb="10" eb="12">
      <t>キゴウ</t>
    </rPh>
    <phoneticPr fontId="3"/>
  </si>
  <si>
    <t>対象種別ID分類番号</t>
    <rPh sb="0" eb="2">
      <t>タイショウ</t>
    </rPh>
    <rPh sb="2" eb="4">
      <t>シュベツ</t>
    </rPh>
    <rPh sb="6" eb="8">
      <t>ブンルイ</t>
    </rPh>
    <rPh sb="8" eb="10">
      <t>バンゴウ</t>
    </rPh>
    <phoneticPr fontId="3"/>
  </si>
  <si>
    <t>用途ID記号</t>
    <rPh sb="0" eb="2">
      <t>ヨウト</t>
    </rPh>
    <rPh sb="4" eb="6">
      <t>キゴウ</t>
    </rPh>
    <phoneticPr fontId="3"/>
  </si>
  <si>
    <t>存在用途</t>
  </si>
  <si>
    <t>対象用途ID記号（面積最大）</t>
  </si>
  <si>
    <t>対象用途ID記号（全て）</t>
  </si>
  <si>
    <t>対象種別ID分類番号</t>
    <rPh sb="6" eb="8">
      <t>ブンルイ</t>
    </rPh>
    <phoneticPr fontId="19"/>
  </si>
  <si>
    <t>対象用途（国建）</t>
  </si>
  <si>
    <t>対象用途（市新建）</t>
  </si>
  <si>
    <t>対象用途（市従建）</t>
  </si>
  <si>
    <t>対象用途（市建）</t>
  </si>
  <si>
    <t>対象用途（建築物）</t>
  </si>
  <si>
    <t>対象用途（市設）</t>
  </si>
  <si>
    <t>対象用途（国防）</t>
  </si>
  <si>
    <t>対象用途（市新防）</t>
  </si>
  <si>
    <t>対象用途（防火設備）</t>
  </si>
  <si>
    <t>建築設備対象用途ID記号</t>
    <rPh sb="10" eb="12">
      <t>キゴウ</t>
    </rPh>
    <phoneticPr fontId="19"/>
  </si>
  <si>
    <t>用途</t>
    <phoneticPr fontId="3"/>
  </si>
  <si>
    <t>備考欄転記用</t>
  </si>
  <si>
    <t>床面積</t>
    <rPh sb="0" eb="3">
      <t>ユカメンセキ</t>
    </rPh>
    <phoneticPr fontId="3"/>
  </si>
  <si>
    <t>延床面積</t>
    <rPh sb="0" eb="4">
      <t>ノベユカメンセキ</t>
    </rPh>
    <phoneticPr fontId="3"/>
  </si>
  <si>
    <t>～B2F</t>
  </si>
  <si>
    <t>B1F</t>
  </si>
  <si>
    <t>1F</t>
  </si>
  <si>
    <t>存する階</t>
    <phoneticPr fontId="3"/>
  </si>
  <si>
    <t>着色規則</t>
    <rPh sb="0" eb="2">
      <t>チャクショク</t>
    </rPh>
    <rPh sb="2" eb="4">
      <t>キソク</t>
    </rPh>
    <phoneticPr fontId="3"/>
  </si>
  <si>
    <t>受付時確認用</t>
    <rPh sb="0" eb="3">
      <t>ウケツケジ</t>
    </rPh>
    <rPh sb="3" eb="6">
      <t>カクニンヨウ</t>
    </rPh>
    <phoneticPr fontId="3"/>
  </si>
  <si>
    <t>調査による指摘の概要</t>
    <rPh sb="0" eb="2">
      <t>チョウサ</t>
    </rPh>
    <rPh sb="5" eb="7">
      <t>シテキ</t>
    </rPh>
    <rPh sb="8" eb="10">
      <t>ガイヨウ</t>
    </rPh>
    <phoneticPr fontId="3"/>
  </si>
  <si>
    <t>0報告日</t>
  </si>
  <si>
    <t>2報告内容に関する問合せ先-法人名＋氏名-法人名</t>
  </si>
  <si>
    <t>5代表となる調査者-資格-登録</t>
  </si>
  <si>
    <t>5代表となる調査者-資格-番号</t>
  </si>
  <si>
    <t>6その他の調査者1-資格-登録</t>
  </si>
  <si>
    <t>6その他の調査者1-資格-番号</t>
  </si>
  <si>
    <t>7その他の調査者2-資格-登録</t>
  </si>
  <si>
    <t>7その他の調査者2-資格-番号</t>
  </si>
  <si>
    <t>12関連図書の整備-新築時の確認申請-確認-交付年月日</t>
  </si>
  <si>
    <t>12関連図書の整備-新築時の確認申請-確認-交付番号</t>
  </si>
  <si>
    <t>12関連図書の整備-新築時の確認申請-完了-交付年月日</t>
  </si>
  <si>
    <t>12関連図書の整備-新築時の確認申請-完了-交付番号</t>
  </si>
  <si>
    <t>用途-1-大分類</t>
  </si>
  <si>
    <t>用途-1-小分類</t>
  </si>
  <si>
    <t>用途-1-特記</t>
  </si>
  <si>
    <t>用途-2-大分類</t>
  </si>
  <si>
    <t>用途-2-小分類</t>
  </si>
  <si>
    <t>用途-2-特記</t>
  </si>
  <si>
    <t>用途-3-大分類</t>
  </si>
  <si>
    <t>用途-3-小分類</t>
  </si>
  <si>
    <t>用途-3-特記</t>
  </si>
  <si>
    <t>用途-4-大分類</t>
  </si>
  <si>
    <t>用途-4-小分類</t>
  </si>
  <si>
    <t>用途-4-特記</t>
  </si>
  <si>
    <t>用途-5-大分類</t>
  </si>
  <si>
    <t>用途-5-小分類</t>
  </si>
  <si>
    <t>用途-5-特記</t>
  </si>
  <si>
    <t>用途-6-大分類</t>
  </si>
  <si>
    <t>用途-6-小分類</t>
  </si>
  <si>
    <t>用途-6-特記</t>
  </si>
  <si>
    <t>用途-7-大分類</t>
  </si>
  <si>
    <t>用途-7-小分類</t>
  </si>
  <si>
    <t>用途-7-特記</t>
  </si>
  <si>
    <t>用途-存在用途</t>
  </si>
  <si>
    <t>用途-対象用途ID記号（面積最大）</t>
  </si>
  <si>
    <t>用途-対象用途ID記号（全て）</t>
  </si>
  <si>
    <t>用途-対象種別ID分類番号</t>
  </si>
  <si>
    <t>用途-対象用途（国建）</t>
  </si>
  <si>
    <t>用途-対象用途（市新建）</t>
  </si>
  <si>
    <t>用途-対象用途（市従建）</t>
  </si>
  <si>
    <t>用途-対象用途（市建）</t>
  </si>
  <si>
    <t>用途-対象用途（建築物）</t>
  </si>
  <si>
    <t>用途-対象用途（市設）</t>
  </si>
  <si>
    <t>用途-対象用途（国防）</t>
  </si>
  <si>
    <t>用途-対象用途（市新防）</t>
  </si>
  <si>
    <t>用途-対象用途（防火設備）</t>
  </si>
  <si>
    <t>用途-ID用途面積</t>
  </si>
  <si>
    <t>用途-建築設備対象面積</t>
  </si>
  <si>
    <t>用途-建築設備対象用途ID記号</t>
  </si>
  <si>
    <t>用途-特殊建築物面積</t>
  </si>
  <si>
    <t>用途-指定根拠分類</t>
  </si>
  <si>
    <t>床面積-延床面積</t>
  </si>
  <si>
    <t>床面積-用途-1</t>
  </si>
  <si>
    <t>床面積-用途-2</t>
  </si>
  <si>
    <t>床面積-用途-3</t>
  </si>
  <si>
    <t>床面積-用途-4</t>
  </si>
  <si>
    <t>床面積-用途-5</t>
  </si>
  <si>
    <t>床面積-用途-6</t>
  </si>
  <si>
    <t>床面積-用途-7</t>
  </si>
  <si>
    <t>床面積-～B2F-用途-1</t>
  </si>
  <si>
    <t>床面積-B1F-用途-1</t>
  </si>
  <si>
    <t>床面積-1F-用途-1</t>
  </si>
  <si>
    <t>床面積-2F-用途-1</t>
  </si>
  <si>
    <t>床面積-3F～-用途-1</t>
  </si>
  <si>
    <t>床面積-存する階-用途-1</t>
  </si>
  <si>
    <t>床面積-～B2F-用途-2</t>
  </si>
  <si>
    <t>床面積-B1F-用途-2</t>
  </si>
  <si>
    <t>床面積-1F-用途-2</t>
  </si>
  <si>
    <t>床面積-2F-用途-2</t>
  </si>
  <si>
    <t>床面積-3F～-用途-2</t>
  </si>
  <si>
    <t>床面積-存する階-用途-2</t>
  </si>
  <si>
    <t>床面積-～B2F-用途-3</t>
  </si>
  <si>
    <t>床面積-B1F-用途-3</t>
  </si>
  <si>
    <t>床面積-1F-用途-3</t>
  </si>
  <si>
    <t>床面積-2F-用途-3</t>
  </si>
  <si>
    <t>床面積-3F～-用途-3</t>
  </si>
  <si>
    <t>床面積-存する階-用途-3</t>
  </si>
  <si>
    <t>床面積-～B2F-用途-4</t>
  </si>
  <si>
    <t>床面積-B1F-用途-4</t>
  </si>
  <si>
    <t>床面積-1F-用途-4</t>
  </si>
  <si>
    <t>床面積-2F-用途-4</t>
  </si>
  <si>
    <t>床面積-3F～-用途-4</t>
  </si>
  <si>
    <t>床面積-存する階-用途-4</t>
  </si>
  <si>
    <t>床面積-～B2F-用途-5</t>
  </si>
  <si>
    <t>床面積-B1F-用途-5</t>
  </si>
  <si>
    <t>床面積-1F-用途-5</t>
  </si>
  <si>
    <t>床面積-2F-用途-5</t>
  </si>
  <si>
    <t>床面積-3F～-用途-5</t>
  </si>
  <si>
    <t>床面積-存する階-用途-5</t>
  </si>
  <si>
    <t>床面積-～B2F-用途-6</t>
  </si>
  <si>
    <t>床面積-B1F-用途-6</t>
  </si>
  <si>
    <t>床面積-1F-用途-6</t>
  </si>
  <si>
    <t>床面積-2F-用途-6</t>
  </si>
  <si>
    <t>床面積-3F～-用途-6</t>
  </si>
  <si>
    <t>床面積-存する階-用途-6</t>
  </si>
  <si>
    <t>床面積-～B2F-用途-7</t>
  </si>
  <si>
    <t>床面積-B1F-用途-7</t>
  </si>
  <si>
    <t>床面積-1F-用途-7</t>
  </si>
  <si>
    <t>床面積-2F-用途-7</t>
  </si>
  <si>
    <t>床面積-3F～-用途-7</t>
  </si>
  <si>
    <t>床面積-存する階-用途-7</t>
  </si>
  <si>
    <t>15石綿を添加した建築材料の調査状況-措置予定-改善予定年月-実施年月</t>
  </si>
  <si>
    <t>16耐震診断及び耐震改修の調査状況-耐震診断-実施予定年月-実施年月</t>
  </si>
  <si>
    <t>16耐震診断及び耐震改修の調査状況-耐震改修-実施予定年月-実施年月</t>
  </si>
  <si>
    <t>19外装仕上げ材等について前面打診等の実施状況</t>
  </si>
  <si>
    <t>19外装仕上げ材等について-前面打診等の実施状況-時期：-実施年月</t>
  </si>
  <si>
    <t>19外装仕上げ材等について-防火設備の検査-理由：</t>
  </si>
  <si>
    <t>20直通階段の数について-直通階段の数</t>
  </si>
  <si>
    <t>23調査結果-調査による指摘の概要</t>
  </si>
  <si>
    <t>23調査結果-調査結果-1</t>
  </si>
  <si>
    <t>23調査結果-調査結果-2</t>
  </si>
  <si>
    <t>23調査結果-調査結果-3</t>
  </si>
  <si>
    <t>23調査結果-調査結果-4</t>
  </si>
  <si>
    <t>23調査結果-調査結果-5</t>
  </si>
  <si>
    <t>23調査結果-調査結果-6</t>
  </si>
  <si>
    <t>23調査結果-調査結果-7</t>
  </si>
  <si>
    <t>23調査結果-改善予定-1</t>
  </si>
  <si>
    <t>23調査結果-改善予定-2</t>
  </si>
  <si>
    <t>23調査結果-改善予定-3</t>
  </si>
  <si>
    <t>23調査結果-改善予定-4</t>
  </si>
  <si>
    <t>23調査結果-改善予定-5</t>
  </si>
  <si>
    <t>23調査結果-改善予定-6</t>
  </si>
  <si>
    <t>23調査結果-改善予定-7</t>
  </si>
  <si>
    <t>23調査結果-調査結果-1(1)</t>
  </si>
  <si>
    <t>23調査結果-調査結果-1(2)</t>
  </si>
  <si>
    <t>23調査結果-調査結果-1(3)</t>
  </si>
  <si>
    <t>23調査結果-調査結果-1(4)</t>
  </si>
  <si>
    <t>23調査結果-調査結果-1(5)</t>
  </si>
  <si>
    <t>23調査結果-調査結果-1(6)</t>
  </si>
  <si>
    <t>23調査結果-調査結果-1(7)</t>
  </si>
  <si>
    <t>23調査結果-調査結果-1(8)</t>
  </si>
  <si>
    <t>23調査結果-調査結果-1(9)</t>
  </si>
  <si>
    <t>23調査結果-調査結果-1(10)</t>
  </si>
  <si>
    <t>23調査結果-調査結果-1(11)</t>
  </si>
  <si>
    <t>23調査結果-調査結果-1(12)</t>
  </si>
  <si>
    <t>23調査結果-調査結果-1(13)</t>
  </si>
  <si>
    <t>23調査結果-調査結果-1(14)</t>
  </si>
  <si>
    <t>23調査結果-調査結果-2(1)</t>
  </si>
  <si>
    <t>23調査結果-調査結果-2(2)</t>
  </si>
  <si>
    <t>23調査結果-調査結果-2(3)</t>
  </si>
  <si>
    <t>23調査結果-調査結果-2(4)</t>
  </si>
  <si>
    <t>23調査結果-調査結果-2(5)</t>
  </si>
  <si>
    <t>23調査結果-調査結果-2(6)</t>
  </si>
  <si>
    <t>23調査結果-調査結果-2(7)</t>
  </si>
  <si>
    <t>23調査結果-調査結果-2(8)</t>
  </si>
  <si>
    <t>23調査結果-調査結果-2(9)</t>
  </si>
  <si>
    <t>23調査結果-調査結果-2(10)</t>
  </si>
  <si>
    <t>23調査結果-調査結果-2(11)</t>
  </si>
  <si>
    <t>23調査結果-調査結果-2(12)</t>
  </si>
  <si>
    <t>23調査結果-調査結果-2(13)</t>
  </si>
  <si>
    <t>23調査結果-調査結果-2(14)</t>
  </si>
  <si>
    <t>23調査結果-調査結果-2(15)</t>
  </si>
  <si>
    <t>23調査結果-調査結果-2(16)</t>
  </si>
  <si>
    <t>23調査結果-調査結果-2(17)</t>
  </si>
  <si>
    <t>23調査結果-調査結果-2(18)</t>
  </si>
  <si>
    <t>23調査結果-調査結果-2(19)</t>
  </si>
  <si>
    <t>23調査結果-調査結果-220)</t>
  </si>
  <si>
    <t>23調査結果-調査結果-2(21)</t>
  </si>
  <si>
    <t>23調査結果-調査結果-2(22)</t>
  </si>
  <si>
    <t>23調査結果-調査結果-2(23)</t>
  </si>
  <si>
    <t>23調査結果-調査結果-3(1)</t>
  </si>
  <si>
    <t>23調査結果-調査結果-3(2)</t>
  </si>
  <si>
    <t>23調査結果-調査結果-3(3)</t>
  </si>
  <si>
    <t>23調査結果-調査結果-3(4)</t>
  </si>
  <si>
    <t>23調査結果-調査結果-3(5)</t>
  </si>
  <si>
    <t>23調査結果-調査結果-3(6)</t>
  </si>
  <si>
    <t>23調査結果-調査結果-3(7)</t>
  </si>
  <si>
    <t>23調査結果-調査結果-3(8)</t>
  </si>
  <si>
    <t>23調査結果-調査結果-3(9)</t>
  </si>
  <si>
    <t>23調査結果-調査結果-3(10)</t>
  </si>
  <si>
    <t>23調査結果-調査結果-3(11)</t>
  </si>
  <si>
    <t>23調査結果-調査結果-3(12)</t>
  </si>
  <si>
    <t>23調査結果-調査結果-3(13)</t>
  </si>
  <si>
    <t>23調査結果-調査結果-3(14)</t>
  </si>
  <si>
    <t>23調査結果-調査結果-4(1)</t>
  </si>
  <si>
    <t>23調査結果-調査結果-4(2)</t>
  </si>
  <si>
    <t>23調査結果-調査結果-4(3)</t>
  </si>
  <si>
    <t>23調査結果-調査結果-4(4)</t>
  </si>
  <si>
    <t>23調査結果-調査結果-4(5)</t>
  </si>
  <si>
    <t>23調査結果-調査結果-4(6)</t>
  </si>
  <si>
    <t>23調査結果-調査結果-4(7)</t>
  </si>
  <si>
    <t>23調査結果-調査結果-4(8)</t>
  </si>
  <si>
    <t>23調査結果-調査結果-4(9)</t>
  </si>
  <si>
    <t>23調査結果-調査結果-4(10)</t>
  </si>
  <si>
    <t>23調査結果-調査結果-4(11)</t>
  </si>
  <si>
    <t>23調査結果-調査結果-4(12)</t>
  </si>
  <si>
    <t>23調査結果-調査結果-4(13)</t>
  </si>
  <si>
    <t>23調査結果-調査結果-4(14)</t>
  </si>
  <si>
    <t>23調査結果-調査結果-4(15)</t>
  </si>
  <si>
    <t>23調査結果-調査結果-4(16)</t>
  </si>
  <si>
    <t>23調査結果-調査結果-4(17)</t>
  </si>
  <si>
    <t>23調査結果-調査結果-4(18)</t>
  </si>
  <si>
    <t>23調査結果-調査結果-4(19)</t>
  </si>
  <si>
    <t>23調査結果-調査結果-4(20)</t>
  </si>
  <si>
    <t>23調査結果-調査結果-4(21)</t>
  </si>
  <si>
    <t>23調査結果-調査結果-4(22)</t>
  </si>
  <si>
    <t>23調査結果-調査結果-4(23)</t>
  </si>
  <si>
    <t>23調査結果-調査結果-4(24)</t>
  </si>
  <si>
    <t>23調査結果-調査結果-4(25)</t>
  </si>
  <si>
    <t>23調査結果-調査結果-4(26)</t>
  </si>
  <si>
    <t>23調査結果-調査結果-4(27)</t>
  </si>
  <si>
    <t>23調査結果-調査結果-4(28)</t>
  </si>
  <si>
    <t>23調査結果-調査結果-4(29)</t>
  </si>
  <si>
    <t>23調査結果-調査結果-4(30)</t>
  </si>
  <si>
    <t>23調査結果-調査結果-4(31)</t>
  </si>
  <si>
    <t>23調査結果-調査結果-4(32)</t>
  </si>
  <si>
    <t>23調査結果-調査結果-4(33)</t>
  </si>
  <si>
    <t>23調査結果-調査結果-4(34)</t>
  </si>
  <si>
    <t>23調査結果-調査結果-4(35)</t>
  </si>
  <si>
    <t>23調査結果-調査結果-4(36)</t>
  </si>
  <si>
    <t>23調査結果-調査結果-4(37)</t>
  </si>
  <si>
    <t>23調査結果-調査結果-4(38)</t>
  </si>
  <si>
    <t>23調査結果-調査結果-4(39)</t>
  </si>
  <si>
    <t>23調査結果-調査結果-4(40)</t>
  </si>
  <si>
    <t>23調査結果-調査結果-4(41)</t>
  </si>
  <si>
    <t>23調査結果-調査結果-4(42)</t>
  </si>
  <si>
    <t>23調査結果-調査結果-4(43)</t>
  </si>
  <si>
    <t>23調査結果-調査結果-4(44)</t>
  </si>
  <si>
    <t>23調査結果-調査結果-4(45)</t>
  </si>
  <si>
    <t>23調査結果-調査結果-4(46)</t>
  </si>
  <si>
    <t>23調査結果-調査結果-4(47)</t>
  </si>
  <si>
    <t>23調査結果-調査結果-4(48)</t>
  </si>
  <si>
    <t>23調査結果-調査結果-4(49)</t>
  </si>
  <si>
    <t>23調査結果-調査結果-4(50)</t>
  </si>
  <si>
    <t>23調査結果-調査結果-4(51)</t>
  </si>
  <si>
    <t>23調査結果-調査結果-4(52)</t>
  </si>
  <si>
    <t>23調査結果-調査結果-5(1)</t>
  </si>
  <si>
    <t>23調査結果-調査結果-5(2)</t>
  </si>
  <si>
    <t>23調査結果-調査結果-5(3)</t>
  </si>
  <si>
    <t>23調査結果-調査結果-5(4)</t>
  </si>
  <si>
    <t>23調査結果-調査結果-5(5)</t>
  </si>
  <si>
    <t>23調査結果-調査結果-5(6)</t>
  </si>
  <si>
    <t>23調査結果-調査結果-5(7)</t>
  </si>
  <si>
    <t>23調査結果-調査結果-5(8)</t>
  </si>
  <si>
    <t>23調査結果-調査結果-5(9)</t>
  </si>
  <si>
    <t>23調査結果-調査結果-5(10)</t>
  </si>
  <si>
    <t>23調査結果-調査結果-5(11)</t>
  </si>
  <si>
    <t>23調査結果-調査結果-5(12)</t>
  </si>
  <si>
    <t>23調査結果-調査結果-5(13)</t>
  </si>
  <si>
    <t>23調査結果-調査結果-5(14)</t>
  </si>
  <si>
    <t>23調査結果-調査結果-5(15)</t>
  </si>
  <si>
    <t>23調査結果-調査結果-5(16)</t>
  </si>
  <si>
    <t>23調査結果-調査結果-5(17)</t>
  </si>
  <si>
    <t>23調査結果-調査結果-5(18)</t>
  </si>
  <si>
    <t>23調査結果-調査結果-5(19)</t>
  </si>
  <si>
    <t>23調査結果-調査結果-5(20)</t>
  </si>
  <si>
    <t>23調査結果-調査結果-5(21)</t>
  </si>
  <si>
    <t>23調査結果-調査結果-5(22)</t>
  </si>
  <si>
    <t>23調査結果-調査結果-5(23)</t>
  </si>
  <si>
    <t>23調査結果-調査結果-5(24)</t>
  </si>
  <si>
    <t>23調査結果-調査結果-5(25)</t>
  </si>
  <si>
    <t>23調査結果-調査結果-5(26)</t>
  </si>
  <si>
    <t>23調査結果-調査結果-5(27)</t>
  </si>
  <si>
    <t>23調査結果-調査結果-5(28)</t>
  </si>
  <si>
    <t>23調査結果-調査結果-5(29)</t>
  </si>
  <si>
    <t>23調査結果-調査結果-5(30)</t>
  </si>
  <si>
    <t>23調査結果-調査結果-5(31)</t>
  </si>
  <si>
    <t>23調査結果-調査結果-5(32)</t>
  </si>
  <si>
    <t>23調査結果-調査結果-5(33)</t>
  </si>
  <si>
    <t>23調査結果-調査結果-5(34)</t>
  </si>
  <si>
    <t>23調査結果-調査結果-5(35)</t>
  </si>
  <si>
    <t>23調査結果-調査結果-5(36)</t>
  </si>
  <si>
    <t>23調査結果-調査結果-5(37)</t>
  </si>
  <si>
    <t>23調査結果-調査結果-5(38)</t>
  </si>
  <si>
    <t>23調査結果-調査結果-5(39)</t>
  </si>
  <si>
    <t>23調査結果-調査結果-5(40)</t>
  </si>
  <si>
    <t>23調査結果-調査結果-5(41)</t>
  </si>
  <si>
    <t>23調査結果-調査結果-5(42)</t>
  </si>
  <si>
    <t>23調査結果-調査結果-5(43)</t>
  </si>
  <si>
    <t>23調査結果-調査結果-5(44)</t>
  </si>
  <si>
    <t>23調査結果-調査結果-5(45)</t>
  </si>
  <si>
    <t>23調査結果-調査結果-6(1)</t>
  </si>
  <si>
    <t>23調査結果-調査結果-6(2)</t>
  </si>
  <si>
    <t>23調査結果-調査結果-6(3)</t>
  </si>
  <si>
    <t>23調査結果-調査結果-6(4)</t>
  </si>
  <si>
    <t>23調査結果-調査結果-6(5)</t>
  </si>
  <si>
    <t>23調査結果-調査結果-6(6)</t>
  </si>
  <si>
    <t>23調査結果-調査結果-6(7)</t>
  </si>
  <si>
    <t>23調査結果-調査結果-6(8)</t>
  </si>
  <si>
    <t>23調査結果-調査結果-6(9)</t>
  </si>
  <si>
    <t>23調査結果-調査結果-6(10)</t>
  </si>
  <si>
    <t>23調査結果-調査結果-6(11)</t>
  </si>
  <si>
    <t>23調査結果-調査結果-6(12)</t>
  </si>
  <si>
    <t>23調査結果-調査結果-6(13)</t>
  </si>
  <si>
    <t>23調査結果-調査結果-6(14)</t>
  </si>
  <si>
    <t>23調査結果-調査結果-7(1)</t>
  </si>
  <si>
    <t>23調査結果-調査結果-7(2)</t>
  </si>
  <si>
    <t>23調査結果-調査結果-7(3)</t>
  </si>
  <si>
    <t>23調査結果-調査結果-7(4)</t>
  </si>
  <si>
    <t>23調査結果-調査結果-7(5)</t>
  </si>
  <si>
    <t>23調査結果-調査結果-7(6)</t>
  </si>
  <si>
    <t>23調査結果-調査結果-7(7)</t>
  </si>
  <si>
    <t>23調査結果-調査結果-7(8)</t>
  </si>
  <si>
    <t>23調査結果-調査結果-7(9)</t>
  </si>
  <si>
    <t>23調査結果-調査結果-7(10)</t>
  </si>
  <si>
    <t>23調査結果-調査結果-7(11)</t>
  </si>
  <si>
    <t>23調査結果-調査結果-7(12)</t>
  </si>
  <si>
    <t>23調査結果-調査結果-7(13)</t>
  </si>
  <si>
    <t>23調査結果-調査結果-7(14)</t>
  </si>
  <si>
    <t>23調査結果-調査結果-7(15)</t>
  </si>
  <si>
    <t>23調査結果-改善予定-1(1)</t>
  </si>
  <si>
    <t>23調査結果-改善予定-1(2)</t>
  </si>
  <si>
    <t>23調査結果-改善予定-1(3)</t>
  </si>
  <si>
    <t>23調査結果-改善予定-1(4)</t>
  </si>
  <si>
    <t>23調査結果-改善予定-1(5)</t>
  </si>
  <si>
    <t>23調査結果-改善予定-1(6)</t>
  </si>
  <si>
    <t>23調査結果-改善予定-1(7)</t>
  </si>
  <si>
    <t>23調査結果-改善予定-1(8)</t>
  </si>
  <si>
    <t>23調査結果-改善予定-1(9)</t>
  </si>
  <si>
    <t>23調査結果-改善予定-1(10)</t>
  </si>
  <si>
    <t>23調査結果-改善予定-1(11)</t>
  </si>
  <si>
    <t>23調査結果-改善予定-1(12)</t>
  </si>
  <si>
    <t>23調査結果-改善予定-1(13)</t>
  </si>
  <si>
    <t>23調査結果-改善予定-1(14)</t>
  </si>
  <si>
    <t>23調査結果-改善予定-2(1)</t>
  </si>
  <si>
    <t>23調査結果-改善予定-2(2)</t>
  </si>
  <si>
    <t>23調査結果-改善予定-2(3)</t>
  </si>
  <si>
    <t>23調査結果-改善予定-2(4)</t>
  </si>
  <si>
    <t>23調査結果-改善予定-2(5)</t>
  </si>
  <si>
    <t>23調査結果-改善予定-2(6)</t>
  </si>
  <si>
    <t>23調査結果-改善予定-2(7)</t>
  </si>
  <si>
    <t>23調査結果-改善予定-2(8)</t>
  </si>
  <si>
    <t>23調査結果-改善予定-2(9)</t>
  </si>
  <si>
    <t>23調査結果-改善予定-2(10)</t>
  </si>
  <si>
    <t>23調査結果-改善予定-2(11)</t>
  </si>
  <si>
    <t>23調査結果-改善予定-2(12)</t>
  </si>
  <si>
    <t>23調査結果-改善予定-2(13)</t>
  </si>
  <si>
    <t>23調査結果-改善予定-2(14)</t>
  </si>
  <si>
    <t>23調査結果-改善予定-2(15)</t>
  </si>
  <si>
    <t>23調査結果-改善予定-2(16)</t>
  </si>
  <si>
    <t>23調査結果-改善予定-2(17)</t>
  </si>
  <si>
    <t>23調査結果-改善予定-2(18)</t>
  </si>
  <si>
    <t>23調査結果-改善予定-2(19)</t>
  </si>
  <si>
    <t>23調査結果-改善予定-220)</t>
  </si>
  <si>
    <t>23調査結果-改善予定-2(21)</t>
  </si>
  <si>
    <t>23調査結果-改善予定-2(22)</t>
  </si>
  <si>
    <t>23調査結果-改善予定-2(23)</t>
  </si>
  <si>
    <t>23調査結果-改善予定-3(1)</t>
  </si>
  <si>
    <t>23調査結果-改善予定-3(2)</t>
  </si>
  <si>
    <t>23調査結果-改善予定-3(3)</t>
  </si>
  <si>
    <t>23調査結果-改善予定-3(4)</t>
  </si>
  <si>
    <t>23調査結果-改善予定-3(5)</t>
  </si>
  <si>
    <t>23調査結果-改善予定-3(6)</t>
  </si>
  <si>
    <t>23調査結果-改善予定-3(7)</t>
  </si>
  <si>
    <t>23調査結果-改善予定-3(8)</t>
  </si>
  <si>
    <t>23調査結果-改善予定-3(9)</t>
  </si>
  <si>
    <t>23調査結果-改善予定-3(10)</t>
  </si>
  <si>
    <t>23調査結果-改善予定-3(11)</t>
  </si>
  <si>
    <t>23調査結果-改善予定-3(12)</t>
  </si>
  <si>
    <t>23調査結果-改善予定-3(13)</t>
  </si>
  <si>
    <t>23調査結果-改善予定-3(14)</t>
  </si>
  <si>
    <t>23調査結果-改善予定-4(1)</t>
  </si>
  <si>
    <t>23調査結果-改善予定-4(2)</t>
  </si>
  <si>
    <t>23調査結果-改善予定-4(3)</t>
  </si>
  <si>
    <t>23調査結果-改善予定-4(4)</t>
  </si>
  <si>
    <t>23調査結果-改善予定-4(5)</t>
  </si>
  <si>
    <t>23調査結果-改善予定-4(6)</t>
  </si>
  <si>
    <t>23調査結果-改善予定-4(7)</t>
  </si>
  <si>
    <t>23調査結果-改善予定-4(8)</t>
  </si>
  <si>
    <t>23調査結果-改善予定-4(9)</t>
  </si>
  <si>
    <t>23調査結果-改善予定-4(10)</t>
  </si>
  <si>
    <t>23調査結果-改善予定-4(11)</t>
  </si>
  <si>
    <t>23調査結果-改善予定-4(12)</t>
  </si>
  <si>
    <t>23調査結果-改善予定-4(13)</t>
  </si>
  <si>
    <t>23調査結果-改善予定-4(14)</t>
  </si>
  <si>
    <t>23調査結果-改善予定-4(15)</t>
  </si>
  <si>
    <t>23調査結果-改善予定-4(16)</t>
  </si>
  <si>
    <t>23調査結果-改善予定-4(17)</t>
  </si>
  <si>
    <t>23調査結果-改善予定-4(18)</t>
  </si>
  <si>
    <t>23調査結果-改善予定-4(19)</t>
  </si>
  <si>
    <t>23調査結果-改善予定-4(20)</t>
  </si>
  <si>
    <t>23調査結果-改善予定-4(21)</t>
  </si>
  <si>
    <t>23調査結果-改善予定-4(22)</t>
  </si>
  <si>
    <t>23調査結果-改善予定-4(23)</t>
  </si>
  <si>
    <t>23調査結果-改善予定-4(24)</t>
  </si>
  <si>
    <t>23調査結果-改善予定-4(25)</t>
  </si>
  <si>
    <t>23調査結果-改善予定-4(26)</t>
  </si>
  <si>
    <t>23調査結果-改善予定-4(27)</t>
  </si>
  <si>
    <t>23調査結果-改善予定-4(28)</t>
  </si>
  <si>
    <t>23調査結果-改善予定-4(29)</t>
  </si>
  <si>
    <t>23調査結果-改善予定-4(30)</t>
  </si>
  <si>
    <t>23調査結果-改善予定-4(31)</t>
  </si>
  <si>
    <t>23調査結果-改善予定-4(32)</t>
  </si>
  <si>
    <t>23調査結果-改善予定-4(33)</t>
  </si>
  <si>
    <t>23調査結果-改善予定-4(34)</t>
  </si>
  <si>
    <t>23調査結果-改善予定-4(35)</t>
  </si>
  <si>
    <t>23調査結果-改善予定-4(36)</t>
  </si>
  <si>
    <t>23調査結果-改善予定-4(37)</t>
  </si>
  <si>
    <t>23調査結果-改善予定-4(38)</t>
  </si>
  <si>
    <t>23調査結果-改善予定-4(39)</t>
  </si>
  <si>
    <t>23調査結果-改善予定-4(40)</t>
  </si>
  <si>
    <t>23調査結果-改善予定-4(41)</t>
  </si>
  <si>
    <t>23調査結果-改善予定-4(42)</t>
  </si>
  <si>
    <t>23調査結果-改善予定-4(43)</t>
  </si>
  <si>
    <t>23調査結果-改善予定-4(44)</t>
  </si>
  <si>
    <t>23調査結果-改善予定-4(45)</t>
  </si>
  <si>
    <t>23調査結果-改善予定-4(46)</t>
  </si>
  <si>
    <t>23調査結果-改善予定-4(47)</t>
  </si>
  <si>
    <t>23調査結果-改善予定-4(48)</t>
  </si>
  <si>
    <t>23調査結果-改善予定-4(49)</t>
  </si>
  <si>
    <t>23調査結果-改善予定-4(50)</t>
  </si>
  <si>
    <t>23調査結果-改善予定-4(51)</t>
  </si>
  <si>
    <t>23調査結果-改善予定-4(52)</t>
  </si>
  <si>
    <t>23調査結果-改善予定-5(1)</t>
  </si>
  <si>
    <t>23調査結果-改善予定-5(2)</t>
  </si>
  <si>
    <t>23調査結果-改善予定-5(3)</t>
  </si>
  <si>
    <t>23調査結果-改善予定-5(4)</t>
  </si>
  <si>
    <t>23調査結果-改善予定-5(5)</t>
  </si>
  <si>
    <t>23調査結果-改善予定-5(6)</t>
  </si>
  <si>
    <t>23調査結果-改善予定-5(7)</t>
  </si>
  <si>
    <t>23調査結果-改善予定-5(8)</t>
  </si>
  <si>
    <t>23調査結果-改善予定-5(9)</t>
  </si>
  <si>
    <t>23調査結果-改善予定-5(10)</t>
  </si>
  <si>
    <t>23調査結果-改善予定-5(11)</t>
  </si>
  <si>
    <t>23調査結果-改善予定-5(12)</t>
  </si>
  <si>
    <t>23調査結果-改善予定-5(13)</t>
  </si>
  <si>
    <t>23調査結果-改善予定-5(14)</t>
  </si>
  <si>
    <t>23調査結果-改善予定-5(15)</t>
  </si>
  <si>
    <t>23調査結果-改善予定-5(16)</t>
  </si>
  <si>
    <t>23調査結果-改善予定-5(17)</t>
  </si>
  <si>
    <t>23調査結果-改善予定-5(18)</t>
  </si>
  <si>
    <t>23調査結果-改善予定-5(19)</t>
  </si>
  <si>
    <t>23調査結果-改善予定-5(20)</t>
  </si>
  <si>
    <t>23調査結果-改善予定-5(21)</t>
  </si>
  <si>
    <t>23調査結果-改善予定-5(22)</t>
  </si>
  <si>
    <t>23調査結果-改善予定-5(23)</t>
  </si>
  <si>
    <t>23調査結果-改善予定-5(24)</t>
  </si>
  <si>
    <t>23調査結果-改善予定-5(25)</t>
  </si>
  <si>
    <t>23調査結果-改善予定-5(26)</t>
  </si>
  <si>
    <t>23調査結果-改善予定-5(27)</t>
  </si>
  <si>
    <t>23調査結果-改善予定-5(28)</t>
  </si>
  <si>
    <t>23調査結果-改善予定-5(29)</t>
  </si>
  <si>
    <t>23調査結果-改善予定-5(30)</t>
  </si>
  <si>
    <t>23調査結果-改善予定-5(31)</t>
  </si>
  <si>
    <t>23調査結果-改善予定-5(32)</t>
  </si>
  <si>
    <t>23調査結果-改善予定-5(33)</t>
  </si>
  <si>
    <t>23調査結果-改善予定-5(34)</t>
  </si>
  <si>
    <t>23調査結果-改善予定-5(35)</t>
  </si>
  <si>
    <t>23調査結果-改善予定-5(36)</t>
  </si>
  <si>
    <t>23調査結果-改善予定-5(37)</t>
  </si>
  <si>
    <t>23調査結果-改善予定-5(38)</t>
  </si>
  <si>
    <t>23調査結果-改善予定-5(39)</t>
  </si>
  <si>
    <t>23調査結果-改善予定-5(40)</t>
  </si>
  <si>
    <t>23調査結果-改善予定-5(41)</t>
  </si>
  <si>
    <t>23調査結果-改善予定-5(42)</t>
  </si>
  <si>
    <t>23調査結果-改善予定-5(43)</t>
  </si>
  <si>
    <t>23調査結果-改善予定-5(44)</t>
  </si>
  <si>
    <t>23調査結果-改善予定-5(45)</t>
  </si>
  <si>
    <t>23調査結果-改善予定-6(1)</t>
  </si>
  <si>
    <t>23調査結果-改善予定-6(2)</t>
  </si>
  <si>
    <t>23調査結果-改善予定-6(3)</t>
  </si>
  <si>
    <t>23調査結果-改善予定-6(4)</t>
  </si>
  <si>
    <t>23調査結果-改善予定-6(5)</t>
  </si>
  <si>
    <t>23調査結果-改善予定-6(6)</t>
  </si>
  <si>
    <t>23調査結果-改善予定-6(7)</t>
  </si>
  <si>
    <t>23調査結果-改善予定-6(8)</t>
  </si>
  <si>
    <t>23調査結果-改善予定-6(9)</t>
  </si>
  <si>
    <t>23調査結果-改善予定-6(10)</t>
  </si>
  <si>
    <t>23調査結果-改善予定-6(11)</t>
  </si>
  <si>
    <t>23調査結果-改善予定-6(12)</t>
  </si>
  <si>
    <t>23調査結果-改善予定-6(13)</t>
  </si>
  <si>
    <t>23調査結果-改善予定-6(14)</t>
  </si>
  <si>
    <t>23調査結果-改善予定-7(1)</t>
  </si>
  <si>
    <t>23調査結果-改善予定-7(2)</t>
  </si>
  <si>
    <t>23調査結果-改善予定-7(3)</t>
  </si>
  <si>
    <t>23調査結果-改善予定-7(4)</t>
  </si>
  <si>
    <t>23調査結果-改善予定-7(5)</t>
  </si>
  <si>
    <t>23調査結果-改善予定-7(6)</t>
  </si>
  <si>
    <t>23調査結果-改善予定-7(7)</t>
  </si>
  <si>
    <t>23調査結果-改善予定-7(8)</t>
  </si>
  <si>
    <t>23調査結果-改善予定-7(9)</t>
  </si>
  <si>
    <t>23調査結果-改善予定-7(10)</t>
  </si>
  <si>
    <t>23調査結果-改善予定-7(11)</t>
  </si>
  <si>
    <t>23調査結果-改善予定-7(12)</t>
  </si>
  <si>
    <t>23調査結果-改善予定-7(13)</t>
  </si>
  <si>
    <t>23調査結果-改善予定-7(14)</t>
  </si>
  <si>
    <t>23調査結果-改善予定-7(15)</t>
  </si>
  <si>
    <t>info関数-操作環境の名前</t>
  </si>
  <si>
    <t>info関数-OSのバージョン</t>
  </si>
  <si>
    <t>info関数-Excel のバージョン</t>
  </si>
  <si>
    <t>isemail関数-isemail関数が使用できる環境か</t>
  </si>
  <si>
    <t xml:space="preserve"> </t>
    <phoneticPr fontId="3"/>
  </si>
  <si>
    <t>補正指示例</t>
    <rPh sb="0" eb="2">
      <t>ホセイ</t>
    </rPh>
    <rPh sb="2" eb="4">
      <t>シジ</t>
    </rPh>
    <rPh sb="4" eb="5">
      <t>レイ</t>
    </rPh>
    <phoneticPr fontId="3"/>
  </si>
  <si>
    <r>
      <t>―児童福祉施設等(1)（市指定</t>
    </r>
    <r>
      <rPr>
        <sz val="9"/>
        <rFont val="ＭＳ Ｐゴシック"/>
        <family val="3"/>
        <charset val="128"/>
      </rPr>
      <t>※</t>
    </r>
    <r>
      <rPr>
        <b/>
        <sz val="9"/>
        <rFont val="ＭＳ Ｐゴシック"/>
        <family val="3"/>
        <charset val="128"/>
      </rPr>
      <t>）――</t>
    </r>
    <phoneticPr fontId="3"/>
  </si>
  <si>
    <r>
      <t>―児童福祉施設等(2)（国指定</t>
    </r>
    <r>
      <rPr>
        <sz val="9"/>
        <rFont val="ＭＳ Ｐゴシック"/>
        <family val="3"/>
        <charset val="128"/>
      </rPr>
      <t>※</t>
    </r>
    <r>
      <rPr>
        <b/>
        <sz val="9"/>
        <rFont val="ＭＳ Ｐゴシック"/>
        <family val="3"/>
        <charset val="128"/>
      </rPr>
      <t>）――</t>
    </r>
    <phoneticPr fontId="3"/>
  </si>
  <si>
    <t>添付図書（付近見取図・配置図・●階平面図・塔屋階平面図）が不足しています。</t>
  </si>
  <si>
    <t>報告対象の年は、令和●年です。訂正してください（「1_入力シート【基本情報】」M4セル）。</t>
  </si>
  <si>
    <t>IDが誤っています。「●」に修正してください。入力支援ファイルExcel、図面等PDFのファイル名も修正してください。</t>
    <rPh sb="23" eb="27">
      <t>ニュウリョクシエン</t>
    </rPh>
    <rPh sb="37" eb="39">
      <t>ズメン</t>
    </rPh>
    <rPh sb="39" eb="40">
      <t>トウ</t>
    </rPh>
    <phoneticPr fontId="3"/>
  </si>
  <si>
    <t>(注意事項)
　第一面4欄ニ、第二面3欄別紙（報告書・概要書）、受付管理票に転記されます。
　（用途）
　・用途はプルダウン選択となっています。
　・上段「大分類」→中段「小分類」の順に選択してください。
　　「大分類」の選択に応じ、「小分類」の選択肢が表示されます。左側のプルダウン一覧を参考にしてください。
　　「小分類」については、選択肢にない場合、直接入力することもできます。
　・「特記」については、プルダウンに該当する用途があればその用途、なければ（該当なし）を選択してください。
　・用途が8以上ある場合は、別添PDFで提出してください。
　・規模等によらず定期報告の対象でない用途は、大分類を「定報対象以外の用途」としてください。
　（面積）
　・用途ごとに記入してください。
　・当該用途に供する部分がない階について、「0」の記入は不要です。</t>
    <rPh sb="3" eb="5">
      <t>ジコウ</t>
    </rPh>
    <rPh sb="32" eb="37">
      <t>ウケツケカンリヒョウ</t>
    </rPh>
    <rPh sb="38" eb="40">
      <t>テンキ</t>
    </rPh>
    <rPh sb="49" eb="51">
      <t>ヨウト</t>
    </rPh>
    <rPh sb="84" eb="85">
      <t>チュウ</t>
    </rPh>
    <rPh sb="197" eb="199">
      <t>トッキ</t>
    </rPh>
    <rPh sb="224" eb="226">
      <t>ヨウト</t>
    </rPh>
    <rPh sb="232" eb="234">
      <t>ガイトウ</t>
    </rPh>
    <rPh sb="324" eb="326">
      <t>ヨウト</t>
    </rPh>
    <rPh sb="329" eb="338">
      <t>キニュウ</t>
    </rPh>
    <rPh sb="341" eb="343">
      <t>トウガイ</t>
    </rPh>
    <rPh sb="343" eb="345">
      <t>ヨウト</t>
    </rPh>
    <rPh sb="346" eb="347">
      <t>キョウ</t>
    </rPh>
    <rPh sb="354" eb="355">
      <t>カイ</t>
    </rPh>
    <rPh sb="364" eb="366">
      <t>キニュウ</t>
    </rPh>
    <rPh sb="367" eb="369">
      <t>フヨウ</t>
    </rPh>
    <phoneticPr fontId="3"/>
  </si>
  <si>
    <t>まとめ</t>
    <phoneticPr fontId="3"/>
  </si>
  <si>
    <t>改善予定/改善済/改善未定/（一部改善済）</t>
    <rPh sb="0" eb="2">
      <t>カイゼン</t>
    </rPh>
    <rPh sb="2" eb="4">
      <t>ヨテイ</t>
    </rPh>
    <rPh sb="5" eb="7">
      <t>カイゼン</t>
    </rPh>
    <rPh sb="7" eb="8">
      <t>ズ</t>
    </rPh>
    <rPh sb="9" eb="11">
      <t>カイゼン</t>
    </rPh>
    <rPh sb="11" eb="13">
      <t>ミテイ</t>
    </rPh>
    <rPh sb="15" eb="17">
      <t>イチブ</t>
    </rPh>
    <rPh sb="17" eb="19">
      <t>カイゼン</t>
    </rPh>
    <rPh sb="19" eb="20">
      <t>ズ</t>
    </rPh>
    <phoneticPr fontId="3"/>
  </si>
  <si>
    <t>指摘まとめ_（既存不適格）付き</t>
    <rPh sb="0" eb="2">
      <t>シテキ</t>
    </rPh>
    <rPh sb="7" eb="9">
      <t>キゾン</t>
    </rPh>
    <rPh sb="9" eb="12">
      <t>フテキカク</t>
    </rPh>
    <rPh sb="13" eb="14">
      <t>ツ</t>
    </rPh>
    <phoneticPr fontId="3"/>
  </si>
  <si>
    <t>指摘内容</t>
    <rPh sb="0" eb="2">
      <t>シテキ</t>
    </rPh>
    <rPh sb="2" eb="4">
      <t>ナイヨウ</t>
    </rPh>
    <phoneticPr fontId="3"/>
  </si>
  <si>
    <t>23調査結果-指摘内容-1</t>
  </si>
  <si>
    <t>23調査結果-指摘内容-2</t>
  </si>
  <si>
    <t>23調査結果-指摘内容-3</t>
  </si>
  <si>
    <t>23調査結果-指摘内容-4</t>
  </si>
  <si>
    <t>23調査結果-指摘内容-5</t>
  </si>
  <si>
    <t>23調査結果-指摘内容-6</t>
  </si>
  <si>
    <t>23調査結果-指摘内容-7</t>
  </si>
  <si>
    <t>23調査結果-指摘内容-2(11)</t>
  </si>
  <si>
    <t>23調査結果-指摘内容-4(1)</t>
  </si>
  <si>
    <t>23調査結果-指摘内容-4(2)</t>
  </si>
  <si>
    <t>23調査結果-指摘内容-4(3)</t>
  </si>
  <si>
    <t>23調査結果-指摘内容-4(26)</t>
  </si>
  <si>
    <t>23調査結果-指摘内容-4(31)</t>
  </si>
  <si>
    <t>23調査結果-指摘内容-4(32)</t>
  </si>
  <si>
    <t>23調査結果-指摘内容-4(33)</t>
  </si>
  <si>
    <t>23調査結果-指摘内容-4(44)</t>
  </si>
  <si>
    <t>23調査結果-指摘内容-5(27)</t>
  </si>
  <si>
    <t>23調査結果-指摘内容-5(28)</t>
  </si>
  <si>
    <t>23調査結果-指摘内容-7(1)</t>
  </si>
  <si>
    <t>23調査結果-指摘内容-7(4)</t>
  </si>
  <si>
    <t>23調査結果-指摘内容-7(5)</t>
  </si>
  <si>
    <t>23調査結果-指摘内容-1(1)</t>
  </si>
  <si>
    <t>23調査結果-指摘内容-1(2)</t>
  </si>
  <si>
    <t>23調査結果-指摘内容-1(3)</t>
  </si>
  <si>
    <t>23調査結果-指摘内容-1(4)</t>
  </si>
  <si>
    <t>23調査結果-指摘内容-1(5)</t>
  </si>
  <si>
    <t>23調査結果-指摘内容-1(6)</t>
  </si>
  <si>
    <t>23調査結果-指摘内容-1(7)</t>
  </si>
  <si>
    <t>23調査結果-指摘内容-1(8)</t>
  </si>
  <si>
    <t>23調査結果-指摘内容-1(9)</t>
  </si>
  <si>
    <t>23調査結果-指摘内容-1(10)</t>
  </si>
  <si>
    <t>23調査結果-指摘内容-1(11)</t>
  </si>
  <si>
    <t>23調査結果-指摘内容-1(12)</t>
  </si>
  <si>
    <t>23調査結果-指摘内容-1(13)</t>
  </si>
  <si>
    <t>23調査結果-指摘内容-1(14)</t>
  </si>
  <si>
    <t>23調査結果-指摘内容-2(1)</t>
  </si>
  <si>
    <t>23調査結果-指摘内容-2(2)</t>
  </si>
  <si>
    <t>23調査結果-指摘内容-2(3)</t>
  </si>
  <si>
    <t>23調査結果-指摘内容-2(4)</t>
  </si>
  <si>
    <t>23調査結果-指摘内容-2(5)</t>
  </si>
  <si>
    <t>23調査結果-指摘内容-2(6)</t>
  </si>
  <si>
    <t>23調査結果-指摘内容-2(7)</t>
  </si>
  <si>
    <t>23調査結果-指摘内容-2(8)</t>
  </si>
  <si>
    <t>23調査結果-指摘内容-2(9)</t>
  </si>
  <si>
    <t>23調査結果-指摘内容-2(10)</t>
  </si>
  <si>
    <t>23調査結果-指摘内容-2(12)</t>
  </si>
  <si>
    <t>23調査結果-指摘内容-2(13)</t>
  </si>
  <si>
    <t>23調査結果-指摘内容-2(14)</t>
  </si>
  <si>
    <t>23調査結果-指摘内容-2(15)</t>
  </si>
  <si>
    <t>23調査結果-指摘内容-2(16)</t>
  </si>
  <si>
    <t>23調査結果-指摘内容-2(17)</t>
  </si>
  <si>
    <t>23調査結果-指摘内容-2(18)</t>
  </si>
  <si>
    <t>23調査結果-指摘内容-2(19)</t>
  </si>
  <si>
    <t>23調査結果-指摘内容-220)</t>
  </si>
  <si>
    <t>23調査結果-指摘内容-2(21)</t>
  </si>
  <si>
    <t>23調査結果-指摘内容-2(22)</t>
  </si>
  <si>
    <t>23調査結果-指摘内容-2(23)</t>
  </si>
  <si>
    <t>23調査結果-指摘内容-3(1)</t>
  </si>
  <si>
    <t>23調査結果-指摘内容-3(2)</t>
  </si>
  <si>
    <t>23調査結果-指摘内容-3(3)</t>
  </si>
  <si>
    <t>23調査結果-指摘内容-3(4)</t>
  </si>
  <si>
    <t>23調査結果-指摘内容-3(5)</t>
  </si>
  <si>
    <t>23調査結果-指摘内容-3(6)</t>
  </si>
  <si>
    <t>23調査結果-指摘内容-3(7)</t>
  </si>
  <si>
    <t>23調査結果-指摘内容-3(8)</t>
  </si>
  <si>
    <t>23調査結果-指摘内容-3(9)</t>
  </si>
  <si>
    <t>23調査結果-指摘内容-3(10)</t>
  </si>
  <si>
    <t>23調査結果-指摘内容-3(11)</t>
  </si>
  <si>
    <t>23調査結果-指摘内容-3(12)</t>
  </si>
  <si>
    <t>23調査結果-指摘内容-3(13)</t>
  </si>
  <si>
    <t>23調査結果-指摘内容-3(14)</t>
  </si>
  <si>
    <t>23調査結果-指摘内容-4(4)</t>
  </si>
  <si>
    <t>23調査結果-指摘内容-4(5)</t>
  </si>
  <si>
    <t>23調査結果-指摘内容-4(6)</t>
  </si>
  <si>
    <t>23調査結果-指摘内容-4(7)</t>
  </si>
  <si>
    <t>23調査結果-指摘内容-4(8)</t>
  </si>
  <si>
    <t>23調査結果-指摘内容-4(9)</t>
  </si>
  <si>
    <t>23調査結果-指摘内容-4(10)</t>
  </si>
  <si>
    <t>23調査結果-指摘内容-4(11)</t>
  </si>
  <si>
    <t>23調査結果-指摘内容-4(12)</t>
  </si>
  <si>
    <t>23調査結果-指摘内容-4(13)</t>
  </si>
  <si>
    <t>23調査結果-指摘内容-4(14)</t>
  </si>
  <si>
    <t>23調査結果-指摘内容-4(15)</t>
  </si>
  <si>
    <t>23調査結果-指摘内容-4(16)</t>
  </si>
  <si>
    <t>23調査結果-指摘内容-4(17)</t>
  </si>
  <si>
    <t>23調査結果-指摘内容-4(18)</t>
  </si>
  <si>
    <t>23調査結果-指摘内容-4(19)</t>
  </si>
  <si>
    <t>23調査結果-指摘内容-4(20)</t>
  </si>
  <si>
    <t>23調査結果-指摘内容-4(21)</t>
  </si>
  <si>
    <t>23調査結果-指摘内容-4(22)</t>
  </si>
  <si>
    <t>23調査結果-指摘内容-4(23)</t>
  </si>
  <si>
    <t>23調査結果-指摘内容-4(24)</t>
  </si>
  <si>
    <t>23調査結果-指摘内容-4(25)</t>
  </si>
  <si>
    <t>23調査結果-指摘内容-4(27)</t>
  </si>
  <si>
    <t>23調査結果-指摘内容-4(28)</t>
  </si>
  <si>
    <t>23調査結果-指摘内容-4(29)</t>
  </si>
  <si>
    <t>23調査結果-指摘内容-4(30)</t>
  </si>
  <si>
    <t>23調査結果-指摘内容-4(34)</t>
  </si>
  <si>
    <t>23調査結果-指摘内容-4(35)</t>
  </si>
  <si>
    <t>23調査結果-指摘内容-4(36)</t>
  </si>
  <si>
    <t>23調査結果-指摘内容-4(37)</t>
  </si>
  <si>
    <t>23調査結果-指摘内容-4(38)</t>
  </si>
  <si>
    <t>23調査結果-指摘内容-4(39)</t>
  </si>
  <si>
    <t>23調査結果-指摘内容-4(40)</t>
  </si>
  <si>
    <t>23調査結果-指摘内容-4(41)</t>
  </si>
  <si>
    <t>23調査結果-指摘内容-4(42)</t>
  </si>
  <si>
    <t>23調査結果-指摘内容-4(43)</t>
  </si>
  <si>
    <t>23調査結果-指摘内容-4(45)</t>
  </si>
  <si>
    <t>23調査結果-指摘内容-4(46)</t>
  </si>
  <si>
    <t>23調査結果-指摘内容-4(47)</t>
  </si>
  <si>
    <t>23調査結果-指摘内容-4(48)</t>
  </si>
  <si>
    <t>23調査結果-指摘内容-4(49)</t>
  </si>
  <si>
    <t>23調査結果-指摘内容-4(50)</t>
  </si>
  <si>
    <t>23調査結果-指摘内容-4(51)</t>
  </si>
  <si>
    <t>23調査結果-指摘内容-4(52)</t>
  </si>
  <si>
    <t>23調査結果-指摘内容-5(1)</t>
  </si>
  <si>
    <t>23調査結果-指摘内容-5(2)</t>
  </si>
  <si>
    <t>23調査結果-指摘内容-5(3)</t>
  </si>
  <si>
    <t>23調査結果-指摘内容-5(4)</t>
  </si>
  <si>
    <t>23調査結果-指摘内容-5(5)</t>
  </si>
  <si>
    <t>23調査結果-指摘内容-5(6)</t>
  </si>
  <si>
    <t>23調査結果-指摘内容-5(7)</t>
  </si>
  <si>
    <t>23調査結果-指摘内容-5(8)</t>
  </si>
  <si>
    <t>23調査結果-指摘内容-5(9)</t>
  </si>
  <si>
    <t>23調査結果-指摘内容-5(10)</t>
  </si>
  <si>
    <t>23調査結果-指摘内容-5(11)</t>
  </si>
  <si>
    <t>23調査結果-指摘内容-5(12)</t>
  </si>
  <si>
    <t>23調査結果-指摘内容-5(13)</t>
  </si>
  <si>
    <t>23調査結果-指摘内容-5(14)</t>
  </si>
  <si>
    <t>23調査結果-指摘内容-5(15)</t>
  </si>
  <si>
    <t>23調査結果-指摘内容-5(16)</t>
  </si>
  <si>
    <t>23調査結果-指摘内容-5(17)</t>
  </si>
  <si>
    <t>23調査結果-指摘内容-5(18)</t>
  </si>
  <si>
    <t>23調査結果-指摘内容-5(19)</t>
  </si>
  <si>
    <t>23調査結果-指摘内容-5(20)</t>
  </si>
  <si>
    <t>23調査結果-指摘内容-5(21)</t>
  </si>
  <si>
    <t>23調査結果-指摘内容-5(22)</t>
  </si>
  <si>
    <t>23調査結果-指摘内容-5(23)</t>
  </si>
  <si>
    <t>23調査結果-指摘内容-5(24)</t>
  </si>
  <si>
    <t>23調査結果-指摘内容-5(25)</t>
  </si>
  <si>
    <t>23調査結果-指摘内容-5(26)</t>
  </si>
  <si>
    <t>23調査結果-指摘内容-5(29)</t>
  </si>
  <si>
    <t>23調査結果-指摘内容-5(30)</t>
  </si>
  <si>
    <t>23調査結果-指摘内容-5(31)</t>
  </si>
  <si>
    <t>23調査結果-指摘内容-5(32)</t>
  </si>
  <si>
    <t>23調査結果-指摘内容-5(33)</t>
  </si>
  <si>
    <t>23調査結果-指摘内容-5(34)</t>
  </si>
  <si>
    <t>23調査結果-指摘内容-5(35)</t>
  </si>
  <si>
    <t>23調査結果-指摘内容-5(36)</t>
  </si>
  <si>
    <t>23調査結果-指摘内容-5(37)</t>
  </si>
  <si>
    <t>23調査結果-指摘内容-5(38)</t>
  </si>
  <si>
    <t>23調査結果-指摘内容-5(39)</t>
  </si>
  <si>
    <t>23調査結果-指摘内容-5(40)</t>
  </si>
  <si>
    <t>23調査結果-指摘内容-5(41)</t>
  </si>
  <si>
    <t>23調査結果-指摘内容-5(42)</t>
  </si>
  <si>
    <t>23調査結果-指摘内容-5(43)</t>
  </si>
  <si>
    <t>23調査結果-指摘内容-5(44)</t>
  </si>
  <si>
    <t>23調査結果-指摘内容-5(45)</t>
  </si>
  <si>
    <t>23調査結果-指摘内容-6(1)</t>
  </si>
  <si>
    <t>23調査結果-指摘内容-6(2)</t>
  </si>
  <si>
    <t>23調査結果-指摘内容-6(3)</t>
  </si>
  <si>
    <t>23調査結果-指摘内容-6(4)</t>
  </si>
  <si>
    <t>23調査結果-指摘内容-6(5)</t>
  </si>
  <si>
    <t>23調査結果-指摘内容-6(6)</t>
  </si>
  <si>
    <t>23調査結果-指摘内容-6(7)</t>
  </si>
  <si>
    <t>23調査結果-指摘内容-6(8)</t>
  </si>
  <si>
    <t>23調査結果-指摘内容-6(9)</t>
  </si>
  <si>
    <t>23調査結果-指摘内容-6(10)</t>
  </si>
  <si>
    <t>23調査結果-指摘内容-6(11)</t>
  </si>
  <si>
    <t>23調査結果-指摘内容-6(12)</t>
  </si>
  <si>
    <t>23調査結果-指摘内容-6(13)</t>
  </si>
  <si>
    <t>23調査結果-指摘内容-6(14)</t>
  </si>
  <si>
    <t>23調査結果-指摘内容-7(2)</t>
  </si>
  <si>
    <t>23調査結果-指摘内容-7(3)</t>
  </si>
  <si>
    <t>23調査結果-指摘内容-7(6)</t>
  </si>
  <si>
    <t>23調査結果-指摘内容-7(7)</t>
  </si>
  <si>
    <t>23調査結果-指摘内容-7(8)</t>
  </si>
  <si>
    <t>23調査結果-指摘内容-7(9)</t>
  </si>
  <si>
    <t>23調査結果-指摘内容-7(10)</t>
  </si>
  <si>
    <t>23調査結果-指摘内容-7(11)</t>
  </si>
  <si>
    <t>23調査結果-指摘内容-7(12)</t>
  </si>
  <si>
    <t>23調査結果-指摘内容-7(13)</t>
  </si>
  <si>
    <t>23調査結果-指摘内容-7(14)</t>
  </si>
  <si>
    <t>23調査結果-指摘内容-7(15)</t>
  </si>
  <si>
    <t>版数</t>
    <rPh sb="0" eb="1">
      <t>ハン</t>
    </rPh>
    <rPh sb="1" eb="2">
      <t>スウ</t>
    </rPh>
    <phoneticPr fontId="3"/>
  </si>
  <si>
    <t>【要注意●●】</t>
    <rPh sb="1" eb="4">
      <t>ヨウチュウイ</t>
    </rPh>
    <phoneticPr fontId="3"/>
  </si>
  <si>
    <t>入力支援ファイルのバージョン</t>
  </si>
  <si>
    <t>入力支援ファイルのバージョン</t>
    <rPh sb="0" eb="4">
      <t>ニュウリョクシエン</t>
    </rPh>
    <phoneticPr fontId="3"/>
  </si>
  <si>
    <t>CSVリンク用（セル内改行の削除済）</t>
    <rPh sb="10" eb="11">
      <t>ナイ</t>
    </rPh>
    <rPh sb="11" eb="13">
      <t>カイギョウ</t>
    </rPh>
    <rPh sb="14" eb="16">
      <t>サクジョ</t>
    </rPh>
    <rPh sb="16" eb="17">
      <t>スミ</t>
    </rPh>
    <phoneticPr fontId="3"/>
  </si>
  <si>
    <t>0報告-年</t>
    <phoneticPr fontId="3"/>
  </si>
  <si>
    <t>　建築設備対象用途：A　B　C　D　E　F　G　H　I　J　K　</t>
    <phoneticPr fontId="3"/>
  </si>
  <si>
    <t xml:space="preserve">[市]１建・２設・５新細則(建防)
[国]３建・４防	</t>
    <phoneticPr fontId="3"/>
  </si>
  <si>
    <t>報告日</t>
    <phoneticPr fontId="3"/>
  </si>
  <si>
    <t>であっても、目視・部分打診で異常を認めた場合、これらの選択肢でなく、「今回の定期調査時に全面打診等を実施」等、全面打診等の実施状況について選択してください。</t>
    <rPh sb="6" eb="8">
      <t>モクシ</t>
    </rPh>
    <rPh sb="9" eb="11">
      <t>ブブン</t>
    </rPh>
    <rPh sb="11" eb="13">
      <t>ダシン</t>
    </rPh>
    <rPh sb="14" eb="16">
      <t>イジョウ</t>
    </rPh>
    <rPh sb="17" eb="18">
      <t>ミト</t>
    </rPh>
    <rPh sb="20" eb="22">
      <t>バアイ</t>
    </rPh>
    <phoneticPr fontId="3"/>
  </si>
  <si>
    <t>7（1）</t>
  </si>
  <si>
    <t>23調査結果-上記以外の調査項目-7（1）-調査結果</t>
  </si>
  <si>
    <t>不具合等を</t>
    <rPh sb="0" eb="3">
      <t>フグアイ</t>
    </rPh>
    <rPh sb="3" eb="4">
      <t>トウ</t>
    </rPh>
    <phoneticPr fontId="3"/>
  </si>
  <si>
    <t>把握した年月</t>
    <phoneticPr fontId="3"/>
  </si>
  <si>
    <t>選択してください</t>
  </si>
  <si>
    <t>IV. 更新履歴</t>
    <rPh sb="4" eb="6">
      <t>コウシン</t>
    </rPh>
    <rPh sb="6" eb="8">
      <t>リレキ</t>
    </rPh>
    <phoneticPr fontId="124"/>
  </si>
  <si>
    <t>受付管理票</t>
  </si>
  <si>
    <t>1_入力シート【基本情報】14</t>
  </si>
  <si>
    <t>1_入力シート【基本情報】19</t>
  </si>
  <si>
    <t>特記用途欄への転記の設定を変更しました（「該当なし」を表示）。</t>
  </si>
  <si>
    <t>注意書きの表現を修正しました。</t>
  </si>
  <si>
    <t>全般</t>
    <rPh sb="0" eb="2">
      <t>ゼンパン</t>
    </rPh>
    <phoneticPr fontId="3"/>
  </si>
  <si>
    <t>・</t>
  </si>
  <si>
    <t>【ver111（令和4年10月）】</t>
    <rPh sb="8" eb="10">
      <t>レイワ</t>
    </rPh>
    <rPh sb="11" eb="12">
      <t>ネン</t>
    </rPh>
    <rPh sb="14" eb="15">
      <t>ガツ</t>
    </rPh>
    <phoneticPr fontId="3"/>
  </si>
  <si>
    <t>確認・検済番号の表示がはみ出さないよう変更しました。</t>
    <rPh sb="13" eb="14">
      <t>ダ</t>
    </rPh>
    <phoneticPr fontId="3"/>
  </si>
  <si>
    <t>その他、転記・表示の設定を微修正しました。</t>
    <rPh sb="7" eb="9">
      <t>ヒョウジ</t>
    </rPh>
    <rPh sb="13" eb="14">
      <t>ビ</t>
    </rPh>
    <phoneticPr fontId="3"/>
  </si>
  <si>
    <t>昭和</t>
    <rPh sb="0" eb="2">
      <t>ショウワ</t>
    </rPh>
    <phoneticPr fontId="18"/>
  </si>
  <si>
    <t>S</t>
  </si>
  <si>
    <t>平成</t>
    <rPh sb="0" eb="2">
      <t>ヘイセイ</t>
    </rPh>
    <phoneticPr fontId="18"/>
  </si>
  <si>
    <t>令和</t>
    <rPh sb="0" eb="2">
      <t>レイワ</t>
    </rPh>
    <phoneticPr fontId="18"/>
  </si>
  <si>
    <t>R</t>
  </si>
  <si>
    <t>元号初日</t>
    <rPh sb="0" eb="2">
      <t>ゲンゴウ</t>
    </rPh>
    <rPh sb="2" eb="4">
      <t>ショニチ</t>
    </rPh>
    <phoneticPr fontId="3"/>
  </si>
  <si>
    <t>改善予定年月シリアル値</t>
    <rPh sb="4" eb="6">
      <t>ネンゲツ</t>
    </rPh>
    <rPh sb="10" eb="11">
      <t>チ</t>
    </rPh>
    <phoneticPr fontId="3"/>
  </si>
  <si>
    <t>改善予定元号</t>
    <rPh sb="4" eb="6">
      <t>ゲンゴウ</t>
    </rPh>
    <phoneticPr fontId="3"/>
  </si>
  <si>
    <t>改善予定年月略表記</t>
    <rPh sb="6" eb="7">
      <t>リャク</t>
    </rPh>
    <rPh sb="7" eb="9">
      <t>ヒョウキ</t>
    </rPh>
    <phoneticPr fontId="3"/>
  </si>
  <si>
    <t>(予備)</t>
    <rPh sb="1" eb="3">
      <t>ヨビ</t>
    </rPh>
    <phoneticPr fontId="3"/>
  </si>
  <si>
    <t>和暦表示に関する改善を行いました。</t>
    <phoneticPr fontId="3"/>
  </si>
  <si>
    <t>・</t>
    <phoneticPr fontId="3"/>
  </si>
  <si>
    <t>報告書、概要書</t>
    <rPh sb="4" eb="7">
      <t>ガイヨウショ</t>
    </rPh>
    <phoneticPr fontId="3"/>
  </si>
  <si>
    <r>
      <t xml:space="preserve">屋根ふき材、内装材、外装材等及び広告塔、装飾等その他建築物の屋外に取り付けられたものの脱落、バルコニー、屋上等の手すりその他建築物の部分の脱落等をいいます。
</t>
    </r>
    <r>
      <rPr>
        <b/>
        <sz val="11"/>
        <rFont val="ＭＳ Ｐゴシック"/>
        <family val="3"/>
        <charset val="128"/>
        <scheme val="major"/>
      </rPr>
      <t>23 調査結果に記載する要是正の指摘は、この欄には記載しないでください。</t>
    </r>
    <phoneticPr fontId="3"/>
  </si>
  <si>
    <t>1_入力シート【基本情報】17</t>
    <phoneticPr fontId="3"/>
  </si>
  <si>
    <t>項目名・注意書きの表現を補記修正しました。</t>
    <rPh sb="9" eb="11">
      <t>ヒョウゲン</t>
    </rPh>
    <phoneticPr fontId="3"/>
  </si>
  <si>
    <t>不具合等　（「23 調査結果」以外）</t>
    <rPh sb="0" eb="3">
      <t>フグアイ</t>
    </rPh>
    <rPh sb="3" eb="4">
      <t>トウ</t>
    </rPh>
    <phoneticPr fontId="3"/>
  </si>
  <si>
    <t>要是正・既存不適格カウント並べ替え用</t>
    <rPh sb="4" eb="6">
      <t>キゾン</t>
    </rPh>
    <rPh sb="6" eb="9">
      <t>フテキカク</t>
    </rPh>
    <phoneticPr fontId="3"/>
  </si>
  <si>
    <t>要是正＋既存不適格</t>
    <rPh sb="0" eb="3">
      <t>ヨウゼセイ</t>
    </rPh>
    <rPh sb="4" eb="9">
      <t>キゾンフテキカク</t>
    </rPh>
    <phoneticPr fontId="3"/>
  </si>
  <si>
    <t>表示順位</t>
    <rPh sb="0" eb="2">
      <t>ヒョウジ</t>
    </rPh>
    <rPh sb="2" eb="4">
      <t>ジュンイ</t>
    </rPh>
    <phoneticPr fontId="3"/>
  </si>
  <si>
    <t>3_入力シート【写真】、調査結果表</t>
    <rPh sb="12" eb="17">
      <t>チョウサケッカヒョウ</t>
    </rPh>
    <phoneticPr fontId="3"/>
  </si>
  <si>
    <t>要是正の調査項目の転記順序を変更しました。</t>
    <rPh sb="0" eb="1">
      <t>ヨウ</t>
    </rPh>
    <rPh sb="1" eb="3">
      <t>ゼセイ</t>
    </rPh>
    <rPh sb="4" eb="6">
      <t>チョウサ</t>
    </rPh>
    <rPh sb="6" eb="8">
      <t>コウモク</t>
    </rPh>
    <phoneticPr fontId="3"/>
  </si>
  <si>
    <t>※</t>
    <phoneticPr fontId="3"/>
  </si>
  <si>
    <t>日　報告</t>
    <rPh sb="0" eb="1">
      <t>ニチ</t>
    </rPh>
    <rPh sb="2" eb="4">
      <t>ホウコク</t>
    </rPh>
    <phoneticPr fontId="3"/>
  </si>
  <si>
    <t>日　実施</t>
    <rPh sb="0" eb="1">
      <t>ニチ</t>
    </rPh>
    <rPh sb="2" eb="4">
      <t>ジッシ</t>
    </rPh>
    <phoneticPr fontId="3"/>
  </si>
  <si>
    <t>前回調査・報告の日付について、項目名・入力欄の表現を報告書様式に合わせて修正しました。</t>
    <rPh sb="19" eb="21">
      <t>ニュウリョク</t>
    </rPh>
    <rPh sb="21" eb="22">
      <t>ラン</t>
    </rPh>
    <rPh sb="23" eb="25">
      <t>ヒョウゲン</t>
    </rPh>
    <phoneticPr fontId="3"/>
  </si>
  <si>
    <t>直近の建築確認　（新築時以降に建築確認を受けていない場合、新築時の建築確認）</t>
    <rPh sb="0" eb="2">
      <t>チョッキン</t>
    </rPh>
    <rPh sb="3" eb="5">
      <t>ケンチク</t>
    </rPh>
    <rPh sb="5" eb="7">
      <t>カクニン</t>
    </rPh>
    <rPh sb="9" eb="11">
      <t>シンチク</t>
    </rPh>
    <rPh sb="11" eb="12">
      <t>ジ</t>
    </rPh>
    <rPh sb="12" eb="14">
      <t>イコウ</t>
    </rPh>
    <rPh sb="15" eb="17">
      <t>ケンチク</t>
    </rPh>
    <rPh sb="17" eb="19">
      <t>カクニン</t>
    </rPh>
    <rPh sb="20" eb="21">
      <t>ウ</t>
    </rPh>
    <rPh sb="26" eb="28">
      <t>バアイ</t>
    </rPh>
    <rPh sb="29" eb="31">
      <t>シンチク</t>
    </rPh>
    <rPh sb="31" eb="32">
      <t>ジ</t>
    </rPh>
    <rPh sb="33" eb="35">
      <t>ケンチク</t>
    </rPh>
    <rPh sb="35" eb="37">
      <t>カクニン</t>
    </rPh>
    <phoneticPr fontId="3"/>
  </si>
  <si>
    <t>新築時の建築確認</t>
    <rPh sb="4" eb="6">
      <t>ケンチク</t>
    </rPh>
    <rPh sb="6" eb="8">
      <t>カクニン</t>
    </rPh>
    <phoneticPr fontId="3"/>
  </si>
  <si>
    <t>/</t>
    <phoneticPr fontId="3"/>
  </si>
  <si>
    <t>※収受</t>
    <phoneticPr fontId="3"/>
  </si>
  <si>
    <t>※担当</t>
    <phoneticPr fontId="3"/>
  </si>
  <si>
    <t>ID種別番号</t>
    <rPh sb="4" eb="6">
      <t>バンゴウ</t>
    </rPh>
    <phoneticPr fontId="3"/>
  </si>
  <si>
    <t>ID種別番号（入力）</t>
    <phoneticPr fontId="3"/>
  </si>
  <si>
    <t>ID種別番号整合</t>
    <rPh sb="2" eb="4">
      <t>シュベツ</t>
    </rPh>
    <rPh sb="4" eb="6">
      <t>バンゴウ</t>
    </rPh>
    <rPh sb="6" eb="8">
      <t>セイゴウ</t>
    </rPh>
    <phoneticPr fontId="3"/>
  </si>
  <si>
    <t>建築物・建築設備・防火設備　用途/規模該否まとめ</t>
    <rPh sb="0" eb="3">
      <t>ケンチクブツ</t>
    </rPh>
    <rPh sb="4" eb="8">
      <t>ケンチクセツビ</t>
    </rPh>
    <rPh sb="9" eb="13">
      <t>ボウカセツビ</t>
    </rPh>
    <rPh sb="14" eb="16">
      <t>ヨウト</t>
    </rPh>
    <rPh sb="17" eb="19">
      <t>キボ</t>
    </rPh>
    <rPh sb="19" eb="21">
      <t>ガイヒ</t>
    </rPh>
    <phoneticPr fontId="3"/>
  </si>
  <si>
    <t>対象用途記号まとめ（面積最大）</t>
    <rPh sb="10" eb="14">
      <t>メンセキサイダイ</t>
    </rPh>
    <phoneticPr fontId="3"/>
  </si>
  <si>
    <t>対象用途記号まとめ（全て）</t>
    <rPh sb="0" eb="2">
      <t>タイショウ</t>
    </rPh>
    <rPh sb="2" eb="4">
      <t>ヨウト</t>
    </rPh>
    <rPh sb="4" eb="6">
      <t>キゴウ</t>
    </rPh>
    <rPh sb="10" eb="11">
      <t>スベ</t>
    </rPh>
    <phoneticPr fontId="3"/>
  </si>
  <si>
    <t>ID用途記号整合</t>
    <rPh sb="2" eb="4">
      <t>ヨウト</t>
    </rPh>
    <rPh sb="4" eb="6">
      <t>キゴウ</t>
    </rPh>
    <rPh sb="6" eb="8">
      <t>セイゴウ</t>
    </rPh>
    <phoneticPr fontId="3"/>
  </si>
  <si>
    <t>ID用途記号（入力）</t>
    <rPh sb="2" eb="4">
      <t>ヨウト</t>
    </rPh>
    <rPh sb="4" eb="6">
      <t>キゴウ</t>
    </rPh>
    <phoneticPr fontId="3"/>
  </si>
  <si>
    <t>設備有無</t>
    <rPh sb="0" eb="2">
      <t>セツビ</t>
    </rPh>
    <rPh sb="2" eb="4">
      <t>ウム</t>
    </rPh>
    <phoneticPr fontId="3"/>
  </si>
  <si>
    <t>用途/規模該否（逆算）</t>
    <rPh sb="0" eb="2">
      <t>ヨウト</t>
    </rPh>
    <rPh sb="3" eb="5">
      <t>キボ</t>
    </rPh>
    <rPh sb="5" eb="7">
      <t>ガイヒ</t>
    </rPh>
    <phoneticPr fontId="3"/>
  </si>
  <si>
    <t>指定根拠コード</t>
    <rPh sb="0" eb="2">
      <t>シテイ</t>
    </rPh>
    <rPh sb="2" eb="4">
      <t>コンキョ</t>
    </rPh>
    <phoneticPr fontId="3"/>
  </si>
  <si>
    <t>指定対象該否</t>
    <rPh sb="0" eb="2">
      <t>シテイ</t>
    </rPh>
    <rPh sb="2" eb="4">
      <t>タイショウ</t>
    </rPh>
    <rPh sb="4" eb="6">
      <t>ガイヒ</t>
    </rPh>
    <phoneticPr fontId="3"/>
  </si>
  <si>
    <t>指定対象該否</t>
    <rPh sb="0" eb="2">
      <t>シテイ</t>
    </rPh>
    <rPh sb="2" eb="6">
      <t>タイショウガイヒ</t>
    </rPh>
    <phoneticPr fontId="3"/>
  </si>
  <si>
    <t>建築設備用途/規模該否整合</t>
    <rPh sb="4" eb="6">
      <t>ヨウト</t>
    </rPh>
    <rPh sb="7" eb="9">
      <t>キボ</t>
    </rPh>
    <rPh sb="9" eb="11">
      <t>ガイヒ</t>
    </rPh>
    <rPh sb="11" eb="13">
      <t>セイゴウ</t>
    </rPh>
    <phoneticPr fontId="3"/>
  </si>
  <si>
    <t>建築設備用途/規模該否（入力）（逆算）</t>
    <rPh sb="4" eb="6">
      <t>ヨウト</t>
    </rPh>
    <rPh sb="7" eb="9">
      <t>キボ</t>
    </rPh>
    <rPh sb="9" eb="11">
      <t>ガイヒ</t>
    </rPh>
    <rPh sb="16" eb="18">
      <t>ギャクサン</t>
    </rPh>
    <phoneticPr fontId="3"/>
  </si>
  <si>
    <t>防火設備用途/規模該否整合</t>
    <rPh sb="0" eb="2">
      <t>ボウカ</t>
    </rPh>
    <rPh sb="4" eb="6">
      <t>ヨウト</t>
    </rPh>
    <rPh sb="7" eb="9">
      <t>キボ</t>
    </rPh>
    <rPh sb="9" eb="11">
      <t>ガイヒ</t>
    </rPh>
    <rPh sb="11" eb="13">
      <t>セイゴウ</t>
    </rPh>
    <phoneticPr fontId="3"/>
  </si>
  <si>
    <t>防火設備用途/規模該否（入力）（逆算）</t>
    <rPh sb="0" eb="2">
      <t>ボウカ</t>
    </rPh>
    <rPh sb="4" eb="6">
      <t>ヨウト</t>
    </rPh>
    <rPh sb="7" eb="9">
      <t>キボ</t>
    </rPh>
    <rPh sb="9" eb="11">
      <t>ガイヒ</t>
    </rPh>
    <rPh sb="12" eb="14">
      <t>ニュウリョク</t>
    </rPh>
    <rPh sb="16" eb="18">
      <t>ギャクサン</t>
    </rPh>
    <phoneticPr fontId="3"/>
  </si>
  <si>
    <t>種別番号判定用No.</t>
    <rPh sb="0" eb="2">
      <t>シュベツ</t>
    </rPh>
    <rPh sb="2" eb="4">
      <t>バンゴウ</t>
    </rPh>
    <rPh sb="4" eb="7">
      <t>ハンテイヨウ</t>
    </rPh>
    <phoneticPr fontId="3"/>
  </si>
  <si>
    <t>第二面６欄・７欄、受付管理票</t>
    <rPh sb="7" eb="8">
      <t>ラン</t>
    </rPh>
    <phoneticPr fontId="3"/>
  </si>
  <si>
    <t>※「直近の建築確認」欄は第二面6欄に転記されます。
　「新築時の建築確認」欄は第二面7欄、受付管理票に転記されます。
・建築時期の把握は既存不適格の判断に必要な情報ですので、必ず御確認ください。
・確認年月日等が不明であっても，建築計画概要書等で調べられる場合があります。
建築審査課の窓口で建築計画概要書等を閲覧し、記入してください。</t>
    <rPh sb="5" eb="7">
      <t>ケンチク</t>
    </rPh>
    <rPh sb="12" eb="13">
      <t>ダイ</t>
    </rPh>
    <rPh sb="13" eb="15">
      <t>２メン</t>
    </rPh>
    <rPh sb="16" eb="17">
      <t>ラン</t>
    </rPh>
    <rPh sb="32" eb="34">
      <t>ケンチク</t>
    </rPh>
    <rPh sb="39" eb="40">
      <t>ダイ</t>
    </rPh>
    <rPh sb="40" eb="42">
      <t>２メン</t>
    </rPh>
    <rPh sb="43" eb="44">
      <t>ラン</t>
    </rPh>
    <phoneticPr fontId="3"/>
  </si>
  <si>
    <t>「直近の建築確認」には、</t>
    <rPh sb="4" eb="6">
      <t>ケンチク</t>
    </rPh>
    <phoneticPr fontId="3"/>
  </si>
  <si>
    <t>「直近の建築確認」に、増築や用途変更等の建築確認を記載した場合は、新築時の建築確認について記入してください。</t>
    <rPh sb="1" eb="3">
      <t>チョッキン</t>
    </rPh>
    <rPh sb="4" eb="6">
      <t>ケンチク</t>
    </rPh>
    <rPh sb="6" eb="8">
      <t>カクニン</t>
    </rPh>
    <rPh sb="11" eb="13">
      <t>ゾウチク</t>
    </rPh>
    <rPh sb="25" eb="27">
      <t>キサイ</t>
    </rPh>
    <rPh sb="29" eb="31">
      <t>バアイ</t>
    </rPh>
    <rPh sb="33" eb="35">
      <t>シンチク</t>
    </rPh>
    <rPh sb="35" eb="36">
      <t>ジ</t>
    </rPh>
    <rPh sb="37" eb="39">
      <t>ケンチク</t>
    </rPh>
    <rPh sb="39" eb="41">
      <t>カクニン</t>
    </rPh>
    <rPh sb="45" eb="47">
      <t>キニュウ</t>
    </rPh>
    <phoneticPr fontId="3"/>
  </si>
  <si>
    <t>直近の建築確認について記入してください。</t>
    <rPh sb="0" eb="2">
      <t>チョッキン</t>
    </rPh>
    <rPh sb="3" eb="5">
      <t>ケンチク</t>
    </rPh>
    <rPh sb="5" eb="7">
      <t>カクニン</t>
    </rPh>
    <rPh sb="11" eb="13">
      <t>キニュウ</t>
    </rPh>
    <phoneticPr fontId="3"/>
  </si>
  <si>
    <t>1_入力シート【基本情報】12</t>
    <phoneticPr fontId="3"/>
  </si>
  <si>
    <t>建築確認の情報に関する、プルダウン項目・注意書きの表現を修正しました。</t>
    <rPh sb="0" eb="2">
      <t>ケンチク</t>
    </rPh>
    <rPh sb="2" eb="4">
      <t>カクニン</t>
    </rPh>
    <rPh sb="5" eb="7">
      <t>ジョウホウ</t>
    </rPh>
    <rPh sb="8" eb="9">
      <t>カン</t>
    </rPh>
    <rPh sb="20" eb="23">
      <t>チュウイガ</t>
    </rPh>
    <rPh sb="25" eb="27">
      <t>ヒョウゲン</t>
    </rPh>
    <phoneticPr fontId="3"/>
  </si>
  <si>
    <t>【ver112（令和4年11月）】</t>
    <rPh sb="8" eb="10">
      <t>レイワ</t>
    </rPh>
    <rPh sb="11" eb="12">
      <t>ネン</t>
    </rPh>
    <rPh sb="14" eb="15">
      <t>ガツ</t>
    </rPh>
    <phoneticPr fontId="3"/>
  </si>
  <si>
    <t>調査結果表</t>
  </si>
  <si>
    <t>既存不適格の指摘が特記事項欄に表示されない不具合を修正しました。</t>
    <rPh sb="25" eb="27">
      <t>シュウセイ</t>
    </rPh>
    <phoneticPr fontId="3"/>
  </si>
  <si>
    <t>ver112</t>
    <phoneticPr fontId="3"/>
  </si>
  <si>
    <t xml:space="preserve">Kyoto City(R4.11) </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</si>
</sst>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lt;=999]000;[&lt;=99999]000\-00;000\-0000"/>
    <numFmt numFmtId="177" formatCode="#,##0_ "/>
    <numFmt numFmtId="178" formatCode="#,##0.00_ "/>
    <numFmt numFmtId="179" formatCode="[$-411]ggge&quot;年&quot;m&quot;月&quot;;@"/>
    <numFmt numFmtId="180" formatCode="[&lt;=999]000;[&lt;=9999]000\-00;000\-0000"/>
    <numFmt numFmtId="181" formatCode="#"/>
    <numFmt numFmtId="182" formatCode="0.00_);[Red]\(0.00\)"/>
    <numFmt numFmtId="183" formatCode="[$-411]ge\.m\.d;@"/>
    <numFmt numFmtId="184" formatCode="&quot;「&quot;[$-411]ge\.m\.d&quot;」&quot;;@"/>
    <numFmt numFmtId="185" formatCode="yyyy/m/d;@"/>
    <numFmt numFmtId="186" formatCode="0.00_ "/>
    <numFmt numFmtId="187" formatCode="0000"/>
    <numFmt numFmtId="188" formatCode="#,##0.00_ ;;&quot;-&quot;;"/>
    <numFmt numFmtId="189" formatCode="0_);[Red]\(0\)"/>
  </numFmts>
  <fonts count="147">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9"/>
      <name val="ＭＳ Ｐ明朝"/>
      <family val="1"/>
      <charset val="128"/>
    </font>
    <font>
      <sz val="8"/>
      <name val="ＭＳ Ｐ明朝"/>
      <family val="1"/>
      <charset val="128"/>
    </font>
    <font>
      <sz val="8"/>
      <name val="ＭＳ Ｐゴシック"/>
      <family val="3"/>
      <charset val="128"/>
    </font>
    <font>
      <sz val="11"/>
      <name val="ＭＳ 明朝"/>
      <family val="1"/>
      <charset val="128"/>
    </font>
    <font>
      <sz val="10"/>
      <name val="ＭＳ 明朝"/>
      <family val="1"/>
      <charset val="128"/>
    </font>
    <font>
      <b/>
      <sz val="11"/>
      <name val="ＭＳ Ｐゴシック"/>
      <family val="3"/>
      <charset val="128"/>
    </font>
    <font>
      <sz val="11"/>
      <color theme="1"/>
      <name val="ＭＳ Ｐゴシック"/>
      <family val="3"/>
      <charset val="128"/>
      <scheme val="minor"/>
    </font>
    <font>
      <u/>
      <sz val="11"/>
      <color theme="10"/>
      <name val="ＭＳ Ｐゴシック"/>
      <family val="3"/>
      <charset val="128"/>
    </font>
    <font>
      <b/>
      <sz val="11"/>
      <color rgb="FFFF0000"/>
      <name val="ＭＳ Ｐゴシック"/>
      <family val="3"/>
      <charset val="128"/>
    </font>
    <font>
      <sz val="12"/>
      <name val="ＭＳ Ｐゴシック"/>
      <family val="3"/>
      <charset val="128"/>
    </font>
    <font>
      <sz val="9"/>
      <color rgb="FF000000"/>
      <name val="Meiryo UI"/>
      <family val="3"/>
      <charset val="128"/>
    </font>
    <font>
      <sz val="9"/>
      <color theme="0"/>
      <name val="ＭＳ Ｐ明朝"/>
      <family val="1"/>
      <charset val="128"/>
    </font>
    <font>
      <b/>
      <sz val="9"/>
      <color rgb="FFFF0000"/>
      <name val="ＭＳ Ｐ明朝"/>
      <family val="1"/>
      <charset val="128"/>
    </font>
    <font>
      <b/>
      <sz val="12"/>
      <color rgb="FFFF0000"/>
      <name val="ＭＳ Ｐゴシック"/>
      <family val="3"/>
      <charset val="128"/>
    </font>
    <font>
      <b/>
      <sz val="12"/>
      <color theme="3" tint="0.39997558519241921"/>
      <name val="ＭＳ Ｐゴシック"/>
      <family val="3"/>
      <charset val="128"/>
    </font>
    <font>
      <b/>
      <sz val="12"/>
      <color rgb="FF0070C0"/>
      <name val="ＭＳ Ｐゴシック"/>
      <family val="3"/>
      <charset val="128"/>
    </font>
    <font>
      <b/>
      <sz val="12"/>
      <color rgb="FF00B050"/>
      <name val="ＭＳ Ｐゴシック"/>
      <family val="3"/>
      <charset val="128"/>
    </font>
    <font>
      <b/>
      <sz val="12"/>
      <name val="ＭＳ Ｐゴシック"/>
      <family val="3"/>
      <charset val="128"/>
    </font>
    <font>
      <sz val="16"/>
      <name val="ＭＳ Ｐゴシック"/>
      <family val="3"/>
      <charset val="128"/>
    </font>
    <font>
      <b/>
      <sz val="10"/>
      <color rgb="FFFF0000"/>
      <name val="ＭＳ Ｐゴシック"/>
      <family val="3"/>
      <charset val="128"/>
    </font>
    <font>
      <sz val="10"/>
      <name val="ＭＳ Ｐゴシック"/>
      <family val="3"/>
      <charset val="128"/>
    </font>
    <font>
      <sz val="6"/>
      <name val="ＭＳ Ｐゴシック"/>
      <family val="2"/>
      <charset val="128"/>
      <scheme val="minor"/>
    </font>
    <font>
      <b/>
      <u/>
      <sz val="11"/>
      <color rgb="FFFF0000"/>
      <name val="ＭＳ Ｐゴシック"/>
      <family val="3"/>
      <charset val="128"/>
    </font>
    <font>
      <sz val="11"/>
      <name val="ＭＳ Ｐゴシック"/>
      <family val="3"/>
      <charset val="128"/>
      <scheme val="major"/>
    </font>
    <font>
      <b/>
      <sz val="10"/>
      <name val="ＭＳ Ｐゴシック"/>
      <family val="3"/>
      <charset val="128"/>
    </font>
    <font>
      <b/>
      <sz val="12"/>
      <color theme="1"/>
      <name val="ＭＳ Ｐゴシック"/>
      <family val="3"/>
      <charset val="128"/>
    </font>
    <font>
      <sz val="12"/>
      <color theme="1"/>
      <name val="ＭＳ Ｐゴシック"/>
      <family val="3"/>
      <charset val="128"/>
    </font>
    <font>
      <sz val="9"/>
      <name val="ＭＳ 明朝"/>
      <family val="1"/>
      <charset val="128"/>
    </font>
    <font>
      <sz val="10.5"/>
      <name val="ＭＳ 明朝"/>
      <family val="1"/>
      <charset val="128"/>
    </font>
    <font>
      <b/>
      <sz val="8"/>
      <name val="ＭＳ Ｐゴシック"/>
      <family val="3"/>
      <charset val="128"/>
    </font>
    <font>
      <b/>
      <sz val="10"/>
      <name val="ＭＳ 明朝"/>
      <family val="1"/>
      <charset val="128"/>
    </font>
    <font>
      <sz val="10"/>
      <color theme="1"/>
      <name val="ＭＳ 明朝"/>
      <family val="1"/>
      <charset val="128"/>
    </font>
    <font>
      <b/>
      <sz val="10"/>
      <color indexed="8"/>
      <name val="ＭＳ 明朝"/>
      <family val="1"/>
      <charset val="128"/>
    </font>
    <font>
      <b/>
      <sz val="10"/>
      <color theme="1"/>
      <name val="ＭＳ 明朝"/>
      <family val="1"/>
      <charset val="128"/>
    </font>
    <font>
      <sz val="11"/>
      <color indexed="12"/>
      <name val="ＭＳ 明朝"/>
      <family val="1"/>
      <charset val="128"/>
    </font>
    <font>
      <b/>
      <sz val="11"/>
      <name val="ＭＳ 明朝"/>
      <family val="1"/>
      <charset val="128"/>
    </font>
    <font>
      <b/>
      <sz val="9"/>
      <name val="ＭＳ 明朝"/>
      <family val="1"/>
      <charset val="128"/>
    </font>
    <font>
      <sz val="11"/>
      <color rgb="FFFF0000"/>
      <name val="ＭＳ Ｐゴシック"/>
      <family val="3"/>
      <charset val="128"/>
    </font>
    <font>
      <sz val="6"/>
      <name val="ＭＳ 明朝"/>
      <family val="1"/>
      <charset val="128"/>
    </font>
    <font>
      <sz val="8"/>
      <name val="ＭＳ 明朝"/>
      <family val="1"/>
      <charset val="128"/>
    </font>
    <font>
      <b/>
      <sz val="8"/>
      <name val="ＭＳ 明朝"/>
      <family val="1"/>
      <charset val="128"/>
    </font>
    <font>
      <sz val="9"/>
      <name val="ＭＳ Ｐゴシック"/>
      <family val="3"/>
      <charset val="128"/>
    </font>
    <font>
      <b/>
      <sz val="9"/>
      <name val="ＭＳ Ｐゴシック"/>
      <family val="3"/>
      <charset val="128"/>
    </font>
    <font>
      <u/>
      <sz val="11"/>
      <color theme="10"/>
      <name val="ＭＳ 明朝"/>
      <family val="1"/>
      <charset val="128"/>
    </font>
    <font>
      <sz val="11.5"/>
      <name val="ＭＳ Ｐゴシック"/>
      <family val="3"/>
      <charset val="128"/>
    </font>
    <font>
      <vertAlign val="subscript"/>
      <sz val="16"/>
      <name val="ＭＳ Ｐゴシック"/>
      <family val="3"/>
      <charset val="128"/>
    </font>
    <font>
      <sz val="8"/>
      <color theme="0" tint="-0.14999847407452621"/>
      <name val="ＭＳ Ｐゴシック"/>
      <family val="3"/>
      <charset val="128"/>
    </font>
    <font>
      <b/>
      <sz val="16"/>
      <name val="ＭＳ Ｐゴシック"/>
      <family val="3"/>
      <charset val="128"/>
    </font>
    <font>
      <u/>
      <sz val="11"/>
      <color rgb="FF0563C1"/>
      <name val="ＭＳ Ｐゴシック"/>
      <family val="2"/>
      <charset val="128"/>
    </font>
    <font>
      <sz val="8"/>
      <color rgb="FFFF0000"/>
      <name val="ＭＳ Ｐゴシック"/>
      <family val="3"/>
      <charset val="128"/>
    </font>
    <font>
      <b/>
      <sz val="20"/>
      <name val="ＭＳ Ｐゴシック"/>
      <family val="3"/>
      <charset val="128"/>
    </font>
    <font>
      <sz val="11"/>
      <color theme="1"/>
      <name val="ＭＳ Ｐゴシック"/>
      <family val="2"/>
      <scheme val="minor"/>
    </font>
    <font>
      <sz val="8"/>
      <color theme="1"/>
      <name val="ＭＳ Ｐゴシック"/>
      <family val="2"/>
      <scheme val="minor"/>
    </font>
    <font>
      <b/>
      <sz val="18"/>
      <color theme="1"/>
      <name val="メイリオ"/>
      <family val="3"/>
      <charset val="128"/>
    </font>
    <font>
      <b/>
      <sz val="18"/>
      <name val="メイリオ"/>
      <family val="3"/>
      <charset val="128"/>
    </font>
    <font>
      <b/>
      <sz val="11"/>
      <color theme="1"/>
      <name val="メイリオ"/>
      <family val="3"/>
      <charset val="128"/>
    </font>
    <font>
      <sz val="9"/>
      <color theme="1"/>
      <name val="HG丸ｺﾞｼｯｸM-PRO"/>
      <family val="3"/>
      <charset val="128"/>
    </font>
    <font>
      <sz val="9"/>
      <color indexed="8"/>
      <name val="HG丸ｺﾞｼｯｸM-PRO"/>
      <family val="3"/>
      <charset val="128"/>
    </font>
    <font>
      <sz val="8"/>
      <color indexed="8"/>
      <name val="HG丸ｺﾞｼｯｸM-PRO"/>
      <family val="3"/>
      <charset val="128"/>
    </font>
    <font>
      <sz val="14"/>
      <color theme="1"/>
      <name val="HG丸ｺﾞｼｯｸM-PRO"/>
      <family val="3"/>
      <charset val="128"/>
    </font>
    <font>
      <sz val="8"/>
      <color theme="1"/>
      <name val="HG丸ｺﾞｼｯｸM-PRO"/>
      <family val="3"/>
      <charset val="128"/>
    </font>
    <font>
      <sz val="12"/>
      <color theme="1"/>
      <name val="HG丸ｺﾞｼｯｸM-PRO"/>
      <family val="3"/>
      <charset val="128"/>
    </font>
    <font>
      <sz val="8"/>
      <name val="HG丸ｺﾞｼｯｸM-PRO"/>
      <family val="3"/>
      <charset val="128"/>
    </font>
    <font>
      <b/>
      <sz val="8"/>
      <name val="HG丸ｺﾞｼｯｸM-PRO"/>
      <family val="3"/>
      <charset val="128"/>
    </font>
    <font>
      <sz val="7"/>
      <name val="HG丸ｺﾞｼｯｸM-PRO"/>
      <family val="3"/>
      <charset val="128"/>
    </font>
    <font>
      <sz val="7"/>
      <name val="ＭＳ Ｐゴシック"/>
      <family val="3"/>
      <charset val="128"/>
    </font>
    <font>
      <sz val="8"/>
      <color rgb="FFFF0000"/>
      <name val="HG丸ｺﾞｼｯｸM-PRO"/>
      <family val="3"/>
      <charset val="128"/>
    </font>
    <font>
      <b/>
      <sz val="8"/>
      <color rgb="FFFF0000"/>
      <name val="HG丸ｺﾞｼｯｸM-PRO"/>
      <family val="3"/>
      <charset val="128"/>
    </font>
    <font>
      <sz val="9"/>
      <name val="HG丸ｺﾞｼｯｸM-PRO"/>
      <family val="3"/>
      <charset val="128"/>
    </font>
    <font>
      <sz val="6"/>
      <color theme="1"/>
      <name val="HG丸ｺﾞｼｯｸM-PRO"/>
      <family val="3"/>
      <charset val="128"/>
    </font>
    <font>
      <sz val="11"/>
      <color theme="1"/>
      <name val="HG丸ｺﾞｼｯｸM-PRO"/>
      <family val="3"/>
      <charset val="128"/>
    </font>
    <font>
      <sz val="10"/>
      <color theme="1"/>
      <name val="HG丸ｺﾞｼｯｸM-PRO"/>
      <family val="3"/>
      <charset val="128"/>
    </font>
    <font>
      <sz val="6"/>
      <name val="HG丸ｺﾞｼｯｸM-PRO"/>
      <family val="3"/>
      <charset val="128"/>
    </font>
    <font>
      <sz val="11"/>
      <name val="HG丸ｺﾞｼｯｸM-PRO"/>
      <family val="3"/>
      <charset val="128"/>
    </font>
    <font>
      <sz val="6"/>
      <name val="ＭＳ Ｐゴシック"/>
      <family val="3"/>
      <charset val="128"/>
      <scheme val="minor"/>
    </font>
    <font>
      <sz val="9"/>
      <color theme="1"/>
      <name val="ＭＳ Ｐゴシック"/>
      <family val="2"/>
      <scheme val="minor"/>
    </font>
    <font>
      <b/>
      <sz val="8"/>
      <color rgb="FFFF0000"/>
      <name val="ＭＳ Ｐゴシック"/>
      <family val="3"/>
      <charset val="128"/>
    </font>
    <font>
      <b/>
      <sz val="18"/>
      <color indexed="81"/>
      <name val="Meiryo UI"/>
      <family val="3"/>
      <charset val="128"/>
    </font>
    <font>
      <sz val="12"/>
      <color indexed="81"/>
      <name val="Meiryo UI"/>
      <family val="3"/>
      <charset val="128"/>
    </font>
    <font>
      <sz val="36"/>
      <name val="ＭＳ Ｐゴシック"/>
      <family val="3"/>
      <charset val="128"/>
    </font>
    <font>
      <u/>
      <sz val="12"/>
      <color theme="10"/>
      <name val="ＭＳ Ｐゴシック"/>
      <family val="3"/>
      <charset val="128"/>
    </font>
    <font>
      <u/>
      <sz val="11"/>
      <color theme="10"/>
      <name val="ＭＳ Ｐゴシック"/>
      <family val="3"/>
      <charset val="128"/>
      <scheme val="major"/>
    </font>
    <font>
      <b/>
      <sz val="11"/>
      <color rgb="FFFF0000"/>
      <name val="ＭＳ Ｐゴシック"/>
      <family val="3"/>
      <charset val="128"/>
      <scheme val="major"/>
    </font>
    <font>
      <sz val="12"/>
      <name val="ＭＳ Ｐゴシック"/>
      <family val="3"/>
      <charset val="128"/>
      <scheme val="major"/>
    </font>
    <font>
      <sz val="16"/>
      <name val="ＭＳ Ｐゴシック"/>
      <family val="3"/>
      <charset val="128"/>
      <scheme val="major"/>
    </font>
    <font>
      <sz val="8"/>
      <name val="ＭＳ Ｐゴシック"/>
      <family val="3"/>
      <charset val="128"/>
      <scheme val="major"/>
    </font>
    <font>
      <b/>
      <sz val="11"/>
      <name val="ＭＳ Ｐゴシック"/>
      <family val="3"/>
      <charset val="128"/>
      <scheme val="major"/>
    </font>
    <font>
      <b/>
      <sz val="12"/>
      <color rgb="FFFF0000"/>
      <name val="ＭＳ Ｐゴシック"/>
      <family val="3"/>
      <charset val="128"/>
      <scheme val="major"/>
    </font>
    <font>
      <sz val="10"/>
      <name val="ＭＳ Ｐゴシック"/>
      <family val="3"/>
      <charset val="128"/>
      <scheme val="major"/>
    </font>
    <font>
      <b/>
      <sz val="10"/>
      <name val="ＭＳ Ｐゴシック"/>
      <family val="3"/>
      <charset val="128"/>
      <scheme val="major"/>
    </font>
    <font>
      <u/>
      <sz val="11"/>
      <name val="ＭＳ Ｐゴシック"/>
      <family val="3"/>
      <charset val="128"/>
      <scheme val="major"/>
    </font>
    <font>
      <b/>
      <sz val="22"/>
      <color theme="1"/>
      <name val="メイリオ"/>
      <family val="3"/>
      <charset val="128"/>
    </font>
    <font>
      <sz val="22"/>
      <color theme="0"/>
      <name val="メイリオ"/>
      <family val="3"/>
      <charset val="128"/>
    </font>
    <font>
      <sz val="10"/>
      <color theme="1"/>
      <name val="メイリオ"/>
      <family val="3"/>
      <charset val="128"/>
    </font>
    <font>
      <sz val="12"/>
      <color theme="1"/>
      <name val="メイリオ"/>
      <family val="3"/>
      <charset val="128"/>
    </font>
    <font>
      <b/>
      <sz val="12"/>
      <color theme="1"/>
      <name val="メイリオ"/>
      <family val="3"/>
      <charset val="128"/>
    </font>
    <font>
      <sz val="10.5"/>
      <color theme="1"/>
      <name val="HG丸ｺﾞｼｯｸM-PRO"/>
      <family val="3"/>
      <charset val="128"/>
    </font>
    <font>
      <b/>
      <u/>
      <sz val="12"/>
      <color theme="1"/>
      <name val="メイリオ"/>
      <family val="3"/>
      <charset val="128"/>
    </font>
    <font>
      <sz val="11"/>
      <color theme="1"/>
      <name val="メイリオ"/>
      <family val="3"/>
      <charset val="128"/>
    </font>
    <font>
      <sz val="12"/>
      <color rgb="FFFF0000"/>
      <name val="メイリオ"/>
      <family val="3"/>
      <charset val="128"/>
    </font>
    <font>
      <sz val="12"/>
      <color rgb="FF99FF33"/>
      <name val="メイリオ"/>
      <family val="3"/>
      <charset val="128"/>
    </font>
    <font>
      <u/>
      <sz val="12"/>
      <color theme="1"/>
      <name val="メイリオ"/>
      <family val="3"/>
      <charset val="128"/>
    </font>
    <font>
      <sz val="8"/>
      <color theme="1"/>
      <name val="ＭＳ Ｐゴシック"/>
      <family val="3"/>
      <charset val="128"/>
      <scheme val="minor"/>
    </font>
    <font>
      <sz val="9"/>
      <name val="メイリオ"/>
      <family val="3"/>
      <charset val="128"/>
    </font>
    <font>
      <sz val="9"/>
      <color theme="1"/>
      <name val="メイリオ"/>
      <family val="3"/>
      <charset val="128"/>
    </font>
    <font>
      <sz val="10"/>
      <name val="Meiryo UI"/>
      <family val="3"/>
      <charset val="128"/>
    </font>
    <font>
      <b/>
      <sz val="18"/>
      <name val="ＭＳ Ｐゴシック"/>
      <family val="3"/>
      <charset val="128"/>
    </font>
    <font>
      <sz val="48"/>
      <name val="ＭＳ Ｐゴシック"/>
      <family val="3"/>
      <charset val="128"/>
    </font>
    <font>
      <b/>
      <sz val="24"/>
      <name val="ＭＳ Ｐゴシック"/>
      <family val="3"/>
      <charset val="128"/>
    </font>
    <font>
      <b/>
      <sz val="48"/>
      <color indexed="81"/>
      <name val="Meiryo UI"/>
      <family val="3"/>
      <charset val="128"/>
    </font>
    <font>
      <b/>
      <sz val="20"/>
      <color theme="1"/>
      <name val="ＭＳ Ｐゴシック"/>
      <family val="3"/>
      <charset val="128"/>
      <scheme val="minor"/>
    </font>
    <font>
      <b/>
      <sz val="16"/>
      <color theme="1"/>
      <name val="ＭＳ Ｐゴシック"/>
      <family val="3"/>
      <charset val="128"/>
      <scheme val="minor"/>
    </font>
    <font>
      <b/>
      <sz val="9"/>
      <color theme="1"/>
      <name val="ＭＳ Ｐゴシック"/>
      <family val="3"/>
      <charset val="128"/>
      <scheme val="minor"/>
    </font>
    <font>
      <b/>
      <sz val="12"/>
      <color theme="1"/>
      <name val="ＭＳ Ｐゴシック"/>
      <family val="3"/>
      <charset val="128"/>
      <scheme val="minor"/>
    </font>
    <font>
      <sz val="11"/>
      <name val="Meiryo UI"/>
      <family val="3"/>
      <charset val="128"/>
    </font>
    <font>
      <u/>
      <sz val="11"/>
      <color theme="10"/>
      <name val="Meiryo UI"/>
      <family val="3"/>
      <charset val="128"/>
    </font>
    <font>
      <b/>
      <sz val="11"/>
      <name val="Meiryo UI"/>
      <family val="3"/>
      <charset val="128"/>
    </font>
    <font>
      <b/>
      <sz val="11"/>
      <color rgb="FFFF0000"/>
      <name val="Meiryo UI"/>
      <family val="3"/>
      <charset val="128"/>
    </font>
    <font>
      <sz val="11"/>
      <color theme="1"/>
      <name val="ＭＳ Ｐゴシック"/>
      <family val="1"/>
      <charset val="128"/>
      <scheme val="minor"/>
    </font>
    <font>
      <b/>
      <sz val="10"/>
      <color theme="1"/>
      <name val="Meiryo UI"/>
      <family val="3"/>
      <charset val="128"/>
    </font>
    <font>
      <sz val="6"/>
      <name val="ＭＳ Ｐゴシック"/>
      <family val="1"/>
      <charset val="128"/>
      <scheme val="minor"/>
    </font>
    <font>
      <sz val="10"/>
      <color theme="1"/>
      <name val="Meiryo UI"/>
      <family val="3"/>
      <charset val="128"/>
    </font>
    <font>
      <b/>
      <sz val="11"/>
      <color theme="1"/>
      <name val="Meiryo UI"/>
      <family val="3"/>
      <charset val="128"/>
    </font>
    <font>
      <sz val="11"/>
      <color theme="1"/>
      <name val="Meiryo UI"/>
      <family val="3"/>
      <charset val="128"/>
    </font>
    <font>
      <u/>
      <sz val="11"/>
      <color theme="1"/>
      <name val="Meiryo UI"/>
      <family val="3"/>
      <charset val="128"/>
    </font>
    <font>
      <b/>
      <u/>
      <sz val="11"/>
      <color theme="10"/>
      <name val="ＭＳ Ｐゴシック"/>
      <family val="3"/>
      <charset val="128"/>
    </font>
    <font>
      <b/>
      <sz val="18"/>
      <color rgb="FFFF0000"/>
      <name val="メイリオ"/>
      <family val="3"/>
      <charset val="128"/>
    </font>
    <font>
      <sz val="9"/>
      <name val="ＭＳ Ｐゴシック"/>
      <family val="3"/>
      <charset val="128"/>
      <scheme val="major"/>
    </font>
    <font>
      <b/>
      <sz val="15"/>
      <color theme="3"/>
      <name val="ＭＳ Ｐゴシック"/>
      <family val="2"/>
      <charset val="128"/>
    </font>
    <font>
      <b/>
      <sz val="11"/>
      <color theme="0"/>
      <name val="ＭＳ Ｐゴシック"/>
      <family val="3"/>
      <charset val="128"/>
    </font>
    <font>
      <sz val="6"/>
      <name val="ＭＳ Ｐゴシック"/>
      <family val="2"/>
      <charset val="128"/>
    </font>
    <font>
      <u/>
      <sz val="28"/>
      <color theme="10"/>
      <name val="ＭＳ Ｐゴシック"/>
      <family val="3"/>
      <charset val="128"/>
    </font>
    <font>
      <b/>
      <sz val="20"/>
      <color indexed="81"/>
      <name val="Meiryo UI"/>
      <family val="3"/>
      <charset val="128"/>
    </font>
    <font>
      <sz val="20"/>
      <color indexed="81"/>
      <name val="Meiryo UI"/>
      <family val="3"/>
      <charset val="128"/>
    </font>
    <font>
      <sz val="11"/>
      <color rgb="FFFF0000"/>
      <name val="ＭＳ Ｐゴシック"/>
      <family val="3"/>
      <charset val="128"/>
      <scheme val="major"/>
    </font>
    <font>
      <sz val="18"/>
      <color theme="3"/>
      <name val="ＭＳ Ｐゴシック"/>
      <family val="2"/>
      <charset val="128"/>
      <scheme val="major"/>
    </font>
    <font>
      <sz val="11"/>
      <color theme="1"/>
      <name val="ＭＳ Ｐゴシック"/>
      <family val="3"/>
      <charset val="128"/>
    </font>
    <font>
      <b/>
      <sz val="15"/>
      <color theme="3"/>
      <name val="ＭＳ Ｐゴシック"/>
      <family val="2"/>
      <charset val="128"/>
      <scheme val="minor"/>
    </font>
    <font>
      <u/>
      <sz val="16"/>
      <color theme="10"/>
      <name val="ＭＳ Ｐゴシック"/>
      <family val="3"/>
      <charset val="128"/>
    </font>
    <font>
      <sz val="11"/>
      <color theme="0" tint="-0.499984740745262"/>
      <name val="ＭＳ Ｐゴシック"/>
      <family val="3"/>
      <charset val="128"/>
    </font>
    <font>
      <sz val="11"/>
      <color theme="0" tint="-0.499984740745262"/>
      <name val="ＭＳ Ｐゴシック"/>
      <family val="3"/>
      <charset val="128"/>
      <scheme val="major"/>
    </font>
    <font>
      <b/>
      <sz val="10"/>
      <name val="HG丸ｺﾞｼｯｸM-PRO"/>
      <family val="3"/>
      <charset val="128"/>
    </font>
    <font>
      <b/>
      <sz val="14"/>
      <color rgb="FFFF0000"/>
      <name val="HG丸ｺﾞｼｯｸM-PRO"/>
      <family val="3"/>
      <charset val="128"/>
    </font>
  </fonts>
  <fills count="3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B5FBFD"/>
        <bgColor indexed="64"/>
      </patternFill>
    </fill>
    <fill>
      <patternFill patternType="solid">
        <fgColor rgb="FFFF0000"/>
        <bgColor indexed="64"/>
      </patternFill>
    </fill>
    <fill>
      <patternFill patternType="solid">
        <fgColor rgb="FF00B0F0"/>
        <bgColor indexed="64"/>
      </patternFill>
    </fill>
    <fill>
      <patternFill patternType="solid">
        <fgColor rgb="FFFFFF66"/>
        <bgColor indexed="64"/>
      </patternFill>
    </fill>
    <fill>
      <patternFill patternType="solid">
        <fgColor rgb="FF99FF33"/>
        <bgColor indexed="64"/>
      </patternFill>
    </fill>
    <fill>
      <patternFill patternType="solid">
        <fgColor rgb="FFFFC000"/>
        <bgColor indexed="64"/>
      </patternFill>
    </fill>
    <fill>
      <patternFill patternType="solid">
        <fgColor theme="0" tint="-0.14996795556505021"/>
        <bgColor indexed="64"/>
      </patternFill>
    </fill>
    <fill>
      <patternFill patternType="solid">
        <fgColor rgb="FF9966FF"/>
        <bgColor indexed="64"/>
      </patternFill>
    </fill>
    <fill>
      <patternFill patternType="solid">
        <fgColor rgb="FF9999FF"/>
        <bgColor indexed="64"/>
      </patternFill>
    </fill>
    <fill>
      <patternFill patternType="solid">
        <fgColor rgb="FFFFCCCC"/>
        <bgColor indexed="64"/>
      </patternFill>
    </fill>
    <fill>
      <patternFill patternType="solid">
        <fgColor theme="2" tint="-0.499984740745262"/>
        <bgColor indexed="64"/>
      </patternFill>
    </fill>
    <fill>
      <patternFill patternType="solid">
        <fgColor theme="7" tint="0.39997558519241921"/>
        <bgColor indexed="64"/>
      </patternFill>
    </fill>
    <fill>
      <patternFill patternType="solid">
        <fgColor rgb="FFD9D9D9"/>
        <bgColor indexed="64"/>
      </patternFill>
    </fill>
    <fill>
      <patternFill patternType="solid">
        <fgColor theme="1"/>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9"/>
        <bgColor theme="9"/>
      </patternFill>
    </fill>
    <fill>
      <patternFill patternType="solid">
        <fgColor theme="4"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6" tint="0.39997558519241921"/>
        <bgColor indexed="64"/>
      </patternFill>
    </fill>
  </fills>
  <borders count="196">
    <border>
      <left/>
      <right/>
      <top/>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medium">
        <color indexed="64"/>
      </top>
      <bottom/>
      <diagonal/>
    </border>
    <border>
      <left/>
      <right/>
      <top style="hair">
        <color auto="1"/>
      </top>
      <bottom style="hair">
        <color auto="1"/>
      </bottom>
      <diagonal/>
    </border>
    <border>
      <left/>
      <right/>
      <top/>
      <bottom style="hair">
        <color auto="1"/>
      </bottom>
      <diagonal/>
    </border>
    <border>
      <left/>
      <right/>
      <top style="thin">
        <color indexed="64"/>
      </top>
      <bottom style="hair">
        <color auto="1"/>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style="hair">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hair">
        <color auto="1"/>
      </top>
      <bottom style="thin">
        <color indexed="64"/>
      </bottom>
      <diagonal/>
    </border>
    <border>
      <left/>
      <right style="medium">
        <color indexed="64"/>
      </right>
      <top/>
      <bottom style="hair">
        <color auto="1"/>
      </bottom>
      <diagonal/>
    </border>
    <border>
      <left/>
      <right style="medium">
        <color indexed="64"/>
      </right>
      <top style="hair">
        <color auto="1"/>
      </top>
      <bottom style="hair">
        <color auto="1"/>
      </bottom>
      <diagonal/>
    </border>
    <border>
      <left/>
      <right style="medium">
        <color indexed="64"/>
      </right>
      <top style="thin">
        <color indexed="64"/>
      </top>
      <bottom style="hair">
        <color indexed="64"/>
      </bottom>
      <diagonal/>
    </border>
    <border>
      <left/>
      <right style="thin">
        <color indexed="64"/>
      </right>
      <top style="thin">
        <color indexed="64"/>
      </top>
      <bottom style="dotted">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rgb="FFFF0000"/>
      </top>
      <bottom/>
      <diagonal/>
    </border>
    <border>
      <left style="medium">
        <color indexed="64"/>
      </left>
      <right/>
      <top style="thin">
        <color indexed="64"/>
      </top>
      <bottom style="thin">
        <color indexed="64"/>
      </bottom>
      <diagonal/>
    </border>
    <border>
      <left/>
      <right/>
      <top style="hair">
        <color auto="1"/>
      </top>
      <bottom/>
      <diagonal/>
    </border>
    <border>
      <left/>
      <right style="medium">
        <color indexed="64"/>
      </right>
      <top style="hair">
        <color indexed="64"/>
      </top>
      <bottom/>
      <diagonal/>
    </border>
    <border>
      <left/>
      <right style="thin">
        <color indexed="64"/>
      </right>
      <top style="hair">
        <color indexed="64"/>
      </top>
      <bottom style="hair">
        <color indexed="64"/>
      </bottom>
      <diagonal/>
    </border>
    <border>
      <left style="medium">
        <color indexed="64"/>
      </left>
      <right/>
      <top style="thin">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top style="thin">
        <color indexed="64"/>
      </top>
      <bottom style="double">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double">
        <color indexed="64"/>
      </top>
      <bottom/>
      <diagonal/>
    </border>
    <border>
      <left/>
      <right/>
      <top style="double">
        <color indexed="64"/>
      </top>
      <bottom/>
      <diagonal/>
    </border>
    <border>
      <left style="thin">
        <color theme="0" tint="-4.9989318521683403E-2"/>
      </left>
      <right style="thin">
        <color theme="0" tint="-4.9989318521683403E-2"/>
      </right>
      <top style="thin">
        <color indexed="64"/>
      </top>
      <bottom style="thin">
        <color indexed="64"/>
      </bottom>
      <diagonal/>
    </border>
    <border>
      <left style="hair">
        <color theme="0" tint="-4.9989318521683403E-2"/>
      </left>
      <right style="hair">
        <color theme="0" tint="-4.9989318521683403E-2"/>
      </right>
      <top style="hair">
        <color indexed="64"/>
      </top>
      <bottom style="medium">
        <color indexed="64"/>
      </bottom>
      <diagonal/>
    </border>
    <border>
      <left style="thin">
        <color theme="0" tint="-4.9989318521683403E-2"/>
      </left>
      <right style="thin">
        <color theme="0" tint="-4.9989318521683403E-2"/>
      </right>
      <top style="hair">
        <color indexed="64"/>
      </top>
      <bottom style="medium">
        <color indexed="64"/>
      </bottom>
      <diagonal/>
    </border>
    <border>
      <left style="thin">
        <color theme="0" tint="-4.9989318521683403E-2"/>
      </left>
      <right style="thin">
        <color theme="0" tint="-4.9989318521683403E-2"/>
      </right>
      <top style="hair">
        <color auto="1"/>
      </top>
      <bottom style="hair">
        <color auto="1"/>
      </bottom>
      <diagonal/>
    </border>
    <border>
      <left style="thin">
        <color theme="0" tint="-4.9989318521683403E-2"/>
      </left>
      <right style="thin">
        <color theme="0" tint="-4.9989318521683403E-2"/>
      </right>
      <top style="thin">
        <color indexed="64"/>
      </top>
      <bottom style="hair">
        <color auto="1"/>
      </bottom>
      <diagonal/>
    </border>
    <border>
      <left style="thin">
        <color theme="0" tint="-4.9989318521683403E-2"/>
      </left>
      <right style="thin">
        <color theme="0" tint="-4.9989318521683403E-2"/>
      </right>
      <top style="hair">
        <color indexed="64"/>
      </top>
      <bottom style="thin">
        <color indexed="64"/>
      </bottom>
      <diagonal/>
    </border>
    <border>
      <left style="hair">
        <color theme="0" tint="-4.9989318521683403E-2"/>
      </left>
      <right style="hair">
        <color theme="0" tint="-4.9989318521683403E-2"/>
      </right>
      <top style="hair">
        <color indexed="64"/>
      </top>
      <bottom style="thin">
        <color indexed="64"/>
      </bottom>
      <diagonal/>
    </border>
    <border>
      <left style="thin">
        <color theme="0" tint="-4.9989318521683403E-2"/>
      </left>
      <right style="thin">
        <color theme="0" tint="-4.9989318521683403E-2"/>
      </right>
      <top/>
      <bottom/>
      <diagonal/>
    </border>
    <border>
      <left style="double">
        <color theme="0" tint="-4.9989318521683403E-2"/>
      </left>
      <right style="double">
        <color theme="0" tint="-4.9989318521683403E-2"/>
      </right>
      <top style="double">
        <color indexed="64"/>
      </top>
      <bottom/>
      <diagonal/>
    </border>
    <border>
      <left style="double">
        <color theme="0" tint="-4.9989318521683403E-2"/>
      </left>
      <right style="thin">
        <color indexed="64"/>
      </right>
      <top style="double">
        <color indexed="64"/>
      </top>
      <bottom/>
      <diagonal/>
    </border>
    <border>
      <left style="double">
        <color theme="0" tint="-4.9989318521683403E-2"/>
      </left>
      <right style="double">
        <color theme="0" tint="-4.9989318521683403E-2"/>
      </right>
      <top/>
      <bottom/>
      <diagonal/>
    </border>
    <border>
      <left style="double">
        <color theme="0" tint="-4.9989318521683403E-2"/>
      </left>
      <right style="thin">
        <color indexed="64"/>
      </right>
      <top/>
      <bottom/>
      <diagonal/>
    </border>
    <border>
      <left style="double">
        <color theme="0" tint="-4.9989318521683403E-2"/>
      </left>
      <right style="double">
        <color theme="0" tint="-4.9989318521683403E-2"/>
      </right>
      <top/>
      <bottom style="double">
        <color indexed="64"/>
      </bottom>
      <diagonal/>
    </border>
    <border>
      <left style="double">
        <color theme="0" tint="-4.9989318521683403E-2"/>
      </left>
      <right style="thin">
        <color indexed="64"/>
      </right>
      <top/>
      <bottom style="double">
        <color indexed="64"/>
      </bottom>
      <diagonal/>
    </border>
    <border>
      <left style="double">
        <color theme="0" tint="-4.9989318521683403E-2"/>
      </left>
      <right style="double">
        <color theme="0" tint="-4.9989318521683403E-2"/>
      </right>
      <top/>
      <bottom style="thin">
        <color indexed="64"/>
      </bottom>
      <diagonal/>
    </border>
    <border>
      <left style="double">
        <color theme="0" tint="-4.9989318521683403E-2"/>
      </left>
      <right style="thin">
        <color indexed="64"/>
      </right>
      <top/>
      <bottom style="thin">
        <color indexed="64"/>
      </bottom>
      <diagonal/>
    </border>
    <border>
      <left style="double">
        <color theme="0" tint="-4.9989318521683403E-2"/>
      </left>
      <right style="double">
        <color theme="0" tint="-4.9989318521683403E-2"/>
      </right>
      <top style="thin">
        <color indexed="64"/>
      </top>
      <bottom/>
      <diagonal/>
    </border>
    <border>
      <left style="double">
        <color theme="0" tint="-4.9989318521683403E-2"/>
      </left>
      <right style="thin">
        <color indexed="64"/>
      </right>
      <top style="thin">
        <color indexed="64"/>
      </top>
      <bottom/>
      <diagonal/>
    </border>
    <border>
      <left style="thin">
        <color theme="0" tint="-4.9989318521683403E-2"/>
      </left>
      <right style="thin">
        <color theme="0" tint="-4.9989318521683403E-2"/>
      </right>
      <top style="thin">
        <color indexed="64"/>
      </top>
      <bottom/>
      <diagonal/>
    </border>
    <border>
      <left style="thin">
        <color theme="0" tint="-4.9989318521683403E-2"/>
      </left>
      <right style="thin">
        <color indexed="64"/>
      </right>
      <top style="thin">
        <color indexed="64"/>
      </top>
      <bottom/>
      <diagonal/>
    </border>
    <border>
      <left style="thin">
        <color theme="0" tint="-4.9989318521683403E-2"/>
      </left>
      <right style="thin">
        <color indexed="64"/>
      </right>
      <top/>
      <bottom/>
      <diagonal/>
    </border>
    <border>
      <left style="thin">
        <color theme="0" tint="-4.9989318521683403E-2"/>
      </left>
      <right style="thin">
        <color theme="0" tint="-4.9989318521683403E-2"/>
      </right>
      <top/>
      <bottom style="thin">
        <color indexed="64"/>
      </bottom>
      <diagonal/>
    </border>
    <border>
      <left style="thin">
        <color theme="0" tint="-4.9989318521683403E-2"/>
      </left>
      <right style="thin">
        <color indexed="64"/>
      </right>
      <top/>
      <bottom style="thin">
        <color indexed="64"/>
      </bottom>
      <diagonal/>
    </border>
    <border>
      <left/>
      <right style="thin">
        <color theme="0" tint="-4.9989318521683403E-2"/>
      </right>
      <top style="thin">
        <color indexed="64"/>
      </top>
      <bottom style="thin">
        <color indexed="64"/>
      </bottom>
      <diagonal/>
    </border>
    <border>
      <left style="thin">
        <color theme="0" tint="-4.9989318521683403E-2"/>
      </left>
      <right/>
      <top style="thin">
        <color indexed="64"/>
      </top>
      <bottom style="hair">
        <color auto="1"/>
      </bottom>
      <diagonal/>
    </border>
    <border>
      <left/>
      <right style="thin">
        <color theme="0" tint="-4.9989318521683403E-2"/>
      </right>
      <top style="thin">
        <color indexed="64"/>
      </top>
      <bottom style="hair">
        <color auto="1"/>
      </bottom>
      <diagonal/>
    </border>
    <border>
      <left style="thin">
        <color theme="0" tint="-4.9989318521683403E-2"/>
      </left>
      <right/>
      <top style="hair">
        <color auto="1"/>
      </top>
      <bottom style="hair">
        <color auto="1"/>
      </bottom>
      <diagonal/>
    </border>
    <border>
      <left/>
      <right style="thin">
        <color theme="0" tint="-4.9989318521683403E-2"/>
      </right>
      <top style="hair">
        <color auto="1"/>
      </top>
      <bottom style="hair">
        <color auto="1"/>
      </bottom>
      <diagonal/>
    </border>
    <border>
      <left style="thin">
        <color theme="0" tint="-4.9989318521683403E-2"/>
      </left>
      <right/>
      <top style="hair">
        <color indexed="64"/>
      </top>
      <bottom style="medium">
        <color indexed="64"/>
      </bottom>
      <diagonal/>
    </border>
    <border>
      <left/>
      <right style="thin">
        <color theme="0" tint="-4.9989318521683403E-2"/>
      </right>
      <top style="hair">
        <color indexed="64"/>
      </top>
      <bottom style="medium">
        <color indexed="64"/>
      </bottom>
      <diagonal/>
    </border>
    <border>
      <left/>
      <right style="hair">
        <color theme="0" tint="-4.9989318521683403E-2"/>
      </right>
      <top style="hair">
        <color indexed="64"/>
      </top>
      <bottom style="thin">
        <color indexed="64"/>
      </bottom>
      <diagonal/>
    </border>
    <border>
      <left style="thin">
        <color theme="0" tint="-4.9989318521683403E-2"/>
      </left>
      <right/>
      <top style="thin">
        <color indexed="64"/>
      </top>
      <bottom style="thin">
        <color indexed="64"/>
      </bottom>
      <diagonal/>
    </border>
    <border>
      <left style="thin">
        <color theme="0" tint="-4.9989318521683403E-2"/>
      </left>
      <right style="thin">
        <color theme="0" tint="-4.9989318521683403E-2"/>
      </right>
      <top/>
      <bottom style="hair">
        <color auto="1"/>
      </bottom>
      <diagonal/>
    </border>
    <border>
      <left/>
      <right style="thin">
        <color theme="0" tint="-4.9989318521683403E-2"/>
      </right>
      <top/>
      <bottom style="hair">
        <color auto="1"/>
      </bottom>
      <diagonal/>
    </border>
    <border>
      <left style="thin">
        <color theme="0" tint="-4.9989318521683403E-2"/>
      </left>
      <right/>
      <top/>
      <bottom/>
      <diagonal/>
    </border>
    <border>
      <left style="thin">
        <color theme="0" tint="-4.9989318521683403E-2"/>
      </left>
      <right/>
      <top/>
      <bottom style="thin">
        <color indexed="64"/>
      </bottom>
      <diagonal/>
    </border>
    <border>
      <left/>
      <right style="thin">
        <color theme="0" tint="-4.9989318521683403E-2"/>
      </right>
      <top/>
      <bottom/>
      <diagonal/>
    </border>
    <border diagonalDown="1">
      <left style="thin">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
      <left style="medium">
        <color indexed="64"/>
      </left>
      <right/>
      <top style="thin">
        <color indexed="64"/>
      </top>
      <bottom style="medium">
        <color indexed="64"/>
      </bottom>
      <diagonal/>
    </border>
    <border>
      <left style="thin">
        <color theme="0" tint="-4.9989318521683403E-2"/>
      </left>
      <right/>
      <top style="hair">
        <color indexed="64"/>
      </top>
      <bottom style="thin">
        <color indexed="64"/>
      </bottom>
      <diagonal/>
    </border>
    <border>
      <left style="thin">
        <color theme="0" tint="-4.9989318521683403E-2"/>
      </left>
      <right style="thin">
        <color theme="0" tint="-4.9989318521683403E-2"/>
      </right>
      <top style="hair">
        <color indexed="64"/>
      </top>
      <bottom/>
      <diagonal/>
    </border>
    <border>
      <left style="medium">
        <color indexed="64"/>
      </left>
      <right/>
      <top/>
      <bottom style="thin">
        <color indexed="64"/>
      </bottom>
      <diagonal/>
    </border>
    <border>
      <left style="thin">
        <color theme="0" tint="-4.9989318521683403E-2"/>
      </left>
      <right/>
      <top style="hair">
        <color indexed="64"/>
      </top>
      <bottom/>
      <diagonal/>
    </border>
    <border>
      <left style="thin">
        <color theme="0" tint="-4.9989318521683403E-2"/>
      </left>
      <right/>
      <top style="thin">
        <color indexed="64"/>
      </top>
      <bottom/>
      <diagonal/>
    </border>
    <border>
      <left style="thin">
        <color theme="0" tint="-4.9989318521683403E-2"/>
      </left>
      <right/>
      <top/>
      <bottom style="hair">
        <color auto="1"/>
      </bottom>
      <diagonal/>
    </border>
    <border>
      <left/>
      <right style="hair">
        <color theme="0" tint="-4.9989318521683403E-2"/>
      </right>
      <top style="hair">
        <color indexed="64"/>
      </top>
      <bottom style="medium">
        <color indexed="64"/>
      </bottom>
      <diagonal/>
    </border>
    <border>
      <left style="medium">
        <color indexed="64"/>
      </left>
      <right style="thin">
        <color indexed="64"/>
      </right>
      <top style="medium">
        <color indexed="64"/>
      </top>
      <bottom/>
      <diagonal/>
    </border>
    <border>
      <left style="hair">
        <color theme="0" tint="-4.9989318521683403E-2"/>
      </left>
      <right/>
      <top style="hair">
        <color indexed="64"/>
      </top>
      <bottom style="medium">
        <color indexed="64"/>
      </bottom>
      <diagonal/>
    </border>
    <border>
      <left style="hair">
        <color theme="0" tint="-4.9989318521683403E-2"/>
      </left>
      <right/>
      <top style="hair">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hair">
        <color theme="0" tint="-4.9989318521683403E-2"/>
      </right>
      <top style="thin">
        <color indexed="64"/>
      </top>
      <bottom style="thin">
        <color indexed="64"/>
      </bottom>
      <diagonal/>
    </border>
    <border>
      <left style="hair">
        <color theme="0" tint="-4.9989318521683403E-2"/>
      </left>
      <right style="hair">
        <color theme="0" tint="-4.9989318521683403E-2"/>
      </right>
      <top style="thin">
        <color indexed="64"/>
      </top>
      <bottom style="thin">
        <color indexed="64"/>
      </bottom>
      <diagonal/>
    </border>
    <border>
      <left style="hair">
        <color theme="0" tint="-4.9989318521683403E-2"/>
      </left>
      <right style="thin">
        <color theme="0" tint="-4.9989318521683403E-2"/>
      </right>
      <top style="thin">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hair">
        <color theme="0" tint="-4.9989318521683403E-2"/>
      </right>
      <top/>
      <bottom style="medium">
        <color indexed="64"/>
      </bottom>
      <diagonal/>
    </border>
    <border>
      <left style="hair">
        <color theme="0" tint="-4.9989318521683403E-2"/>
      </left>
      <right style="hair">
        <color theme="0" tint="-4.9989318521683403E-2"/>
      </right>
      <top/>
      <bottom style="medium">
        <color indexed="64"/>
      </bottom>
      <diagonal/>
    </border>
    <border>
      <left style="hair">
        <color theme="0" tint="-4.9989318521683403E-2"/>
      </left>
      <right style="thin">
        <color theme="0" tint="-4.9989318521683403E-2"/>
      </right>
      <top/>
      <bottom style="medium">
        <color indexed="64"/>
      </bottom>
      <diagonal/>
    </border>
    <border>
      <left style="thin">
        <color theme="0" tint="-4.9989318521683403E-2"/>
      </left>
      <right style="thin">
        <color theme="0" tint="-4.9989318521683403E-2"/>
      </right>
      <top/>
      <bottom style="medium">
        <color indexed="64"/>
      </bottom>
      <diagonal/>
    </border>
    <border>
      <left style="thin">
        <color theme="0" tint="-4.9989318521683403E-2"/>
      </left>
      <right/>
      <top/>
      <bottom style="medium">
        <color indexed="64"/>
      </bottom>
      <diagonal/>
    </border>
    <border>
      <left/>
      <right style="thin">
        <color theme="0" tint="-4.9989318521683403E-2"/>
      </right>
      <top style="thin">
        <color indexed="64"/>
      </top>
      <bottom/>
      <diagonal/>
    </border>
    <border>
      <left/>
      <right style="thin">
        <color theme="0" tint="-4.9989318521683403E-2"/>
      </right>
      <top/>
      <bottom style="thin">
        <color indexed="64"/>
      </bottom>
      <diagonal/>
    </border>
    <border>
      <left/>
      <right style="thin">
        <color theme="0" tint="-4.9989318521683403E-2"/>
      </right>
      <top style="hair">
        <color auto="1"/>
      </top>
      <bottom style="thin">
        <color indexed="64"/>
      </bottom>
      <diagonal/>
    </border>
    <border>
      <left/>
      <right style="hair">
        <color theme="0" tint="-4.9989318521683403E-2"/>
      </right>
      <top style="hair">
        <color auto="1"/>
      </top>
      <bottom/>
      <diagonal/>
    </border>
    <border>
      <left style="hair">
        <color theme="0" tint="-4.9989318521683403E-2"/>
      </left>
      <right style="hair">
        <color theme="0" tint="-4.9989318521683403E-2"/>
      </right>
      <top style="hair">
        <color auto="1"/>
      </top>
      <bottom/>
      <diagonal/>
    </border>
    <border>
      <left style="hair">
        <color theme="0" tint="-4.9989318521683403E-2"/>
      </left>
      <right/>
      <top style="hair">
        <color auto="1"/>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top/>
      <bottom style="thin">
        <color indexed="64"/>
      </bottom>
      <diagonal style="thin">
        <color indexed="64"/>
      </diagonal>
    </border>
    <border>
      <left style="thin">
        <color indexed="64"/>
      </left>
      <right/>
      <top style="hair">
        <color indexed="64"/>
      </top>
      <bottom/>
      <diagonal/>
    </border>
    <border>
      <left/>
      <right style="hair">
        <color theme="0" tint="-4.9989318521683403E-2"/>
      </right>
      <top style="hair">
        <color auto="1"/>
      </top>
      <bottom style="hair">
        <color auto="1"/>
      </bottom>
      <diagonal/>
    </border>
    <border>
      <left style="hair">
        <color theme="0" tint="-4.9989318521683403E-2"/>
      </left>
      <right/>
      <top style="hair">
        <color auto="1"/>
      </top>
      <bottom style="hair">
        <color auto="1"/>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right style="thin">
        <color indexed="64"/>
      </right>
      <top style="hair">
        <color auto="1"/>
      </top>
      <bottom/>
      <diagonal/>
    </border>
    <border>
      <left style="thin">
        <color theme="9" tint="0.39997558519241921"/>
      </left>
      <right style="thin">
        <color theme="9" tint="0.39997558519241921"/>
      </right>
      <top style="thin">
        <color theme="9" tint="0.39997558519241921"/>
      </top>
      <bottom style="thin">
        <color theme="9" tint="0.39997558519241921"/>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s>
  <cellStyleXfs count="9">
    <xf numFmtId="0" fontId="0" fillId="0" borderId="0">
      <alignment vertical="center"/>
    </xf>
    <xf numFmtId="0" fontId="11" fillId="0" borderId="0" applyNumberFormat="0" applyFill="0" applyBorder="0" applyAlignment="0" applyProtection="0">
      <alignment vertical="center"/>
    </xf>
    <xf numFmtId="0" fontId="10" fillId="0" borderId="0">
      <alignment vertical="center"/>
    </xf>
    <xf numFmtId="0" fontId="2" fillId="0" borderId="0"/>
    <xf numFmtId="0" fontId="2" fillId="0" borderId="0"/>
    <xf numFmtId="0" fontId="2" fillId="0" borderId="0">
      <alignment vertical="center"/>
    </xf>
    <xf numFmtId="0" fontId="2" fillId="0" borderId="0">
      <alignment vertical="center"/>
    </xf>
    <xf numFmtId="0" fontId="55" fillId="0" borderId="0"/>
    <xf numFmtId="0" fontId="122" fillId="0" borderId="0">
      <alignment vertical="center"/>
    </xf>
  </cellStyleXfs>
  <cellXfs count="3255">
    <xf numFmtId="0" fontId="0" fillId="0" borderId="0" xfId="0">
      <alignment vertical="center"/>
    </xf>
    <xf numFmtId="0" fontId="0" fillId="0" borderId="0" xfId="0" applyBorder="1">
      <alignment vertical="center"/>
    </xf>
    <xf numFmtId="0" fontId="0" fillId="0" borderId="4" xfId="0" applyBorder="1">
      <alignment vertical="center"/>
    </xf>
    <xf numFmtId="0" fontId="0" fillId="0" borderId="0" xfId="0">
      <alignment vertical="center"/>
    </xf>
    <xf numFmtId="0" fontId="0" fillId="0" borderId="0" xfId="0" applyFont="1" applyFill="1">
      <alignment vertical="center"/>
    </xf>
    <xf numFmtId="0" fontId="13" fillId="0" borderId="0" xfId="0" applyFont="1" applyFill="1">
      <alignment vertical="center"/>
    </xf>
    <xf numFmtId="0" fontId="0" fillId="0" borderId="0" xfId="0" applyFont="1">
      <alignment vertical="center"/>
    </xf>
    <xf numFmtId="0" fontId="0" fillId="0" borderId="0" xfId="0" applyFont="1" applyFill="1" applyProtection="1">
      <alignment vertical="center"/>
      <protection locked="0"/>
    </xf>
    <xf numFmtId="0" fontId="4" fillId="0" borderId="5"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0" fontId="13" fillId="0" borderId="0" xfId="0" applyFont="1">
      <alignment vertical="center"/>
    </xf>
    <xf numFmtId="0" fontId="0" fillId="3" borderId="0" xfId="0" applyFill="1">
      <alignment vertical="center"/>
    </xf>
    <xf numFmtId="0" fontId="0" fillId="0" borderId="0" xfId="0" applyFont="1" applyFill="1" applyBorder="1" applyAlignment="1" applyProtection="1">
      <alignment vertical="center" wrapText="1"/>
    </xf>
    <xf numFmtId="0" fontId="13" fillId="0" borderId="0" xfId="0" applyFont="1" applyFill="1" applyBorder="1" applyAlignment="1" applyProtection="1">
      <alignment horizontal="center" vertical="center" wrapText="1"/>
    </xf>
    <xf numFmtId="0" fontId="13" fillId="0" borderId="0" xfId="0" applyFont="1" applyFill="1" applyBorder="1" applyAlignment="1" applyProtection="1">
      <alignment vertical="center" wrapText="1"/>
    </xf>
    <xf numFmtId="0" fontId="0" fillId="0" borderId="74" xfId="0" applyFont="1" applyFill="1" applyBorder="1">
      <alignment vertical="center"/>
    </xf>
    <xf numFmtId="0" fontId="0" fillId="0" borderId="79" xfId="0" applyFont="1" applyFill="1" applyBorder="1">
      <alignment vertical="center"/>
    </xf>
    <xf numFmtId="0" fontId="6" fillId="0" borderId="0" xfId="0" applyFont="1" applyProtection="1">
      <alignment vertical="center"/>
    </xf>
    <xf numFmtId="0" fontId="0" fillId="0" borderId="0" xfId="0" applyFill="1" applyBorder="1" applyProtection="1">
      <alignment vertical="center"/>
    </xf>
    <xf numFmtId="0" fontId="2" fillId="0" borderId="0" xfId="3" applyFill="1" applyProtection="1"/>
    <xf numFmtId="0" fontId="2" fillId="0" borderId="0" xfId="3" applyProtection="1"/>
    <xf numFmtId="0" fontId="0" fillId="0" borderId="0" xfId="0" applyFont="1" applyProtection="1">
      <alignment vertical="center"/>
      <protection locked="0"/>
    </xf>
    <xf numFmtId="0" fontId="0" fillId="0" borderId="0" xfId="0" applyFont="1" applyFill="1" applyBorder="1" applyAlignment="1" applyProtection="1">
      <alignment vertical="center"/>
    </xf>
    <xf numFmtId="0" fontId="24" fillId="0" borderId="0" xfId="0" applyFont="1" applyFill="1" applyBorder="1" applyAlignment="1" applyProtection="1">
      <alignment horizontal="center" vertical="center" wrapText="1"/>
    </xf>
    <xf numFmtId="0" fontId="0" fillId="3" borderId="0" xfId="0" applyFill="1" applyBorder="1">
      <alignment vertical="center"/>
    </xf>
    <xf numFmtId="0" fontId="0" fillId="0" borderId="78" xfId="0" applyBorder="1">
      <alignment vertical="center"/>
    </xf>
    <xf numFmtId="0" fontId="0" fillId="0" borderId="74" xfId="0" applyBorder="1">
      <alignment vertical="center"/>
    </xf>
    <xf numFmtId="0" fontId="0" fillId="0" borderId="79" xfId="0" applyBorder="1">
      <alignment vertical="center"/>
    </xf>
    <xf numFmtId="0" fontId="0" fillId="0" borderId="0" xfId="0" applyFont="1" applyBorder="1" applyProtection="1">
      <alignment vertical="center"/>
    </xf>
    <xf numFmtId="0" fontId="6" fillId="0" borderId="74" xfId="0" applyFont="1" applyBorder="1" applyAlignment="1" applyProtection="1">
      <alignment horizontal="left" vertical="center" wrapText="1" shrinkToFit="1"/>
    </xf>
    <xf numFmtId="0" fontId="6" fillId="0" borderId="4" xfId="0" applyFont="1" applyBorder="1" applyAlignment="1" applyProtection="1">
      <alignment horizontal="left" vertical="center" wrapText="1" shrinkToFit="1"/>
    </xf>
    <xf numFmtId="0" fontId="0" fillId="0" borderId="0" xfId="0" applyFont="1" applyFill="1" applyAlignment="1" applyProtection="1">
      <alignment horizontal="left" vertical="center"/>
    </xf>
    <xf numFmtId="0" fontId="0" fillId="0" borderId="0" xfId="0" applyFont="1" applyFill="1" applyBorder="1" applyAlignment="1" applyProtection="1">
      <alignment horizontal="left" vertical="center"/>
    </xf>
    <xf numFmtId="0" fontId="0" fillId="0" borderId="0" xfId="0" applyFont="1" applyFill="1" applyAlignment="1" applyProtection="1">
      <alignment vertical="center"/>
    </xf>
    <xf numFmtId="0" fontId="0" fillId="0" borderId="0" xfId="0" applyFont="1" applyFill="1" applyAlignment="1">
      <alignment vertical="center"/>
    </xf>
    <xf numFmtId="0" fontId="22" fillId="3" borderId="23" xfId="0" applyFont="1" applyFill="1" applyBorder="1" applyAlignment="1" applyProtection="1">
      <alignment horizontal="left" vertical="center"/>
    </xf>
    <xf numFmtId="0" fontId="13" fillId="3" borderId="23" xfId="0" applyFont="1" applyFill="1" applyBorder="1" applyAlignment="1" applyProtection="1">
      <alignment horizontal="left" vertical="center"/>
    </xf>
    <xf numFmtId="0" fontId="13" fillId="3" borderId="25" xfId="0" applyFont="1" applyFill="1" applyBorder="1" applyAlignment="1" applyProtection="1">
      <alignment horizontal="left" vertical="center"/>
    </xf>
    <xf numFmtId="0" fontId="17" fillId="3" borderId="0" xfId="0" applyFont="1" applyFill="1" applyBorder="1" applyAlignment="1" applyProtection="1">
      <alignment vertical="center"/>
    </xf>
    <xf numFmtId="0" fontId="17" fillId="3" borderId="1" xfId="0" applyFont="1" applyFill="1" applyBorder="1" applyAlignment="1" applyProtection="1">
      <alignment horizontal="left" vertical="center"/>
    </xf>
    <xf numFmtId="0" fontId="22" fillId="0" borderId="0" xfId="0" applyFont="1" applyFill="1" applyBorder="1" applyAlignment="1" applyProtection="1">
      <alignment horizontal="center" vertical="center" wrapText="1"/>
    </xf>
    <xf numFmtId="0" fontId="22" fillId="3" borderId="0" xfId="0" applyFont="1" applyFill="1" applyBorder="1" applyAlignment="1" applyProtection="1">
      <alignment horizontal="left" vertical="center"/>
    </xf>
    <xf numFmtId="0" fontId="22" fillId="0" borderId="0" xfId="0" applyFont="1" applyFill="1" applyAlignment="1" applyProtection="1">
      <alignment vertical="center" wrapText="1"/>
    </xf>
    <xf numFmtId="0" fontId="12" fillId="11" borderId="8" xfId="0" applyFont="1" applyFill="1" applyBorder="1" applyAlignment="1" applyProtection="1">
      <alignment horizontal="left" vertical="center"/>
    </xf>
    <xf numFmtId="0" fontId="17" fillId="0" borderId="0" xfId="0" applyFont="1" applyFill="1" applyBorder="1" applyAlignment="1" applyProtection="1">
      <alignment vertical="center"/>
    </xf>
    <xf numFmtId="0" fontId="0" fillId="0" borderId="0" xfId="0" applyFont="1" applyFill="1" applyBorder="1" applyAlignment="1">
      <alignment vertical="center"/>
    </xf>
    <xf numFmtId="0" fontId="13" fillId="11" borderId="53" xfId="0" applyFont="1" applyFill="1" applyBorder="1" applyAlignment="1" applyProtection="1">
      <alignment horizontal="left" vertical="center"/>
    </xf>
    <xf numFmtId="0" fontId="13" fillId="11" borderId="1" xfId="0" applyFont="1" applyFill="1" applyBorder="1" applyAlignment="1" applyProtection="1">
      <alignment horizontal="left" vertical="center"/>
    </xf>
    <xf numFmtId="0" fontId="0" fillId="3" borderId="0" xfId="0" applyFont="1" applyFill="1" applyBorder="1" applyAlignment="1" applyProtection="1">
      <alignment horizontal="left" vertical="center"/>
    </xf>
    <xf numFmtId="0" fontId="17" fillId="3" borderId="2" xfId="0" applyFont="1" applyFill="1" applyBorder="1" applyAlignment="1" applyProtection="1">
      <alignment horizontal="left" vertical="center"/>
    </xf>
    <xf numFmtId="0" fontId="17" fillId="3" borderId="2" xfId="0" applyFont="1" applyFill="1" applyBorder="1" applyAlignment="1" applyProtection="1">
      <alignment horizontal="left" vertical="center" shrinkToFit="1"/>
    </xf>
    <xf numFmtId="0" fontId="12" fillId="11" borderId="53" xfId="0" applyFont="1" applyFill="1" applyBorder="1" applyAlignment="1" applyProtection="1">
      <alignment horizontal="left" vertical="center"/>
    </xf>
    <xf numFmtId="0" fontId="17" fillId="3" borderId="0" xfId="0" applyFont="1" applyFill="1" applyBorder="1" applyAlignment="1" applyProtection="1">
      <alignment horizontal="left" vertical="center"/>
    </xf>
    <xf numFmtId="0" fontId="0" fillId="3" borderId="20" xfId="0" applyFont="1" applyFill="1" applyBorder="1" applyAlignment="1" applyProtection="1">
      <alignment horizontal="left" vertical="center"/>
    </xf>
    <xf numFmtId="0" fontId="13" fillId="3" borderId="53" xfId="0" applyFont="1" applyFill="1" applyBorder="1" applyAlignment="1" applyProtection="1">
      <alignment horizontal="left" vertical="center" shrinkToFit="1"/>
    </xf>
    <xf numFmtId="0" fontId="12" fillId="3" borderId="53" xfId="0" applyFont="1" applyFill="1" applyBorder="1" applyAlignment="1" applyProtection="1">
      <alignment horizontal="left" vertical="center"/>
    </xf>
    <xf numFmtId="0" fontId="0" fillId="3" borderId="2" xfId="0" applyFont="1" applyFill="1" applyBorder="1" applyAlignment="1" applyProtection="1">
      <alignment horizontal="left" vertical="center"/>
    </xf>
    <xf numFmtId="0" fontId="12" fillId="11" borderId="20" xfId="0" applyFont="1" applyFill="1" applyBorder="1" applyAlignment="1" applyProtection="1">
      <alignment horizontal="left" vertical="center"/>
    </xf>
    <xf numFmtId="0" fontId="12" fillId="11" borderId="1" xfId="0" applyFont="1" applyFill="1" applyBorder="1" applyAlignment="1" applyProtection="1">
      <alignment horizontal="left" vertical="center"/>
    </xf>
    <xf numFmtId="0" fontId="12" fillId="11" borderId="0" xfId="0" applyFont="1" applyFill="1" applyBorder="1" applyAlignment="1" applyProtection="1">
      <alignment horizontal="left" vertical="center"/>
    </xf>
    <xf numFmtId="0" fontId="12" fillId="11" borderId="2" xfId="0" applyFont="1" applyFill="1" applyBorder="1" applyAlignment="1" applyProtection="1">
      <alignment horizontal="left" vertical="center"/>
    </xf>
    <xf numFmtId="0" fontId="0" fillId="4" borderId="4" xfId="0" applyFill="1" applyBorder="1">
      <alignment vertical="center"/>
    </xf>
    <xf numFmtId="0" fontId="0" fillId="3" borderId="0" xfId="0" applyFill="1" applyAlignment="1">
      <alignment vertical="center" wrapText="1"/>
    </xf>
    <xf numFmtId="0" fontId="0" fillId="3" borderId="0" xfId="0" applyFill="1" applyBorder="1" applyAlignment="1">
      <alignment vertical="center" wrapText="1"/>
    </xf>
    <xf numFmtId="0" fontId="0" fillId="10" borderId="4" xfId="0" applyFill="1" applyBorder="1">
      <alignment vertical="center"/>
    </xf>
    <xf numFmtId="0" fontId="23" fillId="0" borderId="0" xfId="0" applyFont="1" applyFill="1" applyBorder="1" applyAlignment="1" applyProtection="1">
      <alignment horizontal="center" vertical="center"/>
    </xf>
    <xf numFmtId="0" fontId="0" fillId="0" borderId="0" xfId="0" applyFont="1" applyAlignment="1" applyProtection="1">
      <alignment horizontal="left" vertical="center"/>
    </xf>
    <xf numFmtId="0" fontId="12" fillId="0" borderId="0" xfId="0" applyFont="1" applyFill="1" applyBorder="1" applyAlignment="1" applyProtection="1">
      <alignment horizontal="left" vertical="center"/>
    </xf>
    <xf numFmtId="0" fontId="11" fillId="0" borderId="0" xfId="1" applyFont="1" applyFill="1" applyBorder="1" applyAlignment="1" applyProtection="1">
      <alignment horizontal="left" vertical="center"/>
    </xf>
    <xf numFmtId="0" fontId="0" fillId="0" borderId="0"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13" fillId="0" borderId="0" xfId="0" applyFont="1" applyFill="1" applyAlignment="1" applyProtection="1">
      <alignment horizontal="left" vertical="center"/>
    </xf>
    <xf numFmtId="0" fontId="13" fillId="0" borderId="0" xfId="0" applyFont="1" applyAlignment="1">
      <alignment horizontal="left" vertical="center"/>
    </xf>
    <xf numFmtId="0" fontId="0" fillId="11" borderId="23" xfId="0" applyFont="1" applyFill="1" applyBorder="1" applyAlignment="1" applyProtection="1">
      <alignment horizontal="left" vertical="center"/>
    </xf>
    <xf numFmtId="0" fontId="0" fillId="11" borderId="0" xfId="0" applyFont="1" applyFill="1" applyBorder="1" applyAlignment="1" applyProtection="1">
      <alignment horizontal="left" vertical="center"/>
    </xf>
    <xf numFmtId="0" fontId="0" fillId="11" borderId="25" xfId="0" applyFont="1" applyFill="1" applyBorder="1" applyAlignment="1" applyProtection="1">
      <alignment horizontal="left" vertical="center"/>
    </xf>
    <xf numFmtId="0" fontId="0" fillId="11" borderId="20" xfId="0" applyFont="1" applyFill="1" applyBorder="1" applyAlignment="1" applyProtection="1">
      <alignment horizontal="left" vertical="center"/>
    </xf>
    <xf numFmtId="0" fontId="0" fillId="3" borderId="23" xfId="0" applyFont="1" applyFill="1" applyBorder="1" applyAlignment="1" applyProtection="1">
      <alignment horizontal="left" vertical="center"/>
    </xf>
    <xf numFmtId="0" fontId="0" fillId="3" borderId="25" xfId="0" applyFont="1" applyFill="1" applyBorder="1" applyAlignment="1" applyProtection="1">
      <alignment horizontal="left" vertical="center"/>
    </xf>
    <xf numFmtId="0" fontId="24" fillId="3" borderId="23" xfId="0" applyFont="1" applyFill="1" applyBorder="1" applyAlignment="1" applyProtection="1">
      <alignment horizontal="left" wrapText="1"/>
    </xf>
    <xf numFmtId="0" fontId="24" fillId="3" borderId="0" xfId="0" applyFont="1" applyFill="1" applyBorder="1" applyAlignment="1" applyProtection="1">
      <alignment horizontal="left" wrapText="1"/>
    </xf>
    <xf numFmtId="0" fontId="24" fillId="3" borderId="23" xfId="0" applyFont="1" applyFill="1" applyBorder="1" applyAlignment="1" applyProtection="1">
      <alignment horizontal="left" vertical="center" wrapText="1"/>
    </xf>
    <xf numFmtId="0" fontId="24" fillId="3" borderId="0" xfId="0" applyFont="1" applyFill="1" applyBorder="1" applyAlignment="1" applyProtection="1">
      <alignment horizontal="left" vertical="center" wrapText="1"/>
    </xf>
    <xf numFmtId="0" fontId="23" fillId="3" borderId="23" xfId="0" applyFont="1" applyFill="1" applyBorder="1" applyAlignment="1" applyProtection="1">
      <alignment horizontal="left" vertical="center"/>
    </xf>
    <xf numFmtId="0" fontId="23" fillId="3" borderId="0" xfId="0" applyFont="1" applyFill="1" applyBorder="1" applyAlignment="1" applyProtection="1">
      <alignment horizontal="left" vertical="center"/>
    </xf>
    <xf numFmtId="0" fontId="0" fillId="3" borderId="23" xfId="0" applyFont="1" applyFill="1" applyBorder="1" applyAlignment="1" applyProtection="1">
      <alignment horizontal="left" vertical="center" wrapText="1"/>
    </xf>
    <xf numFmtId="0" fontId="0" fillId="3" borderId="0" xfId="0" applyFont="1" applyFill="1" applyBorder="1" applyAlignment="1" applyProtection="1">
      <alignment horizontal="left" vertical="center" wrapText="1"/>
    </xf>
    <xf numFmtId="0" fontId="0" fillId="11" borderId="2" xfId="0" applyFont="1" applyFill="1" applyBorder="1" applyAlignment="1" applyProtection="1">
      <alignment horizontal="left" vertical="center"/>
    </xf>
    <xf numFmtId="0" fontId="0" fillId="11" borderId="82" xfId="0" applyFont="1" applyFill="1" applyBorder="1" applyAlignment="1" applyProtection="1">
      <alignment horizontal="left" vertical="center"/>
    </xf>
    <xf numFmtId="0" fontId="0" fillId="3" borderId="1" xfId="0" applyFont="1" applyFill="1" applyBorder="1" applyAlignment="1" applyProtection="1">
      <alignment horizontal="left" vertical="center"/>
    </xf>
    <xf numFmtId="0" fontId="0" fillId="3" borderId="25" xfId="0" applyFont="1" applyFill="1" applyBorder="1" applyAlignment="1" applyProtection="1">
      <alignment horizontal="left" vertical="center" wrapText="1"/>
    </xf>
    <xf numFmtId="0" fontId="13" fillId="11" borderId="0" xfId="0" applyFont="1" applyFill="1" applyBorder="1" applyAlignment="1" applyProtection="1">
      <alignment horizontal="left" vertical="center"/>
    </xf>
    <xf numFmtId="0" fontId="17" fillId="11" borderId="0" xfId="0" applyFont="1" applyFill="1" applyBorder="1" applyAlignment="1" applyProtection="1">
      <alignment horizontal="left" vertical="center"/>
    </xf>
    <xf numFmtId="0" fontId="17" fillId="3" borderId="8" xfId="0" applyFont="1" applyFill="1" applyBorder="1" applyAlignment="1" applyProtection="1">
      <alignment horizontal="left" vertical="center"/>
    </xf>
    <xf numFmtId="0" fontId="17" fillId="3" borderId="29" xfId="0" applyFont="1" applyFill="1" applyBorder="1" applyAlignment="1" applyProtection="1">
      <alignment horizontal="left" vertical="center"/>
    </xf>
    <xf numFmtId="0" fontId="12" fillId="3" borderId="2" xfId="0" applyFont="1" applyFill="1" applyBorder="1" applyAlignment="1" applyProtection="1">
      <alignment horizontal="left" vertical="center"/>
    </xf>
    <xf numFmtId="0" fontId="13" fillId="11" borderId="23" xfId="0" applyFont="1" applyFill="1" applyBorder="1" applyAlignment="1" applyProtection="1">
      <alignment horizontal="left" vertical="center"/>
    </xf>
    <xf numFmtId="0" fontId="12" fillId="3" borderId="8" xfId="0" applyFont="1" applyFill="1" applyBorder="1" applyAlignment="1" applyProtection="1">
      <alignment horizontal="left" vertical="center"/>
    </xf>
    <xf numFmtId="0" fontId="12" fillId="3" borderId="1" xfId="0" applyFont="1" applyFill="1" applyBorder="1" applyAlignment="1" applyProtection="1">
      <alignment horizontal="left" vertical="center"/>
    </xf>
    <xf numFmtId="0" fontId="0" fillId="11" borderId="23" xfId="0" applyFont="1" applyFill="1" applyBorder="1" applyAlignment="1" applyProtection="1">
      <alignment horizontal="left" vertical="center" wrapText="1"/>
    </xf>
    <xf numFmtId="0" fontId="0" fillId="11" borderId="0" xfId="0" applyFont="1" applyFill="1" applyBorder="1" applyAlignment="1" applyProtection="1">
      <alignment horizontal="left" vertical="center" wrapText="1"/>
    </xf>
    <xf numFmtId="0" fontId="0" fillId="11" borderId="25" xfId="0" applyFont="1" applyFill="1" applyBorder="1" applyAlignment="1" applyProtection="1">
      <alignment horizontal="left" vertical="center" wrapText="1"/>
    </xf>
    <xf numFmtId="0" fontId="0" fillId="11" borderId="20" xfId="0" applyFont="1" applyFill="1" applyBorder="1" applyAlignment="1" applyProtection="1">
      <alignment horizontal="left" vertical="center" wrapText="1"/>
    </xf>
    <xf numFmtId="0" fontId="20" fillId="3" borderId="1" xfId="0" applyFont="1" applyFill="1" applyBorder="1" applyAlignment="1" applyProtection="1">
      <alignment horizontal="left" vertical="center"/>
    </xf>
    <xf numFmtId="0" fontId="0" fillId="0" borderId="0" xfId="0" applyFont="1" applyFill="1" applyAlignment="1">
      <alignment horizontal="left" vertical="center"/>
    </xf>
    <xf numFmtId="0" fontId="0" fillId="0" borderId="0" xfId="0" applyFont="1" applyFill="1" applyAlignment="1" applyProtection="1">
      <alignment horizontal="left" vertical="center" wrapText="1"/>
    </xf>
    <xf numFmtId="0" fontId="26" fillId="0" borderId="0" xfId="1" applyFont="1" applyFill="1" applyBorder="1" applyAlignment="1" applyProtection="1">
      <alignment horizontal="left" vertical="center" wrapText="1"/>
    </xf>
    <xf numFmtId="0" fontId="6" fillId="0" borderId="0" xfId="0" applyFont="1" applyAlignment="1" applyProtection="1">
      <alignment horizontal="left" vertical="center"/>
    </xf>
    <xf numFmtId="0" fontId="6" fillId="0" borderId="4" xfId="2" applyFont="1" applyBorder="1" applyAlignment="1" applyProtection="1">
      <alignment horizontal="left" vertical="center"/>
    </xf>
    <xf numFmtId="0" fontId="6" fillId="0" borderId="4" xfId="0" applyFont="1" applyBorder="1" applyAlignment="1" applyProtection="1">
      <alignment horizontal="left" vertical="center"/>
    </xf>
    <xf numFmtId="0" fontId="6" fillId="3" borderId="0" xfId="0" applyFont="1" applyFill="1" applyAlignment="1" applyProtection="1">
      <alignment horizontal="left" vertical="center"/>
    </xf>
    <xf numFmtId="0" fontId="0" fillId="3" borderId="0" xfId="0" applyFont="1" applyFill="1" applyAlignment="1" applyProtection="1">
      <alignment horizontal="left" vertical="center"/>
    </xf>
    <xf numFmtId="0" fontId="0" fillId="0" borderId="0" xfId="0" quotePrefix="1" applyFont="1" applyFill="1" applyBorder="1" applyAlignment="1" applyProtection="1">
      <alignment horizontal="left" vertical="center"/>
    </xf>
    <xf numFmtId="0" fontId="0" fillId="0" borderId="0" xfId="0" quotePrefix="1" applyFont="1" applyBorder="1" applyAlignment="1" applyProtection="1">
      <alignment horizontal="left" vertical="center"/>
    </xf>
    <xf numFmtId="49" fontId="0" fillId="0" borderId="0" xfId="0" quotePrefix="1" applyNumberFormat="1" applyFont="1" applyBorder="1" applyAlignment="1" applyProtection="1">
      <alignment horizontal="left" vertical="center"/>
    </xf>
    <xf numFmtId="0" fontId="6" fillId="0" borderId="36" xfId="0" applyFont="1" applyBorder="1" applyAlignment="1" applyProtection="1">
      <alignment horizontal="left" vertical="center" wrapText="1" shrinkToFit="1"/>
    </xf>
    <xf numFmtId="0" fontId="6" fillId="0" borderId="81" xfId="0" applyFont="1" applyBorder="1" applyAlignment="1" applyProtection="1">
      <alignment horizontal="left" vertical="center" wrapText="1" shrinkToFit="1"/>
    </xf>
    <xf numFmtId="0" fontId="0" fillId="0" borderId="0" xfId="0" applyFont="1" applyFill="1" applyBorder="1" applyAlignment="1" applyProtection="1">
      <alignment horizontal="left" vertical="center" wrapText="1"/>
    </xf>
    <xf numFmtId="0" fontId="0" fillId="0" borderId="0" xfId="0" applyFont="1" applyFill="1" applyBorder="1" applyAlignment="1">
      <alignment horizontal="left" vertical="center"/>
    </xf>
    <xf numFmtId="0" fontId="0" fillId="0" borderId="0" xfId="0" applyFont="1" applyFill="1" applyBorder="1">
      <alignment vertical="center"/>
    </xf>
    <xf numFmtId="0" fontId="0" fillId="0" borderId="0" xfId="0" applyFont="1" applyBorder="1" applyAlignment="1" applyProtection="1">
      <alignment horizontal="left" vertical="center"/>
    </xf>
    <xf numFmtId="0" fontId="19" fillId="3" borderId="1" xfId="0" applyFont="1" applyFill="1" applyBorder="1" applyAlignment="1" applyProtection="1">
      <alignment horizontal="left" vertical="center"/>
    </xf>
    <xf numFmtId="0" fontId="0" fillId="3" borderId="20" xfId="0" applyFont="1" applyFill="1" applyBorder="1" applyAlignment="1" applyProtection="1">
      <alignment horizontal="left" vertical="center" wrapText="1"/>
    </xf>
    <xf numFmtId="0" fontId="0" fillId="0" borderId="0" xfId="0" quotePrefix="1" applyFont="1" applyBorder="1" applyAlignment="1" applyProtection="1">
      <alignment horizontal="left" vertical="center" wrapText="1"/>
    </xf>
    <xf numFmtId="0" fontId="9" fillId="0" borderId="0" xfId="0" applyFont="1" applyFill="1" applyBorder="1" applyProtection="1">
      <alignment vertical="center"/>
    </xf>
    <xf numFmtId="0" fontId="0" fillId="0" borderId="0" xfId="0" applyAlignment="1" applyProtection="1">
      <alignment vertical="center" wrapText="1"/>
    </xf>
    <xf numFmtId="0" fontId="6" fillId="5" borderId="4" xfId="2" applyFont="1" applyFill="1" applyBorder="1" applyAlignment="1" applyProtection="1">
      <alignment horizontal="left" vertical="center"/>
    </xf>
    <xf numFmtId="0" fontId="6" fillId="0" borderId="4" xfId="0" applyNumberFormat="1" applyFont="1" applyBorder="1" applyAlignment="1" applyProtection="1">
      <alignment horizontal="left" vertical="center" wrapText="1" shrinkToFit="1"/>
    </xf>
    <xf numFmtId="0" fontId="6" fillId="5" borderId="81" xfId="0" applyFont="1" applyFill="1" applyBorder="1" applyAlignment="1" applyProtection="1">
      <alignment horizontal="left" vertical="center" wrapText="1" shrinkToFit="1"/>
    </xf>
    <xf numFmtId="0" fontId="6" fillId="5" borderId="4" xfId="0" applyNumberFormat="1" applyFont="1" applyFill="1" applyBorder="1" applyAlignment="1" applyProtection="1">
      <alignment horizontal="left" vertical="center" wrapText="1" shrinkToFit="1"/>
    </xf>
    <xf numFmtId="0" fontId="6" fillId="12" borderId="1" xfId="0" applyFont="1" applyFill="1" applyBorder="1" applyAlignment="1" applyProtection="1">
      <alignment horizontal="left" vertical="center"/>
    </xf>
    <xf numFmtId="14" fontId="6" fillId="0" borderId="4" xfId="0" applyNumberFormat="1" applyFont="1" applyBorder="1" applyAlignment="1" applyProtection="1">
      <alignment horizontal="left" vertical="center" wrapText="1" shrinkToFit="1"/>
    </xf>
    <xf numFmtId="0" fontId="6" fillId="12" borderId="0" xfId="0" applyFont="1" applyFill="1" applyBorder="1" applyAlignment="1" applyProtection="1">
      <alignment horizontal="left" vertical="center"/>
    </xf>
    <xf numFmtId="0" fontId="21" fillId="3" borderId="0" xfId="0" applyFont="1" applyFill="1" applyProtection="1">
      <alignment vertical="center"/>
    </xf>
    <xf numFmtId="0" fontId="6" fillId="5" borderId="4" xfId="0" applyFont="1" applyFill="1" applyBorder="1" applyAlignment="1" applyProtection="1">
      <alignment horizontal="left" vertical="center" wrapText="1"/>
    </xf>
    <xf numFmtId="0" fontId="12" fillId="0" borderId="0" xfId="0" applyFont="1" applyFill="1" applyBorder="1" applyAlignment="1" applyProtection="1">
      <alignment vertical="center" wrapText="1"/>
    </xf>
    <xf numFmtId="0" fontId="6" fillId="0" borderId="4" xfId="0" applyNumberFormat="1" applyFont="1" applyFill="1" applyBorder="1" applyAlignment="1" applyProtection="1">
      <alignment horizontal="left" vertical="center" wrapText="1" shrinkToFit="1"/>
    </xf>
    <xf numFmtId="0" fontId="4" fillId="3" borderId="76" xfId="0" applyFont="1" applyFill="1" applyBorder="1" applyAlignment="1" applyProtection="1">
      <alignment horizontal="center" vertical="center"/>
    </xf>
    <xf numFmtId="0" fontId="4" fillId="3" borderId="77"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66" xfId="0" applyFont="1" applyFill="1" applyBorder="1" applyAlignment="1" applyProtection="1">
      <alignment horizontal="center" vertical="center"/>
    </xf>
    <xf numFmtId="0" fontId="12" fillId="3" borderId="87" xfId="0" applyFont="1" applyFill="1" applyBorder="1" applyAlignment="1" applyProtection="1">
      <alignment horizontal="center" vertical="center"/>
    </xf>
    <xf numFmtId="0" fontId="12" fillId="3" borderId="88" xfId="0" applyFont="1" applyFill="1" applyBorder="1" applyAlignment="1" applyProtection="1">
      <alignment horizontal="center" vertical="center"/>
    </xf>
    <xf numFmtId="0" fontId="0" fillId="0" borderId="0" xfId="0" applyAlignment="1">
      <alignment vertical="center" wrapText="1"/>
    </xf>
    <xf numFmtId="14" fontId="6" fillId="0" borderId="0" xfId="0" applyNumberFormat="1" applyFont="1" applyBorder="1" applyAlignment="1" applyProtection="1">
      <alignment horizontal="left" vertical="center" wrapText="1" shrinkToFit="1"/>
    </xf>
    <xf numFmtId="0" fontId="6" fillId="3" borderId="4" xfId="0" applyNumberFormat="1" applyFont="1" applyFill="1" applyBorder="1" applyAlignment="1" applyProtection="1">
      <alignment horizontal="left" vertical="center" wrapText="1" shrinkToFit="1"/>
    </xf>
    <xf numFmtId="14" fontId="6" fillId="5" borderId="4" xfId="0" applyNumberFormat="1" applyFont="1" applyFill="1" applyBorder="1" applyAlignment="1" applyProtection="1">
      <alignment horizontal="left" vertical="center" wrapText="1" shrinkToFit="1"/>
    </xf>
    <xf numFmtId="0" fontId="13" fillId="3" borderId="4" xfId="0" applyFont="1" applyFill="1" applyBorder="1" applyAlignment="1" applyProtection="1">
      <alignment horizontal="left" vertical="center"/>
    </xf>
    <xf numFmtId="0" fontId="6" fillId="0" borderId="4" xfId="0" applyFont="1" applyBorder="1" applyAlignment="1" applyProtection="1">
      <alignment horizontal="left" vertical="center" wrapText="1"/>
    </xf>
    <xf numFmtId="0" fontId="0" fillId="3" borderId="1" xfId="0" applyFill="1" applyBorder="1" applyProtection="1">
      <alignment vertical="center"/>
    </xf>
    <xf numFmtId="0" fontId="0" fillId="3" borderId="0" xfId="0" applyFill="1" applyBorder="1" applyProtection="1">
      <alignment vertical="center"/>
    </xf>
    <xf numFmtId="0" fontId="0" fillId="3" borderId="2" xfId="0" applyFill="1" applyBorder="1" applyProtection="1">
      <alignment vertical="center"/>
    </xf>
    <xf numFmtId="0" fontId="0" fillId="0" borderId="0" xfId="0" applyFill="1" applyProtection="1">
      <alignment vertical="center"/>
    </xf>
    <xf numFmtId="0" fontId="0" fillId="3" borderId="91" xfId="0" applyFill="1" applyBorder="1" applyProtection="1">
      <alignment vertical="center"/>
    </xf>
    <xf numFmtId="0" fontId="0" fillId="3" borderId="93" xfId="0" applyFill="1" applyBorder="1" applyProtection="1">
      <alignment vertical="center"/>
    </xf>
    <xf numFmtId="0" fontId="27" fillId="3" borderId="5" xfId="0" applyFont="1" applyFill="1" applyBorder="1" applyAlignment="1" applyProtection="1">
      <alignment horizontal="center" vertical="center"/>
    </xf>
    <xf numFmtId="0" fontId="0" fillId="3" borderId="3" xfId="0" applyFont="1" applyFill="1" applyBorder="1" applyProtection="1">
      <alignment vertical="center"/>
    </xf>
    <xf numFmtId="0" fontId="0" fillId="3" borderId="5" xfId="0" applyFill="1" applyBorder="1" applyProtection="1">
      <alignment vertical="center"/>
    </xf>
    <xf numFmtId="0" fontId="0" fillId="3" borderId="28" xfId="0" applyFill="1" applyBorder="1" applyProtection="1">
      <alignment vertical="center"/>
    </xf>
    <xf numFmtId="0" fontId="0" fillId="3" borderId="3" xfId="0" applyFill="1" applyBorder="1" applyProtection="1">
      <alignment vertical="center"/>
    </xf>
    <xf numFmtId="0" fontId="0" fillId="3" borderId="92" xfId="0" applyFill="1" applyBorder="1" applyAlignment="1" applyProtection="1">
      <alignment horizontal="center" vertical="center"/>
    </xf>
    <xf numFmtId="0" fontId="0" fillId="3" borderId="5" xfId="0" applyFont="1" applyFill="1" applyBorder="1" applyProtection="1">
      <alignment vertical="center"/>
    </xf>
    <xf numFmtId="0" fontId="27" fillId="3" borderId="92" xfId="0" applyFont="1" applyFill="1" applyBorder="1" applyAlignment="1" applyProtection="1">
      <alignment horizontal="center" vertical="center"/>
    </xf>
    <xf numFmtId="0" fontId="0" fillId="0" borderId="0" xfId="0" applyFont="1" applyFill="1" applyProtection="1">
      <alignment vertical="center"/>
    </xf>
    <xf numFmtId="0" fontId="0" fillId="0" borderId="0" xfId="0" applyFont="1" applyProtection="1">
      <alignment vertical="center"/>
    </xf>
    <xf numFmtId="0" fontId="21" fillId="7" borderId="0" xfId="0" applyFont="1" applyFill="1" applyProtection="1">
      <alignment vertical="center"/>
    </xf>
    <xf numFmtId="0" fontId="0" fillId="7" borderId="0" xfId="0" applyFont="1" applyFill="1" applyProtection="1">
      <alignment vertical="center"/>
    </xf>
    <xf numFmtId="0" fontId="0" fillId="3" borderId="0" xfId="0" applyFont="1" applyFill="1" applyProtection="1">
      <alignment vertical="center"/>
    </xf>
    <xf numFmtId="0" fontId="13" fillId="0" borderId="0" xfId="0" applyFont="1" applyFill="1" applyProtection="1">
      <alignment vertical="center"/>
    </xf>
    <xf numFmtId="0" fontId="13" fillId="0" borderId="0" xfId="0" applyFont="1" applyProtection="1">
      <alignment vertical="center"/>
    </xf>
    <xf numFmtId="0" fontId="22" fillId="0" borderId="0" xfId="0" applyFont="1" applyFill="1" applyProtection="1">
      <alignment vertical="center"/>
    </xf>
    <xf numFmtId="0" fontId="22" fillId="0" borderId="0" xfId="0" applyFont="1" applyProtection="1">
      <alignment vertical="center"/>
    </xf>
    <xf numFmtId="0" fontId="24" fillId="0" borderId="0" xfId="0" applyFont="1" applyFill="1" applyProtection="1">
      <alignment vertical="center"/>
    </xf>
    <xf numFmtId="0" fontId="24" fillId="0" borderId="0" xfId="0" applyFont="1" applyProtection="1">
      <alignment vertical="center"/>
    </xf>
    <xf numFmtId="0" fontId="13" fillId="0" borderId="58" xfId="0" applyFont="1" applyFill="1" applyBorder="1" applyProtection="1">
      <alignment vertical="center"/>
    </xf>
    <xf numFmtId="0" fontId="0" fillId="0" borderId="0" xfId="0" applyFont="1" applyAlignment="1" applyProtection="1">
      <alignment vertical="center"/>
    </xf>
    <xf numFmtId="0" fontId="0" fillId="3" borderId="4" xfId="0" applyFill="1" applyBorder="1" applyProtection="1">
      <alignment vertical="center"/>
    </xf>
    <xf numFmtId="0" fontId="13" fillId="0" borderId="4" xfId="0" applyFont="1" applyFill="1" applyBorder="1" applyProtection="1">
      <alignment vertical="center"/>
    </xf>
    <xf numFmtId="0" fontId="13" fillId="2" borderId="0" xfId="0" applyFont="1" applyFill="1" applyBorder="1" applyProtection="1">
      <alignment vertical="center"/>
    </xf>
    <xf numFmtId="0" fontId="13" fillId="2" borderId="58" xfId="0" applyFont="1" applyFill="1" applyBorder="1" applyProtection="1">
      <alignment vertical="center"/>
    </xf>
    <xf numFmtId="0" fontId="13" fillId="0" borderId="56" xfId="0" applyFont="1" applyFill="1" applyBorder="1" applyProtection="1">
      <alignment vertical="center"/>
    </xf>
    <xf numFmtId="0" fontId="30" fillId="0" borderId="22" xfId="0" applyFont="1" applyFill="1" applyBorder="1" applyProtection="1">
      <alignment vertical="center"/>
    </xf>
    <xf numFmtId="0" fontId="13" fillId="0" borderId="35" xfId="0" applyFont="1" applyFill="1" applyBorder="1" applyProtection="1">
      <alignment vertical="center"/>
    </xf>
    <xf numFmtId="0" fontId="13" fillId="3" borderId="4" xfId="0" applyFont="1" applyFill="1" applyBorder="1" applyProtection="1">
      <alignment vertical="center"/>
    </xf>
    <xf numFmtId="0" fontId="0" fillId="3" borderId="4" xfId="0" applyFont="1" applyFill="1" applyBorder="1" applyAlignment="1" applyProtection="1">
      <alignment vertical="center"/>
    </xf>
    <xf numFmtId="0" fontId="0" fillId="0" borderId="4" xfId="0" applyFont="1" applyFill="1" applyBorder="1" applyProtection="1">
      <alignment vertical="center"/>
    </xf>
    <xf numFmtId="0" fontId="13" fillId="5" borderId="4" xfId="0" applyFont="1" applyFill="1" applyBorder="1" applyProtection="1">
      <alignment vertical="center"/>
    </xf>
    <xf numFmtId="0" fontId="0" fillId="0" borderId="4" xfId="0" applyFont="1" applyBorder="1" applyProtection="1">
      <alignment vertical="center"/>
    </xf>
    <xf numFmtId="0" fontId="13" fillId="2" borderId="34" xfId="0" applyFont="1" applyFill="1" applyBorder="1" applyProtection="1">
      <alignment vertical="center"/>
    </xf>
    <xf numFmtId="0" fontId="6" fillId="4" borderId="0" xfId="0" applyFont="1" applyFill="1" applyAlignment="1" applyProtection="1">
      <alignment horizontal="left" vertical="center" wrapText="1"/>
    </xf>
    <xf numFmtId="0" fontId="0" fillId="8" borderId="0" xfId="0" applyFont="1" applyFill="1" applyProtection="1">
      <alignment vertical="center"/>
    </xf>
    <xf numFmtId="0" fontId="0" fillId="0" borderId="0" xfId="0" applyBorder="1" applyProtection="1">
      <alignment vertical="center"/>
    </xf>
    <xf numFmtId="0" fontId="4" fillId="3" borderId="0" xfId="0" applyFont="1" applyFill="1" applyBorder="1" applyAlignment="1" applyProtection="1">
      <alignment horizontal="center" vertical="center"/>
    </xf>
    <xf numFmtId="0" fontId="4" fillId="3" borderId="2" xfId="0" applyFont="1" applyFill="1" applyBorder="1" applyAlignment="1" applyProtection="1">
      <alignment horizontal="center" vertical="center"/>
    </xf>
    <xf numFmtId="0" fontId="4" fillId="0" borderId="0" xfId="0" applyFont="1" applyAlignment="1" applyProtection="1">
      <alignment horizontal="center" vertical="center"/>
    </xf>
    <xf numFmtId="0" fontId="12" fillId="3" borderId="48" xfId="0" applyFont="1" applyFill="1" applyBorder="1" applyAlignment="1" applyProtection="1">
      <alignment horizontal="center" vertical="center"/>
    </xf>
    <xf numFmtId="0" fontId="12" fillId="3" borderId="49"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1" xfId="0" applyFont="1" applyFill="1" applyBorder="1" applyAlignment="1" applyProtection="1">
      <alignment horizontal="center" vertical="center"/>
    </xf>
    <xf numFmtId="0" fontId="13" fillId="0" borderId="0" xfId="0" applyFont="1" applyBorder="1">
      <alignment vertical="center"/>
    </xf>
    <xf numFmtId="0" fontId="13" fillId="0" borderId="0" xfId="0" applyFont="1" applyFill="1" applyBorder="1">
      <alignment vertical="center"/>
    </xf>
    <xf numFmtId="0" fontId="6" fillId="0" borderId="13" xfId="0" applyNumberFormat="1" applyFont="1" applyBorder="1" applyAlignment="1" applyProtection="1">
      <alignment horizontal="left" vertical="center" wrapText="1" shrinkToFit="1"/>
    </xf>
    <xf numFmtId="0" fontId="6" fillId="0" borderId="25" xfId="0" applyFont="1" applyBorder="1" applyAlignment="1" applyProtection="1">
      <alignment horizontal="left" vertical="center" wrapText="1"/>
    </xf>
    <xf numFmtId="14" fontId="6" fillId="7" borderId="95" xfId="0" applyNumberFormat="1" applyFont="1" applyFill="1" applyBorder="1" applyAlignment="1" applyProtection="1">
      <alignment horizontal="left" vertical="center" wrapText="1" shrinkToFit="1"/>
    </xf>
    <xf numFmtId="0" fontId="6" fillId="8" borderId="95" xfId="0" applyNumberFormat="1" applyFont="1" applyFill="1" applyBorder="1" applyAlignment="1" applyProtection="1">
      <alignment horizontal="left" vertical="center" wrapText="1" shrinkToFit="1"/>
    </xf>
    <xf numFmtId="0" fontId="13" fillId="3" borderId="4" xfId="0" applyFont="1" applyFill="1" applyBorder="1" applyAlignment="1" applyProtection="1">
      <alignment vertical="center" wrapText="1"/>
    </xf>
    <xf numFmtId="0" fontId="13" fillId="0" borderId="9" xfId="0" applyFont="1" applyFill="1" applyBorder="1" applyProtection="1">
      <alignment vertical="center"/>
    </xf>
    <xf numFmtId="0" fontId="13" fillId="0" borderId="14" xfId="0" applyFont="1" applyFill="1" applyBorder="1" applyProtection="1">
      <alignment vertical="center"/>
    </xf>
    <xf numFmtId="0" fontId="13" fillId="0" borderId="32" xfId="0" applyFont="1" applyFill="1" applyBorder="1" applyProtection="1">
      <alignment vertical="center"/>
    </xf>
    <xf numFmtId="14" fontId="6" fillId="7" borderId="4" xfId="0" applyNumberFormat="1" applyFont="1" applyFill="1" applyBorder="1" applyAlignment="1" applyProtection="1">
      <alignment horizontal="left" vertical="center" wrapText="1" shrinkToFit="1"/>
    </xf>
    <xf numFmtId="0" fontId="13" fillId="3" borderId="9" xfId="0" applyFont="1" applyFill="1" applyBorder="1" applyAlignment="1" applyProtection="1">
      <alignment vertical="center" wrapText="1"/>
    </xf>
    <xf numFmtId="0" fontId="6" fillId="5" borderId="19" xfId="0" applyFont="1" applyFill="1" applyBorder="1" applyAlignment="1" applyProtection="1">
      <alignment horizontal="left" vertical="center"/>
    </xf>
    <xf numFmtId="0" fontId="6" fillId="5" borderId="17" xfId="0" applyFont="1" applyFill="1" applyBorder="1" applyAlignment="1" applyProtection="1">
      <alignment horizontal="left" vertical="center"/>
    </xf>
    <xf numFmtId="0" fontId="6" fillId="5" borderId="17" xfId="0" applyFont="1" applyFill="1" applyBorder="1" applyAlignment="1" applyProtection="1">
      <alignment horizontal="left" vertical="center" shrinkToFit="1"/>
    </xf>
    <xf numFmtId="0" fontId="6" fillId="0" borderId="7" xfId="0" applyNumberFormat="1" applyFont="1" applyFill="1" applyBorder="1" applyAlignment="1" applyProtection="1">
      <alignment horizontal="left" vertical="center" wrapText="1" shrinkToFit="1"/>
    </xf>
    <xf numFmtId="0" fontId="6" fillId="0" borderId="96" xfId="0" applyNumberFormat="1" applyFont="1" applyFill="1" applyBorder="1" applyAlignment="1" applyProtection="1">
      <alignment horizontal="left" vertical="center" wrapText="1" shrinkToFit="1"/>
    </xf>
    <xf numFmtId="0" fontId="6" fillId="5" borderId="13" xfId="0" applyNumberFormat="1" applyFont="1" applyFill="1" applyBorder="1" applyAlignment="1" applyProtection="1">
      <alignment horizontal="left" vertical="center" wrapText="1" shrinkToFit="1"/>
    </xf>
    <xf numFmtId="0" fontId="6" fillId="0" borderId="14" xfId="0" applyFont="1" applyBorder="1" applyAlignment="1" applyProtection="1">
      <alignment horizontal="left" vertical="center"/>
    </xf>
    <xf numFmtId="0" fontId="6" fillId="0" borderId="17" xfId="0" applyFont="1" applyBorder="1" applyAlignment="1" applyProtection="1">
      <alignment horizontal="left" vertical="center"/>
    </xf>
    <xf numFmtId="0" fontId="6" fillId="0" borderId="32" xfId="0" applyFont="1" applyBorder="1" applyAlignment="1" applyProtection="1">
      <alignment horizontal="left" vertical="center"/>
    </xf>
    <xf numFmtId="0" fontId="6" fillId="0" borderId="13" xfId="0" applyFont="1" applyBorder="1" applyAlignment="1" applyProtection="1">
      <alignment horizontal="left" vertical="center"/>
    </xf>
    <xf numFmtId="0" fontId="6" fillId="0" borderId="13" xfId="0" applyFont="1" applyFill="1" applyBorder="1" applyAlignment="1" applyProtection="1">
      <alignment horizontal="left" vertical="center"/>
    </xf>
    <xf numFmtId="0" fontId="6" fillId="0" borderId="19" xfId="0" applyFont="1" applyFill="1" applyBorder="1" applyAlignment="1" applyProtection="1">
      <alignment horizontal="left" vertical="center"/>
    </xf>
    <xf numFmtId="0" fontId="6" fillId="0" borderId="23" xfId="2" applyFont="1" applyBorder="1" applyAlignment="1" applyProtection="1">
      <alignment horizontal="left" vertical="center"/>
    </xf>
    <xf numFmtId="14" fontId="6" fillId="0" borderId="4" xfId="0" applyNumberFormat="1" applyFont="1" applyFill="1" applyBorder="1" applyAlignment="1" applyProtection="1">
      <alignment horizontal="left" vertical="center" wrapText="1" shrinkToFit="1"/>
    </xf>
    <xf numFmtId="0" fontId="6" fillId="5" borderId="17" xfId="0" applyFont="1" applyFill="1" applyBorder="1" applyAlignment="1" applyProtection="1">
      <alignment horizontal="left" vertical="center" wrapText="1"/>
    </xf>
    <xf numFmtId="14" fontId="6" fillId="0" borderId="95" xfId="0" applyNumberFormat="1" applyFont="1" applyFill="1" applyBorder="1" applyAlignment="1" applyProtection="1">
      <alignment horizontal="left" vertical="center" wrapText="1" shrinkToFit="1"/>
    </xf>
    <xf numFmtId="0" fontId="6" fillId="12" borderId="21" xfId="0" applyFont="1" applyFill="1" applyBorder="1" applyAlignment="1" applyProtection="1">
      <alignment horizontal="left" vertical="center"/>
    </xf>
    <xf numFmtId="0" fontId="6" fillId="12" borderId="68" xfId="0" applyFont="1" applyFill="1" applyBorder="1" applyAlignment="1" applyProtection="1">
      <alignment horizontal="left" vertical="center"/>
    </xf>
    <xf numFmtId="0" fontId="6" fillId="0" borderId="19" xfId="0" applyFont="1" applyBorder="1" applyAlignment="1" applyProtection="1">
      <alignment horizontal="left" vertical="center" wrapText="1"/>
    </xf>
    <xf numFmtId="0" fontId="6" fillId="0" borderId="17" xfId="0" applyFont="1" applyBorder="1" applyAlignment="1" applyProtection="1">
      <alignment horizontal="left" vertical="center" wrapText="1"/>
    </xf>
    <xf numFmtId="0" fontId="6" fillId="0" borderId="13" xfId="0" applyNumberFormat="1" applyFont="1" applyFill="1" applyBorder="1" applyAlignment="1" applyProtection="1">
      <alignment horizontal="left" vertical="center" wrapText="1" shrinkToFit="1"/>
    </xf>
    <xf numFmtId="0" fontId="6" fillId="5" borderId="19" xfId="0" applyFont="1" applyFill="1" applyBorder="1" applyAlignment="1" applyProtection="1">
      <alignment horizontal="left" vertical="center" wrapText="1"/>
    </xf>
    <xf numFmtId="14" fontId="6" fillId="3" borderId="4" xfId="0" applyNumberFormat="1" applyFont="1" applyFill="1" applyBorder="1" applyAlignment="1" applyProtection="1">
      <alignment horizontal="left" vertical="center" wrapText="1"/>
    </xf>
    <xf numFmtId="0" fontId="0" fillId="12" borderId="17" xfId="0" applyFont="1" applyFill="1" applyBorder="1" applyAlignment="1" applyProtection="1">
      <alignment horizontal="left" vertical="center" wrapText="1"/>
    </xf>
    <xf numFmtId="0" fontId="0" fillId="12" borderId="30" xfId="0" applyFont="1" applyFill="1" applyBorder="1" applyAlignment="1" applyProtection="1">
      <alignment horizontal="left" vertical="center" wrapText="1"/>
    </xf>
    <xf numFmtId="14" fontId="6" fillId="0" borderId="13" xfId="0" applyNumberFormat="1" applyFont="1" applyFill="1" applyBorder="1" applyAlignment="1" applyProtection="1">
      <alignment horizontal="left" vertical="center" wrapText="1"/>
    </xf>
    <xf numFmtId="14" fontId="6" fillId="7" borderId="19" xfId="0" applyNumberFormat="1" applyFont="1" applyFill="1" applyBorder="1" applyAlignment="1" applyProtection="1">
      <alignment horizontal="left" vertical="center" wrapText="1" shrinkToFit="1"/>
    </xf>
    <xf numFmtId="0" fontId="6" fillId="3" borderId="4" xfId="2" applyFont="1" applyFill="1" applyBorder="1" applyAlignment="1" applyProtection="1">
      <alignment horizontal="left" vertical="center"/>
    </xf>
    <xf numFmtId="0" fontId="6" fillId="3" borderId="7" xfId="2" applyFont="1" applyFill="1" applyBorder="1" applyAlignment="1" applyProtection="1">
      <alignment horizontal="left" vertical="center"/>
    </xf>
    <xf numFmtId="0" fontId="6" fillId="3" borderId="13" xfId="0" applyFont="1" applyFill="1" applyBorder="1" applyAlignment="1" applyProtection="1">
      <alignment horizontal="left" vertical="center" wrapText="1"/>
    </xf>
    <xf numFmtId="0" fontId="6" fillId="3" borderId="4" xfId="0" applyFont="1" applyFill="1" applyBorder="1" applyAlignment="1" applyProtection="1">
      <alignment horizontal="left" vertical="center" wrapText="1"/>
    </xf>
    <xf numFmtId="0" fontId="6" fillId="3" borderId="7" xfId="0" applyFont="1" applyFill="1" applyBorder="1" applyAlignment="1" applyProtection="1">
      <alignment horizontal="left" vertical="center" wrapText="1"/>
    </xf>
    <xf numFmtId="0" fontId="6" fillId="3" borderId="14" xfId="0" applyFont="1" applyFill="1" applyBorder="1" applyAlignment="1" applyProtection="1">
      <alignment horizontal="left" vertical="center" wrapText="1"/>
    </xf>
    <xf numFmtId="0" fontId="0" fillId="0" borderId="0" xfId="0" applyBorder="1" applyAlignment="1" applyProtection="1">
      <alignment vertical="center" wrapText="1"/>
    </xf>
    <xf numFmtId="0" fontId="0" fillId="0" borderId="4" xfId="0" applyBorder="1" applyAlignment="1" applyProtection="1">
      <alignment vertical="center" wrapText="1"/>
    </xf>
    <xf numFmtId="0" fontId="0" fillId="0" borderId="4" xfId="0" applyBorder="1" applyProtection="1">
      <alignment vertical="center"/>
    </xf>
    <xf numFmtId="0" fontId="0" fillId="3" borderId="0" xfId="0" applyFill="1" applyProtection="1">
      <alignment vertical="center"/>
    </xf>
    <xf numFmtId="0" fontId="13" fillId="0" borderId="0" xfId="0" applyFont="1" applyFill="1" applyBorder="1" applyAlignment="1" applyProtection="1">
      <alignment horizontal="center" vertical="center"/>
    </xf>
    <xf numFmtId="0" fontId="22" fillId="11" borderId="23" xfId="0" applyFont="1" applyFill="1" applyBorder="1" applyAlignment="1" applyProtection="1">
      <alignment horizontal="left" vertical="center"/>
    </xf>
    <xf numFmtId="0" fontId="13" fillId="11" borderId="23" xfId="0" applyFont="1" applyFill="1" applyBorder="1" applyAlignment="1" applyProtection="1">
      <alignment horizontal="left" vertical="center" wrapText="1"/>
    </xf>
    <xf numFmtId="0" fontId="13" fillId="11" borderId="0" xfId="0" applyFont="1" applyFill="1" applyBorder="1" applyAlignment="1" applyProtection="1">
      <alignment horizontal="left" vertical="center" wrapText="1"/>
    </xf>
    <xf numFmtId="0" fontId="13" fillId="11" borderId="25" xfId="0" applyFont="1" applyFill="1" applyBorder="1" applyAlignment="1" applyProtection="1">
      <alignment horizontal="left" vertical="center" wrapText="1"/>
    </xf>
    <xf numFmtId="0" fontId="13" fillId="11" borderId="20" xfId="0" applyFont="1" applyFill="1" applyBorder="1" applyAlignment="1" applyProtection="1">
      <alignment horizontal="left" vertical="center" wrapText="1"/>
    </xf>
    <xf numFmtId="0" fontId="0" fillId="11" borderId="38" xfId="0" applyFont="1" applyFill="1" applyBorder="1" applyAlignment="1" applyProtection="1">
      <alignment horizontal="left" vertical="center"/>
    </xf>
    <xf numFmtId="0" fontId="12" fillId="11" borderId="38" xfId="0" applyFont="1" applyFill="1" applyBorder="1" applyAlignment="1" applyProtection="1">
      <alignment horizontal="left" vertical="center"/>
    </xf>
    <xf numFmtId="0" fontId="0" fillId="0" borderId="58" xfId="0" applyFont="1" applyFill="1" applyBorder="1" applyAlignment="1" applyProtection="1">
      <alignment vertical="center"/>
    </xf>
    <xf numFmtId="0" fontId="13" fillId="11" borderId="2" xfId="0" applyFont="1" applyFill="1" applyBorder="1" applyAlignment="1" applyProtection="1">
      <alignment horizontal="left" vertical="center"/>
    </xf>
    <xf numFmtId="0" fontId="9" fillId="0" borderId="0" xfId="0" applyFont="1" applyFill="1" applyBorder="1" applyAlignment="1" applyProtection="1">
      <alignment vertical="center" shrinkToFit="1"/>
    </xf>
    <xf numFmtId="0" fontId="0" fillId="0" borderId="0" xfId="0" applyFill="1" applyBorder="1" applyAlignment="1" applyProtection="1">
      <alignment vertical="center" shrinkToFit="1"/>
    </xf>
    <xf numFmtId="0" fontId="17" fillId="11" borderId="1" xfId="0" applyFont="1" applyFill="1" applyBorder="1" applyAlignment="1" applyProtection="1">
      <alignment horizontal="left" vertical="center"/>
    </xf>
    <xf numFmtId="0" fontId="22" fillId="3" borderId="52" xfId="0" applyFont="1" applyFill="1" applyBorder="1" applyAlignment="1" applyProtection="1">
      <alignment horizontal="right" vertical="center"/>
    </xf>
    <xf numFmtId="0" fontId="0" fillId="11" borderId="52" xfId="0" applyFont="1" applyFill="1" applyBorder="1" applyAlignment="1" applyProtection="1">
      <alignment horizontal="right" vertical="center"/>
    </xf>
    <xf numFmtId="0" fontId="22" fillId="11" borderId="52" xfId="0" applyFont="1" applyFill="1" applyBorder="1" applyAlignment="1" applyProtection="1">
      <alignment horizontal="right" vertical="center"/>
    </xf>
    <xf numFmtId="0" fontId="13" fillId="3" borderId="9" xfId="0" applyFont="1" applyFill="1" applyBorder="1" applyAlignment="1" applyProtection="1">
      <alignment horizontal="left" vertical="center"/>
    </xf>
    <xf numFmtId="0" fontId="12" fillId="3" borderId="0" xfId="0" applyFont="1" applyFill="1" applyBorder="1" applyAlignment="1" applyProtection="1">
      <alignment horizontal="left" vertical="center"/>
    </xf>
    <xf numFmtId="0" fontId="13" fillId="0" borderId="2" xfId="0" applyFont="1" applyFill="1" applyBorder="1" applyProtection="1">
      <alignment vertical="center"/>
    </xf>
    <xf numFmtId="0" fontId="17" fillId="3" borderId="52" xfId="0" applyFont="1" applyFill="1" applyBorder="1" applyAlignment="1" applyProtection="1">
      <alignment horizontal="left" vertical="center"/>
    </xf>
    <xf numFmtId="0" fontId="6" fillId="3" borderId="0" xfId="0" applyFont="1" applyFill="1" applyProtection="1">
      <alignment vertical="center"/>
    </xf>
    <xf numFmtId="0" fontId="13" fillId="0" borderId="7" xfId="0" applyFont="1" applyFill="1" applyBorder="1" applyProtection="1">
      <alignment vertical="center"/>
    </xf>
    <xf numFmtId="0" fontId="13" fillId="0" borderId="4" xfId="0" applyFont="1" applyBorder="1" applyProtection="1">
      <alignment vertical="center"/>
    </xf>
    <xf numFmtId="0" fontId="45" fillId="0" borderId="0" xfId="0" applyFont="1" applyFill="1" applyProtection="1">
      <alignment vertical="center"/>
    </xf>
    <xf numFmtId="0" fontId="13" fillId="0" borderId="0" xfId="0" applyFont="1" applyFill="1" applyAlignment="1" applyProtection="1">
      <alignment vertical="center" shrinkToFit="1"/>
    </xf>
    <xf numFmtId="0" fontId="13" fillId="3" borderId="13" xfId="0" applyFont="1" applyFill="1" applyBorder="1" applyProtection="1">
      <alignment vertical="center"/>
    </xf>
    <xf numFmtId="0" fontId="13" fillId="0" borderId="9" xfId="0" applyFont="1" applyFill="1" applyBorder="1" applyAlignment="1" applyProtection="1">
      <alignment horizontal="right" vertical="center"/>
    </xf>
    <xf numFmtId="0" fontId="13" fillId="0" borderId="4" xfId="0" applyFont="1" applyFill="1" applyBorder="1" applyAlignment="1" applyProtection="1">
      <alignment horizontal="right" vertical="center"/>
    </xf>
    <xf numFmtId="49" fontId="13" fillId="0" borderId="4" xfId="0" applyNumberFormat="1" applyFont="1" applyFill="1" applyBorder="1" applyAlignment="1" applyProtection="1">
      <alignment vertical="center" shrinkToFit="1"/>
    </xf>
    <xf numFmtId="0" fontId="13" fillId="0" borderId="4" xfId="0" applyNumberFormat="1" applyFont="1" applyFill="1" applyBorder="1" applyAlignment="1" applyProtection="1">
      <alignment vertical="center" shrinkToFit="1"/>
    </xf>
    <xf numFmtId="0" fontId="0" fillId="0" borderId="0" xfId="0" applyNumberFormat="1" applyFont="1" applyFill="1" applyProtection="1">
      <alignment vertical="center"/>
    </xf>
    <xf numFmtId="0" fontId="0" fillId="3" borderId="23" xfId="0" applyFont="1" applyFill="1" applyBorder="1" applyAlignment="1" applyProtection="1">
      <alignment vertical="center" wrapText="1"/>
    </xf>
    <xf numFmtId="0" fontId="0" fillId="3" borderId="23" xfId="0" applyFont="1" applyFill="1" applyBorder="1" applyAlignment="1" applyProtection="1">
      <alignment vertical="center"/>
    </xf>
    <xf numFmtId="0" fontId="0" fillId="3" borderId="102" xfId="0" applyFill="1" applyBorder="1" applyAlignment="1" applyProtection="1">
      <alignment horizontal="center" vertical="center"/>
    </xf>
    <xf numFmtId="0" fontId="0" fillId="3" borderId="103" xfId="0" applyFill="1" applyBorder="1" applyProtection="1">
      <alignment vertical="center"/>
    </xf>
    <xf numFmtId="0" fontId="0" fillId="3" borderId="112" xfId="0" applyFill="1" applyBorder="1" applyProtection="1">
      <alignment vertical="center"/>
    </xf>
    <xf numFmtId="0" fontId="0" fillId="3" borderId="113" xfId="0" applyFill="1" applyBorder="1" applyProtection="1">
      <alignment vertical="center"/>
    </xf>
    <xf numFmtId="0" fontId="0" fillId="3" borderId="114" xfId="0" applyFill="1" applyBorder="1" applyProtection="1">
      <alignment vertical="center"/>
    </xf>
    <xf numFmtId="0" fontId="0" fillId="3" borderId="115" xfId="0" applyFill="1" applyBorder="1" applyProtection="1">
      <alignment vertical="center"/>
    </xf>
    <xf numFmtId="0" fontId="0" fillId="3" borderId="116" xfId="0" applyFill="1" applyBorder="1" applyProtection="1">
      <alignment vertical="center"/>
    </xf>
    <xf numFmtId="0" fontId="0" fillId="3" borderId="117" xfId="0" applyFill="1" applyBorder="1" applyProtection="1">
      <alignment vertical="center"/>
    </xf>
    <xf numFmtId="0" fontId="0" fillId="3" borderId="118" xfId="0" applyFill="1" applyBorder="1" applyProtection="1">
      <alignment vertical="center"/>
    </xf>
    <xf numFmtId="0" fontId="0" fillId="3" borderId="119" xfId="0" applyFill="1" applyBorder="1" applyProtection="1">
      <alignment vertical="center"/>
    </xf>
    <xf numFmtId="0" fontId="0" fillId="3" borderId="120" xfId="0" applyFill="1" applyBorder="1" applyProtection="1">
      <alignment vertical="center"/>
    </xf>
    <xf numFmtId="0" fontId="0" fillId="3" borderId="121" xfId="0" applyFill="1" applyBorder="1" applyProtection="1">
      <alignment vertical="center"/>
    </xf>
    <xf numFmtId="0" fontId="0" fillId="0" borderId="4" xfId="0" applyFont="1" applyBorder="1">
      <alignment vertical="center"/>
    </xf>
    <xf numFmtId="0" fontId="0" fillId="0" borderId="4" xfId="0" applyFont="1" applyFill="1" applyBorder="1" applyAlignment="1" applyProtection="1">
      <alignment horizontal="left" vertical="center" wrapText="1"/>
    </xf>
    <xf numFmtId="0" fontId="12" fillId="11" borderId="29" xfId="0" applyFont="1" applyFill="1" applyBorder="1" applyAlignment="1" applyProtection="1">
      <alignment horizontal="left" vertical="center"/>
    </xf>
    <xf numFmtId="0" fontId="0" fillId="3" borderId="138" xfId="0" applyFont="1" applyFill="1" applyBorder="1" applyAlignment="1" applyProtection="1">
      <alignment vertical="center"/>
    </xf>
    <xf numFmtId="0" fontId="0" fillId="3" borderId="0" xfId="0" applyFont="1" applyFill="1" applyBorder="1" applyAlignment="1" applyProtection="1">
      <alignment vertical="center" wrapText="1"/>
    </xf>
    <xf numFmtId="0" fontId="6" fillId="0" borderId="0" xfId="0" applyFont="1" applyFill="1" applyAlignment="1" applyProtection="1">
      <alignment vertical="center"/>
    </xf>
    <xf numFmtId="0" fontId="6" fillId="0" borderId="0" xfId="0" applyFont="1" applyFill="1" applyAlignment="1" applyProtection="1"/>
    <xf numFmtId="0" fontId="13" fillId="0" borderId="4" xfId="0" applyFont="1" applyFill="1" applyBorder="1" applyAlignment="1" applyProtection="1">
      <alignment horizontal="center" vertical="center" shrinkToFit="1"/>
    </xf>
    <xf numFmtId="0" fontId="0" fillId="0" borderId="4" xfId="0" applyFont="1" applyFill="1" applyBorder="1" applyAlignment="1" applyProtection="1">
      <alignment horizontal="center" vertical="center" wrapText="1" shrinkToFit="1"/>
    </xf>
    <xf numFmtId="0" fontId="0" fillId="0" borderId="79" xfId="0" applyFill="1" applyBorder="1">
      <alignment vertical="center"/>
    </xf>
    <xf numFmtId="0" fontId="0" fillId="0" borderId="99" xfId="0" applyFont="1" applyFill="1" applyBorder="1" applyAlignment="1" applyProtection="1">
      <alignment horizontal="center" vertical="center" shrinkToFit="1"/>
    </xf>
    <xf numFmtId="0" fontId="13" fillId="0" borderId="99" xfId="0" applyFont="1" applyFill="1" applyBorder="1" applyAlignment="1" applyProtection="1">
      <alignment horizontal="center" vertical="center" shrinkToFit="1"/>
    </xf>
    <xf numFmtId="181" fontId="24" fillId="0" borderId="4" xfId="0" applyNumberFormat="1" applyFont="1" applyFill="1" applyBorder="1" applyProtection="1">
      <alignment vertical="center"/>
    </xf>
    <xf numFmtId="0" fontId="6" fillId="0" borderId="0" xfId="2" applyFont="1" applyFill="1" applyBorder="1" applyAlignment="1" applyProtection="1">
      <alignment horizontal="left" vertical="center"/>
    </xf>
    <xf numFmtId="0" fontId="6" fillId="0" borderId="0" xfId="0" applyFont="1" applyFill="1" applyBorder="1" applyAlignment="1" applyProtection="1">
      <alignment horizontal="left" vertical="center" wrapText="1"/>
    </xf>
    <xf numFmtId="0" fontId="0" fillId="0" borderId="10" xfId="0" applyFont="1" applyFill="1" applyBorder="1" applyAlignment="1" applyProtection="1">
      <alignment horizontal="left" vertical="center" wrapText="1"/>
    </xf>
    <xf numFmtId="0" fontId="0" fillId="0" borderId="10" xfId="0" applyFont="1" applyFill="1" applyBorder="1" applyAlignment="1" applyProtection="1">
      <alignment horizontal="center" vertical="center" wrapText="1"/>
    </xf>
    <xf numFmtId="0" fontId="6" fillId="0" borderId="0" xfId="0" applyFont="1" applyFill="1" applyBorder="1" applyAlignment="1" applyProtection="1">
      <alignment horizontal="left" vertical="center"/>
    </xf>
    <xf numFmtId="0" fontId="0" fillId="0" borderId="4" xfId="0" applyFont="1" applyFill="1" applyBorder="1" applyAlignment="1" applyProtection="1">
      <alignment horizontal="center" vertical="center"/>
    </xf>
    <xf numFmtId="0" fontId="0" fillId="0" borderId="10" xfId="0" applyFont="1" applyFill="1" applyBorder="1" applyAlignment="1" applyProtection="1">
      <alignment horizontal="center" vertical="center"/>
    </xf>
    <xf numFmtId="0" fontId="13" fillId="0" borderId="10" xfId="0" applyFont="1" applyFill="1" applyBorder="1" applyProtection="1">
      <alignment vertical="center"/>
    </xf>
    <xf numFmtId="0" fontId="13" fillId="0" borderId="4" xfId="0" applyFont="1" applyBorder="1" applyAlignment="1" applyProtection="1">
      <alignment horizontal="center" vertical="center"/>
    </xf>
    <xf numFmtId="0" fontId="0" fillId="0" borderId="4" xfId="0" applyFont="1" applyBorder="1" applyAlignment="1" applyProtection="1">
      <alignment horizontal="center" vertical="center"/>
    </xf>
    <xf numFmtId="14" fontId="6" fillId="7" borderId="0" xfId="0" applyNumberFormat="1" applyFont="1" applyFill="1" applyBorder="1" applyAlignment="1" applyProtection="1">
      <alignment horizontal="left" vertical="center" wrapText="1" shrinkToFit="1"/>
    </xf>
    <xf numFmtId="0" fontId="0" fillId="0" borderId="74" xfId="0" applyFill="1" applyBorder="1">
      <alignment vertical="center"/>
    </xf>
    <xf numFmtId="49" fontId="13" fillId="0" borderId="4" xfId="0" applyNumberFormat="1" applyFont="1" applyFill="1" applyBorder="1" applyAlignment="1">
      <alignment vertical="center"/>
    </xf>
    <xf numFmtId="49" fontId="13" fillId="0" borderId="4" xfId="0" applyNumberFormat="1" applyFont="1" applyFill="1" applyBorder="1" applyAlignment="1">
      <alignment vertical="center" shrinkToFit="1"/>
    </xf>
    <xf numFmtId="0" fontId="13" fillId="0" borderId="4" xfId="0" applyFont="1" applyFill="1" applyBorder="1" applyAlignment="1">
      <alignment vertical="center"/>
    </xf>
    <xf numFmtId="0" fontId="13" fillId="0" borderId="4" xfId="0" applyFont="1" applyFill="1" applyBorder="1" applyAlignment="1" applyProtection="1">
      <alignment horizontal="left" vertical="center" shrinkToFit="1"/>
    </xf>
    <xf numFmtId="0" fontId="13" fillId="0" borderId="4" xfId="0" applyNumberFormat="1" applyFont="1" applyFill="1" applyBorder="1" applyAlignment="1">
      <alignment vertical="center"/>
    </xf>
    <xf numFmtId="0" fontId="13" fillId="0" borderId="4" xfId="0" applyNumberFormat="1" applyFont="1" applyFill="1" applyBorder="1" applyAlignment="1">
      <alignment vertical="center" shrinkToFit="1"/>
    </xf>
    <xf numFmtId="0" fontId="13" fillId="0" borderId="4" xfId="0" applyFont="1" applyFill="1" applyBorder="1">
      <alignment vertical="center"/>
    </xf>
    <xf numFmtId="0" fontId="2" fillId="0" borderId="0" xfId="3" applyFill="1" applyBorder="1" applyProtection="1"/>
    <xf numFmtId="0" fontId="13" fillId="0" borderId="4" xfId="0" applyNumberFormat="1" applyFont="1" applyFill="1" applyBorder="1" applyAlignment="1" applyProtection="1">
      <alignment horizontal="left" vertical="center"/>
    </xf>
    <xf numFmtId="0" fontId="13" fillId="0" borderId="0" xfId="0" applyFont="1" applyAlignment="1">
      <alignment vertical="center" shrinkToFit="1"/>
    </xf>
    <xf numFmtId="0" fontId="13" fillId="0" borderId="4" xfId="0" applyNumberFormat="1" applyFont="1" applyFill="1" applyBorder="1" applyAlignment="1">
      <alignment horizontal="left" vertical="center"/>
    </xf>
    <xf numFmtId="0" fontId="13" fillId="0" borderId="4" xfId="0" applyFont="1" applyFill="1" applyBorder="1" applyAlignment="1">
      <alignment horizontal="left" vertical="center"/>
    </xf>
    <xf numFmtId="0" fontId="13" fillId="0" borderId="4" xfId="0" applyNumberFormat="1" applyFont="1" applyFill="1" applyBorder="1" applyAlignment="1" applyProtection="1">
      <alignment horizontal="left" vertical="center" shrinkToFit="1"/>
    </xf>
    <xf numFmtId="0" fontId="13" fillId="0" borderId="4" xfId="0" applyNumberFormat="1" applyFont="1" applyFill="1" applyBorder="1" applyAlignment="1">
      <alignment horizontal="left" vertical="center" shrinkToFit="1"/>
    </xf>
    <xf numFmtId="0" fontId="13" fillId="0" borderId="4" xfId="0" applyNumberFormat="1" applyFont="1" applyFill="1" applyBorder="1" applyAlignment="1" applyProtection="1">
      <alignment horizontal="left" vertical="center" wrapText="1"/>
    </xf>
    <xf numFmtId="0" fontId="13" fillId="0" borderId="4" xfId="0" applyFont="1" applyFill="1" applyBorder="1" applyAlignment="1">
      <alignment vertical="center" shrinkToFit="1"/>
    </xf>
    <xf numFmtId="0" fontId="13" fillId="0" borderId="4" xfId="0" applyNumberFormat="1" applyFont="1" applyFill="1" applyBorder="1" applyAlignment="1">
      <alignment horizontal="left" vertical="center" wrapText="1"/>
    </xf>
    <xf numFmtId="0" fontId="13" fillId="0" borderId="4" xfId="0" applyFont="1" applyFill="1" applyBorder="1" applyAlignment="1">
      <alignment horizontal="left" vertical="center" wrapText="1"/>
    </xf>
    <xf numFmtId="0" fontId="13" fillId="0" borderId="0" xfId="0" applyFont="1" applyBorder="1" applyAlignment="1">
      <alignment horizontal="left" vertical="center" wrapText="1"/>
    </xf>
    <xf numFmtId="0" fontId="13" fillId="0" borderId="0" xfId="0" applyFont="1" applyBorder="1" applyAlignment="1">
      <alignment vertical="center"/>
    </xf>
    <xf numFmtId="0" fontId="13" fillId="0" borderId="0" xfId="0" applyFont="1" applyAlignment="1">
      <alignment vertical="center"/>
    </xf>
    <xf numFmtId="0" fontId="24" fillId="0" borderId="58" xfId="0" applyFont="1" applyBorder="1" applyProtection="1">
      <alignment vertical="center"/>
      <protection locked="0"/>
    </xf>
    <xf numFmtId="0" fontId="0" fillId="0" borderId="58" xfId="0" applyFont="1" applyFill="1" applyBorder="1" applyProtection="1">
      <alignment vertical="center"/>
      <protection locked="0"/>
    </xf>
    <xf numFmtId="0" fontId="41" fillId="0" borderId="0" xfId="0" applyFont="1" applyFill="1" applyAlignment="1" applyProtection="1">
      <alignment vertical="center" wrapText="1"/>
    </xf>
    <xf numFmtId="0" fontId="2" fillId="0" borderId="0" xfId="3" applyAlignment="1" applyProtection="1"/>
    <xf numFmtId="0" fontId="2" fillId="0" borderId="0" xfId="3" applyFill="1" applyAlignment="1" applyProtection="1"/>
    <xf numFmtId="0" fontId="2" fillId="0" borderId="0" xfId="3" applyBorder="1" applyProtection="1"/>
    <xf numFmtId="49" fontId="13" fillId="0" borderId="4" xfId="0" applyNumberFormat="1" applyFont="1" applyBorder="1" applyAlignment="1" applyProtection="1">
      <alignment vertical="center"/>
    </xf>
    <xf numFmtId="0" fontId="13" fillId="0" borderId="0" xfId="0" applyFont="1" applyBorder="1" applyAlignment="1">
      <alignment horizontal="left" vertical="center"/>
    </xf>
    <xf numFmtId="0" fontId="13" fillId="0" borderId="53" xfId="0" applyFont="1" applyBorder="1" applyAlignment="1">
      <alignment horizontal="left" vertical="center" wrapText="1"/>
    </xf>
    <xf numFmtId="49" fontId="13" fillId="0" borderId="0" xfId="0" applyNumberFormat="1" applyFont="1" applyFill="1" applyAlignment="1">
      <alignment vertical="center"/>
    </xf>
    <xf numFmtId="0" fontId="13" fillId="0" borderId="0" xfId="0" applyNumberFormat="1" applyFont="1" applyFill="1" applyAlignment="1">
      <alignment vertical="center" shrinkToFit="1"/>
    </xf>
    <xf numFmtId="49" fontId="13" fillId="0" borderId="0" xfId="0" applyNumberFormat="1" applyFont="1" applyFill="1" applyAlignment="1">
      <alignment horizontal="center" vertical="center" shrinkToFit="1"/>
    </xf>
    <xf numFmtId="49" fontId="13" fillId="0" borderId="0" xfId="0" applyNumberFormat="1" applyFont="1" applyFill="1" applyAlignment="1">
      <alignment vertical="center" shrinkToFit="1"/>
    </xf>
    <xf numFmtId="49" fontId="13" fillId="0" borderId="0" xfId="0" applyNumberFormat="1" applyFont="1" applyFill="1" applyAlignment="1">
      <alignment horizontal="center" vertical="center"/>
    </xf>
    <xf numFmtId="0" fontId="13" fillId="0" borderId="0" xfId="0" applyNumberFormat="1" applyFont="1" applyFill="1" applyAlignment="1">
      <alignment vertical="center"/>
    </xf>
    <xf numFmtId="49" fontId="13" fillId="0" borderId="4" xfId="0" applyNumberFormat="1" applyFont="1" applyFill="1" applyBorder="1" applyAlignment="1">
      <alignment horizontal="center" vertical="center" shrinkToFit="1"/>
    </xf>
    <xf numFmtId="49" fontId="13" fillId="0" borderId="4" xfId="0" applyNumberFormat="1" applyFont="1" applyFill="1" applyBorder="1" applyAlignment="1">
      <alignment horizontal="center" vertical="center"/>
    </xf>
    <xf numFmtId="0" fontId="13" fillId="0" borderId="4" xfId="0" applyFont="1" applyFill="1" applyBorder="1" applyAlignment="1" applyProtection="1">
      <alignment horizontal="center" vertical="center"/>
    </xf>
    <xf numFmtId="0" fontId="13" fillId="0" borderId="4" xfId="0" applyFont="1" applyFill="1" applyBorder="1" applyAlignment="1">
      <alignment horizontal="center" vertical="center"/>
    </xf>
    <xf numFmtId="0" fontId="13" fillId="0" borderId="0" xfId="0" applyFont="1" applyFill="1" applyBorder="1" applyAlignment="1">
      <alignment vertical="center"/>
    </xf>
    <xf numFmtId="0" fontId="13" fillId="0" borderId="4" xfId="0" applyFont="1" applyFill="1" applyBorder="1" applyAlignment="1">
      <alignment horizontal="center" vertical="center" shrinkToFit="1"/>
    </xf>
    <xf numFmtId="0" fontId="13" fillId="0" borderId="4" xfId="0" applyFont="1" applyFill="1" applyBorder="1" applyAlignment="1">
      <alignment horizontal="left" vertical="center" shrinkToFit="1"/>
    </xf>
    <xf numFmtId="0" fontId="13" fillId="0" borderId="0" xfId="0" applyFont="1" applyFill="1" applyBorder="1" applyAlignment="1">
      <alignment horizontal="left" vertical="center"/>
    </xf>
    <xf numFmtId="0" fontId="13" fillId="0" borderId="0" xfId="0" applyFont="1" applyFill="1" applyBorder="1" applyAlignment="1">
      <alignment horizontal="left" vertical="center" shrinkToFit="1"/>
    </xf>
    <xf numFmtId="0" fontId="13" fillId="0" borderId="0" xfId="0" applyFont="1" applyBorder="1" applyAlignment="1">
      <alignment horizontal="left" vertical="center" shrinkToFit="1"/>
    </xf>
    <xf numFmtId="0" fontId="13" fillId="0" borderId="4" xfId="0" applyFont="1" applyFill="1" applyBorder="1" applyAlignment="1" applyProtection="1">
      <alignment horizontal="center" vertical="center" wrapText="1"/>
    </xf>
    <xf numFmtId="0" fontId="13" fillId="0" borderId="0" xfId="0" applyFont="1" applyFill="1" applyBorder="1" applyAlignment="1">
      <alignment horizontal="left" vertical="center" wrapText="1"/>
    </xf>
    <xf numFmtId="0" fontId="13" fillId="0" borderId="0" xfId="0" applyFont="1" applyFill="1" applyBorder="1" applyAlignment="1" applyProtection="1">
      <alignment horizontal="left" vertical="center"/>
    </xf>
    <xf numFmtId="0" fontId="13" fillId="0" borderId="0" xfId="0" applyNumberFormat="1" applyFont="1" applyFill="1" applyBorder="1" applyAlignment="1">
      <alignment horizontal="left" vertical="center" shrinkToFit="1"/>
    </xf>
    <xf numFmtId="0" fontId="13" fillId="0" borderId="0" xfId="0" applyNumberFormat="1" applyFont="1" applyFill="1" applyBorder="1" applyAlignment="1">
      <alignment vertical="center" shrinkToFit="1"/>
    </xf>
    <xf numFmtId="49" fontId="13" fillId="0" borderId="0" xfId="0" applyNumberFormat="1" applyFont="1" applyFill="1" applyBorder="1" applyAlignment="1">
      <alignment horizontal="center" vertical="center"/>
    </xf>
    <xf numFmtId="0" fontId="13" fillId="0" borderId="0" xfId="0" applyFont="1" applyFill="1" applyBorder="1" applyAlignment="1">
      <alignment vertical="center" shrinkToFit="1"/>
    </xf>
    <xf numFmtId="0" fontId="13" fillId="0" borderId="0" xfId="0" applyFont="1" applyBorder="1" applyProtection="1">
      <alignment vertical="center"/>
    </xf>
    <xf numFmtId="0" fontId="13" fillId="0" borderId="0" xfId="0" applyFont="1" applyBorder="1" applyAlignment="1">
      <alignment vertical="center" shrinkToFit="1"/>
    </xf>
    <xf numFmtId="49" fontId="13" fillId="0" borderId="0" xfId="0" applyNumberFormat="1" applyFont="1">
      <alignment vertical="center"/>
    </xf>
    <xf numFmtId="0" fontId="13" fillId="0" borderId="0" xfId="0" applyFont="1" applyAlignment="1">
      <alignment horizontal="center" vertical="center"/>
    </xf>
    <xf numFmtId="0" fontId="0" fillId="0" borderId="4" xfId="0" applyNumberFormat="1" applyFont="1" applyFill="1" applyBorder="1" applyProtection="1">
      <alignment vertical="center"/>
    </xf>
    <xf numFmtId="0" fontId="13" fillId="3" borderId="20" xfId="0" applyFont="1" applyFill="1" applyBorder="1" applyAlignment="1" applyProtection="1">
      <alignment vertical="center"/>
    </xf>
    <xf numFmtId="0" fontId="0" fillId="0" borderId="0" xfId="0" applyFont="1">
      <alignment vertical="center"/>
    </xf>
    <xf numFmtId="0" fontId="0" fillId="0" borderId="0" xfId="0" applyProtection="1">
      <alignment vertical="center"/>
    </xf>
    <xf numFmtId="0" fontId="13" fillId="0" borderId="0" xfId="0" applyFont="1">
      <alignment vertical="center"/>
    </xf>
    <xf numFmtId="0" fontId="0" fillId="0" borderId="0" xfId="0" applyBorder="1" applyAlignment="1" applyProtection="1">
      <alignment vertical="center"/>
    </xf>
    <xf numFmtId="49" fontId="13" fillId="0" borderId="4" xfId="0" applyNumberFormat="1" applyFont="1" applyFill="1" applyBorder="1" applyAlignment="1">
      <alignment horizontal="center" vertical="center" shrinkToFit="1"/>
    </xf>
    <xf numFmtId="0" fontId="0" fillId="3" borderId="0" xfId="0" applyFont="1" applyFill="1" applyAlignment="1" applyProtection="1">
      <alignment horizontal="right" vertical="center"/>
    </xf>
    <xf numFmtId="0" fontId="0" fillId="12" borderId="0" xfId="0" applyFont="1" applyFill="1" applyAlignment="1" applyProtection="1">
      <alignment horizontal="left" vertical="center"/>
    </xf>
    <xf numFmtId="0" fontId="6" fillId="12" borderId="75" xfId="0" applyFont="1" applyFill="1" applyBorder="1" applyAlignment="1" applyProtection="1">
      <alignment horizontal="left" vertical="center"/>
    </xf>
    <xf numFmtId="0" fontId="6" fillId="12" borderId="18" xfId="0" applyFont="1" applyFill="1" applyBorder="1" applyAlignment="1" applyProtection="1">
      <alignment horizontal="left" vertical="center"/>
    </xf>
    <xf numFmtId="14" fontId="6" fillId="0" borderId="68" xfId="0" applyNumberFormat="1" applyFont="1" applyBorder="1" applyAlignment="1" applyProtection="1">
      <alignment horizontal="left" vertical="center" wrapText="1" shrinkToFit="1"/>
    </xf>
    <xf numFmtId="0" fontId="13" fillId="3" borderId="134" xfId="0" applyFont="1" applyFill="1" applyBorder="1" applyAlignment="1" applyProtection="1">
      <alignment horizontal="left" vertical="center"/>
    </xf>
    <xf numFmtId="0" fontId="13" fillId="3" borderId="151" xfId="0" applyFont="1" applyFill="1" applyBorder="1" applyAlignment="1" applyProtection="1">
      <alignment horizontal="left" vertical="center"/>
    </xf>
    <xf numFmtId="0" fontId="13" fillId="3" borderId="154" xfId="0" applyFont="1" applyFill="1" applyBorder="1" applyAlignment="1" applyProtection="1">
      <alignment horizontal="left" vertical="center"/>
    </xf>
    <xf numFmtId="0" fontId="13" fillId="3" borderId="153" xfId="0" applyFont="1" applyFill="1" applyBorder="1" applyAlignment="1" applyProtection="1">
      <alignment horizontal="left" vertical="center"/>
    </xf>
    <xf numFmtId="183" fontId="0" fillId="0" borderId="0" xfId="0" applyNumberFormat="1" applyFont="1" applyProtection="1">
      <alignment vertical="center"/>
    </xf>
    <xf numFmtId="184" fontId="0" fillId="0" borderId="0" xfId="0" applyNumberFormat="1" applyFont="1" applyProtection="1">
      <alignment vertical="center"/>
    </xf>
    <xf numFmtId="0" fontId="6" fillId="0" borderId="8" xfId="0" applyNumberFormat="1" applyFont="1" applyFill="1" applyBorder="1" applyAlignment="1" applyProtection="1">
      <alignment horizontal="left" vertical="center" wrapText="1" shrinkToFit="1"/>
    </xf>
    <xf numFmtId="14" fontId="6" fillId="0" borderId="8" xfId="0" applyNumberFormat="1" applyFont="1" applyFill="1" applyBorder="1" applyAlignment="1" applyProtection="1">
      <alignment horizontal="left" vertical="center" wrapText="1" shrinkToFit="1"/>
    </xf>
    <xf numFmtId="0" fontId="0" fillId="0" borderId="0" xfId="0" applyFont="1" applyFill="1" applyAlignment="1" applyProtection="1">
      <alignment vertical="center" wrapText="1"/>
    </xf>
    <xf numFmtId="0" fontId="0" fillId="0" borderId="79" xfId="0" applyBorder="1" applyAlignment="1">
      <alignment vertical="center" shrinkToFit="1"/>
    </xf>
    <xf numFmtId="0" fontId="0" fillId="0" borderId="33" xfId="0" applyFont="1" applyFill="1" applyBorder="1" applyAlignment="1" applyProtection="1">
      <alignment horizontal="center" vertical="center"/>
    </xf>
    <xf numFmtId="0" fontId="0" fillId="0" borderId="58" xfId="0" applyFont="1" applyFill="1" applyBorder="1" applyAlignment="1" applyProtection="1">
      <alignment horizontal="center" vertical="center"/>
    </xf>
    <xf numFmtId="0" fontId="0" fillId="0" borderId="23" xfId="0" applyFont="1" applyFill="1" applyBorder="1" applyAlignment="1" applyProtection="1">
      <alignment vertical="center" wrapText="1"/>
    </xf>
    <xf numFmtId="0" fontId="0" fillId="3" borderId="23" xfId="0" applyFont="1" applyFill="1" applyBorder="1" applyProtection="1">
      <alignment vertical="center"/>
    </xf>
    <xf numFmtId="181" fontId="12" fillId="3" borderId="0" xfId="0" applyNumberFormat="1" applyFont="1" applyFill="1" applyBorder="1" applyAlignment="1" applyProtection="1">
      <alignment horizontal="left" vertical="top" wrapText="1"/>
    </xf>
    <xf numFmtId="0" fontId="0" fillId="0" borderId="0" xfId="0" applyNumberFormat="1" applyFont="1" applyProtection="1">
      <alignment vertical="center"/>
    </xf>
    <xf numFmtId="0" fontId="24" fillId="0" borderId="5" xfId="0" applyFont="1" applyFill="1" applyBorder="1" applyProtection="1">
      <alignment vertical="center"/>
    </xf>
    <xf numFmtId="0" fontId="24" fillId="0" borderId="0" xfId="0" applyFont="1" applyFill="1" applyBorder="1" applyProtection="1">
      <alignment vertical="center"/>
    </xf>
    <xf numFmtId="49" fontId="13" fillId="0" borderId="2" xfId="0" applyNumberFormat="1" applyFont="1" applyFill="1" applyBorder="1" applyAlignment="1" applyProtection="1">
      <alignment vertical="center" shrinkToFit="1"/>
    </xf>
    <xf numFmtId="0" fontId="22" fillId="0" borderId="7" xfId="0" applyFont="1" applyBorder="1" applyProtection="1">
      <alignment vertical="center"/>
    </xf>
    <xf numFmtId="0" fontId="22" fillId="0" borderId="8" xfId="0" applyFont="1" applyBorder="1" applyProtection="1">
      <alignment vertical="center"/>
    </xf>
    <xf numFmtId="0" fontId="22" fillId="0" borderId="9" xfId="0" applyFont="1" applyBorder="1" applyProtection="1">
      <alignment vertical="center"/>
    </xf>
    <xf numFmtId="49" fontId="13" fillId="0" borderId="0" xfId="0" applyNumberFormat="1" applyFont="1" applyBorder="1" applyProtection="1">
      <alignment vertical="center"/>
    </xf>
    <xf numFmtId="49" fontId="0" fillId="0" borderId="0" xfId="0" applyNumberFormat="1" applyFont="1" applyBorder="1" applyProtection="1">
      <alignment vertical="center"/>
    </xf>
    <xf numFmtId="0" fontId="0" fillId="0" borderId="0" xfId="0" applyFont="1" applyFill="1" applyBorder="1" applyProtection="1">
      <alignment vertical="center"/>
    </xf>
    <xf numFmtId="0" fontId="6" fillId="5" borderId="32" xfId="0" applyFont="1" applyFill="1" applyBorder="1" applyAlignment="1" applyProtection="1">
      <alignment horizontal="left" vertical="center" shrinkToFit="1"/>
    </xf>
    <xf numFmtId="0" fontId="6" fillId="0" borderId="14" xfId="0" applyNumberFormat="1" applyFont="1" applyBorder="1" applyAlignment="1" applyProtection="1">
      <alignment horizontal="left" vertical="center" wrapText="1" shrinkToFit="1"/>
    </xf>
    <xf numFmtId="0" fontId="6" fillId="8" borderId="101" xfId="0" applyNumberFormat="1" applyFont="1" applyFill="1" applyBorder="1" applyAlignment="1" applyProtection="1">
      <alignment horizontal="left" vertical="center" wrapText="1" shrinkToFit="1"/>
    </xf>
    <xf numFmtId="0" fontId="6" fillId="5" borderId="14" xfId="0" applyNumberFormat="1" applyFont="1" applyFill="1" applyBorder="1" applyAlignment="1" applyProtection="1">
      <alignment horizontal="left" vertical="center" wrapText="1" shrinkToFit="1"/>
    </xf>
    <xf numFmtId="0" fontId="13" fillId="0" borderId="8" xfId="0" applyFont="1" applyFill="1" applyBorder="1" applyProtection="1">
      <alignment vertical="center"/>
    </xf>
    <xf numFmtId="49" fontId="13" fillId="0" borderId="9" xfId="0" applyNumberFormat="1" applyFont="1" applyBorder="1" applyProtection="1">
      <alignment vertical="center"/>
    </xf>
    <xf numFmtId="0" fontId="0" fillId="0" borderId="7" xfId="0" applyNumberFormat="1" applyFont="1" applyFill="1" applyBorder="1" applyProtection="1">
      <alignment vertical="center"/>
    </xf>
    <xf numFmtId="49" fontId="0" fillId="0" borderId="9" xfId="0" applyNumberFormat="1" applyFont="1" applyBorder="1" applyProtection="1">
      <alignment vertical="center"/>
    </xf>
    <xf numFmtId="49" fontId="0" fillId="0" borderId="8" xfId="0" applyNumberFormat="1" applyFont="1" applyBorder="1" applyProtection="1">
      <alignment vertical="center"/>
    </xf>
    <xf numFmtId="0" fontId="13" fillId="0" borderId="4" xfId="0" applyNumberFormat="1" applyFont="1" applyFill="1" applyBorder="1" applyProtection="1">
      <alignment vertical="center"/>
    </xf>
    <xf numFmtId="0" fontId="13" fillId="0" borderId="0" xfId="0" applyFont="1" applyFill="1" applyBorder="1" applyProtection="1">
      <alignment vertical="center"/>
    </xf>
    <xf numFmtId="0" fontId="0" fillId="0" borderId="0" xfId="0" applyFill="1">
      <alignment vertical="center"/>
    </xf>
    <xf numFmtId="0" fontId="0" fillId="0" borderId="38" xfId="0" applyFont="1" applyFill="1" applyBorder="1" applyProtection="1">
      <alignment vertical="center"/>
    </xf>
    <xf numFmtId="0" fontId="13" fillId="0" borderId="4" xfId="0" applyFont="1" applyBorder="1" applyProtection="1">
      <alignment vertical="center"/>
      <protection locked="0"/>
    </xf>
    <xf numFmtId="0" fontId="0" fillId="0" borderId="3" xfId="0" applyNumberFormat="1" applyFont="1" applyFill="1" applyBorder="1" applyProtection="1">
      <alignment vertical="center"/>
    </xf>
    <xf numFmtId="0" fontId="13" fillId="0" borderId="20" xfId="0" applyFont="1" applyFill="1" applyBorder="1" applyProtection="1">
      <alignment vertical="center"/>
    </xf>
    <xf numFmtId="0" fontId="24" fillId="0" borderId="2" xfId="0" applyFont="1" applyFill="1" applyBorder="1" applyProtection="1">
      <alignment vertical="center"/>
    </xf>
    <xf numFmtId="0" fontId="13" fillId="0" borderId="4" xfId="0" applyFont="1" applyBorder="1" applyAlignment="1" applyProtection="1">
      <alignment horizontal="left" vertical="center"/>
    </xf>
    <xf numFmtId="0" fontId="13" fillId="0" borderId="33" xfId="0" applyFont="1" applyFill="1" applyBorder="1" applyProtection="1">
      <alignment vertical="center"/>
    </xf>
    <xf numFmtId="0" fontId="13" fillId="0" borderId="7" xfId="0" applyFont="1" applyBorder="1" applyProtection="1">
      <alignment vertical="center"/>
    </xf>
    <xf numFmtId="0" fontId="13" fillId="3" borderId="4" xfId="0" applyFont="1" applyFill="1" applyBorder="1" applyAlignment="1" applyProtection="1">
      <alignment vertical="center" shrinkToFit="1"/>
    </xf>
    <xf numFmtId="0" fontId="13" fillId="3" borderId="155" xfId="0" applyFont="1" applyFill="1" applyBorder="1" applyProtection="1">
      <alignment vertical="center"/>
    </xf>
    <xf numFmtId="0" fontId="13" fillId="0" borderId="156" xfId="0" applyFont="1" applyFill="1" applyBorder="1" applyProtection="1">
      <alignment vertical="center"/>
    </xf>
    <xf numFmtId="0" fontId="13" fillId="0" borderId="4" xfId="0" applyFont="1" applyFill="1" applyBorder="1" applyAlignment="1" applyProtection="1">
      <alignment vertical="center" shrinkToFit="1"/>
    </xf>
    <xf numFmtId="0" fontId="6" fillId="0" borderId="0" xfId="0" applyFont="1" applyFill="1" applyAlignment="1" applyProtection="1">
      <alignment horizontal="left" vertical="center"/>
    </xf>
    <xf numFmtId="0" fontId="0" fillId="12" borderId="4" xfId="0" applyFont="1" applyFill="1" applyBorder="1" applyAlignment="1" applyProtection="1">
      <alignment horizontal="left" vertical="center"/>
    </xf>
    <xf numFmtId="0" fontId="0" fillId="0" borderId="4" xfId="0" applyFont="1" applyFill="1" applyBorder="1" applyAlignment="1" applyProtection="1">
      <alignment horizontal="left" vertical="center"/>
    </xf>
    <xf numFmtId="0" fontId="6" fillId="0" borderId="33" xfId="0" applyFont="1" applyBorder="1" applyAlignment="1" applyProtection="1">
      <alignment horizontal="left" vertical="center" wrapText="1"/>
    </xf>
    <xf numFmtId="0" fontId="6" fillId="0" borderId="35" xfId="0" applyFont="1" applyBorder="1" applyAlignment="1" applyProtection="1">
      <alignment horizontal="left" vertical="center" wrapText="1"/>
    </xf>
    <xf numFmtId="0" fontId="0" fillId="3" borderId="4" xfId="0" applyFont="1" applyFill="1" applyBorder="1" applyAlignment="1" applyProtection="1">
      <alignment horizontal="left" vertical="center"/>
    </xf>
    <xf numFmtId="0" fontId="6" fillId="3" borderId="4" xfId="0" applyFont="1" applyFill="1" applyBorder="1" applyAlignment="1" applyProtection="1">
      <alignment horizontal="left" vertical="center"/>
    </xf>
    <xf numFmtId="0" fontId="6" fillId="12" borderId="41" xfId="0" applyFont="1" applyFill="1" applyBorder="1" applyAlignment="1" applyProtection="1">
      <alignment horizontal="left" vertical="center"/>
    </xf>
    <xf numFmtId="0" fontId="6" fillId="0" borderId="20" xfId="0" applyFont="1" applyBorder="1" applyAlignment="1" applyProtection="1">
      <alignment horizontal="left" vertical="center" wrapText="1"/>
    </xf>
    <xf numFmtId="0" fontId="6" fillId="0" borderId="20" xfId="0" applyFont="1" applyFill="1" applyBorder="1" applyAlignment="1" applyProtection="1">
      <alignment horizontal="left" vertical="center"/>
    </xf>
    <xf numFmtId="0" fontId="6" fillId="0" borderId="20" xfId="0" applyFont="1" applyBorder="1" applyAlignment="1" applyProtection="1">
      <alignment horizontal="left" vertical="center"/>
    </xf>
    <xf numFmtId="0" fontId="6" fillId="5" borderId="30" xfId="0" applyFont="1" applyFill="1" applyBorder="1" applyAlignment="1" applyProtection="1">
      <alignment horizontal="left" vertical="center" shrinkToFit="1"/>
    </xf>
    <xf numFmtId="0" fontId="6" fillId="0" borderId="7" xfId="0" applyNumberFormat="1" applyFont="1" applyBorder="1" applyAlignment="1" applyProtection="1">
      <alignment horizontal="left" vertical="center" wrapText="1" shrinkToFit="1"/>
    </xf>
    <xf numFmtId="0" fontId="6" fillId="0" borderId="13" xfId="0" applyFont="1" applyBorder="1" applyAlignment="1" applyProtection="1">
      <alignment horizontal="left" vertical="center" wrapText="1"/>
    </xf>
    <xf numFmtId="0" fontId="6" fillId="0" borderId="14" xfId="0" applyFont="1" applyBorder="1" applyAlignment="1" applyProtection="1">
      <alignment horizontal="left" vertical="center" wrapText="1"/>
    </xf>
    <xf numFmtId="0" fontId="6" fillId="0" borderId="32" xfId="0" applyFont="1" applyBorder="1" applyAlignment="1" applyProtection="1">
      <alignment horizontal="left" vertical="center" wrapText="1"/>
    </xf>
    <xf numFmtId="0" fontId="6" fillId="0" borderId="96" xfId="0" applyFont="1" applyBorder="1" applyAlignment="1" applyProtection="1">
      <alignment horizontal="left" vertical="center" wrapText="1"/>
    </xf>
    <xf numFmtId="0" fontId="6" fillId="0" borderId="95" xfId="0" applyFont="1" applyBorder="1" applyAlignment="1" applyProtection="1">
      <alignment horizontal="left" vertical="center" wrapText="1"/>
    </xf>
    <xf numFmtId="0" fontId="6" fillId="0" borderId="19" xfId="0" applyNumberFormat="1" applyFont="1" applyBorder="1" applyAlignment="1" applyProtection="1">
      <alignment horizontal="left" vertical="center" wrapText="1" shrinkToFit="1"/>
    </xf>
    <xf numFmtId="14" fontId="6" fillId="0" borderId="17" xfId="0" applyNumberFormat="1" applyFont="1" applyBorder="1" applyAlignment="1" applyProtection="1">
      <alignment horizontal="left" vertical="center" wrapText="1" shrinkToFit="1"/>
    </xf>
    <xf numFmtId="0" fontId="6" fillId="3" borderId="17" xfId="0" applyNumberFormat="1" applyFont="1" applyFill="1" applyBorder="1" applyAlignment="1" applyProtection="1">
      <alignment horizontal="left" vertical="center" wrapText="1" shrinkToFit="1"/>
    </xf>
    <xf numFmtId="14" fontId="6" fillId="0" borderId="17" xfId="0" applyNumberFormat="1" applyFont="1" applyFill="1" applyBorder="1" applyAlignment="1" applyProtection="1">
      <alignment horizontal="left" vertical="center" wrapText="1" shrinkToFit="1"/>
    </xf>
    <xf numFmtId="0" fontId="6" fillId="0" borderId="32" xfId="0" applyNumberFormat="1" applyFont="1" applyBorder="1" applyAlignment="1" applyProtection="1">
      <alignment horizontal="left" vertical="center" wrapText="1" shrinkToFit="1"/>
    </xf>
    <xf numFmtId="0" fontId="6" fillId="0" borderId="9" xfId="0" applyFont="1" applyBorder="1" applyAlignment="1" applyProtection="1">
      <alignment horizontal="left" vertical="center"/>
    </xf>
    <xf numFmtId="0" fontId="6" fillId="0" borderId="9" xfId="0" applyFont="1" applyBorder="1" applyAlignment="1" applyProtection="1">
      <alignment horizontal="left" vertical="center" wrapText="1"/>
    </xf>
    <xf numFmtId="0" fontId="6" fillId="0" borderId="31" xfId="0" applyFont="1" applyBorder="1" applyAlignment="1" applyProtection="1">
      <alignment horizontal="left" vertical="center" wrapText="1"/>
    </xf>
    <xf numFmtId="0" fontId="6" fillId="0" borderId="19" xfId="0" applyNumberFormat="1" applyFont="1" applyFill="1" applyBorder="1" applyAlignment="1" applyProtection="1">
      <alignment horizontal="left" vertical="center" wrapText="1" shrinkToFit="1"/>
    </xf>
    <xf numFmtId="0" fontId="6" fillId="0" borderId="36" xfId="0" applyNumberFormat="1" applyFont="1" applyFill="1" applyBorder="1" applyAlignment="1" applyProtection="1">
      <alignment horizontal="left" vertical="center" wrapText="1" shrinkToFit="1"/>
    </xf>
    <xf numFmtId="0" fontId="6" fillId="0" borderId="144" xfId="0" applyFont="1" applyBorder="1" applyAlignment="1" applyProtection="1">
      <alignment horizontal="left" vertical="center" wrapText="1" shrinkToFit="1"/>
    </xf>
    <xf numFmtId="0" fontId="6" fillId="0" borderId="17" xfId="0" applyFont="1" applyBorder="1" applyAlignment="1" applyProtection="1">
      <alignment horizontal="left" vertical="center" wrapText="1" shrinkToFit="1"/>
    </xf>
    <xf numFmtId="0" fontId="6" fillId="0" borderId="30" xfId="0" applyNumberFormat="1" applyFont="1" applyFill="1" applyBorder="1" applyAlignment="1" applyProtection="1">
      <alignment horizontal="left" vertical="center" wrapText="1" shrinkToFit="1"/>
    </xf>
    <xf numFmtId="0" fontId="6" fillId="0" borderId="18" xfId="2" applyFont="1" applyBorder="1" applyAlignment="1" applyProtection="1">
      <alignment horizontal="left" vertical="center"/>
    </xf>
    <xf numFmtId="0" fontId="6" fillId="0" borderId="68" xfId="2" applyFont="1" applyBorder="1" applyAlignment="1" applyProtection="1">
      <alignment horizontal="left" vertical="center"/>
    </xf>
    <xf numFmtId="0" fontId="6" fillId="0" borderId="75" xfId="2" applyFont="1" applyBorder="1" applyAlignment="1" applyProtection="1">
      <alignment horizontal="left" vertical="center"/>
    </xf>
    <xf numFmtId="0" fontId="6" fillId="0" borderId="13" xfId="2" applyFont="1" applyBorder="1" applyAlignment="1" applyProtection="1">
      <alignment horizontal="left" vertical="center"/>
    </xf>
    <xf numFmtId="0" fontId="6" fillId="0" borderId="14" xfId="2" applyFont="1" applyBorder="1" applyAlignment="1" applyProtection="1">
      <alignment horizontal="left" vertical="center"/>
    </xf>
    <xf numFmtId="0" fontId="6" fillId="0" borderId="19" xfId="2" applyFont="1" applyBorder="1" applyAlignment="1" applyProtection="1">
      <alignment horizontal="left" vertical="center"/>
    </xf>
    <xf numFmtId="0" fontId="6" fillId="0" borderId="17" xfId="2" applyFont="1" applyBorder="1" applyAlignment="1" applyProtection="1">
      <alignment horizontal="left" vertical="center"/>
    </xf>
    <xf numFmtId="0" fontId="6" fillId="0" borderId="32" xfId="2" applyFont="1" applyBorder="1" applyAlignment="1" applyProtection="1">
      <alignment horizontal="left" vertical="center"/>
    </xf>
    <xf numFmtId="0" fontId="33" fillId="0" borderId="68" xfId="2" applyFont="1" applyFill="1" applyBorder="1" applyAlignment="1" applyProtection="1">
      <alignment horizontal="left" vertical="center" shrinkToFit="1"/>
    </xf>
    <xf numFmtId="0" fontId="6" fillId="0" borderId="75" xfId="0" applyFont="1" applyFill="1" applyBorder="1" applyAlignment="1" applyProtection="1">
      <alignment horizontal="left" vertical="center"/>
    </xf>
    <xf numFmtId="0" fontId="6" fillId="0" borderId="39" xfId="0" applyFont="1" applyBorder="1" applyAlignment="1" applyProtection="1">
      <alignment horizontal="left" vertical="center" wrapText="1" shrinkToFit="1"/>
    </xf>
    <xf numFmtId="0" fontId="6" fillId="0" borderId="18" xfId="0" applyFont="1" applyFill="1" applyBorder="1" applyAlignment="1" applyProtection="1">
      <alignment horizontal="left" vertical="center" wrapText="1"/>
    </xf>
    <xf numFmtId="0" fontId="6" fillId="0" borderId="75" xfId="0" applyFont="1" applyBorder="1" applyAlignment="1" applyProtection="1">
      <alignment horizontal="left" vertical="center"/>
    </xf>
    <xf numFmtId="0" fontId="6" fillId="0" borderId="79" xfId="0" applyFont="1" applyBorder="1" applyAlignment="1" applyProtection="1">
      <alignment horizontal="left" vertical="center" wrapText="1" shrinkToFit="1"/>
    </xf>
    <xf numFmtId="0" fontId="6" fillId="0" borderId="97" xfId="0" applyFont="1" applyFill="1" applyBorder="1" applyAlignment="1" applyProtection="1">
      <alignment horizontal="left" vertical="center" wrapText="1"/>
    </xf>
    <xf numFmtId="0" fontId="6" fillId="0" borderId="14" xfId="0" applyFont="1" applyBorder="1" applyAlignment="1" applyProtection="1">
      <alignment horizontal="left" vertical="center" wrapText="1" shrinkToFit="1"/>
    </xf>
    <xf numFmtId="0" fontId="6" fillId="0" borderId="32" xfId="0" applyFont="1" applyBorder="1" applyAlignment="1" applyProtection="1">
      <alignment horizontal="left" vertical="center" wrapText="1" shrinkToFit="1"/>
    </xf>
    <xf numFmtId="0" fontId="6" fillId="12" borderId="58" xfId="0" applyFont="1" applyFill="1" applyBorder="1" applyAlignment="1" applyProtection="1">
      <alignment horizontal="left" vertical="center"/>
    </xf>
    <xf numFmtId="0" fontId="6" fillId="12" borderId="58" xfId="0" applyFont="1" applyFill="1" applyBorder="1" applyAlignment="1" applyProtection="1">
      <alignment horizontal="left" vertical="center" shrinkToFit="1"/>
    </xf>
    <xf numFmtId="0" fontId="0" fillId="13" borderId="4" xfId="0" applyFont="1" applyFill="1" applyBorder="1" applyAlignment="1" applyProtection="1">
      <alignment horizontal="left" vertical="center" wrapText="1"/>
    </xf>
    <xf numFmtId="14" fontId="6" fillId="0" borderId="68" xfId="0" applyNumberFormat="1" applyFont="1" applyFill="1" applyBorder="1" applyAlignment="1" applyProtection="1">
      <alignment horizontal="left" vertical="center" wrapText="1" shrinkToFit="1"/>
    </xf>
    <xf numFmtId="0" fontId="0" fillId="0" borderId="0" xfId="0" applyFont="1" applyFill="1" applyAlignment="1">
      <alignment horizontal="left" vertical="center" shrinkToFit="1"/>
    </xf>
    <xf numFmtId="0" fontId="13" fillId="0" borderId="0" xfId="0" applyFont="1" applyFill="1" applyAlignment="1">
      <alignment horizontal="left" vertical="center"/>
    </xf>
    <xf numFmtId="0" fontId="22" fillId="0" borderId="0" xfId="0" applyFont="1" applyFill="1">
      <alignment vertical="center"/>
    </xf>
    <xf numFmtId="0" fontId="22" fillId="0" borderId="0" xfId="0" applyFont="1" applyFill="1" applyAlignment="1">
      <alignment horizontal="left" vertical="center"/>
    </xf>
    <xf numFmtId="49" fontId="22" fillId="0" borderId="0" xfId="0" applyNumberFormat="1" applyFont="1" applyFill="1" applyAlignment="1">
      <alignment horizontal="left" vertical="center"/>
    </xf>
    <xf numFmtId="49" fontId="0" fillId="0" borderId="0" xfId="0" applyNumberFormat="1" applyFont="1" applyFill="1" applyAlignment="1">
      <alignment horizontal="left" vertical="center"/>
    </xf>
    <xf numFmtId="49" fontId="13" fillId="0" borderId="0" xfId="0" applyNumberFormat="1" applyFont="1" applyFill="1" applyAlignment="1">
      <alignment horizontal="left" vertical="center"/>
    </xf>
    <xf numFmtId="0" fontId="24" fillId="0" borderId="0" xfId="0" applyFont="1" applyFill="1">
      <alignment vertical="center"/>
    </xf>
    <xf numFmtId="0" fontId="24" fillId="0" borderId="0" xfId="0" applyFont="1" applyFill="1" applyAlignment="1">
      <alignment horizontal="left" vertical="center"/>
    </xf>
    <xf numFmtId="49" fontId="24" fillId="0" borderId="0" xfId="0" applyNumberFormat="1" applyFont="1" applyFill="1" applyAlignment="1">
      <alignment horizontal="left" vertical="center"/>
    </xf>
    <xf numFmtId="0" fontId="13" fillId="0" borderId="0" xfId="0" applyNumberFormat="1" applyFont="1" applyFill="1" applyAlignment="1">
      <alignment horizontal="left" vertical="center"/>
    </xf>
    <xf numFmtId="0" fontId="0" fillId="0" borderId="0" xfId="0" applyNumberFormat="1" applyFont="1" applyFill="1" applyAlignment="1">
      <alignment horizontal="left" vertical="center"/>
    </xf>
    <xf numFmtId="56" fontId="0" fillId="0" borderId="0" xfId="0" applyNumberFormat="1" applyFont="1" applyFill="1" applyAlignment="1">
      <alignment horizontal="left" vertical="center"/>
    </xf>
    <xf numFmtId="0" fontId="0" fillId="0" borderId="0" xfId="0" applyFill="1" applyAlignment="1">
      <alignment horizontal="left" vertical="center"/>
    </xf>
    <xf numFmtId="14" fontId="6" fillId="3" borderId="17" xfId="0" applyNumberFormat="1" applyFont="1" applyFill="1" applyBorder="1" applyAlignment="1" applyProtection="1">
      <alignment horizontal="left" vertical="center" wrapText="1" shrinkToFit="1"/>
    </xf>
    <xf numFmtId="0" fontId="6" fillId="0" borderId="89" xfId="0" applyFont="1" applyBorder="1" applyAlignment="1" applyProtection="1">
      <alignment horizontal="left" vertical="center" wrapText="1"/>
    </xf>
    <xf numFmtId="0" fontId="6" fillId="0" borderId="157" xfId="0" applyFont="1" applyBorder="1" applyAlignment="1" applyProtection="1">
      <alignment horizontal="left" vertical="center" wrapText="1" shrinkToFit="1"/>
    </xf>
    <xf numFmtId="0" fontId="6" fillId="5" borderId="34" xfId="0" applyFont="1" applyFill="1" applyBorder="1" applyAlignment="1" applyProtection="1">
      <alignment horizontal="left" vertical="center" wrapText="1"/>
    </xf>
    <xf numFmtId="0" fontId="6" fillId="0" borderId="35" xfId="0" applyFont="1" applyBorder="1" applyAlignment="1" applyProtection="1">
      <alignment horizontal="left" vertical="center"/>
    </xf>
    <xf numFmtId="0" fontId="6" fillId="4" borderId="4" xfId="0" applyFont="1" applyFill="1" applyBorder="1" applyAlignment="1" applyProtection="1">
      <alignment horizontal="left" vertical="center" wrapText="1"/>
    </xf>
    <xf numFmtId="0" fontId="6" fillId="0" borderId="41" xfId="2" applyFont="1" applyBorder="1" applyAlignment="1" applyProtection="1">
      <alignment horizontal="left" vertical="center"/>
    </xf>
    <xf numFmtId="0" fontId="6" fillId="0" borderId="46" xfId="2" applyFont="1" applyBorder="1" applyAlignment="1" applyProtection="1">
      <alignment horizontal="left" vertical="center"/>
    </xf>
    <xf numFmtId="0" fontId="6" fillId="4" borderId="8" xfId="0" applyFont="1" applyFill="1" applyBorder="1" applyAlignment="1" applyProtection="1">
      <alignment horizontal="left" vertical="center" wrapText="1"/>
    </xf>
    <xf numFmtId="0" fontId="33" fillId="0" borderId="68" xfId="2" applyFont="1" applyFill="1" applyBorder="1" applyAlignment="1" applyProtection="1">
      <alignment horizontal="left" vertical="center"/>
    </xf>
    <xf numFmtId="0" fontId="6" fillId="0" borderId="68" xfId="0" applyFont="1" applyBorder="1" applyAlignment="1" applyProtection="1">
      <alignment horizontal="left" vertical="center" wrapText="1"/>
    </xf>
    <xf numFmtId="0" fontId="6" fillId="0" borderId="75" xfId="0" applyFont="1" applyBorder="1" applyAlignment="1" applyProtection="1">
      <alignment horizontal="left" vertical="center" wrapText="1" shrinkToFit="1"/>
    </xf>
    <xf numFmtId="0" fontId="6" fillId="0" borderId="99" xfId="0" applyFont="1" applyFill="1" applyBorder="1" applyAlignment="1" applyProtection="1">
      <alignment horizontal="left" vertical="center" wrapText="1"/>
    </xf>
    <xf numFmtId="0" fontId="6" fillId="0" borderId="0" xfId="2" applyFont="1" applyBorder="1" applyAlignment="1" applyProtection="1">
      <alignment horizontal="left" vertical="center"/>
    </xf>
    <xf numFmtId="0" fontId="6" fillId="8" borderId="42" xfId="0" applyNumberFormat="1" applyFont="1" applyFill="1" applyBorder="1" applyAlignment="1" applyProtection="1">
      <alignment horizontal="left" vertical="center" wrapText="1" shrinkToFit="1"/>
    </xf>
    <xf numFmtId="0" fontId="6" fillId="0" borderId="9" xfId="0" applyFont="1" applyFill="1" applyBorder="1" applyAlignment="1" applyProtection="1">
      <alignment horizontal="left" vertical="center"/>
    </xf>
    <xf numFmtId="0" fontId="6" fillId="0" borderId="31" xfId="0" applyFont="1" applyFill="1" applyBorder="1" applyAlignment="1" applyProtection="1">
      <alignment horizontal="left" vertical="center"/>
    </xf>
    <xf numFmtId="0" fontId="6" fillId="5" borderId="57" xfId="0" applyFont="1" applyFill="1" applyBorder="1" applyAlignment="1" applyProtection="1">
      <alignment horizontal="left" vertical="center" wrapText="1"/>
    </xf>
    <xf numFmtId="0" fontId="6" fillId="5" borderId="152" xfId="0" applyFont="1" applyFill="1" applyBorder="1" applyAlignment="1" applyProtection="1">
      <alignment horizontal="left" vertical="center" wrapText="1"/>
    </xf>
    <xf numFmtId="0" fontId="6" fillId="5" borderId="97" xfId="0" applyFont="1" applyFill="1" applyBorder="1" applyAlignment="1" applyProtection="1">
      <alignment horizontal="left" vertical="center" wrapText="1"/>
    </xf>
    <xf numFmtId="0" fontId="6" fillId="0" borderId="44" xfId="0" applyFont="1" applyBorder="1" applyAlignment="1" applyProtection="1">
      <alignment horizontal="left" vertical="center"/>
    </xf>
    <xf numFmtId="0" fontId="6" fillId="5" borderId="14" xfId="2" applyFont="1" applyFill="1" applyBorder="1" applyAlignment="1" applyProtection="1">
      <alignment horizontal="left" vertical="center"/>
    </xf>
    <xf numFmtId="0" fontId="6" fillId="5" borderId="17" xfId="2" applyFont="1" applyFill="1" applyBorder="1" applyAlignment="1" applyProtection="1">
      <alignment horizontal="left" vertical="center"/>
    </xf>
    <xf numFmtId="0" fontId="6" fillId="5" borderId="32" xfId="2" applyFont="1" applyFill="1" applyBorder="1" applyAlignment="1" applyProtection="1">
      <alignment horizontal="left" vertical="center"/>
    </xf>
    <xf numFmtId="0" fontId="6" fillId="0" borderId="38" xfId="0" applyFont="1" applyBorder="1" applyAlignment="1" applyProtection="1">
      <alignment horizontal="left" vertical="center"/>
    </xf>
    <xf numFmtId="0" fontId="6" fillId="12" borderId="38" xfId="0" applyFont="1" applyFill="1" applyBorder="1" applyAlignment="1" applyProtection="1">
      <alignment horizontal="left" vertical="center"/>
    </xf>
    <xf numFmtId="0" fontId="6" fillId="5" borderId="144" xfId="0" applyFont="1" applyFill="1" applyBorder="1" applyAlignment="1" applyProtection="1">
      <alignment horizontal="left" vertical="center" wrapText="1" shrinkToFit="1"/>
    </xf>
    <xf numFmtId="0" fontId="6" fillId="0" borderId="85" xfId="0" applyFont="1" applyBorder="1" applyAlignment="1" applyProtection="1">
      <alignment horizontal="left" vertical="center" wrapText="1" shrinkToFit="1"/>
    </xf>
    <xf numFmtId="0" fontId="6" fillId="0" borderId="33" xfId="0" applyFont="1" applyBorder="1" applyAlignment="1" applyProtection="1">
      <alignment horizontal="left" vertical="center" wrapText="1" shrinkToFit="1"/>
    </xf>
    <xf numFmtId="0" fontId="6" fillId="0" borderId="3" xfId="0" applyNumberFormat="1" applyFont="1" applyFill="1" applyBorder="1" applyAlignment="1" applyProtection="1">
      <alignment horizontal="left" vertical="center" wrapText="1" shrinkToFit="1"/>
    </xf>
    <xf numFmtId="0" fontId="0" fillId="0" borderId="50" xfId="0" applyFont="1" applyFill="1" applyBorder="1" applyProtection="1">
      <alignment vertical="center"/>
    </xf>
    <xf numFmtId="0" fontId="6" fillId="0" borderId="1" xfId="0" applyFont="1" applyFill="1" applyBorder="1" applyAlignment="1" applyProtection="1">
      <alignment horizontal="left" vertical="center" wrapText="1"/>
    </xf>
    <xf numFmtId="0" fontId="6" fillId="3" borderId="5" xfId="0" applyFont="1" applyFill="1" applyBorder="1" applyAlignment="1" applyProtection="1">
      <alignment horizontal="left" vertical="center"/>
    </xf>
    <xf numFmtId="0" fontId="6" fillId="12" borderId="37" xfId="0" applyFont="1" applyFill="1" applyBorder="1" applyAlignment="1" applyProtection="1">
      <alignment horizontal="left" vertical="center"/>
    </xf>
    <xf numFmtId="14" fontId="6" fillId="0" borderId="97" xfId="0" applyNumberFormat="1" applyFont="1" applyBorder="1" applyAlignment="1" applyProtection="1">
      <alignment horizontal="left" vertical="center" wrapText="1" shrinkToFit="1"/>
    </xf>
    <xf numFmtId="0" fontId="6" fillId="12" borderId="97" xfId="0" applyFont="1" applyFill="1" applyBorder="1" applyAlignment="1" applyProtection="1">
      <alignment horizontal="left" vertical="center"/>
    </xf>
    <xf numFmtId="0" fontId="6" fillId="12" borderId="44" xfId="0" applyFont="1" applyFill="1" applyBorder="1" applyAlignment="1" applyProtection="1">
      <alignment horizontal="left" vertical="center"/>
    </xf>
    <xf numFmtId="14" fontId="6" fillId="0" borderId="0" xfId="0" applyNumberFormat="1" applyFont="1" applyFill="1" applyBorder="1" applyAlignment="1" applyProtection="1">
      <alignment horizontal="left" vertical="center" wrapText="1" shrinkToFit="1"/>
    </xf>
    <xf numFmtId="0" fontId="6" fillId="8" borderId="0" xfId="0" applyNumberFormat="1" applyFont="1" applyFill="1" applyBorder="1" applyAlignment="1" applyProtection="1">
      <alignment horizontal="left" vertical="center" wrapText="1" shrinkToFit="1"/>
    </xf>
    <xf numFmtId="0" fontId="6" fillId="0" borderId="0" xfId="0" applyFont="1" applyBorder="1" applyAlignment="1" applyProtection="1">
      <alignment horizontal="left" vertical="center" wrapText="1"/>
    </xf>
    <xf numFmtId="0" fontId="6" fillId="12" borderId="98" xfId="0" applyFont="1" applyFill="1" applyBorder="1" applyAlignment="1" applyProtection="1">
      <alignment horizontal="left" vertical="center"/>
    </xf>
    <xf numFmtId="0" fontId="0" fillId="0" borderId="24" xfId="0" applyFont="1" applyFill="1" applyBorder="1" applyAlignment="1" applyProtection="1">
      <alignment horizontal="left" vertical="center"/>
    </xf>
    <xf numFmtId="0" fontId="6" fillId="0" borderId="58" xfId="0" applyFont="1" applyBorder="1" applyAlignment="1" applyProtection="1">
      <alignment horizontal="left" vertical="center"/>
    </xf>
    <xf numFmtId="0" fontId="6" fillId="5" borderId="31" xfId="0" applyFont="1" applyFill="1" applyBorder="1" applyAlignment="1" applyProtection="1">
      <alignment horizontal="left" vertical="center" wrapText="1"/>
    </xf>
    <xf numFmtId="0" fontId="6" fillId="0" borderId="9" xfId="0" applyNumberFormat="1" applyFont="1" applyFill="1" applyBorder="1" applyAlignment="1" applyProtection="1">
      <alignment horizontal="left" vertical="center" wrapText="1" shrinkToFit="1"/>
    </xf>
    <xf numFmtId="0" fontId="6" fillId="0" borderId="31" xfId="0" applyNumberFormat="1" applyFont="1" applyFill="1" applyBorder="1" applyAlignment="1" applyProtection="1">
      <alignment horizontal="left" vertical="center" wrapText="1" shrinkToFit="1"/>
    </xf>
    <xf numFmtId="0" fontId="6" fillId="0" borderId="33" xfId="0" applyNumberFormat="1" applyFont="1" applyFill="1" applyBorder="1" applyAlignment="1" applyProtection="1">
      <alignment horizontal="left" vertical="center" wrapText="1" shrinkToFit="1"/>
    </xf>
    <xf numFmtId="0" fontId="0" fillId="0" borderId="38" xfId="0" applyFont="1" applyBorder="1" applyProtection="1">
      <alignment vertical="center"/>
    </xf>
    <xf numFmtId="0" fontId="0" fillId="0" borderId="50" xfId="0" applyFont="1" applyBorder="1" applyProtection="1">
      <alignment vertical="center"/>
    </xf>
    <xf numFmtId="0" fontId="6" fillId="0" borderId="17" xfId="0" applyNumberFormat="1" applyFont="1" applyFill="1" applyBorder="1" applyAlignment="1" applyProtection="1">
      <alignment horizontal="left" vertical="center" wrapText="1" shrinkToFit="1"/>
    </xf>
    <xf numFmtId="0" fontId="33" fillId="5" borderId="22" xfId="0" applyFont="1" applyFill="1" applyBorder="1" applyAlignment="1" applyProtection="1">
      <alignment horizontal="center" vertical="center" wrapText="1" shrinkToFit="1"/>
    </xf>
    <xf numFmtId="0" fontId="0" fillId="3" borderId="1" xfId="0" applyFont="1" applyFill="1" applyBorder="1" applyAlignment="1" applyProtection="1">
      <alignment horizontal="left" vertical="center" wrapText="1"/>
    </xf>
    <xf numFmtId="0" fontId="0" fillId="3" borderId="1" xfId="0" applyFont="1" applyFill="1" applyBorder="1" applyAlignment="1" applyProtection="1">
      <alignment horizontal="center" vertical="center"/>
    </xf>
    <xf numFmtId="0" fontId="0" fillId="0" borderId="78" xfId="0" applyFont="1" applyFill="1" applyBorder="1">
      <alignment vertical="center"/>
    </xf>
    <xf numFmtId="0" fontId="0" fillId="0" borderId="0" xfId="0" applyFill="1" applyBorder="1">
      <alignment vertical="center"/>
    </xf>
    <xf numFmtId="0" fontId="0" fillId="0" borderId="20" xfId="0" applyBorder="1">
      <alignment vertical="center"/>
    </xf>
    <xf numFmtId="49" fontId="13" fillId="0" borderId="7" xfId="0" applyNumberFormat="1" applyFont="1" applyFill="1" applyBorder="1" applyAlignment="1">
      <alignment horizontal="center" vertical="center" shrinkToFit="1"/>
    </xf>
    <xf numFmtId="49" fontId="13" fillId="0" borderId="9" xfId="0" applyNumberFormat="1" applyFont="1" applyFill="1" applyBorder="1" applyAlignment="1">
      <alignment horizontal="center" vertical="center"/>
    </xf>
    <xf numFmtId="49" fontId="13" fillId="0" borderId="0" xfId="0" applyNumberFormat="1" applyFont="1" applyFill="1" applyAlignment="1" applyProtection="1">
      <alignment vertical="center"/>
      <protection locked="0"/>
    </xf>
    <xf numFmtId="0" fontId="0" fillId="0" borderId="0" xfId="0" applyFont="1" applyFill="1" applyAlignment="1" applyProtection="1">
      <alignment horizontal="left" vertical="center"/>
      <protection locked="0"/>
    </xf>
    <xf numFmtId="49" fontId="13" fillId="0" borderId="4" xfId="0" applyNumberFormat="1" applyFont="1" applyFill="1" applyBorder="1" applyAlignment="1" applyProtection="1">
      <alignment vertical="center"/>
      <protection locked="0"/>
    </xf>
    <xf numFmtId="0" fontId="22" fillId="0" borderId="0" xfId="0" applyFont="1" applyProtection="1">
      <alignment vertical="center"/>
      <protection locked="0"/>
    </xf>
    <xf numFmtId="0" fontId="13" fillId="0" borderId="0" xfId="0" applyFont="1" applyProtection="1">
      <alignment vertical="center"/>
      <protection locked="0"/>
    </xf>
    <xf numFmtId="49" fontId="0" fillId="0" borderId="0" xfId="0" applyNumberFormat="1" applyFont="1" applyFill="1" applyAlignment="1" applyProtection="1">
      <alignment horizontal="left" vertical="center"/>
      <protection locked="0"/>
    </xf>
    <xf numFmtId="0" fontId="13" fillId="0" borderId="0" xfId="0" applyFont="1" applyAlignment="1" applyProtection="1">
      <alignment vertical="center" shrinkToFit="1"/>
      <protection locked="0"/>
    </xf>
    <xf numFmtId="0" fontId="0" fillId="0" borderId="0" xfId="0" applyFont="1" applyAlignment="1" applyProtection="1">
      <alignment vertical="center" shrinkToFit="1"/>
      <protection locked="0"/>
    </xf>
    <xf numFmtId="0" fontId="24" fillId="0" borderId="0" xfId="0" applyFont="1" applyProtection="1">
      <alignment vertical="center"/>
      <protection locked="0"/>
    </xf>
    <xf numFmtId="0" fontId="0" fillId="0" borderId="0" xfId="0" applyFont="1" applyAlignment="1" applyProtection="1">
      <alignment vertical="center"/>
      <protection locked="0"/>
    </xf>
    <xf numFmtId="0" fontId="0" fillId="0" borderId="0" xfId="0" applyNumberFormat="1" applyFont="1" applyFill="1" applyAlignment="1" applyProtection="1">
      <alignment horizontal="left" vertical="center"/>
      <protection locked="0"/>
    </xf>
    <xf numFmtId="0" fontId="0" fillId="0" borderId="0" xfId="0" applyFont="1" applyFill="1" applyBorder="1" applyAlignment="1" applyProtection="1">
      <alignment vertical="center"/>
      <protection locked="0"/>
    </xf>
    <xf numFmtId="0" fontId="0" fillId="0" borderId="0" xfId="0" applyFont="1" applyAlignment="1" applyProtection="1">
      <alignment horizontal="left" vertical="center"/>
      <protection locked="0"/>
    </xf>
    <xf numFmtId="56" fontId="0" fillId="0" borderId="0" xfId="0" applyNumberFormat="1" applyFont="1" applyFill="1" applyAlignment="1" applyProtection="1">
      <alignment horizontal="left" vertical="center"/>
      <protection locked="0"/>
    </xf>
    <xf numFmtId="49" fontId="13" fillId="0" borderId="0" xfId="0" applyNumberFormat="1" applyFont="1" applyFill="1" applyBorder="1" applyAlignment="1" applyProtection="1">
      <alignment vertical="center"/>
      <protection locked="0"/>
    </xf>
    <xf numFmtId="0" fontId="0" fillId="4" borderId="0" xfId="0" applyFont="1" applyFill="1" applyAlignment="1" applyProtection="1">
      <alignment horizontal="left" vertical="center"/>
    </xf>
    <xf numFmtId="0" fontId="0" fillId="0" borderId="89" xfId="0" applyFont="1" applyFill="1" applyBorder="1" applyProtection="1">
      <alignment vertical="center"/>
    </xf>
    <xf numFmtId="0" fontId="0" fillId="4" borderId="164" xfId="0" applyFont="1" applyFill="1" applyBorder="1" applyProtection="1">
      <alignment vertical="center"/>
    </xf>
    <xf numFmtId="0" fontId="0" fillId="4" borderId="165" xfId="0" applyFont="1" applyFill="1" applyBorder="1" applyProtection="1">
      <alignment vertical="center"/>
    </xf>
    <xf numFmtId="0" fontId="0" fillId="0" borderId="0" xfId="0" applyFont="1" applyFill="1" applyAlignment="1" applyProtection="1">
      <alignment horizontal="right" vertical="center"/>
    </xf>
    <xf numFmtId="14" fontId="13" fillId="0" borderId="4" xfId="0" applyNumberFormat="1" applyFont="1" applyFill="1" applyBorder="1" applyAlignment="1" applyProtection="1">
      <alignment vertical="center" shrinkToFit="1"/>
    </xf>
    <xf numFmtId="0" fontId="22" fillId="0" borderId="0" xfId="0" applyFont="1" applyFill="1" applyAlignment="1" applyProtection="1">
      <alignment vertical="center"/>
    </xf>
    <xf numFmtId="0" fontId="0" fillId="0" borderId="78" xfId="0" applyFill="1" applyBorder="1">
      <alignment vertical="center"/>
    </xf>
    <xf numFmtId="0" fontId="0" fillId="0" borderId="38" xfId="0" applyFill="1" applyBorder="1">
      <alignment vertical="center"/>
    </xf>
    <xf numFmtId="0" fontId="13" fillId="3" borderId="1" xfId="0" applyFont="1" applyFill="1" applyBorder="1" applyAlignment="1" applyProtection="1">
      <alignment vertical="center" wrapText="1"/>
    </xf>
    <xf numFmtId="0" fontId="13" fillId="3" borderId="20" xfId="0" applyFont="1" applyFill="1" applyBorder="1" applyAlignment="1" applyProtection="1">
      <alignment vertical="center" wrapText="1"/>
    </xf>
    <xf numFmtId="0" fontId="0" fillId="0" borderId="0" xfId="0" applyAlignment="1">
      <alignment vertical="top" wrapText="1"/>
    </xf>
    <xf numFmtId="14" fontId="6" fillId="0" borderId="0" xfId="0" applyNumberFormat="1" applyFont="1" applyFill="1" applyBorder="1" applyAlignment="1" applyProtection="1">
      <alignment horizontal="left" vertical="center" wrapText="1"/>
    </xf>
    <xf numFmtId="0" fontId="0" fillId="3" borderId="79" xfId="0" applyFill="1" applyBorder="1">
      <alignment vertical="center"/>
    </xf>
    <xf numFmtId="0" fontId="0" fillId="0" borderId="4" xfId="0" applyBorder="1" applyAlignment="1">
      <alignment vertical="top" wrapText="1"/>
    </xf>
    <xf numFmtId="0" fontId="6" fillId="4" borderId="18" xfId="0" applyFont="1" applyFill="1" applyBorder="1" applyAlignment="1" applyProtection="1">
      <alignment horizontal="left" vertical="center"/>
    </xf>
    <xf numFmtId="14" fontId="6" fillId="4" borderId="68" xfId="0" applyNumberFormat="1" applyFont="1" applyFill="1" applyBorder="1" applyAlignment="1" applyProtection="1">
      <alignment horizontal="left" vertical="center" wrapText="1" shrinkToFit="1"/>
    </xf>
    <xf numFmtId="0" fontId="6" fillId="4" borderId="68" xfId="0" applyFont="1" applyFill="1" applyBorder="1" applyAlignment="1" applyProtection="1">
      <alignment horizontal="left" vertical="center"/>
    </xf>
    <xf numFmtId="0" fontId="6" fillId="4" borderId="75" xfId="0" applyFont="1" applyFill="1" applyBorder="1" applyAlignment="1" applyProtection="1">
      <alignment horizontal="left" vertical="center"/>
    </xf>
    <xf numFmtId="0" fontId="0" fillId="0" borderId="4" xfId="0" applyFont="1" applyFill="1" applyBorder="1" applyAlignment="1" applyProtection="1">
      <alignment horizontal="center" vertical="center" wrapText="1"/>
    </xf>
    <xf numFmtId="0" fontId="50" fillId="0" borderId="4" xfId="0" applyNumberFormat="1" applyFont="1" applyBorder="1" applyAlignment="1" applyProtection="1">
      <alignment horizontal="left" vertical="center" wrapText="1" shrinkToFit="1"/>
    </xf>
    <xf numFmtId="0" fontId="22" fillId="0" borderId="0" xfId="0" applyFont="1" applyFill="1" applyBorder="1" applyAlignment="1" applyProtection="1">
      <alignment horizontal="left" vertical="center"/>
    </xf>
    <xf numFmtId="0" fontId="26" fillId="0" borderId="0" xfId="1" applyFont="1" applyBorder="1" applyAlignment="1" applyProtection="1">
      <alignment horizontal="left" vertical="center"/>
    </xf>
    <xf numFmtId="0" fontId="12" fillId="0" borderId="0" xfId="1" applyFont="1" applyBorder="1" applyAlignment="1" applyProtection="1">
      <alignment horizontal="left" vertical="center"/>
    </xf>
    <xf numFmtId="0" fontId="13" fillId="3" borderId="20" xfId="0" applyFont="1" applyFill="1" applyBorder="1" applyAlignment="1" applyProtection="1">
      <alignment horizontal="right" vertical="center"/>
    </xf>
    <xf numFmtId="0" fontId="18" fillId="3" borderId="0" xfId="0" applyFont="1" applyFill="1" applyBorder="1" applyAlignment="1" applyProtection="1">
      <alignment horizontal="left" vertical="center"/>
    </xf>
    <xf numFmtId="49" fontId="0" fillId="0" borderId="58" xfId="0" applyNumberFormat="1" applyBorder="1">
      <alignment vertical="center"/>
    </xf>
    <xf numFmtId="0" fontId="0" fillId="0" borderId="99" xfId="0" applyFont="1" applyFill="1" applyBorder="1" applyAlignment="1" applyProtection="1">
      <alignment vertical="center" shrinkToFit="1"/>
    </xf>
    <xf numFmtId="181" fontId="6" fillId="0" borderId="4" xfId="0" applyNumberFormat="1" applyFont="1" applyFill="1" applyBorder="1" applyAlignment="1" applyProtection="1">
      <alignment vertical="center"/>
    </xf>
    <xf numFmtId="181" fontId="0" fillId="0" borderId="4" xfId="0" applyNumberFormat="1" applyFont="1" applyFill="1" applyBorder="1" applyProtection="1">
      <alignment vertical="center"/>
    </xf>
    <xf numFmtId="0" fontId="13" fillId="3" borderId="129" xfId="0" applyFont="1" applyFill="1" applyBorder="1" applyAlignment="1" applyProtection="1">
      <alignment horizontal="left" vertical="center"/>
    </xf>
    <xf numFmtId="0" fontId="13" fillId="3" borderId="128" xfId="0" applyFont="1" applyFill="1" applyBorder="1" applyAlignment="1" applyProtection="1">
      <alignment horizontal="left" vertical="center"/>
    </xf>
    <xf numFmtId="0" fontId="13" fillId="3" borderId="174" xfId="0" applyFont="1" applyFill="1" applyBorder="1" applyAlignment="1" applyProtection="1">
      <alignment horizontal="left" vertical="center"/>
    </xf>
    <xf numFmtId="0" fontId="13" fillId="3" borderId="145" xfId="0" applyFont="1" applyFill="1" applyBorder="1" applyAlignment="1" applyProtection="1">
      <alignment horizontal="left" vertical="center"/>
    </xf>
    <xf numFmtId="0" fontId="13" fillId="3" borderId="140" xfId="0" applyFont="1" applyFill="1" applyBorder="1" applyAlignment="1" applyProtection="1">
      <alignment horizontal="left" vertical="center"/>
    </xf>
    <xf numFmtId="0" fontId="13" fillId="3" borderId="13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0" borderId="0" xfId="0" applyFont="1" applyBorder="1" applyAlignment="1" applyProtection="1">
      <alignment horizontal="center" vertical="center"/>
      <protection locked="0"/>
    </xf>
    <xf numFmtId="0" fontId="5" fillId="0" borderId="0" xfId="0" applyFont="1" applyAlignment="1" applyProtection="1">
      <alignment horizontal="center" vertical="center"/>
    </xf>
    <xf numFmtId="0" fontId="4" fillId="0" borderId="0" xfId="0" applyFont="1" applyAlignment="1" applyProtection="1">
      <alignment vertical="center"/>
    </xf>
    <xf numFmtId="0" fontId="4" fillId="0" borderId="0" xfId="0" applyFont="1" applyAlignment="1" applyProtection="1">
      <alignment horizontal="left" vertical="center"/>
    </xf>
    <xf numFmtId="0" fontId="4" fillId="0" borderId="0" xfId="0" applyFont="1" applyFill="1" applyAlignment="1" applyProtection="1">
      <alignment horizontal="left" vertical="center"/>
    </xf>
    <xf numFmtId="0" fontId="15" fillId="3" borderId="7" xfId="0"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vertical="center"/>
    </xf>
    <xf numFmtId="0" fontId="4" fillId="3" borderId="9"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0" borderId="5"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0" xfId="0" applyFont="1" applyFill="1" applyAlignment="1" applyProtection="1">
      <alignment horizontal="center" vertical="center"/>
    </xf>
    <xf numFmtId="0" fontId="41" fillId="0" borderId="0" xfId="0" applyFont="1" applyFill="1" applyProtection="1">
      <alignment vertical="center"/>
    </xf>
    <xf numFmtId="0" fontId="4" fillId="0" borderId="0" xfId="0" applyFont="1" applyBorder="1" applyAlignment="1" applyProtection="1">
      <alignment horizontal="left" vertical="top"/>
    </xf>
    <xf numFmtId="0" fontId="0" fillId="3" borderId="4" xfId="0" applyFont="1" applyFill="1" applyBorder="1" applyAlignment="1" applyProtection="1">
      <alignment horizontal="center" vertical="center" wrapText="1"/>
    </xf>
    <xf numFmtId="14" fontId="6" fillId="3" borderId="17" xfId="0" applyNumberFormat="1" applyFont="1" applyFill="1" applyBorder="1" applyAlignment="1" applyProtection="1">
      <alignment horizontal="left" vertical="center" wrapText="1"/>
    </xf>
    <xf numFmtId="0" fontId="6" fillId="0" borderId="4" xfId="0" applyFont="1" applyFill="1" applyBorder="1" applyAlignment="1" applyProtection="1">
      <alignment horizontal="left" vertical="center"/>
    </xf>
    <xf numFmtId="0" fontId="0" fillId="7" borderId="17" xfId="0" applyFont="1" applyFill="1" applyBorder="1" applyAlignment="1" applyProtection="1">
      <alignment horizontal="left" vertical="center" wrapText="1"/>
    </xf>
    <xf numFmtId="0" fontId="13" fillId="3" borderId="8" xfId="0" applyFont="1" applyFill="1" applyBorder="1" applyAlignment="1" applyProtection="1">
      <alignment vertical="center"/>
    </xf>
    <xf numFmtId="0" fontId="22" fillId="3" borderId="37" xfId="0" applyFont="1" applyFill="1" applyBorder="1" applyAlignment="1" applyProtection="1">
      <alignment vertical="center"/>
    </xf>
    <xf numFmtId="0" fontId="22" fillId="3" borderId="38" xfId="0" applyFont="1" applyFill="1" applyBorder="1" applyAlignment="1" applyProtection="1">
      <alignment vertical="center"/>
    </xf>
    <xf numFmtId="0" fontId="22" fillId="3" borderId="16" xfId="0" applyFont="1" applyFill="1" applyBorder="1" applyAlignment="1" applyProtection="1">
      <alignment vertical="center"/>
    </xf>
    <xf numFmtId="0" fontId="0" fillId="0" borderId="38" xfId="0" applyFont="1" applyFill="1" applyBorder="1" applyAlignment="1" applyProtection="1">
      <alignment horizontal="left" vertical="center" wrapText="1"/>
    </xf>
    <xf numFmtId="0" fontId="0" fillId="0" borderId="38" xfId="0" applyFont="1" applyFill="1" applyBorder="1" applyAlignment="1" applyProtection="1">
      <alignment horizontal="left" vertical="center"/>
    </xf>
    <xf numFmtId="0" fontId="13" fillId="3" borderId="175" xfId="0" applyFont="1" applyFill="1" applyBorder="1" applyAlignment="1" applyProtection="1">
      <alignment horizontal="left" vertical="center"/>
    </xf>
    <xf numFmtId="0" fontId="13" fillId="3" borderId="177" xfId="0" applyFont="1" applyFill="1" applyBorder="1" applyAlignment="1" applyProtection="1">
      <alignment horizontal="left" vertical="center"/>
    </xf>
    <xf numFmtId="0" fontId="41" fillId="0" borderId="0" xfId="0" applyFont="1" applyFill="1" applyAlignment="1" applyProtection="1">
      <alignment horizontal="right" vertical="center"/>
    </xf>
    <xf numFmtId="0" fontId="0" fillId="0" borderId="0" xfId="0" applyBorder="1" applyProtection="1">
      <alignment vertical="center"/>
      <protection locked="0"/>
    </xf>
    <xf numFmtId="0" fontId="0" fillId="0" borderId="10" xfId="0" applyBorder="1" applyProtection="1">
      <alignment vertical="center"/>
      <protection locked="0"/>
    </xf>
    <xf numFmtId="0" fontId="0" fillId="0" borderId="0" xfId="0" applyProtection="1">
      <alignment vertical="center"/>
      <protection locked="0"/>
    </xf>
    <xf numFmtId="0" fontId="0" fillId="15" borderId="78" xfId="0" applyFill="1" applyBorder="1">
      <alignment vertical="center"/>
    </xf>
    <xf numFmtId="0" fontId="0" fillId="15" borderId="74" xfId="0" applyFill="1" applyBorder="1">
      <alignment vertical="center"/>
    </xf>
    <xf numFmtId="0" fontId="0" fillId="15" borderId="79" xfId="0" applyFill="1" applyBorder="1">
      <alignment vertical="center"/>
    </xf>
    <xf numFmtId="0" fontId="0" fillId="15" borderId="0" xfId="0" applyFill="1">
      <alignment vertical="center"/>
    </xf>
    <xf numFmtId="0" fontId="0" fillId="15" borderId="166" xfId="0" applyFont="1" applyFill="1" applyBorder="1">
      <alignment vertical="center"/>
    </xf>
    <xf numFmtId="178" fontId="0" fillId="0" borderId="112" xfId="0" applyNumberFormat="1" applyBorder="1" applyAlignment="1" applyProtection="1">
      <alignment horizontal="right" vertical="center"/>
      <protection locked="0"/>
    </xf>
    <xf numFmtId="178" fontId="0" fillId="0" borderId="114" xfId="0" applyNumberFormat="1" applyBorder="1" applyAlignment="1" applyProtection="1">
      <alignment horizontal="right" vertical="center"/>
      <protection locked="0"/>
    </xf>
    <xf numFmtId="178" fontId="0" fillId="0" borderId="116" xfId="0" applyNumberFormat="1" applyBorder="1" applyAlignment="1" applyProtection="1">
      <alignment horizontal="right" vertical="center"/>
      <protection locked="0"/>
    </xf>
    <xf numFmtId="178" fontId="0" fillId="0" borderId="118" xfId="0" applyNumberFormat="1" applyBorder="1" applyAlignment="1" applyProtection="1">
      <alignment horizontal="right" vertical="center"/>
      <protection locked="0"/>
    </xf>
    <xf numFmtId="178" fontId="0" fillId="0" borderId="120" xfId="0" applyNumberFormat="1" applyBorder="1" applyAlignment="1" applyProtection="1">
      <alignment horizontal="right" vertical="center"/>
      <protection locked="0"/>
    </xf>
    <xf numFmtId="178" fontId="0" fillId="3" borderId="94" xfId="0" applyNumberFormat="1" applyFill="1" applyBorder="1" applyAlignment="1" applyProtection="1">
      <alignment horizontal="right" vertical="center"/>
    </xf>
    <xf numFmtId="178" fontId="0" fillId="3" borderId="90" xfId="0" applyNumberFormat="1" applyFill="1" applyBorder="1" applyProtection="1">
      <alignment vertical="center"/>
    </xf>
    <xf numFmtId="188" fontId="0" fillId="3" borderId="103" xfId="0" applyNumberFormat="1" applyFill="1" applyBorder="1" applyAlignment="1" applyProtection="1">
      <alignment horizontal="right" vertical="center"/>
    </xf>
    <xf numFmtId="188" fontId="0" fillId="3" borderId="0" xfId="0" applyNumberFormat="1" applyFill="1" applyBorder="1" applyAlignment="1" applyProtection="1">
      <alignment horizontal="right" vertical="center"/>
    </xf>
    <xf numFmtId="188" fontId="0" fillId="3" borderId="93" xfId="0" applyNumberFormat="1" applyFill="1" applyBorder="1" applyAlignment="1" applyProtection="1">
      <alignment horizontal="right" vertical="center"/>
    </xf>
    <xf numFmtId="188" fontId="0" fillId="3" borderId="2" xfId="0" applyNumberFormat="1" applyFill="1" applyBorder="1" applyAlignment="1" applyProtection="1">
      <alignment horizontal="right" vertical="center"/>
    </xf>
    <xf numFmtId="188" fontId="0" fillId="3" borderId="1" xfId="0" applyNumberFormat="1" applyFill="1" applyBorder="1" applyAlignment="1" applyProtection="1">
      <alignment horizontal="right" vertical="center"/>
    </xf>
    <xf numFmtId="0" fontId="4" fillId="3" borderId="0"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2" xfId="0" applyFont="1" applyFill="1" applyBorder="1" applyAlignment="1" applyProtection="1">
      <alignment horizontal="center" vertical="center"/>
    </xf>
    <xf numFmtId="0" fontId="4" fillId="3" borderId="11" xfId="0" applyFont="1" applyFill="1" applyBorder="1" applyAlignment="1" applyProtection="1">
      <alignment horizontal="center" vertical="center"/>
    </xf>
    <xf numFmtId="0" fontId="4" fillId="0" borderId="0" xfId="0" applyFont="1" applyBorder="1" applyAlignment="1" applyProtection="1">
      <alignment horizontal="center" vertical="center"/>
      <protection locked="0"/>
    </xf>
    <xf numFmtId="0" fontId="16"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5" fillId="14" borderId="0" xfId="0" applyFont="1" applyFill="1" applyAlignment="1" applyProtection="1">
      <alignment horizontal="left" vertical="center"/>
    </xf>
    <xf numFmtId="0" fontId="51" fillId="0" borderId="0" xfId="0" applyFont="1" applyFill="1" applyBorder="1" applyAlignment="1" applyProtection="1">
      <alignment vertical="center" wrapText="1"/>
    </xf>
    <xf numFmtId="0" fontId="53" fillId="0" borderId="0" xfId="0" applyFont="1" applyFill="1" applyAlignment="1" applyProtection="1">
      <alignment horizontal="right" vertical="center"/>
    </xf>
    <xf numFmtId="0" fontId="46" fillId="14" borderId="0" xfId="0" applyFont="1" applyFill="1" applyAlignment="1" applyProtection="1">
      <alignment horizontal="left" vertical="center"/>
    </xf>
    <xf numFmtId="0" fontId="12" fillId="0" borderId="0" xfId="0" applyFont="1" applyProtection="1">
      <alignment vertical="center"/>
    </xf>
    <xf numFmtId="0" fontId="41" fillId="0" borderId="0" xfId="0" applyFont="1" applyBorder="1" applyProtection="1">
      <alignment vertical="center"/>
      <protection locked="0"/>
    </xf>
    <xf numFmtId="0" fontId="54" fillId="0" borderId="0" xfId="0" applyFont="1" applyFill="1" applyBorder="1" applyAlignment="1" applyProtection="1">
      <alignment horizontal="centerContinuous" vertical="center"/>
    </xf>
    <xf numFmtId="0" fontId="41" fillId="0" borderId="0" xfId="0" applyFont="1" applyBorder="1" applyAlignment="1" applyProtection="1">
      <alignment horizontal="centerContinuous" vertical="center"/>
      <protection locked="0"/>
    </xf>
    <xf numFmtId="0" fontId="0" fillId="0" borderId="0" xfId="0" applyBorder="1" applyAlignment="1" applyProtection="1">
      <alignment horizontal="centerContinuous" vertical="center"/>
      <protection locked="0"/>
    </xf>
    <xf numFmtId="0" fontId="0" fillId="0" borderId="10" xfId="0" applyBorder="1" applyAlignment="1" applyProtection="1">
      <alignment horizontal="centerContinuous" vertical="center"/>
      <protection locked="0"/>
    </xf>
    <xf numFmtId="0" fontId="0" fillId="0" borderId="0" xfId="0" applyFont="1" applyFill="1" applyBorder="1" applyAlignment="1" applyProtection="1">
      <alignment horizontal="centerContinuous" vertical="center" wrapText="1"/>
    </xf>
    <xf numFmtId="0" fontId="0" fillId="0" borderId="0" xfId="0" applyFont="1" applyFill="1" applyAlignment="1" applyProtection="1">
      <alignment horizontal="centerContinuous" vertical="center"/>
    </xf>
    <xf numFmtId="0" fontId="13" fillId="3" borderId="3" xfId="0" applyFont="1" applyFill="1" applyBorder="1" applyProtection="1">
      <alignment vertical="center"/>
    </xf>
    <xf numFmtId="0" fontId="13" fillId="3" borderId="1" xfId="0" applyFont="1" applyFill="1" applyBorder="1" applyProtection="1">
      <alignment vertical="center"/>
    </xf>
    <xf numFmtId="0" fontId="13" fillId="0" borderId="5" xfId="0" applyFont="1" applyFill="1" applyBorder="1" applyProtection="1">
      <alignment vertical="center"/>
    </xf>
    <xf numFmtId="0" fontId="0" fillId="3" borderId="0" xfId="0" applyFont="1" applyFill="1" applyBorder="1" applyProtection="1">
      <alignment vertical="center"/>
    </xf>
    <xf numFmtId="0" fontId="13" fillId="0" borderId="33" xfId="0" applyFont="1" applyBorder="1" applyProtection="1">
      <alignment vertical="center"/>
    </xf>
    <xf numFmtId="0" fontId="13" fillId="0" borderId="89" xfId="0" applyFont="1" applyBorder="1" applyProtection="1">
      <alignment vertical="center"/>
    </xf>
    <xf numFmtId="0" fontId="13" fillId="15" borderId="0" xfId="0" applyFont="1" applyFill="1">
      <alignment vertical="center"/>
    </xf>
    <xf numFmtId="0" fontId="0" fillId="15" borderId="0" xfId="0" applyNumberFormat="1" applyFont="1" applyFill="1" applyAlignment="1" applyProtection="1">
      <alignment horizontal="left" vertical="center"/>
      <protection locked="0"/>
    </xf>
    <xf numFmtId="0" fontId="13" fillId="15" borderId="0" xfId="0" applyFont="1" applyFill="1" applyProtection="1">
      <alignment vertical="center"/>
      <protection locked="0"/>
    </xf>
    <xf numFmtId="49" fontId="13" fillId="15" borderId="4" xfId="0" applyNumberFormat="1" applyFont="1" applyFill="1" applyBorder="1" applyAlignment="1" applyProtection="1">
      <alignment vertical="center"/>
      <protection locked="0"/>
    </xf>
    <xf numFmtId="0" fontId="13" fillId="15" borderId="4" xfId="0" applyNumberFormat="1" applyFont="1" applyFill="1" applyBorder="1" applyAlignment="1">
      <alignment vertical="center" shrinkToFit="1"/>
    </xf>
    <xf numFmtId="49" fontId="13" fillId="15" borderId="4" xfId="0" applyNumberFormat="1" applyFont="1" applyFill="1" applyBorder="1" applyAlignment="1">
      <alignment horizontal="center" vertical="center" shrinkToFit="1"/>
    </xf>
    <xf numFmtId="49" fontId="13" fillId="15" borderId="4" xfId="0" applyNumberFormat="1" applyFont="1" applyFill="1" applyBorder="1" applyAlignment="1">
      <alignment vertical="center" shrinkToFit="1"/>
    </xf>
    <xf numFmtId="49" fontId="13" fillId="15" borderId="4" xfId="0" applyNumberFormat="1" applyFont="1" applyFill="1" applyBorder="1" applyAlignment="1">
      <alignment horizontal="center" vertical="center"/>
    </xf>
    <xf numFmtId="0" fontId="13" fillId="15" borderId="4" xfId="0" applyNumberFormat="1" applyFont="1" applyFill="1" applyBorder="1" applyAlignment="1">
      <alignment vertical="center"/>
    </xf>
    <xf numFmtId="0" fontId="13" fillId="15" borderId="4" xfId="0" applyFont="1" applyFill="1" applyBorder="1">
      <alignment vertical="center"/>
    </xf>
    <xf numFmtId="0" fontId="13" fillId="15" borderId="4" xfId="0" applyFont="1" applyFill="1" applyBorder="1" applyAlignment="1">
      <alignment vertical="center" shrinkToFit="1"/>
    </xf>
    <xf numFmtId="0" fontId="13" fillId="15" borderId="0" xfId="0" applyFont="1" applyFill="1" applyBorder="1">
      <alignment vertical="center"/>
    </xf>
    <xf numFmtId="0" fontId="0" fillId="0" borderId="58" xfId="0" applyFont="1" applyFill="1" applyBorder="1" applyProtection="1">
      <alignment vertical="center"/>
    </xf>
    <xf numFmtId="0" fontId="8" fillId="0" borderId="8" xfId="5" applyFont="1" applyBorder="1" applyAlignment="1">
      <alignment horizontal="left" vertical="center"/>
    </xf>
    <xf numFmtId="0" fontId="22" fillId="3" borderId="38" xfId="0" applyFont="1" applyFill="1" applyBorder="1" applyAlignment="1" applyProtection="1">
      <alignment vertical="center" wrapText="1"/>
    </xf>
    <xf numFmtId="0" fontId="8" fillId="0" borderId="7" xfId="5" applyNumberFormat="1" applyFont="1" applyBorder="1" applyAlignment="1">
      <alignment horizontal="right" vertical="center"/>
    </xf>
    <xf numFmtId="0" fontId="0" fillId="17" borderId="38" xfId="0" applyFont="1" applyFill="1" applyBorder="1" applyAlignment="1" applyProtection="1">
      <alignment vertical="center"/>
    </xf>
    <xf numFmtId="0" fontId="0" fillId="17" borderId="16" xfId="0" applyFont="1" applyFill="1" applyBorder="1" applyAlignment="1" applyProtection="1">
      <alignment vertical="center"/>
    </xf>
    <xf numFmtId="0" fontId="86" fillId="0" borderId="0" xfId="0" applyFont="1" applyFill="1" applyAlignment="1" applyProtection="1">
      <alignment vertical="center"/>
    </xf>
    <xf numFmtId="0" fontId="27" fillId="0" borderId="0" xfId="0" applyFont="1" applyFill="1" applyAlignment="1" applyProtection="1">
      <alignment vertical="center" wrapText="1"/>
    </xf>
    <xf numFmtId="0" fontId="27" fillId="3" borderId="38" xfId="0" applyFont="1" applyFill="1" applyBorder="1" applyAlignment="1" applyProtection="1">
      <alignment vertical="center"/>
    </xf>
    <xf numFmtId="0" fontId="27" fillId="3" borderId="38" xfId="0" applyFont="1" applyFill="1" applyBorder="1" applyAlignment="1" applyProtection="1">
      <alignment vertical="center" wrapText="1"/>
    </xf>
    <xf numFmtId="0" fontId="27" fillId="3" borderId="50" xfId="0" applyFont="1" applyFill="1" applyBorder="1" applyAlignment="1" applyProtection="1">
      <alignment vertical="center" wrapText="1"/>
    </xf>
    <xf numFmtId="0" fontId="27" fillId="3" borderId="0" xfId="0" applyFont="1" applyFill="1" applyBorder="1" applyAlignment="1" applyProtection="1">
      <alignment vertical="center"/>
    </xf>
    <xf numFmtId="0" fontId="88" fillId="3" borderId="0" xfId="0" applyFont="1" applyFill="1" applyBorder="1" applyAlignment="1" applyProtection="1">
      <alignment vertical="center" wrapText="1"/>
    </xf>
    <xf numFmtId="0" fontId="88" fillId="3" borderId="22" xfId="0" applyFont="1" applyFill="1" applyBorder="1" applyAlignment="1" applyProtection="1">
      <alignment vertical="center" wrapText="1"/>
    </xf>
    <xf numFmtId="0" fontId="27" fillId="3" borderId="20" xfId="0" applyFont="1" applyFill="1" applyBorder="1" applyAlignment="1" applyProtection="1">
      <alignment vertical="center"/>
    </xf>
    <xf numFmtId="0" fontId="87" fillId="3" borderId="0" xfId="0" applyFont="1" applyFill="1" applyBorder="1" applyAlignment="1" applyProtection="1">
      <alignment vertical="center" textRotation="255"/>
    </xf>
    <xf numFmtId="0" fontId="87" fillId="3" borderId="0" xfId="0" applyFont="1" applyFill="1" applyBorder="1" applyProtection="1">
      <alignment vertical="center"/>
    </xf>
    <xf numFmtId="0" fontId="27" fillId="0" borderId="38" xfId="0" applyFont="1" applyFill="1" applyBorder="1" applyAlignment="1" applyProtection="1">
      <alignment vertical="center" wrapText="1"/>
    </xf>
    <xf numFmtId="0" fontId="27" fillId="11" borderId="22" xfId="0" applyFont="1" applyFill="1" applyBorder="1" applyAlignment="1" applyProtection="1">
      <alignment vertical="center" wrapText="1"/>
    </xf>
    <xf numFmtId="0" fontId="27" fillId="11" borderId="20" xfId="0" applyFont="1" applyFill="1" applyBorder="1" applyAlignment="1" applyProtection="1">
      <alignment vertical="top" wrapText="1"/>
    </xf>
    <xf numFmtId="0" fontId="27" fillId="11" borderId="20" xfId="0" applyFont="1" applyFill="1" applyBorder="1" applyAlignment="1" applyProtection="1">
      <alignment vertical="top"/>
    </xf>
    <xf numFmtId="0" fontId="27" fillId="11" borderId="20" xfId="0" applyFont="1" applyFill="1" applyBorder="1" applyAlignment="1" applyProtection="1">
      <alignment vertical="center" wrapText="1"/>
    </xf>
    <xf numFmtId="0" fontId="27" fillId="11" borderId="24" xfId="0" applyFont="1" applyFill="1" applyBorder="1" applyAlignment="1" applyProtection="1">
      <alignment vertical="center" wrapText="1"/>
    </xf>
    <xf numFmtId="0" fontId="86" fillId="3" borderId="38" xfId="0" applyFont="1" applyFill="1" applyBorder="1" applyAlignment="1" applyProtection="1">
      <alignment vertical="center" wrapText="1"/>
    </xf>
    <xf numFmtId="0" fontId="86" fillId="3" borderId="0" xfId="0" applyFont="1" applyFill="1" applyBorder="1" applyAlignment="1" applyProtection="1">
      <alignment vertical="center" wrapText="1"/>
    </xf>
    <xf numFmtId="0" fontId="27" fillId="0" borderId="0" xfId="0" applyFont="1" applyFill="1" applyBorder="1" applyAlignment="1" applyProtection="1">
      <alignment vertical="center" wrapText="1"/>
    </xf>
    <xf numFmtId="0" fontId="27" fillId="11" borderId="38" xfId="0" applyFont="1" applyFill="1" applyBorder="1" applyAlignment="1" applyProtection="1">
      <alignment vertical="center" wrapText="1"/>
    </xf>
    <xf numFmtId="0" fontId="27" fillId="11" borderId="50" xfId="0" applyFont="1" applyFill="1" applyBorder="1" applyAlignment="1" applyProtection="1">
      <alignment vertical="center" wrapText="1"/>
    </xf>
    <xf numFmtId="0" fontId="86" fillId="3" borderId="38" xfId="0" applyFont="1" applyFill="1" applyBorder="1" applyAlignment="1" applyProtection="1">
      <alignment vertical="top" wrapText="1"/>
    </xf>
    <xf numFmtId="0" fontId="27" fillId="3" borderId="0" xfId="0" applyFont="1" applyFill="1" applyBorder="1" applyAlignment="1" applyProtection="1">
      <alignment vertical="top"/>
    </xf>
    <xf numFmtId="0" fontId="86" fillId="11" borderId="0" xfId="0" applyFont="1" applyFill="1" applyBorder="1" applyAlignment="1" applyProtection="1">
      <alignment vertical="top" wrapText="1"/>
    </xf>
    <xf numFmtId="0" fontId="86" fillId="11" borderId="22" xfId="0" applyFont="1" applyFill="1" applyBorder="1" applyAlignment="1" applyProtection="1">
      <alignment vertical="top" wrapText="1"/>
    </xf>
    <xf numFmtId="0" fontId="86" fillId="11" borderId="0" xfId="0" applyFont="1" applyFill="1" applyBorder="1" applyAlignment="1" applyProtection="1">
      <alignment vertical="center" wrapText="1"/>
    </xf>
    <xf numFmtId="0" fontId="86" fillId="3" borderId="22" xfId="0" applyFont="1" applyFill="1" applyBorder="1" applyAlignment="1" applyProtection="1">
      <alignment vertical="top" wrapText="1"/>
    </xf>
    <xf numFmtId="0" fontId="91" fillId="3" borderId="0" xfId="0" applyFont="1" applyFill="1" applyBorder="1" applyAlignment="1" applyProtection="1">
      <alignment vertical="center"/>
    </xf>
    <xf numFmtId="0" fontId="86" fillId="3" borderId="0" xfId="0" applyFont="1" applyFill="1" applyBorder="1" applyAlignment="1" applyProtection="1">
      <alignment vertical="top" wrapText="1"/>
    </xf>
    <xf numFmtId="0" fontId="86" fillId="3" borderId="20" xfId="0" applyFont="1" applyFill="1" applyBorder="1" applyAlignment="1" applyProtection="1">
      <alignment vertical="top" wrapText="1"/>
    </xf>
    <xf numFmtId="0" fontId="86" fillId="3" borderId="24" xfId="0" applyFont="1" applyFill="1" applyBorder="1" applyAlignment="1" applyProtection="1">
      <alignment vertical="top" wrapText="1"/>
    </xf>
    <xf numFmtId="0" fontId="27" fillId="0" borderId="0" xfId="0" applyFont="1" applyFill="1" applyAlignment="1" applyProtection="1">
      <alignment horizontal="left" vertical="center"/>
    </xf>
    <xf numFmtId="0" fontId="88" fillId="3" borderId="38" xfId="0" applyFont="1" applyFill="1" applyBorder="1" applyAlignment="1" applyProtection="1">
      <alignment vertical="center" wrapText="1"/>
    </xf>
    <xf numFmtId="0" fontId="88" fillId="3" borderId="50" xfId="0" applyFont="1" applyFill="1" applyBorder="1" applyAlignment="1" applyProtection="1">
      <alignment vertical="center" wrapText="1"/>
    </xf>
    <xf numFmtId="181" fontId="86" fillId="3" borderId="0" xfId="0" applyNumberFormat="1" applyFont="1" applyFill="1" applyBorder="1" applyAlignment="1" applyProtection="1">
      <alignment horizontal="left" vertical="top" wrapText="1"/>
    </xf>
    <xf numFmtId="181" fontId="86" fillId="3" borderId="22" xfId="0" applyNumberFormat="1" applyFont="1" applyFill="1" applyBorder="1" applyAlignment="1" applyProtection="1">
      <alignment horizontal="left" vertical="top" wrapText="1"/>
    </xf>
    <xf numFmtId="0" fontId="27" fillId="3" borderId="1" xfId="0" applyFont="1" applyFill="1" applyBorder="1" applyAlignment="1" applyProtection="1">
      <alignment horizontal="center" vertical="center"/>
    </xf>
    <xf numFmtId="0" fontId="27" fillId="3" borderId="1" xfId="0" applyFont="1" applyFill="1" applyBorder="1" applyAlignment="1" applyProtection="1">
      <alignment vertical="center" wrapText="1"/>
    </xf>
    <xf numFmtId="0" fontId="27" fillId="3" borderId="40" xfId="0" applyFont="1" applyFill="1" applyBorder="1" applyAlignment="1" applyProtection="1">
      <alignment vertical="center" wrapText="1"/>
    </xf>
    <xf numFmtId="0" fontId="27" fillId="3" borderId="1" xfId="0" applyFont="1" applyFill="1" applyBorder="1" applyAlignment="1" applyProtection="1">
      <alignment horizontal="center" vertical="center" wrapText="1"/>
    </xf>
    <xf numFmtId="0" fontId="27" fillId="0" borderId="0" xfId="0" applyFont="1" applyFill="1" applyBorder="1" applyAlignment="1" applyProtection="1">
      <alignment horizontal="left" vertical="center" wrapText="1"/>
    </xf>
    <xf numFmtId="0" fontId="27" fillId="0" borderId="0" xfId="0" applyFont="1" applyFill="1" applyAlignment="1" applyProtection="1">
      <alignment horizontal="left" vertical="center" wrapText="1"/>
    </xf>
    <xf numFmtId="0" fontId="27" fillId="0" borderId="0" xfId="0" applyFont="1" applyFill="1" applyBorder="1" applyAlignment="1" applyProtection="1">
      <alignment horizontal="left" vertical="center"/>
    </xf>
    <xf numFmtId="181" fontId="11" fillId="3" borderId="0" xfId="1" applyNumberFormat="1" applyFill="1" applyBorder="1" applyAlignment="1" applyProtection="1"/>
    <xf numFmtId="181" fontId="11" fillId="3" borderId="22" xfId="1" applyNumberFormat="1" applyFill="1" applyBorder="1" applyAlignment="1" applyProtection="1"/>
    <xf numFmtId="0" fontId="0" fillId="15" borderId="0" xfId="0" applyFill="1" applyBorder="1">
      <alignment vertical="center"/>
    </xf>
    <xf numFmtId="0" fontId="0" fillId="15" borderId="74" xfId="0" applyFill="1" applyBorder="1" applyAlignment="1">
      <alignment vertical="center" wrapText="1"/>
    </xf>
    <xf numFmtId="0" fontId="0" fillId="15" borderId="74" xfId="0" applyFont="1" applyFill="1" applyBorder="1">
      <alignment vertical="center"/>
    </xf>
    <xf numFmtId="0" fontId="0" fillId="3" borderId="2" xfId="0" applyFont="1" applyFill="1" applyBorder="1" applyAlignment="1" applyProtection="1"/>
    <xf numFmtId="0" fontId="5" fillId="0" borderId="0" xfId="0" applyFont="1" applyAlignment="1" applyProtection="1">
      <alignment horizontal="right" vertical="center"/>
    </xf>
    <xf numFmtId="0" fontId="89" fillId="0" borderId="38" xfId="0" applyFont="1" applyFill="1" applyBorder="1" applyAlignment="1" applyProtection="1">
      <alignment vertical="center" wrapText="1"/>
    </xf>
    <xf numFmtId="0" fontId="0" fillId="2" borderId="0" xfId="0" applyFont="1" applyFill="1" applyBorder="1" applyAlignment="1" applyProtection="1">
      <alignment vertical="center"/>
    </xf>
    <xf numFmtId="0" fontId="0" fillId="3" borderId="29" xfId="0" applyFont="1" applyFill="1" applyBorder="1" applyAlignment="1" applyProtection="1">
      <alignment horizontal="left" vertical="center"/>
    </xf>
    <xf numFmtId="0" fontId="0" fillId="15" borderId="78" xfId="0" quotePrefix="1" applyFill="1" applyBorder="1">
      <alignment vertical="center"/>
    </xf>
    <xf numFmtId="0" fontId="0" fillId="0" borderId="0" xfId="0" applyFont="1" applyFill="1" applyAlignment="1" applyProtection="1">
      <alignment vertical="center" shrinkToFit="1"/>
    </xf>
    <xf numFmtId="0" fontId="27" fillId="11" borderId="0" xfId="0" applyFont="1" applyFill="1" applyBorder="1" applyAlignment="1" applyProtection="1">
      <alignment vertical="top" wrapText="1"/>
    </xf>
    <xf numFmtId="0" fontId="27" fillId="11" borderId="0" xfId="0" applyFont="1" applyFill="1" applyBorder="1" applyAlignment="1" applyProtection="1">
      <alignment vertical="top"/>
    </xf>
    <xf numFmtId="0" fontId="17" fillId="3" borderId="29" xfId="0" applyFont="1" applyFill="1" applyBorder="1" applyAlignment="1" applyProtection="1">
      <alignment horizontal="right" vertical="center"/>
    </xf>
    <xf numFmtId="0" fontId="0" fillId="3" borderId="38" xfId="0" applyFont="1" applyFill="1" applyBorder="1" applyAlignment="1" applyProtection="1">
      <alignment vertical="center"/>
    </xf>
    <xf numFmtId="0" fontId="0" fillId="0" borderId="0" xfId="0" applyAlignment="1">
      <alignment horizontal="right" vertical="center"/>
    </xf>
    <xf numFmtId="0" fontId="0" fillId="4" borderId="4" xfId="0" applyNumberFormat="1" applyFill="1" applyBorder="1">
      <alignment vertical="center"/>
    </xf>
    <xf numFmtId="0" fontId="0" fillId="0" borderId="33" xfId="0" applyBorder="1">
      <alignment vertical="center"/>
    </xf>
    <xf numFmtId="0" fontId="133" fillId="24" borderId="192" xfId="0" applyFont="1" applyFill="1" applyBorder="1" applyAlignment="1">
      <alignment vertical="center" wrapText="1"/>
    </xf>
    <xf numFmtId="0" fontId="45" fillId="0" borderId="0" xfId="0" applyFont="1" applyFill="1" applyBorder="1" applyAlignment="1" applyProtection="1">
      <alignment vertical="center" shrinkToFit="1"/>
    </xf>
    <xf numFmtId="0" fontId="45" fillId="0" borderId="0" xfId="0" applyFont="1" applyFill="1" applyBorder="1" applyAlignment="1" applyProtection="1">
      <alignment vertical="top" shrinkToFit="1"/>
    </xf>
    <xf numFmtId="0" fontId="46" fillId="0" borderId="0" xfId="0" applyFont="1" applyFill="1" applyBorder="1" applyAlignment="1" applyProtection="1">
      <alignment vertical="center" shrinkToFit="1"/>
    </xf>
    <xf numFmtId="0" fontId="45" fillId="0" borderId="0" xfId="0" applyFont="1" applyBorder="1" applyAlignment="1" applyProtection="1">
      <alignment vertical="center" shrinkToFit="1"/>
    </xf>
    <xf numFmtId="0" fontId="46" fillId="0" borderId="0" xfId="0" applyFont="1" applyAlignment="1" applyProtection="1">
      <alignment vertical="center" shrinkToFit="1"/>
    </xf>
    <xf numFmtId="0" fontId="45" fillId="0" borderId="0" xfId="0" applyFont="1" applyAlignment="1" applyProtection="1">
      <alignment vertical="center" shrinkToFit="1"/>
    </xf>
    <xf numFmtId="0" fontId="0" fillId="3" borderId="0" xfId="0" applyFill="1" applyAlignment="1">
      <alignment horizontal="right" vertical="center" wrapText="1"/>
    </xf>
    <xf numFmtId="181" fontId="12" fillId="23" borderId="193" xfId="0" applyNumberFormat="1" applyFont="1" applyFill="1" applyBorder="1" applyAlignment="1" applyProtection="1">
      <alignment vertical="center"/>
    </xf>
    <xf numFmtId="181" fontId="12" fillId="23" borderId="194" xfId="0" applyNumberFormat="1" applyFont="1" applyFill="1" applyBorder="1" applyAlignment="1" applyProtection="1">
      <alignment vertical="center"/>
    </xf>
    <xf numFmtId="181" fontId="11" fillId="23" borderId="194" xfId="1" applyNumberFormat="1" applyFill="1" applyBorder="1" applyAlignment="1" applyProtection="1">
      <alignment vertical="center"/>
    </xf>
    <xf numFmtId="181" fontId="12" fillId="23" borderId="194" xfId="0" applyNumberFormat="1" applyFont="1" applyFill="1" applyBorder="1" applyAlignment="1" applyProtection="1">
      <alignment horizontal="right" vertical="center"/>
    </xf>
    <xf numFmtId="0" fontId="4" fillId="3" borderId="0" xfId="0" applyFont="1" applyFill="1" applyBorder="1" applyAlignment="1" applyProtection="1">
      <alignment horizontal="center" vertical="center"/>
      <protection locked="0"/>
    </xf>
    <xf numFmtId="0" fontId="0" fillId="14" borderId="0" xfId="0" applyFill="1" applyProtection="1">
      <alignment vertical="center"/>
    </xf>
    <xf numFmtId="0" fontId="24" fillId="14" borderId="0" xfId="0" applyFont="1" applyFill="1" applyBorder="1" applyAlignment="1" applyProtection="1">
      <alignment vertical="center"/>
    </xf>
    <xf numFmtId="0" fontId="24" fillId="14" borderId="0" xfId="0" applyFont="1" applyFill="1" applyProtection="1">
      <alignment vertical="center"/>
    </xf>
    <xf numFmtId="0" fontId="0" fillId="15" borderId="0" xfId="0" applyFont="1" applyFill="1" applyAlignment="1">
      <alignment horizontal="left" vertical="center"/>
    </xf>
    <xf numFmtId="0" fontId="0" fillId="15" borderId="0" xfId="0" applyFont="1" applyFill="1">
      <alignment vertical="center"/>
    </xf>
    <xf numFmtId="0" fontId="0" fillId="15" borderId="0" xfId="0" applyFont="1" applyFill="1" applyAlignment="1" applyProtection="1">
      <alignment horizontal="left" vertical="center"/>
      <protection locked="0"/>
    </xf>
    <xf numFmtId="0" fontId="0" fillId="15" borderId="0" xfId="0" applyFont="1" applyFill="1" applyProtection="1">
      <alignment vertical="center"/>
      <protection locked="0"/>
    </xf>
    <xf numFmtId="0" fontId="13" fillId="15" borderId="4" xfId="0" applyNumberFormat="1" applyFont="1" applyFill="1" applyBorder="1" applyAlignment="1">
      <alignment horizontal="left" vertical="center" shrinkToFit="1"/>
    </xf>
    <xf numFmtId="0" fontId="13" fillId="15" borderId="4" xfId="0" applyFont="1" applyFill="1" applyBorder="1" applyAlignment="1">
      <alignment horizontal="left" vertical="center"/>
    </xf>
    <xf numFmtId="0" fontId="13" fillId="15" borderId="4" xfId="0" applyFont="1" applyFill="1" applyBorder="1" applyAlignment="1">
      <alignment horizontal="left" vertical="center" shrinkToFit="1"/>
    </xf>
    <xf numFmtId="0" fontId="13" fillId="15" borderId="0" xfId="0" applyFont="1" applyFill="1" applyBorder="1" applyAlignment="1">
      <alignment horizontal="left" vertical="center"/>
    </xf>
    <xf numFmtId="0" fontId="22" fillId="15" borderId="0" xfId="0" applyFont="1" applyFill="1">
      <alignment vertical="center"/>
    </xf>
    <xf numFmtId="49" fontId="13" fillId="15" borderId="7" xfId="0" applyNumberFormat="1" applyFont="1" applyFill="1" applyBorder="1" applyAlignment="1">
      <alignment horizontal="center" vertical="center" shrinkToFit="1"/>
    </xf>
    <xf numFmtId="49" fontId="13" fillId="15" borderId="9" xfId="0" applyNumberFormat="1" applyFont="1" applyFill="1" applyBorder="1" applyAlignment="1">
      <alignment horizontal="center" vertical="center"/>
    </xf>
    <xf numFmtId="49" fontId="0" fillId="15" borderId="0" xfId="0" applyNumberFormat="1" applyFont="1" applyFill="1" applyAlignment="1" applyProtection="1">
      <alignment horizontal="left" vertical="center"/>
      <protection locked="0"/>
    </xf>
    <xf numFmtId="0" fontId="0" fillId="15" borderId="0" xfId="0" applyNumberFormat="1" applyFont="1" applyFill="1" applyAlignment="1">
      <alignment horizontal="left" vertical="center"/>
    </xf>
    <xf numFmtId="0" fontId="13" fillId="15" borderId="4" xfId="0" applyFont="1" applyFill="1" applyBorder="1" applyAlignment="1" applyProtection="1">
      <alignment horizontal="center" vertical="center" wrapText="1"/>
    </xf>
    <xf numFmtId="0" fontId="24" fillId="15" borderId="0" xfId="0" applyFont="1" applyFill="1" applyProtection="1">
      <alignment vertical="center"/>
      <protection locked="0"/>
    </xf>
    <xf numFmtId="0" fontId="0" fillId="0" borderId="58" xfId="0" applyBorder="1" applyProtection="1">
      <alignment vertical="center"/>
    </xf>
    <xf numFmtId="0" fontId="0" fillId="15" borderId="0" xfId="0" applyFont="1" applyFill="1" applyBorder="1" applyAlignment="1" applyProtection="1">
      <alignment vertical="center"/>
    </xf>
    <xf numFmtId="0" fontId="0" fillId="0" borderId="0" xfId="3" applyFont="1" applyFill="1" applyBorder="1" applyAlignment="1" applyProtection="1"/>
    <xf numFmtId="49" fontId="0" fillId="15" borderId="0" xfId="0" applyNumberFormat="1" applyFont="1" applyFill="1" applyAlignment="1" applyProtection="1">
      <alignment vertical="center"/>
      <protection locked="0"/>
    </xf>
    <xf numFmtId="49" fontId="0" fillId="15" borderId="0" xfId="0" applyNumberFormat="1" applyFont="1" applyFill="1" applyBorder="1" applyAlignment="1">
      <alignment horizontal="center" vertical="center" shrinkToFit="1"/>
    </xf>
    <xf numFmtId="49" fontId="0" fillId="15" borderId="0" xfId="0" applyNumberFormat="1" applyFont="1" applyFill="1" applyBorder="1" applyAlignment="1">
      <alignment vertical="center" shrinkToFit="1"/>
    </xf>
    <xf numFmtId="49" fontId="0" fillId="15" borderId="0" xfId="0" applyNumberFormat="1" applyFont="1" applyFill="1" applyBorder="1" applyAlignment="1">
      <alignment horizontal="center" vertical="center"/>
    </xf>
    <xf numFmtId="0" fontId="0" fillId="15" borderId="0" xfId="0" applyNumberFormat="1" applyFont="1" applyFill="1" applyBorder="1" applyAlignment="1">
      <alignment vertical="center"/>
    </xf>
    <xf numFmtId="49" fontId="0" fillId="15" borderId="0" xfId="0" applyNumberFormat="1" applyFont="1" applyFill="1" applyAlignment="1">
      <alignment horizontal="center" vertical="center"/>
    </xf>
    <xf numFmtId="0" fontId="0" fillId="15" borderId="0" xfId="0" applyNumberFormat="1" applyFont="1" applyFill="1" applyAlignment="1">
      <alignment vertical="center" shrinkToFit="1"/>
    </xf>
    <xf numFmtId="0" fontId="0" fillId="15" borderId="0" xfId="0" applyFont="1" applyFill="1" applyAlignment="1">
      <alignment vertical="center" shrinkToFit="1"/>
    </xf>
    <xf numFmtId="49" fontId="0" fillId="0" borderId="0" xfId="0" applyNumberFormat="1" applyFont="1" applyFill="1" applyAlignment="1">
      <alignment horizontal="center" vertical="center"/>
    </xf>
    <xf numFmtId="0" fontId="0" fillId="0" borderId="0" xfId="0" applyNumberFormat="1" applyFont="1" applyFill="1" applyAlignment="1">
      <alignment vertical="center" shrinkToFit="1"/>
    </xf>
    <xf numFmtId="0" fontId="0" fillId="0" borderId="0" xfId="0" applyFont="1" applyAlignment="1">
      <alignment vertical="center" shrinkToFit="1"/>
    </xf>
    <xf numFmtId="49" fontId="0" fillId="15" borderId="4" xfId="0" applyNumberFormat="1" applyFont="1" applyFill="1" applyBorder="1" applyAlignment="1" applyProtection="1">
      <alignment vertical="center"/>
      <protection locked="0"/>
    </xf>
    <xf numFmtId="0" fontId="0" fillId="15" borderId="4" xfId="0" applyFont="1" applyFill="1" applyBorder="1" applyAlignment="1" applyProtection="1">
      <alignment vertical="center"/>
    </xf>
    <xf numFmtId="49" fontId="0" fillId="15" borderId="4" xfId="0" applyNumberFormat="1" applyFont="1" applyFill="1" applyBorder="1" applyAlignment="1">
      <alignment horizontal="center" vertical="center" shrinkToFit="1"/>
    </xf>
    <xf numFmtId="49" fontId="0" fillId="15" borderId="4" xfId="0" applyNumberFormat="1" applyFont="1" applyFill="1" applyBorder="1" applyAlignment="1">
      <alignment vertical="center" shrinkToFit="1"/>
    </xf>
    <xf numFmtId="49" fontId="0" fillId="15" borderId="4" xfId="0" applyNumberFormat="1" applyFont="1" applyFill="1" applyBorder="1" applyAlignment="1">
      <alignment horizontal="center" vertical="center"/>
    </xf>
    <xf numFmtId="0" fontId="0" fillId="15" borderId="4" xfId="0" applyNumberFormat="1" applyFont="1" applyFill="1" applyBorder="1" applyAlignment="1">
      <alignment vertical="center"/>
    </xf>
    <xf numFmtId="49" fontId="0" fillId="0" borderId="4" xfId="0" applyNumberFormat="1" applyFont="1" applyFill="1" applyBorder="1" applyAlignment="1" applyProtection="1">
      <alignment vertical="center"/>
      <protection locked="0"/>
    </xf>
    <xf numFmtId="0" fontId="0" fillId="0" borderId="4" xfId="0" applyFont="1" applyBorder="1" applyAlignment="1">
      <alignment horizontal="left" vertical="center"/>
    </xf>
    <xf numFmtId="49" fontId="0" fillId="0" borderId="4" xfId="0" applyNumberFormat="1" applyFont="1" applyFill="1" applyBorder="1" applyAlignment="1">
      <alignment horizontal="center" vertical="center" shrinkToFit="1"/>
    </xf>
    <xf numFmtId="49" fontId="0" fillId="0" borderId="4" xfId="0" applyNumberFormat="1" applyFont="1" applyFill="1" applyBorder="1" applyAlignment="1">
      <alignment vertical="center" shrinkToFit="1"/>
    </xf>
    <xf numFmtId="49" fontId="0" fillId="0" borderId="4" xfId="0" applyNumberFormat="1" applyFont="1" applyFill="1" applyBorder="1" applyAlignment="1">
      <alignment horizontal="center" vertical="center"/>
    </xf>
    <xf numFmtId="0" fontId="0" fillId="0" borderId="4" xfId="0" applyNumberFormat="1" applyFont="1" applyFill="1" applyBorder="1" applyAlignment="1">
      <alignment vertical="center"/>
    </xf>
    <xf numFmtId="49" fontId="13" fillId="15" borderId="0" xfId="0" applyNumberFormat="1" applyFont="1" applyFill="1" applyBorder="1" applyAlignment="1" applyProtection="1">
      <alignment vertical="center"/>
      <protection locked="0"/>
    </xf>
    <xf numFmtId="0" fontId="13" fillId="15" borderId="0" xfId="0" applyNumberFormat="1" applyFont="1" applyFill="1" applyBorder="1" applyAlignment="1">
      <alignment horizontal="left" vertical="center" shrinkToFit="1"/>
    </xf>
    <xf numFmtId="49" fontId="13" fillId="15" borderId="0" xfId="0" applyNumberFormat="1" applyFont="1" applyFill="1" applyBorder="1" applyAlignment="1">
      <alignment horizontal="center" vertical="center"/>
    </xf>
    <xf numFmtId="0" fontId="13" fillId="15" borderId="0" xfId="0" applyFont="1" applyFill="1" applyBorder="1" applyAlignment="1">
      <alignment horizontal="left" vertical="center" shrinkToFit="1"/>
    </xf>
    <xf numFmtId="0" fontId="0" fillId="15" borderId="0" xfId="0" applyFill="1" applyBorder="1" applyAlignment="1" applyProtection="1">
      <alignment vertical="center"/>
    </xf>
    <xf numFmtId="0" fontId="24" fillId="0" borderId="4" xfId="0" applyFont="1" applyBorder="1" applyProtection="1">
      <alignment vertical="center"/>
    </xf>
    <xf numFmtId="0" fontId="0" fillId="0" borderId="4" xfId="0" applyNumberFormat="1" applyFont="1" applyBorder="1" applyProtection="1">
      <alignment vertical="center"/>
    </xf>
    <xf numFmtId="14" fontId="0" fillId="0" borderId="4" xfId="0" applyNumberFormat="1" applyFont="1" applyFill="1" applyBorder="1" applyProtection="1">
      <alignment vertical="center"/>
    </xf>
    <xf numFmtId="0" fontId="24" fillId="0" borderId="0" xfId="0" applyFont="1" applyBorder="1" applyProtection="1">
      <alignment vertical="center"/>
    </xf>
    <xf numFmtId="14" fontId="13" fillId="0" borderId="0" xfId="0" applyNumberFormat="1" applyFont="1" applyBorder="1" applyProtection="1">
      <alignment vertical="center"/>
    </xf>
    <xf numFmtId="14" fontId="13" fillId="0" borderId="0" xfId="0" applyNumberFormat="1" applyFont="1" applyProtection="1">
      <alignment vertical="center"/>
    </xf>
    <xf numFmtId="0" fontId="0" fillId="0" borderId="4" xfId="0" quotePrefix="1" applyFont="1" applyFill="1" applyBorder="1" applyAlignment="1" applyProtection="1">
      <alignment vertical="center"/>
    </xf>
    <xf numFmtId="0" fontId="0" fillId="0" borderId="4" xfId="0" quotePrefix="1" applyFont="1" applyFill="1" applyBorder="1" applyAlignment="1" applyProtection="1">
      <alignment vertical="center" wrapText="1"/>
    </xf>
    <xf numFmtId="49" fontId="0" fillId="0" borderId="4" xfId="0" quotePrefix="1" applyNumberFormat="1" applyFont="1" applyFill="1" applyBorder="1" applyAlignment="1" applyProtection="1">
      <alignment vertical="center" wrapText="1"/>
    </xf>
    <xf numFmtId="0" fontId="0" fillId="0" borderId="4" xfId="0" applyNumberFormat="1" applyFont="1" applyFill="1" applyBorder="1" applyAlignment="1">
      <alignment vertical="center" shrinkToFit="1"/>
    </xf>
    <xf numFmtId="0" fontId="0" fillId="0" borderId="4" xfId="0" applyNumberFormat="1" applyFont="1" applyFill="1" applyBorder="1" applyAlignment="1" applyProtection="1">
      <alignment horizontal="left" vertical="center"/>
    </xf>
    <xf numFmtId="0" fontId="0" fillId="0" borderId="4" xfId="0" applyFont="1" applyFill="1" applyBorder="1" applyAlignment="1" applyProtection="1">
      <alignment horizontal="left" vertical="center" shrinkToFit="1"/>
    </xf>
    <xf numFmtId="0" fontId="0" fillId="0" borderId="4" xfId="0" applyNumberFormat="1" applyFont="1" applyFill="1" applyBorder="1" applyAlignment="1">
      <alignment horizontal="left" vertical="center"/>
    </xf>
    <xf numFmtId="0" fontId="0" fillId="0" borderId="4" xfId="0" applyFont="1" applyFill="1" applyBorder="1" applyAlignment="1">
      <alignment horizontal="center" vertical="center"/>
    </xf>
    <xf numFmtId="0" fontId="0" fillId="0" borderId="4" xfId="0" applyNumberFormat="1" applyFont="1" applyFill="1" applyBorder="1" applyAlignment="1">
      <alignment horizontal="left" vertical="center" shrinkToFit="1"/>
    </xf>
    <xf numFmtId="0" fontId="0" fillId="0" borderId="4" xfId="0" applyNumberFormat="1" applyFont="1" applyFill="1" applyBorder="1" applyAlignment="1" applyProtection="1">
      <alignment horizontal="left" vertical="center" shrinkToFit="1"/>
    </xf>
    <xf numFmtId="0" fontId="0" fillId="0" borderId="4" xfId="0" applyFont="1" applyFill="1" applyBorder="1" applyAlignment="1" applyProtection="1">
      <alignment horizontal="center" vertical="center" shrinkToFit="1"/>
    </xf>
    <xf numFmtId="0" fontId="0" fillId="0" borderId="4" xfId="0" applyNumberFormat="1" applyFont="1" applyFill="1" applyBorder="1" applyAlignment="1">
      <alignment horizontal="left" vertical="center" wrapText="1"/>
    </xf>
    <xf numFmtId="0" fontId="0" fillId="0" borderId="4" xfId="0" applyNumberFormat="1" applyFont="1" applyFill="1" applyBorder="1" applyAlignment="1" applyProtection="1">
      <alignment vertical="center"/>
      <protection locked="0"/>
    </xf>
    <xf numFmtId="0" fontId="0" fillId="0" borderId="4" xfId="0" applyNumberFormat="1" applyFont="1" applyBorder="1">
      <alignment vertical="center"/>
    </xf>
    <xf numFmtId="0" fontId="0" fillId="0" borderId="4" xfId="0" applyNumberFormat="1" applyFont="1" applyFill="1" applyBorder="1" applyAlignment="1" applyProtection="1">
      <alignment horizontal="left" vertical="center"/>
      <protection locked="0"/>
    </xf>
    <xf numFmtId="0" fontId="0" fillId="0" borderId="4" xfId="0" applyNumberFormat="1" applyFont="1" applyBorder="1" applyAlignment="1">
      <alignment horizontal="left" vertical="center"/>
    </xf>
    <xf numFmtId="0" fontId="0" fillId="0" borderId="19" xfId="0" applyFont="1" applyFill="1" applyBorder="1" applyAlignment="1" applyProtection="1">
      <alignment horizontal="left" vertical="center"/>
    </xf>
    <xf numFmtId="0" fontId="0" fillId="0" borderId="17" xfId="0" applyFont="1" applyFill="1" applyBorder="1" applyAlignment="1" applyProtection="1">
      <alignment horizontal="left" vertical="center"/>
    </xf>
    <xf numFmtId="0" fontId="0" fillId="0" borderId="32" xfId="0" applyFont="1" applyFill="1" applyBorder="1" applyAlignment="1" applyProtection="1">
      <alignment horizontal="left" vertical="center"/>
    </xf>
    <xf numFmtId="0" fontId="0" fillId="0" borderId="13" xfId="0" applyFont="1" applyFill="1" applyBorder="1" applyAlignment="1" applyProtection="1">
      <alignment horizontal="left" vertical="center"/>
    </xf>
    <xf numFmtId="0" fontId="0" fillId="0" borderId="14" xfId="0" applyFont="1" applyFill="1" applyBorder="1" applyAlignment="1" applyProtection="1">
      <alignment horizontal="left" vertical="center"/>
    </xf>
    <xf numFmtId="0" fontId="0" fillId="22" borderId="4" xfId="0" quotePrefix="1" applyFill="1" applyBorder="1">
      <alignment vertical="center"/>
    </xf>
    <xf numFmtId="0" fontId="0" fillId="22" borderId="4" xfId="0" applyFill="1" applyBorder="1">
      <alignment vertical="center"/>
    </xf>
    <xf numFmtId="0" fontId="0" fillId="22" borderId="0" xfId="0" applyFont="1" applyFill="1" applyAlignment="1">
      <alignment horizontal="left" vertical="center"/>
    </xf>
    <xf numFmtId="0" fontId="0" fillId="22" borderId="0" xfId="0" applyFont="1" applyFill="1">
      <alignment vertical="center"/>
    </xf>
    <xf numFmtId="0" fontId="0" fillId="22" borderId="0" xfId="0" applyFont="1" applyFill="1" applyAlignment="1" applyProtection="1">
      <alignment horizontal="left" vertical="center"/>
      <protection locked="0"/>
    </xf>
    <xf numFmtId="14" fontId="0" fillId="22" borderId="0" xfId="0" applyNumberFormat="1" applyFont="1" applyFill="1">
      <alignment vertical="center"/>
    </xf>
    <xf numFmtId="0" fontId="11" fillId="0" borderId="4" xfId="1" applyBorder="1" applyProtection="1">
      <alignment vertical="center"/>
    </xf>
    <xf numFmtId="0" fontId="0" fillId="0" borderId="0" xfId="0" applyAlignment="1" applyProtection="1"/>
    <xf numFmtId="0" fontId="11" fillId="0" borderId="0" xfId="1" quotePrefix="1" applyBorder="1" applyAlignment="1" applyProtection="1"/>
    <xf numFmtId="0" fontId="142" fillId="0" borderId="0" xfId="1" applyFont="1" applyAlignment="1" applyProtection="1">
      <alignment vertical="top"/>
    </xf>
    <xf numFmtId="0" fontId="0" fillId="25" borderId="0" xfId="0" applyFill="1" applyProtection="1">
      <alignment vertical="center"/>
    </xf>
    <xf numFmtId="49" fontId="0" fillId="25" borderId="0" xfId="0" applyNumberFormat="1" applyFill="1" applyProtection="1">
      <alignment vertical="center"/>
    </xf>
    <xf numFmtId="0" fontId="0" fillId="26" borderId="7" xfId="0" applyFill="1" applyBorder="1" applyProtection="1">
      <alignment vertical="center"/>
    </xf>
    <xf numFmtId="0" fontId="0" fillId="26" borderId="9" xfId="0" applyFill="1" applyBorder="1" applyProtection="1">
      <alignment vertical="center"/>
    </xf>
    <xf numFmtId="0" fontId="0" fillId="26" borderId="0" xfId="0" applyFill="1" applyProtection="1">
      <alignment vertical="center"/>
    </xf>
    <xf numFmtId="0" fontId="0" fillId="26" borderId="3" xfId="0" applyFill="1" applyBorder="1" applyProtection="1">
      <alignment vertical="center"/>
    </xf>
    <xf numFmtId="0" fontId="0" fillId="26" borderId="5" xfId="0" applyFill="1" applyBorder="1" applyProtection="1">
      <alignment vertical="center"/>
    </xf>
    <xf numFmtId="0" fontId="0" fillId="26" borderId="28" xfId="0" applyFill="1" applyBorder="1" applyProtection="1">
      <alignment vertical="center"/>
    </xf>
    <xf numFmtId="0" fontId="0" fillId="26" borderId="6" xfId="0" applyFill="1" applyBorder="1" applyAlignment="1" applyProtection="1">
      <alignment horizontal="left" vertical="center"/>
    </xf>
    <xf numFmtId="0" fontId="0" fillId="26" borderId="10" xfId="0" applyFill="1" applyBorder="1" applyAlignment="1" applyProtection="1">
      <alignment horizontal="left" vertical="center"/>
    </xf>
    <xf numFmtId="0" fontId="0" fillId="26" borderId="11" xfId="0" applyFill="1" applyBorder="1" applyAlignment="1" applyProtection="1">
      <alignment horizontal="left" vertical="center"/>
    </xf>
    <xf numFmtId="49" fontId="0" fillId="26" borderId="0" xfId="0" applyNumberFormat="1" applyFill="1" applyProtection="1">
      <alignment vertical="center"/>
    </xf>
    <xf numFmtId="0" fontId="0" fillId="26" borderId="0" xfId="0" applyFill="1" applyBorder="1" applyProtection="1">
      <alignment vertical="center"/>
    </xf>
    <xf numFmtId="0" fontId="0" fillId="29" borderId="0" xfId="0" applyFill="1" applyBorder="1" applyAlignment="1" applyProtection="1">
      <alignment vertical="center"/>
    </xf>
    <xf numFmtId="0" fontId="0" fillId="29" borderId="0" xfId="0" applyFill="1" applyAlignment="1" applyProtection="1">
      <alignment vertical="center"/>
    </xf>
    <xf numFmtId="0" fontId="0" fillId="29" borderId="33" xfId="0" applyFill="1" applyBorder="1" applyAlignment="1" applyProtection="1">
      <alignment vertical="center"/>
    </xf>
    <xf numFmtId="0" fontId="0" fillId="29" borderId="99" xfId="0" applyFill="1" applyBorder="1" applyProtection="1">
      <alignment vertical="center"/>
    </xf>
    <xf numFmtId="0" fontId="0" fillId="29" borderId="89" xfId="0" applyFill="1" applyBorder="1" applyProtection="1">
      <alignment vertical="center"/>
    </xf>
    <xf numFmtId="0" fontId="0" fillId="29" borderId="4" xfId="0" applyFill="1" applyBorder="1" applyProtection="1">
      <alignment vertical="center"/>
    </xf>
    <xf numFmtId="0" fontId="0" fillId="29" borderId="0" xfId="0" applyFill="1" applyProtection="1">
      <alignment vertical="center"/>
    </xf>
    <xf numFmtId="0" fontId="27" fillId="3" borderId="0" xfId="0" applyFont="1" applyFill="1" applyBorder="1" applyAlignment="1" applyProtection="1">
      <alignment vertical="top" wrapText="1"/>
    </xf>
    <xf numFmtId="0" fontId="27" fillId="3" borderId="0" xfId="0" applyFont="1" applyFill="1" applyBorder="1" applyAlignment="1" applyProtection="1">
      <alignment vertical="center" wrapText="1"/>
    </xf>
    <xf numFmtId="0" fontId="13" fillId="3" borderId="53" xfId="0" applyFont="1" applyFill="1" applyBorder="1" applyAlignment="1" applyProtection="1">
      <alignment horizontal="left" vertical="center"/>
    </xf>
    <xf numFmtId="0" fontId="13" fillId="3" borderId="29" xfId="0" applyFont="1" applyFill="1" applyBorder="1" applyAlignment="1" applyProtection="1">
      <alignment horizontal="left" vertical="center"/>
    </xf>
    <xf numFmtId="0" fontId="13" fillId="3" borderId="27" xfId="0" applyFont="1" applyFill="1" applyBorder="1" applyAlignment="1" applyProtection="1">
      <alignment horizontal="left" vertical="center"/>
    </xf>
    <xf numFmtId="0" fontId="13" fillId="3" borderId="82" xfId="0" applyFont="1" applyFill="1" applyBorder="1" applyAlignment="1" applyProtection="1">
      <alignment horizontal="left" vertical="center"/>
    </xf>
    <xf numFmtId="0" fontId="13" fillId="3" borderId="0" xfId="0" applyFont="1" applyFill="1" applyBorder="1" applyAlignment="1" applyProtection="1">
      <alignment horizontal="left" vertical="center"/>
    </xf>
    <xf numFmtId="0" fontId="13" fillId="3" borderId="52" xfId="0" applyFont="1" applyFill="1" applyBorder="1" applyAlignment="1" applyProtection="1">
      <alignment horizontal="left" vertical="center"/>
    </xf>
    <xf numFmtId="0" fontId="13" fillId="3" borderId="1" xfId="0" applyFont="1" applyFill="1" applyBorder="1" applyAlignment="1" applyProtection="1">
      <alignment horizontal="left" vertical="center"/>
    </xf>
    <xf numFmtId="0" fontId="13" fillId="3" borderId="1" xfId="0" applyFont="1" applyFill="1" applyBorder="1" applyAlignment="1" applyProtection="1">
      <alignment horizontal="left" vertical="center" shrinkToFit="1"/>
    </xf>
    <xf numFmtId="0" fontId="13" fillId="3" borderId="8" xfId="0" applyFont="1" applyFill="1" applyBorder="1" applyAlignment="1" applyProtection="1">
      <alignment horizontal="left" vertical="center"/>
    </xf>
    <xf numFmtId="0" fontId="13" fillId="3" borderId="51" xfId="0" applyFont="1" applyFill="1" applyBorder="1" applyAlignment="1" applyProtection="1">
      <alignment horizontal="left" vertical="center"/>
    </xf>
    <xf numFmtId="0" fontId="13" fillId="3" borderId="59" xfId="0" applyFont="1" applyFill="1" applyBorder="1" applyAlignment="1" applyProtection="1">
      <alignment horizontal="left" vertical="center"/>
    </xf>
    <xf numFmtId="0" fontId="27" fillId="11" borderId="0" xfId="0" applyFont="1" applyFill="1" applyBorder="1" applyAlignment="1" applyProtection="1">
      <alignment vertical="center" wrapText="1"/>
    </xf>
    <xf numFmtId="0" fontId="33" fillId="5" borderId="57" xfId="0" applyFont="1" applyFill="1" applyBorder="1" applyAlignment="1" applyProtection="1">
      <alignment horizontal="center" vertical="center" wrapText="1" shrinkToFit="1"/>
    </xf>
    <xf numFmtId="0" fontId="0" fillId="0" borderId="0"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xf>
    <xf numFmtId="0" fontId="0" fillId="0" borderId="2" xfId="0" applyFont="1" applyFill="1" applyBorder="1" applyAlignment="1" applyProtection="1">
      <alignment horizontal="center" vertical="center"/>
    </xf>
    <xf numFmtId="0" fontId="27" fillId="3" borderId="0" xfId="0" applyFont="1" applyFill="1" applyBorder="1" applyAlignment="1" applyProtection="1">
      <alignment horizontal="center" vertical="center" wrapText="1"/>
    </xf>
    <xf numFmtId="0" fontId="0" fillId="0" borderId="38" xfId="0" applyFont="1" applyBorder="1" applyAlignment="1" applyProtection="1">
      <alignment horizontal="left" vertical="center"/>
    </xf>
    <xf numFmtId="0" fontId="22" fillId="3" borderId="16" xfId="0" applyFont="1" applyFill="1" applyBorder="1" applyAlignment="1" applyProtection="1">
      <alignment horizontal="right" vertical="center"/>
    </xf>
    <xf numFmtId="0" fontId="13" fillId="3" borderId="2" xfId="0" applyFont="1" applyFill="1" applyBorder="1" applyAlignment="1" applyProtection="1">
      <alignment horizontal="left" vertical="center"/>
    </xf>
    <xf numFmtId="0" fontId="13" fillId="3" borderId="20" xfId="0" applyFont="1" applyFill="1" applyBorder="1" applyAlignment="1" applyProtection="1">
      <alignment horizontal="left" vertical="center"/>
    </xf>
    <xf numFmtId="0" fontId="17" fillId="3" borderId="0" xfId="0" applyFont="1" applyFill="1" applyBorder="1" applyAlignment="1" applyProtection="1">
      <alignment horizontal="left" vertical="center" shrinkToFit="1"/>
    </xf>
    <xf numFmtId="0" fontId="12" fillId="3" borderId="16" xfId="0" applyFont="1" applyFill="1" applyBorder="1" applyAlignment="1" applyProtection="1">
      <alignment horizontal="left" vertical="center"/>
    </xf>
    <xf numFmtId="0" fontId="13" fillId="3" borderId="1" xfId="0" applyFont="1" applyFill="1" applyBorder="1" applyAlignment="1" applyProtection="1">
      <alignment vertical="center"/>
    </xf>
    <xf numFmtId="0" fontId="13" fillId="3" borderId="2" xfId="0" applyFont="1" applyFill="1" applyBorder="1" applyAlignment="1" applyProtection="1">
      <alignment vertical="center"/>
    </xf>
    <xf numFmtId="0" fontId="0" fillId="0" borderId="0" xfId="0" applyFont="1" applyBorder="1" applyAlignment="1" applyProtection="1">
      <alignment horizontal="left" vertical="center" wrapText="1"/>
    </xf>
    <xf numFmtId="0" fontId="27" fillId="3" borderId="22" xfId="0" applyFont="1" applyFill="1" applyBorder="1" applyAlignment="1" applyProtection="1">
      <alignment vertical="center" wrapText="1"/>
    </xf>
    <xf numFmtId="0" fontId="12" fillId="3" borderId="20" xfId="0" applyFont="1" applyFill="1" applyBorder="1" applyAlignment="1" applyProtection="1">
      <alignment horizontal="left" vertical="center"/>
    </xf>
    <xf numFmtId="0" fontId="9" fillId="3" borderId="2" xfId="0" applyFont="1" applyFill="1" applyBorder="1" applyAlignment="1" applyProtection="1">
      <alignment wrapText="1"/>
    </xf>
    <xf numFmtId="0" fontId="0" fillId="3" borderId="38" xfId="0" applyFont="1" applyFill="1" applyBorder="1" applyAlignment="1" applyProtection="1">
      <alignment horizontal="left" vertical="center"/>
    </xf>
    <xf numFmtId="0" fontId="0" fillId="0" borderId="2" xfId="0" applyFont="1" applyFill="1" applyBorder="1" applyAlignment="1" applyProtection="1">
      <alignment horizontal="left" vertical="center"/>
    </xf>
    <xf numFmtId="0" fontId="13" fillId="0" borderId="0" xfId="0" applyFont="1" applyBorder="1" applyAlignment="1" applyProtection="1">
      <alignment horizontal="left" vertical="center"/>
    </xf>
    <xf numFmtId="0" fontId="33" fillId="5" borderId="50" xfId="0" applyFont="1" applyFill="1" applyBorder="1" applyAlignment="1" applyProtection="1">
      <alignment horizontal="center" vertical="center" wrapText="1" shrinkToFit="1"/>
    </xf>
    <xf numFmtId="0" fontId="27" fillId="3" borderId="20" xfId="0" applyFont="1" applyFill="1" applyBorder="1" applyAlignment="1" applyProtection="1">
      <alignment vertical="center" wrapText="1"/>
    </xf>
    <xf numFmtId="0" fontId="27" fillId="3" borderId="24" xfId="0" applyFont="1" applyFill="1" applyBorder="1" applyAlignment="1" applyProtection="1">
      <alignment vertical="center" wrapText="1"/>
    </xf>
    <xf numFmtId="0" fontId="45" fillId="0" borderId="0" xfId="0" applyFont="1" applyFill="1" applyBorder="1" applyAlignment="1" applyProtection="1">
      <alignment vertical="center" wrapText="1"/>
    </xf>
    <xf numFmtId="0" fontId="0" fillId="0" borderId="0" xfId="0" applyAlignment="1" applyProtection="1">
      <alignment vertical="center"/>
    </xf>
    <xf numFmtId="0" fontId="0" fillId="3" borderId="5" xfId="0" applyFill="1" applyBorder="1" applyAlignment="1" applyProtection="1">
      <alignment horizontal="center" vertical="center"/>
    </xf>
    <xf numFmtId="0" fontId="110" fillId="0" borderId="0" xfId="0" applyFont="1" applyProtection="1">
      <alignment vertical="center"/>
      <protection hidden="1"/>
    </xf>
    <xf numFmtId="0" fontId="0" fillId="0" borderId="0" xfId="0" applyProtection="1">
      <alignment vertical="center"/>
      <protection hidden="1"/>
    </xf>
    <xf numFmtId="0" fontId="0" fillId="4" borderId="0" xfId="0" applyFill="1" applyProtection="1">
      <alignment vertical="center"/>
      <protection hidden="1"/>
    </xf>
    <xf numFmtId="0" fontId="0" fillId="0" borderId="0" xfId="0" applyFont="1" applyProtection="1">
      <alignment vertical="center"/>
      <protection hidden="1"/>
    </xf>
    <xf numFmtId="0" fontId="126" fillId="23" borderId="0" xfId="8" applyFont="1" applyFill="1" applyProtection="1">
      <alignment vertical="center"/>
      <protection hidden="1"/>
    </xf>
    <xf numFmtId="0" fontId="118" fillId="23" borderId="0" xfId="0" applyFont="1" applyFill="1" applyProtection="1">
      <alignment vertical="center"/>
      <protection hidden="1"/>
    </xf>
    <xf numFmtId="0" fontId="127" fillId="23" borderId="0" xfId="8" applyFont="1" applyFill="1" applyProtection="1">
      <alignment vertical="center"/>
      <protection hidden="1"/>
    </xf>
    <xf numFmtId="0" fontId="118" fillId="23" borderId="0" xfId="8" applyFont="1" applyFill="1" applyAlignment="1" applyProtection="1">
      <alignment horizontal="right" vertical="center"/>
      <protection hidden="1"/>
    </xf>
    <xf numFmtId="0" fontId="127" fillId="23" borderId="0" xfId="8" applyFont="1" applyFill="1" applyAlignment="1" applyProtection="1">
      <alignment horizontal="right" vertical="center"/>
      <protection hidden="1"/>
    </xf>
    <xf numFmtId="0" fontId="127" fillId="0" borderId="7" xfId="8" applyFont="1" applyBorder="1" applyProtection="1">
      <alignment vertical="center"/>
      <protection hidden="1"/>
    </xf>
    <xf numFmtId="0" fontId="118" fillId="0" borderId="8" xfId="0" applyFont="1" applyBorder="1" applyProtection="1">
      <alignment vertical="center"/>
      <protection hidden="1"/>
    </xf>
    <xf numFmtId="0" fontId="118" fillId="23" borderId="5" xfId="0" applyFont="1" applyFill="1" applyBorder="1" applyProtection="1">
      <alignment vertical="center"/>
      <protection hidden="1"/>
    </xf>
    <xf numFmtId="0" fontId="118" fillId="23" borderId="0" xfId="8" applyFont="1" applyFill="1" applyProtection="1">
      <alignment vertical="center"/>
      <protection hidden="1"/>
    </xf>
    <xf numFmtId="0" fontId="128" fillId="23" borderId="0" xfId="8" applyFont="1" applyFill="1" applyProtection="1">
      <alignment vertical="center"/>
      <protection hidden="1"/>
    </xf>
    <xf numFmtId="0" fontId="118" fillId="0" borderId="0" xfId="0" applyFont="1" applyProtection="1">
      <alignment vertical="center"/>
      <protection hidden="1"/>
    </xf>
    <xf numFmtId="0" fontId="118" fillId="14" borderId="33" xfId="0" applyFont="1" applyFill="1" applyBorder="1" applyAlignment="1" applyProtection="1">
      <alignment horizontal="left" vertical="center" indent="1"/>
      <protection hidden="1"/>
    </xf>
    <xf numFmtId="0" fontId="118" fillId="14" borderId="89" xfId="0" applyFont="1" applyFill="1" applyBorder="1" applyProtection="1">
      <alignment vertical="center"/>
      <protection hidden="1"/>
    </xf>
    <xf numFmtId="0" fontId="118" fillId="14" borderId="4" xfId="0" applyFont="1" applyFill="1" applyBorder="1" applyAlignment="1" applyProtection="1">
      <alignment horizontal="left" vertical="center" wrapText="1" indent="1"/>
      <protection hidden="1"/>
    </xf>
    <xf numFmtId="0" fontId="118" fillId="14" borderId="4" xfId="0" applyFont="1" applyFill="1" applyBorder="1" applyAlignment="1" applyProtection="1">
      <alignment horizontal="center" vertical="center" wrapText="1"/>
      <protection hidden="1"/>
    </xf>
    <xf numFmtId="0" fontId="118" fillId="22" borderId="4" xfId="0" applyFont="1" applyFill="1" applyBorder="1" applyAlignment="1" applyProtection="1">
      <alignment horizontal="center" vertical="center" wrapText="1"/>
      <protection hidden="1"/>
    </xf>
    <xf numFmtId="0" fontId="118" fillId="14" borderId="89" xfId="0" applyFont="1" applyFill="1" applyBorder="1" applyAlignment="1" applyProtection="1">
      <alignment horizontal="left" vertical="center" indent="1"/>
      <protection hidden="1"/>
    </xf>
    <xf numFmtId="0" fontId="118" fillId="14" borderId="89" xfId="0" applyFont="1" applyFill="1" applyBorder="1" applyAlignment="1" applyProtection="1">
      <alignment horizontal="left" vertical="center" wrapText="1" indent="1"/>
      <protection hidden="1"/>
    </xf>
    <xf numFmtId="0" fontId="0" fillId="0" borderId="4" xfId="0" applyBorder="1" applyProtection="1">
      <alignment vertical="center"/>
      <protection hidden="1"/>
    </xf>
    <xf numFmtId="0" fontId="119" fillId="9" borderId="4" xfId="1" applyFont="1" applyFill="1" applyBorder="1" applyAlignment="1" applyProtection="1">
      <alignment horizontal="left" vertical="center" indent="1"/>
      <protection hidden="1"/>
    </xf>
    <xf numFmtId="0" fontId="118" fillId="9" borderId="4" xfId="0" applyFont="1" applyFill="1" applyBorder="1" applyAlignment="1" applyProtection="1">
      <alignment horizontal="center" vertical="center"/>
      <protection hidden="1"/>
    </xf>
    <xf numFmtId="0" fontId="118" fillId="22" borderId="9" xfId="0" applyFont="1" applyFill="1" applyBorder="1" applyAlignment="1" applyProtection="1">
      <alignment horizontal="center" vertical="center"/>
      <protection hidden="1"/>
    </xf>
    <xf numFmtId="0" fontId="118" fillId="22" borderId="4" xfId="0" applyFont="1" applyFill="1" applyBorder="1" applyAlignment="1" applyProtection="1">
      <alignment horizontal="center" vertical="center"/>
      <protection hidden="1"/>
    </xf>
    <xf numFmtId="0" fontId="121" fillId="0" borderId="4" xfId="0" applyFont="1" applyBorder="1" applyAlignment="1" applyProtection="1">
      <alignment horizontal="left" vertical="center" wrapText="1" indent="1"/>
      <protection hidden="1"/>
    </xf>
    <xf numFmtId="0" fontId="118" fillId="0" borderId="4" xfId="0" applyFont="1" applyBorder="1" applyAlignment="1" applyProtection="1">
      <alignment horizontal="left" vertical="center" indent="1"/>
      <protection hidden="1"/>
    </xf>
    <xf numFmtId="0" fontId="118" fillId="0" borderId="4" xfId="0" applyFont="1" applyBorder="1" applyAlignment="1" applyProtection="1">
      <alignment horizontal="left" vertical="center" wrapText="1" indent="1"/>
      <protection hidden="1"/>
    </xf>
    <xf numFmtId="0" fontId="118" fillId="22" borderId="9" xfId="0" applyFont="1" applyFill="1" applyBorder="1" applyAlignment="1" applyProtection="1">
      <alignment horizontal="center" vertical="center" wrapText="1"/>
      <protection hidden="1"/>
    </xf>
    <xf numFmtId="0" fontId="119" fillId="8" borderId="4" xfId="1" applyFont="1" applyFill="1" applyBorder="1" applyAlignment="1" applyProtection="1">
      <alignment horizontal="left" vertical="center" indent="1"/>
      <protection hidden="1"/>
    </xf>
    <xf numFmtId="0" fontId="118" fillId="8" borderId="4" xfId="0" applyFont="1" applyFill="1" applyBorder="1" applyAlignment="1" applyProtection="1">
      <alignment horizontal="center" vertical="center" wrapText="1"/>
      <protection hidden="1"/>
    </xf>
    <xf numFmtId="0" fontId="119" fillId="0" borderId="4" xfId="1" applyFont="1" applyBorder="1" applyAlignment="1" applyProtection="1">
      <alignment horizontal="left" vertical="center" indent="1"/>
      <protection hidden="1"/>
    </xf>
    <xf numFmtId="0" fontId="118" fillId="0" borderId="4" xfId="0" applyFont="1" applyBorder="1" applyAlignment="1" applyProtection="1">
      <alignment horizontal="center" vertical="center"/>
      <protection hidden="1"/>
    </xf>
    <xf numFmtId="0" fontId="118" fillId="0" borderId="4" xfId="0" applyFont="1" applyFill="1" applyBorder="1" applyAlignment="1" applyProtection="1">
      <alignment horizontal="center" vertical="center" wrapText="1"/>
      <protection hidden="1"/>
    </xf>
    <xf numFmtId="0" fontId="118" fillId="0" borderId="7" xfId="0" applyFont="1" applyBorder="1" applyAlignment="1" applyProtection="1">
      <alignment horizontal="left" vertical="center" indent="1"/>
      <protection hidden="1"/>
    </xf>
    <xf numFmtId="0" fontId="118" fillId="0" borderId="8" xfId="0" applyFont="1" applyBorder="1" applyAlignment="1" applyProtection="1">
      <alignment horizontal="left" vertical="center" indent="1"/>
      <protection hidden="1"/>
    </xf>
    <xf numFmtId="0" fontId="118" fillId="0" borderId="9" xfId="0" applyFont="1" applyBorder="1" applyAlignment="1" applyProtection="1">
      <alignment horizontal="left" vertical="center" indent="1"/>
      <protection hidden="1"/>
    </xf>
    <xf numFmtId="0" fontId="118" fillId="0" borderId="4" xfId="0" applyFont="1" applyFill="1" applyBorder="1" applyProtection="1">
      <alignment vertical="center"/>
      <protection hidden="1"/>
    </xf>
    <xf numFmtId="0" fontId="118" fillId="8" borderId="4" xfId="0" applyFont="1" applyFill="1" applyBorder="1" applyAlignment="1" applyProtection="1">
      <alignment horizontal="center" vertical="center"/>
      <protection hidden="1"/>
    </xf>
    <xf numFmtId="0" fontId="123" fillId="23" borderId="0" xfId="8" applyFont="1" applyFill="1" applyProtection="1">
      <alignment vertical="center"/>
      <protection hidden="1"/>
    </xf>
    <xf numFmtId="0" fontId="109" fillId="23" borderId="0" xfId="8" applyFont="1" applyFill="1" applyProtection="1">
      <alignment vertical="center"/>
      <protection hidden="1"/>
    </xf>
    <xf numFmtId="0" fontId="125" fillId="23" borderId="0" xfId="8" applyFont="1" applyFill="1" applyAlignment="1" applyProtection="1">
      <alignment horizontal="right" vertical="center"/>
      <protection hidden="1"/>
    </xf>
    <xf numFmtId="0" fontId="125" fillId="23" borderId="0" xfId="8" applyFont="1" applyFill="1" applyProtection="1">
      <alignment vertical="center"/>
      <protection hidden="1"/>
    </xf>
    <xf numFmtId="0" fontId="120" fillId="23" borderId="0" xfId="0" applyFont="1" applyFill="1" applyProtection="1">
      <alignment vertical="center"/>
      <protection hidden="1"/>
    </xf>
    <xf numFmtId="0" fontId="114" fillId="0" borderId="0" xfId="2" applyFont="1" applyProtection="1">
      <alignment vertical="center"/>
      <protection hidden="1"/>
    </xf>
    <xf numFmtId="0" fontId="10" fillId="0" borderId="0" xfId="2" applyProtection="1">
      <alignment vertical="center"/>
      <protection hidden="1"/>
    </xf>
    <xf numFmtId="0" fontId="10" fillId="0" borderId="37" xfId="2" applyBorder="1" applyProtection="1">
      <alignment vertical="center"/>
      <protection hidden="1"/>
    </xf>
    <xf numFmtId="0" fontId="10" fillId="0" borderId="38" xfId="2" applyBorder="1" applyProtection="1">
      <alignment vertical="center"/>
      <protection hidden="1"/>
    </xf>
    <xf numFmtId="0" fontId="64" fillId="0" borderId="50" xfId="2" applyFont="1" applyBorder="1" applyAlignment="1" applyProtection="1">
      <alignment horizontal="right" vertical="center"/>
      <protection hidden="1"/>
    </xf>
    <xf numFmtId="0" fontId="10" fillId="0" borderId="23" xfId="2" applyBorder="1" applyProtection="1">
      <alignment vertical="center"/>
      <protection hidden="1"/>
    </xf>
    <xf numFmtId="0" fontId="95" fillId="0" borderId="0" xfId="2" applyFont="1" applyAlignment="1" applyProtection="1">
      <alignment horizontal="center"/>
      <protection hidden="1"/>
    </xf>
    <xf numFmtId="0" fontId="97" fillId="0" borderId="23" xfId="2" applyFont="1" applyBorder="1" applyAlignment="1" applyProtection="1">
      <alignment vertical="center" wrapText="1"/>
      <protection hidden="1"/>
    </xf>
    <xf numFmtId="0" fontId="97" fillId="0" borderId="0" xfId="2" applyFont="1" applyAlignment="1" applyProtection="1">
      <alignment vertical="center" wrapText="1"/>
      <protection hidden="1"/>
    </xf>
    <xf numFmtId="0" fontId="98" fillId="0" borderId="0" xfId="2" applyFont="1" applyAlignment="1" applyProtection="1">
      <alignment vertical="center" wrapText="1"/>
      <protection hidden="1"/>
    </xf>
    <xf numFmtId="0" fontId="108" fillId="0" borderId="7" xfId="2" applyFont="1" applyBorder="1" applyAlignment="1" applyProtection="1">
      <alignment horizontal="right" vertical="center" wrapText="1"/>
      <protection hidden="1"/>
    </xf>
    <xf numFmtId="0" fontId="108" fillId="0" borderId="9" xfId="2" applyFont="1" applyBorder="1" applyAlignment="1" applyProtection="1">
      <alignment horizontal="center" vertical="center" wrapText="1"/>
      <protection hidden="1"/>
    </xf>
    <xf numFmtId="0" fontId="107" fillId="0" borderId="4" xfId="2" applyFont="1" applyBorder="1" applyAlignment="1" applyProtection="1">
      <alignment horizontal="center" vertical="center"/>
      <protection hidden="1"/>
    </xf>
    <xf numFmtId="0" fontId="10" fillId="0" borderId="0" xfId="2" applyBorder="1" applyProtection="1">
      <alignment vertical="center"/>
      <protection hidden="1"/>
    </xf>
    <xf numFmtId="0" fontId="98" fillId="0" borderId="0" xfId="2" applyFont="1" applyAlignment="1" applyProtection="1">
      <alignment vertical="center"/>
      <protection hidden="1"/>
    </xf>
    <xf numFmtId="0" fontId="98" fillId="0" borderId="22" xfId="2" applyFont="1" applyBorder="1" applyAlignment="1" applyProtection="1">
      <alignment vertical="center" wrapText="1"/>
      <protection hidden="1"/>
    </xf>
    <xf numFmtId="0" fontId="10" fillId="0" borderId="89" xfId="2" applyBorder="1" applyProtection="1">
      <alignment vertical="center"/>
      <protection hidden="1"/>
    </xf>
    <xf numFmtId="0" fontId="10" fillId="0" borderId="0" xfId="2" applyBorder="1" applyAlignment="1" applyProtection="1">
      <alignment horizontal="center" vertical="center"/>
      <protection hidden="1"/>
    </xf>
    <xf numFmtId="0" fontId="130" fillId="0" borderId="0" xfId="2" applyFont="1" applyAlignment="1" applyProtection="1">
      <alignment horizontal="center" vertical="center"/>
      <protection hidden="1"/>
    </xf>
    <xf numFmtId="0" fontId="10" fillId="0" borderId="25" xfId="2" applyBorder="1" applyProtection="1">
      <alignment vertical="center"/>
      <protection hidden="1"/>
    </xf>
    <xf numFmtId="0" fontId="10" fillId="0" borderId="20" xfId="2" applyBorder="1" applyProtection="1">
      <alignment vertical="center"/>
      <protection hidden="1"/>
    </xf>
    <xf numFmtId="0" fontId="10" fillId="0" borderId="24" xfId="2" applyBorder="1" applyProtection="1">
      <alignment vertical="center"/>
      <protection hidden="1"/>
    </xf>
    <xf numFmtId="0" fontId="10" fillId="20" borderId="23" xfId="2" applyFill="1" applyBorder="1" applyProtection="1">
      <alignment vertical="center"/>
      <protection hidden="1"/>
    </xf>
    <xf numFmtId="189" fontId="99" fillId="20" borderId="0" xfId="2" applyNumberFormat="1" applyFont="1" applyFill="1" applyProtection="1">
      <alignment vertical="center"/>
      <protection hidden="1"/>
    </xf>
    <xf numFmtId="189" fontId="98" fillId="20" borderId="0" xfId="2" applyNumberFormat="1" applyFont="1" applyFill="1" applyProtection="1">
      <alignment vertical="center"/>
      <protection hidden="1"/>
    </xf>
    <xf numFmtId="0" fontId="100" fillId="20" borderId="22" xfId="2" applyFont="1" applyFill="1" applyBorder="1" applyAlignment="1" applyProtection="1">
      <alignment vertical="top" wrapText="1"/>
      <protection hidden="1"/>
    </xf>
    <xf numFmtId="0" fontId="10" fillId="0" borderId="0" xfId="2" applyBorder="1" applyAlignment="1" applyProtection="1">
      <alignment horizontal="left" vertical="top"/>
      <protection hidden="1"/>
    </xf>
    <xf numFmtId="189" fontId="98" fillId="20" borderId="0" xfId="2" applyNumberFormat="1" applyFont="1" applyFill="1" applyAlignment="1" applyProtection="1">
      <alignment vertical="top"/>
      <protection hidden="1"/>
    </xf>
    <xf numFmtId="189" fontId="98" fillId="20" borderId="0" xfId="2" applyNumberFormat="1" applyFont="1" applyFill="1" applyAlignment="1" applyProtection="1">
      <alignment vertical="top" wrapText="1"/>
      <protection hidden="1"/>
    </xf>
    <xf numFmtId="189" fontId="98" fillId="20" borderId="22" xfId="2" applyNumberFormat="1" applyFont="1" applyFill="1" applyBorder="1" applyAlignment="1" applyProtection="1">
      <alignment vertical="top" wrapText="1"/>
      <protection hidden="1"/>
    </xf>
    <xf numFmtId="0" fontId="10" fillId="19" borderId="23" xfId="2" applyFill="1" applyBorder="1" applyProtection="1">
      <alignment vertical="center"/>
      <protection hidden="1"/>
    </xf>
    <xf numFmtId="189" fontId="99" fillId="19" borderId="0" xfId="2" applyNumberFormat="1" applyFont="1" applyFill="1" applyProtection="1">
      <alignment vertical="center"/>
      <protection hidden="1"/>
    </xf>
    <xf numFmtId="189" fontId="98" fillId="19" borderId="0" xfId="2" applyNumberFormat="1" applyFont="1" applyFill="1" applyProtection="1">
      <alignment vertical="center"/>
      <protection hidden="1"/>
    </xf>
    <xf numFmtId="0" fontId="100" fillId="19" borderId="22" xfId="2" applyFont="1" applyFill="1" applyBorder="1" applyAlignment="1" applyProtection="1">
      <alignment vertical="top" wrapText="1"/>
      <protection hidden="1"/>
    </xf>
    <xf numFmtId="0" fontId="10" fillId="21" borderId="23" xfId="2" applyFill="1" applyBorder="1" applyProtection="1">
      <alignment vertical="center"/>
      <protection hidden="1"/>
    </xf>
    <xf numFmtId="0" fontId="100" fillId="21" borderId="0" xfId="2" applyFont="1" applyFill="1" applyAlignment="1" applyProtection="1">
      <alignment vertical="top" wrapText="1"/>
      <protection hidden="1"/>
    </xf>
    <xf numFmtId="0" fontId="100" fillId="21" borderId="22" xfId="2" applyFont="1" applyFill="1" applyBorder="1" applyAlignment="1" applyProtection="1">
      <alignment vertical="top" wrapText="1"/>
      <protection hidden="1"/>
    </xf>
    <xf numFmtId="0" fontId="10" fillId="0" borderId="23" xfId="2" applyFill="1" applyBorder="1" applyProtection="1">
      <alignment vertical="center"/>
      <protection hidden="1"/>
    </xf>
    <xf numFmtId="0" fontId="98" fillId="21" borderId="0" xfId="2" applyFont="1" applyFill="1" applyAlignment="1" applyProtection="1">
      <alignment horizontal="center" vertical="center"/>
      <protection hidden="1"/>
    </xf>
    <xf numFmtId="189" fontId="99" fillId="21" borderId="0" xfId="2" applyNumberFormat="1" applyFont="1" applyFill="1" applyProtection="1">
      <alignment vertical="center"/>
      <protection hidden="1"/>
    </xf>
    <xf numFmtId="189" fontId="98" fillId="21" borderId="0" xfId="2" applyNumberFormat="1" applyFont="1" applyFill="1" applyProtection="1">
      <alignment vertical="center"/>
      <protection hidden="1"/>
    </xf>
    <xf numFmtId="0" fontId="10" fillId="2" borderId="4" xfId="2" applyFill="1" applyBorder="1" applyAlignment="1" applyProtection="1">
      <alignment horizontal="left" vertical="top"/>
      <protection locked="0" hidden="1"/>
    </xf>
    <xf numFmtId="0" fontId="10" fillId="2" borderId="4" xfId="2" applyFill="1" applyBorder="1" applyAlignment="1" applyProtection="1">
      <alignment horizontal="left" vertical="top"/>
      <protection hidden="1"/>
    </xf>
    <xf numFmtId="0" fontId="10" fillId="0" borderId="4" xfId="2" applyBorder="1" applyAlignment="1" applyProtection="1">
      <alignment horizontal="left" vertical="top"/>
      <protection hidden="1"/>
    </xf>
    <xf numFmtId="0" fontId="102" fillId="21" borderId="23" xfId="2" applyFont="1" applyFill="1" applyBorder="1" applyAlignment="1" applyProtection="1">
      <alignment horizontal="center" vertical="center"/>
      <protection hidden="1"/>
    </xf>
    <xf numFmtId="0" fontId="10" fillId="6" borderId="4" xfId="2" applyFill="1" applyBorder="1" applyProtection="1">
      <alignment vertical="center"/>
      <protection hidden="1"/>
    </xf>
    <xf numFmtId="189" fontId="102" fillId="21" borderId="0" xfId="2" applyNumberFormat="1" applyFont="1" applyFill="1" applyProtection="1">
      <alignment vertical="center"/>
      <protection hidden="1"/>
    </xf>
    <xf numFmtId="0" fontId="10" fillId="9" borderId="4" xfId="2" applyFill="1" applyBorder="1" applyProtection="1">
      <alignment vertical="center"/>
      <protection hidden="1"/>
    </xf>
    <xf numFmtId="189" fontId="102" fillId="21" borderId="22" xfId="2" applyNumberFormat="1" applyFont="1" applyFill="1" applyBorder="1" applyProtection="1">
      <alignment vertical="center"/>
      <protection hidden="1"/>
    </xf>
    <xf numFmtId="0" fontId="10" fillId="0" borderId="4" xfId="2" applyBorder="1" applyAlignment="1" applyProtection="1">
      <alignment horizontal="left" vertical="top"/>
      <protection locked="0" hidden="1"/>
    </xf>
    <xf numFmtId="189" fontId="98" fillId="21" borderId="0" xfId="2" applyNumberFormat="1" applyFont="1" applyFill="1" applyAlignment="1" applyProtection="1">
      <alignment vertical="center"/>
      <protection hidden="1"/>
    </xf>
    <xf numFmtId="189" fontId="98" fillId="21" borderId="22" xfId="2" applyNumberFormat="1" applyFont="1" applyFill="1" applyBorder="1" applyAlignment="1" applyProtection="1">
      <alignment vertical="center"/>
      <protection hidden="1"/>
    </xf>
    <xf numFmtId="189" fontId="98" fillId="21" borderId="22" xfId="2" applyNumberFormat="1" applyFont="1" applyFill="1" applyBorder="1" applyProtection="1">
      <alignment vertical="center"/>
      <protection hidden="1"/>
    </xf>
    <xf numFmtId="0" fontId="10" fillId="0" borderId="0" xfId="2" applyFill="1" applyProtection="1">
      <alignment vertical="center"/>
      <protection hidden="1"/>
    </xf>
    <xf numFmtId="0" fontId="74" fillId="0" borderId="38" xfId="2" applyFont="1" applyBorder="1" applyProtection="1">
      <alignment vertical="center"/>
      <protection hidden="1"/>
    </xf>
    <xf numFmtId="0" fontId="106" fillId="0" borderId="38" xfId="2" applyFont="1" applyBorder="1" applyAlignment="1" applyProtection="1">
      <alignment horizontal="right" vertical="top"/>
      <protection hidden="1"/>
    </xf>
    <xf numFmtId="0" fontId="10" fillId="0" borderId="0" xfId="2" applyBorder="1" applyAlignment="1" applyProtection="1">
      <alignment horizontal="left" vertical="top"/>
      <protection locked="0" hidden="1"/>
    </xf>
    <xf numFmtId="0" fontId="10" fillId="0" borderId="4" xfId="2" applyBorder="1" applyProtection="1">
      <alignment vertical="center"/>
      <protection hidden="1"/>
    </xf>
    <xf numFmtId="0" fontId="0" fillId="0" borderId="0" xfId="0" applyBorder="1" applyProtection="1">
      <alignment vertical="center"/>
      <protection hidden="1"/>
    </xf>
    <xf numFmtId="0" fontId="6" fillId="0" borderId="0" xfId="0" applyFont="1" applyProtection="1">
      <alignment vertical="center"/>
      <protection hidden="1"/>
    </xf>
    <xf numFmtId="0" fontId="0" fillId="0" borderId="0" xfId="0" applyFill="1" applyProtection="1">
      <alignment vertical="center"/>
      <protection hidden="1"/>
    </xf>
    <xf numFmtId="0" fontId="0" fillId="0" borderId="0" xfId="0" applyBorder="1" applyAlignment="1" applyProtection="1">
      <alignment vertical="center"/>
      <protection hidden="1"/>
    </xf>
    <xf numFmtId="0" fontId="0" fillId="0" borderId="0" xfId="0" applyAlignment="1" applyProtection="1">
      <alignment horizontal="centerContinuous" vertical="center"/>
    </xf>
    <xf numFmtId="0" fontId="0" fillId="0" borderId="0" xfId="0" applyFont="1" applyFill="1" applyAlignment="1" applyProtection="1">
      <alignment horizontal="center" vertical="center"/>
    </xf>
    <xf numFmtId="0" fontId="0" fillId="12" borderId="0" xfId="0" applyFont="1" applyFill="1" applyProtection="1">
      <alignment vertical="center"/>
    </xf>
    <xf numFmtId="0" fontId="0" fillId="3" borderId="0" xfId="0" applyFont="1" applyFill="1" applyAlignment="1" applyProtection="1">
      <alignment vertical="center" shrinkToFit="1"/>
    </xf>
    <xf numFmtId="0" fontId="27" fillId="0" borderId="0" xfId="0" applyFont="1" applyFill="1" applyProtection="1">
      <alignment vertical="center"/>
    </xf>
    <xf numFmtId="0" fontId="13" fillId="0" borderId="0" xfId="0" applyFont="1" applyAlignment="1" applyProtection="1">
      <alignment horizontal="left" vertical="center"/>
    </xf>
    <xf numFmtId="0" fontId="87" fillId="0" borderId="0" xfId="0" applyFont="1" applyFill="1" applyProtection="1">
      <alignment vertical="center"/>
    </xf>
    <xf numFmtId="0" fontId="13" fillId="0" borderId="0" xfId="0" applyFont="1" applyFill="1" applyAlignment="1" applyProtection="1">
      <alignment horizontal="center" vertical="center"/>
    </xf>
    <xf numFmtId="0" fontId="13" fillId="3" borderId="0" xfId="0" applyFont="1" applyFill="1" applyProtection="1">
      <alignment vertical="center"/>
    </xf>
    <xf numFmtId="185" fontId="0" fillId="0" borderId="4" xfId="0" applyNumberFormat="1" applyBorder="1" applyAlignment="1" applyProtection="1">
      <alignment vertical="center" shrinkToFit="1"/>
    </xf>
    <xf numFmtId="0" fontId="88" fillId="3" borderId="38" xfId="0" applyFont="1" applyFill="1" applyBorder="1" applyProtection="1">
      <alignment vertical="center"/>
    </xf>
    <xf numFmtId="0" fontId="22" fillId="0" borderId="0" xfId="0" applyFont="1" applyFill="1" applyAlignment="1" applyProtection="1">
      <alignment horizontal="center" vertical="center"/>
    </xf>
    <xf numFmtId="0" fontId="22" fillId="3" borderId="0" xfId="0" applyFont="1" applyFill="1" applyProtection="1">
      <alignment vertical="center"/>
    </xf>
    <xf numFmtId="0" fontId="88" fillId="3" borderId="0" xfId="0" applyFont="1" applyFill="1" applyBorder="1" applyProtection="1">
      <alignment vertical="center"/>
    </xf>
    <xf numFmtId="0" fontId="27" fillId="3" borderId="0" xfId="0" applyFont="1" applyFill="1" applyBorder="1" applyProtection="1">
      <alignment vertical="center"/>
    </xf>
    <xf numFmtId="0" fontId="87" fillId="3" borderId="20" xfId="0" applyFont="1" applyFill="1" applyBorder="1" applyProtection="1">
      <alignment vertical="center"/>
    </xf>
    <xf numFmtId="0" fontId="87" fillId="3" borderId="38" xfId="0" applyFont="1" applyFill="1" applyBorder="1" applyAlignment="1" applyProtection="1">
      <alignment vertical="center" textRotation="255"/>
    </xf>
    <xf numFmtId="0" fontId="0" fillId="0" borderId="7" xfId="0" applyBorder="1" applyProtection="1">
      <alignment vertical="center"/>
    </xf>
    <xf numFmtId="0" fontId="0" fillId="0" borderId="8" xfId="0" applyBorder="1" applyProtection="1">
      <alignment vertical="center"/>
    </xf>
    <xf numFmtId="0" fontId="87" fillId="3" borderId="20" xfId="0" applyFont="1" applyFill="1" applyBorder="1" applyAlignment="1" applyProtection="1">
      <alignment vertical="center" textRotation="255"/>
    </xf>
    <xf numFmtId="0" fontId="87" fillId="0" borderId="38" xfId="0" applyFont="1" applyFill="1" applyBorder="1" applyProtection="1">
      <alignment vertical="center"/>
    </xf>
    <xf numFmtId="0" fontId="88" fillId="11" borderId="38" xfId="0" applyFont="1" applyFill="1" applyBorder="1" applyProtection="1">
      <alignment vertical="center"/>
    </xf>
    <xf numFmtId="0" fontId="86" fillId="11" borderId="38" xfId="0" applyFont="1" applyFill="1" applyBorder="1" applyAlignment="1" applyProtection="1">
      <alignment vertical="center" wrapText="1"/>
    </xf>
    <xf numFmtId="0" fontId="22" fillId="0" borderId="0" xfId="0" applyFont="1" applyAlignment="1" applyProtection="1">
      <alignment vertical="center"/>
    </xf>
    <xf numFmtId="0" fontId="27" fillId="11" borderId="0" xfId="0" applyFont="1" applyFill="1" applyBorder="1" applyProtection="1">
      <alignment vertical="center"/>
    </xf>
    <xf numFmtId="49" fontId="0" fillId="0" borderId="0" xfId="0" applyNumberFormat="1" applyFont="1" applyProtection="1">
      <alignment vertical="center"/>
    </xf>
    <xf numFmtId="0" fontId="0" fillId="3" borderId="8" xfId="0" applyFill="1" applyBorder="1" applyProtection="1">
      <alignment vertical="center"/>
    </xf>
    <xf numFmtId="0" fontId="0" fillId="3" borderId="29" xfId="0" applyFill="1" applyBorder="1" applyProtection="1">
      <alignment vertical="center"/>
    </xf>
    <xf numFmtId="0" fontId="0" fillId="3" borderId="20" xfId="0" applyFill="1" applyBorder="1" applyProtection="1">
      <alignment vertical="center"/>
    </xf>
    <xf numFmtId="0" fontId="27" fillId="11" borderId="20" xfId="0" applyFont="1" applyFill="1" applyBorder="1" applyProtection="1">
      <alignment vertical="center"/>
    </xf>
    <xf numFmtId="0" fontId="24" fillId="0" borderId="0" xfId="0" applyFont="1" applyFill="1" applyAlignment="1" applyProtection="1">
      <alignment horizontal="center" vertical="center"/>
    </xf>
    <xf numFmtId="0" fontId="90" fillId="11" borderId="0" xfId="0" applyFont="1" applyFill="1" applyBorder="1" applyProtection="1">
      <alignment vertical="center"/>
    </xf>
    <xf numFmtId="0" fontId="24" fillId="3" borderId="0" xfId="0" applyFont="1" applyFill="1" applyProtection="1">
      <alignment vertical="center"/>
    </xf>
    <xf numFmtId="0" fontId="27" fillId="11" borderId="0" xfId="0" applyFont="1" applyFill="1" applyBorder="1" applyAlignment="1" applyProtection="1">
      <alignment vertical="center"/>
    </xf>
    <xf numFmtId="0" fontId="27" fillId="11" borderId="22" xfId="0" applyFont="1" applyFill="1" applyBorder="1" applyAlignment="1" applyProtection="1">
      <alignment vertical="center"/>
    </xf>
    <xf numFmtId="0" fontId="27" fillId="3" borderId="22" xfId="0" applyFont="1" applyFill="1" applyBorder="1" applyAlignment="1" applyProtection="1">
      <alignment vertical="center"/>
    </xf>
    <xf numFmtId="0" fontId="13" fillId="0" borderId="0" xfId="0" applyFont="1" applyFill="1" applyAlignment="1" applyProtection="1">
      <alignment vertical="center"/>
    </xf>
    <xf numFmtId="0" fontId="13" fillId="0" borderId="0" xfId="0" applyFont="1" applyAlignment="1" applyProtection="1">
      <alignment vertical="center"/>
    </xf>
    <xf numFmtId="0" fontId="0" fillId="3" borderId="0" xfId="0" applyFont="1" applyFill="1" applyAlignment="1" applyProtection="1">
      <alignment vertical="center"/>
    </xf>
    <xf numFmtId="0" fontId="27" fillId="3" borderId="22" xfId="0" applyFont="1" applyFill="1" applyBorder="1" applyProtection="1">
      <alignment vertical="center"/>
    </xf>
    <xf numFmtId="0" fontId="27" fillId="11" borderId="38" xfId="0" applyFont="1" applyFill="1" applyBorder="1" applyProtection="1">
      <alignment vertical="center"/>
    </xf>
    <xf numFmtId="0" fontId="0" fillId="11" borderId="1" xfId="0" applyFont="1" applyFill="1" applyBorder="1" applyAlignment="1" applyProtection="1">
      <alignment horizontal="left" vertical="center"/>
    </xf>
    <xf numFmtId="0" fontId="87" fillId="11" borderId="0" xfId="0" applyFont="1" applyFill="1" applyBorder="1" applyProtection="1">
      <alignment vertical="center"/>
    </xf>
    <xf numFmtId="0" fontId="13" fillId="0" borderId="58" xfId="0" applyFont="1" applyBorder="1" applyProtection="1">
      <alignment vertical="center"/>
    </xf>
    <xf numFmtId="0" fontId="86" fillId="3" borderId="38" xfId="0" applyFont="1" applyFill="1" applyBorder="1" applyAlignment="1" applyProtection="1">
      <alignment vertical="top"/>
    </xf>
    <xf numFmtId="0" fontId="86" fillId="3" borderId="50" xfId="0" applyFont="1" applyFill="1" applyBorder="1" applyAlignment="1" applyProtection="1">
      <alignment vertical="top"/>
    </xf>
    <xf numFmtId="0" fontId="27" fillId="3" borderId="20" xfId="0" applyFont="1" applyFill="1" applyBorder="1" applyProtection="1">
      <alignment vertical="center"/>
    </xf>
    <xf numFmtId="0" fontId="27" fillId="3" borderId="38" xfId="0" applyFont="1" applyFill="1" applyBorder="1" applyProtection="1">
      <alignment vertical="center"/>
    </xf>
    <xf numFmtId="180" fontId="13" fillId="11" borderId="16" xfId="0" applyNumberFormat="1" applyFont="1" applyFill="1" applyBorder="1" applyAlignment="1" applyProtection="1">
      <alignment horizontal="left" vertical="center"/>
    </xf>
    <xf numFmtId="0" fontId="0" fillId="11" borderId="0" xfId="0" applyFill="1" applyBorder="1" applyAlignment="1" applyProtection="1">
      <alignment horizontal="left" vertical="center"/>
    </xf>
    <xf numFmtId="0" fontId="12" fillId="11" borderId="52" xfId="0" applyFont="1" applyFill="1" applyBorder="1" applyAlignment="1" applyProtection="1">
      <alignment horizontal="left" vertical="center"/>
    </xf>
    <xf numFmtId="0" fontId="13" fillId="11" borderId="52" xfId="0" applyFont="1" applyFill="1" applyBorder="1" applyAlignment="1" applyProtection="1">
      <alignment horizontal="left" vertical="center"/>
    </xf>
    <xf numFmtId="0" fontId="12" fillId="3" borderId="52" xfId="0" applyFont="1" applyFill="1" applyBorder="1" applyAlignment="1" applyProtection="1">
      <alignment vertical="center"/>
    </xf>
    <xf numFmtId="0" fontId="87" fillId="11" borderId="0" xfId="0" applyFont="1" applyFill="1" applyBorder="1" applyAlignment="1" applyProtection="1">
      <alignment vertical="center"/>
    </xf>
    <xf numFmtId="0" fontId="87" fillId="11" borderId="22" xfId="0" applyFont="1" applyFill="1" applyBorder="1" applyAlignment="1" applyProtection="1">
      <alignment vertical="center"/>
    </xf>
    <xf numFmtId="0" fontId="87" fillId="11" borderId="20" xfId="0" applyFont="1" applyFill="1" applyBorder="1" applyProtection="1">
      <alignment vertical="center"/>
    </xf>
    <xf numFmtId="0" fontId="27" fillId="3" borderId="0" xfId="0" applyFont="1" applyFill="1" applyBorder="1" applyAlignment="1" applyProtection="1">
      <alignment vertical="center" textRotation="255"/>
    </xf>
    <xf numFmtId="0" fontId="90" fillId="3" borderId="0" xfId="0" applyFont="1" applyFill="1" applyProtection="1">
      <alignment vertical="center"/>
    </xf>
    <xf numFmtId="0" fontId="27" fillId="3" borderId="0" xfId="0" applyFont="1" applyFill="1" applyAlignment="1" applyProtection="1">
      <alignment vertical="center" textRotation="255"/>
    </xf>
    <xf numFmtId="0" fontId="27" fillId="3" borderId="0" xfId="0" applyFont="1" applyFill="1" applyAlignment="1" applyProtection="1">
      <alignment vertical="center" wrapText="1"/>
    </xf>
    <xf numFmtId="0" fontId="87" fillId="3" borderId="0" xfId="0" applyFont="1" applyFill="1" applyBorder="1" applyAlignment="1" applyProtection="1">
      <alignment vertical="center"/>
    </xf>
    <xf numFmtId="0" fontId="27" fillId="3" borderId="0" xfId="0" applyFont="1" applyFill="1" applyAlignment="1" applyProtection="1">
      <alignment vertical="top"/>
    </xf>
    <xf numFmtId="0" fontId="27" fillId="3" borderId="0" xfId="0" applyFont="1" applyFill="1" applyAlignment="1" applyProtection="1">
      <alignment vertical="top" wrapText="1"/>
    </xf>
    <xf numFmtId="0" fontId="90" fillId="3" borderId="0" xfId="0" applyFont="1" applyFill="1" applyAlignment="1" applyProtection="1"/>
    <xf numFmtId="0" fontId="90" fillId="3" borderId="0" xfId="0" applyFont="1" applyFill="1" applyAlignment="1" applyProtection="1">
      <alignment vertical="top" wrapText="1"/>
    </xf>
    <xf numFmtId="0" fontId="0" fillId="3" borderId="0" xfId="0" applyFont="1" applyFill="1" applyBorder="1" applyAlignment="1" applyProtection="1">
      <alignment vertical="center"/>
    </xf>
    <xf numFmtId="0" fontId="12" fillId="3" borderId="8" xfId="0" applyFont="1" applyFill="1" applyBorder="1" applyAlignment="1" applyProtection="1">
      <alignment vertical="center"/>
    </xf>
    <xf numFmtId="0" fontId="87" fillId="3" borderId="22" xfId="0" applyFont="1" applyFill="1" applyBorder="1" applyProtection="1">
      <alignment vertical="center"/>
    </xf>
    <xf numFmtId="0" fontId="0" fillId="11" borderId="53" xfId="0" applyFont="1" applyFill="1" applyBorder="1" applyAlignment="1" applyProtection="1">
      <alignment horizontal="left" vertical="center"/>
    </xf>
    <xf numFmtId="0" fontId="87" fillId="3" borderId="0" xfId="0" applyFont="1" applyFill="1" applyProtection="1">
      <alignment vertical="center"/>
    </xf>
    <xf numFmtId="0" fontId="13" fillId="0" borderId="0" xfId="0" applyNumberFormat="1" applyFont="1" applyProtection="1">
      <alignment vertical="center"/>
    </xf>
    <xf numFmtId="0" fontId="27" fillId="3" borderId="20" xfId="0" applyFont="1" applyFill="1" applyBorder="1" applyAlignment="1" applyProtection="1">
      <alignment horizontal="left" vertical="center" wrapText="1"/>
    </xf>
    <xf numFmtId="0" fontId="27" fillId="3" borderId="20" xfId="0" applyFont="1" applyFill="1" applyBorder="1" applyAlignment="1" applyProtection="1">
      <alignment horizontal="left" vertical="center"/>
    </xf>
    <xf numFmtId="0" fontId="92" fillId="3" borderId="20" xfId="0" applyFont="1" applyFill="1" applyBorder="1" applyAlignment="1" applyProtection="1">
      <alignment horizontal="left" vertical="center"/>
    </xf>
    <xf numFmtId="0" fontId="21" fillId="0" borderId="0" xfId="0" applyFont="1" applyFill="1" applyAlignment="1" applyProtection="1">
      <alignment horizontal="center" vertical="center"/>
    </xf>
    <xf numFmtId="0" fontId="27" fillId="3" borderId="0" xfId="0" applyFont="1" applyFill="1" applyBorder="1" applyAlignment="1" applyProtection="1"/>
    <xf numFmtId="0" fontId="27" fillId="3" borderId="0" xfId="0" applyFont="1" applyFill="1" applyAlignment="1" applyProtection="1">
      <alignment horizontal="left" vertical="top" wrapText="1"/>
    </xf>
    <xf numFmtId="0" fontId="27" fillId="3" borderId="22" xfId="0" applyFont="1" applyFill="1" applyBorder="1" applyAlignment="1" applyProtection="1">
      <alignment horizontal="left" vertical="top" wrapText="1"/>
    </xf>
    <xf numFmtId="0" fontId="27" fillId="3" borderId="0" xfId="0" applyFont="1" applyFill="1" applyAlignment="1" applyProtection="1"/>
    <xf numFmtId="0" fontId="93" fillId="3" borderId="0" xfId="0" applyFont="1" applyFill="1" applyAlignment="1" applyProtection="1">
      <alignment horizontal="left" vertical="top" wrapText="1"/>
    </xf>
    <xf numFmtId="0" fontId="93" fillId="3" borderId="22" xfId="0" applyFont="1" applyFill="1" applyBorder="1" applyAlignment="1" applyProtection="1">
      <alignment horizontal="left" vertical="top" wrapText="1"/>
    </xf>
    <xf numFmtId="0" fontId="90" fillId="3" borderId="20" xfId="0" applyFont="1" applyFill="1" applyBorder="1" applyAlignment="1" applyProtection="1">
      <alignment horizontal="left" vertical="top" wrapText="1"/>
    </xf>
    <xf numFmtId="0" fontId="93" fillId="3" borderId="20" xfId="0" applyFont="1" applyFill="1" applyBorder="1" applyAlignment="1" applyProtection="1">
      <alignment horizontal="left" vertical="top" wrapText="1"/>
    </xf>
    <xf numFmtId="0" fontId="93" fillId="3" borderId="24" xfId="0" applyFont="1" applyFill="1" applyBorder="1" applyAlignment="1" applyProtection="1">
      <alignment horizontal="left" vertical="top" wrapText="1"/>
    </xf>
    <xf numFmtId="0" fontId="90" fillId="3" borderId="38" xfId="0" applyFont="1" applyFill="1" applyBorder="1" applyAlignment="1" applyProtection="1"/>
    <xf numFmtId="0" fontId="90" fillId="3" borderId="38" xfId="0" applyFont="1" applyFill="1" applyBorder="1" applyAlignment="1" applyProtection="1">
      <alignment vertical="top" wrapText="1"/>
    </xf>
    <xf numFmtId="0" fontId="90" fillId="3" borderId="50" xfId="0" applyFont="1" applyFill="1" applyBorder="1" applyAlignment="1" applyProtection="1">
      <alignment vertical="top" wrapText="1"/>
    </xf>
    <xf numFmtId="0" fontId="90" fillId="3" borderId="22" xfId="0" applyFont="1" applyFill="1" applyBorder="1" applyAlignment="1" applyProtection="1">
      <alignment vertical="top" wrapText="1"/>
    </xf>
    <xf numFmtId="0" fontId="13" fillId="0" borderId="23" xfId="0" applyFont="1" applyFill="1" applyBorder="1" applyProtection="1">
      <alignment vertical="center"/>
    </xf>
    <xf numFmtId="0" fontId="90" fillId="3" borderId="20" xfId="0" applyFont="1" applyFill="1" applyBorder="1" applyAlignment="1" applyProtection="1">
      <alignment vertical="top"/>
    </xf>
    <xf numFmtId="0" fontId="90" fillId="3" borderId="20" xfId="0" applyFont="1" applyFill="1" applyBorder="1" applyAlignment="1" applyProtection="1">
      <alignment vertical="top" wrapText="1"/>
    </xf>
    <xf numFmtId="0" fontId="90" fillId="3" borderId="24" xfId="0" applyFont="1" applyFill="1" applyBorder="1" applyAlignment="1" applyProtection="1">
      <alignment vertical="top" wrapText="1"/>
    </xf>
    <xf numFmtId="49" fontId="6" fillId="0" borderId="147" xfId="0" applyNumberFormat="1" applyFont="1" applyFill="1" applyBorder="1" applyAlignment="1" applyProtection="1">
      <alignment vertical="center" wrapText="1"/>
    </xf>
    <xf numFmtId="49" fontId="6" fillId="0" borderId="81" xfId="0" applyNumberFormat="1" applyFont="1" applyFill="1" applyBorder="1" applyAlignment="1" applyProtection="1">
      <alignment vertical="center" wrapText="1"/>
    </xf>
    <xf numFmtId="0" fontId="27" fillId="0" borderId="0" xfId="0" applyFont="1" applyBorder="1" applyAlignment="1" applyProtection="1">
      <alignment vertical="center" textRotation="255"/>
    </xf>
    <xf numFmtId="0" fontId="27" fillId="0" borderId="0" xfId="0" applyFont="1" applyBorder="1" applyAlignment="1" applyProtection="1">
      <alignment vertical="center"/>
    </xf>
    <xf numFmtId="0" fontId="27" fillId="0" borderId="0" xfId="0" applyFont="1" applyAlignment="1" applyProtection="1">
      <alignment vertical="center"/>
    </xf>
    <xf numFmtId="49" fontId="0" fillId="0" borderId="144" xfId="0" applyNumberFormat="1" applyFont="1" applyFill="1" applyBorder="1" applyAlignment="1" applyProtection="1">
      <alignment vertical="center" wrapText="1"/>
    </xf>
    <xf numFmtId="0" fontId="27" fillId="3" borderId="20" xfId="0" applyFont="1" applyFill="1" applyBorder="1" applyAlignment="1" applyProtection="1">
      <alignment vertical="center" textRotation="255"/>
    </xf>
    <xf numFmtId="0" fontId="27" fillId="3" borderId="20" xfId="0" applyFont="1" applyFill="1" applyBorder="1" applyAlignment="1" applyProtection="1">
      <alignment vertical="top"/>
    </xf>
    <xf numFmtId="0" fontId="27" fillId="3" borderId="0" xfId="0" applyFont="1" applyFill="1" applyAlignment="1" applyProtection="1">
      <alignment vertical="center"/>
    </xf>
    <xf numFmtId="0" fontId="0" fillId="3" borderId="2" xfId="0" applyFill="1" applyBorder="1" applyAlignment="1" applyProtection="1">
      <alignment horizontal="left" vertical="center"/>
    </xf>
    <xf numFmtId="0" fontId="27" fillId="0" borderId="38" xfId="0" applyFont="1" applyFill="1" applyBorder="1" applyProtection="1">
      <alignment vertical="center"/>
    </xf>
    <xf numFmtId="0" fontId="27" fillId="0" borderId="0" xfId="0" applyFont="1" applyProtection="1">
      <alignment vertical="center"/>
    </xf>
    <xf numFmtId="0" fontId="0" fillId="0" borderId="0" xfId="0" applyBorder="1" applyAlignment="1" applyProtection="1">
      <alignment horizontal="left" vertical="center"/>
    </xf>
    <xf numFmtId="0" fontId="0" fillId="2" borderId="4" xfId="0" applyFont="1" applyFill="1" applyBorder="1" applyProtection="1">
      <alignment vertical="center"/>
    </xf>
    <xf numFmtId="0" fontId="0" fillId="3" borderId="0" xfId="0" applyFill="1" applyBorder="1" applyAlignment="1" applyProtection="1">
      <alignment vertical="center" wrapText="1"/>
    </xf>
    <xf numFmtId="0" fontId="0" fillId="12" borderId="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0" borderId="8" xfId="0" applyFont="1" applyBorder="1" applyAlignment="1" applyProtection="1">
      <alignment horizontal="left" vertical="center"/>
    </xf>
    <xf numFmtId="0" fontId="0" fillId="0" borderId="9"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3" xfId="0" applyFont="1" applyBorder="1" applyAlignment="1" applyProtection="1">
      <alignment horizontal="left" vertical="center"/>
    </xf>
    <xf numFmtId="0" fontId="0" fillId="0" borderId="1" xfId="0" applyFont="1" applyBorder="1" applyAlignment="1" applyProtection="1">
      <alignment horizontal="left" vertical="center"/>
    </xf>
    <xf numFmtId="0" fontId="0" fillId="0" borderId="6"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0" borderId="23" xfId="0" applyFont="1" applyBorder="1" applyAlignment="1" applyProtection="1">
      <alignment horizontal="left" vertical="center"/>
    </xf>
    <xf numFmtId="0" fontId="0" fillId="3" borderId="13" xfId="0" applyFont="1" applyFill="1" applyBorder="1" applyAlignment="1" applyProtection="1">
      <alignment horizontal="left" vertical="center"/>
    </xf>
    <xf numFmtId="0" fontId="0" fillId="0" borderId="33" xfId="0" applyFont="1" applyBorder="1" applyAlignment="1" applyProtection="1">
      <alignment horizontal="left" vertical="center"/>
    </xf>
    <xf numFmtId="0" fontId="6" fillId="3" borderId="13" xfId="0" applyFont="1" applyFill="1" applyBorder="1" applyAlignment="1" applyProtection="1">
      <alignment horizontal="left" vertical="center"/>
    </xf>
    <xf numFmtId="0" fontId="6" fillId="0" borderId="7" xfId="0" applyFont="1" applyBorder="1" applyAlignment="1" applyProtection="1">
      <alignment horizontal="left" vertical="center"/>
    </xf>
    <xf numFmtId="14" fontId="6" fillId="0" borderId="13" xfId="0" applyNumberFormat="1" applyFont="1" applyBorder="1" applyAlignment="1" applyProtection="1">
      <alignment horizontal="left" vertical="center"/>
    </xf>
    <xf numFmtId="0" fontId="0" fillId="0" borderId="5" xfId="0" applyFont="1" applyBorder="1" applyAlignment="1" applyProtection="1">
      <alignment horizontal="left" vertical="center"/>
    </xf>
    <xf numFmtId="0" fontId="0" fillId="0" borderId="10" xfId="0" applyFont="1" applyBorder="1" applyAlignment="1" applyProtection="1">
      <alignment horizontal="left" vertical="center"/>
    </xf>
    <xf numFmtId="0" fontId="0" fillId="3" borderId="144" xfId="0" applyFont="1" applyFill="1" applyBorder="1" applyAlignment="1" applyProtection="1">
      <alignment horizontal="left" vertical="center"/>
    </xf>
    <xf numFmtId="0" fontId="0" fillId="3" borderId="4" xfId="0" applyFont="1" applyFill="1" applyBorder="1" applyAlignment="1" applyProtection="1">
      <alignment horizontal="center" vertical="center"/>
    </xf>
    <xf numFmtId="0" fontId="0" fillId="0" borderId="10" xfId="0" applyFont="1" applyBorder="1" applyProtection="1">
      <alignment vertical="center"/>
    </xf>
    <xf numFmtId="0" fontId="0" fillId="0" borderId="2" xfId="0" applyFont="1" applyBorder="1" applyAlignment="1" applyProtection="1">
      <alignment horizontal="left" vertical="center"/>
    </xf>
    <xf numFmtId="0" fontId="0" fillId="0" borderId="25" xfId="0" applyFont="1" applyBorder="1" applyProtection="1">
      <alignment vertical="center"/>
    </xf>
    <xf numFmtId="0" fontId="0" fillId="0" borderId="23" xfId="0" applyFont="1" applyBorder="1" applyProtection="1">
      <alignment vertical="center"/>
    </xf>
    <xf numFmtId="0" fontId="0" fillId="0" borderId="22" xfId="0" applyFont="1" applyBorder="1" applyProtection="1">
      <alignment vertical="center"/>
    </xf>
    <xf numFmtId="0" fontId="0" fillId="0" borderId="0" xfId="0" applyFont="1" applyAlignment="1" applyProtection="1">
      <alignment horizontal="center" vertical="center"/>
    </xf>
    <xf numFmtId="0" fontId="0" fillId="0" borderId="0" xfId="0" quotePrefix="1" applyFont="1" applyAlignment="1" applyProtection="1">
      <alignment horizontal="left" vertical="center"/>
    </xf>
    <xf numFmtId="0" fontId="0" fillId="0" borderId="0" xfId="0" applyAlignment="1" applyProtection="1">
      <alignment horizontal="left" vertical="center"/>
    </xf>
    <xf numFmtId="0" fontId="6" fillId="0" borderId="37" xfId="0" applyFont="1" applyBorder="1" applyAlignment="1" applyProtection="1">
      <alignment horizontal="left" vertical="center"/>
    </xf>
    <xf numFmtId="0" fontId="6" fillId="0" borderId="38" xfId="0" applyFont="1" applyBorder="1" applyProtection="1">
      <alignment vertical="center"/>
    </xf>
    <xf numFmtId="0" fontId="6" fillId="0" borderId="38" xfId="0" applyFont="1" applyBorder="1" applyAlignment="1" applyProtection="1">
      <alignment vertical="center" wrapText="1"/>
    </xf>
    <xf numFmtId="0" fontId="6" fillId="0" borderId="50" xfId="0" applyFont="1" applyBorder="1" applyAlignment="1" applyProtection="1">
      <alignment horizontal="right" vertical="center"/>
    </xf>
    <xf numFmtId="0" fontId="0" fillId="0" borderId="152" xfId="0" applyBorder="1" applyAlignment="1" applyProtection="1">
      <alignment horizontal="left" vertical="center"/>
    </xf>
    <xf numFmtId="0" fontId="0" fillId="0" borderId="50" xfId="0" applyFont="1" applyBorder="1" applyAlignment="1" applyProtection="1">
      <alignment horizontal="left" vertical="center"/>
    </xf>
    <xf numFmtId="0" fontId="6" fillId="0" borderId="37" xfId="0" applyFont="1" applyBorder="1" applyProtection="1">
      <alignment vertical="center"/>
    </xf>
    <xf numFmtId="0" fontId="0" fillId="0" borderId="16" xfId="0" applyBorder="1" applyAlignment="1" applyProtection="1">
      <alignment horizontal="left" vertical="center" wrapText="1"/>
    </xf>
    <xf numFmtId="0" fontId="0" fillId="0" borderId="15" xfId="0" applyFont="1" applyBorder="1" applyAlignment="1" applyProtection="1">
      <alignment horizontal="left" vertical="center"/>
    </xf>
    <xf numFmtId="0" fontId="0" fillId="0" borderId="38" xfId="0" applyFont="1" applyBorder="1" applyAlignment="1" applyProtection="1">
      <alignment vertical="center"/>
    </xf>
    <xf numFmtId="0" fontId="0" fillId="0" borderId="50" xfId="0" applyFont="1" applyBorder="1" applyAlignment="1" applyProtection="1">
      <alignment vertical="center"/>
    </xf>
    <xf numFmtId="0" fontId="0" fillId="0" borderId="152" xfId="0" applyFont="1" applyBorder="1" applyAlignment="1" applyProtection="1">
      <alignment horizontal="left" vertical="center"/>
    </xf>
    <xf numFmtId="0" fontId="6" fillId="0" borderId="44" xfId="0" applyFont="1" applyBorder="1" applyAlignment="1" applyProtection="1">
      <alignment vertical="center"/>
    </xf>
    <xf numFmtId="0" fontId="0" fillId="0" borderId="0" xfId="0" applyFont="1" applyBorder="1" applyAlignment="1" applyProtection="1">
      <alignment vertical="center"/>
    </xf>
    <xf numFmtId="0" fontId="0" fillId="0" borderId="25" xfId="0" applyBorder="1" applyAlignment="1" applyProtection="1">
      <alignment horizontal="left" vertical="center"/>
    </xf>
    <xf numFmtId="0" fontId="6" fillId="0" borderId="30" xfId="2" applyFont="1" applyBorder="1" applyAlignment="1" applyProtection="1">
      <alignment horizontal="left" vertical="center"/>
    </xf>
    <xf numFmtId="0" fontId="6" fillId="0" borderId="179" xfId="0" applyFont="1" applyBorder="1" applyAlignment="1" applyProtection="1">
      <alignment horizontal="left" vertical="center"/>
    </xf>
    <xf numFmtId="0" fontId="6" fillId="0" borderId="13" xfId="0" applyFont="1" applyBorder="1" applyAlignment="1" applyProtection="1">
      <alignment vertical="center"/>
    </xf>
    <xf numFmtId="0" fontId="6" fillId="0" borderId="0" xfId="0" applyFont="1" applyBorder="1" applyAlignment="1" applyProtection="1">
      <alignment horizontal="left" vertical="center"/>
    </xf>
    <xf numFmtId="0" fontId="6" fillId="0" borderId="0" xfId="0" applyFont="1" applyBorder="1" applyAlignment="1" applyProtection="1">
      <alignment vertical="center"/>
    </xf>
    <xf numFmtId="0" fontId="6" fillId="0" borderId="14" xfId="0" applyFont="1" applyBorder="1" applyAlignment="1" applyProtection="1">
      <alignment vertical="center"/>
    </xf>
    <xf numFmtId="0" fontId="0" fillId="0" borderId="96" xfId="0" applyFont="1" applyBorder="1" applyAlignment="1" applyProtection="1">
      <alignment horizontal="left" vertical="center"/>
    </xf>
    <xf numFmtId="0" fontId="6" fillId="0" borderId="33" xfId="0" applyFont="1" applyBorder="1" applyAlignment="1" applyProtection="1">
      <alignment vertical="center"/>
    </xf>
    <xf numFmtId="0" fontId="6" fillId="0" borderId="179" xfId="0" applyFont="1" applyBorder="1" applyAlignment="1" applyProtection="1">
      <alignment vertical="center"/>
    </xf>
    <xf numFmtId="0" fontId="0" fillId="0" borderId="155" xfId="0" applyBorder="1" applyAlignment="1" applyProtection="1">
      <alignment horizontal="left" vertical="center"/>
    </xf>
    <xf numFmtId="0" fontId="0" fillId="0" borderId="89" xfId="0" applyBorder="1" applyAlignment="1" applyProtection="1">
      <alignment horizontal="left" vertical="center"/>
    </xf>
    <xf numFmtId="0" fontId="0" fillId="0" borderId="156" xfId="0" applyBorder="1" applyAlignment="1" applyProtection="1">
      <alignment horizontal="left" vertical="center"/>
    </xf>
    <xf numFmtId="0" fontId="0" fillId="0" borderId="23" xfId="0" applyBorder="1" applyAlignment="1" applyProtection="1">
      <alignment horizontal="left" vertical="center"/>
    </xf>
    <xf numFmtId="0" fontId="0" fillId="0" borderId="28" xfId="0" applyBorder="1" applyAlignment="1" applyProtection="1">
      <alignment horizontal="left" vertical="center"/>
    </xf>
    <xf numFmtId="0" fontId="0" fillId="0" borderId="98" xfId="0" applyFont="1" applyBorder="1" applyAlignment="1" applyProtection="1">
      <alignment horizontal="left" vertical="center"/>
    </xf>
    <xf numFmtId="0" fontId="0" fillId="0" borderId="81" xfId="0" applyFont="1" applyBorder="1" applyAlignment="1" applyProtection="1">
      <alignment vertical="center"/>
    </xf>
    <xf numFmtId="0" fontId="0" fillId="0" borderId="18" xfId="0" applyFont="1" applyBorder="1" applyAlignment="1" applyProtection="1">
      <alignment vertical="center" wrapText="1"/>
    </xf>
    <xf numFmtId="0" fontId="0" fillId="0" borderId="75" xfId="0" applyFont="1" applyBorder="1" applyAlignment="1" applyProtection="1">
      <alignment vertical="center"/>
    </xf>
    <xf numFmtId="0" fontId="0" fillId="0" borderId="36" xfId="0" applyFont="1" applyBorder="1" applyAlignment="1" applyProtection="1">
      <alignment vertical="center"/>
    </xf>
    <xf numFmtId="0" fontId="0" fillId="0" borderId="190" xfId="0" applyFont="1" applyBorder="1" applyAlignment="1" applyProtection="1">
      <alignment horizontal="left" vertical="center"/>
    </xf>
    <xf numFmtId="0" fontId="0" fillId="0" borderId="68" xfId="0" applyFont="1" applyBorder="1" applyAlignment="1" applyProtection="1">
      <alignment vertical="center"/>
    </xf>
    <xf numFmtId="0" fontId="0" fillId="0" borderId="13" xfId="0" applyBorder="1" applyAlignment="1" applyProtection="1">
      <alignment horizontal="left" vertical="center"/>
    </xf>
    <xf numFmtId="0" fontId="0" fillId="0" borderId="4" xfId="0" applyBorder="1" applyAlignment="1" applyProtection="1">
      <alignment horizontal="left" vertical="center"/>
    </xf>
    <xf numFmtId="0" fontId="0" fillId="0" borderId="14" xfId="0" applyBorder="1" applyAlignment="1" applyProtection="1">
      <alignment horizontal="left" vertical="center"/>
    </xf>
    <xf numFmtId="0" fontId="0" fillId="0" borderId="7" xfId="0" applyBorder="1" applyAlignment="1" applyProtection="1">
      <alignment horizontal="left" vertical="center"/>
    </xf>
    <xf numFmtId="0" fontId="0" fillId="0" borderId="100" xfId="0" applyFont="1" applyBorder="1" applyAlignment="1" applyProtection="1">
      <alignment horizontal="left" vertical="center"/>
    </xf>
    <xf numFmtId="0" fontId="0" fillId="0" borderId="13" xfId="0" applyFont="1" applyBorder="1" applyAlignment="1" applyProtection="1">
      <alignment vertical="center" wrapText="1"/>
    </xf>
    <xf numFmtId="0" fontId="0" fillId="0" borderId="14" xfId="0" applyFont="1" applyBorder="1" applyAlignment="1" applyProtection="1">
      <alignment vertical="center"/>
    </xf>
    <xf numFmtId="0" fontId="0" fillId="0" borderId="4" xfId="0" applyFont="1" applyBorder="1" applyAlignment="1" applyProtection="1">
      <alignment vertical="center"/>
    </xf>
    <xf numFmtId="0" fontId="0" fillId="0" borderId="19" xfId="0" applyFont="1" applyBorder="1" applyAlignment="1" applyProtection="1">
      <alignment vertical="center" wrapText="1"/>
    </xf>
    <xf numFmtId="0" fontId="0" fillId="0" borderId="32" xfId="0" applyFont="1" applyBorder="1" applyAlignment="1" applyProtection="1">
      <alignment vertical="center"/>
    </xf>
    <xf numFmtId="0" fontId="0" fillId="0" borderId="13" xfId="0" applyFont="1" applyBorder="1" applyAlignment="1" applyProtection="1">
      <alignment vertical="center"/>
    </xf>
    <xf numFmtId="0" fontId="0" fillId="0" borderId="23" xfId="0" applyBorder="1" applyProtection="1">
      <alignment vertical="center"/>
    </xf>
    <xf numFmtId="0" fontId="0" fillId="0" borderId="19" xfId="0" applyBorder="1" applyAlignment="1" applyProtection="1">
      <alignment horizontal="left" vertical="center"/>
    </xf>
    <xf numFmtId="0" fontId="0" fillId="0" borderId="17" xfId="0" applyBorder="1" applyAlignment="1" applyProtection="1">
      <alignment horizontal="left" vertical="center"/>
    </xf>
    <xf numFmtId="0" fontId="0" fillId="0" borderId="32" xfId="0" applyBorder="1" applyAlignment="1" applyProtection="1">
      <alignment horizontal="left" vertical="center"/>
    </xf>
    <xf numFmtId="0" fontId="0" fillId="0" borderId="33" xfId="0" applyBorder="1" applyAlignment="1" applyProtection="1">
      <alignment horizontal="left" vertical="center"/>
    </xf>
    <xf numFmtId="0" fontId="0" fillId="0" borderId="3" xfId="0" applyBorder="1" applyAlignment="1" applyProtection="1">
      <alignment horizontal="left" vertical="center"/>
    </xf>
    <xf numFmtId="0" fontId="0" fillId="0" borderId="100" xfId="0" applyBorder="1" applyAlignment="1" applyProtection="1">
      <alignment horizontal="left" vertical="center"/>
    </xf>
    <xf numFmtId="0" fontId="0" fillId="0" borderId="178" xfId="0" applyBorder="1" applyAlignment="1" applyProtection="1">
      <alignment horizontal="left" vertical="center"/>
    </xf>
    <xf numFmtId="0" fontId="0" fillId="0" borderId="179" xfId="0" applyFont="1" applyBorder="1" applyAlignment="1" applyProtection="1">
      <alignment vertical="center"/>
    </xf>
    <xf numFmtId="0" fontId="0" fillId="0" borderId="33" xfId="0" applyFont="1" applyBorder="1" applyAlignment="1" applyProtection="1">
      <alignment vertical="center"/>
    </xf>
    <xf numFmtId="0" fontId="0" fillId="2" borderId="0" xfId="0" applyFont="1" applyFill="1" applyAlignment="1" applyProtection="1">
      <alignment horizontal="left" vertical="center"/>
    </xf>
    <xf numFmtId="0" fontId="0" fillId="0" borderId="19" xfId="0" applyFont="1" applyBorder="1" applyProtection="1">
      <alignment vertical="center"/>
    </xf>
    <xf numFmtId="0" fontId="0" fillId="0" borderId="28" xfId="0" applyFont="1" applyBorder="1" applyAlignment="1" applyProtection="1">
      <alignment horizontal="left" vertical="center"/>
    </xf>
    <xf numFmtId="0" fontId="0" fillId="0" borderId="11" xfId="0" applyFont="1" applyBorder="1" applyAlignment="1" applyProtection="1">
      <alignment horizontal="left" vertical="center"/>
    </xf>
    <xf numFmtId="0" fontId="0" fillId="0" borderId="18" xfId="0" applyBorder="1" applyAlignment="1" applyProtection="1">
      <alignment horizontal="left" vertical="center"/>
    </xf>
    <xf numFmtId="0" fontId="6" fillId="0" borderId="38" xfId="0" applyFont="1" applyBorder="1" applyAlignment="1" applyProtection="1">
      <alignment horizontal="left" vertical="center" wrapText="1"/>
    </xf>
    <xf numFmtId="0" fontId="0" fillId="0" borderId="38" xfId="0" applyBorder="1" applyAlignment="1" applyProtection="1">
      <alignment horizontal="left" vertical="center"/>
    </xf>
    <xf numFmtId="0" fontId="0" fillId="0" borderId="25" xfId="0" applyFont="1" applyBorder="1" applyAlignment="1" applyProtection="1">
      <alignment vertical="center"/>
    </xf>
    <xf numFmtId="0" fontId="0" fillId="0" borderId="20" xfId="0" applyFont="1" applyBorder="1" applyAlignment="1" applyProtection="1">
      <alignment horizontal="left" vertical="center"/>
    </xf>
    <xf numFmtId="0" fontId="0" fillId="0" borderId="20" xfId="0" applyFont="1" applyBorder="1" applyAlignment="1" applyProtection="1">
      <alignment vertical="center"/>
    </xf>
    <xf numFmtId="0" fontId="0" fillId="0" borderId="58" xfId="0" applyFont="1" applyBorder="1" applyAlignment="1" applyProtection="1">
      <alignment vertical="center"/>
    </xf>
    <xf numFmtId="0" fontId="0" fillId="0" borderId="18" xfId="0" applyFont="1" applyBorder="1" applyAlignment="1" applyProtection="1">
      <alignment horizontal="left" vertical="center"/>
    </xf>
    <xf numFmtId="0" fontId="0" fillId="0" borderId="68" xfId="0" applyFont="1" applyFill="1" applyBorder="1" applyAlignment="1" applyProtection="1">
      <alignment vertical="center"/>
    </xf>
    <xf numFmtId="0" fontId="0" fillId="0" borderId="97" xfId="0" applyFont="1" applyFill="1" applyBorder="1" applyAlignment="1" applyProtection="1">
      <alignment vertical="center"/>
    </xf>
    <xf numFmtId="0" fontId="0" fillId="0" borderId="98" xfId="0" applyFont="1" applyFill="1" applyBorder="1" applyAlignment="1" applyProtection="1">
      <alignment vertical="center"/>
    </xf>
    <xf numFmtId="0" fontId="0" fillId="0" borderId="9" xfId="0" applyBorder="1" applyAlignment="1" applyProtection="1">
      <alignment horizontal="left" vertical="center"/>
    </xf>
    <xf numFmtId="0" fontId="0" fillId="0" borderId="19" xfId="0" applyFont="1" applyBorder="1" applyAlignment="1" applyProtection="1">
      <alignment horizontal="left" vertical="center"/>
    </xf>
    <xf numFmtId="0" fontId="0" fillId="0" borderId="17" xfId="0" applyFont="1" applyFill="1" applyBorder="1" applyAlignment="1" applyProtection="1">
      <alignment vertical="center"/>
    </xf>
    <xf numFmtId="0" fontId="0" fillId="0" borderId="30" xfId="0" applyFont="1" applyFill="1" applyBorder="1" applyAlignment="1" applyProtection="1">
      <alignment vertical="center"/>
    </xf>
    <xf numFmtId="0" fontId="0" fillId="0" borderId="31" xfId="0" applyFont="1" applyFill="1" applyBorder="1" applyAlignment="1" applyProtection="1">
      <alignment vertical="center"/>
    </xf>
    <xf numFmtId="0" fontId="0" fillId="0" borderId="32" xfId="0" applyFont="1" applyBorder="1" applyAlignment="1" applyProtection="1">
      <alignment horizontal="left" vertical="center"/>
    </xf>
    <xf numFmtId="0" fontId="0" fillId="0" borderId="6" xfId="0" applyBorder="1" applyAlignment="1" applyProtection="1">
      <alignment horizontal="left" vertical="center"/>
    </xf>
    <xf numFmtId="0" fontId="0" fillId="16" borderId="179" xfId="0" applyFill="1" applyBorder="1" applyAlignment="1" applyProtection="1">
      <alignment horizontal="left" vertical="center"/>
    </xf>
    <xf numFmtId="0" fontId="0" fillId="0" borderId="164" xfId="0" applyBorder="1" applyAlignment="1" applyProtection="1">
      <alignment horizontal="left" vertical="center"/>
    </xf>
    <xf numFmtId="0" fontId="0" fillId="0" borderId="189" xfId="0" applyBorder="1" applyAlignment="1" applyProtection="1">
      <alignment horizontal="left" vertical="center"/>
    </xf>
    <xf numFmtId="0" fontId="0" fillId="0" borderId="56" xfId="0" applyBorder="1" applyAlignment="1" applyProtection="1">
      <alignment horizontal="left" vertical="center"/>
    </xf>
    <xf numFmtId="0" fontId="0" fillId="0" borderId="56" xfId="0" applyFont="1" applyBorder="1" applyAlignment="1" applyProtection="1">
      <alignment horizontal="left" vertical="center"/>
    </xf>
    <xf numFmtId="0" fontId="0" fillId="0" borderId="35" xfId="0" applyBorder="1" applyAlignment="1" applyProtection="1">
      <alignment horizontal="left" vertical="center"/>
    </xf>
    <xf numFmtId="0" fontId="0" fillId="16" borderId="164" xfId="0" applyFill="1" applyBorder="1" applyAlignment="1" applyProtection="1">
      <alignment horizontal="left" vertical="center"/>
    </xf>
    <xf numFmtId="0" fontId="0" fillId="16" borderId="188" xfId="0" applyFill="1" applyBorder="1" applyAlignment="1" applyProtection="1">
      <alignment horizontal="left" vertical="center"/>
    </xf>
    <xf numFmtId="0" fontId="0" fillId="0" borderId="188" xfId="0" applyFont="1" applyBorder="1" applyAlignment="1" applyProtection="1">
      <alignment horizontal="left" vertical="center"/>
    </xf>
    <xf numFmtId="0" fontId="0" fillId="16" borderId="165" xfId="0" applyFill="1" applyBorder="1" applyAlignment="1" applyProtection="1">
      <alignment horizontal="left" vertical="center"/>
    </xf>
    <xf numFmtId="0" fontId="0" fillId="0" borderId="164" xfId="0" applyFont="1" applyBorder="1" applyAlignment="1" applyProtection="1">
      <alignment horizontal="left" vertical="center"/>
    </xf>
    <xf numFmtId="0" fontId="0" fillId="0" borderId="57" xfId="0" applyFont="1" applyBorder="1" applyAlignment="1" applyProtection="1">
      <alignment horizontal="left" vertical="center"/>
    </xf>
    <xf numFmtId="0" fontId="0" fillId="16" borderId="35" xfId="0" applyFill="1" applyBorder="1" applyAlignment="1" applyProtection="1">
      <alignment horizontal="left" vertical="center"/>
    </xf>
    <xf numFmtId="0" fontId="0" fillId="0" borderId="35" xfId="0" applyFont="1" applyBorder="1" applyAlignment="1" applyProtection="1">
      <alignment horizontal="left" vertical="center"/>
    </xf>
    <xf numFmtId="0" fontId="0" fillId="16" borderId="58" xfId="0" applyFill="1" applyBorder="1" applyAlignment="1" applyProtection="1">
      <alignment horizontal="left" vertical="center"/>
    </xf>
    <xf numFmtId="0" fontId="27" fillId="0" borderId="0" xfId="0" applyFont="1" applyFill="1" applyBorder="1" applyProtection="1">
      <alignment vertical="center"/>
    </xf>
    <xf numFmtId="0" fontId="140" fillId="0" borderId="0" xfId="0" applyFont="1" applyProtection="1">
      <alignment vertical="center"/>
    </xf>
    <xf numFmtId="0" fontId="140" fillId="0" borderId="0" xfId="0" applyFont="1" applyAlignment="1" applyProtection="1"/>
    <xf numFmtId="0" fontId="140" fillId="22" borderId="0" xfId="0" applyFont="1" applyFill="1" applyProtection="1">
      <alignment vertical="center"/>
    </xf>
    <xf numFmtId="0" fontId="140" fillId="0" borderId="0" xfId="0" applyFont="1" applyFill="1" applyProtection="1">
      <alignment vertical="center"/>
    </xf>
    <xf numFmtId="0" fontId="140" fillId="22" borderId="7" xfId="0" applyFont="1" applyFill="1" applyBorder="1" applyProtection="1">
      <alignment vertical="center"/>
    </xf>
    <xf numFmtId="0" fontId="140" fillId="22" borderId="9" xfId="0" applyFont="1" applyFill="1" applyBorder="1" applyProtection="1">
      <alignment vertical="center"/>
    </xf>
    <xf numFmtId="0" fontId="140" fillId="0" borderId="4" xfId="0" applyFont="1" applyBorder="1" applyProtection="1">
      <alignment vertical="center"/>
    </xf>
    <xf numFmtId="0" fontId="140" fillId="27" borderId="7" xfId="0" applyFont="1" applyFill="1" applyBorder="1" applyProtection="1">
      <alignment vertical="center"/>
    </xf>
    <xf numFmtId="0" fontId="140" fillId="27" borderId="9" xfId="0" applyFont="1" applyFill="1" applyBorder="1" applyProtection="1">
      <alignment vertical="center"/>
    </xf>
    <xf numFmtId="0" fontId="0" fillId="11" borderId="1" xfId="0" applyFill="1" applyBorder="1" applyAlignment="1" applyProtection="1">
      <alignment vertical="center"/>
    </xf>
    <xf numFmtId="0" fontId="140" fillId="26" borderId="4" xfId="0" applyFont="1" applyFill="1" applyBorder="1" applyProtection="1">
      <alignment vertical="center"/>
    </xf>
    <xf numFmtId="0" fontId="140" fillId="21" borderId="4" xfId="0" applyFont="1" applyFill="1" applyBorder="1" applyProtection="1">
      <alignment vertical="center"/>
    </xf>
    <xf numFmtId="0" fontId="140" fillId="28" borderId="7" xfId="0" applyFont="1" applyFill="1" applyBorder="1" applyProtection="1">
      <alignment vertical="center"/>
    </xf>
    <xf numFmtId="0" fontId="140" fillId="28" borderId="9" xfId="0" applyFont="1" applyFill="1" applyBorder="1" applyProtection="1">
      <alignment vertical="center"/>
    </xf>
    <xf numFmtId="0" fontId="140" fillId="25" borderId="7" xfId="0" applyFont="1" applyFill="1" applyBorder="1" applyProtection="1">
      <alignment vertical="center"/>
    </xf>
    <xf numFmtId="0" fontId="140" fillId="25" borderId="9" xfId="0" applyFont="1" applyFill="1" applyBorder="1" applyProtection="1">
      <alignment vertical="center"/>
    </xf>
    <xf numFmtId="0" fontId="140" fillId="4" borderId="7" xfId="0" applyFont="1" applyFill="1" applyBorder="1" applyProtection="1">
      <alignment vertical="center"/>
    </xf>
    <xf numFmtId="0" fontId="140" fillId="4" borderId="9" xfId="0" applyFont="1" applyFill="1" applyBorder="1" applyProtection="1">
      <alignment vertical="center"/>
    </xf>
    <xf numFmtId="0" fontId="140" fillId="21" borderId="0" xfId="0" applyFont="1" applyFill="1" applyProtection="1">
      <alignment vertical="center"/>
    </xf>
    <xf numFmtId="0" fontId="140" fillId="27" borderId="0" xfId="0" applyFont="1" applyFill="1" applyProtection="1">
      <alignment vertical="center"/>
    </xf>
    <xf numFmtId="0" fontId="140" fillId="26" borderId="0" xfId="0" applyFont="1" applyFill="1" applyProtection="1">
      <alignment vertical="center"/>
    </xf>
    <xf numFmtId="0" fontId="140" fillId="25" borderId="0" xfId="0" applyFont="1" applyFill="1" applyProtection="1">
      <alignment vertical="center"/>
    </xf>
    <xf numFmtId="0" fontId="140" fillId="3" borderId="0" xfId="0" applyFont="1" applyFill="1" applyProtection="1">
      <alignment vertical="center"/>
    </xf>
    <xf numFmtId="0" fontId="140" fillId="26" borderId="0" xfId="0" applyNumberFormat="1" applyFont="1" applyFill="1" applyProtection="1">
      <alignment vertical="center"/>
    </xf>
    <xf numFmtId="0" fontId="140" fillId="0" borderId="0" xfId="0" applyFont="1" applyAlignment="1" applyProtection="1">
      <alignment horizontal="center" vertical="center"/>
    </xf>
    <xf numFmtId="0" fontId="140" fillId="27" borderId="0" xfId="0" applyFont="1" applyFill="1" applyAlignment="1" applyProtection="1">
      <alignment horizontal="center" vertical="center"/>
    </xf>
    <xf numFmtId="49" fontId="140" fillId="26" borderId="0" xfId="0" applyNumberFormat="1" applyFont="1" applyFill="1" applyProtection="1">
      <alignment vertical="center"/>
    </xf>
    <xf numFmtId="0" fontId="143" fillId="22" borderId="0" xfId="0" applyFont="1" applyFill="1" applyBorder="1" applyProtection="1">
      <alignment vertical="center"/>
    </xf>
    <xf numFmtId="0" fontId="0" fillId="22" borderId="0" xfId="0" applyFont="1" applyFill="1" applyBorder="1" applyProtection="1">
      <alignment vertical="center"/>
    </xf>
    <xf numFmtId="0" fontId="140" fillId="22" borderId="0" xfId="0" applyFont="1" applyFill="1" applyBorder="1" applyProtection="1">
      <alignment vertical="center"/>
    </xf>
    <xf numFmtId="0" fontId="140" fillId="22" borderId="4" xfId="0" applyFont="1" applyFill="1" applyBorder="1" applyProtection="1">
      <alignment vertical="center"/>
    </xf>
    <xf numFmtId="0" fontId="140" fillId="25" borderId="33" xfId="0" applyFont="1" applyFill="1" applyBorder="1" applyProtection="1">
      <alignment vertical="center"/>
    </xf>
    <xf numFmtId="0" fontId="140" fillId="25" borderId="99" xfId="0" applyFont="1" applyFill="1" applyBorder="1" applyProtection="1">
      <alignment vertical="center"/>
    </xf>
    <xf numFmtId="0" fontId="140" fillId="25" borderId="4" xfId="0" applyFont="1" applyFill="1" applyBorder="1" applyProtection="1">
      <alignment vertical="center"/>
    </xf>
    <xf numFmtId="0" fontId="140" fillId="25" borderId="89" xfId="0" applyFont="1" applyFill="1" applyBorder="1" applyProtection="1">
      <alignment vertical="center"/>
    </xf>
    <xf numFmtId="0" fontId="10" fillId="25" borderId="0" xfId="0" applyFont="1" applyFill="1" applyProtection="1">
      <alignment vertical="center"/>
    </xf>
    <xf numFmtId="0" fontId="140" fillId="0" borderId="0" xfId="0" applyFont="1" applyBorder="1" applyProtection="1">
      <alignment vertical="center"/>
    </xf>
    <xf numFmtId="14" fontId="140" fillId="19" borderId="0" xfId="0" applyNumberFormat="1" applyFont="1" applyFill="1" applyProtection="1">
      <alignment vertical="center"/>
    </xf>
    <xf numFmtId="0" fontId="140" fillId="25" borderId="0" xfId="0" applyFont="1" applyFill="1" applyBorder="1" applyProtection="1">
      <alignment vertical="center"/>
    </xf>
    <xf numFmtId="0" fontId="140" fillId="0" borderId="4" xfId="0" applyFont="1" applyFill="1" applyBorder="1" applyProtection="1">
      <alignment vertical="center"/>
    </xf>
    <xf numFmtId="0" fontId="111" fillId="0" borderId="0" xfId="0" applyFont="1" applyProtection="1">
      <alignment vertical="center"/>
      <protection hidden="1"/>
    </xf>
    <xf numFmtId="0" fontId="51" fillId="0" borderId="0" xfId="0" applyFont="1" applyProtection="1">
      <alignment vertical="center"/>
      <protection hidden="1"/>
    </xf>
    <xf numFmtId="0" fontId="45" fillId="0" borderId="0" xfId="0" applyFont="1" applyProtection="1">
      <alignment vertical="center"/>
      <protection hidden="1"/>
    </xf>
    <xf numFmtId="0" fontId="45" fillId="0" borderId="7" xfId="0" applyFont="1" applyBorder="1" applyProtection="1">
      <alignment vertical="center"/>
      <protection hidden="1"/>
    </xf>
    <xf numFmtId="0" fontId="45" fillId="0" borderId="1" xfId="0" applyFont="1" applyBorder="1" applyProtection="1">
      <alignment vertical="center"/>
      <protection hidden="1"/>
    </xf>
    <xf numFmtId="0" fontId="45" fillId="0" borderId="1" xfId="0" applyFont="1" applyBorder="1" applyAlignment="1" applyProtection="1">
      <alignment horizontal="center" vertical="center"/>
      <protection hidden="1"/>
    </xf>
    <xf numFmtId="0" fontId="45" fillId="0" borderId="4" xfId="0" applyFont="1" applyBorder="1" applyAlignment="1" applyProtection="1">
      <alignment horizontal="center" vertical="center"/>
      <protection hidden="1"/>
    </xf>
    <xf numFmtId="0" fontId="46" fillId="0" borderId="4" xfId="0" applyFont="1" applyBorder="1" applyAlignment="1" applyProtection="1">
      <alignment horizontal="center" vertical="center"/>
      <protection hidden="1"/>
    </xf>
    <xf numFmtId="49" fontId="4" fillId="0" borderId="4" xfId="0" applyNumberFormat="1" applyFont="1" applyBorder="1" applyAlignment="1" applyProtection="1">
      <alignment horizontal="center" vertical="center"/>
      <protection hidden="1"/>
    </xf>
    <xf numFmtId="0" fontId="4" fillId="0" borderId="4" xfId="0" applyFont="1" applyBorder="1" applyAlignment="1" applyProtection="1">
      <alignment horizontal="center" vertical="center"/>
      <protection hidden="1"/>
    </xf>
    <xf numFmtId="0" fontId="4" fillId="0" borderId="8" xfId="0" applyFont="1" applyBorder="1" applyAlignment="1" applyProtection="1">
      <alignment horizontal="left" vertical="center"/>
      <protection hidden="1"/>
    </xf>
    <xf numFmtId="0" fontId="4" fillId="0" borderId="9" xfId="0" applyFont="1" applyBorder="1" applyAlignment="1" applyProtection="1">
      <alignment horizontal="left" vertical="center"/>
      <protection hidden="1"/>
    </xf>
    <xf numFmtId="0" fontId="46" fillId="0" borderId="7" xfId="0" applyFont="1" applyBorder="1" applyAlignment="1" applyProtection="1">
      <alignment horizontal="center" vertical="center"/>
      <protection hidden="1"/>
    </xf>
    <xf numFmtId="0" fontId="46" fillId="0" borderId="7" xfId="0" applyFont="1" applyBorder="1" applyAlignment="1" applyProtection="1">
      <alignment vertical="center"/>
      <protection hidden="1"/>
    </xf>
    <xf numFmtId="0" fontId="46" fillId="0" borderId="8" xfId="0" applyFont="1" applyBorder="1" applyAlignment="1" applyProtection="1">
      <alignment vertical="center"/>
      <protection hidden="1"/>
    </xf>
    <xf numFmtId="0" fontId="46" fillId="0" borderId="9" xfId="0" applyFont="1" applyBorder="1" applyAlignment="1" applyProtection="1">
      <alignment vertical="center"/>
      <protection hidden="1"/>
    </xf>
    <xf numFmtId="49" fontId="4" fillId="0" borderId="7" xfId="0" applyNumberFormat="1" applyFont="1" applyBorder="1" applyAlignment="1" applyProtection="1">
      <alignment horizontal="center" vertical="center"/>
      <protection hidden="1"/>
    </xf>
    <xf numFmtId="0" fontId="4" fillId="0" borderId="7" xfId="0" applyFont="1" applyBorder="1" applyAlignment="1" applyProtection="1">
      <alignment vertical="center"/>
      <protection hidden="1"/>
    </xf>
    <xf numFmtId="0" fontId="4" fillId="0" borderId="8" xfId="0" applyFont="1" applyBorder="1" applyAlignment="1" applyProtection="1">
      <alignment vertical="center"/>
      <protection hidden="1"/>
    </xf>
    <xf numFmtId="0" fontId="4" fillId="0" borderId="9" xfId="0" applyFont="1" applyBorder="1" applyAlignment="1" applyProtection="1">
      <alignment vertical="center"/>
      <protection hidden="1"/>
    </xf>
    <xf numFmtId="0" fontId="4" fillId="0" borderId="7" xfId="0" applyFont="1" applyBorder="1" applyAlignment="1" applyProtection="1">
      <alignment horizontal="center" vertical="center"/>
      <protection hidden="1"/>
    </xf>
    <xf numFmtId="0" fontId="4" fillId="0" borderId="7" xfId="0" applyFont="1" applyBorder="1" applyAlignment="1" applyProtection="1">
      <alignment horizontal="left" vertical="center"/>
      <protection hidden="1"/>
    </xf>
    <xf numFmtId="0" fontId="46" fillId="0" borderId="7" xfId="0" applyFont="1" applyBorder="1" applyAlignment="1" applyProtection="1">
      <alignment horizontal="left" vertical="center"/>
      <protection hidden="1"/>
    </xf>
    <xf numFmtId="0" fontId="46" fillId="0" borderId="8" xfId="0" applyFont="1" applyBorder="1" applyAlignment="1" applyProtection="1">
      <alignment horizontal="left" vertical="center"/>
      <protection hidden="1"/>
    </xf>
    <xf numFmtId="0" fontId="46" fillId="0" borderId="9" xfId="0" applyFont="1" applyBorder="1" applyAlignment="1" applyProtection="1">
      <alignment horizontal="left" vertical="center"/>
      <protection hidden="1"/>
    </xf>
    <xf numFmtId="0" fontId="45" fillId="0" borderId="2" xfId="0" applyFont="1" applyBorder="1" applyProtection="1">
      <alignment vertical="center"/>
      <protection hidden="1"/>
    </xf>
    <xf numFmtId="0" fontId="0" fillId="0" borderId="1" xfId="0" applyBorder="1" applyProtection="1">
      <alignment vertical="center"/>
      <protection hidden="1"/>
    </xf>
    <xf numFmtId="0" fontId="45" fillId="0" borderId="0" xfId="0" applyFont="1" applyBorder="1" applyProtection="1">
      <alignment vertical="center"/>
      <protection hidden="1"/>
    </xf>
    <xf numFmtId="0" fontId="45" fillId="0" borderId="0" xfId="0" applyFont="1" applyAlignment="1" applyProtection="1">
      <alignment horizontal="center" vertical="center"/>
      <protection hidden="1"/>
    </xf>
    <xf numFmtId="0" fontId="115" fillId="0" borderId="0" xfId="2" applyFont="1" applyProtection="1">
      <alignment vertical="center"/>
      <protection hidden="1"/>
    </xf>
    <xf numFmtId="0" fontId="55" fillId="0" borderId="0" xfId="7" applyProtection="1">
      <protection hidden="1"/>
    </xf>
    <xf numFmtId="0" fontId="56" fillId="0" borderId="3" xfId="7" applyFont="1" applyBorder="1" applyProtection="1">
      <protection hidden="1"/>
    </xf>
    <xf numFmtId="0" fontId="56" fillId="0" borderId="1" xfId="7" applyFont="1" applyBorder="1" applyProtection="1">
      <protection hidden="1"/>
    </xf>
    <xf numFmtId="0" fontId="56" fillId="0" borderId="1" xfId="7" applyFont="1" applyBorder="1" applyAlignment="1" applyProtection="1">
      <alignment horizontal="right"/>
      <protection hidden="1"/>
    </xf>
    <xf numFmtId="0" fontId="56" fillId="0" borderId="6" xfId="7" applyFont="1" applyBorder="1" applyProtection="1">
      <protection hidden="1"/>
    </xf>
    <xf numFmtId="0" fontId="56" fillId="0" borderId="0" xfId="7" applyFont="1" applyProtection="1">
      <protection hidden="1"/>
    </xf>
    <xf numFmtId="0" fontId="55" fillId="0" borderId="5" xfId="7" applyBorder="1" applyProtection="1">
      <protection hidden="1"/>
    </xf>
    <xf numFmtId="0" fontId="55" fillId="0" borderId="0" xfId="7" applyBorder="1" applyProtection="1">
      <protection hidden="1"/>
    </xf>
    <xf numFmtId="0" fontId="55" fillId="0" borderId="10" xfId="7" applyBorder="1" applyProtection="1">
      <protection hidden="1"/>
    </xf>
    <xf numFmtId="0" fontId="59" fillId="0" borderId="0" xfId="2" applyFont="1" applyBorder="1" applyAlignment="1" applyProtection="1">
      <alignment horizontal="center" vertical="center"/>
      <protection hidden="1"/>
    </xf>
    <xf numFmtId="0" fontId="55" fillId="21" borderId="3" xfId="7" applyFill="1" applyBorder="1" applyProtection="1">
      <protection hidden="1"/>
    </xf>
    <xf numFmtId="0" fontId="55" fillId="21" borderId="1" xfId="7" applyFill="1" applyBorder="1" applyProtection="1">
      <protection hidden="1"/>
    </xf>
    <xf numFmtId="0" fontId="59" fillId="21" borderId="1" xfId="2" applyFont="1" applyFill="1" applyBorder="1" applyAlignment="1" applyProtection="1">
      <alignment horizontal="center" vertical="center"/>
      <protection hidden="1"/>
    </xf>
    <xf numFmtId="0" fontId="55" fillId="21" borderId="6" xfId="7" applyFill="1" applyBorder="1" applyProtection="1">
      <protection hidden="1"/>
    </xf>
    <xf numFmtId="0" fontId="55" fillId="21" borderId="0" xfId="7" applyFill="1" applyBorder="1" applyProtection="1">
      <protection hidden="1"/>
    </xf>
    <xf numFmtId="0" fontId="55" fillId="21" borderId="10" xfId="7" applyFill="1" applyBorder="1" applyProtection="1">
      <protection hidden="1"/>
    </xf>
    <xf numFmtId="0" fontId="60" fillId="21" borderId="5" xfId="2" applyFont="1" applyFill="1" applyBorder="1" applyAlignment="1" applyProtection="1">
      <alignment horizontal="center" vertical="center"/>
      <protection hidden="1"/>
    </xf>
    <xf numFmtId="0" fontId="60" fillId="21" borderId="0" xfId="2" applyFont="1" applyFill="1" applyBorder="1" applyAlignment="1" applyProtection="1">
      <alignment horizontal="center" vertical="center"/>
      <protection hidden="1"/>
    </xf>
    <xf numFmtId="0" fontId="63" fillId="21" borderId="0" xfId="2" applyFont="1" applyFill="1" applyBorder="1" applyAlignment="1" applyProtection="1">
      <alignment horizontal="left" vertical="center"/>
      <protection hidden="1"/>
    </xf>
    <xf numFmtId="0" fontId="64" fillId="21" borderId="0" xfId="2" applyFont="1" applyFill="1" applyBorder="1" applyAlignment="1" applyProtection="1">
      <alignment horizontal="left" vertical="center"/>
      <protection hidden="1"/>
    </xf>
    <xf numFmtId="0" fontId="60" fillId="21" borderId="0" xfId="2" applyFont="1" applyFill="1" applyBorder="1" applyAlignment="1" applyProtection="1">
      <alignment vertical="center"/>
      <protection hidden="1"/>
    </xf>
    <xf numFmtId="0" fontId="60" fillId="21" borderId="28" xfId="2" applyFont="1" applyFill="1" applyBorder="1" applyAlignment="1" applyProtection="1">
      <alignment horizontal="center" vertical="center"/>
      <protection hidden="1"/>
    </xf>
    <xf numFmtId="0" fontId="60" fillId="21" borderId="2" xfId="2" applyFont="1" applyFill="1" applyBorder="1" applyAlignment="1" applyProtection="1">
      <alignment horizontal="center" vertical="center"/>
      <protection hidden="1"/>
    </xf>
    <xf numFmtId="0" fontId="63" fillId="21" borderId="2" xfId="2" applyFont="1" applyFill="1" applyBorder="1" applyAlignment="1" applyProtection="1">
      <alignment horizontal="left" vertical="center"/>
      <protection hidden="1"/>
    </xf>
    <xf numFmtId="0" fontId="55" fillId="21" borderId="2" xfId="7" applyFill="1" applyBorder="1" applyProtection="1">
      <protection hidden="1"/>
    </xf>
    <xf numFmtId="0" fontId="55" fillId="21" borderId="11" xfId="7" applyFill="1" applyBorder="1" applyProtection="1">
      <protection hidden="1"/>
    </xf>
    <xf numFmtId="0" fontId="0" fillId="0" borderId="10" xfId="0" applyBorder="1" applyProtection="1">
      <alignment vertical="center"/>
      <protection hidden="1"/>
    </xf>
    <xf numFmtId="0" fontId="64" fillId="21" borderId="3" xfId="7" applyFont="1" applyFill="1" applyBorder="1" applyProtection="1">
      <protection hidden="1"/>
    </xf>
    <xf numFmtId="0" fontId="66" fillId="21" borderId="1" xfId="0" applyFont="1" applyFill="1" applyBorder="1" applyAlignment="1" applyProtection="1">
      <alignment horizontal="left" vertical="center"/>
      <protection hidden="1"/>
    </xf>
    <xf numFmtId="0" fontId="67" fillId="21" borderId="1" xfId="0" applyFont="1" applyFill="1" applyBorder="1" applyAlignment="1" applyProtection="1">
      <alignment horizontal="left" vertical="center"/>
      <protection hidden="1"/>
    </xf>
    <xf numFmtId="0" fontId="0" fillId="21" borderId="1" xfId="0" applyFill="1" applyBorder="1" applyProtection="1">
      <alignment vertical="center"/>
      <protection hidden="1"/>
    </xf>
    <xf numFmtId="0" fontId="0" fillId="21" borderId="6" xfId="0" applyFill="1" applyBorder="1" applyProtection="1">
      <alignment vertical="center"/>
      <protection hidden="1"/>
    </xf>
    <xf numFmtId="0" fontId="55" fillId="21" borderId="5" xfId="7" applyFill="1" applyBorder="1" applyProtection="1">
      <protection hidden="1"/>
    </xf>
    <xf numFmtId="0" fontId="66" fillId="21" borderId="0" xfId="0" applyFont="1" applyFill="1" applyBorder="1" applyAlignment="1" applyProtection="1">
      <alignment horizontal="left" vertical="center"/>
      <protection hidden="1"/>
    </xf>
    <xf numFmtId="0" fontId="66" fillId="21" borderId="51" xfId="0" applyFont="1" applyFill="1" applyBorder="1" applyProtection="1">
      <alignment vertical="center"/>
      <protection hidden="1"/>
    </xf>
    <xf numFmtId="0" fontId="0" fillId="21" borderId="51" xfId="0" applyFill="1" applyBorder="1" applyProtection="1">
      <alignment vertical="center"/>
      <protection hidden="1"/>
    </xf>
    <xf numFmtId="0" fontId="0" fillId="21" borderId="0" xfId="0" applyFill="1" applyBorder="1" applyProtection="1">
      <alignment vertical="center"/>
      <protection hidden="1"/>
    </xf>
    <xf numFmtId="0" fontId="0" fillId="21" borderId="10" xfId="0" applyFill="1" applyBorder="1" applyProtection="1">
      <alignment vertical="center"/>
      <protection hidden="1"/>
    </xf>
    <xf numFmtId="0" fontId="68" fillId="21" borderId="0" xfId="0" applyFont="1" applyFill="1" applyBorder="1" applyAlignment="1" applyProtection="1">
      <alignment vertical="center" wrapText="1"/>
      <protection hidden="1"/>
    </xf>
    <xf numFmtId="0" fontId="69" fillId="21" borderId="0" xfId="0" applyFont="1" applyFill="1" applyBorder="1" applyAlignment="1" applyProtection="1">
      <alignment horizontal="center" vertical="center"/>
      <protection hidden="1"/>
    </xf>
    <xf numFmtId="0" fontId="66" fillId="21" borderId="0" xfId="0" applyFont="1" applyFill="1" applyBorder="1" applyProtection="1">
      <alignment vertical="center"/>
      <protection hidden="1"/>
    </xf>
    <xf numFmtId="0" fontId="68" fillId="21" borderId="0" xfId="0" applyFont="1" applyFill="1" applyBorder="1" applyAlignment="1" applyProtection="1">
      <alignment horizontal="left" vertical="center" wrapText="1"/>
      <protection hidden="1"/>
    </xf>
    <xf numFmtId="0" fontId="66" fillId="21" borderId="51" xfId="0" applyFont="1" applyFill="1" applyBorder="1" applyAlignment="1" applyProtection="1">
      <alignment horizontal="left" vertical="center" wrapText="1"/>
      <protection hidden="1"/>
    </xf>
    <xf numFmtId="0" fontId="66" fillId="21" borderId="51" xfId="0" applyFont="1" applyFill="1" applyBorder="1" applyAlignment="1" applyProtection="1">
      <alignment horizontal="left" vertical="center"/>
      <protection hidden="1"/>
    </xf>
    <xf numFmtId="0" fontId="66" fillId="21" borderId="131" xfId="0" applyFont="1" applyFill="1" applyBorder="1" applyAlignment="1" applyProtection="1">
      <alignment horizontal="left" vertical="center"/>
      <protection hidden="1"/>
    </xf>
    <xf numFmtId="0" fontId="66" fillId="21" borderId="130" xfId="0" applyFont="1" applyFill="1" applyBorder="1" applyAlignment="1" applyProtection="1">
      <alignment horizontal="left" vertical="center"/>
      <protection hidden="1"/>
    </xf>
    <xf numFmtId="0" fontId="55" fillId="21" borderId="161" xfId="7" applyFill="1" applyBorder="1" applyProtection="1">
      <protection hidden="1"/>
    </xf>
    <xf numFmtId="0" fontId="66" fillId="21" borderId="52" xfId="0" applyFont="1" applyFill="1" applyBorder="1" applyAlignment="1" applyProtection="1">
      <alignment horizontal="left" vertical="center"/>
      <protection hidden="1"/>
    </xf>
    <xf numFmtId="0" fontId="68" fillId="21" borderId="52" xfId="0" applyFont="1" applyFill="1" applyBorder="1" applyAlignment="1" applyProtection="1">
      <alignment horizontal="left" vertical="center" wrapText="1"/>
      <protection hidden="1"/>
    </xf>
    <xf numFmtId="0" fontId="66" fillId="21" borderId="52" xfId="0" applyFont="1" applyFill="1" applyBorder="1" applyAlignment="1" applyProtection="1">
      <alignment horizontal="right" vertical="center"/>
      <protection hidden="1"/>
    </xf>
    <xf numFmtId="0" fontId="66" fillId="21" borderId="52" xfId="0" applyFont="1" applyFill="1" applyBorder="1" applyProtection="1">
      <alignment vertical="center"/>
      <protection hidden="1"/>
    </xf>
    <xf numFmtId="0" fontId="0" fillId="21" borderId="162" xfId="0" applyFill="1" applyBorder="1" applyProtection="1">
      <alignment vertical="center"/>
      <protection hidden="1"/>
    </xf>
    <xf numFmtId="0" fontId="64" fillId="21" borderId="5" xfId="7" applyFont="1" applyFill="1" applyBorder="1" applyAlignment="1" applyProtection="1">
      <protection hidden="1"/>
    </xf>
    <xf numFmtId="0" fontId="68" fillId="21" borderId="51" xfId="0" applyFont="1" applyFill="1" applyBorder="1" applyAlignment="1" applyProtection="1">
      <alignment horizontal="left" vertical="center" wrapText="1"/>
      <protection hidden="1"/>
    </xf>
    <xf numFmtId="0" fontId="66" fillId="21" borderId="51" xfId="0" applyFont="1" applyFill="1" applyBorder="1" applyAlignment="1" applyProtection="1">
      <alignment horizontal="right" vertical="center"/>
      <protection hidden="1"/>
    </xf>
    <xf numFmtId="0" fontId="66" fillId="21" borderId="52" xfId="0" applyFont="1" applyFill="1" applyBorder="1" applyAlignment="1" applyProtection="1">
      <alignment vertical="center" shrinkToFit="1"/>
      <protection hidden="1"/>
    </xf>
    <xf numFmtId="0" fontId="66" fillId="21" borderId="51" xfId="0" applyFont="1" applyFill="1" applyBorder="1" applyAlignment="1" applyProtection="1">
      <alignment vertical="center" shrinkToFit="1"/>
      <protection hidden="1"/>
    </xf>
    <xf numFmtId="0" fontId="66" fillId="21" borderId="82" xfId="0" applyFont="1" applyFill="1" applyBorder="1" applyAlignment="1" applyProtection="1">
      <alignment vertical="center" shrinkToFit="1"/>
      <protection hidden="1"/>
    </xf>
    <xf numFmtId="0" fontId="66" fillId="21" borderId="82" xfId="0" applyFont="1" applyFill="1" applyBorder="1" applyAlignment="1" applyProtection="1">
      <alignment horizontal="left" vertical="center"/>
      <protection hidden="1"/>
    </xf>
    <xf numFmtId="0" fontId="66" fillId="21" borderId="82" xfId="0" applyFont="1" applyFill="1" applyBorder="1" applyProtection="1">
      <alignment vertical="center"/>
      <protection hidden="1"/>
    </xf>
    <xf numFmtId="0" fontId="0" fillId="21" borderId="191" xfId="0" applyFill="1" applyBorder="1" applyProtection="1">
      <alignment vertical="center"/>
      <protection hidden="1"/>
    </xf>
    <xf numFmtId="0" fontId="66" fillId="21" borderId="162" xfId="0" applyFont="1" applyFill="1" applyBorder="1" applyAlignment="1" applyProtection="1">
      <alignment horizontal="right" vertical="center"/>
      <protection hidden="1"/>
    </xf>
    <xf numFmtId="0" fontId="55" fillId="21" borderId="185" xfId="7" applyFill="1" applyBorder="1" applyProtection="1">
      <protection hidden="1"/>
    </xf>
    <xf numFmtId="0" fontId="68" fillId="21" borderId="51" xfId="0" applyFont="1" applyFill="1" applyBorder="1" applyAlignment="1" applyProtection="1">
      <alignment vertical="center" wrapText="1"/>
      <protection hidden="1"/>
    </xf>
    <xf numFmtId="0" fontId="68" fillId="21" borderId="82" xfId="0" applyFont="1" applyFill="1" applyBorder="1" applyAlignment="1" applyProtection="1">
      <alignment vertical="center" wrapText="1"/>
      <protection hidden="1"/>
    </xf>
    <xf numFmtId="0" fontId="66" fillId="21" borderId="0" xfId="0" applyFont="1" applyFill="1" applyBorder="1" applyAlignment="1" applyProtection="1">
      <alignment vertical="center" shrinkToFit="1"/>
      <protection hidden="1"/>
    </xf>
    <xf numFmtId="0" fontId="66" fillId="21" borderId="191" xfId="0" applyFont="1" applyFill="1" applyBorder="1" applyAlignment="1" applyProtection="1">
      <alignment horizontal="right" vertical="center"/>
      <protection hidden="1"/>
    </xf>
    <xf numFmtId="0" fontId="66" fillId="21" borderId="185" xfId="0" applyFont="1" applyFill="1" applyBorder="1" applyAlignment="1" applyProtection="1">
      <alignment horizontal="left"/>
      <protection hidden="1"/>
    </xf>
    <xf numFmtId="0" fontId="66" fillId="21" borderId="5" xfId="0" applyFont="1" applyFill="1" applyBorder="1" applyProtection="1">
      <alignment vertical="center"/>
      <protection hidden="1"/>
    </xf>
    <xf numFmtId="0" fontId="66" fillId="21" borderId="5" xfId="0" applyFont="1" applyFill="1" applyBorder="1" applyAlignment="1" applyProtection="1">
      <alignment horizontal="left" vertical="center"/>
      <protection hidden="1"/>
    </xf>
    <xf numFmtId="0" fontId="70" fillId="21" borderId="51" xfId="0" applyFont="1" applyFill="1" applyBorder="1" applyAlignment="1" applyProtection="1">
      <alignment horizontal="left" vertical="center"/>
      <protection hidden="1"/>
    </xf>
    <xf numFmtId="0" fontId="71" fillId="21" borderId="82" xfId="0" applyFont="1" applyFill="1" applyBorder="1" applyAlignment="1" applyProtection="1">
      <alignment horizontal="left" vertical="center"/>
      <protection hidden="1"/>
    </xf>
    <xf numFmtId="0" fontId="71" fillId="21" borderId="0" xfId="0" applyFont="1" applyFill="1" applyBorder="1" applyAlignment="1" applyProtection="1">
      <alignment horizontal="left" vertical="center"/>
      <protection hidden="1"/>
    </xf>
    <xf numFmtId="0" fontId="66" fillId="21" borderId="5" xfId="0" applyFont="1" applyFill="1" applyBorder="1" applyAlignment="1" applyProtection="1">
      <alignment horizontal="left" vertical="center" wrapText="1"/>
      <protection hidden="1"/>
    </xf>
    <xf numFmtId="0" fontId="66" fillId="21" borderId="0" xfId="0" applyFont="1" applyFill="1" applyBorder="1" applyAlignment="1" applyProtection="1">
      <alignment horizontal="left" vertical="center" wrapText="1"/>
      <protection hidden="1"/>
    </xf>
    <xf numFmtId="0" fontId="71" fillId="21" borderId="52" xfId="0" applyFont="1" applyFill="1" applyBorder="1" applyAlignment="1" applyProtection="1">
      <alignment horizontal="left" vertical="center"/>
      <protection hidden="1"/>
    </xf>
    <xf numFmtId="0" fontId="70" fillId="21" borderId="82" xfId="0" applyFont="1" applyFill="1" applyBorder="1" applyAlignment="1" applyProtection="1">
      <alignment horizontal="left" vertical="center"/>
      <protection hidden="1"/>
    </xf>
    <xf numFmtId="0" fontId="66" fillId="21" borderId="161" xfId="0" applyFont="1" applyFill="1" applyBorder="1" applyAlignment="1" applyProtection="1">
      <alignment horizontal="left" vertical="center"/>
      <protection hidden="1"/>
    </xf>
    <xf numFmtId="0" fontId="70" fillId="21" borderId="52" xfId="0" applyFont="1" applyFill="1" applyBorder="1" applyAlignment="1" applyProtection="1">
      <alignment horizontal="left" vertical="center"/>
      <protection hidden="1"/>
    </xf>
    <xf numFmtId="0" fontId="0" fillId="21" borderId="52" xfId="0" applyFill="1" applyBorder="1" applyProtection="1">
      <alignment vertical="center"/>
      <protection hidden="1"/>
    </xf>
    <xf numFmtId="0" fontId="66" fillId="21" borderId="5" xfId="0" applyFont="1" applyFill="1" applyBorder="1" applyAlignment="1" applyProtection="1">
      <alignment horizontal="left"/>
      <protection hidden="1"/>
    </xf>
    <xf numFmtId="0" fontId="66" fillId="21" borderId="5" xfId="0" applyFont="1" applyFill="1" applyBorder="1" applyAlignment="1" applyProtection="1">
      <alignment horizontal="center" vertical="top" wrapText="1"/>
      <protection hidden="1"/>
    </xf>
    <xf numFmtId="0" fontId="66" fillId="21" borderId="0" xfId="0" applyFont="1" applyFill="1" applyBorder="1" applyAlignment="1" applyProtection="1">
      <alignment horizontal="center" vertical="top" wrapText="1"/>
      <protection hidden="1"/>
    </xf>
    <xf numFmtId="0" fontId="66" fillId="21" borderId="186" xfId="0" applyFont="1" applyFill="1" applyBorder="1" applyAlignment="1" applyProtection="1">
      <alignment horizontal="left" vertical="center"/>
      <protection hidden="1"/>
    </xf>
    <xf numFmtId="0" fontId="66" fillId="21" borderId="187" xfId="0" applyFont="1" applyFill="1" applyBorder="1" applyAlignment="1" applyProtection="1">
      <alignment horizontal="left" vertical="center"/>
      <protection hidden="1"/>
    </xf>
    <xf numFmtId="0" fontId="66" fillId="21" borderId="51" xfId="0" applyFont="1" applyFill="1" applyBorder="1" applyAlignment="1" applyProtection="1">
      <alignment horizontal="center" vertical="center"/>
      <protection hidden="1"/>
    </xf>
    <xf numFmtId="0" fontId="70" fillId="21" borderId="0" xfId="0" applyFont="1" applyFill="1" applyBorder="1" applyAlignment="1" applyProtection="1">
      <alignment horizontal="left" vertical="center"/>
      <protection hidden="1"/>
    </xf>
    <xf numFmtId="0" fontId="0" fillId="21" borderId="5" xfId="0" applyFill="1" applyBorder="1" applyProtection="1">
      <alignment vertical="center"/>
      <protection hidden="1"/>
    </xf>
    <xf numFmtId="0" fontId="73" fillId="21" borderId="28" xfId="2" applyFont="1" applyFill="1" applyBorder="1" applyAlignment="1" applyProtection="1">
      <protection hidden="1"/>
    </xf>
    <xf numFmtId="0" fontId="10" fillId="21" borderId="2" xfId="2" applyFill="1" applyBorder="1" applyProtection="1">
      <alignment vertical="center"/>
      <protection hidden="1"/>
    </xf>
    <xf numFmtId="0" fontId="74" fillId="21" borderId="2" xfId="2" applyFont="1" applyFill="1" applyBorder="1" applyProtection="1">
      <alignment vertical="center"/>
      <protection hidden="1"/>
    </xf>
    <xf numFmtId="0" fontId="0" fillId="21" borderId="2" xfId="0" applyFill="1" applyBorder="1" applyProtection="1">
      <alignment vertical="center"/>
      <protection hidden="1"/>
    </xf>
    <xf numFmtId="0" fontId="0" fillId="21" borderId="11" xfId="0" applyFill="1" applyBorder="1" applyProtection="1">
      <alignment vertical="center"/>
      <protection hidden="1"/>
    </xf>
    <xf numFmtId="0" fontId="66" fillId="0" borderId="0" xfId="0" applyFont="1" applyBorder="1" applyProtection="1">
      <alignment vertical="center"/>
      <protection hidden="1"/>
    </xf>
    <xf numFmtId="0" fontId="75" fillId="0" borderId="3" xfId="2" applyFont="1" applyBorder="1" applyProtection="1">
      <alignment vertical="center"/>
      <protection hidden="1"/>
    </xf>
    <xf numFmtId="0" fontId="75" fillId="0" borderId="1" xfId="2" applyFont="1" applyBorder="1" applyProtection="1">
      <alignment vertical="center"/>
      <protection hidden="1"/>
    </xf>
    <xf numFmtId="0" fontId="60" fillId="0" borderId="1" xfId="2" applyFont="1" applyBorder="1" applyAlignment="1" applyProtection="1">
      <alignment vertical="top"/>
      <protection hidden="1"/>
    </xf>
    <xf numFmtId="0" fontId="76" fillId="0" borderId="3" xfId="2" applyFont="1" applyBorder="1" applyAlignment="1" applyProtection="1">
      <alignment horizontal="left" vertical="center" wrapText="1"/>
      <protection hidden="1"/>
    </xf>
    <xf numFmtId="0" fontId="76" fillId="0" borderId="1" xfId="2" applyFont="1" applyBorder="1" applyAlignment="1" applyProtection="1">
      <alignment horizontal="left" vertical="center"/>
      <protection hidden="1"/>
    </xf>
    <xf numFmtId="0" fontId="55" fillId="0" borderId="1" xfId="7" applyBorder="1" applyProtection="1">
      <protection hidden="1"/>
    </xf>
    <xf numFmtId="0" fontId="75" fillId="0" borderId="5" xfId="2" applyFont="1" applyBorder="1" applyProtection="1">
      <alignment vertical="center"/>
      <protection hidden="1"/>
    </xf>
    <xf numFmtId="0" fontId="75" fillId="0" borderId="0" xfId="2" applyFont="1" applyBorder="1" applyProtection="1">
      <alignment vertical="center"/>
      <protection hidden="1"/>
    </xf>
    <xf numFmtId="0" fontId="60" fillId="0" borderId="0" xfId="2" applyFont="1" applyBorder="1" applyAlignment="1" applyProtection="1">
      <alignment vertical="top"/>
      <protection hidden="1"/>
    </xf>
    <xf numFmtId="0" fontId="76" fillId="0" borderId="5" xfId="2" applyFont="1" applyBorder="1" applyAlignment="1" applyProtection="1">
      <alignment horizontal="left" vertical="center"/>
      <protection hidden="1"/>
    </xf>
    <xf numFmtId="0" fontId="76" fillId="0" borderId="0" xfId="2" applyFont="1" applyBorder="1" applyAlignment="1" applyProtection="1">
      <alignment horizontal="left" vertical="center"/>
      <protection hidden="1"/>
    </xf>
    <xf numFmtId="0" fontId="76" fillId="0" borderId="28" xfId="2" applyFont="1" applyBorder="1" applyAlignment="1" applyProtection="1">
      <alignment horizontal="left" vertical="center"/>
      <protection hidden="1"/>
    </xf>
    <xf numFmtId="0" fontId="76" fillId="0" borderId="2" xfId="2" applyFont="1" applyBorder="1" applyAlignment="1" applyProtection="1">
      <alignment horizontal="left" vertical="center"/>
      <protection hidden="1"/>
    </xf>
    <xf numFmtId="0" fontId="68" fillId="0" borderId="2" xfId="2" applyFont="1" applyBorder="1" applyAlignment="1" applyProtection="1">
      <alignment horizontal="left" vertical="center" wrapText="1"/>
      <protection hidden="1"/>
    </xf>
    <xf numFmtId="0" fontId="55" fillId="0" borderId="2" xfId="7" applyBorder="1" applyProtection="1">
      <protection hidden="1"/>
    </xf>
    <xf numFmtId="0" fontId="55" fillId="0" borderId="11" xfId="7" applyBorder="1" applyProtection="1">
      <protection hidden="1"/>
    </xf>
    <xf numFmtId="0" fontId="73" fillId="0" borderId="54" xfId="7" applyFont="1" applyBorder="1" applyProtection="1">
      <protection hidden="1"/>
    </xf>
    <xf numFmtId="0" fontId="55" fillId="0" borderId="53" xfId="7" applyBorder="1" applyProtection="1">
      <protection hidden="1"/>
    </xf>
    <xf numFmtId="0" fontId="68" fillId="0" borderId="53" xfId="2" applyFont="1" applyBorder="1" applyAlignment="1" applyProtection="1">
      <alignment horizontal="left" vertical="center" wrapText="1"/>
      <protection hidden="1"/>
    </xf>
    <xf numFmtId="0" fontId="55" fillId="0" borderId="69" xfId="7" applyBorder="1" applyProtection="1">
      <protection hidden="1"/>
    </xf>
    <xf numFmtId="0" fontId="73" fillId="0" borderId="0" xfId="2" applyFont="1" applyBorder="1" applyProtection="1">
      <alignment vertical="center"/>
      <protection hidden="1"/>
    </xf>
    <xf numFmtId="0" fontId="68" fillId="0" borderId="0" xfId="2" applyFont="1" applyBorder="1" applyAlignment="1" applyProtection="1">
      <alignment horizontal="left" vertical="center" wrapText="1"/>
      <protection hidden="1"/>
    </xf>
    <xf numFmtId="0" fontId="77" fillId="0" borderId="0" xfId="0" applyFont="1" applyBorder="1" applyAlignment="1" applyProtection="1">
      <alignment horizontal="center" vertical="center"/>
      <protection hidden="1"/>
    </xf>
    <xf numFmtId="0" fontId="55" fillId="0" borderId="28" xfId="7" applyBorder="1" applyProtection="1">
      <protection hidden="1"/>
    </xf>
    <xf numFmtId="0" fontId="77" fillId="0" borderId="2" xfId="0" applyFont="1" applyBorder="1" applyAlignment="1" applyProtection="1">
      <alignment horizontal="center" vertical="center"/>
      <protection hidden="1"/>
    </xf>
    <xf numFmtId="0" fontId="78" fillId="0" borderId="0" xfId="2" applyFont="1" applyBorder="1" applyAlignment="1" applyProtection="1">
      <alignment horizontal="right" vertical="center"/>
      <protection hidden="1"/>
    </xf>
    <xf numFmtId="0" fontId="73" fillId="0" borderId="0" xfId="7" applyFont="1" applyBorder="1" applyAlignment="1" applyProtection="1">
      <alignment horizontal="right" vertical="top"/>
      <protection hidden="1"/>
    </xf>
    <xf numFmtId="0" fontId="79" fillId="0" borderId="0" xfId="7" applyFont="1" applyBorder="1" applyAlignment="1" applyProtection="1">
      <alignment horizontal="right"/>
      <protection hidden="1"/>
    </xf>
    <xf numFmtId="0" fontId="68" fillId="0" borderId="0" xfId="2" applyFont="1" applyAlignment="1" applyProtection="1">
      <alignment horizontal="left" vertical="center" wrapText="1"/>
      <protection hidden="1"/>
    </xf>
    <xf numFmtId="0" fontId="51" fillId="0" borderId="0" xfId="5" applyFont="1" applyFill="1" applyProtection="1">
      <alignment vertical="center"/>
      <protection hidden="1"/>
    </xf>
    <xf numFmtId="0" fontId="7" fillId="0" borderId="0" xfId="5" applyFont="1" applyFill="1" applyProtection="1">
      <alignment vertical="center"/>
      <protection hidden="1"/>
    </xf>
    <xf numFmtId="0" fontId="8" fillId="0" borderId="0" xfId="3" applyFont="1" applyFill="1" applyBorder="1" applyAlignment="1" applyProtection="1">
      <alignment horizontal="left" vertical="center"/>
      <protection hidden="1"/>
    </xf>
    <xf numFmtId="0" fontId="7" fillId="0" borderId="0" xfId="5" applyFont="1" applyProtection="1">
      <alignment vertical="center"/>
      <protection hidden="1"/>
    </xf>
    <xf numFmtId="0" fontId="8" fillId="0" borderId="10" xfId="5" applyFont="1" applyBorder="1" applyProtection="1">
      <alignment vertical="center"/>
      <protection hidden="1"/>
    </xf>
    <xf numFmtId="0" fontId="8" fillId="0" borderId="7" xfId="5" applyNumberFormat="1" applyFont="1" applyBorder="1" applyAlignment="1" applyProtection="1">
      <alignment horizontal="right" vertical="center"/>
      <protection hidden="1"/>
    </xf>
    <xf numFmtId="0" fontId="8" fillId="0" borderId="8" xfId="5" applyFont="1" applyBorder="1" applyAlignment="1" applyProtection="1">
      <alignment horizontal="left" vertical="center"/>
      <protection hidden="1"/>
    </xf>
    <xf numFmtId="0" fontId="43" fillId="0" borderId="0" xfId="5" applyFont="1" applyFill="1" applyAlignment="1" applyProtection="1">
      <alignment horizontal="right" vertical="center"/>
      <protection hidden="1"/>
    </xf>
    <xf numFmtId="0" fontId="7" fillId="0" borderId="0" xfId="5" applyFont="1" applyFill="1" applyAlignment="1" applyProtection="1">
      <alignment vertical="center"/>
      <protection hidden="1"/>
    </xf>
    <xf numFmtId="0" fontId="7" fillId="0" borderId="0" xfId="5" applyFont="1" applyFill="1" applyAlignment="1" applyProtection="1">
      <alignment horizontal="center" vertical="center"/>
      <protection hidden="1"/>
    </xf>
    <xf numFmtId="0" fontId="7" fillId="0" borderId="0" xfId="5" applyFont="1" applyFill="1" applyBorder="1" applyAlignment="1" applyProtection="1">
      <alignment vertical="center"/>
      <protection hidden="1"/>
    </xf>
    <xf numFmtId="0" fontId="8" fillId="0" borderId="0" xfId="3" applyFont="1" applyFill="1" applyAlignment="1" applyProtection="1">
      <protection hidden="1"/>
    </xf>
    <xf numFmtId="0" fontId="8" fillId="0" borderId="0" xfId="3" applyFont="1" applyFill="1" applyBorder="1" applyAlignment="1" applyProtection="1">
      <protection hidden="1"/>
    </xf>
    <xf numFmtId="0" fontId="8" fillId="0" borderId="0" xfId="3" applyFont="1" applyFill="1" applyBorder="1" applyAlignment="1" applyProtection="1">
      <alignment horizontal="left"/>
      <protection hidden="1"/>
    </xf>
    <xf numFmtId="0" fontId="8" fillId="0" borderId="0" xfId="3" applyFont="1" applyFill="1" applyAlignment="1" applyProtection="1">
      <alignment horizontal="left"/>
      <protection hidden="1"/>
    </xf>
    <xf numFmtId="0" fontId="34" fillId="0" borderId="0" xfId="3" applyFont="1" applyFill="1" applyBorder="1" applyAlignment="1" applyProtection="1">
      <alignment vertical="center"/>
      <protection hidden="1"/>
    </xf>
    <xf numFmtId="0" fontId="38" fillId="0" borderId="0" xfId="3" applyFont="1" applyFill="1" applyBorder="1" applyAlignment="1" applyProtection="1">
      <alignment vertical="center"/>
      <protection hidden="1"/>
    </xf>
    <xf numFmtId="0" fontId="7" fillId="0" borderId="0" xfId="3" applyFont="1" applyFill="1" applyBorder="1" applyAlignment="1" applyProtection="1">
      <alignment vertical="center"/>
      <protection hidden="1"/>
    </xf>
    <xf numFmtId="0" fontId="7" fillId="0" borderId="0" xfId="3" applyFont="1" applyFill="1" applyAlignment="1" applyProtection="1">
      <protection hidden="1"/>
    </xf>
    <xf numFmtId="0" fontId="7" fillId="0" borderId="0" xfId="3" applyFont="1" applyFill="1" applyAlignment="1" applyProtection="1">
      <alignment horizontal="right"/>
      <protection hidden="1"/>
    </xf>
    <xf numFmtId="0" fontId="7" fillId="0" borderId="0" xfId="3" applyFont="1" applyFill="1" applyAlignment="1" applyProtection="1">
      <alignment shrinkToFit="1"/>
      <protection hidden="1"/>
    </xf>
    <xf numFmtId="0" fontId="7" fillId="0" borderId="0" xfId="3" applyFont="1" applyFill="1" applyAlignment="1" applyProtection="1">
      <alignment horizontal="left"/>
      <protection hidden="1"/>
    </xf>
    <xf numFmtId="0" fontId="7" fillId="0" borderId="0" xfId="3" applyFont="1" applyFill="1" applyAlignment="1" applyProtection="1">
      <alignment horizontal="center"/>
      <protection hidden="1"/>
    </xf>
    <xf numFmtId="0" fontId="39" fillId="0" borderId="0" xfId="3" applyFont="1" applyFill="1" applyBorder="1" applyAlignment="1" applyProtection="1">
      <alignment vertical="center"/>
      <protection hidden="1"/>
    </xf>
    <xf numFmtId="0" fontId="34" fillId="0" borderId="0" xfId="3" applyFont="1" applyFill="1" applyBorder="1" applyAlignment="1" applyProtection="1">
      <alignment vertical="center" shrinkToFit="1"/>
      <protection hidden="1"/>
    </xf>
    <xf numFmtId="0" fontId="7" fillId="0" borderId="0" xfId="5" applyFont="1" applyFill="1" applyBorder="1" applyProtection="1">
      <alignment vertical="center"/>
      <protection hidden="1"/>
    </xf>
    <xf numFmtId="0" fontId="34" fillId="0" borderId="4" xfId="3" applyFont="1" applyFill="1" applyBorder="1" applyAlignment="1" applyProtection="1">
      <alignment horizontal="center" vertical="center"/>
      <protection hidden="1"/>
    </xf>
    <xf numFmtId="0" fontId="7" fillId="0" borderId="0" xfId="5" applyFont="1" applyFill="1" applyAlignment="1" applyProtection="1">
      <alignment horizontal="right" vertical="center"/>
      <protection hidden="1"/>
    </xf>
    <xf numFmtId="0" fontId="7" fillId="0" borderId="0" xfId="5" applyFont="1" applyFill="1" applyAlignment="1" applyProtection="1">
      <alignment horizontal="left" vertical="center"/>
      <protection hidden="1"/>
    </xf>
    <xf numFmtId="0" fontId="37" fillId="0" borderId="4" xfId="0" applyFont="1" applyFill="1" applyBorder="1" applyAlignment="1" applyProtection="1">
      <alignment horizontal="center" vertical="center"/>
      <protection hidden="1"/>
    </xf>
    <xf numFmtId="0" fontId="7" fillId="0" borderId="0" xfId="5" applyFont="1" applyFill="1" applyBorder="1" applyAlignment="1" applyProtection="1">
      <alignment horizontal="center" vertical="center"/>
      <protection hidden="1"/>
    </xf>
    <xf numFmtId="0" fontId="35" fillId="0" borderId="0" xfId="0" applyFont="1" applyFill="1" applyBorder="1" applyProtection="1">
      <alignment vertical="center"/>
      <protection hidden="1"/>
    </xf>
    <xf numFmtId="0" fontId="38" fillId="0" borderId="0" xfId="3" applyFont="1" applyFill="1" applyAlignment="1" applyProtection="1">
      <alignment vertical="top" wrapText="1"/>
      <protection hidden="1"/>
    </xf>
    <xf numFmtId="0" fontId="38" fillId="0" borderId="0" xfId="3" applyFont="1" applyFill="1" applyAlignment="1" applyProtection="1">
      <alignment horizontal="center" vertical="top" wrapText="1"/>
      <protection hidden="1"/>
    </xf>
    <xf numFmtId="0" fontId="39" fillId="0" borderId="0" xfId="5" applyFont="1" applyFill="1" applyAlignment="1" applyProtection="1">
      <alignment vertical="center" shrinkToFit="1"/>
      <protection hidden="1"/>
    </xf>
    <xf numFmtId="0" fontId="39" fillId="0" borderId="0" xfId="5" applyFont="1" applyFill="1" applyAlignment="1" applyProtection="1">
      <alignment vertical="center"/>
      <protection hidden="1"/>
    </xf>
    <xf numFmtId="0" fontId="8" fillId="0" borderId="0" xfId="3" applyFont="1" applyFill="1" applyBorder="1" applyAlignment="1" applyProtection="1">
      <alignment vertical="center" shrinkToFit="1"/>
      <protection hidden="1"/>
    </xf>
    <xf numFmtId="0" fontId="7" fillId="0" borderId="80" xfId="5" applyFont="1" applyFill="1" applyBorder="1" applyProtection="1">
      <alignment vertical="center"/>
      <protection hidden="1"/>
    </xf>
    <xf numFmtId="0" fontId="8" fillId="0" borderId="0" xfId="5" applyFont="1" applyFill="1" applyProtection="1">
      <alignment vertical="center"/>
      <protection hidden="1"/>
    </xf>
    <xf numFmtId="0" fontId="8" fillId="0" borderId="0" xfId="3" applyFont="1" applyFill="1" applyProtection="1">
      <protection hidden="1"/>
    </xf>
    <xf numFmtId="0" fontId="8" fillId="0" borderId="0" xfId="5" applyFont="1" applyFill="1" applyBorder="1" applyAlignment="1" applyProtection="1">
      <alignment vertical="center"/>
      <protection hidden="1"/>
    </xf>
    <xf numFmtId="0" fontId="35" fillId="0" borderId="37" xfId="0" applyFont="1" applyFill="1" applyBorder="1" applyAlignment="1" applyProtection="1">
      <alignment horizontal="left" vertical="center"/>
      <protection hidden="1"/>
    </xf>
    <xf numFmtId="0" fontId="35" fillId="0" borderId="38" xfId="0" applyFont="1" applyFill="1" applyBorder="1" applyAlignment="1" applyProtection="1">
      <alignment horizontal="left" vertical="center"/>
      <protection hidden="1"/>
    </xf>
    <xf numFmtId="0" fontId="8" fillId="0" borderId="45" xfId="5" applyFont="1" applyFill="1" applyBorder="1" applyProtection="1">
      <alignment vertical="center"/>
      <protection hidden="1"/>
    </xf>
    <xf numFmtId="0" fontId="35" fillId="0" borderId="44" xfId="0" applyFont="1" applyFill="1" applyBorder="1" applyProtection="1">
      <alignment vertical="center"/>
      <protection hidden="1"/>
    </xf>
    <xf numFmtId="0" fontId="35" fillId="0" borderId="38" xfId="0" applyFont="1" applyFill="1" applyBorder="1" applyProtection="1">
      <alignment vertical="center"/>
      <protection hidden="1"/>
    </xf>
    <xf numFmtId="0" fontId="8" fillId="0" borderId="38" xfId="5" applyFont="1" applyFill="1" applyBorder="1" applyProtection="1">
      <alignment vertical="center"/>
      <protection hidden="1"/>
    </xf>
    <xf numFmtId="0" fontId="37" fillId="0" borderId="68" xfId="0" applyFont="1" applyFill="1" applyBorder="1" applyAlignment="1" applyProtection="1">
      <alignment horizontal="center" vertical="center"/>
      <protection hidden="1"/>
    </xf>
    <xf numFmtId="0" fontId="35" fillId="0" borderId="50" xfId="0" applyFont="1" applyFill="1" applyBorder="1" applyProtection="1">
      <alignment vertical="center"/>
      <protection hidden="1"/>
    </xf>
    <xf numFmtId="0" fontId="34" fillId="0" borderId="0" xfId="3" applyFont="1" applyFill="1" applyBorder="1" applyAlignment="1" applyProtection="1">
      <alignment horizontal="center" vertical="center" wrapText="1" shrinkToFit="1"/>
      <protection hidden="1"/>
    </xf>
    <xf numFmtId="0" fontId="35" fillId="0" borderId="23" xfId="0" applyFont="1" applyFill="1" applyBorder="1" applyAlignment="1" applyProtection="1">
      <alignment horizontal="left" vertical="center"/>
      <protection hidden="1"/>
    </xf>
    <xf numFmtId="0" fontId="35" fillId="0" borderId="0" xfId="0" applyFont="1" applyFill="1" applyBorder="1" applyAlignment="1" applyProtection="1">
      <alignment horizontal="left" vertical="center"/>
      <protection hidden="1"/>
    </xf>
    <xf numFmtId="0" fontId="8" fillId="0" borderId="10" xfId="5" applyFont="1" applyFill="1" applyBorder="1" applyProtection="1">
      <alignment vertical="center"/>
      <protection hidden="1"/>
    </xf>
    <xf numFmtId="0" fontId="35" fillId="0" borderId="5" xfId="0" applyFont="1" applyFill="1" applyBorder="1" applyProtection="1">
      <alignment vertical="center"/>
      <protection hidden="1"/>
    </xf>
    <xf numFmtId="0" fontId="37" fillId="0" borderId="33" xfId="0" applyFont="1" applyFill="1" applyBorder="1" applyAlignment="1" applyProtection="1">
      <alignment horizontal="center" vertical="center"/>
      <protection hidden="1"/>
    </xf>
    <xf numFmtId="0" fontId="35" fillId="0" borderId="22" xfId="0" applyFont="1" applyFill="1" applyBorder="1" applyProtection="1">
      <alignment vertical="center"/>
      <protection hidden="1"/>
    </xf>
    <xf numFmtId="0" fontId="8" fillId="0" borderId="0" xfId="3" applyFont="1" applyFill="1" applyBorder="1" applyProtection="1">
      <protection hidden="1"/>
    </xf>
    <xf numFmtId="0" fontId="8" fillId="0" borderId="0" xfId="5" applyFont="1" applyFill="1" applyAlignment="1" applyProtection="1">
      <alignment horizontal="left" vertical="center"/>
      <protection hidden="1"/>
    </xf>
    <xf numFmtId="0" fontId="35" fillId="0" borderId="5" xfId="0" applyFont="1" applyFill="1" applyBorder="1" applyAlignment="1" applyProtection="1">
      <alignment vertical="center" shrinkToFit="1"/>
      <protection hidden="1"/>
    </xf>
    <xf numFmtId="0" fontId="0" fillId="0" borderId="0" xfId="0" applyBorder="1" applyAlignment="1" applyProtection="1">
      <alignment vertical="center" shrinkToFit="1"/>
      <protection hidden="1"/>
    </xf>
    <xf numFmtId="0" fontId="0" fillId="0" borderId="10" xfId="0" applyBorder="1" applyAlignment="1" applyProtection="1">
      <alignment vertical="center" shrinkToFit="1"/>
      <protection hidden="1"/>
    </xf>
    <xf numFmtId="0" fontId="35" fillId="0" borderId="28" xfId="0" applyFont="1" applyFill="1" applyBorder="1" applyProtection="1">
      <alignment vertical="center"/>
      <protection hidden="1"/>
    </xf>
    <xf numFmtId="0" fontId="35" fillId="0" borderId="2" xfId="0" applyFont="1" applyFill="1" applyBorder="1" applyProtection="1">
      <alignment vertical="center"/>
      <protection hidden="1"/>
    </xf>
    <xf numFmtId="0" fontId="8" fillId="0" borderId="11" xfId="5" applyFont="1" applyFill="1" applyBorder="1" applyProtection="1">
      <alignment vertical="center"/>
      <protection hidden="1"/>
    </xf>
    <xf numFmtId="0" fontId="35" fillId="0" borderId="1" xfId="0" applyFont="1" applyFill="1" applyBorder="1" applyProtection="1">
      <alignment vertical="center"/>
      <protection hidden="1"/>
    </xf>
    <xf numFmtId="0" fontId="8" fillId="0" borderId="1" xfId="5" applyFont="1" applyFill="1" applyBorder="1" applyProtection="1">
      <alignment vertical="center"/>
      <protection hidden="1"/>
    </xf>
    <xf numFmtId="0" fontId="0" fillId="0" borderId="1" xfId="0" applyBorder="1" applyAlignment="1" applyProtection="1">
      <alignment vertical="top"/>
      <protection hidden="1"/>
    </xf>
    <xf numFmtId="0" fontId="8" fillId="0" borderId="0" xfId="5" applyFont="1" applyFill="1" applyBorder="1" applyProtection="1">
      <alignment vertical="center"/>
      <protection hidden="1"/>
    </xf>
    <xf numFmtId="0" fontId="0" fillId="0" borderId="0" xfId="0" applyBorder="1" applyAlignment="1" applyProtection="1">
      <alignment vertical="top"/>
      <protection hidden="1"/>
    </xf>
    <xf numFmtId="0" fontId="9" fillId="0" borderId="0" xfId="3" applyFont="1" applyFill="1" applyBorder="1" applyAlignment="1" applyProtection="1">
      <alignment vertical="center"/>
      <protection hidden="1"/>
    </xf>
    <xf numFmtId="0" fontId="28" fillId="0" borderId="0" xfId="3" applyFont="1" applyFill="1" applyBorder="1" applyAlignment="1" applyProtection="1">
      <alignment vertical="center"/>
      <protection hidden="1"/>
    </xf>
    <xf numFmtId="0" fontId="35" fillId="0" borderId="0" xfId="0" applyFont="1" applyFill="1" applyBorder="1" applyAlignment="1" applyProtection="1">
      <alignment vertical="center"/>
      <protection hidden="1"/>
    </xf>
    <xf numFmtId="0" fontId="35" fillId="0" borderId="0" xfId="0" applyFont="1" applyFill="1" applyBorder="1" applyAlignment="1" applyProtection="1">
      <alignment vertical="top"/>
      <protection hidden="1"/>
    </xf>
    <xf numFmtId="0" fontId="32" fillId="0" borderId="0" xfId="3" applyFont="1" applyFill="1" applyProtection="1">
      <protection hidden="1"/>
    </xf>
    <xf numFmtId="0" fontId="32" fillId="0" borderId="0" xfId="5" applyFont="1" applyFill="1" applyProtection="1">
      <alignment vertical="center"/>
      <protection hidden="1"/>
    </xf>
    <xf numFmtId="0" fontId="34" fillId="0" borderId="0" xfId="3" applyFont="1" applyFill="1" applyBorder="1" applyAlignment="1" applyProtection="1">
      <alignment horizontal="center" vertical="center"/>
      <protection hidden="1"/>
    </xf>
    <xf numFmtId="0" fontId="7" fillId="0" borderId="0" xfId="3" applyFont="1" applyFill="1" applyProtection="1">
      <protection hidden="1"/>
    </xf>
    <xf numFmtId="0" fontId="38" fillId="0" borderId="0" xfId="3" applyFont="1" applyFill="1" applyBorder="1" applyAlignment="1" applyProtection="1">
      <alignment horizontal="left" vertical="center"/>
      <protection hidden="1"/>
    </xf>
    <xf numFmtId="0" fontId="7" fillId="0" borderId="0" xfId="3" applyFont="1" applyFill="1" applyBorder="1" applyAlignment="1" applyProtection="1">
      <alignment horizontal="left" vertical="center"/>
      <protection hidden="1"/>
    </xf>
    <xf numFmtId="0" fontId="32" fillId="0" borderId="0" xfId="5" applyFont="1" applyFill="1" applyAlignment="1" applyProtection="1">
      <alignment horizontal="right" vertical="center"/>
      <protection hidden="1"/>
    </xf>
    <xf numFmtId="0" fontId="7" fillId="0" borderId="0" xfId="3" applyFont="1" applyFill="1" applyBorder="1" applyAlignment="1" applyProtection="1">
      <protection hidden="1"/>
    </xf>
    <xf numFmtId="0" fontId="31" fillId="0" borderId="91" xfId="0" applyFont="1" applyFill="1" applyBorder="1" applyAlignment="1" applyProtection="1">
      <alignment vertical="center" shrinkToFit="1"/>
      <protection hidden="1"/>
    </xf>
    <xf numFmtId="0" fontId="31" fillId="0" borderId="0" xfId="0" applyFont="1" applyFill="1" applyBorder="1" applyAlignment="1" applyProtection="1">
      <alignment horizontal="left" vertical="center"/>
      <protection hidden="1"/>
    </xf>
    <xf numFmtId="0" fontId="31" fillId="0" borderId="10" xfId="0" applyFont="1" applyFill="1" applyBorder="1" applyAlignment="1" applyProtection="1">
      <alignment vertical="center" shrinkToFit="1"/>
      <protection hidden="1"/>
    </xf>
    <xf numFmtId="0" fontId="31" fillId="0" borderId="11" xfId="0" applyFont="1" applyFill="1" applyBorder="1" applyAlignment="1" applyProtection="1">
      <alignment vertical="center" shrinkToFit="1"/>
      <protection hidden="1"/>
    </xf>
    <xf numFmtId="0" fontId="31" fillId="0" borderId="1" xfId="0" applyFont="1" applyFill="1" applyBorder="1" applyAlignment="1" applyProtection="1">
      <alignment horizontal="left" vertical="center"/>
      <protection hidden="1"/>
    </xf>
    <xf numFmtId="0" fontId="31" fillId="0" borderId="6" xfId="0" applyFont="1" applyFill="1" applyBorder="1" applyAlignment="1" applyProtection="1">
      <alignment vertical="center" shrinkToFit="1"/>
      <protection hidden="1"/>
    </xf>
    <xf numFmtId="0" fontId="31" fillId="0" borderId="2" xfId="0" applyFont="1" applyFill="1" applyBorder="1" applyAlignment="1" applyProtection="1">
      <alignment horizontal="left" vertical="center"/>
      <protection hidden="1"/>
    </xf>
    <xf numFmtId="0" fontId="31" fillId="0" borderId="3" xfId="0" applyFont="1" applyFill="1" applyBorder="1" applyAlignment="1" applyProtection="1">
      <alignment horizontal="left" vertical="center"/>
      <protection hidden="1"/>
    </xf>
    <xf numFmtId="0" fontId="31" fillId="0" borderId="5" xfId="0" applyFont="1" applyFill="1" applyBorder="1" applyAlignment="1" applyProtection="1">
      <alignment horizontal="left" vertical="center"/>
      <protection hidden="1"/>
    </xf>
    <xf numFmtId="0" fontId="0" fillId="0" borderId="0" xfId="0" applyAlignment="1" applyProtection="1">
      <alignment horizontal="right" vertical="center"/>
      <protection hidden="1"/>
    </xf>
    <xf numFmtId="0" fontId="34" fillId="0" borderId="0" xfId="3" applyFont="1" applyFill="1" applyBorder="1" applyAlignment="1" applyProtection="1">
      <alignment horizontal="left" vertical="center"/>
      <protection hidden="1"/>
    </xf>
    <xf numFmtId="0" fontId="31" fillId="0" borderId="28" xfId="0" applyFont="1" applyFill="1" applyBorder="1" applyAlignment="1" applyProtection="1">
      <alignment horizontal="left" vertical="center"/>
      <protection hidden="1"/>
    </xf>
    <xf numFmtId="0" fontId="11" fillId="0" borderId="0" xfId="1" applyFill="1" applyAlignment="1" applyProtection="1">
      <alignment horizontal="center" vertical="center"/>
      <protection hidden="1"/>
    </xf>
    <xf numFmtId="0" fontId="7" fillId="0" borderId="0" xfId="5" applyNumberFormat="1" applyFont="1" applyFill="1" applyBorder="1" applyAlignment="1" applyProtection="1">
      <alignment vertical="center"/>
      <protection hidden="1"/>
    </xf>
    <xf numFmtId="0" fontId="35" fillId="0" borderId="0" xfId="0" applyFont="1" applyFill="1" applyBorder="1" applyAlignment="1" applyProtection="1">
      <alignment vertical="center" shrinkToFit="1"/>
      <protection hidden="1"/>
    </xf>
    <xf numFmtId="0" fontId="35" fillId="0" borderId="10" xfId="0" applyFont="1" applyFill="1" applyBorder="1" applyAlignment="1" applyProtection="1">
      <alignment vertical="center" shrinkToFit="1"/>
      <protection hidden="1"/>
    </xf>
    <xf numFmtId="0" fontId="35" fillId="0" borderId="28" xfId="0" applyFont="1" applyFill="1" applyBorder="1" applyAlignment="1" applyProtection="1">
      <alignment vertical="center" shrinkToFit="1"/>
      <protection hidden="1"/>
    </xf>
    <xf numFmtId="0" fontId="35" fillId="0" borderId="2" xfId="0" applyFont="1" applyFill="1" applyBorder="1" applyAlignment="1" applyProtection="1">
      <alignment vertical="center" shrinkToFit="1"/>
      <protection hidden="1"/>
    </xf>
    <xf numFmtId="0" fontId="35" fillId="0" borderId="11" xfId="0" applyFont="1" applyFill="1" applyBorder="1" applyAlignment="1" applyProtection="1">
      <alignment vertical="center" shrinkToFit="1"/>
      <protection hidden="1"/>
    </xf>
    <xf numFmtId="0" fontId="35" fillId="0" borderId="42" xfId="0" applyFont="1" applyFill="1" applyBorder="1" applyProtection="1">
      <alignment vertical="center"/>
      <protection hidden="1"/>
    </xf>
    <xf numFmtId="0" fontId="35" fillId="0" borderId="20" xfId="0" applyFont="1" applyFill="1" applyBorder="1" applyProtection="1">
      <alignment vertical="center"/>
      <protection hidden="1"/>
    </xf>
    <xf numFmtId="0" fontId="8" fillId="0" borderId="43" xfId="5" applyFont="1" applyFill="1" applyBorder="1" applyProtection="1">
      <alignment vertical="center"/>
      <protection hidden="1"/>
    </xf>
    <xf numFmtId="0" fontId="35" fillId="0" borderId="42" xfId="0" applyFont="1" applyFill="1" applyBorder="1" applyAlignment="1" applyProtection="1">
      <alignment vertical="center" shrinkToFit="1"/>
      <protection hidden="1"/>
    </xf>
    <xf numFmtId="0" fontId="35" fillId="0" borderId="20" xfId="0" applyFont="1" applyFill="1" applyBorder="1" applyAlignment="1" applyProtection="1">
      <alignment vertical="center" shrinkToFit="1"/>
      <protection hidden="1"/>
    </xf>
    <xf numFmtId="0" fontId="35" fillId="0" borderId="43" xfId="0" applyFont="1" applyFill="1" applyBorder="1" applyAlignment="1" applyProtection="1">
      <alignment vertical="center" shrinkToFit="1"/>
      <protection hidden="1"/>
    </xf>
    <xf numFmtId="0" fontId="37" fillId="0" borderId="43" xfId="0" applyFont="1" applyFill="1" applyBorder="1" applyAlignment="1" applyProtection="1">
      <alignment horizontal="center" vertical="center"/>
      <protection hidden="1"/>
    </xf>
    <xf numFmtId="0" fontId="35" fillId="0" borderId="20" xfId="0" applyFont="1" applyFill="1" applyBorder="1" applyAlignment="1" applyProtection="1">
      <alignment horizontal="left" vertical="center"/>
      <protection hidden="1"/>
    </xf>
    <xf numFmtId="0" fontId="35" fillId="0" borderId="20" xfId="0" applyFont="1" applyFill="1" applyBorder="1" applyAlignment="1" applyProtection="1">
      <alignment horizontal="right" vertical="center"/>
      <protection hidden="1"/>
    </xf>
    <xf numFmtId="0" fontId="37" fillId="0" borderId="95" xfId="0" applyFont="1" applyFill="1" applyBorder="1" applyAlignment="1" applyProtection="1">
      <alignment horizontal="center" vertical="center"/>
      <protection hidden="1"/>
    </xf>
    <xf numFmtId="0" fontId="35" fillId="0" borderId="43" xfId="0" applyFont="1" applyFill="1" applyBorder="1" applyProtection="1">
      <alignment vertical="center"/>
      <protection hidden="1"/>
    </xf>
    <xf numFmtId="0" fontId="35" fillId="0" borderId="44" xfId="0" applyFont="1" applyFill="1" applyBorder="1" applyAlignment="1" applyProtection="1">
      <alignment horizontal="left" vertical="center"/>
      <protection hidden="1"/>
    </xf>
    <xf numFmtId="0" fontId="35" fillId="0" borderId="44" xfId="0" applyFont="1" applyFill="1" applyBorder="1" applyAlignment="1" applyProtection="1">
      <alignment vertical="center" shrinkToFit="1"/>
      <protection hidden="1"/>
    </xf>
    <xf numFmtId="0" fontId="35" fillId="0" borderId="38" xfId="0" applyFont="1" applyFill="1" applyBorder="1" applyAlignment="1" applyProtection="1">
      <alignment vertical="center" shrinkToFit="1"/>
      <protection hidden="1"/>
    </xf>
    <xf numFmtId="0" fontId="35" fillId="0" borderId="45" xfId="0" applyFont="1" applyFill="1" applyBorder="1" applyAlignment="1" applyProtection="1">
      <alignment vertical="center" shrinkToFit="1"/>
      <protection hidden="1"/>
    </xf>
    <xf numFmtId="0" fontId="37" fillId="0" borderId="46" xfId="0" applyFont="1" applyFill="1" applyBorder="1" applyAlignment="1" applyProtection="1">
      <alignment horizontal="center" vertical="center"/>
      <protection hidden="1"/>
    </xf>
    <xf numFmtId="0" fontId="35" fillId="0" borderId="45" xfId="0" applyFont="1" applyFill="1" applyBorder="1" applyProtection="1">
      <alignment vertical="center"/>
      <protection hidden="1"/>
    </xf>
    <xf numFmtId="0" fontId="35" fillId="0" borderId="5" xfId="0" applyFont="1" applyFill="1" applyBorder="1" applyAlignment="1" applyProtection="1">
      <alignment horizontal="left" vertical="center"/>
      <protection hidden="1"/>
    </xf>
    <xf numFmtId="0" fontId="37" fillId="0" borderId="9" xfId="0" applyFont="1" applyFill="1" applyBorder="1" applyAlignment="1" applyProtection="1">
      <alignment horizontal="center" vertical="center"/>
      <protection hidden="1"/>
    </xf>
    <xf numFmtId="0" fontId="35" fillId="0" borderId="11" xfId="0" applyFont="1" applyFill="1" applyBorder="1" applyProtection="1">
      <alignment vertical="center"/>
      <protection hidden="1"/>
    </xf>
    <xf numFmtId="0" fontId="8" fillId="0" borderId="45" xfId="5" applyFont="1" applyFill="1" applyBorder="1" applyAlignment="1" applyProtection="1">
      <alignment vertical="center"/>
      <protection hidden="1"/>
    </xf>
    <xf numFmtId="0" fontId="8" fillId="0" borderId="10" xfId="5" applyFont="1" applyFill="1" applyBorder="1" applyAlignment="1" applyProtection="1">
      <alignment vertical="center"/>
      <protection hidden="1"/>
    </xf>
    <xf numFmtId="0" fontId="8" fillId="0" borderId="0" xfId="5" applyFont="1" applyFill="1" applyBorder="1" applyAlignment="1" applyProtection="1">
      <alignment horizontal="center" vertical="center"/>
      <protection hidden="1"/>
    </xf>
    <xf numFmtId="0" fontId="34" fillId="0" borderId="0" xfId="3" applyFont="1" applyFill="1" applyBorder="1" applyAlignment="1" applyProtection="1">
      <alignment vertical="center" wrapText="1" shrinkToFit="1"/>
      <protection hidden="1"/>
    </xf>
    <xf numFmtId="0" fontId="35" fillId="0" borderId="25" xfId="0" applyFont="1" applyFill="1" applyBorder="1" applyProtection="1">
      <alignment vertical="center"/>
      <protection hidden="1"/>
    </xf>
    <xf numFmtId="0" fontId="35" fillId="0" borderId="24" xfId="0" applyFont="1" applyFill="1" applyBorder="1" applyProtection="1">
      <alignment vertical="center"/>
      <protection hidden="1"/>
    </xf>
    <xf numFmtId="0" fontId="8" fillId="0" borderId="0" xfId="5" applyFont="1" applyFill="1" applyAlignment="1" applyProtection="1">
      <alignment vertical="center"/>
      <protection hidden="1"/>
    </xf>
    <xf numFmtId="0" fontId="8" fillId="0" borderId="11" xfId="5" applyFont="1" applyFill="1" applyBorder="1" applyAlignment="1" applyProtection="1">
      <alignment vertical="center"/>
      <protection hidden="1"/>
    </xf>
    <xf numFmtId="0" fontId="37" fillId="0" borderId="11" xfId="0" applyFont="1" applyFill="1" applyBorder="1" applyAlignment="1" applyProtection="1">
      <alignment horizontal="center" vertical="center"/>
      <protection hidden="1"/>
    </xf>
    <xf numFmtId="0" fontId="37" fillId="0" borderId="89" xfId="0" applyFont="1" applyFill="1" applyBorder="1" applyAlignment="1" applyProtection="1">
      <alignment horizontal="center" vertical="center"/>
      <protection hidden="1"/>
    </xf>
    <xf numFmtId="0" fontId="35" fillId="0" borderId="10" xfId="0" applyFont="1" applyFill="1" applyBorder="1" applyProtection="1">
      <alignment vertical="center"/>
      <protection hidden="1"/>
    </xf>
    <xf numFmtId="0" fontId="35" fillId="0" borderId="5" xfId="0" applyFont="1" applyFill="1" applyBorder="1" applyAlignment="1" applyProtection="1">
      <alignment vertical="center"/>
      <protection hidden="1"/>
    </xf>
    <xf numFmtId="0" fontId="8" fillId="0" borderId="43" xfId="5" applyFont="1" applyFill="1" applyBorder="1" applyAlignment="1" applyProtection="1">
      <alignment vertical="center"/>
      <protection hidden="1"/>
    </xf>
    <xf numFmtId="179" fontId="34" fillId="0" borderId="0" xfId="3" applyNumberFormat="1" applyFont="1" applyFill="1" applyBorder="1" applyAlignment="1" applyProtection="1">
      <alignment horizontal="center" vertical="center" shrinkToFit="1"/>
      <protection hidden="1"/>
    </xf>
    <xf numFmtId="179" fontId="34" fillId="0" borderId="0" xfId="3" applyNumberFormat="1" applyFont="1" applyFill="1" applyBorder="1" applyAlignment="1" applyProtection="1">
      <alignment horizontal="center" vertical="center" wrapText="1"/>
      <protection hidden="1"/>
    </xf>
    <xf numFmtId="0" fontId="7" fillId="0" borderId="5" xfId="3" applyFont="1" applyFill="1" applyBorder="1" applyProtection="1">
      <protection hidden="1"/>
    </xf>
    <xf numFmtId="0" fontId="7" fillId="0" borderId="0" xfId="5" applyFont="1" applyFill="1" applyAlignment="1" applyProtection="1">
      <alignment vertical="top"/>
      <protection hidden="1"/>
    </xf>
    <xf numFmtId="0" fontId="7" fillId="0" borderId="0" xfId="3" applyFont="1" applyFill="1" applyAlignment="1" applyProtection="1">
      <alignment vertical="top"/>
      <protection hidden="1"/>
    </xf>
    <xf numFmtId="0" fontId="7" fillId="0" borderId="0" xfId="6" applyFont="1" applyFill="1" applyAlignment="1" applyProtection="1">
      <alignment vertical="top"/>
      <protection hidden="1"/>
    </xf>
    <xf numFmtId="0" fontId="7" fillId="0" borderId="0" xfId="6" applyFont="1" applyFill="1" applyAlignment="1" applyProtection="1">
      <alignment vertical="top" wrapText="1"/>
      <protection hidden="1"/>
    </xf>
    <xf numFmtId="0" fontId="7" fillId="0" borderId="0" xfId="3" applyFont="1" applyFill="1" applyAlignment="1" applyProtection="1">
      <alignment horizontal="justify" vertical="top"/>
      <protection hidden="1"/>
    </xf>
    <xf numFmtId="0" fontId="7" fillId="0" borderId="0" xfId="3" applyFont="1" applyFill="1" applyAlignment="1" applyProtection="1">
      <alignment vertical="top" wrapText="1"/>
      <protection hidden="1"/>
    </xf>
    <xf numFmtId="0" fontId="7" fillId="0" borderId="0" xfId="3" applyFont="1" applyFill="1" applyAlignment="1" applyProtection="1">
      <alignment vertical="center"/>
      <protection hidden="1"/>
    </xf>
    <xf numFmtId="0" fontId="40" fillId="0" borderId="0" xfId="3" applyFont="1" applyFill="1" applyProtection="1">
      <protection hidden="1"/>
    </xf>
    <xf numFmtId="0" fontId="31" fillId="0" borderId="0" xfId="3" applyFont="1" applyFill="1" applyProtection="1">
      <protection hidden="1"/>
    </xf>
    <xf numFmtId="0" fontId="7" fillId="0" borderId="0" xfId="5" applyNumberFormat="1" applyFont="1" applyFill="1" applyProtection="1">
      <alignment vertical="center"/>
      <protection hidden="1"/>
    </xf>
    <xf numFmtId="0" fontId="8" fillId="0" borderId="8" xfId="5" applyNumberFormat="1" applyFont="1" applyBorder="1" applyAlignment="1" applyProtection="1">
      <alignment horizontal="right" vertical="center"/>
      <protection hidden="1"/>
    </xf>
    <xf numFmtId="0" fontId="7" fillId="0" borderId="0" xfId="5" applyNumberFormat="1" applyFont="1" applyFill="1" applyAlignment="1" applyProtection="1">
      <alignment vertical="center"/>
      <protection hidden="1"/>
    </xf>
    <xf numFmtId="0" fontId="8" fillId="0" borderId="0" xfId="3" applyFont="1" applyBorder="1" applyAlignment="1" applyProtection="1">
      <alignment horizontal="left" vertical="center"/>
      <protection hidden="1"/>
    </xf>
    <xf numFmtId="0" fontId="34" fillId="0" borderId="4" xfId="3" applyNumberFormat="1" applyFont="1" applyFill="1" applyBorder="1" applyAlignment="1" applyProtection="1">
      <alignment horizontal="center" vertical="center"/>
      <protection hidden="1"/>
    </xf>
    <xf numFmtId="0" fontId="34" fillId="0" borderId="0" xfId="3" applyFont="1" applyFill="1" applyBorder="1" applyAlignment="1" applyProtection="1">
      <alignment horizontal="left" vertical="center" shrinkToFit="1"/>
      <protection hidden="1"/>
    </xf>
    <xf numFmtId="0" fontId="38" fillId="0" borderId="0" xfId="3" applyFont="1" applyAlignment="1" applyProtection="1">
      <alignment vertical="top" wrapText="1"/>
      <protection hidden="1"/>
    </xf>
    <xf numFmtId="0" fontId="34" fillId="0" borderId="0" xfId="3" applyNumberFormat="1" applyFont="1" applyFill="1" applyBorder="1" applyAlignment="1" applyProtection="1">
      <alignment horizontal="left" vertical="center" shrinkToFit="1"/>
      <protection hidden="1"/>
    </xf>
    <xf numFmtId="0" fontId="7" fillId="0" borderId="0" xfId="5" applyNumberFormat="1" applyFont="1" applyFill="1" applyBorder="1" applyAlignment="1" applyProtection="1">
      <alignment horizontal="center" vertical="center"/>
      <protection hidden="1"/>
    </xf>
    <xf numFmtId="0" fontId="8" fillId="0" borderId="0" xfId="3" applyNumberFormat="1" applyFont="1" applyFill="1" applyBorder="1" applyProtection="1">
      <protection hidden="1"/>
    </xf>
    <xf numFmtId="0" fontId="7" fillId="0" borderId="0" xfId="5" applyNumberFormat="1" applyFont="1" applyFill="1" applyAlignment="1" applyProtection="1">
      <alignment horizontal="right" vertical="center"/>
      <protection hidden="1"/>
    </xf>
    <xf numFmtId="0" fontId="8" fillId="0" borderId="0" xfId="3" applyNumberFormat="1" applyFont="1" applyFill="1" applyBorder="1" applyAlignment="1" applyProtection="1">
      <alignment vertical="center" shrinkToFit="1"/>
      <protection hidden="1"/>
    </xf>
    <xf numFmtId="0" fontId="7" fillId="2" borderId="0" xfId="5" applyFont="1" applyFill="1" applyProtection="1">
      <alignment vertical="center"/>
      <protection hidden="1"/>
    </xf>
    <xf numFmtId="0" fontId="8" fillId="0" borderId="0" xfId="5" applyFont="1" applyProtection="1">
      <alignment vertical="center"/>
      <protection hidden="1"/>
    </xf>
    <xf numFmtId="0" fontId="7" fillId="0" borderId="0" xfId="0" applyFont="1" applyBorder="1" applyAlignment="1" applyProtection="1">
      <alignment vertical="center" shrinkToFit="1"/>
      <protection hidden="1"/>
    </xf>
    <xf numFmtId="0" fontId="7" fillId="0" borderId="10" xfId="0" applyFont="1" applyBorder="1" applyAlignment="1" applyProtection="1">
      <alignment vertical="center" shrinkToFit="1"/>
      <protection hidden="1"/>
    </xf>
    <xf numFmtId="0" fontId="7" fillId="0" borderId="1" xfId="0" applyFont="1" applyBorder="1" applyAlignment="1" applyProtection="1">
      <alignment vertical="top"/>
      <protection hidden="1"/>
    </xf>
    <xf numFmtId="0" fontId="7" fillId="0" borderId="0" xfId="0" applyFont="1" applyBorder="1" applyAlignment="1" applyProtection="1">
      <alignment vertical="top"/>
      <protection hidden="1"/>
    </xf>
    <xf numFmtId="0" fontId="7" fillId="0" borderId="0" xfId="0" applyFont="1" applyBorder="1" applyAlignment="1" applyProtection="1">
      <alignment vertical="center"/>
      <protection hidden="1"/>
    </xf>
    <xf numFmtId="0" fontId="7" fillId="0" borderId="80" xfId="5" applyFont="1" applyFill="1" applyBorder="1" applyAlignment="1" applyProtection="1">
      <alignment vertical="center"/>
      <protection hidden="1"/>
    </xf>
    <xf numFmtId="0" fontId="7" fillId="0" borderId="0" xfId="3" applyNumberFormat="1" applyFont="1" applyFill="1" applyProtection="1">
      <protection hidden="1"/>
    </xf>
    <xf numFmtId="0" fontId="7" fillId="0" borderId="0" xfId="0" applyFont="1" applyFill="1" applyAlignment="1" applyProtection="1">
      <alignment vertical="center"/>
      <protection hidden="1"/>
    </xf>
    <xf numFmtId="0" fontId="43" fillId="0" borderId="0" xfId="0" applyFont="1" applyFill="1" applyBorder="1" applyProtection="1">
      <alignment vertical="center"/>
      <protection hidden="1"/>
    </xf>
    <xf numFmtId="0" fontId="43" fillId="0" borderId="0" xfId="0" applyFont="1" applyProtection="1">
      <alignment vertical="center"/>
      <protection hidden="1"/>
    </xf>
    <xf numFmtId="0" fontId="7" fillId="0" borderId="0" xfId="0" applyFont="1" applyFill="1" applyAlignment="1" applyProtection="1">
      <alignment vertical="center" wrapText="1"/>
      <protection hidden="1"/>
    </xf>
    <xf numFmtId="0" fontId="43" fillId="0" borderId="0" xfId="0" applyFont="1" applyFill="1" applyAlignment="1" applyProtection="1">
      <alignment horizontal="right" vertical="center"/>
      <protection hidden="1"/>
    </xf>
    <xf numFmtId="0" fontId="7" fillId="0" borderId="4" xfId="0" applyFont="1" applyFill="1" applyBorder="1" applyAlignment="1" applyProtection="1">
      <alignment horizontal="center" vertical="center" wrapText="1"/>
      <protection hidden="1"/>
    </xf>
    <xf numFmtId="0" fontId="43" fillId="0" borderId="23" xfId="0" applyFont="1" applyFill="1" applyBorder="1" applyProtection="1">
      <alignment vertical="center"/>
      <protection hidden="1"/>
    </xf>
    <xf numFmtId="0" fontId="43" fillId="0" borderId="22" xfId="0" applyFont="1" applyFill="1" applyBorder="1" applyProtection="1">
      <alignment vertical="center"/>
      <protection hidden="1"/>
    </xf>
    <xf numFmtId="0" fontId="43" fillId="0" borderId="5" xfId="0" applyFont="1" applyBorder="1" applyAlignment="1" applyProtection="1">
      <alignment horizontal="center" vertical="center" wrapText="1"/>
      <protection hidden="1"/>
    </xf>
    <xf numFmtId="0" fontId="43" fillId="0" borderId="10" xfId="0" applyFont="1" applyBorder="1" applyAlignment="1" applyProtection="1">
      <alignment horizontal="center" vertical="center" wrapText="1"/>
      <protection hidden="1"/>
    </xf>
    <xf numFmtId="0" fontId="7" fillId="0" borderId="95" xfId="0" applyFont="1" applyBorder="1" applyAlignment="1" applyProtection="1">
      <alignment horizontal="center" vertical="center" wrapText="1"/>
      <protection hidden="1"/>
    </xf>
    <xf numFmtId="0" fontId="43" fillId="0" borderId="95" xfId="0" applyFont="1" applyBorder="1" applyAlignment="1" applyProtection="1">
      <alignment horizontal="center" vertical="center" wrapText="1"/>
      <protection hidden="1"/>
    </xf>
    <xf numFmtId="0" fontId="43" fillId="0" borderId="17" xfId="0" applyFont="1" applyBorder="1" applyAlignment="1" applyProtection="1">
      <alignment horizontal="center" vertical="center" wrapText="1"/>
      <protection hidden="1"/>
    </xf>
    <xf numFmtId="0" fontId="43" fillId="0" borderId="4" xfId="0" applyFont="1" applyBorder="1" applyAlignment="1" applyProtection="1">
      <alignment vertical="center"/>
      <protection hidden="1"/>
    </xf>
    <xf numFmtId="0" fontId="44" fillId="0" borderId="4" xfId="0" applyFont="1" applyBorder="1" applyAlignment="1" applyProtection="1">
      <alignment horizontal="center" vertical="center"/>
      <protection hidden="1"/>
    </xf>
    <xf numFmtId="181" fontId="44" fillId="0" borderId="14" xfId="0" applyNumberFormat="1" applyFont="1" applyBorder="1" applyAlignment="1" applyProtection="1">
      <alignment horizontal="center" vertical="center"/>
      <protection hidden="1"/>
    </xf>
    <xf numFmtId="0" fontId="43" fillId="0" borderId="17" xfId="0" applyFont="1" applyBorder="1" applyAlignment="1" applyProtection="1">
      <alignment vertical="center"/>
      <protection hidden="1"/>
    </xf>
    <xf numFmtId="0" fontId="44" fillId="0" borderId="17" xfId="0" applyFont="1" applyBorder="1" applyAlignment="1" applyProtection="1">
      <alignment horizontal="center" vertical="center"/>
      <protection hidden="1"/>
    </xf>
    <xf numFmtId="181" fontId="44" fillId="0" borderId="32" xfId="0" applyNumberFormat="1" applyFont="1" applyBorder="1" applyAlignment="1" applyProtection="1">
      <alignment horizontal="center" vertical="center"/>
      <protection hidden="1"/>
    </xf>
    <xf numFmtId="181" fontId="44" fillId="0" borderId="4" xfId="0" applyNumberFormat="1" applyFont="1" applyBorder="1" applyAlignment="1" applyProtection="1">
      <alignment horizontal="center" vertical="center"/>
      <protection hidden="1"/>
    </xf>
    <xf numFmtId="181" fontId="44" fillId="0" borderId="17" xfId="0" applyNumberFormat="1" applyFont="1" applyBorder="1" applyAlignment="1" applyProtection="1">
      <alignment horizontal="center" vertical="center"/>
      <protection hidden="1"/>
    </xf>
    <xf numFmtId="0" fontId="43" fillId="0" borderId="4" xfId="0" applyFont="1" applyBorder="1" applyAlignment="1" applyProtection="1">
      <alignment horizontal="left" vertical="top" wrapText="1"/>
      <protection hidden="1"/>
    </xf>
    <xf numFmtId="0" fontId="44" fillId="0" borderId="4" xfId="0" applyFont="1" applyBorder="1" applyAlignment="1" applyProtection="1">
      <alignment horizontal="center"/>
      <protection hidden="1"/>
    </xf>
    <xf numFmtId="0" fontId="43" fillId="0" borderId="0" xfId="0" applyFont="1" applyBorder="1" applyProtection="1">
      <alignment vertical="center"/>
      <protection hidden="1"/>
    </xf>
    <xf numFmtId="0" fontId="44" fillId="0" borderId="8" xfId="0" applyFont="1" applyBorder="1" applyAlignment="1" applyProtection="1">
      <alignment horizontal="center"/>
      <protection hidden="1"/>
    </xf>
    <xf numFmtId="0" fontId="43" fillId="0" borderId="23" xfId="0" quotePrefix="1" applyFont="1" applyBorder="1" applyAlignment="1" applyProtection="1">
      <alignment vertical="top"/>
      <protection hidden="1"/>
    </xf>
    <xf numFmtId="0" fontId="43" fillId="0" borderId="85" xfId="0" quotePrefix="1" applyFont="1" applyFill="1" applyBorder="1" applyAlignment="1" applyProtection="1">
      <alignment horizontal="left" vertical="top"/>
      <protection hidden="1"/>
    </xf>
    <xf numFmtId="0" fontId="43" fillId="0" borderId="1" xfId="0" quotePrefix="1" applyFont="1" applyFill="1" applyBorder="1" applyAlignment="1" applyProtection="1">
      <alignment horizontal="left" vertical="top"/>
      <protection hidden="1"/>
    </xf>
    <xf numFmtId="0" fontId="43" fillId="0" borderId="40" xfId="0" quotePrefix="1" applyFont="1" applyFill="1" applyBorder="1" applyAlignment="1" applyProtection="1">
      <alignment horizontal="left" vertical="top"/>
      <protection hidden="1"/>
    </xf>
    <xf numFmtId="0" fontId="43" fillId="0" borderId="23" xfId="0" quotePrefix="1" applyFont="1" applyFill="1" applyBorder="1" applyAlignment="1" applyProtection="1">
      <alignment horizontal="left" vertical="top"/>
      <protection hidden="1"/>
    </xf>
    <xf numFmtId="0" fontId="43" fillId="0" borderId="0" xfId="0" quotePrefix="1" applyFont="1" applyFill="1" applyBorder="1" applyAlignment="1" applyProtection="1">
      <alignment horizontal="left" vertical="top"/>
      <protection hidden="1"/>
    </xf>
    <xf numFmtId="0" fontId="44" fillId="0" borderId="4" xfId="0" quotePrefix="1" applyFont="1" applyFill="1" applyBorder="1" applyAlignment="1" applyProtection="1">
      <alignment horizontal="left" vertical="top"/>
      <protection hidden="1"/>
    </xf>
    <xf numFmtId="181" fontId="44" fillId="0" borderId="4" xfId="0" quotePrefix="1" applyNumberFormat="1" applyFont="1" applyFill="1" applyBorder="1" applyAlignment="1" applyProtection="1">
      <alignment horizontal="left" vertical="top"/>
      <protection hidden="1"/>
    </xf>
    <xf numFmtId="0" fontId="43" fillId="0" borderId="22" xfId="0" quotePrefix="1" applyFont="1" applyFill="1" applyBorder="1" applyAlignment="1" applyProtection="1">
      <alignment horizontal="left" vertical="top"/>
      <protection hidden="1"/>
    </xf>
    <xf numFmtId="0" fontId="43" fillId="0" borderId="21" xfId="0" applyFont="1" applyBorder="1" applyAlignment="1" applyProtection="1">
      <alignment vertical="center"/>
      <protection hidden="1"/>
    </xf>
    <xf numFmtId="0" fontId="43" fillId="0" borderId="14" xfId="0" applyFont="1" applyBorder="1" applyAlignment="1" applyProtection="1">
      <alignment horizontal="center" vertical="center" wrapText="1"/>
      <protection hidden="1"/>
    </xf>
    <xf numFmtId="181" fontId="43" fillId="0" borderId="14" xfId="0" applyNumberFormat="1" applyFont="1" applyBorder="1" applyAlignment="1" applyProtection="1">
      <alignment horizontal="center" vertical="center" shrinkToFit="1"/>
      <protection hidden="1"/>
    </xf>
    <xf numFmtId="0" fontId="43" fillId="0" borderId="0" xfId="0" applyFont="1" applyFill="1" applyAlignment="1" applyProtection="1">
      <alignment vertical="top" wrapText="1"/>
      <protection hidden="1"/>
    </xf>
    <xf numFmtId="0" fontId="43" fillId="0" borderId="0" xfId="0" applyFont="1" applyFill="1" applyAlignment="1" applyProtection="1">
      <alignment horizontal="right" vertical="top"/>
      <protection hidden="1"/>
    </xf>
    <xf numFmtId="0" fontId="43" fillId="0" borderId="0" xfId="0" applyFont="1" applyAlignment="1" applyProtection="1">
      <alignment vertical="center" wrapText="1"/>
      <protection hidden="1"/>
    </xf>
    <xf numFmtId="0" fontId="43" fillId="0" borderId="0" xfId="0" applyFont="1" applyAlignment="1" applyProtection="1">
      <alignment horizontal="right" vertical="top"/>
      <protection hidden="1"/>
    </xf>
    <xf numFmtId="0" fontId="43" fillId="0" borderId="0" xfId="0" applyFont="1" applyFill="1" applyProtection="1">
      <alignment vertical="center"/>
      <protection hidden="1"/>
    </xf>
    <xf numFmtId="0" fontId="143" fillId="0" borderId="0" xfId="0" applyFont="1" applyAlignment="1" applyProtection="1">
      <alignment horizontal="right" vertical="center"/>
    </xf>
    <xf numFmtId="0" fontId="144" fillId="0" borderId="0" xfId="0" applyFont="1" applyFill="1" applyAlignment="1" applyProtection="1">
      <alignment horizontal="right" vertical="center"/>
    </xf>
    <xf numFmtId="0" fontId="0" fillId="0" borderId="4" xfId="0" applyFill="1" applyBorder="1">
      <alignment vertical="center"/>
    </xf>
    <xf numFmtId="0" fontId="45" fillId="0" borderId="1" xfId="0" applyFont="1" applyBorder="1" applyAlignment="1" applyProtection="1">
      <alignment horizontal="right" vertical="center"/>
      <protection hidden="1"/>
    </xf>
    <xf numFmtId="0" fontId="7" fillId="0" borderId="0" xfId="5" applyFont="1" applyFill="1" applyAlignment="1" applyProtection="1">
      <alignment vertical="center"/>
      <protection hidden="1"/>
    </xf>
    <xf numFmtId="0" fontId="7" fillId="0" borderId="0" xfId="5" applyNumberFormat="1" applyFont="1" applyFill="1" applyAlignment="1" applyProtection="1">
      <alignment vertical="top"/>
      <protection hidden="1"/>
    </xf>
    <xf numFmtId="0" fontId="76" fillId="0" borderId="5" xfId="2" applyFont="1" applyBorder="1" applyAlignment="1" applyProtection="1">
      <alignment vertical="center" shrinkToFit="1"/>
      <protection hidden="1"/>
    </xf>
    <xf numFmtId="0" fontId="12" fillId="3" borderId="20" xfId="0" applyFont="1" applyFill="1" applyBorder="1" applyAlignment="1" applyProtection="1">
      <alignment vertical="center"/>
    </xf>
    <xf numFmtId="0" fontId="12" fillId="3" borderId="24" xfId="0" applyFont="1" applyFill="1" applyBorder="1" applyAlignment="1" applyProtection="1">
      <alignment vertical="center"/>
    </xf>
    <xf numFmtId="0" fontId="0" fillId="11" borderId="127" xfId="0" applyFill="1" applyBorder="1" applyAlignment="1" applyProtection="1">
      <alignment vertical="center" textRotation="255"/>
    </xf>
    <xf numFmtId="0" fontId="145" fillId="0" borderId="58" xfId="2" applyFont="1" applyFill="1" applyBorder="1" applyAlignment="1" applyProtection="1">
      <alignment horizontal="center" vertical="center" wrapText="1"/>
      <protection locked="0" hidden="1"/>
    </xf>
    <xf numFmtId="0" fontId="10" fillId="0" borderId="23" xfId="2" applyFill="1" applyBorder="1" applyAlignment="1" applyProtection="1">
      <alignment vertical="center"/>
      <protection hidden="1"/>
    </xf>
    <xf numFmtId="0" fontId="10" fillId="0" borderId="0" xfId="2" applyFill="1" applyAlignment="1" applyProtection="1">
      <alignment vertical="center"/>
      <protection hidden="1"/>
    </xf>
    <xf numFmtId="0" fontId="100" fillId="0" borderId="23" xfId="2" applyFont="1" applyFill="1" applyBorder="1" applyAlignment="1" applyProtection="1">
      <alignment vertical="center"/>
      <protection hidden="1"/>
    </xf>
    <xf numFmtId="0" fontId="100" fillId="0" borderId="0" xfId="2" applyFont="1" applyFill="1" applyAlignment="1" applyProtection="1">
      <alignment vertical="center"/>
      <protection hidden="1"/>
    </xf>
    <xf numFmtId="0" fontId="146" fillId="0" borderId="23" xfId="2" applyFont="1" applyFill="1" applyBorder="1" applyAlignment="1" applyProtection="1">
      <alignment vertical="center"/>
      <protection hidden="1"/>
    </xf>
    <xf numFmtId="0" fontId="118" fillId="23" borderId="8" xfId="0" applyFont="1" applyFill="1" applyBorder="1" applyProtection="1">
      <alignment vertical="center"/>
      <protection hidden="1"/>
    </xf>
    <xf numFmtId="0" fontId="0" fillId="3" borderId="38" xfId="0" applyFont="1" applyFill="1" applyBorder="1" applyAlignment="1" applyProtection="1">
      <alignment horizontal="left" vertical="center"/>
    </xf>
    <xf numFmtId="14" fontId="13" fillId="0" borderId="4" xfId="0" applyNumberFormat="1" applyFont="1" applyBorder="1" applyProtection="1">
      <alignment vertical="center"/>
    </xf>
    <xf numFmtId="0" fontId="22" fillId="0" borderId="0" xfId="0" applyFont="1" applyFill="1" applyBorder="1" applyProtection="1">
      <alignment vertical="center"/>
    </xf>
    <xf numFmtId="0" fontId="22" fillId="0" borderId="0" xfId="0" applyFont="1" applyBorder="1" applyProtection="1">
      <alignment vertical="center"/>
    </xf>
    <xf numFmtId="0" fontId="0" fillId="0" borderId="4" xfId="0" applyFont="1" applyFill="1" applyBorder="1" applyAlignment="1" applyProtection="1">
      <alignment vertical="center"/>
    </xf>
    <xf numFmtId="0" fontId="21" fillId="0" borderId="4" xfId="0" applyFont="1" applyFill="1" applyBorder="1" applyAlignment="1" applyProtection="1">
      <alignment horizontal="center" vertical="center"/>
    </xf>
    <xf numFmtId="0" fontId="6" fillId="0" borderId="9" xfId="2" applyFont="1" applyBorder="1" applyAlignment="1" applyProtection="1">
      <alignment horizontal="left" vertical="center"/>
    </xf>
    <xf numFmtId="0" fontId="0" fillId="3" borderId="14" xfId="0" applyFont="1" applyFill="1" applyBorder="1" applyAlignment="1" applyProtection="1">
      <alignment horizontal="left" vertical="center"/>
    </xf>
    <xf numFmtId="0" fontId="0" fillId="3" borderId="32" xfId="0" applyFont="1" applyFill="1" applyBorder="1" applyAlignment="1" applyProtection="1">
      <alignment horizontal="left" vertical="center"/>
    </xf>
    <xf numFmtId="0" fontId="6" fillId="0" borderId="31" xfId="2" applyFont="1" applyBorder="1" applyAlignment="1" applyProtection="1">
      <alignment horizontal="left" vertical="center"/>
    </xf>
    <xf numFmtId="0" fontId="0" fillId="0" borderId="18" xfId="0" applyBorder="1" applyAlignment="1" applyProtection="1">
      <alignment vertical="center"/>
    </xf>
    <xf numFmtId="0" fontId="6" fillId="3" borderId="75" xfId="0" applyFont="1" applyFill="1" applyBorder="1" applyAlignment="1" applyProtection="1">
      <alignment horizontal="left" vertical="center"/>
    </xf>
    <xf numFmtId="0" fontId="6" fillId="5" borderId="9" xfId="2" applyFont="1" applyFill="1" applyBorder="1" applyAlignment="1" applyProtection="1">
      <alignment horizontal="left" vertical="center"/>
    </xf>
    <xf numFmtId="0" fontId="6" fillId="5" borderId="31" xfId="2" applyFont="1" applyFill="1" applyBorder="1" applyAlignment="1" applyProtection="1">
      <alignment horizontal="left" vertical="center"/>
    </xf>
    <xf numFmtId="0" fontId="0" fillId="0" borderId="178" xfId="0" applyFont="1" applyFill="1" applyBorder="1" applyAlignment="1" applyProtection="1">
      <alignment horizontal="left" vertical="center"/>
    </xf>
    <xf numFmtId="0" fontId="0" fillId="3" borderId="179" xfId="0" applyFont="1" applyFill="1" applyBorder="1" applyAlignment="1" applyProtection="1">
      <alignment horizontal="left" vertical="center"/>
    </xf>
    <xf numFmtId="0" fontId="0" fillId="0" borderId="0" xfId="0" applyFont="1" applyBorder="1" applyAlignment="1" applyProtection="1">
      <alignment horizontal="left" vertical="center"/>
    </xf>
    <xf numFmtId="0" fontId="0" fillId="0" borderId="1" xfId="0" applyFont="1" applyBorder="1" applyAlignment="1" applyProtection="1">
      <alignment horizontal="left" vertical="center"/>
    </xf>
    <xf numFmtId="0" fontId="0" fillId="0" borderId="0" xfId="0" applyFont="1" applyBorder="1" applyAlignment="1" applyProtection="1">
      <alignment horizontal="left" vertical="center"/>
    </xf>
    <xf numFmtId="0" fontId="0" fillId="0" borderId="2" xfId="0" applyFont="1" applyBorder="1" applyAlignment="1" applyProtection="1">
      <alignment horizontal="left" vertical="center"/>
    </xf>
    <xf numFmtId="0" fontId="13" fillId="3" borderId="8" xfId="0" applyFont="1" applyFill="1" applyBorder="1" applyAlignment="1" applyProtection="1">
      <alignment horizontal="left" vertical="center"/>
    </xf>
    <xf numFmtId="14" fontId="0" fillId="0" borderId="68" xfId="0" applyNumberFormat="1" applyFont="1" applyFill="1" applyBorder="1" applyAlignment="1" applyProtection="1">
      <alignment horizontal="left" vertical="center" wrapText="1"/>
    </xf>
    <xf numFmtId="14" fontId="0" fillId="0" borderId="4" xfId="0" applyNumberFormat="1" applyFont="1" applyFill="1" applyBorder="1" applyAlignment="1" applyProtection="1">
      <alignment horizontal="left" vertical="center" wrapText="1"/>
    </xf>
    <xf numFmtId="14" fontId="0" fillId="0" borderId="33" xfId="0" applyNumberFormat="1" applyFont="1" applyFill="1" applyBorder="1" applyAlignment="1" applyProtection="1">
      <alignment horizontal="left" vertical="center" wrapText="1"/>
    </xf>
    <xf numFmtId="14" fontId="0" fillId="0" borderId="38" xfId="0" applyNumberFormat="1" applyFont="1" applyFill="1" applyBorder="1" applyAlignment="1" applyProtection="1">
      <alignment horizontal="left" vertical="center" wrapText="1"/>
    </xf>
    <xf numFmtId="14" fontId="0" fillId="0" borderId="0" xfId="0" applyNumberFormat="1" applyFont="1" applyAlignment="1" applyProtection="1">
      <alignment horizontal="left" vertical="center"/>
    </xf>
    <xf numFmtId="14" fontId="0" fillId="0" borderId="0" xfId="0" applyNumberFormat="1" applyFont="1" applyFill="1" applyAlignment="1" applyProtection="1">
      <alignment horizontal="left" vertical="center" wrapText="1"/>
    </xf>
    <xf numFmtId="14" fontId="0" fillId="0" borderId="17" xfId="0" applyNumberFormat="1" applyFont="1" applyFill="1" applyBorder="1" applyAlignment="1" applyProtection="1">
      <alignment horizontal="left" vertical="center" wrapText="1"/>
    </xf>
    <xf numFmtId="0" fontId="13" fillId="3" borderId="1" xfId="0" applyFont="1" applyFill="1" applyBorder="1" applyAlignment="1" applyProtection="1">
      <alignment vertical="center"/>
    </xf>
    <xf numFmtId="0" fontId="66" fillId="0" borderId="0" xfId="0" applyFont="1" applyBorder="1" applyAlignment="1" applyProtection="1">
      <alignment vertical="center"/>
      <protection hidden="1"/>
    </xf>
    <xf numFmtId="0" fontId="66" fillId="0" borderId="2" xfId="0" applyFont="1" applyBorder="1" applyAlignment="1" applyProtection="1">
      <alignment vertical="center"/>
      <protection hidden="1"/>
    </xf>
    <xf numFmtId="0" fontId="73" fillId="0" borderId="82" xfId="2" applyFont="1" applyBorder="1" applyAlignment="1" applyProtection="1">
      <alignment vertical="center"/>
      <protection hidden="1"/>
    </xf>
    <xf numFmtId="0" fontId="55" fillId="0" borderId="2" xfId="7" applyFill="1" applyBorder="1" applyProtection="1">
      <protection hidden="1"/>
    </xf>
    <xf numFmtId="0" fontId="73" fillId="0" borderId="28" xfId="7" applyFont="1" applyBorder="1" applyAlignment="1" applyProtection="1">
      <alignment vertical="center"/>
      <protection hidden="1"/>
    </xf>
    <xf numFmtId="0" fontId="73" fillId="0" borderId="5" xfId="2" applyFont="1" applyBorder="1" applyProtection="1">
      <alignment vertical="center"/>
      <protection hidden="1"/>
    </xf>
    <xf numFmtId="0" fontId="77" fillId="0" borderId="5" xfId="0" applyFont="1" applyBorder="1" applyAlignment="1" applyProtection="1">
      <alignment horizontal="center" vertical="center"/>
      <protection hidden="1"/>
    </xf>
    <xf numFmtId="0" fontId="77" fillId="0" borderId="28" xfId="0" applyFont="1" applyBorder="1" applyAlignment="1" applyProtection="1">
      <alignment horizontal="center" vertical="center"/>
      <protection hidden="1"/>
    </xf>
    <xf numFmtId="0" fontId="73" fillId="0" borderId="3" xfId="7" applyFont="1" applyBorder="1" applyAlignment="1" applyProtection="1">
      <protection hidden="1"/>
    </xf>
    <xf numFmtId="0" fontId="60" fillId="0" borderId="161" xfId="2" applyFont="1" applyBorder="1" applyAlignment="1" applyProtection="1">
      <alignment vertical="center"/>
      <protection hidden="1"/>
    </xf>
    <xf numFmtId="0" fontId="60" fillId="0" borderId="52" xfId="2" applyFont="1" applyBorder="1" applyAlignment="1" applyProtection="1">
      <alignment horizontal="center" vertical="center"/>
      <protection hidden="1"/>
    </xf>
    <xf numFmtId="0" fontId="74" fillId="0" borderId="1" xfId="7" applyFont="1" applyBorder="1" applyAlignment="1" applyProtection="1">
      <alignment vertical="center"/>
      <protection hidden="1"/>
    </xf>
    <xf numFmtId="0" fontId="74" fillId="0" borderId="6" xfId="7" applyFont="1" applyBorder="1" applyAlignment="1" applyProtection="1">
      <alignment vertical="center"/>
      <protection hidden="1"/>
    </xf>
    <xf numFmtId="0" fontId="74" fillId="0" borderId="52" xfId="7" applyFont="1" applyBorder="1" applyAlignment="1" applyProtection="1">
      <alignment vertical="center"/>
      <protection hidden="1"/>
    </xf>
    <xf numFmtId="0" fontId="74" fillId="0" borderId="162" xfId="7" applyFont="1" applyBorder="1" applyAlignment="1" applyProtection="1">
      <alignment vertical="center"/>
      <protection hidden="1"/>
    </xf>
    <xf numFmtId="0" fontId="73" fillId="0" borderId="185" xfId="2" applyFont="1" applyBorder="1" applyAlignment="1" applyProtection="1">
      <alignment vertical="center"/>
      <protection hidden="1"/>
    </xf>
    <xf numFmtId="0" fontId="60" fillId="0" borderId="82" xfId="2" applyFont="1" applyBorder="1" applyAlignment="1" applyProtection="1">
      <alignment horizontal="center" vertical="center"/>
      <protection hidden="1"/>
    </xf>
    <xf numFmtId="0" fontId="118" fillId="23" borderId="0" xfId="0" applyFont="1" applyFill="1" applyBorder="1" applyProtection="1">
      <alignment vertical="center"/>
      <protection hidden="1"/>
    </xf>
    <xf numFmtId="0" fontId="118" fillId="0" borderId="4" xfId="0" applyFont="1" applyBorder="1" applyAlignment="1" applyProtection="1">
      <alignment horizontal="left" vertical="center" wrapText="1" indent="1"/>
      <protection hidden="1"/>
    </xf>
    <xf numFmtId="0" fontId="118" fillId="0" borderId="4" xfId="0" applyFont="1" applyBorder="1" applyAlignment="1" applyProtection="1">
      <alignment horizontal="left" vertical="center" indent="1"/>
      <protection hidden="1"/>
    </xf>
    <xf numFmtId="0" fontId="119" fillId="23" borderId="0" xfId="1" applyFont="1" applyFill="1" applyAlignment="1" applyProtection="1">
      <alignment vertical="center" shrinkToFit="1"/>
      <protection hidden="1"/>
    </xf>
    <xf numFmtId="0" fontId="118" fillId="0" borderId="4" xfId="1" applyFont="1" applyBorder="1" applyAlignment="1" applyProtection="1">
      <alignment horizontal="center" vertical="center" wrapText="1"/>
      <protection hidden="1"/>
    </xf>
    <xf numFmtId="0" fontId="118" fillId="0" borderId="4" xfId="0" applyFont="1" applyBorder="1" applyAlignment="1" applyProtection="1">
      <alignment horizontal="center" vertical="center" wrapText="1"/>
      <protection hidden="1"/>
    </xf>
    <xf numFmtId="0" fontId="118" fillId="14" borderId="33" xfId="0" applyFont="1" applyFill="1" applyBorder="1" applyAlignment="1" applyProtection="1">
      <alignment horizontal="center" vertical="center"/>
      <protection hidden="1"/>
    </xf>
    <xf numFmtId="0" fontId="118" fillId="14" borderId="4" xfId="0" applyFont="1" applyFill="1" applyBorder="1" applyAlignment="1" applyProtection="1">
      <alignment horizontal="center" vertical="center"/>
      <protection hidden="1"/>
    </xf>
    <xf numFmtId="0" fontId="118" fillId="22" borderId="4" xfId="0" applyFont="1" applyFill="1" applyBorder="1" applyAlignment="1" applyProtection="1">
      <alignment horizontal="center" vertical="center"/>
      <protection hidden="1"/>
    </xf>
    <xf numFmtId="0" fontId="127" fillId="9" borderId="4" xfId="8" applyFont="1" applyFill="1" applyBorder="1" applyAlignment="1" applyProtection="1">
      <alignment horizontal="center" vertical="center"/>
      <protection hidden="1"/>
    </xf>
    <xf numFmtId="0" fontId="127" fillId="8" borderId="4" xfId="8" applyFont="1" applyFill="1" applyBorder="1" applyAlignment="1" applyProtection="1">
      <alignment horizontal="center" vertical="center"/>
      <protection hidden="1"/>
    </xf>
    <xf numFmtId="0" fontId="118" fillId="0" borderId="4" xfId="8" applyFont="1" applyBorder="1" applyAlignment="1" applyProtection="1">
      <alignment horizontal="center" vertical="center"/>
      <protection hidden="1"/>
    </xf>
    <xf numFmtId="0" fontId="127" fillId="6" borderId="4" xfId="8" applyFont="1" applyFill="1" applyBorder="1" applyAlignment="1" applyProtection="1">
      <alignment horizontal="center" vertical="center"/>
      <protection hidden="1"/>
    </xf>
    <xf numFmtId="0" fontId="142" fillId="0" borderId="0" xfId="1" applyFont="1" applyAlignment="1" applyProtection="1">
      <alignment horizontal="right" vertical="center"/>
      <protection locked="0" hidden="1"/>
    </xf>
    <xf numFmtId="0" fontId="10" fillId="0" borderId="28" xfId="2" applyBorder="1" applyAlignment="1" applyProtection="1">
      <alignment horizontal="center" vertical="center"/>
      <protection hidden="1"/>
    </xf>
    <xf numFmtId="0" fontId="10" fillId="0" borderId="2" xfId="2" applyBorder="1" applyAlignment="1" applyProtection="1">
      <alignment horizontal="center" vertical="center"/>
      <protection hidden="1"/>
    </xf>
    <xf numFmtId="0" fontId="10" fillId="0" borderId="11" xfId="2" applyBorder="1" applyAlignment="1" applyProtection="1">
      <alignment horizontal="center" vertical="center"/>
      <protection hidden="1"/>
    </xf>
    <xf numFmtId="189" fontId="98" fillId="20" borderId="0" xfId="2" applyNumberFormat="1" applyFont="1" applyFill="1" applyAlignment="1" applyProtection="1">
      <alignment vertical="top" wrapText="1"/>
      <protection hidden="1"/>
    </xf>
    <xf numFmtId="189" fontId="98" fillId="20" borderId="22" xfId="2" applyNumberFormat="1" applyFont="1" applyFill="1" applyBorder="1" applyAlignment="1" applyProtection="1">
      <alignment vertical="top" wrapText="1"/>
      <protection hidden="1"/>
    </xf>
    <xf numFmtId="189" fontId="99" fillId="21" borderId="0" xfId="2" applyNumberFormat="1" applyFont="1" applyFill="1" applyAlignment="1" applyProtection="1">
      <alignment vertical="center" wrapText="1"/>
      <protection hidden="1"/>
    </xf>
    <xf numFmtId="189" fontId="99" fillId="21" borderId="22" xfId="2" applyNumberFormat="1" applyFont="1" applyFill="1" applyBorder="1" applyAlignment="1" applyProtection="1">
      <alignment vertical="center" wrapText="1"/>
      <protection hidden="1"/>
    </xf>
    <xf numFmtId="0" fontId="10" fillId="0" borderId="7" xfId="2" applyBorder="1" applyAlignment="1" applyProtection="1">
      <alignment horizontal="center" vertical="center"/>
      <protection hidden="1"/>
    </xf>
    <xf numFmtId="0" fontId="10" fillId="0" borderId="8" xfId="2" applyBorder="1" applyAlignment="1" applyProtection="1">
      <alignment horizontal="center" vertical="center"/>
      <protection hidden="1"/>
    </xf>
    <xf numFmtId="0" fontId="10" fillId="0" borderId="9" xfId="2" applyBorder="1" applyAlignment="1" applyProtection="1">
      <alignment horizontal="center" vertical="center"/>
      <protection hidden="1"/>
    </xf>
    <xf numFmtId="0" fontId="117" fillId="14" borderId="20" xfId="2" applyFont="1" applyFill="1" applyBorder="1" applyAlignment="1" applyProtection="1">
      <alignment vertical="center" wrapText="1"/>
      <protection hidden="1"/>
    </xf>
    <xf numFmtId="0" fontId="96" fillId="18" borderId="0" xfId="2" applyFont="1" applyFill="1" applyAlignment="1" applyProtection="1">
      <alignment horizontal="center"/>
      <protection hidden="1"/>
    </xf>
    <xf numFmtId="0" fontId="96" fillId="18" borderId="22" xfId="2" applyFont="1" applyFill="1" applyBorder="1" applyAlignment="1" applyProtection="1">
      <alignment horizontal="center"/>
      <protection hidden="1"/>
    </xf>
    <xf numFmtId="0" fontId="98" fillId="2" borderId="21" xfId="2" applyFont="1" applyFill="1" applyBorder="1" applyAlignment="1" applyProtection="1">
      <alignment horizontal="left" vertical="center"/>
      <protection hidden="1"/>
    </xf>
    <xf numFmtId="0" fontId="98" fillId="2" borderId="16" xfId="2" applyFont="1" applyFill="1" applyBorder="1" applyAlignment="1" applyProtection="1">
      <alignment horizontal="left" vertical="center"/>
      <protection hidden="1"/>
    </xf>
    <xf numFmtId="0" fontId="98" fillId="2" borderId="15" xfId="2" applyFont="1" applyFill="1" applyBorder="1" applyAlignment="1" applyProtection="1">
      <alignment horizontal="left" vertical="center"/>
      <protection hidden="1"/>
    </xf>
    <xf numFmtId="189" fontId="98" fillId="21" borderId="0" xfId="2" applyNumberFormat="1" applyFont="1" applyFill="1" applyAlignment="1" applyProtection="1">
      <alignment vertical="center" wrapText="1"/>
      <protection hidden="1"/>
    </xf>
    <xf numFmtId="189" fontId="98" fillId="21" borderId="10" xfId="2" applyNumberFormat="1" applyFont="1" applyFill="1" applyBorder="1" applyAlignment="1" applyProtection="1">
      <alignment vertical="center" wrapText="1"/>
      <protection hidden="1"/>
    </xf>
    <xf numFmtId="0" fontId="11" fillId="0" borderId="0" xfId="1" quotePrefix="1" applyBorder="1" applyAlignment="1" applyProtection="1">
      <alignment horizontal="center" vertical="center" shrinkToFit="1"/>
    </xf>
    <xf numFmtId="0" fontId="27" fillId="3" borderId="0" xfId="0" applyFont="1" applyFill="1" applyBorder="1" applyAlignment="1" applyProtection="1">
      <alignment vertical="top" wrapText="1"/>
    </xf>
    <xf numFmtId="0" fontId="27" fillId="3" borderId="20" xfId="0" applyFont="1" applyFill="1" applyBorder="1" applyAlignment="1" applyProtection="1">
      <alignment vertical="top" wrapText="1"/>
    </xf>
    <xf numFmtId="0" fontId="80" fillId="3" borderId="16" xfId="0" applyFont="1" applyFill="1" applyBorder="1" applyAlignment="1" applyProtection="1">
      <alignment vertical="center" wrapText="1"/>
    </xf>
    <xf numFmtId="0" fontId="13" fillId="0" borderId="27" xfId="0" applyFont="1" applyFill="1" applyBorder="1" applyAlignment="1" applyProtection="1">
      <alignment horizontal="left" vertical="center" wrapText="1"/>
      <protection locked="0"/>
    </xf>
    <xf numFmtId="0" fontId="13" fillId="0" borderId="27" xfId="0" applyFont="1" applyBorder="1" applyAlignment="1" applyProtection="1">
      <alignment horizontal="left" vertical="center" wrapText="1"/>
      <protection locked="0"/>
    </xf>
    <xf numFmtId="0" fontId="13" fillId="0" borderId="27" xfId="0" applyFont="1" applyBorder="1" applyAlignment="1" applyProtection="1">
      <alignment horizontal="left" vertical="center"/>
      <protection locked="0"/>
    </xf>
    <xf numFmtId="49" fontId="13" fillId="0" borderId="82" xfId="0" applyNumberFormat="1" applyFont="1" applyFill="1" applyBorder="1" applyAlignment="1" applyProtection="1">
      <alignment horizontal="center" vertical="center"/>
      <protection locked="0"/>
    </xf>
    <xf numFmtId="0" fontId="0" fillId="0" borderId="82" xfId="0" applyBorder="1" applyAlignment="1" applyProtection="1">
      <alignment horizontal="center" vertical="center"/>
      <protection locked="0"/>
    </xf>
    <xf numFmtId="0" fontId="13" fillId="0" borderId="51" xfId="0" applyFont="1" applyFill="1" applyBorder="1" applyAlignment="1" applyProtection="1">
      <alignment horizontal="center" vertical="center"/>
      <protection locked="0"/>
    </xf>
    <xf numFmtId="0" fontId="0" fillId="0" borderId="51" xfId="0" applyFont="1" applyBorder="1" applyAlignment="1" applyProtection="1">
      <alignment horizontal="center" vertical="center"/>
      <protection locked="0"/>
    </xf>
    <xf numFmtId="0" fontId="0" fillId="0" borderId="51" xfId="0" applyBorder="1" applyAlignment="1" applyProtection="1">
      <alignment horizontal="center" vertical="center"/>
      <protection locked="0"/>
    </xf>
    <xf numFmtId="0" fontId="22" fillId="3" borderId="38" xfId="0" applyFont="1" applyFill="1" applyBorder="1" applyAlignment="1" applyProtection="1">
      <alignment horizontal="right" vertical="center"/>
    </xf>
    <xf numFmtId="0" fontId="0" fillId="0" borderId="38" xfId="0" applyFont="1" applyBorder="1" applyAlignment="1" applyProtection="1">
      <alignment horizontal="right" vertical="center"/>
    </xf>
    <xf numFmtId="49" fontId="13" fillId="0" borderId="51" xfId="0" applyNumberFormat="1" applyFont="1" applyFill="1" applyBorder="1" applyAlignment="1" applyProtection="1">
      <alignment horizontal="left" vertical="center"/>
      <protection locked="0"/>
    </xf>
    <xf numFmtId="49" fontId="13" fillId="0" borderId="51" xfId="0" applyNumberFormat="1" applyFont="1" applyBorder="1" applyAlignment="1" applyProtection="1">
      <alignment horizontal="left" vertical="center"/>
      <protection locked="0"/>
    </xf>
    <xf numFmtId="49" fontId="0" fillId="0" borderId="51" xfId="0" applyNumberFormat="1" applyFont="1" applyBorder="1" applyAlignment="1" applyProtection="1">
      <alignment horizontal="left" vertical="center"/>
      <protection locked="0"/>
    </xf>
    <xf numFmtId="49" fontId="0" fillId="0" borderId="51" xfId="0" applyNumberFormat="1" applyBorder="1" applyAlignment="1" applyProtection="1">
      <alignment horizontal="left" vertical="center"/>
      <protection locked="0"/>
    </xf>
    <xf numFmtId="0" fontId="22" fillId="0" borderId="27" xfId="0" applyFont="1" applyFill="1" applyBorder="1" applyAlignment="1" applyProtection="1">
      <alignment horizontal="left" vertical="center"/>
      <protection locked="0"/>
    </xf>
    <xf numFmtId="0" fontId="22" fillId="0" borderId="27" xfId="0" applyFont="1" applyBorder="1" applyAlignment="1" applyProtection="1">
      <alignment horizontal="left" vertical="center"/>
      <protection locked="0"/>
    </xf>
    <xf numFmtId="0" fontId="13" fillId="0" borderId="53" xfId="0" applyFont="1" applyBorder="1" applyAlignment="1" applyProtection="1">
      <alignment horizontal="left" vertical="center"/>
      <protection locked="0"/>
    </xf>
    <xf numFmtId="0" fontId="0" fillId="3" borderId="8" xfId="0" applyFill="1" applyBorder="1" applyAlignment="1" applyProtection="1">
      <alignment horizontal="center" vertical="center"/>
    </xf>
    <xf numFmtId="49" fontId="0" fillId="0" borderId="8" xfId="0" applyNumberFormat="1" applyBorder="1" applyAlignment="1" applyProtection="1">
      <alignment horizontal="center" vertical="center"/>
      <protection locked="0"/>
    </xf>
    <xf numFmtId="0" fontId="13" fillId="0" borderId="53" xfId="0" applyFont="1" applyFill="1" applyBorder="1" applyAlignment="1" applyProtection="1">
      <alignment horizontal="left" vertical="center"/>
      <protection locked="0"/>
    </xf>
    <xf numFmtId="0" fontId="0" fillId="0" borderId="29" xfId="0" applyBorder="1" applyProtection="1">
      <alignment vertical="center"/>
      <protection locked="0"/>
    </xf>
    <xf numFmtId="0" fontId="0" fillId="14" borderId="0" xfId="0" applyFont="1" applyFill="1" applyAlignment="1" applyProtection="1">
      <alignment vertical="center" wrapText="1"/>
    </xf>
    <xf numFmtId="0" fontId="11" fillId="0" borderId="0" xfId="1" applyFill="1" applyAlignment="1" applyProtection="1">
      <alignment horizontal="right" vertical="center" wrapText="1"/>
    </xf>
    <xf numFmtId="56" fontId="11" fillId="0" borderId="0" xfId="1" quotePrefix="1" applyNumberFormat="1" applyBorder="1" applyAlignment="1" applyProtection="1">
      <alignment horizontal="center" vertical="center" shrinkToFit="1"/>
    </xf>
    <xf numFmtId="0" fontId="11" fillId="0" borderId="0" xfId="1" applyAlignment="1" applyProtection="1">
      <alignment horizontal="center" vertical="center" shrinkToFit="1"/>
    </xf>
    <xf numFmtId="0" fontId="11" fillId="0" borderId="0" xfId="1" applyFill="1" applyAlignment="1" applyProtection="1">
      <alignment horizontal="center" vertical="center" shrinkToFit="1"/>
    </xf>
    <xf numFmtId="0" fontId="13" fillId="0" borderId="69" xfId="0" applyFont="1" applyFill="1" applyBorder="1" applyAlignment="1" applyProtection="1">
      <alignment horizontal="left" vertical="center"/>
      <protection locked="0"/>
    </xf>
    <xf numFmtId="0" fontId="13" fillId="0" borderId="70" xfId="0" applyFont="1" applyBorder="1" applyAlignment="1" applyProtection="1">
      <alignment horizontal="left" vertical="center"/>
      <protection locked="0"/>
    </xf>
    <xf numFmtId="0" fontId="13" fillId="0" borderId="54" xfId="0" applyFont="1" applyBorder="1" applyAlignment="1" applyProtection="1">
      <alignment horizontal="left" vertical="center"/>
      <protection locked="0"/>
    </xf>
    <xf numFmtId="0" fontId="13" fillId="0" borderId="51" xfId="0" applyFont="1" applyBorder="1" applyAlignment="1" applyProtection="1">
      <alignment horizontal="center" vertical="center"/>
      <protection locked="0"/>
    </xf>
    <xf numFmtId="0" fontId="13" fillId="0" borderId="27" xfId="0" applyFont="1" applyFill="1" applyBorder="1" applyAlignment="1" applyProtection="1">
      <alignment horizontal="left" vertical="center"/>
      <protection locked="0"/>
    </xf>
    <xf numFmtId="0" fontId="13" fillId="0" borderId="8" xfId="0" applyFont="1" applyFill="1" applyBorder="1" applyAlignment="1" applyProtection="1">
      <alignment horizontal="left" vertical="center"/>
      <protection locked="0"/>
    </xf>
    <xf numFmtId="49" fontId="0" fillId="0" borderId="59" xfId="0" applyNumberFormat="1" applyBorder="1" applyAlignment="1" applyProtection="1">
      <alignment horizontal="center" vertical="center"/>
      <protection locked="0"/>
    </xf>
    <xf numFmtId="0" fontId="13" fillId="3" borderId="82" xfId="0" applyFont="1" applyFill="1" applyBorder="1" applyAlignment="1" applyProtection="1">
      <alignment horizontal="left" vertical="center"/>
    </xf>
    <xf numFmtId="0" fontId="13" fillId="0" borderId="82" xfId="0" applyFont="1" applyBorder="1" applyAlignment="1" applyProtection="1">
      <alignment horizontal="left" vertical="center"/>
    </xf>
    <xf numFmtId="0" fontId="0" fillId="0" borderId="82" xfId="0" applyFont="1" applyBorder="1" applyAlignment="1" applyProtection="1">
      <alignment horizontal="left" vertical="center"/>
    </xf>
    <xf numFmtId="0" fontId="13" fillId="0" borderId="8" xfId="0" applyFont="1" applyFill="1" applyBorder="1" applyAlignment="1" applyProtection="1">
      <alignment horizontal="center" vertical="center"/>
      <protection locked="0"/>
    </xf>
    <xf numFmtId="49" fontId="13" fillId="0" borderId="53" xfId="0" applyNumberFormat="1" applyFont="1" applyFill="1" applyBorder="1" applyAlignment="1" applyProtection="1">
      <alignment horizontal="left" vertical="center"/>
      <protection locked="0"/>
    </xf>
    <xf numFmtId="49" fontId="13" fillId="0" borderId="53" xfId="0" applyNumberFormat="1" applyFont="1" applyBorder="1" applyAlignment="1" applyProtection="1">
      <alignment horizontal="left" vertical="center"/>
      <protection locked="0"/>
    </xf>
    <xf numFmtId="49" fontId="0" fillId="0" borderId="53" xfId="0" applyNumberFormat="1" applyFont="1" applyBorder="1" applyAlignment="1" applyProtection="1">
      <alignment horizontal="left" vertical="center"/>
      <protection locked="0"/>
    </xf>
    <xf numFmtId="49" fontId="0" fillId="0" borderId="53" xfId="0" applyNumberFormat="1" applyBorder="1" applyAlignment="1" applyProtection="1">
      <alignment horizontal="left" vertical="center"/>
      <protection locked="0"/>
    </xf>
    <xf numFmtId="0" fontId="13" fillId="3" borderId="7" xfId="0" applyFont="1" applyFill="1" applyBorder="1" applyAlignment="1" applyProtection="1">
      <alignment horizontal="left" vertical="center" wrapText="1"/>
    </xf>
    <xf numFmtId="0" fontId="13" fillId="3" borderId="8" xfId="0" applyFont="1" applyFill="1" applyBorder="1" applyAlignment="1" applyProtection="1">
      <alignment horizontal="left" vertical="center" wrapText="1"/>
    </xf>
    <xf numFmtId="0" fontId="13" fillId="3" borderId="8" xfId="0" applyFont="1" applyFill="1" applyBorder="1" applyAlignment="1" applyProtection="1">
      <alignment horizontal="center" vertical="center"/>
    </xf>
    <xf numFmtId="0" fontId="13" fillId="0" borderId="8" xfId="0" applyFont="1" applyBorder="1" applyAlignment="1" applyProtection="1">
      <alignment horizontal="center" vertical="center"/>
    </xf>
    <xf numFmtId="187" fontId="29" fillId="0" borderId="8" xfId="0" applyNumberFormat="1" applyFont="1" applyFill="1" applyBorder="1" applyAlignment="1" applyProtection="1">
      <alignment horizontal="center" vertical="center"/>
      <protection locked="0"/>
    </xf>
    <xf numFmtId="187" fontId="13" fillId="0" borderId="8" xfId="0" applyNumberFormat="1" applyFont="1" applyBorder="1" applyAlignment="1" applyProtection="1">
      <alignment horizontal="center" vertical="center"/>
      <protection locked="0"/>
    </xf>
    <xf numFmtId="187" fontId="0" fillId="0" borderId="8" xfId="0" applyNumberFormat="1" applyBorder="1" applyAlignment="1" applyProtection="1">
      <alignment horizontal="center" vertical="center"/>
      <protection locked="0"/>
    </xf>
    <xf numFmtId="0" fontId="13" fillId="3" borderId="59" xfId="0" applyFont="1" applyFill="1" applyBorder="1" applyAlignment="1" applyProtection="1">
      <alignment horizontal="left" vertical="center"/>
    </xf>
    <xf numFmtId="0" fontId="0" fillId="0" borderId="59" xfId="0" applyFont="1" applyBorder="1" applyAlignment="1" applyProtection="1">
      <alignment horizontal="left" vertical="center"/>
    </xf>
    <xf numFmtId="0" fontId="29" fillId="0" borderId="8" xfId="0" applyNumberFormat="1" applyFont="1" applyFill="1" applyBorder="1" applyAlignment="1" applyProtection="1">
      <alignment horizontal="center" vertical="center"/>
      <protection locked="0"/>
    </xf>
    <xf numFmtId="0" fontId="13" fillId="0" borderId="8" xfId="0" applyNumberFormat="1" applyFont="1" applyBorder="1" applyAlignment="1" applyProtection="1">
      <alignment horizontal="center" vertical="center"/>
      <protection locked="0"/>
    </xf>
    <xf numFmtId="0" fontId="0" fillId="0" borderId="8" xfId="0" applyNumberFormat="1" applyBorder="1" applyAlignment="1" applyProtection="1">
      <alignment horizontal="center" vertical="center"/>
      <protection locked="0"/>
    </xf>
    <xf numFmtId="0" fontId="13" fillId="3" borderId="8" xfId="0" applyFont="1" applyFill="1" applyBorder="1" applyAlignment="1" applyProtection="1">
      <alignment horizontal="center" vertical="center" wrapText="1"/>
    </xf>
    <xf numFmtId="0" fontId="13" fillId="3" borderId="9" xfId="0" applyFont="1" applyFill="1" applyBorder="1" applyAlignment="1" applyProtection="1">
      <alignment horizontal="center" vertical="center" wrapText="1"/>
    </xf>
    <xf numFmtId="0" fontId="13" fillId="3" borderId="8" xfId="0" applyFont="1" applyFill="1" applyBorder="1" applyAlignment="1" applyProtection="1">
      <alignment horizontal="left" vertical="center"/>
    </xf>
    <xf numFmtId="0" fontId="0" fillId="0" borderId="8" xfId="0" applyFont="1" applyBorder="1" applyAlignment="1" applyProtection="1">
      <alignment horizontal="left" vertical="center"/>
    </xf>
    <xf numFmtId="0" fontId="13" fillId="0" borderId="8" xfId="0" applyFont="1" applyFill="1" applyBorder="1" applyAlignment="1" applyProtection="1">
      <alignment horizontal="center" vertical="center" wrapText="1"/>
      <protection locked="0"/>
    </xf>
    <xf numFmtId="0" fontId="13" fillId="3" borderId="51" xfId="0" applyFont="1" applyFill="1" applyBorder="1" applyAlignment="1" applyProtection="1">
      <alignment horizontal="left" vertical="center" shrinkToFit="1"/>
    </xf>
    <xf numFmtId="0" fontId="0" fillId="0" borderId="51" xfId="0" applyFont="1" applyBorder="1" applyAlignment="1" applyProtection="1">
      <alignment horizontal="left" vertical="center" shrinkToFit="1"/>
    </xf>
    <xf numFmtId="0" fontId="13" fillId="3" borderId="53" xfId="0" applyFont="1" applyFill="1" applyBorder="1" applyAlignment="1" applyProtection="1">
      <alignment horizontal="left" vertical="center"/>
    </xf>
    <xf numFmtId="0" fontId="0" fillId="3" borderId="53" xfId="0" applyFont="1" applyFill="1" applyBorder="1" applyAlignment="1" applyProtection="1">
      <alignment horizontal="left" vertical="center"/>
    </xf>
    <xf numFmtId="0" fontId="13" fillId="3" borderId="59" xfId="0" applyFont="1" applyFill="1" applyBorder="1" applyAlignment="1" applyProtection="1">
      <alignment horizontal="left" vertical="center" shrinkToFit="1"/>
    </xf>
    <xf numFmtId="0" fontId="0" fillId="0" borderId="59" xfId="0" applyFont="1" applyBorder="1" applyAlignment="1" applyProtection="1">
      <alignment horizontal="left" vertical="center" shrinkToFit="1"/>
    </xf>
    <xf numFmtId="0" fontId="22" fillId="3" borderId="37" xfId="0" applyFont="1" applyFill="1" applyBorder="1" applyAlignment="1" applyProtection="1">
      <alignment horizontal="left" vertical="center"/>
    </xf>
    <xf numFmtId="0" fontId="0" fillId="0" borderId="38" xfId="0" applyFont="1" applyBorder="1" applyAlignment="1" applyProtection="1">
      <alignment horizontal="left" vertical="center"/>
    </xf>
    <xf numFmtId="49" fontId="13" fillId="0" borderId="51" xfId="0" applyNumberFormat="1" applyFont="1" applyFill="1" applyBorder="1" applyAlignment="1" applyProtection="1">
      <alignment horizontal="center" vertical="center"/>
      <protection locked="0"/>
    </xf>
    <xf numFmtId="0" fontId="13" fillId="3"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0" borderId="0" xfId="0" applyFont="1" applyBorder="1" applyAlignment="1" applyProtection="1">
      <alignment horizontal="left" vertical="center"/>
    </xf>
    <xf numFmtId="0" fontId="0" fillId="0" borderId="2" xfId="0" applyFont="1" applyBorder="1" applyAlignment="1" applyProtection="1">
      <alignment horizontal="left" vertical="center"/>
    </xf>
    <xf numFmtId="0" fontId="13" fillId="3" borderId="0" xfId="0" applyFont="1" applyFill="1" applyBorder="1" applyAlignment="1" applyProtection="1">
      <alignment horizontal="center" vertical="center"/>
    </xf>
    <xf numFmtId="0" fontId="13" fillId="3" borderId="27" xfId="0" applyFont="1" applyFill="1" applyBorder="1" applyAlignment="1" applyProtection="1">
      <alignment horizontal="left" vertical="center" shrinkToFit="1"/>
    </xf>
    <xf numFmtId="0" fontId="13" fillId="3" borderId="27" xfId="0" applyFont="1" applyFill="1" applyBorder="1" applyAlignment="1" applyProtection="1">
      <alignment horizontal="center" vertical="center"/>
    </xf>
    <xf numFmtId="0" fontId="0" fillId="3" borderId="59" xfId="0" applyFill="1" applyBorder="1" applyAlignment="1" applyProtection="1">
      <alignment horizontal="center" vertical="center"/>
    </xf>
    <xf numFmtId="0" fontId="0" fillId="3" borderId="8" xfId="0" applyFont="1" applyFill="1" applyBorder="1" applyAlignment="1" applyProtection="1">
      <alignment horizontal="left" vertical="center"/>
    </xf>
    <xf numFmtId="0" fontId="0" fillId="0" borderId="53" xfId="0" applyFont="1" applyBorder="1" applyAlignment="1" applyProtection="1">
      <alignment horizontal="left" vertical="center"/>
    </xf>
    <xf numFmtId="0" fontId="22" fillId="3" borderId="27" xfId="0" applyFont="1" applyFill="1" applyBorder="1" applyAlignment="1" applyProtection="1">
      <alignment horizontal="left" vertical="center"/>
    </xf>
    <xf numFmtId="0" fontId="22" fillId="0" borderId="27" xfId="0" applyFont="1" applyBorder="1" applyAlignment="1" applyProtection="1">
      <alignment horizontal="left" vertical="center"/>
    </xf>
    <xf numFmtId="0" fontId="13" fillId="3" borderId="51" xfId="0" applyFont="1" applyFill="1" applyBorder="1" applyAlignment="1" applyProtection="1">
      <alignment horizontal="left" vertical="center"/>
    </xf>
    <xf numFmtId="0" fontId="13" fillId="0" borderId="51" xfId="0" applyFont="1" applyBorder="1" applyAlignment="1" applyProtection="1">
      <alignment horizontal="left" vertical="center"/>
    </xf>
    <xf numFmtId="0" fontId="0" fillId="0" borderId="51" xfId="0" applyFont="1" applyBorder="1" applyAlignment="1" applyProtection="1">
      <alignment horizontal="left" vertical="center"/>
    </xf>
    <xf numFmtId="0" fontId="0" fillId="3" borderId="51" xfId="0" applyFill="1" applyBorder="1" applyAlignment="1" applyProtection="1">
      <alignment horizontal="center" vertical="center"/>
    </xf>
    <xf numFmtId="49" fontId="0" fillId="0" borderId="51" xfId="0" applyNumberFormat="1" applyBorder="1" applyAlignment="1" applyProtection="1">
      <alignment horizontal="center" vertical="center"/>
      <protection locked="0"/>
    </xf>
    <xf numFmtId="0" fontId="85" fillId="0" borderId="0" xfId="1" applyFont="1" applyBorder="1" applyAlignment="1" applyProtection="1">
      <alignment horizontal="center" vertical="center" shrinkToFit="1"/>
    </xf>
    <xf numFmtId="49" fontId="13" fillId="0" borderId="27" xfId="0" applyNumberFormat="1" applyFont="1" applyFill="1"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13" fillId="0" borderId="53" xfId="0" applyFont="1" applyFill="1" applyBorder="1" applyAlignment="1" applyProtection="1">
      <alignment horizontal="center" vertical="center"/>
      <protection locked="0"/>
    </xf>
    <xf numFmtId="0" fontId="0" fillId="0" borderId="53" xfId="0" applyBorder="1" applyAlignment="1" applyProtection="1">
      <alignment horizontal="center" vertical="center"/>
      <protection locked="0"/>
    </xf>
    <xf numFmtId="0" fontId="85" fillId="0" borderId="0" xfId="1" quotePrefix="1" applyFont="1" applyBorder="1" applyAlignment="1" applyProtection="1">
      <alignment horizontal="center" vertical="center" shrinkToFit="1"/>
    </xf>
    <xf numFmtId="0" fontId="11" fillId="0" borderId="0" xfId="1" applyBorder="1" applyAlignment="1" applyProtection="1">
      <alignment horizontal="center" vertical="center" shrinkToFit="1"/>
    </xf>
    <xf numFmtId="0" fontId="12" fillId="3" borderId="16" xfId="0" applyFont="1" applyFill="1" applyBorder="1" applyAlignment="1" applyProtection="1">
      <alignment horizontal="left" vertical="center"/>
    </xf>
    <xf numFmtId="0" fontId="0" fillId="0" borderId="16" xfId="0" applyBorder="1" applyAlignment="1" applyProtection="1">
      <alignment horizontal="left" vertical="center"/>
    </xf>
    <xf numFmtId="0" fontId="13" fillId="0" borderId="51" xfId="0" applyFont="1" applyBorder="1" applyAlignment="1" applyProtection="1">
      <alignment horizontal="left" vertical="center" shrinkToFit="1"/>
    </xf>
    <xf numFmtId="0" fontId="0" fillId="3" borderId="52" xfId="0" applyFill="1" applyBorder="1" applyAlignment="1" applyProtection="1">
      <alignment vertical="center"/>
    </xf>
    <xf numFmtId="0" fontId="13" fillId="0" borderId="71" xfId="0" applyFont="1" applyFill="1" applyBorder="1" applyAlignment="1" applyProtection="1">
      <alignment horizontal="left" vertical="center" wrapText="1"/>
      <protection locked="0"/>
    </xf>
    <xf numFmtId="0" fontId="13" fillId="0" borderId="72" xfId="0" applyFont="1" applyBorder="1" applyAlignment="1" applyProtection="1">
      <alignment horizontal="left" vertical="center" wrapText="1"/>
      <protection locked="0"/>
    </xf>
    <xf numFmtId="0" fontId="13" fillId="0" borderId="72" xfId="0" applyFont="1" applyBorder="1" applyAlignment="1" applyProtection="1">
      <alignment horizontal="left" vertical="center"/>
      <protection locked="0"/>
    </xf>
    <xf numFmtId="0" fontId="13" fillId="0" borderId="26" xfId="0" applyFont="1" applyBorder="1" applyAlignment="1" applyProtection="1">
      <alignment horizontal="left" vertical="center"/>
      <protection locked="0"/>
    </xf>
    <xf numFmtId="0" fontId="13" fillId="3" borderId="51" xfId="0" applyFont="1" applyFill="1" applyBorder="1" applyAlignment="1" applyProtection="1">
      <alignment horizontal="left" vertical="center" wrapText="1"/>
    </xf>
    <xf numFmtId="0" fontId="0" fillId="0" borderId="51" xfId="0" applyFont="1" applyBorder="1" applyAlignment="1" applyProtection="1">
      <alignment horizontal="left" vertical="center" wrapText="1"/>
    </xf>
    <xf numFmtId="0" fontId="0" fillId="0" borderId="7" xfId="0" applyFont="1" applyBorder="1" applyAlignment="1" applyProtection="1">
      <alignment horizontal="center" vertical="center"/>
    </xf>
    <xf numFmtId="0" fontId="0" fillId="0" borderId="8" xfId="0" applyFont="1" applyBorder="1" applyAlignment="1" applyProtection="1">
      <alignment horizontal="center" vertical="center"/>
    </xf>
    <xf numFmtId="0" fontId="0" fillId="0" borderId="9" xfId="0" applyFont="1" applyBorder="1" applyAlignment="1" applyProtection="1">
      <alignment horizontal="center" vertical="center"/>
    </xf>
    <xf numFmtId="0" fontId="49" fillId="0" borderId="3" xfId="0" applyFont="1" applyFill="1" applyBorder="1" applyAlignment="1" applyProtection="1">
      <alignment horizontal="center" vertical="center" wrapText="1"/>
    </xf>
    <xf numFmtId="0" fontId="49" fillId="0" borderId="1" xfId="0" applyFont="1" applyBorder="1" applyAlignment="1" applyProtection="1">
      <alignment horizontal="center" vertical="center" wrapText="1"/>
    </xf>
    <xf numFmtId="0" fontId="49" fillId="0" borderId="6" xfId="0" applyFont="1" applyBorder="1" applyAlignment="1" applyProtection="1">
      <alignment horizontal="center" vertical="center" wrapText="1"/>
    </xf>
    <xf numFmtId="0" fontId="22" fillId="0" borderId="28" xfId="0" applyFont="1" applyBorder="1" applyAlignment="1" applyProtection="1">
      <alignment horizontal="center" vertical="center" wrapText="1"/>
    </xf>
    <xf numFmtId="0" fontId="22" fillId="0" borderId="2" xfId="0" applyFont="1" applyBorder="1" applyAlignment="1" applyProtection="1">
      <alignment horizontal="center" vertical="center" wrapText="1"/>
    </xf>
    <xf numFmtId="0" fontId="22" fillId="0" borderId="11" xfId="0" applyFont="1" applyBorder="1" applyAlignment="1" applyProtection="1">
      <alignment horizontal="center" vertical="center" wrapText="1"/>
    </xf>
    <xf numFmtId="0" fontId="6" fillId="0" borderId="16" xfId="0" applyFont="1" applyBorder="1" applyAlignment="1" applyProtection="1">
      <alignment horizontal="center" vertical="center" wrapText="1"/>
    </xf>
    <xf numFmtId="0" fontId="6" fillId="0" borderId="15" xfId="0" applyFont="1" applyBorder="1" applyAlignment="1" applyProtection="1">
      <alignment horizontal="center" vertical="center" wrapText="1"/>
    </xf>
    <xf numFmtId="0" fontId="6" fillId="0" borderId="18" xfId="0" applyFont="1" applyBorder="1" applyAlignment="1" applyProtection="1">
      <alignment horizontal="center" vertical="center" wrapText="1" shrinkToFit="1"/>
    </xf>
    <xf numFmtId="0" fontId="6" fillId="0" borderId="68" xfId="0" applyFont="1" applyBorder="1" applyAlignment="1" applyProtection="1">
      <alignment horizontal="center" vertical="center" wrapText="1" shrinkToFit="1"/>
    </xf>
    <xf numFmtId="0" fontId="6" fillId="0" borderId="75" xfId="0" applyFont="1" applyBorder="1" applyAlignment="1" applyProtection="1">
      <alignment horizontal="center" vertical="center" wrapText="1" shrinkToFit="1"/>
    </xf>
    <xf numFmtId="0" fontId="6" fillId="0" borderId="21" xfId="0" applyFont="1" applyBorder="1" applyAlignment="1" applyProtection="1">
      <alignment horizontal="center" vertical="center"/>
    </xf>
    <xf numFmtId="0" fontId="6" fillId="0" borderId="16" xfId="0" applyFont="1" applyBorder="1" applyAlignment="1" applyProtection="1">
      <alignment horizontal="center" vertical="center"/>
    </xf>
    <xf numFmtId="0" fontId="6" fillId="0" borderId="15" xfId="0" applyFont="1" applyBorder="1" applyAlignment="1" applyProtection="1">
      <alignment horizontal="center" vertical="center"/>
    </xf>
    <xf numFmtId="0" fontId="0" fillId="0" borderId="108" xfId="0" applyFont="1" applyBorder="1" applyAlignment="1" applyProtection="1">
      <alignment horizontal="center" vertical="center" wrapText="1"/>
      <protection locked="0"/>
    </xf>
    <xf numFmtId="0" fontId="27" fillId="3" borderId="130" xfId="0" applyFont="1" applyFill="1" applyBorder="1" applyAlignment="1" applyProtection="1">
      <alignment horizontal="center" vertical="center"/>
    </xf>
    <xf numFmtId="0" fontId="27" fillId="3" borderId="51" xfId="0" applyFont="1" applyFill="1" applyBorder="1" applyAlignment="1" applyProtection="1">
      <alignment horizontal="center" vertical="center"/>
    </xf>
    <xf numFmtId="0" fontId="27" fillId="3" borderId="64" xfId="0" applyFont="1" applyFill="1" applyBorder="1" applyAlignment="1" applyProtection="1">
      <alignment horizontal="center" vertical="center"/>
    </xf>
    <xf numFmtId="0" fontId="27" fillId="0" borderId="107" xfId="0" applyFont="1" applyBorder="1" applyAlignment="1" applyProtection="1">
      <alignment horizontal="center" vertical="center" wrapText="1"/>
      <protection locked="0"/>
    </xf>
    <xf numFmtId="0" fontId="27" fillId="0" borderId="108" xfId="0" applyFont="1" applyBorder="1" applyAlignment="1" applyProtection="1">
      <alignment horizontal="center" vertical="center" wrapText="1"/>
      <protection locked="0"/>
    </xf>
    <xf numFmtId="0" fontId="27" fillId="0" borderId="108" xfId="0" applyFont="1" applyBorder="1" applyAlignment="1" applyProtection="1">
      <alignment horizontal="center" vertical="center"/>
      <protection locked="0"/>
    </xf>
    <xf numFmtId="0" fontId="27" fillId="3" borderId="145" xfId="0" applyFont="1" applyFill="1" applyBorder="1" applyAlignment="1" applyProtection="1">
      <alignment vertical="center"/>
    </xf>
    <xf numFmtId="0" fontId="27" fillId="3" borderId="27" xfId="0" applyFont="1" applyFill="1" applyBorder="1" applyAlignment="1" applyProtection="1">
      <alignment vertical="center"/>
    </xf>
    <xf numFmtId="0" fontId="27" fillId="3" borderId="62" xfId="0" applyFont="1" applyFill="1" applyBorder="1" applyAlignment="1" applyProtection="1">
      <alignment vertical="center"/>
    </xf>
    <xf numFmtId="0" fontId="0" fillId="0" borderId="107" xfId="0" applyFont="1" applyBorder="1" applyAlignment="1" applyProtection="1">
      <alignment horizontal="center" vertical="center" wrapText="1"/>
      <protection locked="0"/>
    </xf>
    <xf numFmtId="0" fontId="27" fillId="0" borderId="107" xfId="0" applyFont="1" applyBorder="1" applyAlignment="1" applyProtection="1">
      <alignment horizontal="center" vertical="center"/>
      <protection locked="0"/>
    </xf>
    <xf numFmtId="0" fontId="6" fillId="0" borderId="0" xfId="0" applyFont="1" applyFill="1" applyBorder="1" applyAlignment="1" applyProtection="1">
      <alignment horizontal="center" vertical="center"/>
    </xf>
    <xf numFmtId="0" fontId="0" fillId="0" borderId="107" xfId="0" applyFont="1" applyBorder="1" applyAlignment="1" applyProtection="1">
      <alignment horizontal="left" vertical="center"/>
      <protection locked="0"/>
    </xf>
    <xf numFmtId="0" fontId="0" fillId="0" borderId="51" xfId="0" applyFont="1" applyFill="1" applyBorder="1" applyAlignment="1" applyProtection="1">
      <alignment horizontal="left" vertical="top" wrapText="1"/>
    </xf>
    <xf numFmtId="0" fontId="6" fillId="0" borderId="0" xfId="0" applyFont="1" applyFill="1" applyBorder="1" applyAlignment="1" applyProtection="1">
      <alignment horizontal="center" vertical="center" wrapText="1"/>
    </xf>
    <xf numFmtId="0" fontId="0" fillId="0" borderId="3" xfId="0" applyFont="1" applyFill="1"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6" xfId="0" applyBorder="1" applyAlignment="1" applyProtection="1">
      <alignment horizontal="center" vertical="center" wrapText="1"/>
    </xf>
    <xf numFmtId="0" fontId="0" fillId="0" borderId="28" xfId="0" applyBorder="1" applyAlignment="1" applyProtection="1">
      <alignment horizontal="center" vertical="center" wrapText="1"/>
    </xf>
    <xf numFmtId="0" fontId="0" fillId="0" borderId="2" xfId="0" applyBorder="1" applyAlignment="1" applyProtection="1">
      <alignment horizontal="center" vertical="center" wrapText="1"/>
    </xf>
    <xf numFmtId="0" fontId="0" fillId="0" borderId="11" xfId="0" applyBorder="1" applyAlignment="1" applyProtection="1">
      <alignment horizontal="center" vertical="center" wrapText="1"/>
    </xf>
    <xf numFmtId="0" fontId="6" fillId="0" borderId="81" xfId="0" applyFont="1" applyBorder="1" applyAlignment="1" applyProtection="1">
      <alignment horizontal="center" vertical="center" wrapText="1"/>
    </xf>
    <xf numFmtId="0" fontId="6" fillId="0" borderId="8" xfId="0" applyFont="1" applyBorder="1" applyAlignment="1" applyProtection="1">
      <alignment horizontal="center" vertical="center" wrapText="1"/>
    </xf>
    <xf numFmtId="0" fontId="6" fillId="0" borderId="36" xfId="0" applyFont="1" applyBorder="1" applyAlignment="1" applyProtection="1">
      <alignment horizontal="center" vertical="center" wrapText="1"/>
    </xf>
    <xf numFmtId="0" fontId="0" fillId="0" borderId="107" xfId="0" applyFont="1" applyBorder="1" applyAlignment="1" applyProtection="1">
      <alignment horizontal="center" vertical="center"/>
      <protection locked="0"/>
    </xf>
    <xf numFmtId="0" fontId="27" fillId="11" borderId="38" xfId="0" applyFont="1" applyFill="1" applyBorder="1" applyAlignment="1" applyProtection="1">
      <alignment wrapText="1"/>
    </xf>
    <xf numFmtId="0" fontId="27" fillId="3" borderId="128" xfId="0" applyFont="1" applyFill="1" applyBorder="1" applyAlignment="1" applyProtection="1">
      <alignment vertical="center" wrapText="1"/>
    </xf>
    <xf numFmtId="0" fontId="27" fillId="3" borderId="53" xfId="0" applyFont="1" applyFill="1" applyBorder="1" applyAlignment="1" applyProtection="1">
      <alignment vertical="center" wrapText="1"/>
    </xf>
    <xf numFmtId="0" fontId="27" fillId="3" borderId="65" xfId="0" applyFont="1" applyFill="1" applyBorder="1" applyAlignment="1" applyProtection="1">
      <alignment vertical="center" wrapText="1"/>
    </xf>
    <xf numFmtId="0" fontId="27" fillId="3" borderId="38" xfId="0" applyFont="1" applyFill="1" applyBorder="1" applyAlignment="1" applyProtection="1">
      <alignment wrapText="1"/>
    </xf>
    <xf numFmtId="0" fontId="27" fillId="3" borderId="0" xfId="0" applyFont="1" applyFill="1" applyBorder="1" applyAlignment="1" applyProtection="1">
      <alignment wrapText="1"/>
    </xf>
    <xf numFmtId="0" fontId="11" fillId="3" borderId="0" xfId="1" applyFill="1" applyBorder="1" applyAlignment="1" applyProtection="1">
      <alignment vertical="center" wrapText="1"/>
    </xf>
    <xf numFmtId="0" fontId="11" fillId="3" borderId="20" xfId="1" applyFill="1" applyBorder="1" applyAlignment="1" applyProtection="1">
      <alignment vertical="center" wrapText="1"/>
    </xf>
    <xf numFmtId="0" fontId="27" fillId="3" borderId="0" xfId="0" applyFont="1" applyFill="1" applyAlignment="1" applyProtection="1">
      <alignment vertical="top" wrapText="1"/>
    </xf>
    <xf numFmtId="0" fontId="27" fillId="3" borderId="0" xfId="0" applyFont="1" applyFill="1" applyAlignment="1" applyProtection="1">
      <alignment vertical="center" wrapText="1"/>
    </xf>
    <xf numFmtId="0" fontId="27" fillId="3" borderId="38" xfId="0" applyFont="1" applyFill="1" applyBorder="1" applyAlignment="1" applyProtection="1">
      <alignment vertical="center" wrapText="1"/>
    </xf>
    <xf numFmtId="0" fontId="27" fillId="3" borderId="0" xfId="0" applyFont="1" applyFill="1" applyBorder="1" applyAlignment="1" applyProtection="1">
      <alignment vertical="center" wrapText="1"/>
    </xf>
    <xf numFmtId="0" fontId="27" fillId="0" borderId="125" xfId="0" applyFont="1" applyBorder="1" applyAlignment="1" applyProtection="1">
      <alignment horizontal="center" vertical="center" wrapText="1"/>
      <protection locked="0"/>
    </xf>
    <xf numFmtId="0" fontId="27" fillId="0" borderId="125" xfId="0" applyFont="1" applyBorder="1" applyAlignment="1" applyProtection="1">
      <alignment horizontal="center" vertical="center"/>
      <protection locked="0"/>
    </xf>
    <xf numFmtId="0" fontId="27" fillId="3" borderId="128" xfId="0" applyFont="1" applyFill="1" applyBorder="1" applyAlignment="1" applyProtection="1">
      <alignment horizontal="center" vertical="center"/>
    </xf>
    <xf numFmtId="0" fontId="27" fillId="3" borderId="53" xfId="0" applyFont="1" applyFill="1" applyBorder="1" applyAlignment="1" applyProtection="1">
      <alignment horizontal="center" vertical="center"/>
    </xf>
    <xf numFmtId="0" fontId="27" fillId="3" borderId="65" xfId="0" applyFont="1" applyFill="1" applyBorder="1" applyAlignment="1" applyProtection="1">
      <alignment horizontal="center" vertical="center"/>
    </xf>
    <xf numFmtId="49" fontId="0" fillId="0" borderId="104" xfId="0" applyNumberFormat="1" applyFont="1" applyBorder="1" applyAlignment="1" applyProtection="1">
      <alignment horizontal="left" vertical="center" wrapText="1"/>
      <protection locked="0"/>
    </xf>
    <xf numFmtId="49" fontId="0" fillId="0" borderId="108" xfId="0" applyNumberFormat="1" applyFont="1" applyBorder="1" applyAlignment="1" applyProtection="1">
      <alignment horizontal="left" vertical="center" wrapText="1"/>
      <protection locked="0"/>
    </xf>
    <xf numFmtId="0" fontId="85" fillId="0" borderId="0" xfId="1" applyFont="1" applyAlignment="1" applyProtection="1">
      <alignment horizontal="center" vertical="center" shrinkToFit="1"/>
    </xf>
    <xf numFmtId="0" fontId="13" fillId="0" borderId="53" xfId="0" applyFont="1" applyBorder="1" applyAlignment="1" applyProtection="1">
      <alignment horizontal="left" vertical="center"/>
    </xf>
    <xf numFmtId="0" fontId="0" fillId="2" borderId="4" xfId="0" applyFont="1" applyFill="1" applyBorder="1" applyAlignment="1" applyProtection="1">
      <alignment horizontal="left" vertical="center"/>
    </xf>
    <xf numFmtId="0" fontId="0" fillId="6" borderId="4" xfId="0" applyFont="1" applyFill="1" applyBorder="1" applyAlignment="1" applyProtection="1">
      <alignment horizontal="left" vertical="center"/>
    </xf>
    <xf numFmtId="0" fontId="84" fillId="3" borderId="29" xfId="1" applyFont="1" applyFill="1" applyBorder="1" applyAlignment="1" applyProtection="1">
      <alignment vertical="center"/>
    </xf>
    <xf numFmtId="0" fontId="27" fillId="11" borderId="0" xfId="0" applyFont="1" applyFill="1" applyBorder="1" applyAlignment="1" applyProtection="1">
      <alignment vertical="center" wrapText="1"/>
    </xf>
    <xf numFmtId="0" fontId="11" fillId="0" borderId="0" xfId="1" applyFill="1" applyAlignment="1" applyProtection="1">
      <alignment horizontal="center" vertical="center"/>
    </xf>
    <xf numFmtId="0" fontId="13" fillId="3" borderId="29" xfId="0" applyFont="1" applyFill="1" applyBorder="1" applyAlignment="1" applyProtection="1">
      <alignment horizontal="left" vertical="center"/>
    </xf>
    <xf numFmtId="0" fontId="13" fillId="3" borderId="82" xfId="0" applyFont="1" applyFill="1" applyBorder="1" applyAlignment="1" applyProtection="1">
      <alignment horizontal="center" vertical="center"/>
    </xf>
    <xf numFmtId="0" fontId="13" fillId="3" borderId="27" xfId="0" applyFont="1" applyFill="1" applyBorder="1" applyAlignment="1" applyProtection="1">
      <alignment horizontal="left" vertical="center"/>
    </xf>
    <xf numFmtId="0" fontId="0" fillId="0" borderId="27" xfId="0" applyFont="1" applyBorder="1" applyAlignment="1" applyProtection="1">
      <alignment horizontal="left" vertical="center"/>
    </xf>
    <xf numFmtId="0" fontId="13" fillId="3" borderId="0" xfId="0" applyFont="1" applyFill="1" applyBorder="1" applyAlignment="1" applyProtection="1">
      <alignment horizontal="left" vertical="center"/>
    </xf>
    <xf numFmtId="0" fontId="13" fillId="3" borderId="52" xfId="0" applyFont="1" applyFill="1" applyBorder="1" applyAlignment="1" applyProtection="1">
      <alignment horizontal="left" vertical="center"/>
    </xf>
    <xf numFmtId="0" fontId="13" fillId="3" borderId="52" xfId="0" applyFont="1" applyFill="1" applyBorder="1" applyAlignment="1" applyProtection="1">
      <alignment horizontal="center" vertical="center"/>
    </xf>
    <xf numFmtId="0" fontId="13" fillId="3" borderId="1" xfId="0" applyFont="1" applyFill="1" applyBorder="1" applyAlignment="1" applyProtection="1">
      <alignment horizontal="left" vertical="center" shrinkToFit="1"/>
    </xf>
    <xf numFmtId="0" fontId="0" fillId="0" borderId="1" xfId="0" applyFont="1" applyBorder="1" applyAlignment="1" applyProtection="1">
      <alignment horizontal="left" vertical="center" shrinkToFit="1"/>
    </xf>
    <xf numFmtId="0" fontId="0" fillId="0" borderId="0" xfId="0" applyFont="1" applyBorder="1" applyAlignment="1" applyProtection="1">
      <alignment horizontal="left" vertical="center" shrinkToFit="1"/>
    </xf>
    <xf numFmtId="0" fontId="0" fillId="0" borderId="20" xfId="0" applyFont="1" applyBorder="1" applyAlignment="1" applyProtection="1">
      <alignment horizontal="left" vertical="center" shrinkToFit="1"/>
    </xf>
    <xf numFmtId="0" fontId="0" fillId="3" borderId="27" xfId="0" applyFont="1" applyFill="1" applyBorder="1" applyAlignment="1" applyProtection="1">
      <alignment horizontal="left" vertical="center"/>
    </xf>
    <xf numFmtId="0" fontId="13" fillId="0" borderId="27" xfId="0" applyFont="1" applyFill="1" applyBorder="1" applyAlignment="1" applyProtection="1">
      <alignment vertical="center"/>
      <protection locked="0"/>
    </xf>
    <xf numFmtId="0" fontId="0" fillId="0" borderId="53" xfId="0" applyFont="1" applyBorder="1" applyAlignment="1" applyProtection="1">
      <alignment horizontal="center" vertical="center"/>
      <protection locked="0"/>
    </xf>
    <xf numFmtId="0" fontId="13" fillId="0" borderId="82" xfId="0" applyFont="1" applyFill="1" applyBorder="1" applyAlignment="1" applyProtection="1">
      <alignment horizontal="center" vertical="center"/>
      <protection locked="0"/>
    </xf>
    <xf numFmtId="0" fontId="27" fillId="11" borderId="0" xfId="0" applyFont="1" applyFill="1" applyAlignment="1" applyProtection="1">
      <alignment vertical="top" wrapText="1"/>
    </xf>
    <xf numFmtId="0" fontId="27" fillId="3" borderId="0" xfId="0" applyFont="1" applyFill="1" applyAlignment="1" applyProtection="1">
      <alignment wrapText="1"/>
    </xf>
    <xf numFmtId="0" fontId="27" fillId="3" borderId="0" xfId="0" applyFont="1" applyFill="1" applyAlignment="1" applyProtection="1">
      <alignment horizontal="left" vertical="top" wrapText="1"/>
    </xf>
    <xf numFmtId="0" fontId="27" fillId="3" borderId="0" xfId="0" applyFont="1" applyFill="1" applyAlignment="1" applyProtection="1">
      <alignment horizontal="left" wrapText="1"/>
    </xf>
    <xf numFmtId="0" fontId="0" fillId="0" borderId="27" xfId="0" applyFont="1" applyFill="1" applyBorder="1" applyAlignment="1" applyProtection="1">
      <alignment horizontal="left" vertical="top" wrapText="1"/>
    </xf>
    <xf numFmtId="0" fontId="0" fillId="0" borderId="104" xfId="0" applyFont="1" applyBorder="1" applyAlignment="1" applyProtection="1">
      <alignment horizontal="center" vertical="center"/>
      <protection locked="0"/>
    </xf>
    <xf numFmtId="0" fontId="13" fillId="0" borderId="51" xfId="0" applyFont="1" applyBorder="1" applyAlignment="1" applyProtection="1">
      <alignment horizontal="left" vertical="center" wrapText="1"/>
    </xf>
    <xf numFmtId="0" fontId="90" fillId="3" borderId="0" xfId="0" applyFont="1" applyFill="1" applyAlignment="1" applyProtection="1">
      <alignment vertical="center" wrapText="1"/>
    </xf>
    <xf numFmtId="0" fontId="13" fillId="3" borderId="53" xfId="0" applyFont="1" applyFill="1" applyBorder="1" applyAlignment="1" applyProtection="1">
      <alignment horizontal="left" vertical="center" wrapText="1"/>
    </xf>
    <xf numFmtId="0" fontId="13" fillId="0" borderId="53" xfId="0" applyFont="1" applyBorder="1" applyAlignment="1" applyProtection="1">
      <alignment horizontal="left" vertical="center" wrapText="1"/>
    </xf>
    <xf numFmtId="0" fontId="45" fillId="0" borderId="8" xfId="0" applyFont="1" applyFill="1" applyBorder="1" applyAlignment="1" applyProtection="1">
      <alignment horizontal="left" vertical="top" wrapText="1"/>
    </xf>
    <xf numFmtId="0" fontId="0" fillId="0" borderId="1" xfId="0" quotePrefix="1" applyFont="1" applyFill="1" applyBorder="1" applyAlignment="1" applyProtection="1">
      <alignment horizontal="center" vertical="center"/>
    </xf>
    <xf numFmtId="0" fontId="0" fillId="0" borderId="1" xfId="0" quotePrefix="1" applyFont="1" applyFill="1" applyBorder="1" applyAlignment="1" applyProtection="1">
      <alignment horizontal="center" vertical="center" wrapText="1"/>
    </xf>
    <xf numFmtId="0" fontId="0" fillId="0" borderId="125" xfId="0" applyFont="1" applyBorder="1" applyAlignment="1" applyProtection="1">
      <alignment horizontal="center" vertical="center"/>
      <protection locked="0"/>
    </xf>
    <xf numFmtId="0" fontId="0" fillId="0" borderId="8" xfId="0" applyFont="1" applyFill="1" applyBorder="1" applyAlignment="1" applyProtection="1">
      <alignment horizontal="left" vertical="top" wrapText="1"/>
    </xf>
    <xf numFmtId="0" fontId="0" fillId="0" borderId="9" xfId="0" quotePrefix="1" applyFont="1" applyFill="1" applyBorder="1" applyAlignment="1" applyProtection="1">
      <alignment horizontal="center" vertical="center" wrapText="1"/>
    </xf>
    <xf numFmtId="0" fontId="0" fillId="0" borderId="8" xfId="0" quotePrefix="1" applyFont="1" applyFill="1" applyBorder="1" applyAlignment="1" applyProtection="1">
      <alignment horizontal="center" vertical="center" wrapText="1"/>
    </xf>
    <xf numFmtId="0" fontId="6" fillId="0" borderId="13" xfId="0" applyFont="1" applyBorder="1" applyAlignment="1" applyProtection="1">
      <alignment horizontal="center" vertical="center" wrapText="1" shrinkToFit="1"/>
    </xf>
    <xf numFmtId="0" fontId="6" fillId="0" borderId="4" xfId="0" applyFont="1" applyBorder="1" applyAlignment="1" applyProtection="1">
      <alignment horizontal="center" vertical="center" wrapText="1" shrinkToFit="1"/>
    </xf>
    <xf numFmtId="0" fontId="6" fillId="0" borderId="7" xfId="0" applyFont="1" applyBorder="1" applyAlignment="1" applyProtection="1">
      <alignment horizontal="center" vertical="center" wrapText="1" shrinkToFit="1"/>
    </xf>
    <xf numFmtId="0" fontId="33" fillId="5" borderId="57" xfId="0" applyFont="1" applyFill="1" applyBorder="1" applyAlignment="1" applyProtection="1">
      <alignment horizontal="center" vertical="center" wrapText="1" shrinkToFit="1"/>
    </xf>
    <xf numFmtId="0" fontId="0" fillId="0" borderId="60" xfId="0" applyBorder="1" applyAlignment="1" applyProtection="1">
      <alignment horizontal="center" vertical="center" shrinkToFit="1"/>
    </xf>
    <xf numFmtId="0" fontId="6" fillId="0" borderId="21" xfId="0" applyFont="1" applyFill="1" applyBorder="1" applyAlignment="1" applyProtection="1">
      <alignment horizontal="left" vertical="center" wrapText="1"/>
    </xf>
    <xf numFmtId="0" fontId="6" fillId="0" borderId="144" xfId="0" applyFont="1" applyFill="1" applyBorder="1" applyAlignment="1" applyProtection="1">
      <alignment horizontal="left" vertical="center"/>
    </xf>
    <xf numFmtId="0" fontId="0" fillId="0" borderId="2" xfId="0" applyFont="1" applyFill="1" applyBorder="1" applyAlignment="1" applyProtection="1">
      <alignment horizontal="center" vertical="center" wrapText="1"/>
    </xf>
    <xf numFmtId="0" fontId="27" fillId="0" borderId="2" xfId="0" applyFont="1" applyFill="1" applyBorder="1" applyAlignment="1" applyProtection="1">
      <alignment horizontal="center" vertical="center" wrapText="1"/>
    </xf>
    <xf numFmtId="0" fontId="27" fillId="0" borderId="2" xfId="0" applyFont="1" applyFill="1" applyBorder="1" applyAlignment="1" applyProtection="1">
      <alignment horizontal="center" vertical="center"/>
    </xf>
    <xf numFmtId="0" fontId="27" fillId="3" borderId="135" xfId="0" applyFont="1" applyFill="1" applyBorder="1" applyAlignment="1" applyProtection="1">
      <alignment vertical="center"/>
    </xf>
    <xf numFmtId="0" fontId="27" fillId="3" borderId="8" xfId="0" applyFont="1" applyFill="1" applyBorder="1" applyAlignment="1" applyProtection="1">
      <alignment vertical="center"/>
    </xf>
    <xf numFmtId="0" fontId="27" fillId="3" borderId="36" xfId="0" applyFont="1" applyFill="1" applyBorder="1" applyAlignment="1" applyProtection="1">
      <alignment vertical="center"/>
    </xf>
    <xf numFmtId="0" fontId="27" fillId="0" borderId="109" xfId="0" applyFont="1" applyBorder="1" applyAlignment="1" applyProtection="1">
      <alignment horizontal="center" vertical="center" wrapText="1"/>
      <protection locked="0"/>
    </xf>
    <xf numFmtId="0" fontId="90" fillId="3" borderId="130" xfId="0" applyFont="1" applyFill="1" applyBorder="1" applyAlignment="1" applyProtection="1">
      <alignment vertical="center" wrapText="1" shrinkToFit="1"/>
    </xf>
    <xf numFmtId="0" fontId="90" fillId="3" borderId="51" xfId="0" applyFont="1" applyFill="1" applyBorder="1" applyAlignment="1" applyProtection="1">
      <alignment vertical="center" wrapText="1" shrinkToFit="1"/>
    </xf>
    <xf numFmtId="0" fontId="90" fillId="3" borderId="64" xfId="0" applyFont="1" applyFill="1" applyBorder="1" applyAlignment="1" applyProtection="1">
      <alignment vertical="center" wrapText="1" shrinkToFit="1"/>
    </xf>
    <xf numFmtId="0" fontId="27" fillId="3" borderId="130" xfId="0" applyFont="1" applyFill="1" applyBorder="1" applyAlignment="1" applyProtection="1">
      <alignment vertical="center" wrapText="1"/>
    </xf>
    <xf numFmtId="0" fontId="27" fillId="3" borderId="51" xfId="0" applyFont="1" applyFill="1" applyBorder="1" applyAlignment="1" applyProtection="1">
      <alignment vertical="center" wrapText="1"/>
    </xf>
    <xf numFmtId="0" fontId="27" fillId="3" borderId="64" xfId="0" applyFont="1" applyFill="1" applyBorder="1" applyAlignment="1" applyProtection="1">
      <alignment vertical="center" wrapText="1"/>
    </xf>
    <xf numFmtId="0" fontId="27" fillId="0" borderId="104" xfId="0" applyFont="1" applyBorder="1" applyAlignment="1" applyProtection="1">
      <alignment horizontal="center" vertical="center" wrapText="1"/>
      <protection locked="0"/>
    </xf>
    <xf numFmtId="0" fontId="27" fillId="0" borderId="104" xfId="0" applyFont="1" applyBorder="1" applyAlignment="1" applyProtection="1">
      <alignment horizontal="center" vertical="center"/>
      <protection locked="0"/>
    </xf>
    <xf numFmtId="0" fontId="0" fillId="0" borderId="109" xfId="0" applyFont="1" applyBorder="1" applyAlignment="1" applyProtection="1">
      <alignment horizontal="center" vertical="center" wrapText="1"/>
      <protection locked="0"/>
    </xf>
    <xf numFmtId="0" fontId="27" fillId="0" borderId="109" xfId="0" applyFont="1" applyBorder="1" applyAlignment="1" applyProtection="1">
      <alignment horizontal="center" vertical="center"/>
      <protection locked="0"/>
    </xf>
    <xf numFmtId="49" fontId="0" fillId="0" borderId="107" xfId="0" applyNumberFormat="1" applyFont="1" applyBorder="1" applyAlignment="1" applyProtection="1">
      <alignment horizontal="left" vertical="center" wrapText="1"/>
      <protection locked="0"/>
    </xf>
    <xf numFmtId="0" fontId="0" fillId="0" borderId="146" xfId="0" applyFont="1" applyBorder="1" applyAlignment="1" applyProtection="1">
      <alignment horizontal="center" vertical="center" wrapText="1"/>
      <protection locked="0"/>
    </xf>
    <xf numFmtId="0" fontId="0" fillId="0" borderId="104" xfId="0" applyFont="1" applyBorder="1" applyAlignment="1" applyProtection="1">
      <alignment horizontal="left" vertical="center"/>
      <protection locked="0"/>
    </xf>
    <xf numFmtId="49" fontId="0" fillId="0" borderId="111" xfId="0" applyNumberFormat="1" applyFont="1" applyBorder="1" applyAlignment="1" applyProtection="1">
      <alignment horizontal="left" vertical="center" wrapText="1"/>
      <protection locked="0"/>
    </xf>
    <xf numFmtId="49" fontId="0" fillId="0" borderId="109" xfId="0" applyNumberFormat="1" applyFont="1" applyBorder="1" applyAlignment="1" applyProtection="1">
      <alignment horizontal="left" vertical="center" wrapText="1"/>
      <protection locked="0"/>
    </xf>
    <xf numFmtId="0" fontId="0" fillId="0" borderId="104" xfId="0" applyFont="1" applyBorder="1" applyAlignment="1" applyProtection="1">
      <alignment horizontal="center" vertical="center" wrapText="1"/>
      <protection locked="0"/>
    </xf>
    <xf numFmtId="49" fontId="0" fillId="0" borderId="125" xfId="0" applyNumberFormat="1" applyFont="1" applyBorder="1" applyAlignment="1" applyProtection="1">
      <alignment horizontal="left" vertical="center" wrapText="1"/>
      <protection locked="0"/>
    </xf>
    <xf numFmtId="0" fontId="27" fillId="3" borderId="145" xfId="0" applyFont="1" applyFill="1" applyBorder="1" applyAlignment="1" applyProtection="1">
      <alignment vertical="center" wrapText="1"/>
    </xf>
    <xf numFmtId="0" fontId="27" fillId="3" borderId="27" xfId="0" applyFont="1" applyFill="1" applyBorder="1" applyAlignment="1" applyProtection="1">
      <alignment vertical="center" wrapText="1"/>
    </xf>
    <xf numFmtId="0" fontId="27" fillId="3" borderId="62" xfId="0" applyFont="1" applyFill="1" applyBorder="1" applyAlignment="1" applyProtection="1">
      <alignment vertical="center" wrapText="1"/>
    </xf>
    <xf numFmtId="0" fontId="0" fillId="0" borderId="0" xfId="0" applyFont="1" applyFill="1" applyBorder="1" applyAlignment="1" applyProtection="1">
      <alignment horizontal="center" vertical="center"/>
    </xf>
    <xf numFmtId="0" fontId="0" fillId="0" borderId="2" xfId="0" applyFont="1" applyFill="1" applyBorder="1" applyAlignment="1" applyProtection="1">
      <alignment horizontal="center" vertical="center"/>
    </xf>
    <xf numFmtId="0" fontId="0" fillId="0" borderId="131" xfId="0" applyFont="1" applyFill="1" applyBorder="1" applyAlignment="1" applyProtection="1">
      <alignment horizontal="left" vertical="top" wrapText="1"/>
    </xf>
    <xf numFmtId="0" fontId="0" fillId="0" borderId="0" xfId="0" applyFont="1" applyFill="1" applyBorder="1" applyAlignment="1" applyProtection="1">
      <alignment horizontal="center" vertical="center" wrapText="1"/>
    </xf>
    <xf numFmtId="0" fontId="0" fillId="0" borderId="130" xfId="0" applyFont="1" applyBorder="1" applyAlignment="1" applyProtection="1">
      <alignment horizontal="left" vertical="center"/>
      <protection locked="0"/>
    </xf>
    <xf numFmtId="0" fontId="0" fillId="0" borderId="51" xfId="0" applyFont="1" applyBorder="1" applyAlignment="1" applyProtection="1">
      <alignment horizontal="left" vertical="center"/>
      <protection locked="0"/>
    </xf>
    <xf numFmtId="0" fontId="0" fillId="0" borderId="131" xfId="0" applyFont="1" applyBorder="1" applyAlignment="1" applyProtection="1">
      <alignment horizontal="left" vertical="center"/>
      <protection locked="0"/>
    </xf>
    <xf numFmtId="0" fontId="0" fillId="0" borderId="108" xfId="0" applyFont="1" applyBorder="1" applyAlignment="1" applyProtection="1">
      <alignment horizontal="left" vertical="center"/>
      <protection locked="0"/>
    </xf>
    <xf numFmtId="0" fontId="0" fillId="0" borderId="53" xfId="0" applyFont="1" applyFill="1" applyBorder="1" applyAlignment="1" applyProtection="1">
      <alignment horizontal="left" vertical="top" wrapText="1"/>
    </xf>
    <xf numFmtId="0" fontId="0" fillId="0" borderId="52" xfId="0" applyFont="1" applyFill="1" applyBorder="1" applyAlignment="1" applyProtection="1">
      <alignment horizontal="left" vertical="top" wrapText="1"/>
    </xf>
    <xf numFmtId="0" fontId="0" fillId="0" borderId="13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127" xfId="0" applyFont="1" applyBorder="1" applyAlignment="1" applyProtection="1">
      <alignment horizontal="left" vertical="center"/>
      <protection locked="0"/>
    </xf>
    <xf numFmtId="0" fontId="0" fillId="0" borderId="8" xfId="0" applyFont="1" applyFill="1" applyBorder="1" applyAlignment="1" applyProtection="1">
      <alignment horizontal="left" vertical="top" textRotation="255" wrapText="1"/>
    </xf>
    <xf numFmtId="0" fontId="0" fillId="0" borderId="108" xfId="0" applyFont="1" applyBorder="1" applyAlignment="1" applyProtection="1">
      <alignment horizontal="center" vertical="center"/>
      <protection locked="0"/>
    </xf>
    <xf numFmtId="0" fontId="45" fillId="0" borderId="2" xfId="0" applyFont="1" applyFill="1" applyBorder="1" applyAlignment="1" applyProtection="1">
      <alignment horizontal="left" vertical="top" wrapText="1"/>
    </xf>
    <xf numFmtId="0" fontId="0" fillId="0" borderId="128" xfId="0" applyFont="1" applyBorder="1" applyAlignment="1" applyProtection="1">
      <alignment horizontal="left" vertical="center"/>
      <protection locked="0"/>
    </xf>
    <xf numFmtId="0" fontId="0" fillId="0" borderId="53" xfId="0" applyFont="1" applyBorder="1" applyAlignment="1" applyProtection="1">
      <alignment horizontal="left" vertical="center"/>
      <protection locked="0"/>
    </xf>
    <xf numFmtId="0" fontId="0" fillId="0" borderId="129" xfId="0" applyFont="1" applyBorder="1" applyAlignment="1" applyProtection="1">
      <alignment horizontal="left" vertical="center"/>
      <protection locked="0"/>
    </xf>
    <xf numFmtId="0" fontId="27" fillId="3" borderId="130" xfId="0" applyFont="1" applyFill="1" applyBorder="1" applyAlignment="1" applyProtection="1">
      <alignment vertical="center"/>
    </xf>
    <xf numFmtId="0" fontId="27" fillId="3" borderId="51" xfId="0" applyFont="1" applyFill="1" applyBorder="1" applyAlignment="1" applyProtection="1">
      <alignment vertical="center"/>
    </xf>
    <xf numFmtId="0" fontId="27" fillId="3" borderId="64" xfId="0" applyFont="1" applyFill="1" applyBorder="1" applyAlignment="1" applyProtection="1">
      <alignment vertical="center"/>
    </xf>
    <xf numFmtId="0" fontId="0" fillId="0" borderId="109" xfId="0" applyFont="1" applyBorder="1" applyAlignment="1" applyProtection="1">
      <alignment horizontal="left" vertical="center"/>
      <protection locked="0"/>
    </xf>
    <xf numFmtId="0" fontId="0" fillId="0" borderId="109" xfId="0" applyFont="1" applyBorder="1" applyAlignment="1" applyProtection="1">
      <alignment horizontal="center" vertical="center"/>
      <protection locked="0"/>
    </xf>
    <xf numFmtId="0" fontId="0" fillId="0" borderId="8" xfId="0" applyFont="1" applyFill="1" applyBorder="1" applyAlignment="1" applyProtection="1">
      <alignment horizontal="left" vertical="top"/>
    </xf>
    <xf numFmtId="0" fontId="0" fillId="0" borderId="2"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0" fillId="0" borderId="1" xfId="0" applyFont="1" applyFill="1" applyBorder="1" applyAlignment="1" applyProtection="1">
      <alignment horizontal="center" vertical="center" wrapText="1"/>
    </xf>
    <xf numFmtId="0" fontId="27" fillId="3" borderId="135" xfId="0" applyFont="1" applyFill="1" applyBorder="1" applyAlignment="1" applyProtection="1">
      <alignment vertical="center" wrapText="1"/>
    </xf>
    <xf numFmtId="0" fontId="27" fillId="3" borderId="8" xfId="0" applyFont="1" applyFill="1" applyBorder="1" applyAlignment="1" applyProtection="1">
      <alignment vertical="center" wrapText="1"/>
    </xf>
    <xf numFmtId="0" fontId="27" fillId="3" borderId="36" xfId="0" applyFont="1" applyFill="1" applyBorder="1" applyAlignment="1" applyProtection="1">
      <alignment vertical="center" wrapText="1"/>
    </xf>
    <xf numFmtId="0" fontId="138" fillId="3" borderId="150" xfId="0" applyFont="1" applyFill="1" applyBorder="1" applyAlignment="1" applyProtection="1">
      <alignment vertical="center" wrapText="1" shrinkToFit="1"/>
    </xf>
    <xf numFmtId="0" fontId="138" fillId="3" borderId="52" xfId="0" applyFont="1" applyFill="1" applyBorder="1" applyAlignment="1" applyProtection="1">
      <alignment vertical="center" wrapText="1" shrinkToFit="1"/>
    </xf>
    <xf numFmtId="0" fontId="138" fillId="3" borderId="63" xfId="0" applyFont="1" applyFill="1" applyBorder="1" applyAlignment="1" applyProtection="1">
      <alignment vertical="center" wrapText="1" shrinkToFit="1"/>
    </xf>
    <xf numFmtId="0" fontId="91" fillId="3" borderId="150" xfId="0" applyFont="1" applyFill="1" applyBorder="1" applyAlignment="1" applyProtection="1">
      <alignment horizontal="center" vertical="center" shrinkToFit="1"/>
    </xf>
    <xf numFmtId="0" fontId="91" fillId="3" borderId="52" xfId="0" applyFont="1" applyFill="1" applyBorder="1" applyAlignment="1" applyProtection="1">
      <alignment horizontal="center" vertical="center" shrinkToFit="1"/>
    </xf>
    <xf numFmtId="0" fontId="91" fillId="3" borderId="63" xfId="0" applyFont="1" applyFill="1" applyBorder="1" applyAlignment="1" applyProtection="1">
      <alignment horizontal="center" vertical="center" shrinkToFit="1"/>
    </xf>
    <xf numFmtId="0" fontId="90" fillId="3" borderId="138" xfId="0" applyFont="1" applyFill="1" applyBorder="1" applyAlignment="1" applyProtection="1">
      <alignment vertical="center"/>
    </xf>
    <xf numFmtId="0" fontId="90" fillId="3" borderId="0" xfId="0" applyFont="1" applyFill="1" applyBorder="1" applyAlignment="1" applyProtection="1">
      <alignment vertical="center"/>
    </xf>
    <xf numFmtId="0" fontId="90" fillId="3" borderId="22" xfId="0" applyFont="1" applyFill="1" applyBorder="1" applyAlignment="1" applyProtection="1">
      <alignment vertical="center"/>
    </xf>
    <xf numFmtId="0" fontId="0" fillId="0" borderId="8" xfId="0" applyBorder="1" applyAlignment="1" applyProtection="1">
      <alignment horizontal="left" vertical="center"/>
      <protection locked="0"/>
    </xf>
    <xf numFmtId="0" fontId="0" fillId="0" borderId="127" xfId="0" applyBorder="1" applyAlignment="1" applyProtection="1">
      <alignment horizontal="left" vertical="center"/>
      <protection locked="0"/>
    </xf>
    <xf numFmtId="49" fontId="0" fillId="0" borderId="122" xfId="0" applyNumberFormat="1" applyFont="1" applyBorder="1" applyAlignment="1" applyProtection="1">
      <alignment horizontal="left" vertical="center" wrapText="1"/>
      <protection locked="0"/>
    </xf>
    <xf numFmtId="0" fontId="0" fillId="0" borderId="67" xfId="0" applyBorder="1" applyAlignment="1" applyProtection="1">
      <alignment vertical="center"/>
    </xf>
    <xf numFmtId="0" fontId="0" fillId="0" borderId="60" xfId="0" applyBorder="1" applyAlignment="1" applyProtection="1">
      <alignment vertical="center"/>
    </xf>
    <xf numFmtId="0" fontId="27" fillId="3" borderId="138" xfId="0" applyFont="1" applyFill="1" applyBorder="1" applyAlignment="1" applyProtection="1">
      <alignment vertical="center" wrapText="1"/>
    </xf>
    <xf numFmtId="0" fontId="27" fillId="3" borderId="0" xfId="0" applyFont="1" applyFill="1" applyBorder="1" applyAlignment="1" applyProtection="1">
      <alignment vertical="center"/>
    </xf>
    <xf numFmtId="0" fontId="27" fillId="3" borderId="22" xfId="0" applyFont="1" applyFill="1" applyBorder="1" applyAlignment="1" applyProtection="1">
      <alignment vertical="center"/>
    </xf>
    <xf numFmtId="0" fontId="86" fillId="3" borderId="138" xfId="0" applyFont="1" applyFill="1" applyBorder="1" applyAlignment="1" applyProtection="1">
      <alignment vertical="center" wrapText="1"/>
    </xf>
    <xf numFmtId="0" fontId="86" fillId="3" borderId="0" xfId="0" applyFont="1" applyFill="1" applyBorder="1" applyAlignment="1" applyProtection="1">
      <alignment vertical="center" wrapText="1"/>
    </xf>
    <xf numFmtId="0" fontId="86" fillId="3" borderId="22" xfId="0" applyFont="1" applyFill="1" applyBorder="1" applyAlignment="1" applyProtection="1">
      <alignment vertical="center" wrapText="1"/>
    </xf>
    <xf numFmtId="49" fontId="0" fillId="0" borderId="146" xfId="0" applyNumberFormat="1" applyFont="1" applyBorder="1" applyAlignment="1" applyProtection="1">
      <alignment horizontal="left" vertical="center" wrapText="1"/>
      <protection locked="0"/>
    </xf>
    <xf numFmtId="0" fontId="27" fillId="3" borderId="138" xfId="0" applyFont="1" applyFill="1" applyBorder="1" applyAlignment="1" applyProtection="1">
      <alignment horizontal="center" vertical="center"/>
    </xf>
    <xf numFmtId="0" fontId="27" fillId="3" borderId="0" xfId="0" applyFont="1" applyFill="1" applyBorder="1" applyAlignment="1" applyProtection="1">
      <alignment horizontal="center" vertical="center"/>
    </xf>
    <xf numFmtId="0" fontId="27" fillId="3" borderId="22" xfId="0" applyFont="1" applyFill="1" applyBorder="1" applyAlignment="1" applyProtection="1">
      <alignment horizontal="center" vertical="center"/>
    </xf>
    <xf numFmtId="0" fontId="9" fillId="3" borderId="2" xfId="0" applyFont="1" applyFill="1" applyBorder="1" applyAlignment="1" applyProtection="1">
      <alignment horizontal="left" vertical="center"/>
    </xf>
    <xf numFmtId="0" fontId="9" fillId="3" borderId="61" xfId="0" applyFont="1" applyFill="1" applyBorder="1" applyAlignment="1" applyProtection="1">
      <alignment horizontal="left" vertical="center"/>
    </xf>
    <xf numFmtId="0" fontId="13" fillId="0" borderId="175" xfId="0" applyFont="1" applyFill="1" applyBorder="1" applyAlignment="1" applyProtection="1">
      <alignment horizontal="left" vertical="center"/>
      <protection locked="0"/>
    </xf>
    <xf numFmtId="0" fontId="13" fillId="0" borderId="176" xfId="0" applyFont="1" applyFill="1" applyBorder="1" applyAlignment="1" applyProtection="1">
      <alignment horizontal="left" vertical="center"/>
      <protection locked="0"/>
    </xf>
    <xf numFmtId="0" fontId="0" fillId="3" borderId="51" xfId="0" applyFont="1" applyFill="1" applyBorder="1" applyAlignment="1" applyProtection="1">
      <alignment horizontal="left" vertical="center" wrapText="1"/>
    </xf>
    <xf numFmtId="0" fontId="13" fillId="0" borderId="53" xfId="0" applyFont="1" applyFill="1" applyBorder="1" applyAlignment="1" applyProtection="1">
      <alignment vertical="center" shrinkToFit="1"/>
      <protection locked="0"/>
    </xf>
    <xf numFmtId="0" fontId="0" fillId="3" borderId="0" xfId="0" applyFill="1" applyBorder="1" applyAlignment="1" applyProtection="1">
      <alignment horizontal="center" vertical="center" shrinkToFit="1"/>
    </xf>
    <xf numFmtId="0" fontId="0" fillId="0" borderId="8" xfId="0" applyFont="1" applyFill="1" applyBorder="1" applyAlignment="1" applyProtection="1">
      <alignment horizontal="left" vertical="center"/>
    </xf>
    <xf numFmtId="0" fontId="13" fillId="0" borderId="151" xfId="0" applyFont="1" applyFill="1" applyBorder="1" applyAlignment="1" applyProtection="1">
      <alignment horizontal="left" vertical="center"/>
      <protection locked="0"/>
    </xf>
    <xf numFmtId="0" fontId="13" fillId="0" borderId="105" xfId="0" applyFont="1" applyFill="1" applyBorder="1" applyAlignment="1" applyProtection="1">
      <alignment horizontal="left" vertical="center"/>
      <protection locked="0"/>
    </xf>
    <xf numFmtId="0" fontId="0" fillId="0" borderId="125" xfId="0" applyFont="1" applyBorder="1" applyAlignment="1" applyProtection="1">
      <alignment horizontal="left" vertical="center"/>
      <protection locked="0"/>
    </xf>
    <xf numFmtId="0" fontId="0" fillId="0" borderId="130" xfId="0" applyFont="1" applyBorder="1" applyAlignment="1" applyProtection="1">
      <alignment horizontal="center" vertical="center" wrapText="1"/>
      <protection locked="0"/>
    </xf>
    <xf numFmtId="0" fontId="0" fillId="0" borderId="51" xfId="0" applyFont="1" applyBorder="1" applyAlignment="1" applyProtection="1">
      <alignment horizontal="center" vertical="center" wrapText="1"/>
      <protection locked="0"/>
    </xf>
    <xf numFmtId="0" fontId="0" fillId="0" borderId="131" xfId="0" applyFont="1" applyBorder="1" applyAlignment="1" applyProtection="1">
      <alignment horizontal="center" vertical="center" wrapText="1"/>
      <protection locked="0"/>
    </xf>
    <xf numFmtId="0" fontId="0" fillId="0" borderId="130" xfId="0" applyBorder="1" applyAlignment="1" applyProtection="1">
      <alignment horizontal="left" vertical="center"/>
      <protection locked="0"/>
    </xf>
    <xf numFmtId="0" fontId="0" fillId="0" borderId="51" xfId="0" applyBorder="1" applyAlignment="1" applyProtection="1">
      <alignment horizontal="left" vertical="center"/>
      <protection locked="0"/>
    </xf>
    <xf numFmtId="0" fontId="0" fillId="0" borderId="131" xfId="0"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53" xfId="0" applyBorder="1" applyAlignment="1" applyProtection="1">
      <alignment horizontal="left" vertical="center"/>
      <protection locked="0"/>
    </xf>
    <xf numFmtId="0" fontId="0" fillId="0" borderId="129" xfId="0" applyBorder="1" applyAlignment="1" applyProtection="1">
      <alignment horizontal="left" vertical="center"/>
      <protection locked="0"/>
    </xf>
    <xf numFmtId="0" fontId="0" fillId="0" borderId="108" xfId="0" applyBorder="1" applyAlignment="1" applyProtection="1">
      <alignment horizontal="left" vertical="center"/>
      <protection locked="0"/>
    </xf>
    <xf numFmtId="0" fontId="0" fillId="0" borderId="9" xfId="0" quotePrefix="1" applyFont="1" applyFill="1" applyBorder="1" applyAlignment="1" applyProtection="1">
      <alignment horizontal="center" vertical="center"/>
    </xf>
    <xf numFmtId="0" fontId="0" fillId="0" borderId="8" xfId="0" quotePrefix="1" applyFont="1" applyFill="1" applyBorder="1" applyAlignment="1" applyProtection="1">
      <alignment horizontal="center" vertical="center"/>
    </xf>
    <xf numFmtId="0" fontId="0" fillId="0" borderId="125" xfId="0" applyFont="1" applyBorder="1" applyAlignment="1" applyProtection="1">
      <alignment horizontal="center" vertical="center" wrapText="1"/>
      <protection locked="0"/>
    </xf>
    <xf numFmtId="49" fontId="0" fillId="0" borderId="8" xfId="0" quotePrefix="1" applyNumberFormat="1" applyFont="1" applyFill="1" applyBorder="1" applyAlignment="1" applyProtection="1">
      <alignment horizontal="center" vertical="center" wrapText="1"/>
    </xf>
    <xf numFmtId="0" fontId="27" fillId="3" borderId="128" xfId="0" applyFont="1" applyFill="1" applyBorder="1" applyAlignment="1" applyProtection="1">
      <alignment vertical="center"/>
    </xf>
    <xf numFmtId="0" fontId="27" fillId="3" borderId="53" xfId="0" applyFont="1" applyFill="1" applyBorder="1" applyAlignment="1" applyProtection="1">
      <alignment vertical="center"/>
    </xf>
    <xf numFmtId="0" fontId="27" fillId="3" borderId="65" xfId="0" applyFont="1" applyFill="1" applyBorder="1" applyAlignment="1" applyProtection="1">
      <alignment vertical="center"/>
    </xf>
    <xf numFmtId="0" fontId="91" fillId="3" borderId="148" xfId="0" applyFont="1" applyFill="1" applyBorder="1" applyAlignment="1" applyProtection="1">
      <alignment vertical="center" wrapText="1" shrinkToFit="1"/>
    </xf>
    <xf numFmtId="0" fontId="91" fillId="3" borderId="82" xfId="0" applyFont="1" applyFill="1" applyBorder="1" applyAlignment="1" applyProtection="1">
      <alignment vertical="center" wrapText="1" shrinkToFit="1"/>
    </xf>
    <xf numFmtId="0" fontId="91" fillId="3" borderId="83" xfId="0" applyFont="1" applyFill="1" applyBorder="1" applyAlignment="1" applyProtection="1">
      <alignment vertical="center" wrapText="1" shrinkToFit="1"/>
    </xf>
    <xf numFmtId="0" fontId="27" fillId="0" borderId="111" xfId="0" applyFont="1" applyBorder="1" applyAlignment="1" applyProtection="1">
      <alignment horizontal="center" vertical="center" wrapText="1"/>
      <protection locked="0"/>
    </xf>
    <xf numFmtId="0" fontId="27" fillId="0" borderId="111" xfId="0" applyFont="1" applyBorder="1" applyAlignment="1" applyProtection="1">
      <alignment horizontal="center" vertical="center"/>
      <protection locked="0"/>
    </xf>
    <xf numFmtId="0" fontId="91" fillId="3" borderId="148" xfId="0" applyFont="1" applyFill="1" applyBorder="1" applyAlignment="1" applyProtection="1">
      <alignment horizontal="center" vertical="center" shrinkToFit="1"/>
    </xf>
    <xf numFmtId="0" fontId="91" fillId="3" borderId="82" xfId="0" applyFont="1" applyFill="1" applyBorder="1" applyAlignment="1" applyProtection="1">
      <alignment horizontal="center" vertical="center" shrinkToFit="1"/>
    </xf>
    <xf numFmtId="0" fontId="91" fillId="3" borderId="83" xfId="0" applyFont="1" applyFill="1" applyBorder="1" applyAlignment="1" applyProtection="1">
      <alignment horizontal="center" vertical="center" shrinkToFit="1"/>
    </xf>
    <xf numFmtId="0" fontId="27" fillId="0" borderId="146" xfId="0" applyFont="1" applyBorder="1" applyAlignment="1" applyProtection="1">
      <alignment horizontal="center" vertical="center" wrapText="1"/>
      <protection locked="0"/>
    </xf>
    <xf numFmtId="0" fontId="27" fillId="0" borderId="146" xfId="0" applyFont="1" applyBorder="1" applyAlignment="1" applyProtection="1">
      <alignment horizontal="center" vertical="center"/>
      <protection locked="0"/>
    </xf>
    <xf numFmtId="0" fontId="0" fillId="0" borderId="1" xfId="0" applyFont="1" applyFill="1" applyBorder="1" applyAlignment="1" applyProtection="1">
      <alignment horizontal="left" vertical="top" wrapText="1"/>
    </xf>
    <xf numFmtId="0" fontId="0" fillId="0" borderId="27" xfId="0" applyFill="1" applyBorder="1" applyAlignment="1" applyProtection="1">
      <alignment horizontal="left" vertical="top" wrapText="1"/>
    </xf>
    <xf numFmtId="49" fontId="0" fillId="0" borderId="136" xfId="0" applyNumberFormat="1" applyFont="1" applyBorder="1" applyAlignment="1" applyProtection="1">
      <alignment horizontal="left" vertical="center" wrapText="1"/>
      <protection locked="0"/>
    </xf>
    <xf numFmtId="0" fontId="0" fillId="0" borderId="1" xfId="0" applyFont="1" applyFill="1" applyBorder="1" applyAlignment="1" applyProtection="1">
      <alignment horizontal="left" vertical="top" textRotation="255" wrapText="1"/>
    </xf>
    <xf numFmtId="0" fontId="0" fillId="0" borderId="0" xfId="0" applyFont="1" applyFill="1" applyBorder="1" applyAlignment="1" applyProtection="1">
      <alignment horizontal="left" vertical="top" textRotation="255" wrapText="1"/>
    </xf>
    <xf numFmtId="0" fontId="0" fillId="0" borderId="2" xfId="0" applyFont="1" applyFill="1" applyBorder="1" applyAlignment="1" applyProtection="1">
      <alignment horizontal="left" vertical="top" textRotation="255" wrapText="1"/>
    </xf>
    <xf numFmtId="0" fontId="0" fillId="0" borderId="136" xfId="0" applyFont="1" applyBorder="1" applyAlignment="1" applyProtection="1">
      <alignment horizontal="center" vertical="center" wrapText="1"/>
      <protection locked="0"/>
    </xf>
    <xf numFmtId="0" fontId="0" fillId="0" borderId="136" xfId="0" applyFont="1" applyBorder="1" applyAlignment="1" applyProtection="1">
      <alignment horizontal="center" vertical="center"/>
      <protection locked="0"/>
    </xf>
    <xf numFmtId="0" fontId="0" fillId="0" borderId="145" xfId="0" applyFont="1" applyBorder="1" applyAlignment="1" applyProtection="1">
      <alignment horizontal="left" vertical="center"/>
      <protection locked="0"/>
    </xf>
    <xf numFmtId="0" fontId="0" fillId="0" borderId="27" xfId="0" applyFont="1" applyBorder="1" applyAlignment="1" applyProtection="1">
      <alignment horizontal="left" vertical="center"/>
      <protection locked="0"/>
    </xf>
    <xf numFmtId="0" fontId="0" fillId="0" borderId="174" xfId="0" applyFont="1" applyBorder="1" applyAlignment="1" applyProtection="1">
      <alignment horizontal="left" vertical="center"/>
      <protection locked="0"/>
    </xf>
    <xf numFmtId="0" fontId="0" fillId="0" borderId="82" xfId="0" applyFont="1" applyFill="1" applyBorder="1" applyAlignment="1" applyProtection="1">
      <alignment horizontal="left" vertical="top" wrapText="1"/>
    </xf>
    <xf numFmtId="0" fontId="0" fillId="0" borderId="146" xfId="0" applyFont="1" applyBorder="1" applyAlignment="1" applyProtection="1">
      <alignment horizontal="left" vertical="center"/>
      <protection locked="0"/>
    </xf>
    <xf numFmtId="0" fontId="0" fillId="0" borderId="146" xfId="0" applyFont="1" applyBorder="1" applyAlignment="1" applyProtection="1">
      <alignment horizontal="center" vertical="center"/>
      <protection locked="0"/>
    </xf>
    <xf numFmtId="0" fontId="0" fillId="0" borderId="111" xfId="0" applyFont="1" applyBorder="1" applyAlignment="1" applyProtection="1">
      <alignment horizontal="center" vertical="center"/>
      <protection locked="0"/>
    </xf>
    <xf numFmtId="0" fontId="0" fillId="0" borderId="1" xfId="0" applyFont="1" applyFill="1" applyBorder="1" applyAlignment="1" applyProtection="1">
      <alignment horizontal="left" vertical="top" textRotation="255"/>
    </xf>
    <xf numFmtId="0" fontId="0" fillId="0" borderId="0" xfId="0" applyFont="1" applyFill="1" applyBorder="1" applyAlignment="1" applyProtection="1">
      <alignment horizontal="left" vertical="top" textRotation="255"/>
    </xf>
    <xf numFmtId="0" fontId="0" fillId="0" borderId="2" xfId="0" applyFont="1" applyFill="1" applyBorder="1" applyAlignment="1" applyProtection="1">
      <alignment horizontal="left" vertical="top" textRotation="255"/>
    </xf>
    <xf numFmtId="0" fontId="0" fillId="0" borderId="111" xfId="0" applyFont="1" applyBorder="1" applyAlignment="1" applyProtection="1">
      <alignment horizontal="left" vertical="center"/>
      <protection locked="0"/>
    </xf>
    <xf numFmtId="0" fontId="27" fillId="3" borderId="139" xfId="0" applyFont="1" applyFill="1" applyBorder="1" applyAlignment="1" applyProtection="1">
      <alignment vertical="center"/>
    </xf>
    <xf numFmtId="0" fontId="27" fillId="3" borderId="2" xfId="0" applyFont="1" applyFill="1" applyBorder="1" applyAlignment="1" applyProtection="1">
      <alignment vertical="center"/>
    </xf>
    <xf numFmtId="0" fontId="27" fillId="3" borderId="61" xfId="0" applyFont="1" applyFill="1" applyBorder="1" applyAlignment="1" applyProtection="1">
      <alignment vertical="center"/>
    </xf>
    <xf numFmtId="0" fontId="0" fillId="0" borderId="122" xfId="0" applyFont="1" applyBorder="1" applyAlignment="1" applyProtection="1">
      <alignment horizontal="center" vertical="center" wrapText="1"/>
      <protection locked="0"/>
    </xf>
    <xf numFmtId="0" fontId="0" fillId="0" borderId="174" xfId="0" applyFont="1" applyBorder="1" applyAlignment="1" applyProtection="1">
      <alignment horizontal="center" vertical="center"/>
      <protection locked="0"/>
    </xf>
    <xf numFmtId="0" fontId="27" fillId="3" borderId="0" xfId="0" applyFont="1" applyFill="1" applyBorder="1" applyAlignment="1" applyProtection="1">
      <alignment horizontal="center" vertical="center" wrapText="1"/>
    </xf>
    <xf numFmtId="0" fontId="27" fillId="3" borderId="22" xfId="0" applyFont="1" applyFill="1" applyBorder="1" applyAlignment="1" applyProtection="1">
      <alignment horizontal="center" vertical="center" wrapText="1"/>
    </xf>
    <xf numFmtId="0" fontId="27" fillId="3" borderId="2" xfId="0" applyFont="1" applyFill="1" applyBorder="1" applyAlignment="1" applyProtection="1">
      <alignment horizontal="center" vertical="center" wrapText="1"/>
    </xf>
    <xf numFmtId="0" fontId="27" fillId="3" borderId="61" xfId="0" applyFont="1" applyFill="1" applyBorder="1" applyAlignment="1" applyProtection="1">
      <alignment horizontal="center" vertical="center" wrapText="1"/>
    </xf>
    <xf numFmtId="0" fontId="27" fillId="0" borderId="122" xfId="0" applyFont="1" applyBorder="1" applyAlignment="1" applyProtection="1">
      <alignment horizontal="center" vertical="center" wrapText="1"/>
      <protection locked="0"/>
    </xf>
    <xf numFmtId="0" fontId="27" fillId="0" borderId="122" xfId="0" applyFont="1" applyBorder="1" applyAlignment="1" applyProtection="1">
      <alignment horizontal="center" vertical="center"/>
      <protection locked="0"/>
    </xf>
    <xf numFmtId="0" fontId="0" fillId="0" borderId="111" xfId="0" applyFont="1" applyBorder="1" applyAlignment="1" applyProtection="1">
      <alignment horizontal="center" vertical="center" wrapText="1"/>
      <protection locked="0"/>
    </xf>
    <xf numFmtId="0" fontId="27" fillId="3" borderId="149" xfId="0" applyFont="1" applyFill="1" applyBorder="1" applyAlignment="1" applyProtection="1">
      <alignment horizontal="center" vertical="center"/>
    </xf>
    <xf numFmtId="0" fontId="27" fillId="3" borderId="1" xfId="0" applyFont="1" applyFill="1" applyBorder="1" applyAlignment="1" applyProtection="1">
      <alignment horizontal="center" vertical="center"/>
    </xf>
    <xf numFmtId="0" fontId="27" fillId="3" borderId="40" xfId="0" applyFont="1" applyFill="1" applyBorder="1" applyAlignment="1" applyProtection="1">
      <alignment horizontal="center" vertical="center"/>
    </xf>
    <xf numFmtId="0" fontId="0" fillId="0" borderId="131" xfId="0" applyFont="1" applyBorder="1" applyAlignment="1" applyProtection="1">
      <alignment horizontal="center" vertical="center"/>
      <protection locked="0"/>
    </xf>
    <xf numFmtId="0" fontId="86" fillId="3" borderId="138" xfId="0" applyFont="1" applyFill="1" applyBorder="1" applyAlignment="1" applyProtection="1">
      <alignment horizontal="left" vertical="top" wrapText="1" indent="1"/>
    </xf>
    <xf numFmtId="0" fontId="86" fillId="3" borderId="0" xfId="0" applyFont="1" applyFill="1" applyBorder="1" applyAlignment="1" applyProtection="1">
      <alignment horizontal="left" vertical="top" wrapText="1" indent="1"/>
    </xf>
    <xf numFmtId="0" fontId="86" fillId="3" borderId="22" xfId="0" applyFont="1" applyFill="1" applyBorder="1" applyAlignment="1" applyProtection="1">
      <alignment horizontal="left" vertical="top" wrapText="1" indent="1"/>
    </xf>
    <xf numFmtId="0" fontId="0" fillId="0" borderId="104" xfId="0" applyFont="1" applyFill="1" applyBorder="1" applyAlignment="1" applyProtection="1">
      <alignment horizontal="left" vertical="center"/>
      <protection locked="0"/>
    </xf>
    <xf numFmtId="0" fontId="0" fillId="0" borderId="104" xfId="0" applyBorder="1" applyAlignment="1" applyProtection="1">
      <alignment horizontal="left" vertical="center"/>
      <protection locked="0"/>
    </xf>
    <xf numFmtId="0" fontId="0" fillId="0" borderId="8" xfId="0"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49" fontId="0" fillId="0" borderId="104" xfId="0" applyNumberFormat="1" applyFont="1" applyBorder="1" applyAlignment="1" applyProtection="1">
      <alignment horizontal="left" vertical="center" wrapText="1" shrinkToFit="1"/>
      <protection locked="0"/>
    </xf>
    <xf numFmtId="49" fontId="0" fillId="0" borderId="104" xfId="0" applyNumberFormat="1" applyBorder="1" applyAlignment="1" applyProtection="1">
      <alignment horizontal="left" vertical="center" wrapText="1" shrinkToFit="1"/>
      <protection locked="0"/>
    </xf>
    <xf numFmtId="0" fontId="0" fillId="0" borderId="104" xfId="0" applyBorder="1" applyAlignment="1" applyProtection="1">
      <alignment horizontal="center" vertical="center"/>
      <protection locked="0"/>
    </xf>
    <xf numFmtId="0" fontId="27" fillId="3" borderId="149" xfId="0" applyFont="1" applyFill="1" applyBorder="1" applyAlignment="1" applyProtection="1">
      <alignment vertical="center"/>
    </xf>
    <xf numFmtId="0" fontId="27" fillId="3" borderId="1" xfId="0" applyFont="1" applyFill="1" applyBorder="1" applyAlignment="1" applyProtection="1">
      <alignment vertical="center"/>
    </xf>
    <xf numFmtId="0" fontId="27" fillId="3" borderId="40" xfId="0" applyFont="1" applyFill="1" applyBorder="1" applyAlignment="1" applyProtection="1">
      <alignment vertical="center"/>
    </xf>
    <xf numFmtId="0" fontId="9" fillId="3" borderId="2" xfId="0" applyFont="1" applyFill="1" applyBorder="1" applyAlignment="1" applyProtection="1">
      <alignment horizontal="left" vertical="center" wrapText="1"/>
    </xf>
    <xf numFmtId="0" fontId="9" fillId="3" borderId="61" xfId="0" applyFont="1" applyFill="1" applyBorder="1" applyAlignment="1" applyProtection="1">
      <alignment horizontal="left" vertical="center" wrapText="1"/>
    </xf>
    <xf numFmtId="0" fontId="13" fillId="0" borderId="53" xfId="0" applyFont="1" applyFill="1" applyBorder="1" applyAlignment="1" applyProtection="1">
      <alignment vertical="center"/>
      <protection locked="0"/>
    </xf>
    <xf numFmtId="0" fontId="13" fillId="3" borderId="59" xfId="0" applyFont="1" applyFill="1" applyBorder="1" applyAlignment="1" applyProtection="1">
      <alignment horizontal="left" vertical="center" wrapText="1"/>
    </xf>
    <xf numFmtId="0" fontId="0" fillId="0" borderId="59" xfId="0" applyFont="1" applyBorder="1" applyAlignment="1" applyProtection="1">
      <alignment horizontal="left" vertical="center" wrapText="1"/>
    </xf>
    <xf numFmtId="0" fontId="13" fillId="0" borderId="1" xfId="0" applyFont="1" applyBorder="1" applyAlignment="1" applyProtection="1">
      <alignment horizontal="left" vertical="center"/>
    </xf>
    <xf numFmtId="0" fontId="13" fillId="0" borderId="0" xfId="0" applyFont="1" applyBorder="1" applyAlignment="1" applyProtection="1">
      <alignment horizontal="left" vertical="center"/>
    </xf>
    <xf numFmtId="0" fontId="13" fillId="0" borderId="2" xfId="0" applyFont="1" applyBorder="1" applyAlignment="1" applyProtection="1">
      <alignment horizontal="left" vertical="center"/>
    </xf>
    <xf numFmtId="0" fontId="13" fillId="0" borderId="134" xfId="0" applyFont="1" applyFill="1" applyBorder="1" applyAlignment="1" applyProtection="1">
      <alignment horizontal="left" vertical="center"/>
      <protection locked="0"/>
    </xf>
    <xf numFmtId="0" fontId="13" fillId="0" borderId="110" xfId="0" applyFont="1" applyFill="1" applyBorder="1" applyAlignment="1" applyProtection="1">
      <alignment horizontal="left" vertical="center"/>
      <protection locked="0"/>
    </xf>
    <xf numFmtId="0" fontId="13" fillId="3" borderId="1" xfId="0" applyFont="1" applyFill="1" applyBorder="1" applyAlignment="1" applyProtection="1">
      <alignment horizontal="left" vertical="center" wrapText="1"/>
    </xf>
    <xf numFmtId="0" fontId="0" fillId="0" borderId="1" xfId="0" applyFont="1" applyBorder="1" applyAlignment="1" applyProtection="1">
      <alignment horizontal="left" vertical="center" wrapText="1"/>
    </xf>
    <xf numFmtId="0" fontId="0" fillId="0" borderId="2" xfId="0" applyFont="1" applyBorder="1" applyAlignment="1" applyProtection="1">
      <alignment horizontal="left" vertical="center" wrapText="1"/>
    </xf>
    <xf numFmtId="0" fontId="0" fillId="0" borderId="52" xfId="0" applyFont="1" applyFill="1" applyBorder="1" applyAlignment="1" applyProtection="1">
      <alignment horizontal="center" vertical="center" wrapText="1"/>
      <protection locked="0"/>
    </xf>
    <xf numFmtId="0" fontId="0" fillId="0" borderId="137" xfId="0" applyFont="1" applyFill="1" applyBorder="1" applyAlignment="1" applyProtection="1">
      <alignment horizontal="center" vertical="center" wrapText="1"/>
      <protection locked="0"/>
    </xf>
    <xf numFmtId="0" fontId="0" fillId="0" borderId="51" xfId="0" applyFont="1" applyFill="1" applyBorder="1" applyAlignment="1" applyProtection="1">
      <alignment horizontal="center" vertical="center" wrapText="1"/>
      <protection locked="0"/>
    </xf>
    <xf numFmtId="0" fontId="0" fillId="0" borderId="131" xfId="0" applyFont="1" applyFill="1" applyBorder="1" applyAlignment="1" applyProtection="1">
      <alignment horizontal="center" vertical="center" wrapText="1"/>
      <protection locked="0"/>
    </xf>
    <xf numFmtId="0" fontId="0" fillId="0" borderId="145"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174" xfId="0" applyBorder="1" applyAlignment="1" applyProtection="1">
      <alignment horizontal="left" vertical="center"/>
      <protection locked="0"/>
    </xf>
    <xf numFmtId="0" fontId="0" fillId="3" borderId="0" xfId="0" applyFont="1" applyFill="1" applyBorder="1" applyAlignment="1" applyProtection="1">
      <alignment horizontal="center" vertical="center"/>
    </xf>
    <xf numFmtId="0" fontId="0" fillId="0" borderId="20" xfId="0" applyFont="1" applyBorder="1" applyAlignment="1" applyProtection="1">
      <alignment horizontal="left" vertical="center" wrapText="1"/>
    </xf>
    <xf numFmtId="0" fontId="0" fillId="0" borderId="1" xfId="0" applyBorder="1" applyAlignment="1" applyProtection="1">
      <alignment horizontal="left" vertical="center" wrapText="1"/>
    </xf>
    <xf numFmtId="0" fontId="13" fillId="3" borderId="0" xfId="0" applyFont="1" applyFill="1" applyBorder="1" applyAlignment="1" applyProtection="1">
      <alignment horizontal="left" vertical="center" wrapText="1"/>
    </xf>
    <xf numFmtId="0" fontId="0" fillId="0" borderId="0" xfId="0" applyBorder="1" applyAlignment="1" applyProtection="1">
      <alignment horizontal="left" vertical="center" wrapText="1"/>
    </xf>
    <xf numFmtId="0" fontId="0" fillId="0" borderId="20" xfId="0" applyBorder="1" applyAlignment="1" applyProtection="1">
      <alignment horizontal="left" vertical="center" wrapText="1"/>
    </xf>
    <xf numFmtId="0" fontId="0" fillId="0" borderId="2" xfId="0" applyBorder="1" applyAlignment="1" applyProtection="1">
      <alignment horizontal="left" vertical="center" wrapText="1"/>
    </xf>
    <xf numFmtId="0" fontId="22" fillId="3" borderId="16" xfId="0" applyFont="1" applyFill="1" applyBorder="1" applyAlignment="1" applyProtection="1">
      <alignment horizontal="right" vertical="center"/>
    </xf>
    <xf numFmtId="0" fontId="13" fillId="0" borderId="27" xfId="0" applyFont="1" applyBorder="1" applyAlignment="1" applyProtection="1">
      <alignment horizontal="center" vertical="center"/>
      <protection locked="0"/>
    </xf>
    <xf numFmtId="0" fontId="13" fillId="0" borderId="8" xfId="0" applyFont="1" applyBorder="1" applyAlignment="1" applyProtection="1">
      <alignment horizontal="left" vertical="center" wrapText="1"/>
    </xf>
    <xf numFmtId="0" fontId="13" fillId="0" borderId="27" xfId="0" applyFont="1" applyFill="1" applyBorder="1" applyAlignment="1" applyProtection="1">
      <alignment horizontal="center" vertical="center"/>
      <protection locked="0"/>
    </xf>
    <xf numFmtId="0" fontId="48" fillId="3" borderId="53" xfId="0" applyFont="1" applyFill="1" applyBorder="1" applyAlignment="1" applyProtection="1">
      <alignment horizontal="left" vertical="center" shrinkToFit="1"/>
    </xf>
    <xf numFmtId="0" fontId="13" fillId="0" borderId="51" xfId="0" applyFont="1" applyFill="1" applyBorder="1" applyAlignment="1" applyProtection="1">
      <alignment vertical="center"/>
      <protection locked="0"/>
    </xf>
    <xf numFmtId="0" fontId="13" fillId="0" borderId="2" xfId="0" applyFont="1" applyFill="1" applyBorder="1" applyAlignment="1" applyProtection="1">
      <alignment horizontal="center" vertical="center"/>
      <protection locked="0"/>
    </xf>
    <xf numFmtId="0" fontId="0" fillId="0" borderId="2" xfId="0" applyFont="1" applyBorder="1" applyAlignment="1" applyProtection="1">
      <alignment horizontal="center" vertical="center"/>
      <protection locked="0"/>
    </xf>
    <xf numFmtId="0" fontId="0" fillId="3" borderId="1" xfId="0" applyFont="1" applyFill="1" applyBorder="1" applyAlignment="1" applyProtection="1">
      <alignment horizontal="left" vertical="center" wrapText="1"/>
    </xf>
    <xf numFmtId="0" fontId="0" fillId="3" borderId="0" xfId="0" applyFont="1" applyFill="1" applyBorder="1" applyAlignment="1" applyProtection="1">
      <alignment horizontal="left" vertical="center" wrapText="1"/>
    </xf>
    <xf numFmtId="0" fontId="0" fillId="3" borderId="2" xfId="0" applyFont="1" applyFill="1" applyBorder="1" applyAlignment="1" applyProtection="1">
      <alignment horizontal="left" vertical="center" wrapText="1"/>
    </xf>
    <xf numFmtId="0" fontId="48" fillId="3" borderId="53" xfId="0" applyFont="1" applyFill="1" applyBorder="1" applyAlignment="1" applyProtection="1">
      <alignment horizontal="left" vertical="center"/>
    </xf>
    <xf numFmtId="0" fontId="13" fillId="3" borderId="0" xfId="0" applyFont="1" applyFill="1" applyBorder="1" applyAlignment="1" applyProtection="1">
      <alignment horizontal="center" vertical="top" shrinkToFit="1"/>
    </xf>
    <xf numFmtId="0" fontId="0" fillId="0" borderId="0" xfId="0" applyBorder="1" applyAlignment="1" applyProtection="1">
      <alignment horizontal="center" vertical="top" shrinkToFit="1"/>
    </xf>
    <xf numFmtId="0" fontId="13" fillId="3" borderId="27" xfId="0" applyFont="1" applyFill="1" applyBorder="1" applyAlignment="1" applyProtection="1">
      <alignment horizontal="left" vertical="center" wrapText="1"/>
    </xf>
    <xf numFmtId="0" fontId="0" fillId="3" borderId="27" xfId="0" applyFont="1" applyFill="1" applyBorder="1" applyAlignment="1" applyProtection="1">
      <alignment horizontal="left" vertical="center" wrapText="1"/>
    </xf>
    <xf numFmtId="0" fontId="13" fillId="3" borderId="0" xfId="0" applyFont="1" applyFill="1" applyBorder="1" applyAlignment="1" applyProtection="1">
      <alignment horizontal="center" vertical="top" wrapText="1"/>
    </xf>
    <xf numFmtId="0" fontId="0" fillId="0" borderId="0" xfId="0" applyBorder="1" applyAlignment="1" applyProtection="1">
      <alignment horizontal="center" vertical="top" wrapText="1"/>
    </xf>
    <xf numFmtId="0" fontId="0" fillId="0" borderId="2" xfId="0" applyBorder="1" applyAlignment="1" applyProtection="1">
      <alignment horizontal="center" vertical="top" wrapText="1"/>
    </xf>
    <xf numFmtId="0" fontId="13" fillId="0" borderId="82" xfId="0" applyFont="1" applyFill="1" applyBorder="1" applyAlignment="1" applyProtection="1">
      <alignment vertical="center"/>
      <protection locked="0"/>
    </xf>
    <xf numFmtId="0" fontId="13" fillId="0" borderId="59" xfId="0" applyFont="1" applyFill="1" applyBorder="1" applyAlignment="1" applyProtection="1">
      <alignment horizontal="center" vertical="center"/>
      <protection locked="0"/>
    </xf>
    <xf numFmtId="0" fontId="13" fillId="3" borderId="0" xfId="0" applyFont="1" applyFill="1" applyBorder="1" applyAlignment="1" applyProtection="1">
      <alignment horizontal="center" vertical="center" shrinkToFit="1"/>
    </xf>
    <xf numFmtId="0" fontId="0" fillId="0" borderId="0" xfId="0" applyBorder="1" applyAlignment="1" applyProtection="1">
      <alignment horizontal="center" vertical="center" shrinkToFit="1"/>
    </xf>
    <xf numFmtId="0" fontId="13" fillId="0" borderId="9" xfId="0" applyFont="1" applyFill="1" applyBorder="1" applyAlignment="1" applyProtection="1">
      <alignment horizontal="left" vertical="center" wrapText="1"/>
      <protection locked="0"/>
    </xf>
    <xf numFmtId="0" fontId="13" fillId="0" borderId="4" xfId="0" applyFont="1" applyFill="1" applyBorder="1" applyAlignment="1" applyProtection="1">
      <alignment horizontal="left" vertical="center" wrapText="1"/>
      <protection locked="0"/>
    </xf>
    <xf numFmtId="0" fontId="13" fillId="0" borderId="7" xfId="0" applyFont="1" applyFill="1" applyBorder="1" applyAlignment="1" applyProtection="1">
      <alignment horizontal="left" vertical="center" wrapText="1"/>
      <protection locked="0"/>
    </xf>
    <xf numFmtId="0" fontId="13" fillId="0" borderId="31" xfId="0" applyFont="1" applyFill="1" applyBorder="1" applyAlignment="1" applyProtection="1">
      <alignment horizontal="left" vertical="center" wrapText="1"/>
      <protection locked="0"/>
    </xf>
    <xf numFmtId="0" fontId="13" fillId="0" borderId="17" xfId="0" applyFont="1" applyFill="1" applyBorder="1" applyAlignment="1" applyProtection="1">
      <alignment horizontal="left" vertical="center" wrapText="1"/>
      <protection locked="0"/>
    </xf>
    <xf numFmtId="0" fontId="13" fillId="0" borderId="30" xfId="0" applyFont="1" applyFill="1" applyBorder="1" applyAlignment="1" applyProtection="1">
      <alignment horizontal="left" vertical="center" wrapText="1"/>
      <protection locked="0"/>
    </xf>
    <xf numFmtId="0" fontId="13" fillId="0" borderId="27" xfId="0" applyFont="1" applyBorder="1" applyAlignment="1" applyProtection="1">
      <alignment horizontal="left" vertical="center"/>
    </xf>
    <xf numFmtId="182" fontId="13" fillId="0" borderId="29" xfId="0" applyNumberFormat="1" applyFont="1" applyFill="1" applyBorder="1" applyAlignment="1" applyProtection="1">
      <alignment horizontal="right" vertical="center"/>
      <protection locked="0"/>
    </xf>
    <xf numFmtId="0" fontId="13" fillId="0" borderId="108" xfId="0" applyFont="1" applyFill="1" applyBorder="1" applyAlignment="1" applyProtection="1">
      <alignment horizontal="center" vertical="center"/>
      <protection locked="0"/>
    </xf>
    <xf numFmtId="0" fontId="13" fillId="0" borderId="128" xfId="0" applyFont="1" applyFill="1" applyBorder="1" applyAlignment="1" applyProtection="1">
      <alignment horizontal="center" vertical="center"/>
      <protection locked="0"/>
    </xf>
    <xf numFmtId="0" fontId="23" fillId="3" borderId="20" xfId="0" applyFont="1" applyFill="1" applyBorder="1" applyAlignment="1" applyProtection="1">
      <alignment horizontal="left" vertical="center" shrinkToFit="1"/>
    </xf>
    <xf numFmtId="0" fontId="24" fillId="0" borderId="20" xfId="0" applyFont="1" applyBorder="1" applyAlignment="1" applyProtection="1">
      <alignment horizontal="left" vertical="center" shrinkToFit="1"/>
    </xf>
    <xf numFmtId="0" fontId="13" fillId="3" borderId="82" xfId="0" applyFont="1" applyFill="1" applyBorder="1" applyAlignment="1" applyProtection="1">
      <alignment horizontal="left" vertical="center" wrapText="1"/>
    </xf>
    <xf numFmtId="0" fontId="0" fillId="3" borderId="82" xfId="0" applyFont="1" applyFill="1" applyBorder="1" applyAlignment="1" applyProtection="1">
      <alignment horizontal="left" vertical="center" wrapText="1"/>
    </xf>
    <xf numFmtId="0" fontId="13" fillId="0" borderId="27" xfId="0" applyFont="1" applyBorder="1" applyAlignment="1" applyProtection="1">
      <alignment vertical="center"/>
      <protection locked="0"/>
    </xf>
    <xf numFmtId="0" fontId="13" fillId="0" borderId="176" xfId="0" applyFont="1" applyFill="1" applyBorder="1" applyAlignment="1" applyProtection="1">
      <alignment horizontal="center" vertical="center"/>
      <protection locked="0"/>
    </xf>
    <xf numFmtId="0" fontId="13" fillId="0" borderId="177" xfId="0" applyFont="1" applyFill="1" applyBorder="1" applyAlignment="1" applyProtection="1">
      <alignment horizontal="center" vertical="center"/>
      <protection locked="0"/>
    </xf>
    <xf numFmtId="0" fontId="13" fillId="0" borderId="27" xfId="0" applyFont="1" applyBorder="1" applyAlignment="1" applyProtection="1">
      <alignment horizontal="left" vertical="center" wrapText="1"/>
    </xf>
    <xf numFmtId="0" fontId="13" fillId="0" borderId="2" xfId="0" applyFont="1" applyFill="1" applyBorder="1" applyAlignment="1" applyProtection="1">
      <alignment horizontal="left" vertical="center"/>
      <protection locked="0"/>
    </xf>
    <xf numFmtId="0" fontId="13" fillId="0" borderId="1" xfId="0" applyFont="1" applyFill="1" applyBorder="1" applyAlignment="1" applyProtection="1">
      <alignment horizontal="center" vertical="center"/>
      <protection locked="0"/>
    </xf>
    <xf numFmtId="0" fontId="0" fillId="3" borderId="8" xfId="0" applyFont="1" applyFill="1" applyBorder="1" applyAlignment="1" applyProtection="1">
      <alignment horizontal="left" vertical="center" wrapText="1"/>
    </xf>
    <xf numFmtId="0" fontId="0" fillId="0" borderId="8" xfId="0" applyFont="1" applyBorder="1" applyAlignment="1" applyProtection="1">
      <alignment horizontal="left" vertical="center" wrapText="1"/>
    </xf>
    <xf numFmtId="0" fontId="13" fillId="3" borderId="2" xfId="0" applyFont="1" applyFill="1" applyBorder="1" applyAlignment="1" applyProtection="1">
      <alignment horizontal="left" vertical="center" wrapText="1"/>
    </xf>
    <xf numFmtId="0" fontId="13" fillId="0" borderId="51" xfId="0" applyFont="1" applyBorder="1" applyAlignment="1" applyProtection="1">
      <alignment horizontal="left" vertical="center"/>
      <protection locked="0"/>
    </xf>
    <xf numFmtId="0" fontId="13" fillId="0" borderId="2" xfId="0" applyFont="1" applyFill="1" applyBorder="1" applyAlignment="1" applyProtection="1">
      <alignment horizontal="center" vertical="center" shrinkToFit="1"/>
      <protection locked="0"/>
    </xf>
    <xf numFmtId="0" fontId="13" fillId="0" borderId="2" xfId="0" applyFont="1" applyBorder="1" applyAlignment="1" applyProtection="1">
      <alignment horizontal="center" vertical="center" shrinkToFit="1"/>
      <protection locked="0"/>
    </xf>
    <xf numFmtId="0" fontId="13" fillId="0" borderId="53" xfId="0" applyFont="1" applyBorder="1" applyAlignment="1" applyProtection="1">
      <alignment horizontal="center" vertical="center"/>
      <protection locked="0"/>
    </xf>
    <xf numFmtId="182" fontId="13" fillId="0" borderId="8" xfId="0" applyNumberFormat="1" applyFont="1" applyFill="1" applyBorder="1" applyAlignment="1" applyProtection="1">
      <alignment horizontal="right" vertical="center"/>
      <protection locked="0"/>
    </xf>
    <xf numFmtId="49" fontId="0" fillId="0" borderId="27" xfId="0" applyNumberFormat="1" applyBorder="1" applyAlignment="1" applyProtection="1">
      <alignment horizontal="center" vertical="center"/>
      <protection locked="0"/>
    </xf>
    <xf numFmtId="0" fontId="13" fillId="0" borderId="129" xfId="0" applyFont="1" applyFill="1" applyBorder="1" applyAlignment="1" applyProtection="1">
      <alignment horizontal="left" vertical="center"/>
      <protection locked="0"/>
    </xf>
    <xf numFmtId="0" fontId="13" fillId="0" borderId="108" xfId="0" applyFont="1" applyFill="1" applyBorder="1" applyAlignment="1" applyProtection="1">
      <alignment horizontal="left" vertical="center"/>
      <protection locked="0"/>
    </xf>
    <xf numFmtId="0" fontId="0" fillId="0" borderId="38" xfId="0" applyBorder="1" applyAlignment="1" applyProtection="1">
      <alignment horizontal="left" vertical="center"/>
    </xf>
    <xf numFmtId="0" fontId="0" fillId="0" borderId="16" xfId="0" applyFont="1" applyBorder="1" applyAlignment="1" applyProtection="1">
      <alignment horizontal="right" vertical="center"/>
    </xf>
    <xf numFmtId="0" fontId="0" fillId="0" borderId="53" xfId="0" applyFont="1" applyBorder="1" applyAlignment="1" applyProtection="1">
      <alignment horizontal="left" vertical="center" wrapText="1"/>
    </xf>
    <xf numFmtId="0" fontId="0" fillId="3" borderId="38" xfId="0" applyFont="1" applyFill="1" applyBorder="1" applyAlignment="1" applyProtection="1">
      <alignment horizontal="right" vertical="center"/>
    </xf>
    <xf numFmtId="0" fontId="13" fillId="0" borderId="84" xfId="0" applyFont="1" applyFill="1" applyBorder="1" applyAlignment="1" applyProtection="1">
      <alignment horizontal="left" vertical="center" wrapText="1"/>
      <protection locked="0"/>
    </xf>
    <xf numFmtId="0" fontId="13" fillId="0" borderId="73" xfId="0" applyFont="1" applyFill="1" applyBorder="1" applyAlignment="1" applyProtection="1">
      <alignment horizontal="left" vertical="center" wrapText="1"/>
      <protection locked="0"/>
    </xf>
    <xf numFmtId="0" fontId="13" fillId="0" borderId="73" xfId="0" applyFont="1" applyFill="1" applyBorder="1" applyAlignment="1" applyProtection="1">
      <alignment horizontal="left" vertical="center"/>
      <protection locked="0"/>
    </xf>
    <xf numFmtId="0" fontId="13" fillId="0" borderId="55" xfId="0" applyFont="1" applyFill="1" applyBorder="1" applyAlignment="1" applyProtection="1">
      <alignment horizontal="left" vertical="center"/>
      <protection locked="0"/>
    </xf>
    <xf numFmtId="0" fontId="13" fillId="0" borderId="51" xfId="0" applyFont="1" applyFill="1" applyBorder="1" applyAlignment="1" applyProtection="1">
      <alignment horizontal="center" vertical="center" wrapText="1"/>
      <protection locked="0"/>
    </xf>
    <xf numFmtId="0" fontId="0" fillId="3" borderId="59" xfId="0" applyFill="1" applyBorder="1" applyAlignment="1" applyProtection="1">
      <alignment vertical="center"/>
    </xf>
    <xf numFmtId="0" fontId="13" fillId="0" borderId="20" xfId="0"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13" fillId="3" borderId="29" xfId="0" applyFont="1" applyFill="1" applyBorder="1" applyAlignment="1" applyProtection="1">
      <alignment horizontal="left" vertical="center" wrapText="1"/>
    </xf>
    <xf numFmtId="0" fontId="13" fillId="0" borderId="29" xfId="0" applyFont="1" applyBorder="1" applyAlignment="1" applyProtection="1">
      <alignment horizontal="left" vertical="center" wrapText="1"/>
    </xf>
    <xf numFmtId="0" fontId="13" fillId="0" borderId="0" xfId="0" applyFont="1" applyBorder="1" applyAlignment="1" applyProtection="1">
      <alignment horizontal="center" vertical="center"/>
      <protection locked="0"/>
    </xf>
    <xf numFmtId="0" fontId="13" fillId="0" borderId="59" xfId="0" applyFont="1" applyBorder="1" applyAlignment="1" applyProtection="1">
      <alignment horizontal="center" vertical="center"/>
      <protection locked="0"/>
    </xf>
    <xf numFmtId="0" fontId="13" fillId="3" borderId="29" xfId="0" applyFont="1" applyFill="1" applyBorder="1" applyAlignment="1" applyProtection="1">
      <alignment horizontal="left" vertical="center" shrinkToFit="1"/>
    </xf>
    <xf numFmtId="0" fontId="0" fillId="0" borderId="29" xfId="0" applyFont="1" applyBorder="1" applyAlignment="1" applyProtection="1">
      <alignment horizontal="left" vertical="center" shrinkToFit="1"/>
    </xf>
    <xf numFmtId="0" fontId="13" fillId="0" borderId="51" xfId="0" applyFont="1" applyFill="1" applyBorder="1" applyAlignment="1" applyProtection="1">
      <alignment horizontal="left" vertical="center" wrapText="1"/>
      <protection locked="0"/>
    </xf>
    <xf numFmtId="0" fontId="0" fillId="3" borderId="53" xfId="0" applyFont="1" applyFill="1" applyBorder="1" applyAlignment="1" applyProtection="1">
      <alignment horizontal="left" vertical="center" wrapText="1"/>
    </xf>
    <xf numFmtId="0" fontId="13" fillId="0" borderId="2" xfId="0" applyFont="1" applyBorder="1" applyAlignment="1" applyProtection="1">
      <alignment horizontal="left" vertical="center" wrapText="1"/>
    </xf>
    <xf numFmtId="0" fontId="13" fillId="0" borderId="59" xfId="0" applyFont="1" applyFill="1" applyBorder="1" applyAlignment="1" applyProtection="1">
      <alignment horizontal="left" vertical="center"/>
      <protection locked="0"/>
    </xf>
    <xf numFmtId="0" fontId="0" fillId="0" borderId="59" xfId="0" applyFont="1" applyBorder="1" applyAlignment="1" applyProtection="1">
      <alignment horizontal="left" vertical="center"/>
      <protection locked="0"/>
    </xf>
    <xf numFmtId="0" fontId="0" fillId="0" borderId="29" xfId="0" applyFont="1" applyBorder="1" applyAlignment="1" applyProtection="1">
      <alignment horizontal="left" vertical="center" wrapText="1"/>
    </xf>
    <xf numFmtId="49" fontId="13" fillId="0" borderId="53" xfId="0" applyNumberFormat="1" applyFont="1" applyFill="1" applyBorder="1" applyAlignment="1" applyProtection="1">
      <alignment horizontal="center" vertical="center"/>
      <protection locked="0"/>
    </xf>
    <xf numFmtId="49" fontId="0" fillId="0" borderId="53" xfId="0" applyNumberFormat="1" applyBorder="1" applyAlignment="1" applyProtection="1">
      <alignment horizontal="center" vertical="center"/>
      <protection locked="0"/>
    </xf>
    <xf numFmtId="0" fontId="0" fillId="0" borderId="27" xfId="0" applyFont="1" applyBorder="1" applyAlignment="1" applyProtection="1">
      <alignment horizontal="left" vertical="center" wrapText="1"/>
    </xf>
    <xf numFmtId="0" fontId="13" fillId="0" borderId="108" xfId="0" applyFont="1" applyBorder="1" applyAlignment="1" applyProtection="1">
      <alignment horizontal="center" vertical="center" wrapText="1"/>
      <protection locked="0"/>
    </xf>
    <xf numFmtId="0" fontId="13" fillId="0" borderId="107" xfId="0" applyFont="1" applyFill="1" applyBorder="1" applyAlignment="1" applyProtection="1">
      <alignment horizontal="center" vertical="center" wrapText="1"/>
      <protection locked="0"/>
    </xf>
    <xf numFmtId="0" fontId="0" fillId="0" borderId="107" xfId="0" applyBorder="1" applyAlignment="1" applyProtection="1">
      <alignment horizontal="center" vertical="center" wrapText="1"/>
      <protection locked="0"/>
    </xf>
    <xf numFmtId="0" fontId="13" fillId="0" borderId="107" xfId="0" applyFont="1" applyBorder="1" applyAlignment="1" applyProtection="1">
      <alignment horizontal="center" vertical="center" wrapText="1"/>
      <protection locked="0"/>
    </xf>
    <xf numFmtId="0" fontId="13" fillId="0" borderId="110" xfId="0" applyFont="1" applyFill="1" applyBorder="1" applyAlignment="1" applyProtection="1">
      <alignment horizontal="center" vertical="center"/>
      <protection locked="0"/>
    </xf>
    <xf numFmtId="0" fontId="13" fillId="0" borderId="154" xfId="0"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108" xfId="0" applyBorder="1" applyAlignment="1" applyProtection="1">
      <alignment horizontal="center" vertical="center"/>
      <protection locked="0"/>
    </xf>
    <xf numFmtId="0" fontId="0" fillId="0" borderId="128" xfId="0" applyBorder="1" applyAlignment="1" applyProtection="1">
      <alignment horizontal="center" vertical="center"/>
      <protection locked="0"/>
    </xf>
    <xf numFmtId="0" fontId="13" fillId="0" borderId="105" xfId="0" applyFont="1" applyFill="1" applyBorder="1" applyAlignment="1" applyProtection="1">
      <alignment horizontal="center" vertical="center"/>
      <protection locked="0"/>
    </xf>
    <xf numFmtId="0" fontId="13" fillId="0" borderId="153" xfId="0" applyFont="1" applyFill="1" applyBorder="1" applyAlignment="1" applyProtection="1">
      <alignment horizontal="center" vertical="center"/>
      <protection locked="0"/>
    </xf>
    <xf numFmtId="0" fontId="13" fillId="0" borderId="8" xfId="0" applyFont="1" applyBorder="1" applyAlignment="1" applyProtection="1">
      <alignment horizontal="left" vertical="center"/>
    </xf>
    <xf numFmtId="0" fontId="13" fillId="0" borderId="1" xfId="0" applyFont="1" applyBorder="1" applyAlignment="1" applyProtection="1">
      <alignment horizontal="left" vertical="center" wrapText="1"/>
    </xf>
    <xf numFmtId="0" fontId="13" fillId="0" borderId="0" xfId="0" applyFont="1" applyBorder="1" applyAlignment="1" applyProtection="1">
      <alignment horizontal="left" vertical="center" wrapText="1"/>
    </xf>
    <xf numFmtId="0" fontId="13" fillId="3" borderId="20" xfId="0" applyFont="1" applyFill="1" applyBorder="1" applyAlignment="1" applyProtection="1">
      <alignment horizontal="left" vertical="center" wrapText="1"/>
    </xf>
    <xf numFmtId="0" fontId="13" fillId="0" borderId="20" xfId="0" applyFont="1" applyBorder="1" applyAlignment="1" applyProtection="1">
      <alignment horizontal="left" vertical="center" wrapText="1"/>
    </xf>
    <xf numFmtId="0" fontId="0" fillId="0" borderId="82" xfId="0" applyBorder="1" applyAlignment="1" applyProtection="1">
      <alignment horizontal="left" vertical="center"/>
    </xf>
    <xf numFmtId="0" fontId="0" fillId="0" borderId="0" xfId="0" applyBorder="1" applyAlignment="1" applyProtection="1">
      <alignment horizontal="left" vertical="center"/>
    </xf>
    <xf numFmtId="0" fontId="13" fillId="3" borderId="2"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9" borderId="7" xfId="0" applyFont="1" applyFill="1" applyBorder="1" applyAlignment="1" applyProtection="1">
      <alignment horizontal="left" vertical="center"/>
    </xf>
    <xf numFmtId="0" fontId="0" fillId="9" borderId="8" xfId="0" applyFont="1" applyFill="1" applyBorder="1" applyAlignment="1" applyProtection="1">
      <alignment horizontal="left" vertical="center"/>
    </xf>
    <xf numFmtId="0" fontId="0" fillId="9" borderId="9" xfId="0" applyFont="1" applyFill="1" applyBorder="1" applyAlignment="1" applyProtection="1">
      <alignment horizontal="left" vertical="center"/>
    </xf>
    <xf numFmtId="0" fontId="0" fillId="8" borderId="4" xfId="0" applyFont="1" applyFill="1" applyBorder="1" applyAlignment="1" applyProtection="1">
      <alignment horizontal="left" vertical="center"/>
    </xf>
    <xf numFmtId="49" fontId="13" fillId="0" borderId="51" xfId="0" applyNumberFormat="1" applyFont="1" applyBorder="1" applyAlignment="1" applyProtection="1">
      <alignment horizontal="center" vertical="center"/>
      <protection locked="0"/>
    </xf>
    <xf numFmtId="49" fontId="13" fillId="0" borderId="2" xfId="0" applyNumberFormat="1" applyFont="1" applyFill="1" applyBorder="1" applyAlignment="1" applyProtection="1">
      <alignment horizontal="center" vertical="center"/>
      <protection locked="0"/>
    </xf>
    <xf numFmtId="0" fontId="0" fillId="0" borderId="52" xfId="0" applyBorder="1" applyAlignment="1" applyProtection="1">
      <alignment horizontal="left" vertical="center"/>
    </xf>
    <xf numFmtId="0" fontId="0" fillId="3" borderId="29" xfId="0" applyFill="1" applyBorder="1" applyAlignment="1" applyProtection="1">
      <alignment horizontal="center" vertical="center"/>
    </xf>
    <xf numFmtId="49" fontId="0" fillId="0" borderId="29" xfId="0" applyNumberFormat="1" applyBorder="1" applyAlignment="1" applyProtection="1">
      <alignment horizontal="center" vertical="center"/>
      <protection locked="0"/>
    </xf>
    <xf numFmtId="0" fontId="12" fillId="3" borderId="38" xfId="0" applyFont="1" applyFill="1" applyBorder="1" applyAlignment="1" applyProtection="1">
      <alignment horizontal="left" vertical="center" wrapText="1"/>
    </xf>
    <xf numFmtId="0" fontId="13" fillId="0" borderId="2" xfId="0" applyFont="1" applyFill="1" applyBorder="1" applyAlignment="1" applyProtection="1">
      <alignment horizontal="left" vertical="center" wrapText="1"/>
      <protection locked="0"/>
    </xf>
    <xf numFmtId="0" fontId="13" fillId="0" borderId="2" xfId="0" applyFont="1" applyBorder="1" applyAlignment="1" applyProtection="1">
      <alignment horizontal="left" vertical="center" wrapText="1"/>
      <protection locked="0"/>
    </xf>
    <xf numFmtId="0" fontId="13" fillId="0" borderId="2" xfId="0" applyFont="1" applyBorder="1" applyAlignment="1" applyProtection="1">
      <alignment horizontal="left" vertical="center"/>
      <protection locked="0"/>
    </xf>
    <xf numFmtId="0" fontId="0" fillId="0" borderId="20" xfId="0" applyFont="1" applyBorder="1" applyAlignment="1" applyProtection="1">
      <alignment horizontal="left" vertical="center"/>
    </xf>
    <xf numFmtId="0" fontId="0" fillId="3" borderId="82" xfId="0" applyFont="1" applyFill="1" applyBorder="1" applyAlignment="1" applyProtection="1">
      <alignment horizontal="left" vertical="center"/>
    </xf>
    <xf numFmtId="0" fontId="0" fillId="3" borderId="52" xfId="0" applyFill="1" applyBorder="1" applyAlignment="1" applyProtection="1">
      <alignment vertical="center" shrinkToFit="1"/>
    </xf>
    <xf numFmtId="49" fontId="13" fillId="0" borderId="59" xfId="0" applyNumberFormat="1" applyFont="1" applyFill="1" applyBorder="1" applyAlignment="1" applyProtection="1">
      <alignment horizontal="left" vertical="center"/>
      <protection locked="0"/>
    </xf>
    <xf numFmtId="49" fontId="13" fillId="0" borderId="59" xfId="0" applyNumberFormat="1" applyFont="1" applyBorder="1" applyAlignment="1" applyProtection="1">
      <alignment horizontal="left" vertical="center"/>
      <protection locked="0"/>
    </xf>
    <xf numFmtId="0" fontId="13" fillId="0" borderId="53" xfId="0" applyFont="1" applyFill="1" applyBorder="1" applyAlignment="1" applyProtection="1">
      <alignment horizontal="left" vertical="center" wrapText="1"/>
      <protection locked="0"/>
    </xf>
    <xf numFmtId="49" fontId="29" fillId="0" borderId="8" xfId="0" applyNumberFormat="1" applyFont="1" applyFill="1" applyBorder="1" applyAlignment="1" applyProtection="1">
      <alignment horizontal="center" vertical="center"/>
      <protection locked="0"/>
    </xf>
    <xf numFmtId="0" fontId="13" fillId="3" borderId="7" xfId="0" applyFont="1" applyFill="1" applyBorder="1" applyAlignment="1" applyProtection="1">
      <alignment horizontal="center" vertical="center" wrapText="1"/>
    </xf>
    <xf numFmtId="0" fontId="12" fillId="3" borderId="16" xfId="0" applyFont="1" applyFill="1" applyBorder="1" applyAlignment="1" applyProtection="1">
      <alignment horizontal="left" vertical="center" shrinkToFit="1"/>
    </xf>
    <xf numFmtId="0" fontId="0" fillId="0" borderId="16" xfId="0" applyBorder="1" applyAlignment="1" applyProtection="1">
      <alignment horizontal="left" vertical="center" shrinkToFit="1"/>
    </xf>
    <xf numFmtId="0" fontId="13" fillId="0" borderId="51" xfId="0" applyFont="1" applyFill="1" applyBorder="1" applyAlignment="1" applyProtection="1">
      <alignment horizontal="left" vertical="center"/>
      <protection locked="0"/>
    </xf>
    <xf numFmtId="0" fontId="13" fillId="0" borderId="8" xfId="0" applyFont="1" applyBorder="1" applyAlignment="1" applyProtection="1">
      <alignment horizontal="left" vertical="center"/>
      <protection locked="0"/>
    </xf>
    <xf numFmtId="0" fontId="13" fillId="3" borderId="1" xfId="0" applyFont="1" applyFill="1" applyBorder="1" applyAlignment="1" applyProtection="1">
      <alignment vertical="center"/>
    </xf>
    <xf numFmtId="0" fontId="13" fillId="3" borderId="0" xfId="0" applyFont="1" applyFill="1" applyBorder="1" applyAlignment="1" applyProtection="1">
      <alignment vertical="center"/>
    </xf>
    <xf numFmtId="0" fontId="13" fillId="3" borderId="2" xfId="0" applyFont="1" applyFill="1" applyBorder="1" applyAlignment="1" applyProtection="1">
      <alignment vertical="center"/>
    </xf>
    <xf numFmtId="0" fontId="13" fillId="0" borderId="59" xfId="0" applyFont="1" applyBorder="1" applyAlignment="1" applyProtection="1">
      <alignment horizontal="left" vertical="center" shrinkToFit="1"/>
    </xf>
    <xf numFmtId="0" fontId="0" fillId="0" borderId="29" xfId="0" applyFont="1" applyFill="1" applyBorder="1" applyAlignment="1" applyProtection="1">
      <alignment vertical="center"/>
      <protection locked="0"/>
    </xf>
    <xf numFmtId="0" fontId="0" fillId="0" borderId="107" xfId="0" applyBorder="1" applyAlignment="1" applyProtection="1">
      <alignment horizontal="left" vertical="center"/>
      <protection locked="0"/>
    </xf>
    <xf numFmtId="0" fontId="13" fillId="0" borderId="8" xfId="0" applyFont="1" applyBorder="1" applyAlignment="1" applyProtection="1">
      <alignment horizontal="center" vertical="center"/>
      <protection locked="0"/>
    </xf>
    <xf numFmtId="0" fontId="0" fillId="0" borderId="132" xfId="0" applyBorder="1" applyAlignment="1" applyProtection="1">
      <alignment horizontal="center" vertical="center" wrapText="1"/>
      <protection locked="0"/>
    </xf>
    <xf numFmtId="0" fontId="0" fillId="0" borderId="59" xfId="0" applyBorder="1" applyAlignment="1" applyProtection="1">
      <alignment horizontal="center" vertical="center" wrapText="1"/>
      <protection locked="0"/>
    </xf>
    <xf numFmtId="0" fontId="0" fillId="0" borderId="133" xfId="0" applyBorder="1" applyAlignment="1" applyProtection="1">
      <alignment horizontal="center" vertical="center" wrapText="1"/>
      <protection locked="0"/>
    </xf>
    <xf numFmtId="0" fontId="13" fillId="0" borderId="29" xfId="0" applyFont="1" applyFill="1" applyBorder="1" applyAlignment="1" applyProtection="1">
      <alignment horizontal="center" vertical="center"/>
      <protection locked="0"/>
    </xf>
    <xf numFmtId="0" fontId="0" fillId="0" borderId="29" xfId="0" applyFont="1" applyBorder="1" applyAlignment="1" applyProtection="1">
      <alignment horizontal="center" vertical="center"/>
      <protection locked="0"/>
    </xf>
    <xf numFmtId="0" fontId="13" fillId="3" borderId="2" xfId="0" applyFont="1" applyFill="1" applyBorder="1" applyAlignment="1" applyProtection="1">
      <alignment horizontal="left" vertical="center" shrinkToFit="1"/>
    </xf>
    <xf numFmtId="0" fontId="0" fillId="0" borderId="2" xfId="0" applyFont="1" applyBorder="1" applyAlignment="1" applyProtection="1">
      <alignment horizontal="left" vertical="center" shrinkToFit="1"/>
    </xf>
    <xf numFmtId="0" fontId="13" fillId="0" borderId="59" xfId="0" applyFont="1" applyBorder="1" applyAlignment="1" applyProtection="1">
      <alignment horizontal="left" vertical="center" wrapText="1"/>
    </xf>
    <xf numFmtId="0" fontId="0" fillId="0" borderId="8" xfId="0" applyBorder="1" applyAlignment="1" applyProtection="1">
      <alignment horizontal="left" vertical="center" wrapText="1"/>
    </xf>
    <xf numFmtId="0" fontId="0" fillId="0" borderId="0" xfId="0" applyFont="1" applyBorder="1" applyAlignment="1" applyProtection="1">
      <alignment horizontal="left" vertical="center" wrapText="1"/>
    </xf>
    <xf numFmtId="0" fontId="0" fillId="0" borderId="158" xfId="0" applyFont="1" applyBorder="1" applyAlignment="1" applyProtection="1">
      <alignment horizontal="left" vertical="center" wrapText="1"/>
    </xf>
    <xf numFmtId="0" fontId="0" fillId="0" borderId="159" xfId="0" applyBorder="1" applyAlignment="1" applyProtection="1">
      <alignment horizontal="left" vertical="center" wrapText="1"/>
    </xf>
    <xf numFmtId="0" fontId="0" fillId="0" borderId="160" xfId="0" applyBorder="1" applyAlignment="1" applyProtection="1">
      <alignment horizontal="left" vertical="center" wrapText="1"/>
    </xf>
    <xf numFmtId="0" fontId="0" fillId="0" borderId="158" xfId="0" quotePrefix="1" applyFont="1" applyBorder="1" applyAlignment="1" applyProtection="1">
      <alignment horizontal="center" vertical="center"/>
      <protection locked="0"/>
    </xf>
    <xf numFmtId="0" fontId="0" fillId="0" borderId="159" xfId="0" quotePrefix="1" applyFont="1" applyBorder="1" applyAlignment="1" applyProtection="1">
      <alignment horizontal="center" vertical="center"/>
      <protection locked="0"/>
    </xf>
    <xf numFmtId="0" fontId="0" fillId="0" borderId="160" xfId="0" quotePrefix="1" applyFont="1" applyBorder="1" applyAlignment="1" applyProtection="1">
      <alignment horizontal="center" vertical="center"/>
      <protection locked="0"/>
    </xf>
    <xf numFmtId="0" fontId="0" fillId="0" borderId="167" xfId="0" quotePrefix="1" applyFont="1" applyBorder="1" applyAlignment="1" applyProtection="1">
      <alignment horizontal="center" vertical="center"/>
      <protection locked="0"/>
    </xf>
    <xf numFmtId="0" fontId="0" fillId="0" borderId="168" xfId="0" quotePrefix="1" applyFont="1" applyBorder="1" applyAlignment="1" applyProtection="1">
      <alignment horizontal="center" vertical="center"/>
      <protection locked="0"/>
    </xf>
    <xf numFmtId="0" fontId="0" fillId="0" borderId="169" xfId="0" quotePrefix="1" applyFont="1" applyBorder="1" applyAlignment="1" applyProtection="1">
      <alignment horizontal="center" vertical="center"/>
      <protection locked="0"/>
    </xf>
    <xf numFmtId="0" fontId="0" fillId="0" borderId="167" xfId="0" applyFont="1" applyBorder="1" applyAlignment="1" applyProtection="1">
      <alignment horizontal="left" vertical="center" wrapText="1"/>
    </xf>
    <xf numFmtId="0" fontId="0" fillId="0" borderId="168" xfId="0" applyBorder="1" applyAlignment="1" applyProtection="1">
      <alignment horizontal="left" vertical="center" wrapText="1"/>
    </xf>
    <xf numFmtId="0" fontId="0" fillId="0" borderId="169" xfId="0" applyBorder="1" applyAlignment="1" applyProtection="1">
      <alignment horizontal="left" vertical="center" wrapText="1"/>
    </xf>
    <xf numFmtId="49" fontId="0" fillId="0" borderId="1" xfId="0" quotePrefix="1" applyNumberFormat="1" applyFont="1" applyFill="1" applyBorder="1" applyAlignment="1" applyProtection="1">
      <alignment horizontal="center" vertical="center" wrapText="1"/>
    </xf>
    <xf numFmtId="0" fontId="9" fillId="3" borderId="2" xfId="0" quotePrefix="1" applyFont="1" applyFill="1" applyBorder="1" applyAlignment="1" applyProtection="1">
      <alignment horizontal="left" vertical="center"/>
    </xf>
    <xf numFmtId="0" fontId="9" fillId="3" borderId="61" xfId="0" quotePrefix="1" applyFont="1" applyFill="1" applyBorder="1" applyAlignment="1" applyProtection="1">
      <alignment horizontal="left" vertical="center"/>
    </xf>
    <xf numFmtId="0" fontId="0" fillId="0" borderId="170" xfId="0" applyFont="1" applyFill="1" applyBorder="1" applyAlignment="1" applyProtection="1">
      <alignment horizontal="left" vertical="center"/>
      <protection locked="0"/>
    </xf>
    <xf numFmtId="0" fontId="0" fillId="0" borderId="170" xfId="0" applyBorder="1" applyAlignment="1" applyProtection="1">
      <alignment horizontal="left" vertical="center"/>
      <protection locked="0"/>
    </xf>
    <xf numFmtId="0" fontId="0" fillId="0" borderId="8" xfId="0" applyBorder="1" applyAlignment="1" applyProtection="1">
      <alignment horizontal="left" vertical="top" wrapText="1"/>
    </xf>
    <xf numFmtId="0" fontId="27" fillId="3" borderId="22" xfId="0" applyFont="1" applyFill="1" applyBorder="1" applyAlignment="1" applyProtection="1">
      <alignment vertical="center" wrapText="1"/>
    </xf>
    <xf numFmtId="0" fontId="0" fillId="0" borderId="1" xfId="0" applyBorder="1" applyAlignment="1" applyProtection="1">
      <alignment horizontal="left" vertical="top" wrapText="1"/>
    </xf>
    <xf numFmtId="0" fontId="0" fillId="0" borderId="2" xfId="0" applyBorder="1" applyAlignment="1" applyProtection="1">
      <alignment horizontal="left" vertical="top" wrapText="1"/>
    </xf>
    <xf numFmtId="0" fontId="0" fillId="0" borderId="135" xfId="0" applyFont="1" applyFill="1" applyBorder="1" applyAlignment="1" applyProtection="1">
      <alignment horizontal="left" vertical="center"/>
      <protection locked="0"/>
    </xf>
    <xf numFmtId="0" fontId="0" fillId="0" borderId="8" xfId="0" applyFont="1" applyFill="1" applyBorder="1" applyAlignment="1" applyProtection="1">
      <alignment horizontal="left" vertical="center"/>
      <protection locked="0"/>
    </xf>
    <xf numFmtId="0" fontId="0" fillId="0" borderId="127" xfId="0" applyFont="1" applyFill="1" applyBorder="1" applyAlignment="1" applyProtection="1">
      <alignment horizontal="left" vertical="center"/>
      <protection locked="0"/>
    </xf>
    <xf numFmtId="0" fontId="27" fillId="3" borderId="135" xfId="0" applyFont="1" applyFill="1" applyBorder="1" applyAlignment="1" applyProtection="1">
      <alignment horizontal="center" vertical="center"/>
    </xf>
    <xf numFmtId="0" fontId="27" fillId="3" borderId="8" xfId="0" applyFont="1" applyFill="1" applyBorder="1" applyAlignment="1" applyProtection="1">
      <alignment horizontal="center" vertical="center"/>
    </xf>
    <xf numFmtId="0" fontId="27" fillId="3" borderId="36" xfId="0" applyFont="1" applyFill="1" applyBorder="1" applyAlignment="1" applyProtection="1">
      <alignment horizontal="center" vertical="center"/>
    </xf>
    <xf numFmtId="0" fontId="0" fillId="0" borderId="1" xfId="0"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0" fillId="0" borderId="2" xfId="0" applyFont="1" applyBorder="1" applyAlignment="1" applyProtection="1">
      <alignment horizontal="left" vertical="center"/>
      <protection locked="0"/>
    </xf>
    <xf numFmtId="0" fontId="0" fillId="0" borderId="2" xfId="0" applyBorder="1" applyAlignment="1" applyProtection="1">
      <alignment horizontal="left" vertical="center"/>
      <protection locked="0"/>
    </xf>
    <xf numFmtId="0" fontId="0" fillId="0" borderId="173" xfId="0" applyBorder="1" applyAlignment="1" applyProtection="1">
      <alignment horizontal="left" vertical="center"/>
      <protection locked="0"/>
    </xf>
    <xf numFmtId="0" fontId="0" fillId="0" borderId="1" xfId="0" applyFill="1" applyBorder="1" applyAlignment="1" applyProtection="1">
      <alignment horizontal="left" vertical="top" wrapText="1"/>
    </xf>
    <xf numFmtId="0" fontId="0" fillId="0" borderId="2" xfId="0" applyFill="1" applyBorder="1" applyAlignment="1" applyProtection="1">
      <alignment horizontal="left" vertical="top" wrapText="1"/>
    </xf>
    <xf numFmtId="0" fontId="0" fillId="0" borderId="136" xfId="0" applyFont="1" applyBorder="1" applyAlignment="1" applyProtection="1">
      <alignment horizontal="left" vertical="center"/>
      <protection locked="0"/>
    </xf>
    <xf numFmtId="0" fontId="90" fillId="3" borderId="149" xfId="0" applyFont="1" applyFill="1" applyBorder="1" applyAlignment="1" applyProtection="1">
      <alignment vertical="center" wrapText="1" shrinkToFit="1"/>
    </xf>
    <xf numFmtId="0" fontId="90" fillId="3" borderId="1" xfId="0" applyFont="1" applyFill="1" applyBorder="1" applyAlignment="1" applyProtection="1">
      <alignment vertical="center" wrapText="1" shrinkToFit="1"/>
    </xf>
    <xf numFmtId="0" fontId="90" fillId="3" borderId="40" xfId="0" applyFont="1" applyFill="1" applyBorder="1" applyAlignment="1" applyProtection="1">
      <alignment vertical="center" wrapText="1" shrinkToFit="1"/>
    </xf>
    <xf numFmtId="0" fontId="90" fillId="3" borderId="145" xfId="0" applyFont="1" applyFill="1" applyBorder="1" applyAlignment="1" applyProtection="1">
      <alignment vertical="center"/>
    </xf>
    <xf numFmtId="0" fontId="90" fillId="3" borderId="27" xfId="0" applyFont="1" applyFill="1" applyBorder="1" applyAlignment="1" applyProtection="1">
      <alignment vertical="center"/>
    </xf>
    <xf numFmtId="0" fontId="90" fillId="3" borderId="62" xfId="0" applyFont="1" applyFill="1" applyBorder="1" applyAlignment="1" applyProtection="1">
      <alignment vertical="center"/>
    </xf>
    <xf numFmtId="0" fontId="90" fillId="3" borderId="149" xfId="0" applyFont="1" applyFill="1" applyBorder="1" applyAlignment="1" applyProtection="1">
      <alignment vertical="center"/>
    </xf>
    <xf numFmtId="0" fontId="90" fillId="3" borderId="1" xfId="0" applyFont="1" applyFill="1" applyBorder="1" applyAlignment="1" applyProtection="1">
      <alignment vertical="center"/>
    </xf>
    <xf numFmtId="0" fontId="90" fillId="3" borderId="40" xfId="0" applyFont="1" applyFill="1" applyBorder="1" applyAlignment="1" applyProtection="1">
      <alignment vertical="center"/>
    </xf>
    <xf numFmtId="0" fontId="0" fillId="0" borderId="53" xfId="0" applyFill="1" applyBorder="1" applyAlignment="1" applyProtection="1">
      <alignment horizontal="left" vertical="top" wrapText="1"/>
    </xf>
    <xf numFmtId="0" fontId="11" fillId="0" borderId="0" xfId="1" applyFont="1" applyAlignment="1" applyProtection="1">
      <alignment horizontal="left" vertical="center"/>
    </xf>
    <xf numFmtId="0" fontId="90" fillId="3" borderId="135" xfId="0" applyFont="1" applyFill="1" applyBorder="1" applyAlignment="1" applyProtection="1">
      <alignment vertical="center"/>
    </xf>
    <xf numFmtId="0" fontId="90" fillId="3" borderId="8" xfId="0" applyFont="1" applyFill="1" applyBorder="1" applyAlignment="1" applyProtection="1">
      <alignment vertical="center"/>
    </xf>
    <xf numFmtId="0" fontId="90" fillId="3" borderId="36" xfId="0" applyFont="1" applyFill="1" applyBorder="1" applyAlignment="1" applyProtection="1">
      <alignment vertical="center"/>
    </xf>
    <xf numFmtId="0" fontId="0" fillId="0" borderId="128" xfId="0" applyFont="1" applyBorder="1" applyAlignment="1" applyProtection="1">
      <alignment horizontal="center" vertical="center" wrapText="1"/>
      <protection locked="0"/>
    </xf>
    <xf numFmtId="0" fontId="0" fillId="0" borderId="53" xfId="0" applyFont="1" applyBorder="1" applyAlignment="1" applyProtection="1">
      <alignment horizontal="center" vertical="center" wrapText="1"/>
      <protection locked="0"/>
    </xf>
    <xf numFmtId="0" fontId="0" fillId="0" borderId="129" xfId="0" applyFont="1" applyBorder="1" applyAlignment="1" applyProtection="1">
      <alignment horizontal="center" vertical="center" wrapText="1"/>
      <protection locked="0"/>
    </xf>
    <xf numFmtId="0" fontId="27" fillId="3" borderId="139" xfId="0" applyFont="1" applyFill="1" applyBorder="1" applyAlignment="1" applyProtection="1">
      <alignment horizontal="center" vertical="center"/>
    </xf>
    <xf numFmtId="0" fontId="27" fillId="3" borderId="2" xfId="0" applyFont="1" applyFill="1" applyBorder="1" applyAlignment="1" applyProtection="1">
      <alignment horizontal="center" vertical="center"/>
    </xf>
    <xf numFmtId="0" fontId="27" fillId="3" borderId="61" xfId="0" applyFont="1" applyFill="1" applyBorder="1" applyAlignment="1" applyProtection="1">
      <alignment horizontal="center" vertical="center"/>
    </xf>
    <xf numFmtId="0" fontId="27" fillId="3" borderId="145" xfId="0" applyFont="1" applyFill="1" applyBorder="1" applyAlignment="1" applyProtection="1">
      <alignment horizontal="center" vertical="center"/>
    </xf>
    <xf numFmtId="0" fontId="27" fillId="3" borderId="27" xfId="0" applyFont="1" applyFill="1" applyBorder="1" applyAlignment="1" applyProtection="1">
      <alignment horizontal="center" vertical="center"/>
    </xf>
    <xf numFmtId="0" fontId="27" fillId="3" borderId="62" xfId="0" applyFont="1" applyFill="1" applyBorder="1" applyAlignment="1" applyProtection="1">
      <alignment horizontal="center" vertical="center"/>
    </xf>
    <xf numFmtId="0" fontId="27" fillId="3" borderId="138" xfId="0" applyFont="1" applyFill="1" applyBorder="1" applyAlignment="1" applyProtection="1">
      <alignment vertical="center"/>
    </xf>
    <xf numFmtId="0" fontId="27" fillId="3" borderId="149" xfId="0" applyFont="1" applyFill="1" applyBorder="1" applyAlignment="1" applyProtection="1">
      <alignment vertical="center" wrapText="1"/>
    </xf>
    <xf numFmtId="0" fontId="27" fillId="3" borderId="1" xfId="0" applyFont="1" applyFill="1" applyBorder="1" applyAlignment="1" applyProtection="1">
      <alignment vertical="center" wrapText="1"/>
    </xf>
    <xf numFmtId="0" fontId="27" fillId="3" borderId="40" xfId="0" applyFont="1" applyFill="1" applyBorder="1" applyAlignment="1" applyProtection="1">
      <alignment vertical="center" wrapText="1"/>
    </xf>
    <xf numFmtId="0" fontId="27" fillId="3" borderId="150" xfId="0" applyFont="1" applyFill="1" applyBorder="1" applyAlignment="1" applyProtection="1">
      <alignment vertical="center" wrapText="1"/>
    </xf>
    <xf numFmtId="0" fontId="27" fillId="3" borderId="52" xfId="0" applyFont="1" applyFill="1" applyBorder="1" applyAlignment="1" applyProtection="1">
      <alignment vertical="center" wrapText="1"/>
    </xf>
    <xf numFmtId="0" fontId="27" fillId="3" borderId="63" xfId="0" applyFont="1" applyFill="1" applyBorder="1" applyAlignment="1" applyProtection="1">
      <alignment vertical="center" wrapText="1"/>
    </xf>
    <xf numFmtId="0" fontId="27" fillId="0" borderId="136" xfId="0" applyFont="1" applyBorder="1" applyAlignment="1" applyProtection="1">
      <alignment horizontal="center" vertical="center" wrapText="1"/>
      <protection locked="0"/>
    </xf>
    <xf numFmtId="0" fontId="91" fillId="3" borderId="128" xfId="0" applyFont="1" applyFill="1" applyBorder="1" applyAlignment="1" applyProtection="1">
      <alignment horizontal="center" vertical="center" shrinkToFit="1"/>
    </xf>
    <xf numFmtId="0" fontId="91" fillId="3" borderId="53" xfId="0" applyFont="1" applyFill="1" applyBorder="1" applyAlignment="1" applyProtection="1">
      <alignment horizontal="center" vertical="center" shrinkToFit="1"/>
    </xf>
    <xf numFmtId="0" fontId="91" fillId="3" borderId="65" xfId="0" applyFont="1" applyFill="1" applyBorder="1" applyAlignment="1" applyProtection="1">
      <alignment horizontal="center" vertical="center" shrinkToFit="1"/>
    </xf>
    <xf numFmtId="0" fontId="27" fillId="3" borderId="148" xfId="0" applyFont="1" applyFill="1" applyBorder="1" applyAlignment="1" applyProtection="1">
      <alignment vertical="center" wrapText="1"/>
    </xf>
    <xf numFmtId="0" fontId="27" fillId="3" borderId="82" xfId="0" applyFont="1" applyFill="1" applyBorder="1" applyAlignment="1" applyProtection="1">
      <alignment vertical="center" wrapText="1"/>
    </xf>
    <xf numFmtId="0" fontId="27" fillId="3" borderId="83" xfId="0" applyFont="1" applyFill="1" applyBorder="1" applyAlignment="1" applyProtection="1">
      <alignment vertical="center" wrapText="1"/>
    </xf>
    <xf numFmtId="0" fontId="27" fillId="0" borderId="136" xfId="0" applyFont="1" applyBorder="1" applyAlignment="1" applyProtection="1">
      <alignment horizontal="center" vertical="center"/>
      <protection locked="0"/>
    </xf>
    <xf numFmtId="0" fontId="13" fillId="0" borderId="136" xfId="0" applyFont="1" applyFill="1" applyBorder="1" applyAlignment="1" applyProtection="1">
      <alignment horizontal="center" vertical="center" wrapText="1"/>
      <protection locked="0"/>
    </xf>
    <xf numFmtId="0" fontId="0" fillId="0" borderId="136" xfId="0" applyBorder="1" applyAlignment="1" applyProtection="1">
      <alignment horizontal="center" vertical="center" wrapText="1"/>
      <protection locked="0"/>
    </xf>
    <xf numFmtId="0" fontId="0" fillId="0" borderId="145" xfId="0" applyFont="1" applyBorder="1" applyAlignment="1" applyProtection="1">
      <alignment horizontal="center" vertical="center" wrapText="1"/>
      <protection locked="0"/>
    </xf>
    <xf numFmtId="0" fontId="0" fillId="0" borderId="27" xfId="0" applyFont="1" applyBorder="1" applyAlignment="1" applyProtection="1">
      <alignment horizontal="center" vertical="center" wrapText="1"/>
      <protection locked="0"/>
    </xf>
    <xf numFmtId="0" fontId="0" fillId="0" borderId="174" xfId="0" applyFont="1" applyBorder="1" applyAlignment="1" applyProtection="1">
      <alignment horizontal="center" vertical="center" wrapText="1"/>
      <protection locked="0"/>
    </xf>
    <xf numFmtId="0" fontId="86" fillId="3" borderId="135" xfId="0" applyFont="1" applyFill="1" applyBorder="1" applyAlignment="1" applyProtection="1">
      <alignment horizontal="center" vertical="center"/>
    </xf>
    <xf numFmtId="0" fontId="86" fillId="3" borderId="8" xfId="0" applyFont="1" applyFill="1" applyBorder="1" applyAlignment="1" applyProtection="1">
      <alignment horizontal="center" vertical="center"/>
    </xf>
    <xf numFmtId="0" fontId="86" fillId="3" borderId="36" xfId="0" applyFont="1" applyFill="1" applyBorder="1" applyAlignment="1" applyProtection="1">
      <alignment horizontal="center" vertical="center"/>
    </xf>
    <xf numFmtId="181" fontId="27" fillId="0" borderId="0" xfId="0" applyNumberFormat="1" applyFont="1" applyFill="1" applyBorder="1" applyAlignment="1" applyProtection="1">
      <alignment horizontal="center" vertical="center" wrapText="1"/>
    </xf>
    <xf numFmtId="0" fontId="13" fillId="3" borderId="1" xfId="0" applyFont="1" applyFill="1" applyBorder="1" applyAlignment="1" applyProtection="1">
      <alignment horizontal="center" vertical="center" wrapText="1"/>
    </xf>
    <xf numFmtId="0" fontId="13" fillId="3" borderId="2" xfId="0" applyFont="1" applyFill="1" applyBorder="1" applyAlignment="1" applyProtection="1">
      <alignment horizontal="center" vertical="center" wrapText="1"/>
    </xf>
    <xf numFmtId="0" fontId="0" fillId="0" borderId="135" xfId="0" applyBorder="1" applyAlignment="1" applyProtection="1">
      <alignment horizontal="left" vertical="center"/>
      <protection locked="0"/>
    </xf>
    <xf numFmtId="0" fontId="0" fillId="0" borderId="1" xfId="0" applyBorder="1" applyAlignment="1" applyProtection="1">
      <alignment horizontal="left" vertical="center" shrinkToFit="1"/>
    </xf>
    <xf numFmtId="0" fontId="13" fillId="0" borderId="0" xfId="0" applyFont="1" applyBorder="1" applyAlignment="1" applyProtection="1">
      <alignment horizontal="center" vertical="center"/>
    </xf>
    <xf numFmtId="0" fontId="13" fillId="3" borderId="1" xfId="0" applyFont="1" applyFill="1" applyBorder="1" applyAlignment="1" applyProtection="1">
      <alignment horizontal="center" vertical="center"/>
    </xf>
    <xf numFmtId="0" fontId="13" fillId="3" borderId="2" xfId="0" applyFont="1" applyFill="1" applyBorder="1" applyAlignment="1" applyProtection="1">
      <alignment horizontal="center" vertical="center"/>
    </xf>
    <xf numFmtId="0" fontId="24" fillId="3" borderId="2" xfId="0" applyFont="1" applyFill="1" applyBorder="1" applyAlignment="1" applyProtection="1">
      <alignment horizontal="center" vertical="center" wrapText="1"/>
    </xf>
    <xf numFmtId="0" fontId="24" fillId="3" borderId="2" xfId="0" applyFont="1" applyFill="1" applyBorder="1" applyAlignment="1" applyProtection="1">
      <alignment horizontal="center" vertical="center"/>
    </xf>
    <xf numFmtId="0" fontId="0" fillId="0" borderId="128" xfId="0" applyFont="1" applyFill="1" applyBorder="1" applyAlignment="1" applyProtection="1">
      <alignment horizontal="center" vertical="center"/>
      <protection locked="0"/>
    </xf>
    <xf numFmtId="0" fontId="0" fillId="0" borderId="53" xfId="0" applyFont="1" applyFill="1" applyBorder="1" applyAlignment="1" applyProtection="1">
      <alignment horizontal="center" vertical="center"/>
      <protection locked="0"/>
    </xf>
    <xf numFmtId="0" fontId="0" fillId="0" borderId="129" xfId="0" applyFont="1" applyFill="1" applyBorder="1" applyAlignment="1" applyProtection="1">
      <alignment horizontal="center" vertical="center"/>
      <protection locked="0"/>
    </xf>
    <xf numFmtId="0" fontId="0" fillId="0" borderId="130" xfId="0" applyFont="1" applyFill="1" applyBorder="1" applyAlignment="1" applyProtection="1">
      <alignment horizontal="center" vertical="center"/>
      <protection locked="0"/>
    </xf>
    <xf numFmtId="0" fontId="0" fillId="0" borderId="51" xfId="0" applyFont="1" applyFill="1" applyBorder="1" applyAlignment="1" applyProtection="1">
      <alignment horizontal="center" vertical="center"/>
      <protection locked="0"/>
    </xf>
    <xf numFmtId="0" fontId="0" fillId="0" borderId="131" xfId="0" applyFont="1" applyFill="1" applyBorder="1" applyAlignment="1" applyProtection="1">
      <alignment horizontal="center" vertical="center"/>
      <protection locked="0"/>
    </xf>
    <xf numFmtId="0" fontId="13" fillId="3" borderId="0" xfId="0" applyFont="1" applyFill="1" applyBorder="1" applyAlignment="1" applyProtection="1">
      <alignment horizontal="right" vertical="center"/>
    </xf>
    <xf numFmtId="0" fontId="85" fillId="3" borderId="135" xfId="1" applyFont="1" applyFill="1" applyBorder="1" applyAlignment="1" applyProtection="1">
      <alignment horizontal="center" vertical="center"/>
    </xf>
    <xf numFmtId="0" fontId="85" fillId="3" borderId="8" xfId="1" applyFont="1" applyFill="1" applyBorder="1" applyAlignment="1" applyProtection="1">
      <alignment horizontal="center" vertical="center"/>
    </xf>
    <xf numFmtId="0" fontId="85" fillId="3" borderId="36" xfId="1" applyFont="1" applyFill="1" applyBorder="1" applyAlignment="1" applyProtection="1">
      <alignment horizontal="center" vertical="center"/>
    </xf>
    <xf numFmtId="0" fontId="0" fillId="3" borderId="140" xfId="0" applyFont="1" applyFill="1" applyBorder="1" applyAlignment="1" applyProtection="1">
      <alignment horizontal="center" vertical="center"/>
    </xf>
    <xf numFmtId="0" fontId="13" fillId="0" borderId="106" xfId="0" applyFont="1" applyFill="1" applyBorder="1" applyAlignment="1" applyProtection="1">
      <alignment horizontal="center" vertical="center" wrapText="1"/>
      <protection locked="0"/>
    </xf>
    <xf numFmtId="0" fontId="13" fillId="0" borderId="1" xfId="0" applyFont="1" applyBorder="1" applyAlignment="1" applyProtection="1">
      <alignment horizontal="left" vertical="top" wrapText="1"/>
      <protection locked="0"/>
    </xf>
    <xf numFmtId="0" fontId="13" fillId="0" borderId="0" xfId="0" applyFont="1" applyBorder="1" applyAlignment="1" applyProtection="1">
      <alignment horizontal="left" vertical="top" wrapText="1"/>
      <protection locked="0"/>
    </xf>
    <xf numFmtId="0" fontId="13" fillId="0" borderId="2" xfId="0" applyFont="1" applyBorder="1" applyAlignment="1" applyProtection="1">
      <alignment horizontal="left" vertical="top" wrapText="1"/>
      <protection locked="0"/>
    </xf>
    <xf numFmtId="0" fontId="0" fillId="0" borderId="130" xfId="0" applyBorder="1" applyAlignment="1" applyProtection="1">
      <alignment horizontal="center" vertical="center" wrapText="1"/>
      <protection locked="0"/>
    </xf>
    <xf numFmtId="0" fontId="0" fillId="0" borderId="51" xfId="0" applyBorder="1" applyAlignment="1" applyProtection="1">
      <alignment horizontal="center" vertical="center" wrapText="1"/>
      <protection locked="0"/>
    </xf>
    <xf numFmtId="0" fontId="0" fillId="0" borderId="131" xfId="0" applyBorder="1" applyAlignment="1" applyProtection="1">
      <alignment horizontal="center" vertical="center" wrapText="1"/>
      <protection locked="0"/>
    </xf>
    <xf numFmtId="0" fontId="0" fillId="0" borderId="106" xfId="0" applyBorder="1" applyAlignment="1" applyProtection="1">
      <alignment horizontal="center" vertical="center" wrapText="1"/>
      <protection locked="0"/>
    </xf>
    <xf numFmtId="0" fontId="13" fillId="0" borderId="108" xfId="0" applyFont="1" applyFill="1" applyBorder="1" applyAlignment="1" applyProtection="1">
      <alignment horizontal="center" vertical="center" wrapText="1"/>
      <protection locked="0"/>
    </xf>
    <xf numFmtId="0" fontId="0" fillId="0" borderId="108" xfId="0" applyBorder="1" applyAlignment="1" applyProtection="1">
      <alignment horizontal="center" vertical="center" wrapText="1"/>
      <protection locked="0"/>
    </xf>
    <xf numFmtId="0" fontId="13" fillId="0" borderId="20" xfId="0" applyFont="1" applyBorder="1" applyAlignment="1" applyProtection="1">
      <alignment horizontal="left" vertical="top" wrapText="1"/>
      <protection locked="0"/>
    </xf>
    <xf numFmtId="0" fontId="41" fillId="3" borderId="2" xfId="0" applyFont="1" applyFill="1" applyBorder="1" applyAlignment="1" applyProtection="1">
      <alignment wrapText="1"/>
    </xf>
    <xf numFmtId="0" fontId="41" fillId="3" borderId="2" xfId="0" applyFont="1" applyFill="1" applyBorder="1" applyAlignment="1" applyProtection="1"/>
    <xf numFmtId="0" fontId="9" fillId="3" borderId="2" xfId="0" applyFont="1" applyFill="1" applyBorder="1" applyAlignment="1" applyProtection="1">
      <alignment wrapText="1"/>
    </xf>
    <xf numFmtId="0" fontId="9" fillId="3" borderId="61" xfId="0" applyFont="1" applyFill="1" applyBorder="1" applyAlignment="1" applyProtection="1">
      <alignment wrapText="1"/>
    </xf>
    <xf numFmtId="49" fontId="0" fillId="0" borderId="51" xfId="0" applyNumberFormat="1" applyBorder="1" applyAlignment="1" applyProtection="1">
      <alignment vertical="center"/>
      <protection locked="0"/>
    </xf>
    <xf numFmtId="0" fontId="0" fillId="3" borderId="0" xfId="0" applyFill="1" applyBorder="1" applyAlignment="1" applyProtection="1">
      <alignment horizontal="center" vertical="center" wrapText="1"/>
    </xf>
    <xf numFmtId="0" fontId="0" fillId="3" borderId="38" xfId="0" applyFont="1" applyFill="1" applyBorder="1" applyAlignment="1" applyProtection="1">
      <alignment horizontal="left" vertical="center"/>
    </xf>
    <xf numFmtId="0" fontId="13" fillId="0" borderId="106" xfId="0" applyFont="1" applyBorder="1" applyAlignment="1" applyProtection="1">
      <alignment horizontal="center" vertical="center" wrapText="1"/>
      <protection locked="0"/>
    </xf>
    <xf numFmtId="0" fontId="13" fillId="0" borderId="140" xfId="0" applyFont="1" applyFill="1" applyBorder="1" applyAlignment="1" applyProtection="1">
      <alignment horizontal="center" vertical="center"/>
      <protection locked="0"/>
    </xf>
    <xf numFmtId="0" fontId="13" fillId="0" borderId="111" xfId="0" applyFont="1" applyFill="1" applyBorder="1" applyAlignment="1" applyProtection="1">
      <alignment horizontal="center" vertical="center"/>
      <protection locked="0"/>
    </xf>
    <xf numFmtId="0" fontId="13" fillId="0" borderId="138" xfId="0" applyFont="1" applyFill="1" applyBorder="1" applyAlignment="1" applyProtection="1">
      <alignment horizontal="center" vertical="center"/>
      <protection locked="0"/>
    </xf>
    <xf numFmtId="49" fontId="13" fillId="0" borderId="59" xfId="0" applyNumberFormat="1" applyFont="1" applyBorder="1" applyAlignment="1" applyProtection="1">
      <alignment horizontal="center" vertical="center"/>
      <protection locked="0"/>
    </xf>
    <xf numFmtId="0" fontId="0" fillId="0" borderId="2" xfId="0" applyFont="1" applyFill="1" applyBorder="1" applyAlignment="1" applyProtection="1">
      <alignment horizontal="left" vertical="center"/>
    </xf>
    <xf numFmtId="181" fontId="0" fillId="0" borderId="0" xfId="0" applyNumberFormat="1" applyBorder="1" applyAlignment="1" applyProtection="1">
      <alignment horizontal="center" vertical="center" wrapText="1"/>
    </xf>
    <xf numFmtId="0" fontId="13" fillId="0" borderId="1" xfId="0" applyFont="1" applyBorder="1" applyAlignment="1" applyProtection="1">
      <alignment horizontal="center" vertical="center"/>
      <protection locked="0"/>
    </xf>
    <xf numFmtId="0" fontId="13" fillId="0" borderId="140" xfId="0" applyFont="1" applyFill="1" applyBorder="1" applyAlignment="1" applyProtection="1">
      <alignment horizontal="left" vertical="center"/>
      <protection locked="0"/>
    </xf>
    <xf numFmtId="0" fontId="13" fillId="0" borderId="111" xfId="0" applyFont="1" applyFill="1" applyBorder="1" applyAlignment="1" applyProtection="1">
      <alignment horizontal="left" vertical="center"/>
      <protection locked="0"/>
    </xf>
    <xf numFmtId="0" fontId="13" fillId="0" borderId="29" xfId="0" applyFont="1" applyFill="1" applyBorder="1" applyAlignment="1" applyProtection="1">
      <alignment horizontal="left" vertical="center"/>
      <protection locked="0"/>
    </xf>
    <xf numFmtId="0" fontId="0" fillId="0" borderId="29" xfId="0" applyFont="1" applyBorder="1" applyAlignment="1" applyProtection="1">
      <alignment horizontal="left" vertical="center"/>
      <protection locked="0"/>
    </xf>
    <xf numFmtId="0" fontId="90" fillId="11" borderId="0" xfId="0" applyFont="1" applyFill="1" applyBorder="1" applyAlignment="1" applyProtection="1">
      <alignment vertical="center" wrapText="1"/>
    </xf>
    <xf numFmtId="0" fontId="13" fillId="3" borderId="20" xfId="0" applyFont="1" applyFill="1" applyBorder="1" applyAlignment="1" applyProtection="1">
      <alignment horizontal="left" vertical="center"/>
    </xf>
    <xf numFmtId="0" fontId="13" fillId="3" borderId="38" xfId="0" applyFont="1" applyFill="1" applyBorder="1" applyAlignment="1" applyProtection="1">
      <alignment horizontal="right" vertical="center" wrapText="1"/>
    </xf>
    <xf numFmtId="0" fontId="13" fillId="3" borderId="16" xfId="0" applyFont="1" applyFill="1" applyBorder="1" applyAlignment="1" applyProtection="1">
      <alignment horizontal="right" vertical="center" wrapText="1"/>
    </xf>
    <xf numFmtId="0" fontId="17" fillId="3" borderId="0" xfId="0" applyFont="1" applyFill="1" applyBorder="1" applyAlignment="1" applyProtection="1">
      <alignment horizontal="left" vertical="center" shrinkToFit="1"/>
    </xf>
    <xf numFmtId="0" fontId="12" fillId="0" borderId="0" xfId="0" applyFont="1" applyBorder="1" applyAlignment="1" applyProtection="1">
      <alignment horizontal="left" vertical="center" shrinkToFit="1"/>
    </xf>
    <xf numFmtId="0" fontId="0" fillId="0" borderId="7" xfId="0" applyFont="1" applyFill="1" applyBorder="1" applyAlignment="1" applyProtection="1">
      <alignment horizontal="left" vertical="center" wrapText="1"/>
    </xf>
    <xf numFmtId="0" fontId="0" fillId="0" borderId="9" xfId="0" applyBorder="1" applyAlignment="1" applyProtection="1">
      <alignment horizontal="left" vertical="center" wrapText="1"/>
    </xf>
    <xf numFmtId="181" fontId="129" fillId="23" borderId="194" xfId="1" applyNumberFormat="1" applyFont="1" applyFill="1" applyBorder="1" applyAlignment="1" applyProtection="1">
      <alignment vertical="center"/>
    </xf>
    <xf numFmtId="181" fontId="129" fillId="23" borderId="195" xfId="1" applyNumberFormat="1" applyFont="1" applyFill="1" applyBorder="1" applyAlignment="1" applyProtection="1">
      <alignment vertical="center"/>
    </xf>
    <xf numFmtId="181" fontId="0" fillId="3" borderId="0" xfId="0" applyNumberFormat="1" applyFont="1" applyFill="1" applyBorder="1" applyAlignment="1" applyProtection="1">
      <alignment horizontal="left" vertical="top" wrapText="1"/>
    </xf>
    <xf numFmtId="181" fontId="0" fillId="3" borderId="22" xfId="0" applyNumberFormat="1" applyFont="1" applyFill="1" applyBorder="1" applyAlignment="1" applyProtection="1">
      <alignment horizontal="left" vertical="top" wrapText="1"/>
    </xf>
    <xf numFmtId="0" fontId="6" fillId="3" borderId="155" xfId="0" applyFont="1" applyFill="1" applyBorder="1" applyAlignment="1" applyProtection="1">
      <alignment horizontal="center" vertical="center" wrapText="1"/>
    </xf>
    <xf numFmtId="0" fontId="6" fillId="3" borderId="89" xfId="0" applyFont="1" applyFill="1" applyBorder="1" applyAlignment="1" applyProtection="1">
      <alignment horizontal="center" vertical="center" wrapText="1"/>
    </xf>
    <xf numFmtId="0" fontId="6" fillId="3" borderId="28" xfId="0" applyFont="1" applyFill="1" applyBorder="1" applyAlignment="1" applyProtection="1">
      <alignment horizontal="center" vertical="center" wrapText="1"/>
    </xf>
    <xf numFmtId="0" fontId="6" fillId="0" borderId="152" xfId="0" applyFont="1" applyBorder="1" applyAlignment="1" applyProtection="1">
      <alignment horizontal="center" vertical="center" wrapText="1" shrinkToFit="1"/>
    </xf>
    <xf numFmtId="0" fontId="6" fillId="0" borderId="97" xfId="0" applyFont="1" applyBorder="1" applyAlignment="1" applyProtection="1">
      <alignment horizontal="center" vertical="center" wrapText="1" shrinkToFit="1"/>
    </xf>
    <xf numFmtId="0" fontId="6" fillId="0" borderId="98" xfId="0" applyFont="1" applyBorder="1" applyAlignment="1" applyProtection="1">
      <alignment horizontal="center" vertical="center" wrapText="1" shrinkToFit="1"/>
    </xf>
    <xf numFmtId="0" fontId="0" fillId="0" borderId="7" xfId="0" applyFont="1" applyBorder="1" applyAlignment="1" applyProtection="1">
      <alignment vertical="center"/>
    </xf>
    <xf numFmtId="0" fontId="0" fillId="0" borderId="8" xfId="0" applyBorder="1" applyAlignment="1" applyProtection="1">
      <alignment vertical="center"/>
    </xf>
    <xf numFmtId="0" fontId="0" fillId="0" borderId="9" xfId="0" applyBorder="1" applyAlignment="1" applyProtection="1">
      <alignment vertical="center"/>
    </xf>
    <xf numFmtId="0" fontId="6" fillId="0" borderId="38" xfId="0" applyFont="1" applyBorder="1" applyAlignment="1" applyProtection="1">
      <alignment horizontal="center" vertical="center"/>
    </xf>
    <xf numFmtId="0" fontId="6" fillId="0" borderId="50" xfId="0" applyFont="1" applyBorder="1" applyAlignment="1" applyProtection="1">
      <alignment horizontal="center" vertical="center"/>
    </xf>
    <xf numFmtId="0" fontId="0" fillId="0" borderId="2" xfId="0" applyBorder="1" applyAlignment="1" applyProtection="1">
      <alignment horizontal="center" vertical="center"/>
    </xf>
    <xf numFmtId="0" fontId="0" fillId="0" borderId="61" xfId="0" applyBorder="1" applyAlignment="1" applyProtection="1">
      <alignment horizontal="center" vertical="center"/>
    </xf>
    <xf numFmtId="0" fontId="6" fillId="3" borderId="156" xfId="0" applyFont="1" applyFill="1" applyBorder="1" applyAlignment="1" applyProtection="1">
      <alignment horizontal="center" vertical="center" wrapText="1"/>
    </xf>
    <xf numFmtId="0" fontId="6" fillId="0" borderId="34" xfId="0" applyFont="1" applyBorder="1" applyAlignment="1" applyProtection="1">
      <alignment horizontal="center" vertical="center" wrapText="1" shrinkToFit="1"/>
    </xf>
    <xf numFmtId="0" fontId="0" fillId="0" borderId="35" xfId="0" applyBorder="1" applyAlignment="1" applyProtection="1">
      <alignment horizontal="center" vertical="center" wrapText="1" shrinkToFit="1"/>
    </xf>
    <xf numFmtId="0" fontId="6" fillId="3" borderId="147" xfId="0" applyFont="1" applyFill="1" applyBorder="1" applyAlignment="1" applyProtection="1">
      <alignment horizontal="center" vertical="center"/>
    </xf>
    <xf numFmtId="0" fontId="6" fillId="3" borderId="2" xfId="0" applyFont="1" applyFill="1" applyBorder="1" applyAlignment="1" applyProtection="1">
      <alignment horizontal="center" vertical="center"/>
    </xf>
    <xf numFmtId="0" fontId="6" fillId="0" borderId="14" xfId="0" applyFont="1" applyBorder="1" applyAlignment="1" applyProtection="1">
      <alignment horizontal="center" vertical="center" wrapText="1" shrinkToFit="1"/>
    </xf>
    <xf numFmtId="0" fontId="0" fillId="0" borderId="34" xfId="0" applyFont="1" applyBorder="1" applyAlignment="1" applyProtection="1">
      <alignment vertical="center"/>
    </xf>
    <xf numFmtId="0" fontId="0" fillId="0" borderId="56" xfId="0" applyBorder="1" applyAlignment="1" applyProtection="1">
      <alignment vertical="center"/>
    </xf>
    <xf numFmtId="0" fontId="0" fillId="0" borderId="35" xfId="0" applyBorder="1" applyAlignment="1" applyProtection="1">
      <alignment vertical="center"/>
    </xf>
    <xf numFmtId="0" fontId="6" fillId="0" borderId="37" xfId="0" applyFont="1" applyFill="1" applyBorder="1" applyAlignment="1" applyProtection="1">
      <alignment horizontal="left" vertical="center" wrapText="1"/>
    </xf>
    <xf numFmtId="0" fontId="0" fillId="0" borderId="23" xfId="0" applyBorder="1" applyAlignment="1" applyProtection="1">
      <alignment horizontal="left" vertical="center" wrapText="1"/>
    </xf>
    <xf numFmtId="0" fontId="0" fillId="0" borderId="25" xfId="0" applyBorder="1" applyAlignment="1" applyProtection="1">
      <alignment horizontal="left" vertical="center" wrapText="1"/>
    </xf>
    <xf numFmtId="0" fontId="6" fillId="0" borderId="50" xfId="0" applyFont="1" applyFill="1" applyBorder="1" applyAlignment="1" applyProtection="1">
      <alignment horizontal="left" vertical="center"/>
    </xf>
    <xf numFmtId="0" fontId="0" fillId="0" borderId="22" xfId="0" applyBorder="1" applyAlignment="1" applyProtection="1">
      <alignment horizontal="left" vertical="center"/>
    </xf>
    <xf numFmtId="0" fontId="0" fillId="0" borderId="24" xfId="0" applyBorder="1" applyAlignment="1" applyProtection="1">
      <alignment horizontal="left" vertical="center"/>
    </xf>
    <xf numFmtId="0" fontId="86" fillId="3" borderId="20" xfId="0" applyFont="1" applyFill="1" applyBorder="1" applyAlignment="1" applyProtection="1">
      <alignment vertical="center" shrinkToFit="1"/>
    </xf>
    <xf numFmtId="0" fontId="33" fillId="5" borderId="37" xfId="0" applyFont="1" applyFill="1" applyBorder="1" applyAlignment="1" applyProtection="1">
      <alignment horizontal="center" vertical="center" wrapText="1" shrinkToFit="1"/>
    </xf>
    <xf numFmtId="0" fontId="0" fillId="0" borderId="23" xfId="0" applyBorder="1" applyAlignment="1" applyProtection="1">
      <alignment vertical="center"/>
    </xf>
    <xf numFmtId="0" fontId="0" fillId="0" borderId="25" xfId="0" applyBorder="1" applyAlignment="1" applyProtection="1">
      <alignment vertical="center"/>
    </xf>
    <xf numFmtId="0" fontId="11" fillId="3" borderId="20" xfId="1" applyFill="1" applyBorder="1" applyAlignment="1" applyProtection="1">
      <alignment vertical="top"/>
    </xf>
    <xf numFmtId="0" fontId="131" fillId="3" borderId="20" xfId="0" applyFont="1" applyFill="1" applyBorder="1" applyAlignment="1" applyProtection="1">
      <alignment vertical="center" wrapText="1"/>
    </xf>
    <xf numFmtId="0" fontId="13" fillId="0" borderId="1" xfId="0" applyFont="1" applyFill="1" applyBorder="1" applyAlignment="1" applyProtection="1">
      <alignment horizontal="left" vertical="center" wrapText="1"/>
      <protection locked="0"/>
    </xf>
    <xf numFmtId="0" fontId="13" fillId="0" borderId="0" xfId="0" applyFont="1" applyFill="1" applyBorder="1" applyAlignment="1" applyProtection="1">
      <alignment horizontal="left" vertical="center" wrapText="1"/>
      <protection locked="0"/>
    </xf>
    <xf numFmtId="0" fontId="13" fillId="0" borderId="20" xfId="0" applyFont="1" applyFill="1" applyBorder="1" applyAlignment="1" applyProtection="1">
      <alignment horizontal="left" vertical="center" wrapText="1"/>
      <protection locked="0"/>
    </xf>
    <xf numFmtId="181" fontId="0" fillId="0" borderId="111" xfId="0" applyNumberFormat="1" applyFont="1" applyBorder="1" applyAlignment="1" applyProtection="1">
      <alignment horizontal="center" vertical="center" wrapText="1"/>
    </xf>
    <xf numFmtId="0" fontId="13" fillId="0" borderId="2" xfId="0" applyFont="1" applyBorder="1" applyAlignment="1" applyProtection="1">
      <alignment vertical="center" shrinkToFit="1"/>
    </xf>
    <xf numFmtId="0" fontId="0" fillId="0" borderId="2" xfId="0" applyBorder="1" applyAlignment="1" applyProtection="1">
      <alignment vertical="center" shrinkToFit="1"/>
    </xf>
    <xf numFmtId="0" fontId="0" fillId="0" borderId="59" xfId="0" applyFont="1" applyFill="1" applyBorder="1" applyAlignment="1" applyProtection="1">
      <alignment horizontal="center" vertical="center" wrapText="1"/>
      <protection locked="0"/>
    </xf>
    <xf numFmtId="0" fontId="0" fillId="0" borderId="133" xfId="0" applyFont="1" applyFill="1" applyBorder="1" applyAlignment="1" applyProtection="1">
      <alignment horizontal="center" vertical="center" wrapText="1"/>
      <protection locked="0"/>
    </xf>
    <xf numFmtId="0" fontId="13" fillId="0" borderId="59" xfId="0" applyFont="1" applyBorder="1" applyAlignment="1" applyProtection="1">
      <alignment horizontal="left" vertical="center"/>
    </xf>
    <xf numFmtId="0" fontId="12" fillId="11" borderId="1" xfId="0" applyFont="1" applyFill="1" applyBorder="1" applyAlignment="1" applyProtection="1">
      <alignment horizontal="left" vertical="center" shrinkToFit="1"/>
    </xf>
    <xf numFmtId="0" fontId="22" fillId="0" borderId="16" xfId="0" applyFont="1" applyBorder="1" applyAlignment="1" applyProtection="1">
      <alignment horizontal="right" vertical="center"/>
    </xf>
    <xf numFmtId="0" fontId="22" fillId="3" borderId="37" xfId="0" applyFont="1" applyFill="1" applyBorder="1" applyAlignment="1" applyProtection="1">
      <alignment horizontal="left" vertical="center" shrinkToFit="1"/>
    </xf>
    <xf numFmtId="0" fontId="22" fillId="3" borderId="38" xfId="0" applyFont="1" applyFill="1" applyBorder="1" applyAlignment="1" applyProtection="1">
      <alignment horizontal="left" vertical="center" shrinkToFit="1"/>
    </xf>
    <xf numFmtId="0" fontId="0" fillId="0" borderId="38" xfId="0" applyBorder="1" applyAlignment="1" applyProtection="1">
      <alignment horizontal="left" vertical="center" shrinkToFit="1"/>
    </xf>
    <xf numFmtId="0" fontId="0" fillId="3" borderId="2" xfId="0" applyFont="1" applyFill="1" applyBorder="1" applyAlignment="1" applyProtection="1">
      <alignment horizontal="center" vertical="center" wrapText="1"/>
    </xf>
    <xf numFmtId="0" fontId="23" fillId="3" borderId="20" xfId="0" applyFont="1" applyFill="1" applyBorder="1" applyAlignment="1" applyProtection="1">
      <alignment horizontal="left" vertical="center"/>
    </xf>
    <xf numFmtId="0" fontId="0" fillId="0" borderId="0" xfId="0" applyAlignment="1" applyProtection="1">
      <alignment horizontal="left" vertical="center" wrapText="1"/>
    </xf>
    <xf numFmtId="0" fontId="12" fillId="3" borderId="20" xfId="0" applyFont="1" applyFill="1" applyBorder="1" applyAlignment="1" applyProtection="1">
      <alignment vertical="center" shrinkToFit="1"/>
    </xf>
    <xf numFmtId="0" fontId="27" fillId="3" borderId="20" xfId="0" applyFont="1" applyFill="1" applyBorder="1" applyAlignment="1" applyProtection="1">
      <alignment vertical="center" wrapText="1"/>
    </xf>
    <xf numFmtId="0" fontId="6" fillId="0" borderId="40" xfId="0" applyFont="1" applyFill="1" applyBorder="1" applyAlignment="1" applyProtection="1">
      <alignment horizontal="left" vertical="center" wrapText="1"/>
    </xf>
    <xf numFmtId="0" fontId="6" fillId="0" borderId="147" xfId="0" applyFont="1" applyFill="1" applyBorder="1" applyAlignment="1" applyProtection="1">
      <alignment horizontal="center" vertical="center"/>
    </xf>
    <xf numFmtId="0" fontId="0" fillId="0" borderId="61" xfId="0" applyFill="1" applyBorder="1" applyAlignment="1" applyProtection="1">
      <alignment horizontal="center" vertical="center"/>
    </xf>
    <xf numFmtId="0" fontId="6" fillId="0" borderId="85" xfId="0" applyFont="1" applyFill="1" applyBorder="1" applyAlignment="1" applyProtection="1">
      <alignment horizontal="left" vertical="center" wrapText="1"/>
    </xf>
    <xf numFmtId="0" fontId="6" fillId="0" borderId="25" xfId="0" applyFont="1" applyFill="1" applyBorder="1" applyAlignment="1" applyProtection="1">
      <alignment horizontal="left" vertical="center" wrapText="1"/>
    </xf>
    <xf numFmtId="0" fontId="6" fillId="0" borderId="50" xfId="0" applyFont="1" applyFill="1" applyBorder="1" applyAlignment="1" applyProtection="1">
      <alignment horizontal="left" vertical="center" wrapText="1"/>
    </xf>
    <xf numFmtId="0" fontId="6" fillId="0" borderId="34" xfId="0" applyFont="1" applyFill="1" applyBorder="1" applyAlignment="1" applyProtection="1">
      <alignment horizontal="center" vertical="center"/>
    </xf>
    <xf numFmtId="0" fontId="0" fillId="0" borderId="35" xfId="0" applyFill="1" applyBorder="1" applyAlignment="1" applyProtection="1">
      <alignment horizontal="center" vertical="center"/>
    </xf>
    <xf numFmtId="0" fontId="33" fillId="5" borderId="50" xfId="0" applyFont="1" applyFill="1" applyBorder="1" applyAlignment="1" applyProtection="1">
      <alignment horizontal="center" vertical="center" wrapText="1" shrinkToFit="1"/>
    </xf>
    <xf numFmtId="0" fontId="0" fillId="0" borderId="24" xfId="0" applyBorder="1" applyAlignment="1" applyProtection="1">
      <alignment horizontal="center" vertical="center" shrinkToFit="1"/>
    </xf>
    <xf numFmtId="0" fontId="33" fillId="5" borderId="67" xfId="0" applyFont="1" applyFill="1" applyBorder="1" applyAlignment="1" applyProtection="1">
      <alignment horizontal="center" vertical="center" wrapText="1" shrinkToFit="1"/>
    </xf>
    <xf numFmtId="0" fontId="90" fillId="3" borderId="139" xfId="0" applyFont="1" applyFill="1" applyBorder="1" applyAlignment="1" applyProtection="1">
      <alignment vertical="center"/>
    </xf>
    <xf numFmtId="0" fontId="90" fillId="3" borderId="2" xfId="0" applyFont="1" applyFill="1" applyBorder="1" applyAlignment="1" applyProtection="1">
      <alignment vertical="center"/>
    </xf>
    <xf numFmtId="0" fontId="90" fillId="3" borderId="61" xfId="0" applyFont="1" applyFill="1" applyBorder="1" applyAlignment="1" applyProtection="1">
      <alignment vertical="center"/>
    </xf>
    <xf numFmtId="0" fontId="138" fillId="3" borderId="138" xfId="0" applyFont="1" applyFill="1" applyBorder="1" applyAlignment="1" applyProtection="1">
      <alignment vertical="center" wrapText="1" shrinkToFit="1"/>
    </xf>
    <xf numFmtId="0" fontId="138" fillId="3" borderId="0" xfId="0" applyFont="1" applyFill="1" applyBorder="1" applyAlignment="1" applyProtection="1">
      <alignment vertical="center" wrapText="1" shrinkToFit="1"/>
    </xf>
    <xf numFmtId="0" fontId="138" fillId="3" borderId="22" xfId="0" applyFont="1" applyFill="1" applyBorder="1" applyAlignment="1" applyProtection="1">
      <alignment vertical="center" wrapText="1" shrinkToFit="1"/>
    </xf>
    <xf numFmtId="0" fontId="27" fillId="3" borderId="148" xfId="0" applyFont="1" applyFill="1" applyBorder="1" applyAlignment="1" applyProtection="1">
      <alignment vertical="center"/>
    </xf>
    <xf numFmtId="0" fontId="27" fillId="3" borderId="82" xfId="0" applyFont="1" applyFill="1" applyBorder="1" applyAlignment="1" applyProtection="1">
      <alignment vertical="center"/>
    </xf>
    <xf numFmtId="0" fontId="27" fillId="3" borderId="83" xfId="0" applyFont="1" applyFill="1" applyBorder="1" applyAlignment="1" applyProtection="1">
      <alignment vertical="center"/>
    </xf>
    <xf numFmtId="0" fontId="91" fillId="3" borderId="130" xfId="0" applyFont="1" applyFill="1" applyBorder="1" applyAlignment="1" applyProtection="1">
      <alignment vertical="center" shrinkToFit="1"/>
    </xf>
    <xf numFmtId="0" fontId="91" fillId="3" borderId="51" xfId="0" applyFont="1" applyFill="1" applyBorder="1" applyAlignment="1" applyProtection="1">
      <alignment vertical="center" shrinkToFit="1"/>
    </xf>
    <xf numFmtId="0" fontId="91" fillId="3" borderId="64" xfId="0" applyFont="1" applyFill="1" applyBorder="1" applyAlignment="1" applyProtection="1">
      <alignment vertical="center" shrinkToFit="1"/>
    </xf>
    <xf numFmtId="0" fontId="90" fillId="3" borderId="128" xfId="0" applyFont="1" applyFill="1" applyBorder="1" applyAlignment="1" applyProtection="1">
      <alignment vertical="center" wrapText="1"/>
    </xf>
    <xf numFmtId="0" fontId="90" fillId="3" borderId="53" xfId="0" applyFont="1" applyFill="1" applyBorder="1" applyAlignment="1" applyProtection="1">
      <alignment vertical="center" wrapText="1"/>
    </xf>
    <xf numFmtId="0" fontId="90" fillId="3" borderId="65" xfId="0" applyFont="1" applyFill="1" applyBorder="1" applyAlignment="1" applyProtection="1">
      <alignment vertical="center" wrapText="1"/>
    </xf>
    <xf numFmtId="0" fontId="91" fillId="3" borderId="130" xfId="0" applyFont="1" applyFill="1" applyBorder="1" applyAlignment="1" applyProtection="1">
      <alignment vertical="center" wrapText="1" shrinkToFit="1"/>
    </xf>
    <xf numFmtId="0" fontId="91" fillId="3" borderId="51" xfId="0" applyFont="1" applyFill="1" applyBorder="1" applyAlignment="1" applyProtection="1">
      <alignment vertical="center" wrapText="1" shrinkToFit="1"/>
    </xf>
    <xf numFmtId="0" fontId="91" fillId="3" borderId="64" xfId="0" applyFont="1" applyFill="1" applyBorder="1" applyAlignment="1" applyProtection="1">
      <alignment vertical="center" wrapText="1" shrinkToFit="1"/>
    </xf>
    <xf numFmtId="0" fontId="91" fillId="3" borderId="128" xfId="0" applyFont="1" applyFill="1" applyBorder="1" applyAlignment="1" applyProtection="1">
      <alignment vertical="center" wrapText="1" shrinkToFit="1"/>
    </xf>
    <xf numFmtId="0" fontId="91" fillId="3" borderId="53" xfId="0" applyFont="1" applyFill="1" applyBorder="1" applyAlignment="1" applyProtection="1">
      <alignment vertical="center" wrapText="1" shrinkToFit="1"/>
    </xf>
    <xf numFmtId="0" fontId="91" fillId="3" borderId="65" xfId="0" applyFont="1" applyFill="1" applyBorder="1" applyAlignment="1" applyProtection="1">
      <alignment vertical="center" wrapText="1" shrinkToFit="1"/>
    </xf>
    <xf numFmtId="0" fontId="0" fillId="0" borderId="1" xfId="0" applyFont="1" applyFill="1" applyBorder="1" applyAlignment="1" applyProtection="1">
      <alignment vertical="top" wrapText="1"/>
    </xf>
    <xf numFmtId="0" fontId="0" fillId="0" borderId="0" xfId="0" applyFont="1" applyFill="1" applyBorder="1" applyAlignment="1" applyProtection="1">
      <alignment vertical="top" wrapText="1"/>
    </xf>
    <xf numFmtId="0" fontId="0" fillId="0" borderId="2" xfId="0" applyFont="1" applyFill="1" applyBorder="1" applyAlignment="1" applyProtection="1">
      <alignment vertical="top" wrapText="1"/>
    </xf>
    <xf numFmtId="0" fontId="90" fillId="3" borderId="149" xfId="0" applyFont="1" applyFill="1" applyBorder="1" applyAlignment="1" applyProtection="1">
      <alignment vertical="center" wrapText="1"/>
    </xf>
    <xf numFmtId="0" fontId="90" fillId="3" borderId="1" xfId="0" applyFont="1" applyFill="1" applyBorder="1" applyAlignment="1" applyProtection="1">
      <alignment vertical="center" wrapText="1"/>
    </xf>
    <xf numFmtId="0" fontId="90" fillId="3" borderId="40" xfId="0" applyFont="1" applyFill="1" applyBorder="1" applyAlignment="1" applyProtection="1">
      <alignment vertical="center" wrapText="1"/>
    </xf>
    <xf numFmtId="0" fontId="90" fillId="3" borderId="138" xfId="0" applyFont="1" applyFill="1" applyBorder="1" applyAlignment="1" applyProtection="1">
      <alignment vertical="center" wrapText="1"/>
    </xf>
    <xf numFmtId="0" fontId="90" fillId="3" borderId="0" xfId="0" applyFont="1" applyFill="1" applyBorder="1" applyAlignment="1" applyProtection="1">
      <alignment vertical="center" wrapText="1"/>
    </xf>
    <xf numFmtId="0" fontId="90" fillId="3" borderId="22" xfId="0" applyFont="1" applyFill="1" applyBorder="1" applyAlignment="1" applyProtection="1">
      <alignment vertical="center" wrapText="1"/>
    </xf>
    <xf numFmtId="0" fontId="0" fillId="0" borderId="170" xfId="0" applyFont="1" applyBorder="1" applyAlignment="1" applyProtection="1">
      <alignment horizontal="center" vertical="center"/>
      <protection locked="0"/>
    </xf>
    <xf numFmtId="49" fontId="0" fillId="0" borderId="170" xfId="0" applyNumberFormat="1" applyFont="1" applyBorder="1" applyAlignment="1" applyProtection="1">
      <alignment horizontal="left" vertical="center" wrapText="1" shrinkToFit="1"/>
      <protection locked="0"/>
    </xf>
    <xf numFmtId="49" fontId="0" fillId="0" borderId="170" xfId="0" applyNumberFormat="1" applyBorder="1" applyAlignment="1" applyProtection="1">
      <alignment horizontal="left" vertical="center" wrapText="1" shrinkToFit="1"/>
      <protection locked="0"/>
    </xf>
    <xf numFmtId="0" fontId="0" fillId="0" borderId="170" xfId="0" applyBorder="1" applyAlignment="1" applyProtection="1">
      <alignment horizontal="center" vertical="center"/>
      <protection locked="0"/>
    </xf>
    <xf numFmtId="0" fontId="27" fillId="0" borderId="170" xfId="0" applyFont="1" applyBorder="1" applyAlignment="1" applyProtection="1">
      <alignment horizontal="center" vertical="center"/>
      <protection locked="0"/>
    </xf>
    <xf numFmtId="0" fontId="27" fillId="3" borderId="171" xfId="0" applyFont="1" applyFill="1" applyBorder="1" applyAlignment="1" applyProtection="1">
      <alignment vertical="center" wrapText="1"/>
    </xf>
    <xf numFmtId="0" fontId="27" fillId="3" borderId="24" xfId="0" applyFont="1" applyFill="1" applyBorder="1" applyAlignment="1" applyProtection="1">
      <alignment vertical="center" wrapText="1"/>
    </xf>
    <xf numFmtId="0" fontId="86" fillId="3" borderId="138" xfId="0" applyFont="1" applyFill="1" applyBorder="1" applyAlignment="1" applyProtection="1">
      <alignment vertical="center" wrapText="1" shrinkToFit="1"/>
    </xf>
    <xf numFmtId="0" fontId="86" fillId="3" borderId="0" xfId="0" applyFont="1" applyFill="1" applyBorder="1" applyAlignment="1" applyProtection="1">
      <alignment vertical="center" wrapText="1" shrinkToFit="1"/>
    </xf>
    <xf numFmtId="0" fontId="86" fillId="3" borderId="22" xfId="0" applyFont="1" applyFill="1" applyBorder="1" applyAlignment="1" applyProtection="1">
      <alignment vertical="center" wrapText="1" shrinkToFit="1"/>
    </xf>
    <xf numFmtId="0" fontId="45" fillId="0" borderId="0" xfId="0" applyFont="1" applyFill="1" applyBorder="1" applyAlignment="1" applyProtection="1">
      <alignment vertical="center" wrapText="1"/>
    </xf>
    <xf numFmtId="0" fontId="0" fillId="0" borderId="149" xfId="0" applyFont="1" applyFill="1" applyBorder="1" applyAlignment="1" applyProtection="1">
      <alignment vertical="center" wrapText="1"/>
      <protection locked="0"/>
    </xf>
    <xf numFmtId="0" fontId="0" fillId="0" borderId="6" xfId="0" applyFont="1" applyFill="1" applyBorder="1" applyAlignment="1" applyProtection="1">
      <alignment vertical="center" wrapText="1"/>
      <protection locked="0"/>
    </xf>
    <xf numFmtId="0" fontId="0" fillId="0" borderId="138" xfId="0" applyFont="1" applyFill="1" applyBorder="1" applyAlignment="1" applyProtection="1">
      <alignment vertical="center" wrapText="1"/>
      <protection locked="0"/>
    </xf>
    <xf numFmtId="0" fontId="0" fillId="0" borderId="10" xfId="0" applyFont="1" applyFill="1" applyBorder="1" applyAlignment="1" applyProtection="1">
      <alignment vertical="center" wrapText="1"/>
      <protection locked="0"/>
    </xf>
    <xf numFmtId="0" fontId="0" fillId="0" borderId="135" xfId="0" applyFont="1" applyFill="1" applyBorder="1" applyAlignment="1" applyProtection="1">
      <alignment vertical="center" wrapText="1"/>
      <protection locked="0"/>
    </xf>
    <xf numFmtId="0" fontId="0" fillId="0" borderId="127" xfId="0" applyFont="1" applyFill="1" applyBorder="1" applyAlignment="1" applyProtection="1">
      <alignment vertical="center" wrapText="1"/>
      <protection locked="0"/>
    </xf>
    <xf numFmtId="0" fontId="0" fillId="0" borderId="135" xfId="0" applyFill="1" applyBorder="1" applyAlignment="1" applyProtection="1">
      <alignment vertical="center" wrapText="1"/>
      <protection locked="0"/>
    </xf>
    <xf numFmtId="0" fontId="0" fillId="0" borderId="127" xfId="0" applyFill="1" applyBorder="1" applyAlignment="1" applyProtection="1">
      <alignment vertical="center" wrapText="1"/>
      <protection locked="0"/>
    </xf>
    <xf numFmtId="0" fontId="0" fillId="0" borderId="9" xfId="0" applyFill="1" applyBorder="1" applyAlignment="1" applyProtection="1">
      <alignment vertical="center" wrapText="1"/>
      <protection locked="0"/>
    </xf>
    <xf numFmtId="0" fontId="0" fillId="0" borderId="172" xfId="0" applyFont="1" applyFill="1" applyBorder="1" applyAlignment="1" applyProtection="1">
      <alignment vertical="center" wrapText="1"/>
      <protection locked="0"/>
    </xf>
    <xf numFmtId="0" fontId="0" fillId="0" borderId="140" xfId="0" applyFont="1" applyFill="1" applyBorder="1" applyAlignment="1" applyProtection="1">
      <alignment vertical="center" wrapText="1"/>
      <protection locked="0"/>
    </xf>
    <xf numFmtId="0" fontId="0" fillId="11" borderId="172" xfId="0" applyFill="1" applyBorder="1" applyAlignment="1" applyProtection="1">
      <alignment horizontal="center" vertical="center" textRotation="255"/>
    </xf>
    <xf numFmtId="0" fontId="0" fillId="11" borderId="140" xfId="0" applyFill="1" applyBorder="1" applyAlignment="1" applyProtection="1">
      <alignment horizontal="center" vertical="center" textRotation="255"/>
    </xf>
    <xf numFmtId="0" fontId="0" fillId="11" borderId="173" xfId="0" applyFill="1" applyBorder="1" applyAlignment="1" applyProtection="1">
      <alignment horizontal="center" vertical="center" textRotation="255"/>
    </xf>
    <xf numFmtId="0" fontId="0" fillId="3" borderId="90" xfId="0" applyFill="1" applyBorder="1" applyAlignment="1" applyProtection="1">
      <alignment horizontal="right" vertical="center"/>
    </xf>
    <xf numFmtId="0" fontId="0" fillId="3" borderId="94" xfId="0" applyFill="1" applyBorder="1" applyAlignment="1" applyProtection="1">
      <alignment horizontal="right" vertical="center"/>
    </xf>
    <xf numFmtId="0" fontId="54" fillId="0" borderId="0" xfId="0" applyFont="1" applyAlignment="1" applyProtection="1">
      <alignment horizontal="center" vertical="top" wrapText="1"/>
    </xf>
    <xf numFmtId="0" fontId="21" fillId="14" borderId="0" xfId="0" applyFont="1" applyFill="1" applyAlignment="1" applyProtection="1">
      <alignment vertical="center" wrapText="1"/>
    </xf>
    <xf numFmtId="0" fontId="12" fillId="14" borderId="0" xfId="0" applyFont="1" applyFill="1" applyBorder="1" applyAlignment="1" applyProtection="1">
      <alignment horizontal="center" vertical="center" shrinkToFit="1"/>
    </xf>
    <xf numFmtId="0" fontId="12" fillId="14" borderId="10" xfId="0" applyFont="1" applyFill="1" applyBorder="1" applyAlignment="1" applyProtection="1">
      <alignment horizontal="center" vertical="center" shrinkToFit="1"/>
    </xf>
    <xf numFmtId="0" fontId="0" fillId="11" borderId="183" xfId="0" applyFill="1" applyBorder="1" applyAlignment="1" applyProtection="1">
      <alignment horizontal="center" vertical="center"/>
    </xf>
    <xf numFmtId="0" fontId="0" fillId="11" borderId="184" xfId="0" applyFill="1" applyBorder="1" applyAlignment="1" applyProtection="1">
      <alignment horizontal="center" vertical="center"/>
    </xf>
    <xf numFmtId="0" fontId="0" fillId="3" borderId="180" xfId="0" applyFill="1" applyBorder="1" applyAlignment="1" applyProtection="1">
      <alignment horizontal="center" vertical="center" wrapText="1"/>
    </xf>
    <xf numFmtId="0" fontId="0" fillId="3" borderId="181" xfId="0" applyFill="1" applyBorder="1" applyAlignment="1" applyProtection="1">
      <alignment horizontal="center" vertical="center" wrapText="1"/>
    </xf>
    <xf numFmtId="0" fontId="0" fillId="3" borderId="182" xfId="0" applyFill="1" applyBorder="1" applyAlignment="1" applyProtection="1">
      <alignment horizontal="center" vertical="center" wrapText="1"/>
    </xf>
    <xf numFmtId="0" fontId="0" fillId="3" borderId="183" xfId="0" applyFill="1" applyBorder="1" applyAlignment="1" applyProtection="1">
      <alignment horizontal="center" vertical="center" wrapText="1"/>
    </xf>
    <xf numFmtId="0" fontId="0" fillId="3" borderId="5" xfId="0" applyFill="1" applyBorder="1" applyAlignment="1" applyProtection="1">
      <alignment vertical="center" wrapText="1"/>
    </xf>
    <xf numFmtId="0" fontId="0" fillId="3" borderId="0" xfId="0" applyFill="1" applyBorder="1" applyAlignment="1" applyProtection="1">
      <alignment vertical="center" wrapText="1"/>
    </xf>
    <xf numFmtId="0" fontId="0" fillId="3" borderId="28" xfId="0" applyFill="1" applyBorder="1" applyAlignment="1" applyProtection="1">
      <alignment vertical="center" wrapText="1"/>
    </xf>
    <xf numFmtId="0" fontId="0" fillId="3" borderId="2" xfId="0" applyFill="1" applyBorder="1" applyAlignment="1" applyProtection="1">
      <alignment vertical="center" wrapText="1"/>
    </xf>
    <xf numFmtId="0" fontId="0" fillId="11" borderId="1" xfId="0" applyFill="1" applyBorder="1" applyAlignment="1" applyProtection="1">
      <alignment horizontal="center" vertical="center"/>
    </xf>
    <xf numFmtId="0" fontId="0" fillId="11" borderId="0" xfId="0" applyFill="1" applyBorder="1" applyAlignment="1" applyProtection="1">
      <alignment horizontal="center" vertical="center"/>
    </xf>
    <xf numFmtId="0" fontId="0" fillId="0" borderId="122" xfId="0" applyFill="1" applyBorder="1" applyAlignment="1" applyProtection="1">
      <alignment vertical="center" wrapText="1"/>
      <protection locked="0"/>
    </xf>
    <xf numFmtId="0" fontId="0" fillId="0" borderId="123" xfId="0" applyFill="1" applyBorder="1" applyAlignment="1" applyProtection="1">
      <alignment vertical="center" wrapText="1"/>
      <protection locked="0"/>
    </xf>
    <xf numFmtId="0" fontId="0" fillId="0" borderId="111" xfId="0" applyFill="1" applyBorder="1" applyAlignment="1" applyProtection="1">
      <alignment vertical="center" wrapText="1"/>
      <protection locked="0"/>
    </xf>
    <xf numFmtId="0" fontId="0" fillId="0" borderId="124" xfId="0" applyFill="1" applyBorder="1" applyAlignment="1" applyProtection="1">
      <alignment vertical="center" wrapText="1"/>
      <protection locked="0"/>
    </xf>
    <xf numFmtId="0" fontId="0" fillId="0" borderId="125" xfId="0" applyFill="1" applyBorder="1" applyAlignment="1" applyProtection="1">
      <alignment vertical="center" wrapText="1"/>
      <protection locked="0"/>
    </xf>
    <xf numFmtId="0" fontId="0" fillId="0" borderId="126" xfId="0" applyFill="1" applyBorder="1" applyAlignment="1" applyProtection="1">
      <alignment vertical="center" wrapText="1"/>
      <protection locked="0"/>
    </xf>
    <xf numFmtId="0" fontId="0" fillId="11" borderId="127" xfId="0" applyFill="1" applyBorder="1" applyAlignment="1" applyProtection="1">
      <alignment horizontal="center" vertical="center" textRotation="255"/>
    </xf>
    <xf numFmtId="0" fontId="12" fillId="3" borderId="8" xfId="0" applyFont="1" applyFill="1" applyBorder="1" applyAlignment="1" applyProtection="1">
      <alignment horizontal="center" vertical="center"/>
    </xf>
    <xf numFmtId="0" fontId="12" fillId="3" borderId="9" xfId="0" applyFont="1" applyFill="1" applyBorder="1" applyAlignment="1" applyProtection="1">
      <alignment horizontal="center" vertical="center"/>
    </xf>
    <xf numFmtId="0" fontId="11" fillId="0" borderId="0" xfId="1" applyAlignment="1" applyProtection="1">
      <alignment vertical="center"/>
    </xf>
    <xf numFmtId="0" fontId="8" fillId="0" borderId="7" xfId="5" applyFont="1" applyBorder="1" applyAlignment="1">
      <alignment horizontal="center" vertical="center"/>
    </xf>
    <xf numFmtId="0" fontId="8" fillId="0" borderId="8" xfId="5" applyFont="1" applyBorder="1" applyAlignment="1">
      <alignment horizontal="center" vertical="center"/>
    </xf>
    <xf numFmtId="0" fontId="8" fillId="0" borderId="9" xfId="5" applyFont="1" applyBorder="1" applyAlignment="1">
      <alignment horizontal="center" vertical="center"/>
    </xf>
    <xf numFmtId="0" fontId="4" fillId="0" borderId="0" xfId="0" applyFont="1" applyAlignment="1" applyProtection="1">
      <alignment vertical="center"/>
    </xf>
    <xf numFmtId="0" fontId="4" fillId="0" borderId="0" xfId="0" applyFont="1" applyAlignment="1" applyProtection="1">
      <alignment horizontal="left" vertical="center"/>
    </xf>
    <xf numFmtId="0" fontId="4" fillId="3" borderId="3" xfId="0" applyFont="1" applyFill="1" applyBorder="1" applyAlignment="1" applyProtection="1">
      <alignment horizontal="left" vertical="center" wrapText="1"/>
    </xf>
    <xf numFmtId="0" fontId="4" fillId="3" borderId="1" xfId="0" applyFont="1" applyFill="1" applyBorder="1" applyAlignment="1" applyProtection="1">
      <alignment horizontal="left" vertical="center" wrapText="1"/>
    </xf>
    <xf numFmtId="0" fontId="4" fillId="3" borderId="6" xfId="0" applyFont="1" applyFill="1" applyBorder="1" applyAlignment="1" applyProtection="1">
      <alignment horizontal="left" vertical="center" wrapText="1"/>
    </xf>
    <xf numFmtId="0" fontId="4" fillId="3" borderId="5" xfId="0" applyFont="1" applyFill="1" applyBorder="1" applyAlignment="1" applyProtection="1">
      <alignment horizontal="left" vertical="center" wrapText="1"/>
    </xf>
    <xf numFmtId="0" fontId="4" fillId="3" borderId="0" xfId="0" applyFont="1" applyFill="1" applyBorder="1" applyAlignment="1" applyProtection="1">
      <alignment horizontal="left" vertical="center" wrapText="1"/>
    </xf>
    <xf numFmtId="0" fontId="4" fillId="3" borderId="10" xfId="0" applyFont="1" applyFill="1" applyBorder="1" applyAlignment="1" applyProtection="1">
      <alignment horizontal="left" vertical="center" wrapText="1"/>
    </xf>
    <xf numFmtId="0" fontId="4" fillId="3" borderId="76" xfId="0" applyFont="1" applyFill="1" applyBorder="1" applyAlignment="1" applyProtection="1">
      <alignment horizontal="left" vertical="center" wrapText="1"/>
    </xf>
    <xf numFmtId="0" fontId="4" fillId="3" borderId="77" xfId="0" applyFont="1" applyFill="1" applyBorder="1" applyAlignment="1" applyProtection="1">
      <alignment horizontal="left" vertical="center" wrapText="1"/>
    </xf>
    <xf numFmtId="0" fontId="4" fillId="3" borderId="163" xfId="0" applyFont="1" applyFill="1" applyBorder="1" applyAlignment="1" applyProtection="1">
      <alignment horizontal="left" vertical="center" wrapText="1"/>
    </xf>
    <xf numFmtId="0" fontId="4" fillId="0" borderId="5" xfId="0" applyFont="1" applyFill="1" applyBorder="1" applyAlignment="1" applyProtection="1">
      <alignment horizontal="center" vertical="center" wrapText="1" shrinkToFit="1"/>
      <protection locked="0"/>
    </xf>
    <xf numFmtId="0" fontId="4" fillId="0" borderId="0" xfId="0" applyFont="1" applyFill="1" applyBorder="1" applyAlignment="1" applyProtection="1">
      <alignment horizontal="center" vertical="center" wrapText="1" shrinkToFit="1"/>
      <protection locked="0"/>
    </xf>
    <xf numFmtId="0" fontId="4" fillId="0" borderId="10" xfId="0" applyFont="1" applyFill="1" applyBorder="1" applyAlignment="1" applyProtection="1">
      <alignment horizontal="center" vertical="center" wrapText="1" shrinkToFit="1"/>
      <protection locked="0"/>
    </xf>
    <xf numFmtId="0" fontId="4" fillId="0" borderId="28" xfId="0" applyFont="1" applyFill="1" applyBorder="1" applyAlignment="1" applyProtection="1">
      <alignment horizontal="center" vertical="center" wrapText="1" shrinkToFit="1"/>
      <protection locked="0"/>
    </xf>
    <xf numFmtId="0" fontId="4" fillId="0" borderId="2" xfId="0" applyFont="1" applyFill="1" applyBorder="1" applyAlignment="1" applyProtection="1">
      <alignment horizontal="center" vertical="center" wrapText="1" shrinkToFit="1"/>
      <protection locked="0"/>
    </xf>
    <xf numFmtId="0" fontId="4" fillId="0" borderId="11" xfId="0" applyFont="1" applyFill="1" applyBorder="1" applyAlignment="1" applyProtection="1">
      <alignment horizontal="center" vertical="center" wrapText="1" shrinkToFit="1"/>
      <protection locked="0"/>
    </xf>
    <xf numFmtId="0" fontId="16" fillId="3" borderId="47" xfId="0" applyFont="1" applyFill="1" applyBorder="1" applyAlignment="1" applyProtection="1">
      <alignment horizontal="right" vertical="center"/>
    </xf>
    <xf numFmtId="0" fontId="0" fillId="3" borderId="48" xfId="0" applyFill="1" applyBorder="1" applyAlignment="1" applyProtection="1">
      <alignment horizontal="right" vertical="center"/>
    </xf>
    <xf numFmtId="0" fontId="0" fillId="0" borderId="0" xfId="0" applyAlignment="1" applyProtection="1">
      <alignment vertical="center"/>
    </xf>
    <xf numFmtId="0" fontId="4" fillId="0" borderId="0" xfId="0" applyFont="1" applyBorder="1" applyAlignment="1" applyProtection="1">
      <alignment horizontal="center" vertical="center"/>
      <protection locked="0"/>
    </xf>
    <xf numFmtId="0" fontId="51" fillId="0" borderId="0" xfId="0" applyFont="1" applyFill="1" applyBorder="1" applyAlignment="1" applyProtection="1">
      <alignment horizontal="center" vertical="center" wrapText="1"/>
    </xf>
    <xf numFmtId="0" fontId="46" fillId="14" borderId="0" xfId="0" applyFont="1" applyFill="1" applyAlignment="1" applyProtection="1">
      <alignment vertical="center" wrapText="1"/>
    </xf>
    <xf numFmtId="0" fontId="52" fillId="0" borderId="0" xfId="1" applyFont="1" applyFill="1" applyBorder="1" applyAlignment="1" applyProtection="1">
      <alignment horizontal="center" vertical="center" shrinkToFit="1"/>
    </xf>
    <xf numFmtId="0" fontId="52" fillId="0" borderId="0" xfId="0" applyFont="1" applyFill="1" applyAlignment="1" applyProtection="1">
      <alignment horizontal="center" vertical="center" shrinkToFit="1"/>
    </xf>
    <xf numFmtId="0" fontId="4" fillId="3" borderId="3" xfId="0" applyFont="1" applyFill="1" applyBorder="1" applyAlignment="1" applyProtection="1">
      <alignment horizontal="center" vertical="center"/>
    </xf>
    <xf numFmtId="0" fontId="4" fillId="3" borderId="1" xfId="0" applyFont="1" applyFill="1" applyBorder="1" applyAlignment="1" applyProtection="1">
      <alignment horizontal="center" vertical="center"/>
    </xf>
    <xf numFmtId="0" fontId="4" fillId="3" borderId="6" xfId="0" applyFont="1" applyFill="1" applyBorder="1" applyAlignment="1" applyProtection="1">
      <alignment horizontal="center" vertical="center"/>
    </xf>
    <xf numFmtId="0" fontId="0" fillId="3" borderId="5" xfId="0" applyFill="1" applyBorder="1" applyAlignment="1" applyProtection="1">
      <alignment horizontal="center" vertical="center"/>
    </xf>
    <xf numFmtId="0" fontId="0" fillId="3" borderId="0" xfId="0" applyFill="1" applyAlignment="1" applyProtection="1">
      <alignment horizontal="center" vertical="center"/>
    </xf>
    <xf numFmtId="0" fontId="0" fillId="3" borderId="10" xfId="0" applyFill="1" applyBorder="1" applyAlignment="1" applyProtection="1">
      <alignment horizontal="center" vertical="center"/>
    </xf>
    <xf numFmtId="0" fontId="0" fillId="3" borderId="28" xfId="0" applyFill="1" applyBorder="1" applyAlignment="1" applyProtection="1">
      <alignment horizontal="center" vertical="center"/>
    </xf>
    <xf numFmtId="0" fontId="0" fillId="3" borderId="2" xfId="0" applyFill="1" applyBorder="1" applyAlignment="1" applyProtection="1">
      <alignment horizontal="center" vertical="center"/>
    </xf>
    <xf numFmtId="0" fontId="0" fillId="3" borderId="11" xfId="0" applyFill="1" applyBorder="1" applyAlignment="1" applyProtection="1">
      <alignment horizontal="center" vertical="center"/>
    </xf>
    <xf numFmtId="0" fontId="4" fillId="0" borderId="0" xfId="0" applyFont="1" applyBorder="1" applyAlignment="1" applyProtection="1">
      <alignment horizontal="center" vertical="center"/>
    </xf>
    <xf numFmtId="0" fontId="4" fillId="3" borderId="28" xfId="0" applyFont="1" applyFill="1" applyBorder="1" applyAlignment="1" applyProtection="1">
      <alignment horizontal="left" vertical="center" wrapText="1"/>
    </xf>
    <xf numFmtId="0" fontId="4" fillId="3" borderId="2" xfId="0" applyFont="1" applyFill="1" applyBorder="1" applyAlignment="1" applyProtection="1">
      <alignment horizontal="left" vertical="center" wrapText="1"/>
    </xf>
    <xf numFmtId="0" fontId="4" fillId="3" borderId="11" xfId="0" applyFont="1" applyFill="1" applyBorder="1" applyAlignment="1" applyProtection="1">
      <alignment horizontal="left" vertical="center" wrapText="1"/>
    </xf>
    <xf numFmtId="0" fontId="4" fillId="3" borderId="5"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4" fillId="3" borderId="2" xfId="0" applyFont="1" applyFill="1" applyBorder="1" applyAlignment="1" applyProtection="1">
      <alignment horizontal="center" vertical="center"/>
    </xf>
    <xf numFmtId="0" fontId="4" fillId="3" borderId="11"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181" fontId="4" fillId="3" borderId="3" xfId="0" applyNumberFormat="1" applyFont="1" applyFill="1" applyBorder="1" applyAlignment="1" applyProtection="1">
      <alignment horizontal="left" vertical="center" wrapText="1"/>
    </xf>
    <xf numFmtId="181" fontId="4" fillId="3" borderId="1" xfId="0" applyNumberFormat="1" applyFont="1" applyFill="1" applyBorder="1" applyAlignment="1" applyProtection="1">
      <alignment horizontal="left" vertical="center" wrapText="1"/>
    </xf>
    <xf numFmtId="181" fontId="4" fillId="3" borderId="6" xfId="0" applyNumberFormat="1" applyFont="1" applyFill="1" applyBorder="1" applyAlignment="1" applyProtection="1">
      <alignment horizontal="left" vertical="center" wrapText="1"/>
    </xf>
    <xf numFmtId="181" fontId="4" fillId="3" borderId="5" xfId="0" applyNumberFormat="1" applyFont="1" applyFill="1" applyBorder="1" applyAlignment="1" applyProtection="1">
      <alignment horizontal="left" vertical="center" wrapText="1"/>
    </xf>
    <xf numFmtId="181" fontId="4" fillId="3" borderId="0" xfId="0" applyNumberFormat="1" applyFont="1" applyFill="1" applyBorder="1" applyAlignment="1" applyProtection="1">
      <alignment horizontal="left" vertical="center" wrapText="1"/>
    </xf>
    <xf numFmtId="181" fontId="4" fillId="3" borderId="10" xfId="0" applyNumberFormat="1" applyFont="1" applyFill="1" applyBorder="1" applyAlignment="1" applyProtection="1">
      <alignment horizontal="left" vertical="center" wrapText="1"/>
    </xf>
    <xf numFmtId="181" fontId="4" fillId="3" borderId="28" xfId="0" applyNumberFormat="1" applyFont="1" applyFill="1" applyBorder="1" applyAlignment="1" applyProtection="1">
      <alignment horizontal="left" vertical="center" wrapText="1"/>
    </xf>
    <xf numFmtId="181" fontId="4" fillId="3" borderId="2" xfId="0" applyNumberFormat="1" applyFont="1" applyFill="1" applyBorder="1" applyAlignment="1" applyProtection="1">
      <alignment horizontal="left" vertical="center" wrapText="1"/>
    </xf>
    <xf numFmtId="181" fontId="4" fillId="3"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xf>
    <xf numFmtId="0" fontId="4" fillId="3" borderId="161" xfId="0" applyFont="1" applyFill="1" applyBorder="1" applyAlignment="1" applyProtection="1">
      <alignment horizontal="left" vertical="center" wrapText="1"/>
    </xf>
    <xf numFmtId="0" fontId="4" fillId="3" borderId="52" xfId="0" applyFont="1" applyFill="1" applyBorder="1" applyAlignment="1" applyProtection="1">
      <alignment horizontal="left" vertical="center" wrapText="1"/>
    </xf>
    <xf numFmtId="0" fontId="4" fillId="3" borderId="162" xfId="0" applyFont="1" applyFill="1" applyBorder="1" applyAlignment="1" applyProtection="1">
      <alignment horizontal="left" vertical="center" wrapText="1"/>
    </xf>
    <xf numFmtId="181" fontId="4" fillId="3" borderId="3" xfId="0" applyNumberFormat="1" applyFont="1" applyFill="1" applyBorder="1" applyAlignment="1" applyProtection="1">
      <alignment horizontal="center" vertical="center"/>
    </xf>
    <xf numFmtId="181" fontId="4" fillId="3" borderId="1" xfId="0" applyNumberFormat="1" applyFont="1" applyFill="1" applyBorder="1" applyAlignment="1" applyProtection="1">
      <alignment horizontal="center" vertical="center"/>
    </xf>
    <xf numFmtId="181" fontId="4" fillId="3" borderId="6" xfId="0" applyNumberFormat="1" applyFont="1" applyFill="1" applyBorder="1" applyAlignment="1" applyProtection="1">
      <alignment horizontal="center" vertical="center"/>
    </xf>
    <xf numFmtId="181" fontId="0" fillId="3" borderId="5" xfId="0" applyNumberFormat="1" applyFill="1" applyBorder="1" applyAlignment="1" applyProtection="1">
      <alignment horizontal="center" vertical="center"/>
    </xf>
    <xf numFmtId="181" fontId="0" fillId="3" borderId="0" xfId="0" applyNumberFormat="1" applyFill="1" applyAlignment="1" applyProtection="1">
      <alignment horizontal="center" vertical="center"/>
    </xf>
    <xf numFmtId="181" fontId="0" fillId="3" borderId="10" xfId="0" applyNumberFormat="1" applyFill="1" applyBorder="1" applyAlignment="1" applyProtection="1">
      <alignment horizontal="center" vertical="center"/>
    </xf>
    <xf numFmtId="181" fontId="0" fillId="3" borderId="28" xfId="0" applyNumberFormat="1" applyFill="1" applyBorder="1" applyAlignment="1" applyProtection="1">
      <alignment horizontal="center" vertical="center"/>
    </xf>
    <xf numFmtId="181" fontId="0" fillId="3" borderId="2" xfId="0" applyNumberFormat="1" applyFill="1" applyBorder="1" applyAlignment="1" applyProtection="1">
      <alignment horizontal="center" vertical="center"/>
    </xf>
    <xf numFmtId="181" fontId="0" fillId="3" borderId="11" xfId="0" applyNumberFormat="1" applyFill="1" applyBorder="1" applyAlignment="1" applyProtection="1">
      <alignment horizontal="center" vertical="center"/>
    </xf>
    <xf numFmtId="0" fontId="16" fillId="3" borderId="86" xfId="0" applyFont="1" applyFill="1" applyBorder="1" applyAlignment="1" applyProtection="1">
      <alignment horizontal="right" vertical="center"/>
    </xf>
    <xf numFmtId="0" fontId="0" fillId="3" borderId="87" xfId="0" applyFill="1" applyBorder="1" applyAlignment="1" applyProtection="1">
      <alignment horizontal="right" vertical="center"/>
    </xf>
    <xf numFmtId="0" fontId="4" fillId="0" borderId="4" xfId="0" applyFont="1" applyBorder="1" applyAlignment="1" applyProtection="1">
      <alignment horizontal="left" vertical="center"/>
      <protection hidden="1"/>
    </xf>
    <xf numFmtId="0" fontId="45" fillId="0" borderId="4" xfId="0" applyFont="1" applyBorder="1" applyAlignment="1" applyProtection="1">
      <alignment horizontal="left" vertical="center"/>
      <protection hidden="1"/>
    </xf>
    <xf numFmtId="0" fontId="4" fillId="0" borderId="28" xfId="0" applyFont="1" applyBorder="1" applyAlignment="1" applyProtection="1">
      <alignment horizontal="left" vertical="center"/>
      <protection hidden="1"/>
    </xf>
    <xf numFmtId="0" fontId="4" fillId="0" borderId="2" xfId="0" applyFont="1" applyBorder="1" applyAlignment="1" applyProtection="1">
      <alignment horizontal="left" vertical="center"/>
      <protection hidden="1"/>
    </xf>
    <xf numFmtId="0" fontId="83" fillId="0" borderId="3" xfId="0" applyFont="1" applyBorder="1" applyAlignment="1" applyProtection="1">
      <alignment horizontal="center" vertical="center"/>
      <protection hidden="1"/>
    </xf>
    <xf numFmtId="0" fontId="83" fillId="0" borderId="1" xfId="0" applyFont="1" applyBorder="1" applyAlignment="1" applyProtection="1">
      <alignment horizontal="center" vertical="center"/>
      <protection hidden="1"/>
    </xf>
    <xf numFmtId="0" fontId="83" fillId="0" borderId="6" xfId="0" applyFont="1" applyBorder="1" applyAlignment="1" applyProtection="1">
      <alignment horizontal="center" vertical="center"/>
      <protection hidden="1"/>
    </xf>
    <xf numFmtId="0" fontId="83" fillId="0" borderId="5" xfId="0" applyFont="1" applyBorder="1" applyAlignment="1" applyProtection="1">
      <alignment horizontal="center" vertical="center"/>
      <protection hidden="1"/>
    </xf>
    <xf numFmtId="0" fontId="83" fillId="0" borderId="0" xfId="0" applyFont="1" applyBorder="1" applyAlignment="1" applyProtection="1">
      <alignment horizontal="center" vertical="center"/>
      <protection hidden="1"/>
    </xf>
    <xf numFmtId="0" fontId="83" fillId="0" borderId="10" xfId="0" applyFont="1" applyBorder="1" applyAlignment="1" applyProtection="1">
      <alignment horizontal="center" vertical="center"/>
      <protection hidden="1"/>
    </xf>
    <xf numFmtId="0" fontId="46" fillId="0" borderId="4" xfId="0" applyFont="1" applyBorder="1" applyAlignment="1" applyProtection="1">
      <alignment horizontal="left" vertical="center"/>
      <protection hidden="1"/>
    </xf>
    <xf numFmtId="0" fontId="112" fillId="14" borderId="2" xfId="0" applyFont="1" applyFill="1" applyBorder="1" applyAlignment="1" applyProtection="1">
      <alignment vertical="center" wrapText="1"/>
      <protection hidden="1"/>
    </xf>
    <xf numFmtId="0" fontId="2" fillId="0" borderId="8" xfId="0" applyFont="1" applyBorder="1" applyAlignment="1" applyProtection="1">
      <alignment horizontal="center" vertical="center"/>
      <protection hidden="1"/>
    </xf>
    <xf numFmtId="0" fontId="46" fillId="0" borderId="4" xfId="0" applyFont="1" applyBorder="1" applyAlignment="1" applyProtection="1">
      <alignment horizontal="center" vertical="center"/>
      <protection hidden="1"/>
    </xf>
    <xf numFmtId="0" fontId="135" fillId="0" borderId="0" xfId="1" applyFont="1" applyFill="1" applyBorder="1" applyAlignment="1" applyProtection="1">
      <alignment vertical="top"/>
      <protection locked="0" hidden="1"/>
    </xf>
    <xf numFmtId="0" fontId="73" fillId="0" borderId="82" xfId="2" applyFont="1" applyBorder="1" applyAlignment="1" applyProtection="1">
      <alignment vertical="center"/>
      <protection hidden="1"/>
    </xf>
    <xf numFmtId="0" fontId="73" fillId="0" borderId="191" xfId="2" applyFont="1" applyBorder="1" applyAlignment="1" applyProtection="1">
      <alignment vertical="center"/>
      <protection hidden="1"/>
    </xf>
    <xf numFmtId="0" fontId="66" fillId="0" borderId="0" xfId="0" applyFont="1" applyBorder="1" applyAlignment="1" applyProtection="1">
      <alignment horizontal="center" vertical="center"/>
      <protection hidden="1"/>
    </xf>
    <xf numFmtId="0" fontId="66" fillId="0" borderId="10" xfId="0" applyFont="1" applyBorder="1" applyAlignment="1" applyProtection="1">
      <alignment horizontal="center" vertical="center"/>
      <protection hidden="1"/>
    </xf>
    <xf numFmtId="0" fontId="66" fillId="0" borderId="2" xfId="0" applyFont="1" applyBorder="1" applyAlignment="1" applyProtection="1">
      <alignment horizontal="center" vertical="center"/>
      <protection hidden="1"/>
    </xf>
    <xf numFmtId="0" fontId="66" fillId="0" borderId="11" xfId="0" applyFont="1" applyBorder="1" applyAlignment="1" applyProtection="1">
      <alignment horizontal="center" vertical="center"/>
      <protection hidden="1"/>
    </xf>
    <xf numFmtId="0" fontId="68" fillId="21" borderId="51" xfId="0" applyFont="1" applyFill="1" applyBorder="1" applyAlignment="1" applyProtection="1">
      <alignment vertical="center" wrapText="1"/>
      <protection hidden="1"/>
    </xf>
    <xf numFmtId="0" fontId="66" fillId="0" borderId="52" xfId="0" applyFont="1" applyFill="1" applyBorder="1" applyAlignment="1" applyProtection="1">
      <alignment vertical="center"/>
      <protection hidden="1"/>
    </xf>
    <xf numFmtId="0" fontId="66" fillId="21" borderId="5" xfId="0" applyFont="1" applyFill="1" applyBorder="1" applyAlignment="1" applyProtection="1">
      <alignment horizontal="center" vertical="center" shrinkToFit="1"/>
      <protection hidden="1"/>
    </xf>
    <xf numFmtId="0" fontId="66" fillId="21" borderId="0" xfId="0" applyFont="1" applyFill="1" applyBorder="1" applyAlignment="1" applyProtection="1">
      <alignment horizontal="center" vertical="center" shrinkToFit="1"/>
      <protection hidden="1"/>
    </xf>
    <xf numFmtId="0" fontId="68" fillId="21" borderId="51" xfId="0" applyFont="1" applyFill="1" applyBorder="1" applyAlignment="1" applyProtection="1">
      <alignment horizontal="left" vertical="center" wrapText="1"/>
      <protection hidden="1"/>
    </xf>
    <xf numFmtId="0" fontId="72" fillId="0" borderId="51" xfId="0" applyFont="1" applyBorder="1" applyAlignment="1" applyProtection="1">
      <alignment horizontal="left" vertical="center" shrinkToFit="1"/>
      <protection hidden="1"/>
    </xf>
    <xf numFmtId="0" fontId="68" fillId="21" borderId="27" xfId="0" applyFont="1" applyFill="1" applyBorder="1" applyAlignment="1" applyProtection="1">
      <alignment horizontal="left" vertical="center" wrapText="1"/>
      <protection hidden="1"/>
    </xf>
    <xf numFmtId="0" fontId="68" fillId="21" borderId="8" xfId="0" applyFont="1" applyFill="1" applyBorder="1" applyAlignment="1" applyProtection="1">
      <alignment horizontal="left" vertical="center" wrapText="1"/>
      <protection hidden="1"/>
    </xf>
    <xf numFmtId="0" fontId="68" fillId="21" borderId="53" xfId="0" applyFont="1" applyFill="1" applyBorder="1" applyAlignment="1" applyProtection="1">
      <alignment horizontal="left" vertical="center" wrapText="1"/>
      <protection hidden="1"/>
    </xf>
    <xf numFmtId="0" fontId="68" fillId="21" borderId="52" xfId="0" applyFont="1" applyFill="1" applyBorder="1" applyAlignment="1" applyProtection="1">
      <alignment vertical="center" wrapText="1"/>
      <protection hidden="1"/>
    </xf>
    <xf numFmtId="0" fontId="66" fillId="0" borderId="51" xfId="0" applyFont="1" applyBorder="1" applyAlignment="1" applyProtection="1">
      <alignment horizontal="center" vertical="center" shrinkToFit="1"/>
      <protection hidden="1"/>
    </xf>
    <xf numFmtId="49" fontId="66" fillId="0" borderId="51" xfId="0" applyNumberFormat="1" applyFont="1" applyBorder="1" applyAlignment="1" applyProtection="1">
      <alignment horizontal="center" vertical="center" shrinkToFit="1"/>
      <protection hidden="1"/>
    </xf>
    <xf numFmtId="49" fontId="66" fillId="0" borderId="51" xfId="0" applyNumberFormat="1" applyFont="1" applyBorder="1" applyAlignment="1" applyProtection="1">
      <alignment vertical="center" shrinkToFit="1"/>
      <protection hidden="1"/>
    </xf>
    <xf numFmtId="0" fontId="66" fillId="0" borderId="52" xfId="0" applyFont="1" applyBorder="1" applyAlignment="1" applyProtection="1">
      <alignment vertical="center" shrinkToFit="1"/>
      <protection hidden="1"/>
    </xf>
    <xf numFmtId="0" fontId="63" fillId="0" borderId="0" xfId="2" applyFont="1" applyBorder="1" applyAlignment="1" applyProtection="1">
      <alignment horizontal="center" vertical="center"/>
      <protection hidden="1"/>
    </xf>
    <xf numFmtId="0" fontId="63" fillId="21" borderId="0" xfId="2" applyFont="1" applyFill="1" applyBorder="1" applyAlignment="1" applyProtection="1">
      <alignment horizontal="center" vertical="center"/>
      <protection hidden="1"/>
    </xf>
    <xf numFmtId="0" fontId="63" fillId="0" borderId="0" xfId="2" applyFont="1" applyBorder="1" applyAlignment="1" applyProtection="1">
      <alignment horizontal="center" vertical="center" shrinkToFit="1"/>
      <protection hidden="1"/>
    </xf>
    <xf numFmtId="0" fontId="64" fillId="21" borderId="0" xfId="2" applyFont="1" applyFill="1" applyBorder="1" applyAlignment="1" applyProtection="1">
      <alignment horizontal="center" vertical="center"/>
      <protection hidden="1"/>
    </xf>
    <xf numFmtId="0" fontId="68" fillId="21" borderId="52" xfId="0" applyFont="1" applyFill="1" applyBorder="1" applyAlignment="1" applyProtection="1">
      <alignment horizontal="left" vertical="center" wrapText="1" shrinkToFit="1"/>
      <protection hidden="1"/>
    </xf>
    <xf numFmtId="0" fontId="66" fillId="0" borderId="51" xfId="0" applyFont="1" applyBorder="1" applyAlignment="1" applyProtection="1">
      <alignment horizontal="center" vertical="center"/>
      <protection hidden="1"/>
    </xf>
    <xf numFmtId="0" fontId="60" fillId="0" borderId="0" xfId="2" applyFont="1" applyBorder="1" applyAlignment="1" applyProtection="1">
      <alignment horizontal="left" vertical="center" shrinkToFit="1"/>
      <protection hidden="1"/>
    </xf>
    <xf numFmtId="0" fontId="64" fillId="0" borderId="0" xfId="2" applyFont="1" applyBorder="1" applyAlignment="1" applyProtection="1">
      <alignment horizontal="left" vertical="center" shrinkToFit="1"/>
      <protection hidden="1"/>
    </xf>
    <xf numFmtId="0" fontId="66" fillId="0" borderId="51" xfId="0" applyFont="1" applyBorder="1" applyAlignment="1" applyProtection="1">
      <alignment horizontal="left" vertical="center" shrinkToFit="1"/>
      <protection hidden="1"/>
    </xf>
    <xf numFmtId="0" fontId="68" fillId="21" borderId="0" xfId="0" applyFont="1" applyFill="1" applyBorder="1" applyAlignment="1" applyProtection="1">
      <alignment horizontal="left" vertical="center" wrapText="1"/>
      <protection hidden="1"/>
    </xf>
    <xf numFmtId="0" fontId="68" fillId="21" borderId="52" xfId="0" applyFont="1" applyFill="1" applyBorder="1" applyAlignment="1" applyProtection="1">
      <alignment horizontal="left" vertical="center" wrapText="1"/>
      <protection hidden="1"/>
    </xf>
    <xf numFmtId="0" fontId="66" fillId="21" borderId="0" xfId="0" applyFont="1" applyFill="1" applyBorder="1" applyAlignment="1" applyProtection="1">
      <alignment horizontal="left" vertical="center" shrinkToFit="1"/>
      <protection hidden="1"/>
    </xf>
    <xf numFmtId="0" fontId="66" fillId="0" borderId="131" xfId="0" applyFont="1" applyBorder="1" applyAlignment="1" applyProtection="1">
      <alignment horizontal="center" vertical="center"/>
      <protection hidden="1"/>
    </xf>
    <xf numFmtId="0" fontId="66" fillId="21" borderId="51" xfId="0" applyFont="1" applyFill="1" applyBorder="1" applyAlignment="1" applyProtection="1">
      <alignment horizontal="center" vertical="center"/>
      <protection hidden="1"/>
    </xf>
    <xf numFmtId="0" fontId="11" fillId="0" borderId="0" xfId="1" applyFill="1" applyAlignment="1" applyProtection="1">
      <alignment horizontal="right" vertical="center"/>
      <protection locked="0" hidden="1"/>
    </xf>
    <xf numFmtId="0" fontId="116" fillId="14" borderId="0" xfId="2" applyFont="1" applyFill="1" applyBorder="1" applyAlignment="1" applyProtection="1">
      <alignment vertical="center" wrapText="1"/>
      <protection hidden="1"/>
    </xf>
    <xf numFmtId="0" fontId="68" fillId="21" borderId="82" xfId="0" applyFont="1" applyFill="1" applyBorder="1" applyAlignment="1" applyProtection="1">
      <alignment horizontal="left" vertical="center" wrapText="1"/>
      <protection hidden="1"/>
    </xf>
    <xf numFmtId="0" fontId="66" fillId="21" borderId="51" xfId="0" applyFont="1" applyFill="1" applyBorder="1" applyAlignment="1" applyProtection="1">
      <alignment horizontal="left" vertical="center"/>
      <protection hidden="1"/>
    </xf>
    <xf numFmtId="0" fontId="57" fillId="0" borderId="0" xfId="2" applyFont="1" applyBorder="1" applyAlignment="1" applyProtection="1">
      <alignment horizontal="center" vertical="center"/>
      <protection hidden="1"/>
    </xf>
    <xf numFmtId="0" fontId="58" fillId="0" borderId="34" xfId="2" applyFont="1" applyBorder="1" applyAlignment="1" applyProtection="1">
      <alignment horizontal="right" vertical="center"/>
      <protection hidden="1"/>
    </xf>
    <xf numFmtId="0" fontId="58" fillId="0" borderId="56" xfId="2" applyFont="1" applyBorder="1" applyAlignment="1" applyProtection="1">
      <alignment horizontal="right" vertical="center"/>
      <protection hidden="1"/>
    </xf>
    <xf numFmtId="0" fontId="60" fillId="21" borderId="5" xfId="2" applyFont="1" applyFill="1" applyBorder="1" applyAlignment="1" applyProtection="1">
      <alignment horizontal="center" vertical="center"/>
      <protection hidden="1"/>
    </xf>
    <xf numFmtId="0" fontId="60" fillId="21" borderId="0" xfId="2" applyFont="1" applyFill="1" applyBorder="1" applyAlignment="1" applyProtection="1">
      <alignment horizontal="center" vertical="center"/>
      <protection hidden="1"/>
    </xf>
    <xf numFmtId="0" fontId="65" fillId="0" borderId="0" xfId="2" applyFont="1" applyBorder="1" applyAlignment="1" applyProtection="1">
      <alignment horizontal="left" vertical="center" shrinkToFit="1"/>
      <protection hidden="1"/>
    </xf>
    <xf numFmtId="0" fontId="58" fillId="0" borderId="56" xfId="2" applyFont="1" applyBorder="1" applyAlignment="1" applyProtection="1">
      <alignment horizontal="left" vertical="center"/>
      <protection hidden="1"/>
    </xf>
    <xf numFmtId="0" fontId="58" fillId="0" borderId="35" xfId="2" applyFont="1" applyBorder="1" applyAlignment="1" applyProtection="1">
      <alignment horizontal="left" vertical="center"/>
      <protection hidden="1"/>
    </xf>
    <xf numFmtId="0" fontId="59" fillId="0" borderId="34" xfId="2" applyFont="1" applyBorder="1" applyAlignment="1" applyProtection="1">
      <alignment horizontal="center" vertical="center" shrinkToFit="1"/>
      <protection hidden="1"/>
    </xf>
    <xf numFmtId="0" fontId="59" fillId="0" borderId="56" xfId="2" applyFont="1" applyBorder="1" applyAlignment="1" applyProtection="1">
      <alignment horizontal="center" vertical="center" shrinkToFit="1"/>
      <protection hidden="1"/>
    </xf>
    <xf numFmtId="0" fontId="59" fillId="0" borderId="35" xfId="2" applyFont="1" applyBorder="1" applyAlignment="1" applyProtection="1">
      <alignment horizontal="center" vertical="center" shrinkToFit="1"/>
      <protection hidden="1"/>
    </xf>
    <xf numFmtId="0" fontId="60" fillId="21" borderId="5" xfId="2" applyFont="1" applyFill="1" applyBorder="1" applyAlignment="1" applyProtection="1">
      <alignment horizontal="center" vertical="center" wrapText="1"/>
      <protection hidden="1"/>
    </xf>
    <xf numFmtId="0" fontId="60" fillId="21" borderId="0" xfId="2" applyFont="1" applyFill="1" applyBorder="1" applyAlignment="1" applyProtection="1">
      <alignment horizontal="center" vertical="center" wrapText="1"/>
      <protection hidden="1"/>
    </xf>
    <xf numFmtId="0" fontId="66" fillId="0" borderId="186" xfId="0" applyFont="1" applyBorder="1" applyAlignment="1" applyProtection="1">
      <alignment horizontal="center" vertical="center"/>
      <protection hidden="1"/>
    </xf>
    <xf numFmtId="0" fontId="66" fillId="21" borderId="52" xfId="0" applyFont="1" applyFill="1" applyBorder="1" applyAlignment="1" applyProtection="1">
      <alignment horizontal="left" vertical="center"/>
      <protection hidden="1"/>
    </xf>
    <xf numFmtId="0" fontId="66" fillId="0" borderId="52" xfId="0" applyFont="1" applyBorder="1" applyAlignment="1" applyProtection="1">
      <alignment horizontal="center" vertical="center"/>
      <protection hidden="1"/>
    </xf>
    <xf numFmtId="0" fontId="66" fillId="0" borderId="187" xfId="0" applyFont="1" applyBorder="1" applyAlignment="1" applyProtection="1">
      <alignment horizontal="center" vertical="center"/>
      <protection hidden="1"/>
    </xf>
    <xf numFmtId="0" fontId="74" fillId="0" borderId="82" xfId="2" applyFont="1" applyBorder="1" applyAlignment="1" applyProtection="1">
      <alignment vertical="center"/>
      <protection hidden="1"/>
    </xf>
    <xf numFmtId="0" fontId="74" fillId="0" borderId="191" xfId="2" applyFont="1" applyBorder="1" applyAlignment="1" applyProtection="1">
      <alignment vertical="center"/>
      <protection hidden="1"/>
    </xf>
    <xf numFmtId="0" fontId="74" fillId="0" borderId="2" xfId="2" applyFont="1" applyBorder="1" applyAlignment="1" applyProtection="1">
      <alignment vertical="center"/>
      <protection hidden="1"/>
    </xf>
    <xf numFmtId="0" fontId="74" fillId="0" borderId="11" xfId="2" applyFont="1" applyBorder="1" applyAlignment="1" applyProtection="1">
      <alignment vertical="center"/>
      <protection hidden="1"/>
    </xf>
    <xf numFmtId="0" fontId="76" fillId="0" borderId="0" xfId="2" applyFont="1" applyBorder="1" applyAlignment="1" applyProtection="1">
      <alignment horizontal="center" vertical="center" shrinkToFit="1"/>
      <protection hidden="1"/>
    </xf>
    <xf numFmtId="0" fontId="73" fillId="0" borderId="1" xfId="7" applyFont="1" applyBorder="1" applyAlignment="1" applyProtection="1">
      <alignment vertical="center" wrapText="1"/>
      <protection hidden="1"/>
    </xf>
    <xf numFmtId="0" fontId="73" fillId="0" borderId="1" xfId="7" applyFont="1" applyBorder="1" applyAlignment="1" applyProtection="1">
      <alignment vertical="center"/>
      <protection hidden="1"/>
    </xf>
    <xf numFmtId="0" fontId="73" fillId="0" borderId="6" xfId="7" applyFont="1" applyBorder="1" applyAlignment="1" applyProtection="1">
      <alignment vertical="center"/>
      <protection hidden="1"/>
    </xf>
    <xf numFmtId="0" fontId="73" fillId="0" borderId="0" xfId="7" applyFont="1" applyBorder="1" applyAlignment="1" applyProtection="1">
      <alignment vertical="center"/>
      <protection hidden="1"/>
    </xf>
    <xf numFmtId="0" fontId="73" fillId="0" borderId="10" xfId="7" applyFont="1" applyBorder="1" applyAlignment="1" applyProtection="1">
      <alignment vertical="center"/>
      <protection hidden="1"/>
    </xf>
    <xf numFmtId="0" fontId="73" fillId="0" borderId="2" xfId="7" applyFont="1" applyBorder="1" applyAlignment="1" applyProtection="1">
      <alignment vertical="center"/>
      <protection hidden="1"/>
    </xf>
    <xf numFmtId="0" fontId="73" fillId="0" borderId="11" xfId="7" applyFont="1" applyBorder="1" applyAlignment="1" applyProtection="1">
      <alignment vertical="center"/>
      <protection hidden="1"/>
    </xf>
    <xf numFmtId="0" fontId="66" fillId="0" borderId="51" xfId="0" applyFont="1" applyFill="1" applyBorder="1" applyAlignment="1" applyProtection="1">
      <alignment vertical="center" shrinkToFit="1"/>
      <protection hidden="1"/>
    </xf>
    <xf numFmtId="0" fontId="60" fillId="0" borderId="3" xfId="2" applyFont="1" applyBorder="1" applyAlignment="1" applyProtection="1">
      <alignment vertical="top"/>
      <protection hidden="1"/>
    </xf>
    <xf numFmtId="0" fontId="60" fillId="0" borderId="1" xfId="2" applyFont="1" applyBorder="1" applyAlignment="1" applyProtection="1">
      <alignment vertical="top"/>
      <protection hidden="1"/>
    </xf>
    <xf numFmtId="0" fontId="60" fillId="0" borderId="6" xfId="2" applyFont="1" applyBorder="1" applyAlignment="1" applyProtection="1">
      <alignment vertical="top"/>
      <protection hidden="1"/>
    </xf>
    <xf numFmtId="0" fontId="60" fillId="0" borderId="5" xfId="2" applyFont="1" applyBorder="1" applyAlignment="1" applyProtection="1">
      <alignment vertical="top"/>
      <protection hidden="1"/>
    </xf>
    <xf numFmtId="0" fontId="60" fillId="0" borderId="0" xfId="2" applyFont="1" applyBorder="1" applyAlignment="1" applyProtection="1">
      <alignment vertical="top"/>
      <protection hidden="1"/>
    </xf>
    <xf numFmtId="0" fontId="60" fillId="0" borderId="10" xfId="2" applyFont="1" applyBorder="1" applyAlignment="1" applyProtection="1">
      <alignment vertical="top"/>
      <protection hidden="1"/>
    </xf>
    <xf numFmtId="0" fontId="60" fillId="0" borderId="28" xfId="2" applyFont="1" applyBorder="1" applyAlignment="1" applyProtection="1">
      <alignment vertical="top"/>
      <protection hidden="1"/>
    </xf>
    <xf numFmtId="0" fontId="60" fillId="0" borderId="2" xfId="2" applyFont="1" applyBorder="1" applyAlignment="1" applyProtection="1">
      <alignment vertical="top"/>
      <protection hidden="1"/>
    </xf>
    <xf numFmtId="0" fontId="60" fillId="0" borderId="11" xfId="2" applyFont="1" applyBorder="1" applyAlignment="1" applyProtection="1">
      <alignment vertical="top"/>
      <protection hidden="1"/>
    </xf>
    <xf numFmtId="0" fontId="68" fillId="21" borderId="82" xfId="0" applyFont="1" applyFill="1" applyBorder="1" applyAlignment="1" applyProtection="1">
      <alignment vertical="center"/>
      <protection hidden="1"/>
    </xf>
    <xf numFmtId="0" fontId="68" fillId="21" borderId="0" xfId="0" applyFont="1" applyFill="1" applyBorder="1" applyAlignment="1" applyProtection="1">
      <alignment vertical="center"/>
      <protection hidden="1"/>
    </xf>
    <xf numFmtId="0" fontId="68" fillId="21" borderId="52" xfId="0" applyFont="1" applyFill="1" applyBorder="1" applyAlignment="1" applyProtection="1">
      <alignment vertical="center"/>
      <protection hidden="1"/>
    </xf>
    <xf numFmtId="0" fontId="68" fillId="21" borderId="0" xfId="0" applyFont="1" applyFill="1" applyBorder="1" applyAlignment="1" applyProtection="1">
      <alignment vertical="center" wrapText="1"/>
      <protection hidden="1"/>
    </xf>
    <xf numFmtId="178" fontId="36" fillId="0" borderId="0" xfId="3" applyNumberFormat="1" applyFont="1" applyFill="1" applyBorder="1" applyAlignment="1" applyProtection="1">
      <alignment horizontal="right" vertical="center" shrinkToFit="1"/>
      <protection hidden="1"/>
    </xf>
    <xf numFmtId="0" fontId="36" fillId="0" borderId="0" xfId="3" applyNumberFormat="1" applyFont="1" applyFill="1" applyBorder="1" applyAlignment="1" applyProtection="1">
      <alignment horizontal="center" vertical="center" shrinkToFit="1"/>
      <protection hidden="1"/>
    </xf>
    <xf numFmtId="177" fontId="36" fillId="0" borderId="0" xfId="3" applyNumberFormat="1" applyFont="1" applyFill="1" applyBorder="1" applyAlignment="1" applyProtection="1">
      <alignment horizontal="center" vertical="center" shrinkToFit="1"/>
      <protection hidden="1"/>
    </xf>
    <xf numFmtId="0" fontId="34" fillId="0" borderId="0" xfId="3" applyFont="1" applyFill="1" applyBorder="1" applyAlignment="1" applyProtection="1">
      <alignment horizontal="center" vertical="center"/>
      <protection hidden="1"/>
    </xf>
    <xf numFmtId="0" fontId="8" fillId="0" borderId="7" xfId="5" applyFont="1" applyBorder="1" applyAlignment="1" applyProtection="1">
      <alignment horizontal="center" vertical="center"/>
      <protection hidden="1"/>
    </xf>
    <xf numFmtId="0" fontId="8" fillId="0" borderId="8" xfId="5" applyFont="1" applyBorder="1" applyAlignment="1" applyProtection="1">
      <alignment horizontal="center" vertical="center"/>
      <protection hidden="1"/>
    </xf>
    <xf numFmtId="0" fontId="8" fillId="0" borderId="9" xfId="5" applyFont="1" applyBorder="1" applyAlignment="1" applyProtection="1">
      <alignment horizontal="center" vertical="center"/>
      <protection hidden="1"/>
    </xf>
    <xf numFmtId="0" fontId="28" fillId="0" borderId="0" xfId="3" applyFont="1" applyFill="1" applyBorder="1" applyAlignment="1" applyProtection="1">
      <alignment horizontal="left" shrinkToFit="1"/>
      <protection hidden="1"/>
    </xf>
    <xf numFmtId="0" fontId="28" fillId="0" borderId="0" xfId="3" applyFont="1" applyFill="1" applyBorder="1" applyAlignment="1" applyProtection="1">
      <alignment horizontal="center"/>
      <protection hidden="1"/>
    </xf>
    <xf numFmtId="181" fontId="28" fillId="0" borderId="0" xfId="3" applyNumberFormat="1" applyFont="1" applyFill="1" applyBorder="1" applyAlignment="1" applyProtection="1">
      <alignment horizontal="center" shrinkToFit="1"/>
      <protection hidden="1"/>
    </xf>
    <xf numFmtId="176" fontId="28" fillId="0" borderId="0" xfId="3" applyNumberFormat="1" applyFont="1" applyFill="1" applyBorder="1" applyAlignment="1" applyProtection="1">
      <alignment horizontal="left" shrinkToFit="1"/>
      <protection hidden="1"/>
    </xf>
    <xf numFmtId="0" fontId="28" fillId="0" borderId="0" xfId="3" applyFont="1" applyFill="1" applyBorder="1" applyAlignment="1" applyProtection="1">
      <alignment horizontal="left"/>
      <protection hidden="1"/>
    </xf>
    <xf numFmtId="0" fontId="7" fillId="0" borderId="0" xfId="5" applyFont="1" applyFill="1" applyAlignment="1" applyProtection="1">
      <alignment horizontal="center" vertical="center"/>
      <protection hidden="1"/>
    </xf>
    <xf numFmtId="0" fontId="36" fillId="0" borderId="0" xfId="3" applyFont="1" applyFill="1" applyBorder="1" applyAlignment="1" applyProtection="1">
      <alignment horizontal="center" vertical="center" shrinkToFit="1"/>
      <protection hidden="1"/>
    </xf>
    <xf numFmtId="0" fontId="34" fillId="0" borderId="0" xfId="3" applyFont="1" applyFill="1" applyBorder="1" applyAlignment="1" applyProtection="1">
      <alignment horizontal="left" shrinkToFit="1"/>
      <protection hidden="1"/>
    </xf>
    <xf numFmtId="176" fontId="34" fillId="0" borderId="0" xfId="3" applyNumberFormat="1" applyFont="1" applyFill="1" applyBorder="1" applyAlignment="1" applyProtection="1">
      <alignment horizontal="left" wrapText="1" shrinkToFit="1"/>
      <protection hidden="1"/>
    </xf>
    <xf numFmtId="176" fontId="34" fillId="0" borderId="0" xfId="3" applyNumberFormat="1" applyFont="1" applyFill="1" applyBorder="1" applyAlignment="1" applyProtection="1">
      <alignment horizontal="left" shrinkToFit="1"/>
      <protection hidden="1"/>
    </xf>
    <xf numFmtId="0" fontId="37" fillId="0" borderId="0" xfId="3" applyFont="1" applyFill="1" applyBorder="1" applyAlignment="1" applyProtection="1">
      <alignment horizontal="center" vertical="center"/>
      <protection hidden="1"/>
    </xf>
    <xf numFmtId="186" fontId="31" fillId="0" borderId="5" xfId="0" applyNumberFormat="1" applyFont="1" applyFill="1" applyBorder="1" applyAlignment="1" applyProtection="1">
      <alignment horizontal="right" vertical="center" shrinkToFit="1"/>
      <protection hidden="1"/>
    </xf>
    <xf numFmtId="186" fontId="31" fillId="0" borderId="0" xfId="0" applyNumberFormat="1" applyFont="1" applyFill="1" applyBorder="1" applyAlignment="1" applyProtection="1">
      <alignment horizontal="right" vertical="center" shrinkToFit="1"/>
      <protection hidden="1"/>
    </xf>
    <xf numFmtId="186" fontId="31" fillId="0" borderId="28" xfId="0" applyNumberFormat="1" applyFont="1" applyFill="1" applyBorder="1" applyAlignment="1" applyProtection="1">
      <alignment horizontal="right" vertical="center" shrinkToFit="1"/>
      <protection hidden="1"/>
    </xf>
    <xf numFmtId="186" fontId="31" fillId="0" borderId="2" xfId="0" applyNumberFormat="1" applyFont="1" applyFill="1" applyBorder="1" applyAlignment="1" applyProtection="1">
      <alignment horizontal="right" vertical="center" shrinkToFit="1"/>
      <protection hidden="1"/>
    </xf>
    <xf numFmtId="186" fontId="31" fillId="0" borderId="3" xfId="0" applyNumberFormat="1" applyFont="1" applyFill="1" applyBorder="1" applyAlignment="1" applyProtection="1">
      <alignment horizontal="right" vertical="center" shrinkToFit="1"/>
      <protection hidden="1"/>
    </xf>
    <xf numFmtId="186" fontId="31" fillId="0" borderId="1" xfId="0" applyNumberFormat="1" applyFont="1" applyFill="1" applyBorder="1" applyAlignment="1" applyProtection="1">
      <alignment horizontal="right" vertical="center" shrinkToFit="1"/>
      <protection hidden="1"/>
    </xf>
    <xf numFmtId="0" fontId="11" fillId="0" borderId="0" xfId="1" applyFill="1" applyAlignment="1" applyProtection="1">
      <alignment horizontal="center" vertical="center"/>
      <protection hidden="1"/>
    </xf>
    <xf numFmtId="0" fontId="37" fillId="0" borderId="0" xfId="3" applyFont="1" applyFill="1" applyBorder="1" applyAlignment="1" applyProtection="1">
      <alignment horizontal="center"/>
      <protection hidden="1"/>
    </xf>
    <xf numFmtId="0" fontId="35" fillId="0" borderId="3" xfId="0" applyFont="1" applyFill="1" applyBorder="1" applyAlignment="1" applyProtection="1">
      <alignment horizontal="left" vertical="top" wrapText="1" shrinkToFit="1"/>
      <protection hidden="1"/>
    </xf>
    <xf numFmtId="0" fontId="35" fillId="0" borderId="1" xfId="0" applyFont="1" applyFill="1" applyBorder="1" applyAlignment="1" applyProtection="1">
      <alignment horizontal="left" vertical="top" wrapText="1" shrinkToFit="1"/>
      <protection hidden="1"/>
    </xf>
    <xf numFmtId="0" fontId="35" fillId="0" borderId="6" xfId="0" applyFont="1" applyFill="1" applyBorder="1" applyAlignment="1" applyProtection="1">
      <alignment horizontal="left" vertical="top" wrapText="1" shrinkToFit="1"/>
      <protection hidden="1"/>
    </xf>
    <xf numFmtId="0" fontId="0" fillId="0" borderId="5" xfId="0" applyBorder="1" applyAlignment="1" applyProtection="1">
      <alignment horizontal="left" vertical="top" wrapText="1" shrinkToFit="1"/>
      <protection hidden="1"/>
    </xf>
    <xf numFmtId="0" fontId="0" fillId="0" borderId="0" xfId="0" applyAlignment="1" applyProtection="1">
      <alignment horizontal="left" vertical="top" wrapText="1" shrinkToFit="1"/>
      <protection hidden="1"/>
    </xf>
    <xf numFmtId="0" fontId="0" fillId="0" borderId="10" xfId="0" applyBorder="1" applyAlignment="1" applyProtection="1">
      <alignment horizontal="left" vertical="top" wrapText="1" shrinkToFit="1"/>
      <protection hidden="1"/>
    </xf>
    <xf numFmtId="0" fontId="0" fillId="0" borderId="28" xfId="0" applyBorder="1" applyAlignment="1" applyProtection="1">
      <alignment horizontal="left" vertical="top" wrapText="1" shrinkToFit="1"/>
      <protection hidden="1"/>
    </xf>
    <xf numFmtId="0" fontId="0" fillId="0" borderId="2" xfId="0" applyBorder="1" applyAlignment="1" applyProtection="1">
      <alignment horizontal="left" vertical="top" wrapText="1" shrinkToFit="1"/>
      <protection hidden="1"/>
    </xf>
    <xf numFmtId="0" fontId="0" fillId="0" borderId="11" xfId="0" applyBorder="1" applyAlignment="1" applyProtection="1">
      <alignment horizontal="left" vertical="top" wrapText="1" shrinkToFit="1"/>
      <protection hidden="1"/>
    </xf>
    <xf numFmtId="0" fontId="35" fillId="0" borderId="20" xfId="0" applyFont="1" applyFill="1" applyBorder="1" applyAlignment="1" applyProtection="1">
      <alignment horizontal="center" vertical="center" shrinkToFit="1"/>
      <protection hidden="1"/>
    </xf>
    <xf numFmtId="0" fontId="0" fillId="0" borderId="5" xfId="0" applyBorder="1" applyAlignment="1" applyProtection="1">
      <alignment vertical="top" wrapText="1" shrinkToFit="1"/>
      <protection hidden="1"/>
    </xf>
    <xf numFmtId="0" fontId="0" fillId="0" borderId="0" xfId="0" applyAlignment="1" applyProtection="1">
      <alignment vertical="top" wrapText="1" shrinkToFit="1"/>
      <protection hidden="1"/>
    </xf>
    <xf numFmtId="0" fontId="0" fillId="0" borderId="10" xfId="0" applyBorder="1" applyAlignment="1" applyProtection="1">
      <alignment vertical="top" wrapText="1" shrinkToFit="1"/>
      <protection hidden="1"/>
    </xf>
    <xf numFmtId="0" fontId="0" fillId="0" borderId="28" xfId="0" applyBorder="1" applyAlignment="1" applyProtection="1">
      <alignment vertical="top" wrapText="1" shrinkToFit="1"/>
      <protection hidden="1"/>
    </xf>
    <xf numFmtId="0" fontId="0" fillId="0" borderId="2" xfId="0" applyBorder="1" applyAlignment="1" applyProtection="1">
      <alignment vertical="top" wrapText="1" shrinkToFit="1"/>
      <protection hidden="1"/>
    </xf>
    <xf numFmtId="0" fontId="0" fillId="0" borderId="11" xfId="0" applyBorder="1" applyAlignment="1" applyProtection="1">
      <alignment vertical="top" wrapText="1" shrinkToFit="1"/>
      <protection hidden="1"/>
    </xf>
    <xf numFmtId="0" fontId="0" fillId="0" borderId="20" xfId="0" applyFill="1" applyBorder="1" applyAlignment="1" applyProtection="1">
      <alignment horizontal="center" vertical="center" shrinkToFit="1"/>
      <protection hidden="1"/>
    </xf>
    <xf numFmtId="0" fontId="35" fillId="0" borderId="3" xfId="0" applyFont="1" applyFill="1" applyBorder="1" applyAlignment="1" applyProtection="1">
      <alignment vertical="center" shrinkToFit="1"/>
      <protection hidden="1"/>
    </xf>
    <xf numFmtId="0" fontId="0" fillId="0" borderId="1" xfId="0" applyBorder="1" applyAlignment="1" applyProtection="1">
      <alignment vertical="center" shrinkToFit="1"/>
      <protection hidden="1"/>
    </xf>
    <xf numFmtId="0" fontId="0" fillId="0" borderId="6" xfId="0" applyBorder="1" applyAlignment="1" applyProtection="1">
      <alignment vertical="center" shrinkToFit="1"/>
      <protection hidden="1"/>
    </xf>
    <xf numFmtId="0" fontId="35" fillId="0" borderId="3" xfId="0" applyFont="1" applyFill="1" applyBorder="1" applyAlignment="1" applyProtection="1">
      <alignment horizontal="left" vertical="center" shrinkToFit="1"/>
      <protection hidden="1"/>
    </xf>
    <xf numFmtId="0" fontId="35" fillId="0" borderId="5" xfId="0" applyFont="1" applyFill="1" applyBorder="1" applyAlignment="1" applyProtection="1">
      <alignment horizontal="left" vertical="center" shrinkToFit="1"/>
      <protection hidden="1"/>
    </xf>
    <xf numFmtId="0" fontId="0" fillId="0" borderId="0" xfId="0" applyAlignment="1" applyProtection="1">
      <alignment vertical="center" shrinkToFit="1"/>
      <protection hidden="1"/>
    </xf>
    <xf numFmtId="0" fontId="0" fillId="0" borderId="10" xfId="0" applyBorder="1" applyAlignment="1" applyProtection="1">
      <alignment vertical="center" shrinkToFit="1"/>
      <protection hidden="1"/>
    </xf>
    <xf numFmtId="0" fontId="34" fillId="0" borderId="0" xfId="3" applyFont="1" applyFill="1" applyBorder="1" applyAlignment="1" applyProtection="1">
      <alignment horizontal="center" shrinkToFit="1"/>
      <protection hidden="1"/>
    </xf>
    <xf numFmtId="0" fontId="34" fillId="0" borderId="0" xfId="3" applyFont="1" applyFill="1" applyBorder="1" applyAlignment="1" applyProtection="1">
      <alignment horizontal="center"/>
      <protection hidden="1"/>
    </xf>
    <xf numFmtId="181" fontId="34" fillId="0" borderId="0" xfId="3" applyNumberFormat="1" applyFont="1" applyFill="1" applyBorder="1" applyAlignment="1" applyProtection="1">
      <alignment horizontal="left"/>
      <protection hidden="1"/>
    </xf>
    <xf numFmtId="0" fontId="34" fillId="0" borderId="0" xfId="3" applyFont="1" applyFill="1" applyBorder="1" applyAlignment="1" applyProtection="1">
      <alignment vertical="center" shrinkToFit="1"/>
      <protection hidden="1"/>
    </xf>
    <xf numFmtId="181" fontId="34" fillId="0" borderId="0" xfId="3" applyNumberFormat="1" applyFont="1" applyFill="1" applyBorder="1" applyAlignment="1" applyProtection="1">
      <alignment horizontal="center"/>
      <protection hidden="1"/>
    </xf>
    <xf numFmtId="0" fontId="34" fillId="0" borderId="0" xfId="3" applyNumberFormat="1" applyFont="1" applyFill="1" applyBorder="1" applyAlignment="1" applyProtection="1">
      <alignment horizontal="center" shrinkToFit="1"/>
      <protection hidden="1"/>
    </xf>
    <xf numFmtId="181" fontId="35" fillId="0" borderId="0" xfId="0" applyNumberFormat="1" applyFont="1" applyFill="1" applyBorder="1" applyAlignment="1" applyProtection="1">
      <alignment horizontal="center" vertical="center" shrinkToFit="1"/>
      <protection hidden="1"/>
    </xf>
    <xf numFmtId="181" fontId="0" fillId="0" borderId="0" xfId="0" applyNumberFormat="1" applyFill="1" applyBorder="1" applyAlignment="1" applyProtection="1">
      <alignment horizontal="center" vertical="center" shrinkToFit="1"/>
      <protection hidden="1"/>
    </xf>
    <xf numFmtId="0" fontId="35" fillId="0" borderId="0" xfId="0" applyFont="1" applyFill="1" applyBorder="1" applyAlignment="1" applyProtection="1">
      <alignment horizontal="center" vertical="center" shrinkToFit="1"/>
      <protection hidden="1"/>
    </xf>
    <xf numFmtId="0" fontId="34" fillId="0" borderId="0" xfId="3" applyFont="1" applyFill="1" applyBorder="1" applyAlignment="1" applyProtection="1">
      <alignment horizontal="left" vertical="center" shrinkToFit="1"/>
      <protection hidden="1"/>
    </xf>
    <xf numFmtId="0" fontId="0" fillId="0" borderId="0" xfId="0" applyFill="1" applyBorder="1" applyAlignment="1" applyProtection="1">
      <alignment horizontal="left" vertical="center" shrinkToFit="1"/>
      <protection hidden="1"/>
    </xf>
    <xf numFmtId="181" fontId="34" fillId="0" borderId="0" xfId="3" applyNumberFormat="1" applyFont="1" applyFill="1" applyBorder="1" applyAlignment="1" applyProtection="1">
      <alignment horizontal="left" wrapText="1" shrinkToFit="1"/>
      <protection hidden="1"/>
    </xf>
    <xf numFmtId="181" fontId="34" fillId="0" borderId="0" xfId="3" applyNumberFormat="1" applyFont="1" applyFill="1" applyBorder="1" applyAlignment="1" applyProtection="1">
      <alignment horizontal="left" shrinkToFit="1"/>
      <protection hidden="1"/>
    </xf>
    <xf numFmtId="0" fontId="34" fillId="0" borderId="0" xfId="3" applyFont="1" applyFill="1" applyBorder="1" applyAlignment="1" applyProtection="1">
      <alignment horizontal="left"/>
      <protection hidden="1"/>
    </xf>
    <xf numFmtId="0" fontId="11" fillId="0" borderId="0" xfId="1" applyFill="1" applyBorder="1" applyAlignment="1" applyProtection="1">
      <alignment horizontal="left" vertical="center" shrinkToFit="1"/>
      <protection hidden="1"/>
    </xf>
    <xf numFmtId="0" fontId="35" fillId="0" borderId="0" xfId="3" applyFont="1" applyFill="1" applyBorder="1" applyAlignment="1" applyProtection="1">
      <alignment horizontal="center"/>
      <protection hidden="1"/>
    </xf>
    <xf numFmtId="181" fontId="34" fillId="0" borderId="0" xfId="3" applyNumberFormat="1" applyFont="1" applyFill="1" applyBorder="1" applyAlignment="1" applyProtection="1">
      <alignment horizontal="left" vertical="center" shrinkToFit="1"/>
      <protection hidden="1"/>
    </xf>
    <xf numFmtId="0" fontId="36" fillId="0" borderId="0" xfId="3" applyNumberFormat="1" applyFont="1" applyFill="1" applyBorder="1" applyAlignment="1" applyProtection="1">
      <alignment horizontal="left" vertical="center" shrinkToFit="1"/>
      <protection hidden="1"/>
    </xf>
    <xf numFmtId="0" fontId="39" fillId="0" borderId="0" xfId="5" applyFont="1" applyFill="1" applyAlignment="1" applyProtection="1">
      <alignment horizontal="left" vertical="top" wrapText="1"/>
      <protection hidden="1"/>
    </xf>
    <xf numFmtId="49" fontId="39" fillId="0" borderId="0" xfId="5" applyNumberFormat="1" applyFont="1" applyFill="1" applyAlignment="1" applyProtection="1">
      <alignment horizontal="center" vertical="center"/>
      <protection hidden="1"/>
    </xf>
    <xf numFmtId="0" fontId="39" fillId="0" borderId="0" xfId="5" applyFont="1" applyFill="1" applyAlignment="1" applyProtection="1">
      <alignment horizontal="center" vertical="center"/>
      <protection hidden="1"/>
    </xf>
    <xf numFmtId="0" fontId="31" fillId="0" borderId="0" xfId="5" applyFont="1" applyFill="1" applyAlignment="1" applyProtection="1">
      <alignment horizontal="right"/>
      <protection hidden="1"/>
    </xf>
    <xf numFmtId="0" fontId="0" fillId="0" borderId="1" xfId="0" applyBorder="1" applyAlignment="1" applyProtection="1">
      <alignment horizontal="left" vertical="top" wrapText="1" shrinkToFit="1"/>
      <protection hidden="1"/>
    </xf>
    <xf numFmtId="0" fontId="0" fillId="0" borderId="1" xfId="0" applyBorder="1" applyAlignment="1" applyProtection="1">
      <alignment horizontal="left" vertical="top" wrapText="1"/>
      <protection hidden="1"/>
    </xf>
    <xf numFmtId="0" fontId="0" fillId="0" borderId="6" xfId="0" applyBorder="1" applyAlignment="1" applyProtection="1">
      <alignment horizontal="left" vertical="top" wrapText="1"/>
      <protection hidden="1"/>
    </xf>
    <xf numFmtId="0" fontId="35" fillId="0" borderId="5" xfId="0" applyFont="1" applyFill="1" applyBorder="1" applyAlignment="1" applyProtection="1">
      <alignment horizontal="left" vertical="top" wrapText="1" shrinkToFit="1"/>
      <protection hidden="1"/>
    </xf>
    <xf numFmtId="0" fontId="0" fillId="0" borderId="0" xfId="0" applyBorder="1" applyAlignment="1" applyProtection="1">
      <alignment horizontal="left" vertical="top" wrapText="1" shrinkToFit="1"/>
      <protection hidden="1"/>
    </xf>
    <xf numFmtId="0" fontId="0" fillId="0" borderId="0" xfId="0" applyBorder="1" applyAlignment="1" applyProtection="1">
      <alignment horizontal="left" vertical="top" wrapText="1"/>
      <protection hidden="1"/>
    </xf>
    <xf numFmtId="0" fontId="0" fillId="0" borderId="10" xfId="0" applyBorder="1" applyAlignment="1" applyProtection="1">
      <alignment horizontal="left" vertical="top" wrapText="1"/>
      <protection hidden="1"/>
    </xf>
    <xf numFmtId="0" fontId="0" fillId="0" borderId="5" xfId="0" applyBorder="1" applyAlignment="1" applyProtection="1">
      <alignment horizontal="left" vertical="top" wrapText="1"/>
      <protection hidden="1"/>
    </xf>
    <xf numFmtId="0" fontId="0" fillId="0" borderId="0" xfId="0" applyAlignment="1" applyProtection="1">
      <alignment horizontal="left" vertical="top" wrapText="1"/>
      <protection hidden="1"/>
    </xf>
    <xf numFmtId="0" fontId="0" fillId="0" borderId="28" xfId="0" applyBorder="1" applyAlignment="1" applyProtection="1">
      <alignment horizontal="left" vertical="top" wrapText="1"/>
      <protection hidden="1"/>
    </xf>
    <xf numFmtId="0" fontId="0" fillId="0" borderId="2" xfId="0" applyBorder="1" applyAlignment="1" applyProtection="1">
      <alignment horizontal="left" vertical="top" wrapText="1"/>
      <protection hidden="1"/>
    </xf>
    <xf numFmtId="0" fontId="0" fillId="0" borderId="11" xfId="0" applyBorder="1" applyAlignment="1" applyProtection="1">
      <alignment horizontal="left" vertical="top" wrapText="1"/>
      <protection hidden="1"/>
    </xf>
    <xf numFmtId="0" fontId="28" fillId="0" borderId="0" xfId="3" applyNumberFormat="1" applyFont="1" applyFill="1" applyBorder="1" applyAlignment="1" applyProtection="1">
      <alignment horizontal="center"/>
      <protection hidden="1"/>
    </xf>
    <xf numFmtId="49" fontId="34" fillId="0" borderId="0" xfId="3" applyNumberFormat="1" applyFont="1" applyFill="1" applyBorder="1" applyAlignment="1" applyProtection="1">
      <alignment horizontal="center" vertical="center" shrinkToFit="1"/>
      <protection hidden="1"/>
    </xf>
    <xf numFmtId="0" fontId="34" fillId="0" borderId="0" xfId="3" applyFont="1" applyFill="1" applyBorder="1" applyAlignment="1" applyProtection="1">
      <alignment vertical="center"/>
      <protection hidden="1"/>
    </xf>
    <xf numFmtId="0" fontId="34" fillId="0" borderId="0" xfId="3" applyFont="1" applyFill="1" applyBorder="1" applyAlignment="1" applyProtection="1">
      <protection hidden="1"/>
    </xf>
    <xf numFmtId="176" fontId="34" fillId="0" borderId="0" xfId="3" applyNumberFormat="1" applyFont="1" applyFill="1" applyBorder="1" applyAlignment="1" applyProtection="1">
      <alignment horizontal="left" vertical="center" shrinkToFit="1"/>
      <protection hidden="1"/>
    </xf>
    <xf numFmtId="0" fontId="34" fillId="0" borderId="0" xfId="3" applyFont="1" applyFill="1" applyBorder="1" applyAlignment="1" applyProtection="1">
      <alignment horizontal="center" vertical="center" shrinkToFit="1"/>
      <protection hidden="1"/>
    </xf>
    <xf numFmtId="0" fontId="34" fillId="0" borderId="0" xfId="3" applyNumberFormat="1" applyFont="1" applyFill="1" applyBorder="1" applyAlignment="1" applyProtection="1">
      <alignment horizontal="center" vertical="center" shrinkToFit="1"/>
      <protection hidden="1"/>
    </xf>
    <xf numFmtId="181" fontId="34" fillId="0" borderId="0" xfId="3" applyNumberFormat="1" applyFont="1" applyFill="1" applyBorder="1" applyAlignment="1" applyProtection="1">
      <alignment horizontal="center" vertical="center" shrinkToFit="1"/>
      <protection hidden="1"/>
    </xf>
    <xf numFmtId="181" fontId="0" fillId="0" borderId="0" xfId="0" applyNumberFormat="1" applyAlignment="1" applyProtection="1">
      <alignment vertical="center"/>
      <protection hidden="1"/>
    </xf>
    <xf numFmtId="0" fontId="0" fillId="0" borderId="0" xfId="0" applyAlignment="1" applyProtection="1">
      <alignment vertical="center"/>
      <protection hidden="1"/>
    </xf>
    <xf numFmtId="0" fontId="7" fillId="0" borderId="3" xfId="5" applyFont="1" applyFill="1" applyBorder="1" applyAlignment="1" applyProtection="1">
      <alignment horizontal="center" shrinkToFit="1"/>
      <protection hidden="1"/>
    </xf>
    <xf numFmtId="0" fontId="7" fillId="0" borderId="1" xfId="5" applyFont="1" applyFill="1" applyBorder="1" applyAlignment="1" applyProtection="1">
      <alignment horizontal="center" shrinkToFit="1"/>
      <protection hidden="1"/>
    </xf>
    <xf numFmtId="0" fontId="7" fillId="0" borderId="6" xfId="5" applyFont="1" applyFill="1" applyBorder="1" applyAlignment="1" applyProtection="1">
      <alignment horizontal="center" shrinkToFit="1"/>
      <protection hidden="1"/>
    </xf>
    <xf numFmtId="0" fontId="7" fillId="0" borderId="3" xfId="3" applyFont="1" applyFill="1" applyBorder="1" applyAlignment="1" applyProtection="1">
      <alignment horizontal="center"/>
      <protection hidden="1"/>
    </xf>
    <xf numFmtId="0" fontId="7" fillId="0" borderId="1" xfId="3" applyFont="1" applyFill="1" applyBorder="1" applyAlignment="1" applyProtection="1">
      <alignment horizontal="center"/>
      <protection hidden="1"/>
    </xf>
    <xf numFmtId="0" fontId="7" fillId="0" borderId="6" xfId="3" applyFont="1" applyFill="1" applyBorder="1" applyAlignment="1" applyProtection="1">
      <alignment horizontal="center"/>
      <protection hidden="1"/>
    </xf>
    <xf numFmtId="0" fontId="7" fillId="0" borderId="28" xfId="5" applyFont="1" applyFill="1" applyBorder="1" applyAlignment="1" applyProtection="1">
      <alignment horizontal="center" vertical="top" shrinkToFit="1"/>
      <protection hidden="1"/>
    </xf>
    <xf numFmtId="0" fontId="7" fillId="0" borderId="2" xfId="5" applyFont="1" applyFill="1" applyBorder="1" applyAlignment="1" applyProtection="1">
      <alignment horizontal="center" vertical="top" shrinkToFit="1"/>
      <protection hidden="1"/>
    </xf>
    <xf numFmtId="0" fontId="7" fillId="0" borderId="11" xfId="5" applyFont="1" applyFill="1" applyBorder="1" applyAlignment="1" applyProtection="1">
      <alignment horizontal="center" vertical="top" shrinkToFit="1"/>
      <protection hidden="1"/>
    </xf>
    <xf numFmtId="0" fontId="7" fillId="0" borderId="28" xfId="3" applyFont="1" applyFill="1" applyBorder="1" applyAlignment="1" applyProtection="1">
      <alignment horizontal="center" vertical="top"/>
      <protection hidden="1"/>
    </xf>
    <xf numFmtId="0" fontId="7" fillId="0" borderId="2" xfId="3" applyFont="1" applyFill="1" applyBorder="1" applyAlignment="1" applyProtection="1">
      <alignment horizontal="center" vertical="top"/>
      <protection hidden="1"/>
    </xf>
    <xf numFmtId="0" fontId="7" fillId="0" borderId="11" xfId="3" applyFont="1" applyFill="1" applyBorder="1" applyAlignment="1" applyProtection="1">
      <alignment horizontal="center" vertical="top"/>
      <protection hidden="1"/>
    </xf>
    <xf numFmtId="0" fontId="34" fillId="0" borderId="0" xfId="3" applyFont="1" applyFill="1" applyBorder="1" applyAlignment="1" applyProtection="1">
      <alignment horizontal="left" vertical="top" wrapText="1" shrinkToFit="1"/>
      <protection hidden="1"/>
    </xf>
    <xf numFmtId="0" fontId="7" fillId="0" borderId="0" xfId="0" applyFont="1" applyFill="1" applyAlignment="1" applyProtection="1">
      <alignment horizontal="left" vertical="top" wrapText="1" shrinkToFit="1"/>
      <protection hidden="1"/>
    </xf>
    <xf numFmtId="179" fontId="8" fillId="0" borderId="7" xfId="3" applyNumberFormat="1" applyFont="1" applyFill="1" applyBorder="1" applyAlignment="1" applyProtection="1">
      <alignment horizontal="center" vertical="center" shrinkToFit="1"/>
      <protection hidden="1"/>
    </xf>
    <xf numFmtId="179" fontId="8" fillId="0" borderId="8" xfId="3" applyNumberFormat="1" applyFont="1" applyFill="1" applyBorder="1" applyAlignment="1" applyProtection="1">
      <alignment horizontal="center" vertical="center" shrinkToFit="1"/>
      <protection hidden="1"/>
    </xf>
    <xf numFmtId="179" fontId="8" fillId="0" borderId="9" xfId="3" applyNumberFormat="1" applyFont="1" applyFill="1" applyBorder="1" applyAlignment="1" applyProtection="1">
      <alignment horizontal="center" vertical="center" shrinkToFit="1"/>
      <protection hidden="1"/>
    </xf>
    <xf numFmtId="0" fontId="8" fillId="0" borderId="7" xfId="3" applyFont="1" applyFill="1" applyBorder="1" applyAlignment="1" applyProtection="1">
      <alignment horizontal="center" vertical="center" wrapText="1" shrinkToFit="1"/>
      <protection hidden="1"/>
    </xf>
    <xf numFmtId="0" fontId="8" fillId="0" borderId="8" xfId="3" applyFont="1" applyFill="1" applyBorder="1" applyAlignment="1" applyProtection="1">
      <alignment horizontal="center" vertical="center" wrapText="1" shrinkToFit="1"/>
      <protection hidden="1"/>
    </xf>
    <xf numFmtId="0" fontId="8" fillId="0" borderId="9" xfId="3" applyFont="1" applyFill="1" applyBorder="1" applyAlignment="1" applyProtection="1">
      <alignment horizontal="center" vertical="center" wrapText="1" shrinkToFit="1"/>
      <protection hidden="1"/>
    </xf>
    <xf numFmtId="179" fontId="8" fillId="0" borderId="7" xfId="3" applyNumberFormat="1" applyFont="1" applyFill="1" applyBorder="1" applyAlignment="1" applyProtection="1">
      <alignment horizontal="center" vertical="center" wrapText="1"/>
      <protection hidden="1"/>
    </xf>
    <xf numFmtId="179" fontId="8" fillId="0" borderId="8" xfId="3" applyNumberFormat="1" applyFont="1" applyFill="1" applyBorder="1" applyAlignment="1" applyProtection="1">
      <alignment horizontal="center" vertical="center" wrapText="1"/>
      <protection hidden="1"/>
    </xf>
    <xf numFmtId="179" fontId="8" fillId="0" borderId="9" xfId="3" applyNumberFormat="1" applyFont="1" applyFill="1" applyBorder="1" applyAlignment="1" applyProtection="1">
      <alignment horizontal="center" vertical="center" wrapText="1"/>
      <protection hidden="1"/>
    </xf>
    <xf numFmtId="179" fontId="8" fillId="0" borderId="1" xfId="3" applyNumberFormat="1" applyFont="1" applyFill="1" applyBorder="1" applyAlignment="1" applyProtection="1">
      <alignment horizontal="center" vertical="center" shrinkToFit="1"/>
      <protection hidden="1"/>
    </xf>
    <xf numFmtId="0" fontId="8" fillId="0" borderId="1" xfId="3" applyFont="1" applyFill="1" applyBorder="1" applyAlignment="1" applyProtection="1">
      <alignment horizontal="center" vertical="center" wrapText="1" shrinkToFit="1"/>
      <protection hidden="1"/>
    </xf>
    <xf numFmtId="179" fontId="8" fillId="0" borderId="1" xfId="3" applyNumberFormat="1" applyFont="1" applyFill="1" applyBorder="1" applyAlignment="1" applyProtection="1">
      <alignment horizontal="center" vertical="center" wrapText="1"/>
      <protection hidden="1"/>
    </xf>
    <xf numFmtId="0" fontId="7" fillId="0" borderId="1" xfId="5" applyFont="1" applyFill="1" applyBorder="1" applyAlignment="1" applyProtection="1">
      <alignment horizontal="center" vertical="center"/>
      <protection hidden="1"/>
    </xf>
    <xf numFmtId="179" fontId="34" fillId="0" borderId="0" xfId="3" applyNumberFormat="1" applyFont="1" applyFill="1" applyBorder="1" applyAlignment="1" applyProtection="1">
      <alignment horizontal="center" vertical="center" shrinkToFit="1"/>
      <protection hidden="1"/>
    </xf>
    <xf numFmtId="0" fontId="34" fillId="0" borderId="0" xfId="3" applyFont="1" applyFill="1" applyBorder="1" applyAlignment="1" applyProtection="1">
      <alignment horizontal="center" vertical="center" wrapText="1" shrinkToFit="1"/>
      <protection hidden="1"/>
    </xf>
    <xf numFmtId="179" fontId="34" fillId="0" borderId="0" xfId="3" applyNumberFormat="1" applyFont="1" applyFill="1" applyBorder="1" applyAlignment="1" applyProtection="1">
      <alignment horizontal="center" vertical="center" wrapText="1"/>
      <protection hidden="1"/>
    </xf>
    <xf numFmtId="0" fontId="7" fillId="0" borderId="0" xfId="5" applyFont="1" applyFill="1" applyBorder="1" applyAlignment="1" applyProtection="1">
      <alignment horizontal="center" vertical="center"/>
      <protection hidden="1"/>
    </xf>
    <xf numFmtId="0" fontId="7" fillId="0" borderId="0" xfId="3" applyFont="1" applyFill="1" applyAlignment="1" applyProtection="1">
      <alignment vertical="center"/>
      <protection hidden="1"/>
    </xf>
    <xf numFmtId="0" fontId="7" fillId="0" borderId="0" xfId="5" applyFont="1" applyFill="1" applyAlignment="1" applyProtection="1">
      <alignment vertical="center"/>
      <protection hidden="1"/>
    </xf>
    <xf numFmtId="0" fontId="7" fillId="0" borderId="0" xfId="3" applyFont="1" applyFill="1" applyAlignment="1" applyProtection="1">
      <alignment vertical="center" wrapText="1"/>
      <protection hidden="1"/>
    </xf>
    <xf numFmtId="0" fontId="7" fillId="0" borderId="0" xfId="3" applyFont="1" applyFill="1" applyAlignment="1" applyProtection="1">
      <protection hidden="1"/>
    </xf>
    <xf numFmtId="0" fontId="31" fillId="0" borderId="4" xfId="0" applyFont="1" applyFill="1" applyBorder="1" applyAlignment="1" applyProtection="1">
      <alignment horizontal="center" vertical="center" wrapText="1"/>
      <protection hidden="1"/>
    </xf>
    <xf numFmtId="0" fontId="31" fillId="0" borderId="4" xfId="0" applyFont="1" applyFill="1" applyBorder="1" applyAlignment="1" applyProtection="1">
      <alignment horizontal="center" vertical="center"/>
      <protection hidden="1"/>
    </xf>
    <xf numFmtId="186" fontId="31" fillId="0" borderId="90" xfId="0" applyNumberFormat="1" applyFont="1" applyFill="1" applyBorder="1" applyAlignment="1" applyProtection="1">
      <alignment horizontal="right" vertical="center" shrinkToFit="1"/>
      <protection hidden="1"/>
    </xf>
    <xf numFmtId="186" fontId="31" fillId="0" borderId="94" xfId="0" applyNumberFormat="1" applyFont="1" applyFill="1" applyBorder="1" applyAlignment="1" applyProtection="1">
      <alignment horizontal="right" vertical="center" shrinkToFit="1"/>
      <protection hidden="1"/>
    </xf>
    <xf numFmtId="0" fontId="42" fillId="0" borderId="4" xfId="0" applyFont="1" applyFill="1" applyBorder="1" applyAlignment="1" applyProtection="1">
      <alignment horizontal="center" vertical="center" wrapText="1"/>
      <protection hidden="1"/>
    </xf>
    <xf numFmtId="0" fontId="42" fillId="0" borderId="4" xfId="0" applyFont="1" applyFill="1" applyBorder="1" applyAlignment="1" applyProtection="1">
      <alignment horizontal="center" vertical="center" wrapText="1" shrinkToFit="1"/>
      <protection hidden="1"/>
    </xf>
    <xf numFmtId="0" fontId="31" fillId="0" borderId="102" xfId="0" applyFont="1" applyFill="1" applyBorder="1" applyAlignment="1" applyProtection="1">
      <alignment horizontal="right" vertical="center"/>
      <protection hidden="1"/>
    </xf>
    <xf numFmtId="0" fontId="0" fillId="0" borderId="103" xfId="0" applyFill="1" applyBorder="1" applyAlignment="1" applyProtection="1">
      <alignment horizontal="right" vertical="center"/>
      <protection hidden="1"/>
    </xf>
    <xf numFmtId="0" fontId="31" fillId="0" borderId="5" xfId="0" applyFont="1" applyFill="1" applyBorder="1" applyAlignment="1" applyProtection="1">
      <alignment horizontal="right" vertical="center"/>
      <protection hidden="1"/>
    </xf>
    <xf numFmtId="0" fontId="0" fillId="0" borderId="0" xfId="0" applyFill="1" applyBorder="1" applyAlignment="1" applyProtection="1">
      <alignment horizontal="right" vertical="center"/>
      <protection hidden="1"/>
    </xf>
    <xf numFmtId="0" fontId="31" fillId="0" borderId="28" xfId="0" applyFont="1" applyFill="1" applyBorder="1" applyAlignment="1" applyProtection="1">
      <alignment horizontal="right" vertical="center"/>
      <protection hidden="1"/>
    </xf>
    <xf numFmtId="0" fontId="0" fillId="0" borderId="2" xfId="0" applyFill="1" applyBorder="1" applyAlignment="1" applyProtection="1">
      <alignment horizontal="right" vertical="center"/>
      <protection hidden="1"/>
    </xf>
    <xf numFmtId="0" fontId="31" fillId="0" borderId="3" xfId="0" applyFont="1" applyFill="1" applyBorder="1" applyAlignment="1" applyProtection="1">
      <alignment horizontal="right" vertical="center"/>
      <protection hidden="1"/>
    </xf>
    <xf numFmtId="0" fontId="0" fillId="0" borderId="1" xfId="0" applyFill="1" applyBorder="1" applyAlignment="1" applyProtection="1">
      <alignment horizontal="right" vertical="center"/>
      <protection hidden="1"/>
    </xf>
    <xf numFmtId="0" fontId="31" fillId="0" borderId="2" xfId="0" applyFont="1" applyFill="1" applyBorder="1" applyAlignment="1" applyProtection="1">
      <alignment horizontal="right" vertical="center"/>
      <protection hidden="1"/>
    </xf>
    <xf numFmtId="0" fontId="0" fillId="0" borderId="2" xfId="0" applyBorder="1" applyAlignment="1" applyProtection="1">
      <alignment horizontal="right" vertical="center"/>
      <protection hidden="1"/>
    </xf>
    <xf numFmtId="0" fontId="31" fillId="0" borderId="0" xfId="0" applyFont="1" applyFill="1" applyBorder="1" applyAlignment="1" applyProtection="1">
      <alignment horizontal="right" vertical="center"/>
      <protection hidden="1"/>
    </xf>
    <xf numFmtId="0" fontId="0" fillId="0" borderId="0" xfId="0" applyAlignment="1" applyProtection="1">
      <alignment horizontal="right" vertical="center"/>
      <protection hidden="1"/>
    </xf>
    <xf numFmtId="0" fontId="31" fillId="0" borderId="1" xfId="0" applyFont="1" applyFill="1" applyBorder="1" applyAlignment="1" applyProtection="1">
      <alignment horizontal="right" vertical="center"/>
      <protection hidden="1"/>
    </xf>
    <xf numFmtId="0" fontId="0" fillId="0" borderId="1" xfId="0" applyBorder="1" applyAlignment="1" applyProtection="1">
      <alignment horizontal="right" vertical="center"/>
      <protection hidden="1"/>
    </xf>
    <xf numFmtId="0" fontId="34" fillId="0" borderId="0" xfId="3" applyFont="1" applyFill="1" applyBorder="1" applyAlignment="1" applyProtection="1">
      <alignment vertical="center" wrapText="1"/>
      <protection hidden="1"/>
    </xf>
    <xf numFmtId="0" fontId="31" fillId="0" borderId="90" xfId="0" applyFont="1" applyFill="1" applyBorder="1" applyAlignment="1" applyProtection="1">
      <alignment horizontal="center" vertical="center"/>
      <protection hidden="1"/>
    </xf>
    <xf numFmtId="0" fontId="0" fillId="0" borderId="94" xfId="0" applyBorder="1" applyAlignment="1" applyProtection="1">
      <alignment horizontal="center" vertical="center"/>
      <protection hidden="1"/>
    </xf>
    <xf numFmtId="0" fontId="0" fillId="0" borderId="91" xfId="0" applyBorder="1" applyAlignment="1" applyProtection="1">
      <alignment horizontal="center" vertical="center"/>
      <protection hidden="1"/>
    </xf>
    <xf numFmtId="0" fontId="47" fillId="0" borderId="0" xfId="1" applyFont="1" applyFill="1" applyAlignment="1" applyProtection="1">
      <alignment horizontal="center" vertical="center" shrinkToFit="1"/>
      <protection hidden="1"/>
    </xf>
    <xf numFmtId="0" fontId="47" fillId="0" borderId="0" xfId="1" applyFont="1" applyAlignment="1" applyProtection="1">
      <alignment vertical="center" shrinkToFit="1"/>
      <protection hidden="1"/>
    </xf>
    <xf numFmtId="0" fontId="7" fillId="0" borderId="1" xfId="0" applyFont="1" applyBorder="1" applyAlignment="1" applyProtection="1">
      <alignment vertical="center" shrinkToFit="1"/>
      <protection hidden="1"/>
    </xf>
    <xf numFmtId="0" fontId="7" fillId="0" borderId="6" xfId="0" applyFont="1" applyBorder="1" applyAlignment="1" applyProtection="1">
      <alignment vertical="center" shrinkToFit="1"/>
      <protection hidden="1"/>
    </xf>
    <xf numFmtId="0" fontId="35" fillId="0" borderId="3" xfId="0" applyFont="1" applyFill="1" applyBorder="1" applyAlignment="1" applyProtection="1">
      <alignment vertical="top" wrapText="1" shrinkToFit="1"/>
      <protection hidden="1"/>
    </xf>
    <xf numFmtId="0" fontId="7" fillId="0" borderId="1" xfId="0" applyFont="1" applyBorder="1" applyAlignment="1" applyProtection="1">
      <alignment vertical="top" wrapText="1" shrinkToFit="1"/>
      <protection hidden="1"/>
    </xf>
    <xf numFmtId="0" fontId="7" fillId="0" borderId="1" xfId="0" applyFont="1" applyBorder="1" applyAlignment="1" applyProtection="1">
      <alignment vertical="top" wrapText="1"/>
      <protection hidden="1"/>
    </xf>
    <xf numFmtId="0" fontId="7" fillId="0" borderId="6" xfId="0" applyFont="1" applyBorder="1" applyAlignment="1" applyProtection="1">
      <alignment vertical="top" wrapText="1"/>
      <protection hidden="1"/>
    </xf>
    <xf numFmtId="0" fontId="35" fillId="0" borderId="5" xfId="0" applyFont="1" applyFill="1" applyBorder="1" applyAlignment="1" applyProtection="1">
      <alignment vertical="top" wrapText="1" shrinkToFit="1"/>
      <protection hidden="1"/>
    </xf>
    <xf numFmtId="0" fontId="7" fillId="0" borderId="0" xfId="0" applyFont="1" applyBorder="1" applyAlignment="1" applyProtection="1">
      <alignment vertical="top" wrapText="1" shrinkToFit="1"/>
      <protection hidden="1"/>
    </xf>
    <xf numFmtId="0" fontId="7" fillId="0" borderId="0" xfId="0" applyFont="1" applyBorder="1" applyAlignment="1" applyProtection="1">
      <alignment vertical="top" wrapText="1"/>
      <protection hidden="1"/>
    </xf>
    <xf numFmtId="0" fontId="7" fillId="0" borderId="10" xfId="0" applyFont="1" applyBorder="1" applyAlignment="1" applyProtection="1">
      <alignment vertical="top" wrapText="1"/>
      <protection hidden="1"/>
    </xf>
    <xf numFmtId="0" fontId="7" fillId="0" borderId="5" xfId="0" applyFont="1" applyBorder="1" applyAlignment="1" applyProtection="1">
      <alignment vertical="top" wrapText="1"/>
      <protection hidden="1"/>
    </xf>
    <xf numFmtId="0" fontId="7" fillId="0" borderId="0" xfId="0" applyFont="1" applyAlignment="1" applyProtection="1">
      <alignment vertical="top" wrapText="1"/>
      <protection hidden="1"/>
    </xf>
    <xf numFmtId="0" fontId="7" fillId="0" borderId="28" xfId="0" applyFont="1" applyBorder="1" applyAlignment="1" applyProtection="1">
      <alignment vertical="top" wrapText="1"/>
      <protection hidden="1"/>
    </xf>
    <xf numFmtId="0" fontId="7" fillId="0" borderId="2" xfId="0" applyFont="1" applyBorder="1" applyAlignment="1" applyProtection="1">
      <alignment vertical="top" wrapText="1"/>
      <protection hidden="1"/>
    </xf>
    <xf numFmtId="0" fontId="7" fillId="0" borderId="11" xfId="0" applyFont="1" applyBorder="1" applyAlignment="1" applyProtection="1">
      <alignment vertical="top" wrapText="1"/>
      <protection hidden="1"/>
    </xf>
    <xf numFmtId="0" fontId="35" fillId="0" borderId="3" xfId="0" applyFont="1" applyFill="1" applyBorder="1" applyAlignment="1" applyProtection="1">
      <alignment vertical="top"/>
      <protection hidden="1"/>
    </xf>
    <xf numFmtId="0" fontId="7" fillId="0" borderId="1" xfId="0" applyFont="1" applyBorder="1" applyAlignment="1" applyProtection="1">
      <alignment vertical="top"/>
      <protection hidden="1"/>
    </xf>
    <xf numFmtId="0" fontId="7" fillId="0" borderId="6" xfId="0" applyFont="1" applyBorder="1" applyAlignment="1" applyProtection="1">
      <alignment vertical="top"/>
      <protection hidden="1"/>
    </xf>
    <xf numFmtId="0" fontId="7" fillId="0" borderId="5" xfId="0" applyFont="1" applyBorder="1" applyAlignment="1" applyProtection="1">
      <alignment vertical="top"/>
      <protection hidden="1"/>
    </xf>
    <xf numFmtId="0" fontId="7" fillId="0" borderId="0" xfId="0" applyFont="1" applyAlignment="1" applyProtection="1">
      <alignment vertical="top"/>
      <protection hidden="1"/>
    </xf>
    <xf numFmtId="0" fontId="7" fillId="0" borderId="10" xfId="0" applyFont="1" applyBorder="1" applyAlignment="1" applyProtection="1">
      <alignment vertical="top"/>
      <protection hidden="1"/>
    </xf>
    <xf numFmtId="0" fontId="7" fillId="0" borderId="28" xfId="0" applyFont="1" applyBorder="1" applyAlignment="1" applyProtection="1">
      <alignment vertical="top"/>
      <protection hidden="1"/>
    </xf>
    <xf numFmtId="0" fontId="7" fillId="0" borderId="2" xfId="0" applyFont="1" applyBorder="1" applyAlignment="1" applyProtection="1">
      <alignment vertical="top"/>
      <protection hidden="1"/>
    </xf>
    <xf numFmtId="0" fontId="7" fillId="0" borderId="11" xfId="0" applyFont="1" applyBorder="1" applyAlignment="1" applyProtection="1">
      <alignment vertical="top"/>
      <protection hidden="1"/>
    </xf>
    <xf numFmtId="0" fontId="34" fillId="0" borderId="0" xfId="3" applyNumberFormat="1" applyFont="1" applyFill="1" applyBorder="1" applyAlignment="1" applyProtection="1">
      <alignment horizontal="center"/>
      <protection hidden="1"/>
    </xf>
    <xf numFmtId="181" fontId="34" fillId="0" borderId="0" xfId="3" applyNumberFormat="1" applyFont="1" applyFill="1" applyBorder="1" applyAlignment="1" applyProtection="1">
      <alignment horizontal="center" shrinkToFit="1"/>
      <protection hidden="1"/>
    </xf>
    <xf numFmtId="0" fontId="47" fillId="0" borderId="0" xfId="1" applyFont="1" applyFill="1" applyAlignment="1" applyProtection="1">
      <alignment horizontal="left" vertical="center" shrinkToFit="1"/>
      <protection hidden="1"/>
    </xf>
    <xf numFmtId="0" fontId="47" fillId="0" borderId="0" xfId="1" applyFont="1" applyAlignment="1" applyProtection="1">
      <alignment horizontal="left" vertical="center" shrinkToFit="1"/>
      <protection hidden="1"/>
    </xf>
    <xf numFmtId="0" fontId="7" fillId="0" borderId="0" xfId="5" applyNumberFormat="1" applyFont="1" applyFill="1" applyAlignment="1" applyProtection="1">
      <alignment horizontal="center" vertical="center"/>
      <protection hidden="1"/>
    </xf>
    <xf numFmtId="0" fontId="47" fillId="0" borderId="0" xfId="1" applyFont="1" applyFill="1" applyAlignment="1" applyProtection="1">
      <alignment horizontal="center" vertical="center"/>
      <protection hidden="1"/>
    </xf>
    <xf numFmtId="0" fontId="7" fillId="0" borderId="0" xfId="0" applyFont="1" applyAlignment="1" applyProtection="1">
      <alignment vertical="center"/>
      <protection hidden="1"/>
    </xf>
    <xf numFmtId="0" fontId="47" fillId="0" borderId="0" xfId="1" applyFont="1" applyFill="1" applyAlignment="1" applyProtection="1">
      <alignment horizontal="left" vertical="center"/>
      <protection hidden="1"/>
    </xf>
    <xf numFmtId="0" fontId="47" fillId="0" borderId="0" xfId="1" applyFont="1" applyAlignment="1" applyProtection="1">
      <alignment horizontal="left" vertical="center"/>
      <protection hidden="1"/>
    </xf>
    <xf numFmtId="0" fontId="34" fillId="0" borderId="0" xfId="3" applyNumberFormat="1" applyFont="1" applyFill="1" applyBorder="1" applyAlignment="1" applyProtection="1">
      <alignment horizontal="left" vertical="center" shrinkToFit="1"/>
      <protection hidden="1"/>
    </xf>
    <xf numFmtId="0" fontId="47" fillId="0" borderId="0" xfId="1" applyNumberFormat="1" applyFont="1" applyFill="1" applyBorder="1" applyAlignment="1" applyProtection="1">
      <alignment horizontal="center" vertical="center" shrinkToFit="1"/>
      <protection hidden="1"/>
    </xf>
    <xf numFmtId="49" fontId="36" fillId="0" borderId="0" xfId="3" applyNumberFormat="1" applyFont="1" applyFill="1" applyBorder="1" applyAlignment="1" applyProtection="1">
      <alignment horizontal="center" vertical="center" shrinkToFit="1"/>
      <protection hidden="1"/>
    </xf>
    <xf numFmtId="181" fontId="37" fillId="0" borderId="0" xfId="3" applyNumberFormat="1" applyFont="1" applyFill="1" applyBorder="1" applyAlignment="1" applyProtection="1">
      <alignment horizontal="center" vertical="center"/>
      <protection hidden="1"/>
    </xf>
    <xf numFmtId="181" fontId="34" fillId="0" borderId="0" xfId="3" applyNumberFormat="1" applyFont="1" applyFill="1" applyBorder="1" applyAlignment="1" applyProtection="1">
      <alignment horizontal="center" vertical="center"/>
      <protection hidden="1"/>
    </xf>
    <xf numFmtId="181" fontId="34" fillId="0" borderId="0" xfId="3" applyNumberFormat="1" applyFont="1" applyFill="1" applyBorder="1" applyAlignment="1" applyProtection="1">
      <alignment horizontal="left" vertical="center"/>
      <protection hidden="1"/>
    </xf>
    <xf numFmtId="181" fontId="7" fillId="0" borderId="0" xfId="0" applyNumberFormat="1" applyFont="1" applyAlignment="1" applyProtection="1">
      <alignment vertical="center"/>
      <protection hidden="1"/>
    </xf>
    <xf numFmtId="181" fontId="7" fillId="0" borderId="0" xfId="0" applyNumberFormat="1"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7" fillId="0" borderId="103" xfId="0" applyFont="1" applyFill="1" applyBorder="1" applyAlignment="1" applyProtection="1">
      <alignment horizontal="right" vertical="center"/>
      <protection hidden="1"/>
    </xf>
    <xf numFmtId="49" fontId="31" fillId="0" borderId="90" xfId="0" applyNumberFormat="1" applyFont="1" applyFill="1" applyBorder="1" applyAlignment="1" applyProtection="1">
      <alignment horizontal="center" vertical="center"/>
      <protection hidden="1"/>
    </xf>
    <xf numFmtId="0" fontId="7" fillId="0" borderId="94" xfId="0" applyFont="1" applyBorder="1" applyAlignment="1" applyProtection="1">
      <alignment horizontal="center" vertical="center"/>
      <protection hidden="1"/>
    </xf>
    <xf numFmtId="0" fontId="7" fillId="0" borderId="91" xfId="0" applyFont="1" applyBorder="1" applyAlignment="1" applyProtection="1">
      <alignment horizontal="center" vertical="center"/>
      <protection hidden="1"/>
    </xf>
    <xf numFmtId="0" fontId="7" fillId="0" borderId="0" xfId="0" applyFont="1" applyFill="1" applyBorder="1" applyAlignment="1" applyProtection="1">
      <alignment horizontal="right" vertical="center"/>
      <protection hidden="1"/>
    </xf>
    <xf numFmtId="0" fontId="7" fillId="0" borderId="2" xfId="0" applyFont="1" applyFill="1" applyBorder="1" applyAlignment="1" applyProtection="1">
      <alignment horizontal="right" vertical="center"/>
      <protection hidden="1"/>
    </xf>
    <xf numFmtId="0" fontId="7" fillId="0" borderId="1" xfId="0" applyFont="1" applyBorder="1" applyAlignment="1" applyProtection="1">
      <alignment horizontal="right" vertical="center"/>
      <protection hidden="1"/>
    </xf>
    <xf numFmtId="0" fontId="7" fillId="0" borderId="0" xfId="0" applyFont="1" applyAlignment="1" applyProtection="1">
      <alignment horizontal="right" vertical="center"/>
      <protection hidden="1"/>
    </xf>
    <xf numFmtId="0" fontId="7" fillId="0" borderId="2" xfId="0" applyFont="1" applyBorder="1" applyAlignment="1" applyProtection="1">
      <alignment horizontal="right" vertical="center"/>
      <protection hidden="1"/>
    </xf>
    <xf numFmtId="0" fontId="7" fillId="0" borderId="1" xfId="0" applyFont="1" applyFill="1" applyBorder="1" applyAlignment="1" applyProtection="1">
      <alignment horizontal="right" vertical="center"/>
      <protection hidden="1"/>
    </xf>
    <xf numFmtId="181" fontId="43" fillId="0" borderId="4" xfId="0" applyNumberFormat="1" applyFont="1" applyBorder="1" applyAlignment="1" applyProtection="1">
      <alignment horizontal="left" vertical="top" wrapText="1"/>
      <protection hidden="1"/>
    </xf>
    <xf numFmtId="181" fontId="43" fillId="0" borderId="7" xfId="0" applyNumberFormat="1" applyFont="1" applyBorder="1" applyAlignment="1" applyProtection="1">
      <alignment horizontal="left" vertical="top" wrapText="1"/>
      <protection hidden="1"/>
    </xf>
    <xf numFmtId="181" fontId="43" fillId="0" borderId="8" xfId="0" applyNumberFormat="1" applyFont="1" applyBorder="1" applyAlignment="1" applyProtection="1">
      <alignment horizontal="left" vertical="top" wrapText="1"/>
      <protection hidden="1"/>
    </xf>
    <xf numFmtId="181" fontId="43" fillId="0" borderId="9" xfId="0" applyNumberFormat="1" applyFont="1" applyBorder="1" applyAlignment="1" applyProtection="1">
      <alignment horizontal="left" vertical="top" wrapText="1"/>
      <protection hidden="1"/>
    </xf>
    <xf numFmtId="181" fontId="43" fillId="0" borderId="81" xfId="0" applyNumberFormat="1" applyFont="1" applyBorder="1" applyAlignment="1" applyProtection="1">
      <alignment horizontal="center" vertical="center"/>
      <protection hidden="1"/>
    </xf>
    <xf numFmtId="181" fontId="43" fillId="0" borderId="8" xfId="0" applyNumberFormat="1" applyFont="1" applyBorder="1" applyAlignment="1" applyProtection="1">
      <alignment horizontal="center" vertical="center"/>
      <protection hidden="1"/>
    </xf>
    <xf numFmtId="181" fontId="43" fillId="0" borderId="9" xfId="0" applyNumberFormat="1" applyFont="1" applyBorder="1" applyAlignment="1" applyProtection="1">
      <alignment horizontal="center" vertical="center"/>
      <protection hidden="1"/>
    </xf>
    <xf numFmtId="0" fontId="8" fillId="0" borderId="20" xfId="0" applyFont="1" applyFill="1" applyBorder="1" applyAlignment="1" applyProtection="1">
      <alignment horizontal="center" vertical="top" wrapText="1"/>
      <protection hidden="1"/>
    </xf>
    <xf numFmtId="0" fontId="43" fillId="0" borderId="0" xfId="0" applyFont="1" applyFill="1" applyBorder="1" applyAlignment="1" applyProtection="1">
      <alignment vertical="center"/>
      <protection hidden="1"/>
    </xf>
    <xf numFmtId="0" fontId="7" fillId="0" borderId="0" xfId="0" applyFont="1" applyFill="1" applyAlignment="1" applyProtection="1">
      <alignment vertical="center"/>
      <protection hidden="1"/>
    </xf>
    <xf numFmtId="0" fontId="43" fillId="0" borderId="81" xfId="0" quotePrefix="1" applyFont="1" applyBorder="1" applyAlignment="1" applyProtection="1">
      <alignment horizontal="center" vertical="top" shrinkToFit="1"/>
      <protection hidden="1"/>
    </xf>
    <xf numFmtId="0" fontId="43" fillId="0" borderId="8" xfId="0" quotePrefix="1" applyFont="1" applyBorder="1" applyAlignment="1" applyProtection="1">
      <alignment horizontal="center" vertical="top" shrinkToFit="1"/>
      <protection hidden="1"/>
    </xf>
    <xf numFmtId="0" fontId="7" fillId="0" borderId="8" xfId="0" applyFont="1" applyBorder="1" applyAlignment="1" applyProtection="1">
      <alignment horizontal="center" vertical="top" shrinkToFit="1"/>
      <protection hidden="1"/>
    </xf>
    <xf numFmtId="0" fontId="43" fillId="0" borderId="81" xfId="0" applyFont="1" applyBorder="1" applyAlignment="1" applyProtection="1">
      <alignment horizontal="center" vertical="center"/>
      <protection hidden="1"/>
    </xf>
    <xf numFmtId="0" fontId="7" fillId="0" borderId="8" xfId="0" applyFont="1" applyBorder="1" applyAlignment="1" applyProtection="1">
      <alignment horizontal="center" vertical="center"/>
      <protection hidden="1"/>
    </xf>
    <xf numFmtId="0" fontId="7" fillId="0" borderId="9" xfId="0" applyFont="1" applyBorder="1" applyAlignment="1" applyProtection="1">
      <alignment horizontal="center" vertical="center"/>
      <protection hidden="1"/>
    </xf>
    <xf numFmtId="0" fontId="43" fillId="0" borderId="23" xfId="0" quotePrefix="1" applyFont="1" applyFill="1" applyBorder="1" applyAlignment="1" applyProtection="1">
      <alignment horizontal="left" vertical="top"/>
      <protection hidden="1"/>
    </xf>
    <xf numFmtId="0" fontId="43" fillId="0" borderId="0" xfId="0" quotePrefix="1" applyFont="1" applyFill="1" applyBorder="1" applyAlignment="1" applyProtection="1">
      <alignment horizontal="left" vertical="top"/>
      <protection hidden="1"/>
    </xf>
    <xf numFmtId="0" fontId="43" fillId="0" borderId="22" xfId="0" quotePrefix="1" applyFont="1" applyFill="1" applyBorder="1" applyAlignment="1" applyProtection="1">
      <alignment horizontal="left" vertical="top"/>
      <protection hidden="1"/>
    </xf>
    <xf numFmtId="0" fontId="43" fillId="0" borderId="7" xfId="0" applyFont="1" applyFill="1" applyBorder="1" applyAlignment="1" applyProtection="1">
      <alignment horizontal="center" vertical="center" wrapText="1"/>
      <protection hidden="1"/>
    </xf>
    <xf numFmtId="0" fontId="7" fillId="0" borderId="8" xfId="0" applyFont="1" applyFill="1" applyBorder="1" applyAlignment="1" applyProtection="1">
      <alignment horizontal="center" vertical="center" wrapText="1"/>
      <protection hidden="1"/>
    </xf>
    <xf numFmtId="0" fontId="7" fillId="0" borderId="8" xfId="0" applyFont="1" applyFill="1" applyBorder="1" applyAlignment="1" applyProtection="1">
      <alignment horizontal="center" vertical="center"/>
      <protection hidden="1"/>
    </xf>
    <xf numFmtId="0" fontId="7" fillId="0" borderId="9" xfId="0" applyFont="1" applyFill="1" applyBorder="1" applyAlignment="1" applyProtection="1">
      <alignment horizontal="center" vertical="center"/>
      <protection hidden="1"/>
    </xf>
    <xf numFmtId="0" fontId="43" fillId="0" borderId="7" xfId="0" applyFont="1" applyBorder="1" applyAlignment="1" applyProtection="1">
      <alignment horizontal="center" vertical="center" wrapText="1"/>
      <protection hidden="1"/>
    </xf>
    <xf numFmtId="0" fontId="7" fillId="0" borderId="8" xfId="0" applyFont="1" applyBorder="1" applyAlignment="1" applyProtection="1">
      <alignment horizontal="center" vertical="center" wrapText="1"/>
      <protection hidden="1"/>
    </xf>
    <xf numFmtId="0" fontId="43" fillId="0" borderId="4" xfId="0" applyFont="1" applyBorder="1" applyAlignment="1" applyProtection="1">
      <alignment horizontal="center" vertical="center" wrapText="1"/>
      <protection hidden="1"/>
    </xf>
    <xf numFmtId="0" fontId="7" fillId="0" borderId="4" xfId="0" applyFont="1" applyBorder="1" applyAlignment="1" applyProtection="1">
      <alignment horizontal="center" vertical="center" wrapText="1"/>
      <protection hidden="1"/>
    </xf>
    <xf numFmtId="0" fontId="7" fillId="0" borderId="7" xfId="0" applyFont="1" applyBorder="1" applyAlignment="1" applyProtection="1">
      <alignment horizontal="center" vertical="center" wrapText="1"/>
      <protection hidden="1"/>
    </xf>
    <xf numFmtId="0" fontId="43" fillId="0" borderId="0" xfId="0" quotePrefix="1" applyFont="1" applyFill="1" applyBorder="1" applyAlignment="1" applyProtection="1">
      <alignment horizontal="center" vertical="top" shrinkToFit="1"/>
      <protection hidden="1"/>
    </xf>
    <xf numFmtId="0" fontId="7" fillId="0" borderId="0" xfId="0" applyFont="1" applyFill="1" applyBorder="1" applyAlignment="1" applyProtection="1">
      <alignment horizontal="center" vertical="top" shrinkToFit="1"/>
      <protection hidden="1"/>
    </xf>
    <xf numFmtId="0" fontId="7" fillId="0" borderId="0" xfId="0" applyFont="1" applyAlignment="1" applyProtection="1">
      <alignment vertical="top" shrinkToFit="1"/>
      <protection hidden="1"/>
    </xf>
    <xf numFmtId="0" fontId="43" fillId="0" borderId="16" xfId="0" applyFont="1" applyBorder="1" applyAlignment="1" applyProtection="1">
      <alignment vertical="center"/>
      <protection hidden="1"/>
    </xf>
    <xf numFmtId="0" fontId="7" fillId="0" borderId="16" xfId="0" applyFont="1" applyBorder="1" applyAlignment="1" applyProtection="1">
      <alignment vertical="center"/>
      <protection hidden="1"/>
    </xf>
    <xf numFmtId="0" fontId="7" fillId="0" borderId="15" xfId="0" applyFont="1" applyBorder="1" applyAlignment="1" applyProtection="1">
      <alignment vertical="center"/>
      <protection hidden="1"/>
    </xf>
    <xf numFmtId="0" fontId="43" fillId="0" borderId="2" xfId="0" quotePrefix="1" applyFont="1" applyBorder="1" applyAlignment="1" applyProtection="1">
      <alignment vertical="top"/>
      <protection hidden="1"/>
    </xf>
    <xf numFmtId="0" fontId="43" fillId="0" borderId="2" xfId="0" applyFont="1" applyBorder="1" applyAlignment="1" applyProtection="1">
      <alignment vertical="center"/>
      <protection hidden="1"/>
    </xf>
    <xf numFmtId="0" fontId="43" fillId="0" borderId="8" xfId="0" applyFont="1" applyBorder="1" applyAlignment="1" applyProtection="1">
      <alignment vertical="center"/>
      <protection hidden="1"/>
    </xf>
    <xf numFmtId="0" fontId="43" fillId="0" borderId="36" xfId="0" applyFont="1" applyBorder="1" applyAlignment="1" applyProtection="1">
      <alignment vertical="center"/>
      <protection hidden="1"/>
    </xf>
    <xf numFmtId="181" fontId="31" fillId="0" borderId="7" xfId="0" applyNumberFormat="1" applyFont="1" applyBorder="1" applyAlignment="1" applyProtection="1">
      <alignment horizontal="left" vertical="top" wrapText="1" shrinkToFit="1"/>
      <protection hidden="1"/>
    </xf>
    <xf numFmtId="181" fontId="31" fillId="0" borderId="8" xfId="0" applyNumberFormat="1" applyFont="1" applyBorder="1" applyAlignment="1" applyProtection="1">
      <alignment horizontal="left" vertical="top" wrapText="1" shrinkToFit="1"/>
      <protection hidden="1"/>
    </xf>
    <xf numFmtId="0" fontId="43" fillId="0" borderId="7" xfId="0" applyFont="1" applyFill="1" applyBorder="1" applyAlignment="1" applyProtection="1">
      <alignment vertical="top" wrapText="1"/>
      <protection hidden="1"/>
    </xf>
    <xf numFmtId="0" fontId="7" fillId="0" borderId="8" xfId="0" applyFont="1" applyBorder="1" applyAlignment="1" applyProtection="1">
      <alignment vertical="center"/>
      <protection hidden="1"/>
    </xf>
    <xf numFmtId="0" fontId="7" fillId="0" borderId="9" xfId="0" applyFont="1" applyBorder="1" applyAlignment="1" applyProtection="1">
      <alignment vertical="center"/>
      <protection hidden="1"/>
    </xf>
    <xf numFmtId="0" fontId="43" fillId="0" borderId="144" xfId="0" quotePrefix="1" applyFont="1" applyBorder="1" applyAlignment="1" applyProtection="1">
      <alignment horizontal="center" vertical="top" shrinkToFit="1"/>
      <protection hidden="1"/>
    </xf>
    <xf numFmtId="0" fontId="43" fillId="0" borderId="29" xfId="0" quotePrefix="1" applyFont="1" applyBorder="1" applyAlignment="1" applyProtection="1">
      <alignment horizontal="center" vertical="top" shrinkToFit="1"/>
      <protection hidden="1"/>
    </xf>
    <xf numFmtId="0" fontId="43" fillId="0" borderId="7" xfId="0" applyFont="1" applyBorder="1" applyAlignment="1" applyProtection="1">
      <alignment horizontal="justify" vertical="top" wrapText="1"/>
      <protection hidden="1"/>
    </xf>
    <xf numFmtId="0" fontId="43" fillId="0" borderId="4" xfId="0" applyFont="1" applyBorder="1" applyAlignment="1" applyProtection="1">
      <alignment vertical="top" wrapText="1" shrinkToFit="1"/>
      <protection hidden="1"/>
    </xf>
    <xf numFmtId="0" fontId="44" fillId="0" borderId="21" xfId="0" applyFont="1" applyBorder="1" applyAlignment="1" applyProtection="1">
      <alignment horizontal="center" shrinkToFit="1"/>
      <protection hidden="1"/>
    </xf>
    <xf numFmtId="0" fontId="44" fillId="0" borderId="16" xfId="0" applyFont="1" applyBorder="1" applyAlignment="1" applyProtection="1">
      <alignment horizontal="center" shrinkToFit="1"/>
      <protection hidden="1"/>
    </xf>
    <xf numFmtId="0" fontId="7" fillId="0" borderId="16" xfId="0" applyFont="1" applyBorder="1" applyAlignment="1" applyProtection="1">
      <alignment horizontal="center" shrinkToFit="1"/>
      <protection hidden="1"/>
    </xf>
    <xf numFmtId="0" fontId="43" fillId="0" borderId="81" xfId="0" quotePrefix="1" applyFont="1" applyFill="1" applyBorder="1" applyAlignment="1" applyProtection="1">
      <alignment horizontal="center" vertical="top" shrinkToFit="1"/>
      <protection hidden="1"/>
    </xf>
    <xf numFmtId="0" fontId="43" fillId="0" borderId="8" xfId="0" quotePrefix="1" applyFont="1" applyFill="1" applyBorder="1" applyAlignment="1" applyProtection="1">
      <alignment horizontal="center" vertical="top" shrinkToFit="1"/>
      <protection hidden="1"/>
    </xf>
    <xf numFmtId="0" fontId="43" fillId="0" borderId="9" xfId="0" quotePrefix="1" applyFont="1" applyFill="1" applyBorder="1" applyAlignment="1" applyProtection="1">
      <alignment horizontal="center" vertical="top" shrinkToFit="1"/>
      <protection hidden="1"/>
    </xf>
    <xf numFmtId="181" fontId="31" fillId="0" borderId="8" xfId="0" applyNumberFormat="1" applyFont="1" applyBorder="1" applyAlignment="1" applyProtection="1">
      <alignment horizontal="left" vertical="top" wrapText="1"/>
      <protection hidden="1"/>
    </xf>
    <xf numFmtId="0" fontId="7" fillId="0" borderId="29" xfId="0" applyFont="1" applyBorder="1" applyAlignment="1" applyProtection="1">
      <alignment horizontal="center" vertical="top" shrinkToFit="1"/>
      <protection hidden="1"/>
    </xf>
    <xf numFmtId="181" fontId="43" fillId="0" borderId="7" xfId="0" applyNumberFormat="1" applyFont="1" applyFill="1" applyBorder="1" applyAlignment="1" applyProtection="1">
      <alignment vertical="center"/>
      <protection hidden="1"/>
    </xf>
    <xf numFmtId="181" fontId="7" fillId="0" borderId="8" xfId="0" applyNumberFormat="1" applyFont="1" applyFill="1" applyBorder="1" applyAlignment="1" applyProtection="1">
      <alignment vertical="center"/>
      <protection hidden="1"/>
    </xf>
    <xf numFmtId="181" fontId="7" fillId="0" borderId="9" xfId="0" applyNumberFormat="1" applyFont="1" applyFill="1" applyBorder="1" applyAlignment="1" applyProtection="1">
      <alignment vertical="center"/>
      <protection hidden="1"/>
    </xf>
    <xf numFmtId="181" fontId="43" fillId="0" borderId="30" xfId="0" applyNumberFormat="1" applyFont="1" applyFill="1" applyBorder="1" applyAlignment="1" applyProtection="1">
      <alignment vertical="center" wrapText="1"/>
      <protection hidden="1"/>
    </xf>
    <xf numFmtId="181" fontId="7" fillId="0" borderId="29" xfId="0" applyNumberFormat="1" applyFont="1" applyFill="1" applyBorder="1" applyAlignment="1" applyProtection="1">
      <alignment vertical="center" wrapText="1"/>
      <protection hidden="1"/>
    </xf>
    <xf numFmtId="181" fontId="7" fillId="0" borderId="31" xfId="0" applyNumberFormat="1" applyFont="1" applyFill="1" applyBorder="1" applyAlignment="1" applyProtection="1">
      <alignment vertical="center" wrapText="1"/>
      <protection hidden="1"/>
    </xf>
    <xf numFmtId="0" fontId="43" fillId="0" borderId="3" xfId="0" applyFont="1" applyFill="1" applyBorder="1" applyAlignment="1" applyProtection="1">
      <alignment vertical="top" wrapText="1"/>
      <protection hidden="1"/>
    </xf>
    <xf numFmtId="0" fontId="43" fillId="0" borderId="1" xfId="0" applyFont="1" applyBorder="1" applyAlignment="1" applyProtection="1">
      <alignment vertical="center" wrapText="1"/>
      <protection hidden="1"/>
    </xf>
    <xf numFmtId="0" fontId="7" fillId="0" borderId="1" xfId="0" applyFont="1" applyBorder="1" applyAlignment="1" applyProtection="1">
      <alignment vertical="center" wrapText="1"/>
      <protection hidden="1"/>
    </xf>
    <xf numFmtId="0" fontId="7" fillId="0" borderId="6" xfId="0" applyFont="1" applyBorder="1" applyAlignment="1" applyProtection="1">
      <alignment vertical="center" wrapText="1"/>
      <protection hidden="1"/>
    </xf>
    <xf numFmtId="0" fontId="43" fillId="0" borderId="42" xfId="0" applyFont="1" applyBorder="1" applyAlignment="1" applyProtection="1">
      <alignment vertical="center" wrapText="1"/>
      <protection hidden="1"/>
    </xf>
    <xf numFmtId="0" fontId="43" fillId="0" borderId="20" xfId="0" applyFont="1" applyBorder="1" applyAlignment="1" applyProtection="1">
      <alignment vertical="center" wrapText="1"/>
      <protection hidden="1"/>
    </xf>
    <xf numFmtId="0" fontId="7" fillId="0" borderId="20" xfId="0" applyFont="1" applyBorder="1" applyAlignment="1" applyProtection="1">
      <alignment vertical="center" wrapText="1"/>
      <protection hidden="1"/>
    </xf>
    <xf numFmtId="0" fontId="7" fillId="0" borderId="43" xfId="0" applyFont="1" applyBorder="1" applyAlignment="1" applyProtection="1">
      <alignment vertical="center" wrapText="1"/>
      <protection hidden="1"/>
    </xf>
    <xf numFmtId="0" fontId="43" fillId="0" borderId="3" xfId="0" applyFont="1" applyBorder="1" applyAlignment="1" applyProtection="1">
      <alignment vertical="top" wrapText="1"/>
      <protection hidden="1"/>
    </xf>
    <xf numFmtId="0" fontId="43" fillId="0" borderId="1" xfId="0" applyFont="1" applyBorder="1" applyAlignment="1" applyProtection="1">
      <alignment vertical="center"/>
      <protection hidden="1"/>
    </xf>
    <xf numFmtId="0" fontId="7" fillId="0" borderId="1" xfId="0" applyFont="1" applyBorder="1" applyAlignment="1" applyProtection="1">
      <alignment vertical="center"/>
      <protection hidden="1"/>
    </xf>
    <xf numFmtId="0" fontId="7" fillId="0" borderId="6" xfId="0" applyFont="1" applyBorder="1" applyAlignment="1" applyProtection="1">
      <alignment vertical="center"/>
      <protection hidden="1"/>
    </xf>
    <xf numFmtId="0" fontId="43" fillId="0" borderId="5" xfId="0" applyFont="1" applyBorder="1" applyAlignment="1" applyProtection="1">
      <alignment vertical="center"/>
      <protection hidden="1"/>
    </xf>
    <xf numFmtId="0" fontId="43" fillId="0" borderId="0" xfId="0" applyFont="1" applyBorder="1" applyAlignment="1" applyProtection="1">
      <alignment vertical="center"/>
      <protection hidden="1"/>
    </xf>
    <xf numFmtId="0" fontId="7" fillId="0" borderId="0" xfId="0" applyFont="1" applyBorder="1" applyAlignment="1" applyProtection="1">
      <alignment vertical="center"/>
      <protection hidden="1"/>
    </xf>
    <xf numFmtId="0" fontId="7" fillId="0" borderId="10" xfId="0" applyFont="1" applyBorder="1" applyAlignment="1" applyProtection="1">
      <alignment vertical="center"/>
      <protection hidden="1"/>
    </xf>
    <xf numFmtId="0" fontId="43" fillId="0" borderId="42" xfId="0" applyFont="1" applyBorder="1" applyAlignment="1" applyProtection="1">
      <alignment vertical="center"/>
      <protection hidden="1"/>
    </xf>
    <xf numFmtId="0" fontId="43" fillId="0" borderId="20" xfId="0" applyFont="1" applyBorder="1" applyAlignment="1" applyProtection="1">
      <alignment vertical="center"/>
      <protection hidden="1"/>
    </xf>
    <xf numFmtId="0" fontId="7" fillId="0" borderId="20" xfId="0" applyFont="1" applyBorder="1" applyAlignment="1" applyProtection="1">
      <alignment vertical="center"/>
      <protection hidden="1"/>
    </xf>
    <xf numFmtId="0" fontId="7" fillId="0" borderId="43" xfId="0" applyFont="1" applyBorder="1" applyAlignment="1" applyProtection="1">
      <alignment vertical="center"/>
      <protection hidden="1"/>
    </xf>
    <xf numFmtId="0" fontId="43" fillId="0" borderId="7" xfId="0" applyFont="1" applyBorder="1" applyAlignment="1" applyProtection="1">
      <alignment horizontal="justify" vertical="top" shrinkToFit="1"/>
      <protection hidden="1"/>
    </xf>
    <xf numFmtId="0" fontId="43" fillId="0" borderId="8" xfId="0" applyFont="1" applyBorder="1" applyAlignment="1" applyProtection="1">
      <alignment vertical="center" shrinkToFit="1"/>
      <protection hidden="1"/>
    </xf>
    <xf numFmtId="0" fontId="7" fillId="0" borderId="8" xfId="0" applyFont="1" applyBorder="1" applyAlignment="1" applyProtection="1">
      <alignment vertical="center" shrinkToFit="1"/>
      <protection hidden="1"/>
    </xf>
    <xf numFmtId="0" fontId="7" fillId="0" borderId="9" xfId="0" applyFont="1" applyBorder="1" applyAlignment="1" applyProtection="1">
      <alignment vertical="center" shrinkToFit="1"/>
      <protection hidden="1"/>
    </xf>
    <xf numFmtId="0" fontId="44" fillId="0" borderId="16" xfId="0" applyFont="1" applyBorder="1" applyAlignment="1" applyProtection="1">
      <alignment horizontal="left" shrinkToFit="1"/>
      <protection hidden="1"/>
    </xf>
    <xf numFmtId="0" fontId="44" fillId="0" borderId="16" xfId="0" applyFont="1" applyBorder="1" applyAlignment="1" applyProtection="1">
      <alignment horizontal="left" vertical="center"/>
      <protection hidden="1"/>
    </xf>
    <xf numFmtId="0" fontId="44" fillId="0" borderId="15" xfId="0" applyFont="1" applyBorder="1" applyAlignment="1" applyProtection="1">
      <alignment horizontal="left" vertical="center"/>
      <protection hidden="1"/>
    </xf>
    <xf numFmtId="0" fontId="43" fillId="0" borderId="3" xfId="0" applyFont="1" applyFill="1" applyBorder="1" applyAlignment="1" applyProtection="1">
      <alignment horizontal="left" vertical="top" wrapText="1"/>
      <protection hidden="1"/>
    </xf>
    <xf numFmtId="0" fontId="43" fillId="0" borderId="1" xfId="0" applyFont="1" applyFill="1" applyBorder="1" applyAlignment="1" applyProtection="1">
      <alignment vertical="top" wrapText="1"/>
      <protection hidden="1"/>
    </xf>
    <xf numFmtId="0" fontId="43" fillId="0" borderId="1" xfId="0" applyFont="1" applyBorder="1" applyAlignment="1" applyProtection="1">
      <alignment vertical="top" wrapText="1"/>
      <protection hidden="1"/>
    </xf>
    <xf numFmtId="0" fontId="43" fillId="0" borderId="28" xfId="0" applyFont="1" applyFill="1" applyBorder="1" applyAlignment="1" applyProtection="1">
      <alignment vertical="top" wrapText="1"/>
      <protection hidden="1"/>
    </xf>
    <xf numFmtId="0" fontId="43" fillId="0" borderId="2" xfId="0" applyFont="1" applyFill="1" applyBorder="1" applyAlignment="1" applyProtection="1">
      <alignment vertical="top" wrapText="1"/>
      <protection hidden="1"/>
    </xf>
    <xf numFmtId="0" fontId="43" fillId="0" borderId="2" xfId="0" applyFont="1" applyBorder="1" applyAlignment="1" applyProtection="1">
      <alignment vertical="top" wrapText="1"/>
      <protection hidden="1"/>
    </xf>
    <xf numFmtId="0" fontId="43" fillId="0" borderId="4" xfId="0" applyFont="1" applyBorder="1" applyAlignment="1" applyProtection="1">
      <alignment vertical="top" wrapText="1"/>
      <protection hidden="1"/>
    </xf>
    <xf numFmtId="0" fontId="7" fillId="0" borderId="4" xfId="0" applyFont="1" applyBorder="1" applyAlignment="1" applyProtection="1">
      <alignment vertical="top"/>
      <protection hidden="1"/>
    </xf>
    <xf numFmtId="0" fontId="7" fillId="0" borderId="4" xfId="0" applyFont="1" applyBorder="1" applyAlignment="1" applyProtection="1">
      <alignment vertical="center"/>
      <protection hidden="1"/>
    </xf>
    <xf numFmtId="0" fontId="43" fillId="0" borderId="3" xfId="0" applyFont="1" applyBorder="1" applyAlignment="1" applyProtection="1">
      <alignment horizontal="center" vertical="top" textRotation="255" wrapText="1"/>
      <protection hidden="1"/>
    </xf>
    <xf numFmtId="0" fontId="7" fillId="0" borderId="6" xfId="0" applyFont="1" applyBorder="1" applyAlignment="1" applyProtection="1">
      <alignment horizontal="center" vertical="top" textRotation="255" wrapText="1"/>
      <protection hidden="1"/>
    </xf>
    <xf numFmtId="0" fontId="43" fillId="0" borderId="5" xfId="0" applyFont="1" applyBorder="1" applyAlignment="1" applyProtection="1">
      <alignment horizontal="center" vertical="top" textRotation="255" wrapText="1"/>
      <protection hidden="1"/>
    </xf>
    <xf numFmtId="0" fontId="7" fillId="0" borderId="10" xfId="0" applyFont="1" applyBorder="1" applyAlignment="1" applyProtection="1">
      <alignment horizontal="center" vertical="top" textRotation="255" wrapText="1"/>
      <protection hidden="1"/>
    </xf>
    <xf numFmtId="0" fontId="43" fillId="0" borderId="28" xfId="0" applyFont="1" applyBorder="1" applyAlignment="1" applyProtection="1">
      <alignment horizontal="center" vertical="top" textRotation="255" wrapText="1"/>
      <protection hidden="1"/>
    </xf>
    <xf numFmtId="0" fontId="7" fillId="0" borderId="11" xfId="0" applyFont="1" applyBorder="1" applyAlignment="1" applyProtection="1">
      <alignment horizontal="center" vertical="top" textRotation="255" wrapText="1"/>
      <protection hidden="1"/>
    </xf>
    <xf numFmtId="0" fontId="43" fillId="0" borderId="3" xfId="0" quotePrefix="1" applyFont="1" applyBorder="1" applyAlignment="1" applyProtection="1">
      <alignment horizontal="left" vertical="top" shrinkToFit="1"/>
      <protection hidden="1"/>
    </xf>
    <xf numFmtId="0" fontId="7" fillId="0" borderId="1" xfId="0" applyFont="1" applyBorder="1" applyAlignment="1" applyProtection="1">
      <alignment horizontal="left" vertical="top" shrinkToFit="1"/>
      <protection hidden="1"/>
    </xf>
    <xf numFmtId="0" fontId="7" fillId="0" borderId="6" xfId="0" applyFont="1" applyBorder="1" applyAlignment="1" applyProtection="1">
      <alignment horizontal="left" vertical="top" shrinkToFit="1"/>
      <protection hidden="1"/>
    </xf>
    <xf numFmtId="0" fontId="7" fillId="0" borderId="5" xfId="0" applyFont="1" applyBorder="1" applyAlignment="1" applyProtection="1">
      <alignment horizontal="left" vertical="top" shrinkToFit="1"/>
      <protection hidden="1"/>
    </xf>
    <xf numFmtId="0" fontId="7" fillId="0" borderId="0" xfId="0" applyFont="1" applyBorder="1" applyAlignment="1" applyProtection="1">
      <alignment horizontal="left" vertical="top" shrinkToFit="1"/>
      <protection hidden="1"/>
    </xf>
    <xf numFmtId="0" fontId="7" fillId="0" borderId="10" xfId="0" applyFont="1" applyBorder="1" applyAlignment="1" applyProtection="1">
      <alignment horizontal="left" vertical="top" shrinkToFit="1"/>
      <protection hidden="1"/>
    </xf>
    <xf numFmtId="0" fontId="7" fillId="0" borderId="42" xfId="0" applyFont="1" applyBorder="1" applyAlignment="1" applyProtection="1">
      <alignment horizontal="left" vertical="top" shrinkToFit="1"/>
      <protection hidden="1"/>
    </xf>
    <xf numFmtId="0" fontId="7" fillId="0" borderId="20" xfId="0" applyFont="1" applyBorder="1" applyAlignment="1" applyProtection="1">
      <alignment horizontal="left" vertical="top" shrinkToFit="1"/>
      <protection hidden="1"/>
    </xf>
    <xf numFmtId="0" fontId="7" fillId="0" borderId="43" xfId="0" applyFont="1" applyBorder="1" applyAlignment="1" applyProtection="1">
      <alignment horizontal="left" vertical="top" shrinkToFit="1"/>
      <protection hidden="1"/>
    </xf>
    <xf numFmtId="0" fontId="43" fillId="0" borderId="7" xfId="0" applyFont="1" applyBorder="1" applyAlignment="1" applyProtection="1">
      <alignment vertical="top" wrapText="1"/>
      <protection hidden="1"/>
    </xf>
    <xf numFmtId="0" fontId="7" fillId="0" borderId="8" xfId="0" applyFont="1" applyBorder="1" applyAlignment="1" applyProtection="1">
      <alignment vertical="center" wrapText="1"/>
      <protection hidden="1"/>
    </xf>
    <xf numFmtId="0" fontId="43" fillId="0" borderId="8" xfId="0" applyFont="1" applyFill="1" applyBorder="1" applyAlignment="1" applyProtection="1">
      <alignment vertical="top" wrapText="1"/>
      <protection hidden="1"/>
    </xf>
    <xf numFmtId="0" fontId="43" fillId="0" borderId="4" xfId="0" applyFont="1" applyBorder="1" applyAlignment="1" applyProtection="1">
      <alignment vertical="center"/>
      <protection hidden="1"/>
    </xf>
    <xf numFmtId="0" fontId="43" fillId="0" borderId="28" xfId="0" applyFont="1" applyBorder="1" applyAlignment="1" applyProtection="1">
      <alignment vertical="center"/>
      <protection hidden="1"/>
    </xf>
    <xf numFmtId="0" fontId="7" fillId="0" borderId="2" xfId="0" applyFont="1" applyBorder="1" applyAlignment="1" applyProtection="1">
      <alignment vertical="center"/>
      <protection hidden="1"/>
    </xf>
    <xf numFmtId="0" fontId="7" fillId="0" borderId="11" xfId="0" applyFont="1" applyBorder="1" applyAlignment="1" applyProtection="1">
      <alignment vertical="center"/>
      <protection hidden="1"/>
    </xf>
    <xf numFmtId="0" fontId="7" fillId="0" borderId="28" xfId="0" applyFont="1" applyBorder="1" applyAlignment="1" applyProtection="1">
      <alignment vertical="center" wrapText="1"/>
      <protection hidden="1"/>
    </xf>
    <xf numFmtId="0" fontId="7" fillId="0" borderId="2" xfId="0" applyFont="1" applyBorder="1" applyAlignment="1" applyProtection="1">
      <alignment vertical="center" wrapText="1"/>
      <protection hidden="1"/>
    </xf>
    <xf numFmtId="0" fontId="7" fillId="0" borderId="11" xfId="0" applyFont="1" applyBorder="1" applyAlignment="1" applyProtection="1">
      <alignment vertical="center" wrapText="1"/>
      <protection hidden="1"/>
    </xf>
    <xf numFmtId="0" fontId="43" fillId="0" borderId="7" xfId="0" applyFont="1" applyFill="1" applyBorder="1" applyAlignment="1" applyProtection="1">
      <alignment vertical="center"/>
      <protection hidden="1"/>
    </xf>
    <xf numFmtId="0" fontId="7" fillId="0" borderId="8" xfId="0" applyFont="1" applyFill="1" applyBorder="1" applyAlignment="1" applyProtection="1">
      <alignment vertical="center"/>
      <protection hidden="1"/>
    </xf>
    <xf numFmtId="0" fontId="7" fillId="0" borderId="9" xfId="0" applyFont="1" applyFill="1" applyBorder="1" applyAlignment="1" applyProtection="1">
      <alignment vertical="center"/>
      <protection hidden="1"/>
    </xf>
    <xf numFmtId="0" fontId="7" fillId="0" borderId="44" xfId="0" applyFont="1" applyBorder="1" applyAlignment="1" applyProtection="1">
      <alignment horizontal="center" vertical="center" wrapText="1"/>
      <protection hidden="1"/>
    </xf>
    <xf numFmtId="0" fontId="7" fillId="0" borderId="38" xfId="0" applyFont="1" applyBorder="1" applyAlignment="1" applyProtection="1">
      <alignment horizontal="center" vertical="center" wrapText="1"/>
      <protection hidden="1"/>
    </xf>
    <xf numFmtId="0" fontId="7" fillId="0" borderId="45"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0"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42" xfId="0" applyFont="1" applyBorder="1" applyAlignment="1" applyProtection="1">
      <alignment horizontal="center" vertical="center" wrapText="1"/>
      <protection hidden="1"/>
    </xf>
    <xf numFmtId="0" fontId="7" fillId="0" borderId="20" xfId="0" applyFont="1" applyBorder="1" applyAlignment="1" applyProtection="1">
      <alignment horizontal="center" vertical="center" wrapText="1"/>
      <protection hidden="1"/>
    </xf>
    <xf numFmtId="0" fontId="7" fillId="0" borderId="43" xfId="0" applyFont="1" applyBorder="1" applyAlignment="1" applyProtection="1">
      <alignment horizontal="center" vertical="center" wrapText="1"/>
      <protection hidden="1"/>
    </xf>
    <xf numFmtId="0" fontId="43" fillId="0" borderId="3" xfId="0" applyFont="1" applyFill="1" applyBorder="1" applyAlignment="1" applyProtection="1">
      <alignment horizontal="center" vertical="top" textRotation="255" wrapText="1"/>
      <protection hidden="1"/>
    </xf>
    <xf numFmtId="0" fontId="7" fillId="0" borderId="5" xfId="0" applyFont="1" applyBorder="1" applyAlignment="1" applyProtection="1">
      <alignment horizontal="center" vertical="top" textRotation="255" wrapText="1"/>
      <protection hidden="1"/>
    </xf>
    <xf numFmtId="0" fontId="7" fillId="0" borderId="28" xfId="0" applyFont="1" applyBorder="1" applyAlignment="1" applyProtection="1">
      <alignment horizontal="center" vertical="top" textRotation="255" wrapText="1"/>
      <protection hidden="1"/>
    </xf>
    <xf numFmtId="0" fontId="43" fillId="0" borderId="3" xfId="0" applyFont="1" applyBorder="1" applyAlignment="1" applyProtection="1">
      <alignment horizontal="left" vertical="top" wrapText="1"/>
      <protection hidden="1"/>
    </xf>
    <xf numFmtId="0" fontId="7" fillId="0" borderId="1" xfId="0" applyFont="1" applyBorder="1" applyAlignment="1" applyProtection="1">
      <alignment horizontal="left" vertical="top" wrapText="1"/>
      <protection hidden="1"/>
    </xf>
    <xf numFmtId="0" fontId="7" fillId="0" borderId="5" xfId="0" applyFont="1" applyBorder="1" applyAlignment="1" applyProtection="1">
      <alignment horizontal="left" vertical="top" wrapText="1"/>
      <protection hidden="1"/>
    </xf>
    <xf numFmtId="0" fontId="7" fillId="0" borderId="0" xfId="0" applyFont="1" applyBorder="1" applyAlignment="1" applyProtection="1">
      <alignment horizontal="left" vertical="top" wrapText="1"/>
      <protection hidden="1"/>
    </xf>
    <xf numFmtId="0" fontId="7" fillId="0" borderId="0" xfId="0" applyFont="1" applyBorder="1" applyAlignment="1" applyProtection="1">
      <alignment vertical="top"/>
      <protection hidden="1"/>
    </xf>
    <xf numFmtId="0" fontId="7" fillId="0" borderId="28" xfId="0" applyFont="1" applyBorder="1" applyAlignment="1" applyProtection="1">
      <alignment horizontal="left" vertical="top" wrapText="1"/>
      <protection hidden="1"/>
    </xf>
    <xf numFmtId="0" fontId="7" fillId="0" borderId="2" xfId="0" applyFont="1" applyBorder="1" applyAlignment="1" applyProtection="1">
      <alignment horizontal="left" vertical="top" wrapText="1"/>
      <protection hidden="1"/>
    </xf>
    <xf numFmtId="0" fontId="43" fillId="0" borderId="4" xfId="0" applyFont="1" applyBorder="1" applyAlignment="1" applyProtection="1">
      <alignment horizontal="justify" vertical="top" wrapText="1"/>
      <protection hidden="1"/>
    </xf>
    <xf numFmtId="0" fontId="43" fillId="0" borderId="7" xfId="0" applyFont="1" applyBorder="1" applyAlignment="1" applyProtection="1">
      <alignment horizontal="justify" vertical="top" wrapText="1" shrinkToFit="1"/>
      <protection hidden="1"/>
    </xf>
    <xf numFmtId="0" fontId="43" fillId="0" borderId="8" xfId="0" applyFont="1" applyBorder="1" applyAlignment="1" applyProtection="1">
      <alignment vertical="center" wrapText="1" shrinkToFit="1"/>
      <protection hidden="1"/>
    </xf>
    <xf numFmtId="0" fontId="7" fillId="0" borderId="8" xfId="0" applyFont="1" applyBorder="1" applyAlignment="1" applyProtection="1">
      <alignment vertical="center" wrapText="1" shrinkToFit="1"/>
      <protection hidden="1"/>
    </xf>
    <xf numFmtId="0" fontId="7" fillId="0" borderId="9" xfId="0" applyFont="1" applyBorder="1" applyAlignment="1" applyProtection="1">
      <alignment vertical="center" wrapText="1" shrinkToFit="1"/>
      <protection hidden="1"/>
    </xf>
    <xf numFmtId="0" fontId="43" fillId="0" borderId="5" xfId="0" applyFont="1" applyBorder="1" applyAlignment="1" applyProtection="1">
      <alignment vertical="top" wrapText="1"/>
      <protection hidden="1"/>
    </xf>
    <xf numFmtId="0" fontId="43" fillId="0" borderId="28" xfId="0" applyFont="1" applyBorder="1" applyAlignment="1" applyProtection="1">
      <alignment vertical="top" wrapText="1"/>
      <protection hidden="1"/>
    </xf>
    <xf numFmtId="0" fontId="43" fillId="0" borderId="3" xfId="0" applyFont="1" applyFill="1" applyBorder="1" applyAlignment="1" applyProtection="1">
      <alignment vertical="center" wrapText="1"/>
      <protection hidden="1"/>
    </xf>
    <xf numFmtId="0" fontId="7" fillId="0" borderId="1" xfId="0" applyFont="1" applyFill="1" applyBorder="1" applyAlignment="1" applyProtection="1">
      <alignment vertical="center" wrapText="1"/>
      <protection hidden="1"/>
    </xf>
    <xf numFmtId="0" fontId="7" fillId="0" borderId="42" xfId="0" applyFont="1" applyFill="1" applyBorder="1" applyAlignment="1" applyProtection="1">
      <alignment vertical="center" wrapText="1"/>
      <protection hidden="1"/>
    </xf>
    <xf numFmtId="0" fontId="7" fillId="0" borderId="20" xfId="0" applyFont="1" applyFill="1" applyBorder="1" applyAlignment="1" applyProtection="1">
      <alignment vertical="center" wrapText="1"/>
      <protection hidden="1"/>
    </xf>
    <xf numFmtId="0" fontId="43" fillId="0" borderId="37" xfId="0" applyFont="1" applyFill="1" applyBorder="1" applyAlignment="1" applyProtection="1">
      <alignment vertical="center" wrapText="1"/>
      <protection hidden="1"/>
    </xf>
    <xf numFmtId="0" fontId="7" fillId="0" borderId="38" xfId="0" applyFont="1" applyFill="1" applyBorder="1" applyAlignment="1" applyProtection="1">
      <alignment vertical="center" wrapText="1"/>
      <protection hidden="1"/>
    </xf>
    <xf numFmtId="0" fontId="7" fillId="0" borderId="45" xfId="0" applyFont="1" applyFill="1" applyBorder="1" applyAlignment="1" applyProtection="1">
      <alignment vertical="center" wrapText="1"/>
      <protection hidden="1"/>
    </xf>
    <xf numFmtId="0" fontId="7" fillId="0" borderId="23" xfId="0" applyFont="1" applyFill="1" applyBorder="1" applyAlignment="1" applyProtection="1">
      <alignment vertical="center" wrapText="1"/>
      <protection hidden="1"/>
    </xf>
    <xf numFmtId="0" fontId="7" fillId="0" borderId="0" xfId="0" applyFont="1" applyFill="1" applyBorder="1" applyAlignment="1" applyProtection="1">
      <alignment vertical="center" wrapText="1"/>
      <protection hidden="1"/>
    </xf>
    <xf numFmtId="0" fontId="7" fillId="0" borderId="10" xfId="0" applyFont="1" applyFill="1" applyBorder="1" applyAlignment="1" applyProtection="1">
      <alignment vertical="center" wrapText="1"/>
      <protection hidden="1"/>
    </xf>
    <xf numFmtId="0" fontId="7" fillId="0" borderId="25" xfId="0" applyFont="1" applyFill="1" applyBorder="1" applyAlignment="1" applyProtection="1">
      <alignment vertical="center" wrapText="1"/>
      <protection hidden="1"/>
    </xf>
    <xf numFmtId="0" fontId="7" fillId="0" borderId="43" xfId="0" applyFont="1" applyFill="1" applyBorder="1" applyAlignment="1" applyProtection="1">
      <alignment vertical="center" wrapText="1"/>
      <protection hidden="1"/>
    </xf>
    <xf numFmtId="0" fontId="43" fillId="0" borderId="41" xfId="0" applyFont="1" applyFill="1" applyBorder="1" applyAlignment="1" applyProtection="1">
      <alignment vertical="center"/>
      <protection hidden="1"/>
    </xf>
    <xf numFmtId="0" fontId="7" fillId="0" borderId="16" xfId="0" applyFont="1" applyFill="1" applyBorder="1" applyAlignment="1" applyProtection="1">
      <alignment vertical="center"/>
      <protection hidden="1"/>
    </xf>
    <xf numFmtId="0" fontId="7" fillId="0" borderId="46" xfId="0" applyFont="1" applyFill="1" applyBorder="1" applyAlignment="1" applyProtection="1">
      <alignment vertical="center"/>
      <protection hidden="1"/>
    </xf>
    <xf numFmtId="0" fontId="43" fillId="0" borderId="3" xfId="0" applyFont="1" applyBorder="1" applyAlignment="1" applyProtection="1">
      <alignment horizontal="left" vertical="top" shrinkToFit="1"/>
      <protection hidden="1"/>
    </xf>
    <xf numFmtId="0" fontId="43" fillId="0" borderId="1" xfId="0" applyFont="1" applyBorder="1" applyAlignment="1" applyProtection="1">
      <alignment horizontal="left" vertical="top" shrinkToFit="1"/>
      <protection hidden="1"/>
    </xf>
    <xf numFmtId="0" fontId="43" fillId="0" borderId="5" xfId="0" applyFont="1" applyBorder="1" applyAlignment="1" applyProtection="1">
      <alignment horizontal="left" vertical="top" shrinkToFit="1"/>
      <protection hidden="1"/>
    </xf>
    <xf numFmtId="0" fontId="43" fillId="0" borderId="0" xfId="0" applyFont="1" applyBorder="1" applyAlignment="1" applyProtection="1">
      <alignment horizontal="left" vertical="top" shrinkToFit="1"/>
      <protection hidden="1"/>
    </xf>
    <xf numFmtId="0" fontId="43" fillId="0" borderId="28" xfId="0" applyFont="1" applyBorder="1" applyAlignment="1" applyProtection="1">
      <alignment horizontal="left" vertical="top" shrinkToFit="1"/>
      <protection hidden="1"/>
    </xf>
    <xf numFmtId="0" fontId="43" fillId="0" borderId="2" xfId="0" applyFont="1" applyBorder="1" applyAlignment="1" applyProtection="1">
      <alignment horizontal="left" vertical="top" shrinkToFit="1"/>
      <protection hidden="1"/>
    </xf>
    <xf numFmtId="0" fontId="43" fillId="0" borderId="8" xfId="0" applyFont="1" applyBorder="1" applyAlignment="1" applyProtection="1">
      <alignment vertical="top" wrapText="1"/>
      <protection hidden="1"/>
    </xf>
    <xf numFmtId="0" fontId="7" fillId="0" borderId="8" xfId="0" applyFont="1" applyBorder="1" applyAlignment="1" applyProtection="1">
      <alignment vertical="top"/>
      <protection hidden="1"/>
    </xf>
    <xf numFmtId="0" fontId="43" fillId="0" borderId="141" xfId="0" applyFont="1" applyFill="1" applyBorder="1" applyAlignment="1" applyProtection="1">
      <alignment vertical="center"/>
      <protection hidden="1"/>
    </xf>
    <xf numFmtId="0" fontId="7" fillId="0" borderId="142" xfId="0" applyFont="1" applyFill="1" applyBorder="1" applyAlignment="1" applyProtection="1">
      <alignment vertical="center"/>
      <protection hidden="1"/>
    </xf>
    <xf numFmtId="0" fontId="7" fillId="0" borderId="143" xfId="0" applyFont="1" applyFill="1" applyBorder="1" applyAlignment="1" applyProtection="1">
      <alignment vertical="center"/>
      <protection hidden="1"/>
    </xf>
    <xf numFmtId="0" fontId="43" fillId="0" borderId="30" xfId="0" applyFont="1" applyFill="1" applyBorder="1" applyAlignment="1" applyProtection="1">
      <alignment horizontal="center" vertical="center" wrapText="1"/>
      <protection hidden="1"/>
    </xf>
    <xf numFmtId="0" fontId="7" fillId="0" borderId="39" xfId="0" applyFont="1" applyFill="1" applyBorder="1" applyAlignment="1" applyProtection="1">
      <alignment horizontal="center" vertical="center" wrapText="1"/>
      <protection hidden="1"/>
    </xf>
    <xf numFmtId="0" fontId="43" fillId="0" borderId="97" xfId="0" applyFont="1" applyBorder="1" applyAlignment="1" applyProtection="1">
      <alignment horizontal="center" vertical="center" wrapText="1"/>
      <protection hidden="1"/>
    </xf>
    <xf numFmtId="0" fontId="7" fillId="0" borderId="99" xfId="0" applyFont="1" applyBorder="1" applyAlignment="1" applyProtection="1">
      <alignment horizontal="center" vertical="center" wrapText="1"/>
      <protection hidden="1"/>
    </xf>
    <xf numFmtId="0" fontId="43" fillId="0" borderId="41" xfId="0" applyFont="1" applyBorder="1" applyAlignment="1" applyProtection="1">
      <alignment horizontal="center" vertical="center" wrapText="1"/>
      <protection hidden="1"/>
    </xf>
    <xf numFmtId="0" fontId="43" fillId="0" borderId="16" xfId="0" applyFont="1" applyBorder="1" applyAlignment="1" applyProtection="1">
      <alignment horizontal="center" vertical="center" wrapText="1"/>
      <protection hidden="1"/>
    </xf>
    <xf numFmtId="0" fontId="7" fillId="0" borderId="46" xfId="0" applyFont="1" applyBorder="1" applyAlignment="1" applyProtection="1">
      <alignment horizontal="center" vertical="center" wrapText="1"/>
      <protection hidden="1"/>
    </xf>
    <xf numFmtId="0" fontId="43" fillId="0" borderId="98" xfId="0" applyFont="1" applyBorder="1" applyAlignment="1" applyProtection="1">
      <alignment horizontal="center" vertical="center" wrapText="1"/>
      <protection hidden="1"/>
    </xf>
    <xf numFmtId="0" fontId="43" fillId="0" borderId="100" xfId="0" applyFont="1" applyBorder="1" applyAlignment="1" applyProtection="1">
      <alignment horizontal="center" vertical="center" wrapText="1"/>
      <protection hidden="1"/>
    </xf>
    <xf numFmtId="0" fontId="7" fillId="0" borderId="101" xfId="0" applyFont="1" applyBorder="1" applyAlignment="1" applyProtection="1">
      <alignment horizontal="center" vertical="center" wrapText="1"/>
      <protection hidden="1"/>
    </xf>
    <xf numFmtId="0" fontId="7" fillId="0" borderId="6" xfId="0" applyFont="1" applyBorder="1" applyAlignment="1" applyProtection="1">
      <alignment horizontal="center" vertical="top" textRotation="255"/>
      <protection hidden="1"/>
    </xf>
    <xf numFmtId="0" fontId="43" fillId="0" borderId="5" xfId="0" applyFont="1" applyFill="1" applyBorder="1" applyAlignment="1" applyProtection="1">
      <alignment horizontal="center" vertical="top" textRotation="255" wrapText="1"/>
      <protection hidden="1"/>
    </xf>
    <xf numFmtId="0" fontId="7" fillId="0" borderId="10" xfId="0" applyFont="1" applyBorder="1" applyAlignment="1" applyProtection="1">
      <alignment horizontal="center" vertical="top" textRotation="255"/>
      <protection hidden="1"/>
    </xf>
    <xf numFmtId="0" fontId="43" fillId="0" borderId="5" xfId="0" applyFont="1" applyBorder="1" applyAlignment="1" applyProtection="1">
      <alignment horizontal="center" vertical="top" textRotation="255"/>
      <protection hidden="1"/>
    </xf>
    <xf numFmtId="0" fontId="43" fillId="0" borderId="42" xfId="0" applyFont="1" applyBorder="1" applyAlignment="1" applyProtection="1">
      <alignment horizontal="center" vertical="top" textRotation="255"/>
      <protection hidden="1"/>
    </xf>
    <xf numFmtId="0" fontId="7" fillId="0" borderId="43" xfId="0" applyFont="1" applyBorder="1" applyAlignment="1" applyProtection="1">
      <alignment horizontal="center" vertical="top" textRotation="255"/>
      <protection hidden="1"/>
    </xf>
    <xf numFmtId="0" fontId="43" fillId="0" borderId="5" xfId="0" applyFont="1" applyFill="1" applyBorder="1" applyAlignment="1" applyProtection="1">
      <alignment vertical="top" wrapText="1"/>
      <protection hidden="1"/>
    </xf>
    <xf numFmtId="0" fontId="43" fillId="0" borderId="0" xfId="0" applyFont="1" applyBorder="1" applyAlignment="1" applyProtection="1">
      <alignment vertical="top" wrapText="1"/>
      <protection hidden="1"/>
    </xf>
    <xf numFmtId="0" fontId="7" fillId="0" borderId="8" xfId="0" applyFont="1" applyBorder="1" applyAlignment="1" applyProtection="1">
      <alignment vertical="top" wrapText="1"/>
      <protection hidden="1"/>
    </xf>
    <xf numFmtId="0" fontId="43" fillId="0" borderId="5" xfId="0" applyFont="1" applyFill="1" applyBorder="1" applyAlignment="1" applyProtection="1">
      <alignment horizontal="left" vertical="top" wrapText="1"/>
      <protection hidden="1"/>
    </xf>
    <xf numFmtId="0" fontId="43" fillId="0" borderId="5" xfId="0" applyFont="1" applyBorder="1" applyAlignment="1" applyProtection="1">
      <alignment horizontal="left" vertical="top" wrapText="1"/>
      <protection hidden="1"/>
    </xf>
    <xf numFmtId="0" fontId="43" fillId="0" borderId="28" xfId="0" applyFont="1" applyBorder="1" applyAlignment="1" applyProtection="1">
      <alignment horizontal="left" vertical="top" wrapText="1"/>
      <protection hidden="1"/>
    </xf>
    <xf numFmtId="0" fontId="43" fillId="0" borderId="30" xfId="0" applyFont="1" applyFill="1" applyBorder="1" applyAlignment="1" applyProtection="1">
      <alignment vertical="top" wrapText="1"/>
      <protection hidden="1"/>
    </xf>
    <xf numFmtId="0" fontId="43" fillId="0" borderId="29" xfId="0" applyFont="1" applyBorder="1" applyAlignment="1" applyProtection="1">
      <alignment vertical="center"/>
      <protection hidden="1"/>
    </xf>
    <xf numFmtId="0" fontId="7" fillId="0" borderId="29" xfId="0" applyFont="1" applyBorder="1" applyAlignment="1" applyProtection="1">
      <alignment vertical="center"/>
      <protection hidden="1"/>
    </xf>
    <xf numFmtId="0" fontId="7" fillId="0" borderId="31" xfId="0" applyFont="1" applyBorder="1" applyAlignment="1" applyProtection="1">
      <alignment vertical="center"/>
      <protection hidden="1"/>
    </xf>
    <xf numFmtId="0" fontId="43" fillId="0" borderId="144" xfId="0" quotePrefix="1" applyFont="1" applyFill="1" applyBorder="1" applyAlignment="1" applyProtection="1">
      <alignment horizontal="center" vertical="top" shrinkToFit="1"/>
      <protection hidden="1"/>
    </xf>
    <xf numFmtId="0" fontId="43" fillId="0" borderId="29" xfId="0" quotePrefix="1" applyFont="1" applyFill="1" applyBorder="1" applyAlignment="1" applyProtection="1">
      <alignment horizontal="center" vertical="top" shrinkToFit="1"/>
      <protection hidden="1"/>
    </xf>
    <xf numFmtId="181" fontId="43" fillId="0" borderId="7" xfId="0" applyNumberFormat="1" applyFont="1" applyFill="1" applyBorder="1" applyAlignment="1" applyProtection="1">
      <alignment vertical="center" wrapText="1"/>
      <protection hidden="1"/>
    </xf>
    <xf numFmtId="181" fontId="7" fillId="0" borderId="8" xfId="0" applyNumberFormat="1" applyFont="1" applyFill="1" applyBorder="1" applyAlignment="1" applyProtection="1">
      <alignment vertical="center" wrapText="1"/>
      <protection hidden="1"/>
    </xf>
    <xf numFmtId="181" fontId="7" fillId="0" borderId="9" xfId="0" applyNumberFormat="1" applyFont="1" applyFill="1" applyBorder="1" applyAlignment="1" applyProtection="1">
      <alignment vertical="center" wrapText="1"/>
      <protection hidden="1"/>
    </xf>
    <xf numFmtId="0" fontId="43" fillId="0" borderId="28" xfId="0" applyFont="1" applyFill="1" applyBorder="1" applyAlignment="1" applyProtection="1">
      <alignment horizontal="center" vertical="top" textRotation="255" wrapText="1"/>
      <protection hidden="1"/>
    </xf>
    <xf numFmtId="0" fontId="7" fillId="0" borderId="9" xfId="0" applyFont="1" applyBorder="1" applyAlignment="1" applyProtection="1">
      <alignment vertical="top" wrapText="1"/>
      <protection hidden="1"/>
    </xf>
    <xf numFmtId="0" fontId="43" fillId="0" borderId="7" xfId="0" applyFont="1" applyFill="1" applyBorder="1" applyAlignment="1" applyProtection="1">
      <alignment horizontal="left" vertical="top" wrapText="1"/>
      <protection hidden="1"/>
    </xf>
    <xf numFmtId="0" fontId="43" fillId="0" borderId="0" xfId="0" applyFont="1" applyFill="1" applyBorder="1" applyAlignment="1" applyProtection="1">
      <alignment vertical="top" wrapText="1"/>
      <protection hidden="1"/>
    </xf>
    <xf numFmtId="0" fontId="43" fillId="0" borderId="42" xfId="0" applyFont="1" applyFill="1" applyBorder="1" applyAlignment="1" applyProtection="1">
      <alignment vertical="top" wrapText="1"/>
      <protection hidden="1"/>
    </xf>
    <xf numFmtId="0" fontId="43" fillId="0" borderId="20" xfId="0" applyFont="1" applyFill="1" applyBorder="1" applyAlignment="1" applyProtection="1">
      <alignment vertical="top" wrapText="1"/>
      <protection hidden="1"/>
    </xf>
    <xf numFmtId="0" fontId="43" fillId="0" borderId="20" xfId="0" applyFont="1" applyBorder="1" applyAlignment="1" applyProtection="1">
      <alignment vertical="top" wrapText="1"/>
      <protection hidden="1"/>
    </xf>
    <xf numFmtId="0" fontId="7" fillId="0" borderId="20" xfId="0" applyFont="1" applyBorder="1" applyAlignment="1" applyProtection="1">
      <alignment vertical="top"/>
      <protection hidden="1"/>
    </xf>
    <xf numFmtId="0" fontId="43" fillId="0" borderId="42" xfId="0" applyFont="1" applyBorder="1" applyAlignment="1" applyProtection="1">
      <alignment horizontal="left" vertical="top" shrinkToFit="1"/>
      <protection hidden="1"/>
    </xf>
    <xf numFmtId="0" fontId="43" fillId="0" borderId="20" xfId="0" applyFont="1" applyBorder="1" applyAlignment="1" applyProtection="1">
      <alignment horizontal="left" vertical="top" shrinkToFit="1"/>
      <protection hidden="1"/>
    </xf>
    <xf numFmtId="181" fontId="31" fillId="0" borderId="9" xfId="0" applyNumberFormat="1" applyFont="1" applyBorder="1" applyAlignment="1" applyProtection="1">
      <alignment horizontal="left" vertical="top" wrapText="1" shrinkToFit="1"/>
      <protection hidden="1"/>
    </xf>
    <xf numFmtId="0" fontId="43" fillId="0" borderId="30" xfId="0" quotePrefix="1" applyFont="1" applyBorder="1" applyAlignment="1" applyProtection="1">
      <alignment horizontal="left" vertical="top" shrinkToFit="1"/>
      <protection hidden="1"/>
    </xf>
    <xf numFmtId="0" fontId="7" fillId="0" borderId="29" xfId="0" applyFont="1" applyBorder="1" applyAlignment="1" applyProtection="1">
      <alignment horizontal="left" vertical="top"/>
      <protection hidden="1"/>
    </xf>
    <xf numFmtId="0" fontId="7" fillId="0" borderId="31" xfId="0" applyFont="1" applyBorder="1" applyAlignment="1" applyProtection="1">
      <alignment horizontal="left" vertical="top"/>
      <protection hidden="1"/>
    </xf>
    <xf numFmtId="0" fontId="43" fillId="0" borderId="3" xfId="0" applyFont="1" applyBorder="1" applyAlignment="1" applyProtection="1">
      <alignment horizontal="center" vertical="top" textRotation="255"/>
      <protection hidden="1"/>
    </xf>
    <xf numFmtId="0" fontId="43" fillId="0" borderId="28" xfId="0" applyFont="1" applyBorder="1" applyAlignment="1" applyProtection="1">
      <alignment horizontal="center" vertical="top" textRotation="255"/>
      <protection hidden="1"/>
    </xf>
    <xf numFmtId="0" fontId="7" fillId="0" borderId="11" xfId="0" applyFont="1" applyBorder="1" applyAlignment="1" applyProtection="1">
      <alignment horizontal="center" vertical="top" textRotation="255"/>
      <protection hidden="1"/>
    </xf>
    <xf numFmtId="0" fontId="43" fillId="0" borderId="8" xfId="0" applyFont="1" applyBorder="1" applyAlignment="1" applyProtection="1">
      <alignment vertical="center" wrapText="1"/>
      <protection hidden="1"/>
    </xf>
    <xf numFmtId="0" fontId="7" fillId="0" borderId="9" xfId="0" applyFont="1" applyBorder="1" applyAlignment="1" applyProtection="1">
      <alignment vertical="center" wrapText="1"/>
      <protection hidden="1"/>
    </xf>
    <xf numFmtId="0" fontId="43" fillId="0" borderId="16" xfId="0" applyFont="1" applyBorder="1" applyAlignment="1" applyProtection="1">
      <alignment horizontal="left" vertical="top"/>
      <protection hidden="1"/>
    </xf>
    <xf numFmtId="0" fontId="43" fillId="0" borderId="16" xfId="0" applyFont="1" applyBorder="1" applyAlignment="1" applyProtection="1">
      <alignment horizontal="left" vertical="center"/>
      <protection hidden="1"/>
    </xf>
    <xf numFmtId="0" fontId="43" fillId="0" borderId="15" xfId="0" applyFont="1" applyBorder="1" applyAlignment="1" applyProtection="1">
      <alignment horizontal="left" vertical="center"/>
      <protection hidden="1"/>
    </xf>
    <xf numFmtId="0" fontId="43" fillId="0" borderId="30" xfId="0" applyFont="1" applyBorder="1" applyAlignment="1" applyProtection="1">
      <alignment horizontal="justify" vertical="top" shrinkToFit="1"/>
      <protection hidden="1"/>
    </xf>
    <xf numFmtId="0" fontId="43" fillId="0" borderId="29" xfId="0" applyFont="1" applyBorder="1" applyAlignment="1" applyProtection="1">
      <alignment vertical="center" shrinkToFit="1"/>
      <protection hidden="1"/>
    </xf>
    <xf numFmtId="0" fontId="7" fillId="0" borderId="29" xfId="0" applyFont="1" applyBorder="1" applyAlignment="1" applyProtection="1">
      <alignment vertical="center" shrinkToFit="1"/>
      <protection hidden="1"/>
    </xf>
    <xf numFmtId="0" fontId="7" fillId="0" borderId="31" xfId="0" applyFont="1" applyBorder="1" applyAlignment="1" applyProtection="1">
      <alignment vertical="center" shrinkToFit="1"/>
      <protection hidden="1"/>
    </xf>
    <xf numFmtId="0" fontId="43" fillId="0" borderId="1" xfId="0" applyFont="1" applyBorder="1" applyAlignment="1" applyProtection="1">
      <alignment vertical="center" shrinkToFit="1"/>
      <protection hidden="1"/>
    </xf>
    <xf numFmtId="0" fontId="43" fillId="0" borderId="2" xfId="0" applyFont="1" applyBorder="1" applyAlignment="1" applyProtection="1">
      <alignment vertical="center" shrinkToFit="1"/>
      <protection hidden="1"/>
    </xf>
    <xf numFmtId="0" fontId="7" fillId="0" borderId="2" xfId="0" applyFont="1" applyBorder="1" applyAlignment="1" applyProtection="1">
      <alignment vertical="center" shrinkToFit="1"/>
      <protection hidden="1"/>
    </xf>
    <xf numFmtId="0" fontId="7" fillId="0" borderId="11" xfId="0" applyFont="1" applyBorder="1" applyAlignment="1" applyProtection="1">
      <alignment vertical="center" shrinkToFit="1"/>
      <protection hidden="1"/>
    </xf>
    <xf numFmtId="0" fontId="43" fillId="0" borderId="6" xfId="0" applyFont="1" applyBorder="1" applyAlignment="1" applyProtection="1">
      <alignment horizontal="left" vertical="top" shrinkToFit="1"/>
      <protection hidden="1"/>
    </xf>
    <xf numFmtId="0" fontId="43" fillId="0" borderId="11" xfId="0" applyFont="1" applyBorder="1" applyAlignment="1" applyProtection="1">
      <alignment horizontal="left" vertical="top" shrinkToFit="1"/>
      <protection hidden="1"/>
    </xf>
    <xf numFmtId="0" fontId="7" fillId="0" borderId="28" xfId="0" applyFont="1" applyBorder="1" applyAlignment="1" applyProtection="1">
      <alignment horizontal="left" vertical="top" shrinkToFit="1"/>
      <protection hidden="1"/>
    </xf>
    <xf numFmtId="0" fontId="7" fillId="0" borderId="2" xfId="0" applyFont="1" applyBorder="1" applyAlignment="1" applyProtection="1">
      <alignment horizontal="left" vertical="top" shrinkToFit="1"/>
      <protection hidden="1"/>
    </xf>
    <xf numFmtId="0" fontId="7" fillId="0" borderId="11" xfId="0" applyFont="1" applyBorder="1" applyAlignment="1" applyProtection="1">
      <alignment horizontal="left" vertical="top" shrinkToFit="1"/>
      <protection hidden="1"/>
    </xf>
    <xf numFmtId="0" fontId="43" fillId="0" borderId="42" xfId="0" applyFont="1" applyBorder="1" applyAlignment="1" applyProtection="1">
      <alignment vertical="top" wrapText="1"/>
      <protection hidden="1"/>
    </xf>
    <xf numFmtId="0" fontId="43" fillId="0" borderId="4" xfId="0" applyFont="1" applyBorder="1" applyAlignment="1" applyProtection="1">
      <alignment horizontal="left" vertical="top" wrapText="1"/>
      <protection hidden="1"/>
    </xf>
    <xf numFmtId="0" fontId="44" fillId="0" borderId="21" xfId="0" quotePrefix="1" applyFont="1" applyBorder="1" applyAlignment="1" applyProtection="1">
      <alignment horizontal="center" vertical="top"/>
      <protection hidden="1"/>
    </xf>
    <xf numFmtId="0" fontId="44" fillId="0" borderId="16" xfId="0" quotePrefix="1" applyFont="1" applyBorder="1" applyAlignment="1" applyProtection="1">
      <alignment horizontal="center" vertical="top"/>
      <protection hidden="1"/>
    </xf>
    <xf numFmtId="0" fontId="7" fillId="0" borderId="16" xfId="0" applyFont="1" applyBorder="1" applyAlignment="1" applyProtection="1">
      <alignment horizontal="center" vertical="top"/>
      <protection hidden="1"/>
    </xf>
    <xf numFmtId="0" fontId="43" fillId="0" borderId="37" xfId="0" applyFont="1" applyBorder="1" applyAlignment="1" applyProtection="1">
      <alignment horizontal="center" vertical="center" wrapText="1"/>
      <protection hidden="1"/>
    </xf>
    <xf numFmtId="0" fontId="43" fillId="0" borderId="38" xfId="0" applyFont="1" applyBorder="1" applyAlignment="1" applyProtection="1">
      <alignment horizontal="center" vertical="center" wrapText="1"/>
      <protection hidden="1"/>
    </xf>
    <xf numFmtId="0" fontId="43" fillId="0" borderId="23" xfId="0" applyFont="1" applyBorder="1" applyAlignment="1" applyProtection="1">
      <alignment horizontal="center" vertical="center" wrapText="1"/>
      <protection hidden="1"/>
    </xf>
    <xf numFmtId="0" fontId="43" fillId="0" borderId="0" xfId="0" applyFont="1" applyBorder="1" applyAlignment="1" applyProtection="1">
      <alignment horizontal="center" vertical="center" wrapText="1"/>
      <protection hidden="1"/>
    </xf>
    <xf numFmtId="0" fontId="7" fillId="0" borderId="25" xfId="0" applyFont="1" applyBorder="1" applyAlignment="1" applyProtection="1">
      <alignment horizontal="center" vertical="center" wrapText="1"/>
      <protection hidden="1"/>
    </xf>
    <xf numFmtId="0" fontId="43" fillId="0" borderId="0" xfId="0" applyFont="1" applyAlignment="1" applyProtection="1">
      <alignment vertical="top" wrapText="1"/>
      <protection hidden="1"/>
    </xf>
    <xf numFmtId="0" fontId="43" fillId="0" borderId="99" xfId="0" applyFont="1" applyBorder="1" applyAlignment="1" applyProtection="1">
      <alignment horizontal="center" vertical="center" wrapText="1"/>
      <protection hidden="1"/>
    </xf>
    <xf numFmtId="0" fontId="7" fillId="0" borderId="95" xfId="0" applyFont="1" applyBorder="1" applyAlignment="1" applyProtection="1">
      <alignment horizontal="center" vertical="center" wrapText="1"/>
      <protection hidden="1"/>
    </xf>
    <xf numFmtId="0" fontId="43" fillId="0" borderId="41" xfId="0" applyFont="1" applyFill="1" applyBorder="1" applyAlignment="1" applyProtection="1">
      <alignment horizontal="center" vertical="center" wrapText="1"/>
      <protection hidden="1"/>
    </xf>
    <xf numFmtId="0" fontId="7" fillId="0" borderId="15" xfId="0" applyFont="1" applyFill="1" applyBorder="1" applyAlignment="1" applyProtection="1">
      <alignment horizontal="center" vertical="center" wrapText="1"/>
      <protection hidden="1"/>
    </xf>
    <xf numFmtId="0" fontId="7" fillId="0" borderId="36" xfId="0" applyFont="1" applyFill="1" applyBorder="1" applyAlignment="1" applyProtection="1">
      <alignment horizontal="center" vertical="center" wrapText="1"/>
      <protection hidden="1"/>
    </xf>
    <xf numFmtId="0" fontId="43" fillId="0" borderId="7" xfId="0" applyFont="1" applyBorder="1" applyAlignment="1" applyProtection="1">
      <alignment horizontal="left" vertical="top" shrinkToFit="1"/>
      <protection hidden="1"/>
    </xf>
    <xf numFmtId="0" fontId="43" fillId="0" borderId="8" xfId="0" applyFont="1" applyBorder="1" applyAlignment="1" applyProtection="1">
      <alignment horizontal="left" vertical="top"/>
      <protection hidden="1"/>
    </xf>
    <xf numFmtId="0" fontId="43" fillId="0" borderId="9" xfId="0" applyFont="1" applyBorder="1" applyAlignment="1" applyProtection="1">
      <alignment horizontal="left" vertical="top"/>
      <protection hidden="1"/>
    </xf>
    <xf numFmtId="0" fontId="43" fillId="0" borderId="7" xfId="0" applyFont="1" applyBorder="1" applyAlignment="1" applyProtection="1">
      <alignment horizontal="left" vertical="top" wrapText="1" shrinkToFit="1"/>
      <protection hidden="1"/>
    </xf>
    <xf numFmtId="0" fontId="43" fillId="0" borderId="8" xfId="0" applyFont="1" applyBorder="1" applyAlignment="1" applyProtection="1">
      <alignment horizontal="left" vertical="top" wrapText="1"/>
      <protection hidden="1"/>
    </xf>
    <xf numFmtId="0" fontId="43" fillId="0" borderId="9" xfId="0" applyFont="1" applyBorder="1" applyAlignment="1" applyProtection="1">
      <alignment horizontal="left" vertical="top" wrapText="1"/>
      <protection hidden="1"/>
    </xf>
    <xf numFmtId="0" fontId="43" fillId="0" borderId="30" xfId="0" applyFont="1" applyBorder="1" applyAlignment="1" applyProtection="1">
      <alignment horizontal="left" vertical="top" shrinkToFit="1"/>
      <protection hidden="1"/>
    </xf>
    <xf numFmtId="0" fontId="43" fillId="0" borderId="29" xfId="0" applyFont="1" applyBorder="1" applyAlignment="1" applyProtection="1">
      <alignment horizontal="left" vertical="top"/>
      <protection hidden="1"/>
    </xf>
    <xf numFmtId="0" fontId="43" fillId="0" borderId="31" xfId="0" applyFont="1" applyBorder="1" applyAlignment="1" applyProtection="1">
      <alignment horizontal="left" vertical="top"/>
      <protection hidden="1"/>
    </xf>
    <xf numFmtId="0" fontId="43" fillId="0" borderId="0" xfId="0" applyFont="1" applyFill="1" applyAlignment="1" applyProtection="1">
      <alignment vertical="top" wrapText="1"/>
      <protection hidden="1"/>
    </xf>
    <xf numFmtId="0" fontId="11" fillId="0" borderId="2" xfId="1" applyBorder="1" applyAlignment="1" applyProtection="1">
      <alignment horizontal="right" vertical="center"/>
      <protection locked="0" hidden="1"/>
    </xf>
    <xf numFmtId="0" fontId="0" fillId="0" borderId="2" xfId="0" applyFont="1" applyBorder="1" applyAlignment="1" applyProtection="1">
      <alignment horizontal="right" vertical="center"/>
      <protection locked="0" hidden="1"/>
    </xf>
    <xf numFmtId="0" fontId="13" fillId="0" borderId="4" xfId="0" applyFont="1" applyFill="1" applyBorder="1" applyAlignment="1" applyProtection="1">
      <alignment horizontal="left" vertical="center"/>
    </xf>
  </cellXfs>
  <cellStyles count="9">
    <cellStyle name="ハイパーリンク" xfId="1" builtinId="8"/>
    <cellStyle name="標準" xfId="0" builtinId="0"/>
    <cellStyle name="標準 2" xfId="2" xr:uid="{00000000-0005-0000-0000-000002000000}"/>
    <cellStyle name="標準 3" xfId="3" xr:uid="{00000000-0005-0000-0000-000003000000}"/>
    <cellStyle name="標準 4" xfId="4" xr:uid="{00000000-0005-0000-0000-000004000000}"/>
    <cellStyle name="標準 5" xfId="8" xr:uid="{CE7A27E1-07B5-4B9D-9304-FB52F1018F49}"/>
    <cellStyle name="標準 6" xfId="7" xr:uid="{684930D3-BA99-4DC9-B183-1A543F5E9438}"/>
    <cellStyle name="標準_コピー ～ H20.4～新様式" xfId="5" xr:uid="{00000000-0005-0000-0000-000005000000}"/>
    <cellStyle name="標準_建築設備の検査結果様式(A4)" xfId="6" xr:uid="{00000000-0005-0000-0000-000006000000}"/>
  </cellStyles>
  <dxfs count="585">
    <dxf>
      <numFmt numFmtId="0" formatCode="General"/>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FFFF00"/>
        </patternFill>
      </fill>
    </dxf>
    <dxf>
      <alignment horizontal="general" vertical="center" textRotation="0" wrapText="1" indent="0" justifyLastLine="0" shrinkToFit="0" readingOrder="0"/>
    </dxf>
    <dxf>
      <font>
        <strike/>
      </font>
    </dxf>
    <dxf>
      <font>
        <strike/>
      </font>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24994659260841701"/>
        </patternFill>
      </fill>
    </dxf>
    <dxf>
      <fill>
        <patternFill>
          <bgColor theme="5" tint="-0.24994659260841701"/>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FFCCCC"/>
        </patternFill>
      </fill>
    </dxf>
    <dxf>
      <fill>
        <patternFill>
          <bgColor rgb="FFFFCCCC"/>
        </patternFill>
      </fill>
    </dxf>
    <dxf>
      <fill>
        <patternFill>
          <bgColor rgb="FFFFCCCC"/>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99FF33"/>
        </patternFill>
      </fill>
    </dxf>
    <dxf>
      <fill>
        <patternFill>
          <bgColor theme="0" tint="-0.34998626667073579"/>
        </patternFill>
      </fill>
    </dxf>
    <dxf>
      <fill>
        <patternFill>
          <bgColor theme="5" tint="0.59996337778862885"/>
        </patternFill>
      </fill>
    </dxf>
    <dxf>
      <fill>
        <patternFill>
          <bgColor theme="2" tint="-0.24994659260841701"/>
        </patternFill>
      </fill>
    </dxf>
    <dxf>
      <fill>
        <patternFill>
          <bgColor theme="0" tint="-0.499984740745262"/>
        </patternFill>
      </fill>
    </dxf>
    <dxf>
      <fill>
        <patternFill>
          <bgColor rgb="FF99FF33"/>
        </patternFill>
      </fill>
    </dxf>
    <dxf>
      <fill>
        <patternFill>
          <bgColor rgb="FFFF0000"/>
        </patternFill>
      </fill>
    </dxf>
    <dxf>
      <fill>
        <patternFill>
          <bgColor rgb="FF99FF33"/>
        </patternFill>
      </fill>
    </dxf>
    <dxf>
      <fill>
        <patternFill patternType="none">
          <bgColor auto="1"/>
        </patternFill>
      </fill>
    </dxf>
    <dxf>
      <fill>
        <patternFill>
          <bgColor theme="9" tint="0.59996337778862885"/>
        </patternFill>
      </fill>
    </dxf>
    <dxf>
      <fill>
        <patternFill>
          <bgColor theme="7" tint="0.59996337778862885"/>
        </patternFill>
      </fill>
    </dxf>
    <dxf>
      <fill>
        <patternFill>
          <bgColor theme="8" tint="0.59996337778862885"/>
        </patternFill>
      </fill>
    </dxf>
    <dxf>
      <fill>
        <patternFill>
          <bgColor rgb="FFFF0000"/>
        </patternFill>
      </fill>
    </dxf>
    <dxf>
      <fill>
        <patternFill>
          <bgColor rgb="FFFF0000"/>
        </patternFill>
      </fill>
    </dxf>
    <dxf>
      <fill>
        <patternFill patternType="none">
          <bgColor auto="1"/>
        </patternFill>
      </fill>
    </dxf>
    <dxf>
      <fill>
        <patternFill>
          <bgColor rgb="FFFFFF66"/>
        </patternFill>
      </fill>
    </dxf>
    <dxf>
      <fill>
        <patternFill>
          <bgColor rgb="FFFF0000"/>
        </patternFill>
      </fill>
    </dxf>
    <dxf>
      <fill>
        <patternFill>
          <bgColor rgb="FF99FF33"/>
        </patternFill>
      </fill>
    </dxf>
    <dxf>
      <fill>
        <patternFill patternType="none">
          <bgColor auto="1"/>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theme="0" tint="-0.499984740745262"/>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theme="0" tint="-0.499984740745262"/>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FF6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66"/>
        </patternFill>
      </fill>
    </dxf>
    <dxf>
      <fill>
        <patternFill>
          <bgColor rgb="FFFF0000"/>
        </patternFill>
      </fill>
    </dxf>
    <dxf>
      <fill>
        <patternFill>
          <bgColor rgb="FFFF0000"/>
        </patternFill>
      </fill>
    </dxf>
    <dxf>
      <fill>
        <patternFill>
          <bgColor rgb="FFFF0000"/>
        </patternFill>
      </fill>
    </dxf>
    <dxf>
      <fill>
        <patternFill>
          <bgColor rgb="FFFFFF66"/>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bgColor rgb="FFFF0000"/>
        </patternFill>
      </fill>
    </dxf>
    <dxf>
      <fill>
        <patternFill patternType="none">
          <bgColor auto="1"/>
        </patternFill>
      </fill>
    </dxf>
    <dxf>
      <fill>
        <patternFill>
          <bgColor rgb="FFFFFF66"/>
        </patternFill>
      </fill>
    </dxf>
    <dxf>
      <fill>
        <patternFill>
          <bgColor rgb="FFFFFF66"/>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rgb="FF99FF33"/>
        </patternFill>
      </fill>
    </dxf>
    <dxf>
      <fill>
        <patternFill>
          <bgColor rgb="FFFFFF66"/>
        </patternFill>
      </fill>
    </dxf>
    <dxf>
      <fill>
        <patternFill>
          <bgColor rgb="FFFF0000"/>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theme="0"/>
        </patternFill>
      </fill>
    </dxf>
    <dxf>
      <fill>
        <patternFill>
          <bgColor rgb="FFFFFF66"/>
        </patternFill>
      </fill>
    </dxf>
    <dxf>
      <fill>
        <patternFill>
          <bgColor rgb="FFFF0000"/>
        </patternFill>
      </fill>
    </dxf>
    <dxf>
      <fill>
        <patternFill patternType="none">
          <bgColor auto="1"/>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theme="0"/>
        </patternFill>
      </fill>
    </dxf>
    <dxf>
      <fill>
        <patternFill>
          <bgColor theme="0"/>
        </patternFill>
      </fill>
    </dxf>
    <dxf>
      <fill>
        <patternFill>
          <bgColor rgb="FF99FF33"/>
        </patternFill>
      </fill>
    </dxf>
    <dxf>
      <fill>
        <patternFill>
          <bgColor rgb="FF99FF33"/>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numFmt numFmtId="0" formatCode="General"/>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patternType="none">
          <bgColor auto="1"/>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patternType="none">
          <bgColor auto="1"/>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patternType="none">
          <bgColor auto="1"/>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patternType="none">
          <bgColor auto="1"/>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6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patternType="darkGray"/>
      </fill>
    </dxf>
    <dxf>
      <fill>
        <patternFill patternType="darkGray"/>
      </fill>
    </dxf>
    <dxf>
      <fill>
        <patternFill patternType="darkGray"/>
      </fill>
    </dxf>
  </dxfs>
  <tableStyles count="0" defaultTableStyle="TableStyleMedium9" defaultPivotStyle="PivotStyleLight16"/>
  <colors>
    <mruColors>
      <color rgb="FF99FF33"/>
      <color rgb="FFCCFF66"/>
      <color rgb="FFFFCCCC"/>
      <color rgb="FFFFFF66"/>
      <color rgb="FF66FF33"/>
      <color rgb="FFFFFF00"/>
      <color rgb="FFD9D9D9"/>
      <color rgb="FF0563C1"/>
      <color rgb="FF9966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fmlaLink="$K$17" lockText="1" noThreeD="1"/>
</file>

<file path=xl/ctrlProps/ctrlProp10.xml><?xml version="1.0" encoding="utf-8"?>
<formControlPr xmlns="http://schemas.microsoft.com/office/spreadsheetml/2009/9/main" objectType="CheckBox" fmlaLink="$K$26" lockText="1" noThreeD="1"/>
</file>

<file path=xl/ctrlProps/ctrlProp11.xml><?xml version="1.0" encoding="utf-8"?>
<formControlPr xmlns="http://schemas.microsoft.com/office/spreadsheetml/2009/9/main" objectType="CheckBox" fmlaLink="$K$22" lockText="1" noThreeD="1"/>
</file>

<file path=xl/ctrlProps/ctrlProp12.xml><?xml version="1.0" encoding="utf-8"?>
<formControlPr xmlns="http://schemas.microsoft.com/office/spreadsheetml/2009/9/main" objectType="CheckBox" fmlaLink="$K$32" lockText="1" noThreeD="1"/>
</file>

<file path=xl/ctrlProps/ctrlProp13.xml><?xml version="1.0" encoding="utf-8"?>
<formControlPr xmlns="http://schemas.microsoft.com/office/spreadsheetml/2009/9/main" objectType="CheckBox" fmlaLink="$K$33" lockText="1" noThreeD="1"/>
</file>

<file path=xl/ctrlProps/ctrlProp14.xml><?xml version="1.0" encoding="utf-8"?>
<formControlPr xmlns="http://schemas.microsoft.com/office/spreadsheetml/2009/9/main" objectType="CheckBox" fmlaLink="$K$39" lockText="1" noThreeD="1"/>
</file>

<file path=xl/ctrlProps/ctrlProp15.xml><?xml version="1.0" encoding="utf-8"?>
<formControlPr xmlns="http://schemas.microsoft.com/office/spreadsheetml/2009/9/main" objectType="CheckBox" fmlaLink="$K$39" lockText="1" noThreeD="1"/>
</file>

<file path=xl/ctrlProps/ctrlProp16.xml><?xml version="1.0" encoding="utf-8"?>
<formControlPr xmlns="http://schemas.microsoft.com/office/spreadsheetml/2009/9/main" objectType="CheckBox" fmlaLink="$K$39" lockText="1" noThreeD="1"/>
</file>

<file path=xl/ctrlProps/ctrlProp17.xml><?xml version="1.0" encoding="utf-8"?>
<formControlPr xmlns="http://schemas.microsoft.com/office/spreadsheetml/2009/9/main" objectType="CheckBox" fmlaLink="$K$44" lockText="1" noThreeD="1"/>
</file>

<file path=xl/ctrlProps/ctrlProp18.xml><?xml version="1.0" encoding="utf-8"?>
<formControlPr xmlns="http://schemas.microsoft.com/office/spreadsheetml/2009/9/main" objectType="CheckBox" fmlaLink="$K$39" lockText="1" noThreeD="1"/>
</file>

<file path=xl/ctrlProps/ctrlProp19.xml><?xml version="1.0" encoding="utf-8"?>
<formControlPr xmlns="http://schemas.microsoft.com/office/spreadsheetml/2009/9/main" objectType="CheckBox" fmlaLink="$K$55" lockText="1" noThreeD="1"/>
</file>

<file path=xl/ctrlProps/ctrlProp2.xml><?xml version="1.0" encoding="utf-8"?>
<formControlPr xmlns="http://schemas.microsoft.com/office/spreadsheetml/2009/9/main" objectType="CheckBox" fmlaLink="$K$18" lockText="1" noThreeD="1"/>
</file>

<file path=xl/ctrlProps/ctrlProp20.xml><?xml version="1.0" encoding="utf-8"?>
<formControlPr xmlns="http://schemas.microsoft.com/office/spreadsheetml/2009/9/main" objectType="CheckBox" fmlaLink="$K$39" lockText="1" noThreeD="1"/>
</file>

<file path=xl/ctrlProps/ctrlProp21.xml><?xml version="1.0" encoding="utf-8"?>
<formControlPr xmlns="http://schemas.microsoft.com/office/spreadsheetml/2009/9/main" objectType="CheckBox" fmlaLink="$K$50" lockText="1" noThreeD="1"/>
</file>

<file path=xl/ctrlProps/ctrlProp22.xml><?xml version="1.0" encoding="utf-8"?>
<formControlPr xmlns="http://schemas.microsoft.com/office/spreadsheetml/2009/9/main" objectType="CheckBox" fmlaLink="$K$32" lockText="1" noThreeD="1"/>
</file>

<file path=xl/ctrlProps/ctrlProp23.xml><?xml version="1.0" encoding="utf-8"?>
<formControlPr xmlns="http://schemas.microsoft.com/office/spreadsheetml/2009/9/main" objectType="CheckBox" fmlaLink="$K$32" lockText="1" noThreeD="1"/>
</file>

<file path=xl/ctrlProps/ctrlProp24.xml><?xml version="1.0" encoding="utf-8"?>
<formControlPr xmlns="http://schemas.microsoft.com/office/spreadsheetml/2009/9/main" objectType="CheckBox" fmlaLink="DS46" lockText="1"/>
</file>

<file path=xl/ctrlProps/ctrlProp25.xml><?xml version="1.0" encoding="utf-8"?>
<formControlPr xmlns="http://schemas.microsoft.com/office/spreadsheetml/2009/9/main" objectType="CheckBox" fmlaLink="DS78"/>
</file>

<file path=xl/ctrlProps/ctrlProp26.xml><?xml version="1.0" encoding="utf-8"?>
<formControlPr xmlns="http://schemas.microsoft.com/office/spreadsheetml/2009/9/main" objectType="CheckBox" fmlaLink="#REF!"/>
</file>

<file path=xl/ctrlProps/ctrlProp27.xml><?xml version="1.0" encoding="utf-8"?>
<formControlPr xmlns="http://schemas.microsoft.com/office/spreadsheetml/2009/9/main" objectType="CheckBox" fmlaLink="#REF!"/>
</file>

<file path=xl/ctrlProps/ctrlProp28.xml><?xml version="1.0" encoding="utf-8"?>
<formControlPr xmlns="http://schemas.microsoft.com/office/spreadsheetml/2009/9/main" objectType="CheckBox" fmlaLink="#REF!"/>
</file>

<file path=xl/ctrlProps/ctrlProp29.xml><?xml version="1.0" encoding="utf-8"?>
<formControlPr xmlns="http://schemas.microsoft.com/office/spreadsheetml/2009/9/main" objectType="CheckBox" fmlaLink="$DS$96"/>
</file>

<file path=xl/ctrlProps/ctrlProp3.xml><?xml version="1.0" encoding="utf-8"?>
<formControlPr xmlns="http://schemas.microsoft.com/office/spreadsheetml/2009/9/main" objectType="CheckBox" fmlaLink="$K$23" lockText="1" noThreeD="1"/>
</file>

<file path=xl/ctrlProps/ctrlProp30.xml><?xml version="1.0" encoding="utf-8"?>
<formControlPr xmlns="http://schemas.microsoft.com/office/spreadsheetml/2009/9/main" objectType="CheckBox" fmlaLink="DS16" lockText="1"/>
</file>

<file path=xl/ctrlProps/ctrlProp31.xml><?xml version="1.0" encoding="utf-8"?>
<formControlPr xmlns="http://schemas.microsoft.com/office/spreadsheetml/2009/9/main" objectType="CheckBox" fmlaLink="DT16" lockText="1"/>
</file>

<file path=xl/ctrlProps/ctrlProp32.xml><?xml version="1.0" encoding="utf-8"?>
<formControlPr xmlns="http://schemas.microsoft.com/office/spreadsheetml/2009/9/main" objectType="CheckBox" fmlaLink="$DN$182" lockText="1"/>
</file>

<file path=xl/ctrlProps/ctrlProp4.xml><?xml version="1.0" encoding="utf-8"?>
<formControlPr xmlns="http://schemas.microsoft.com/office/spreadsheetml/2009/9/main" objectType="CheckBox" fmlaLink="$K$24" lockText="1" noThreeD="1"/>
</file>

<file path=xl/ctrlProps/ctrlProp5.xml><?xml version="1.0" encoding="utf-8"?>
<formControlPr xmlns="http://schemas.microsoft.com/office/spreadsheetml/2009/9/main" objectType="CheckBox" fmlaLink="$K$28" lockText="1" noThreeD="1"/>
</file>

<file path=xl/ctrlProps/ctrlProp6.xml><?xml version="1.0" encoding="utf-8"?>
<formControlPr xmlns="http://schemas.microsoft.com/office/spreadsheetml/2009/9/main" objectType="CheckBox" fmlaLink="$K$24" lockText="1" noThreeD="1"/>
</file>

<file path=xl/ctrlProps/ctrlProp7.xml><?xml version="1.0" encoding="utf-8"?>
<formControlPr xmlns="http://schemas.microsoft.com/office/spreadsheetml/2009/9/main" objectType="CheckBox" fmlaLink="$K$25" lockText="1" noThreeD="1"/>
</file>

<file path=xl/ctrlProps/ctrlProp8.xml><?xml version="1.0" encoding="utf-8"?>
<formControlPr xmlns="http://schemas.microsoft.com/office/spreadsheetml/2009/9/main" objectType="CheckBox" fmlaLink="$K$25" lockText="1" noThreeD="1"/>
</file>

<file path=xl/ctrlProps/ctrlProp9.xml><?xml version="1.0" encoding="utf-8"?>
<formControlPr xmlns="http://schemas.microsoft.com/office/spreadsheetml/2009/9/main" objectType="CheckBox" fmlaLink="$K$26"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4643</xdr:colOff>
      <xdr:row>52</xdr:row>
      <xdr:rowOff>58433</xdr:rowOff>
    </xdr:from>
    <xdr:to>
      <xdr:col>7</xdr:col>
      <xdr:colOff>611564</xdr:colOff>
      <xdr:row>54</xdr:row>
      <xdr:rowOff>312644</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9043" y="14336408"/>
          <a:ext cx="604520" cy="635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133350</xdr:colOff>
          <xdr:row>38</xdr:row>
          <xdr:rowOff>0</xdr:rowOff>
        </xdr:from>
        <xdr:to>
          <xdr:col>1</xdr:col>
          <xdr:colOff>495300</xdr:colOff>
          <xdr:row>39</xdr:row>
          <xdr:rowOff>38100</xdr:rowOff>
        </xdr:to>
        <xdr:sp macro="" textlink="">
          <xdr:nvSpPr>
            <xdr:cNvPr id="417794" name="Check Box 2" hidden="1">
              <a:extLst>
                <a:ext uri="{63B3BB69-23CF-44E3-9099-C40C66FF867C}">
                  <a14:compatExt spid="_x0000_s417794"/>
                </a:ext>
                <a:ext uri="{FF2B5EF4-FFF2-40B4-BE49-F238E27FC236}">
                  <a16:creationId xmlns:a16="http://schemas.microsoft.com/office/drawing/2014/main" id="{00000000-0008-0000-0100-000002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38</xdr:row>
          <xdr:rowOff>0</xdr:rowOff>
        </xdr:from>
        <xdr:to>
          <xdr:col>1</xdr:col>
          <xdr:colOff>495300</xdr:colOff>
          <xdr:row>39</xdr:row>
          <xdr:rowOff>38100</xdr:rowOff>
        </xdr:to>
        <xdr:sp macro="" textlink="">
          <xdr:nvSpPr>
            <xdr:cNvPr id="417795" name="Check Box 3" hidden="1">
              <a:extLst>
                <a:ext uri="{63B3BB69-23CF-44E3-9099-C40C66FF867C}">
                  <a14:compatExt spid="_x0000_s417795"/>
                </a:ext>
                <a:ext uri="{FF2B5EF4-FFF2-40B4-BE49-F238E27FC236}">
                  <a16:creationId xmlns:a16="http://schemas.microsoft.com/office/drawing/2014/main" id="{00000000-0008-0000-0100-000003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16</xdr:row>
          <xdr:rowOff>0</xdr:rowOff>
        </xdr:from>
        <xdr:to>
          <xdr:col>1</xdr:col>
          <xdr:colOff>495300</xdr:colOff>
          <xdr:row>17</xdr:row>
          <xdr:rowOff>38100</xdr:rowOff>
        </xdr:to>
        <xdr:sp macro="" textlink="">
          <xdr:nvSpPr>
            <xdr:cNvPr id="417797" name="Check Box 5" hidden="1">
              <a:extLst>
                <a:ext uri="{63B3BB69-23CF-44E3-9099-C40C66FF867C}">
                  <a14:compatExt spid="_x0000_s417797"/>
                </a:ext>
                <a:ext uri="{FF2B5EF4-FFF2-40B4-BE49-F238E27FC236}">
                  <a16:creationId xmlns:a16="http://schemas.microsoft.com/office/drawing/2014/main" id="{00000000-0008-0000-0100-000005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17</xdr:row>
          <xdr:rowOff>0</xdr:rowOff>
        </xdr:from>
        <xdr:to>
          <xdr:col>1</xdr:col>
          <xdr:colOff>495300</xdr:colOff>
          <xdr:row>18</xdr:row>
          <xdr:rowOff>38100</xdr:rowOff>
        </xdr:to>
        <xdr:sp macro="" textlink="">
          <xdr:nvSpPr>
            <xdr:cNvPr id="417798" name="Check Box 6" hidden="1">
              <a:extLst>
                <a:ext uri="{63B3BB69-23CF-44E3-9099-C40C66FF867C}">
                  <a14:compatExt spid="_x0000_s417798"/>
                </a:ext>
                <a:ext uri="{FF2B5EF4-FFF2-40B4-BE49-F238E27FC236}">
                  <a16:creationId xmlns:a16="http://schemas.microsoft.com/office/drawing/2014/main" id="{00000000-0008-0000-0100-000006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22</xdr:row>
          <xdr:rowOff>0</xdr:rowOff>
        </xdr:from>
        <xdr:to>
          <xdr:col>1</xdr:col>
          <xdr:colOff>495300</xdr:colOff>
          <xdr:row>23</xdr:row>
          <xdr:rowOff>38100</xdr:rowOff>
        </xdr:to>
        <xdr:sp macro="" textlink="">
          <xdr:nvSpPr>
            <xdr:cNvPr id="417799" name="Check Box 7" hidden="1">
              <a:extLst>
                <a:ext uri="{63B3BB69-23CF-44E3-9099-C40C66FF867C}">
                  <a14:compatExt spid="_x0000_s417799"/>
                </a:ext>
                <a:ext uri="{FF2B5EF4-FFF2-40B4-BE49-F238E27FC236}">
                  <a16:creationId xmlns:a16="http://schemas.microsoft.com/office/drawing/2014/main" id="{00000000-0008-0000-0100-000007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31</xdr:row>
          <xdr:rowOff>0</xdr:rowOff>
        </xdr:from>
        <xdr:to>
          <xdr:col>1</xdr:col>
          <xdr:colOff>495300</xdr:colOff>
          <xdr:row>32</xdr:row>
          <xdr:rowOff>38100</xdr:rowOff>
        </xdr:to>
        <xdr:sp macro="" textlink="">
          <xdr:nvSpPr>
            <xdr:cNvPr id="417800" name="Check Box 8" hidden="1">
              <a:extLst>
                <a:ext uri="{63B3BB69-23CF-44E3-9099-C40C66FF867C}">
                  <a14:compatExt spid="_x0000_s417800"/>
                </a:ext>
                <a:ext uri="{FF2B5EF4-FFF2-40B4-BE49-F238E27FC236}">
                  <a16:creationId xmlns:a16="http://schemas.microsoft.com/office/drawing/2014/main" id="{00000000-0008-0000-0100-000008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23</xdr:row>
          <xdr:rowOff>0</xdr:rowOff>
        </xdr:from>
        <xdr:to>
          <xdr:col>1</xdr:col>
          <xdr:colOff>495300</xdr:colOff>
          <xdr:row>24</xdr:row>
          <xdr:rowOff>38100</xdr:rowOff>
        </xdr:to>
        <xdr:sp macro="" textlink="">
          <xdr:nvSpPr>
            <xdr:cNvPr id="417801" name="Check Box 9" hidden="1">
              <a:extLst>
                <a:ext uri="{63B3BB69-23CF-44E3-9099-C40C66FF867C}">
                  <a14:compatExt spid="_x0000_s417801"/>
                </a:ext>
                <a:ext uri="{FF2B5EF4-FFF2-40B4-BE49-F238E27FC236}">
                  <a16:creationId xmlns:a16="http://schemas.microsoft.com/office/drawing/2014/main" id="{00000000-0008-0000-0100-000009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27</xdr:row>
          <xdr:rowOff>0</xdr:rowOff>
        </xdr:from>
        <xdr:to>
          <xdr:col>1</xdr:col>
          <xdr:colOff>495300</xdr:colOff>
          <xdr:row>28</xdr:row>
          <xdr:rowOff>38100</xdr:rowOff>
        </xdr:to>
        <xdr:sp macro="" textlink="">
          <xdr:nvSpPr>
            <xdr:cNvPr id="417802" name="Check Box 10" hidden="1">
              <a:extLst>
                <a:ext uri="{63B3BB69-23CF-44E3-9099-C40C66FF867C}">
                  <a14:compatExt spid="_x0000_s417802"/>
                </a:ext>
                <a:ext uri="{FF2B5EF4-FFF2-40B4-BE49-F238E27FC236}">
                  <a16:creationId xmlns:a16="http://schemas.microsoft.com/office/drawing/2014/main" id="{00000000-0008-0000-0100-00000A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31</xdr:row>
          <xdr:rowOff>0</xdr:rowOff>
        </xdr:from>
        <xdr:to>
          <xdr:col>1</xdr:col>
          <xdr:colOff>495300</xdr:colOff>
          <xdr:row>32</xdr:row>
          <xdr:rowOff>38100</xdr:rowOff>
        </xdr:to>
        <xdr:sp macro="" textlink="">
          <xdr:nvSpPr>
            <xdr:cNvPr id="417803" name="Check Box 11" hidden="1">
              <a:extLst>
                <a:ext uri="{63B3BB69-23CF-44E3-9099-C40C66FF867C}">
                  <a14:compatExt spid="_x0000_s417803"/>
                </a:ext>
                <a:ext uri="{FF2B5EF4-FFF2-40B4-BE49-F238E27FC236}">
                  <a16:creationId xmlns:a16="http://schemas.microsoft.com/office/drawing/2014/main" id="{00000000-0008-0000-0100-00000B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23</xdr:row>
          <xdr:rowOff>0</xdr:rowOff>
        </xdr:from>
        <xdr:to>
          <xdr:col>1</xdr:col>
          <xdr:colOff>495300</xdr:colOff>
          <xdr:row>24</xdr:row>
          <xdr:rowOff>38100</xdr:rowOff>
        </xdr:to>
        <xdr:sp macro="" textlink="">
          <xdr:nvSpPr>
            <xdr:cNvPr id="417805" name="Check Box 13" hidden="1">
              <a:extLst>
                <a:ext uri="{63B3BB69-23CF-44E3-9099-C40C66FF867C}">
                  <a14:compatExt spid="_x0000_s417805"/>
                </a:ext>
                <a:ext uri="{FF2B5EF4-FFF2-40B4-BE49-F238E27FC236}">
                  <a16:creationId xmlns:a16="http://schemas.microsoft.com/office/drawing/2014/main" id="{00000000-0008-0000-0100-00000D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24</xdr:row>
          <xdr:rowOff>0</xdr:rowOff>
        </xdr:from>
        <xdr:to>
          <xdr:col>1</xdr:col>
          <xdr:colOff>495300</xdr:colOff>
          <xdr:row>25</xdr:row>
          <xdr:rowOff>38100</xdr:rowOff>
        </xdr:to>
        <xdr:sp macro="" textlink="">
          <xdr:nvSpPr>
            <xdr:cNvPr id="417806" name="Check Box 14" hidden="1">
              <a:extLst>
                <a:ext uri="{63B3BB69-23CF-44E3-9099-C40C66FF867C}">
                  <a14:compatExt spid="_x0000_s417806"/>
                </a:ext>
                <a:ext uri="{FF2B5EF4-FFF2-40B4-BE49-F238E27FC236}">
                  <a16:creationId xmlns:a16="http://schemas.microsoft.com/office/drawing/2014/main" id="{00000000-0008-0000-0100-00000E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24</xdr:row>
          <xdr:rowOff>0</xdr:rowOff>
        </xdr:from>
        <xdr:to>
          <xdr:col>1</xdr:col>
          <xdr:colOff>495300</xdr:colOff>
          <xdr:row>25</xdr:row>
          <xdr:rowOff>38100</xdr:rowOff>
        </xdr:to>
        <xdr:sp macro="" textlink="">
          <xdr:nvSpPr>
            <xdr:cNvPr id="417807" name="Check Box 15" hidden="1">
              <a:extLst>
                <a:ext uri="{63B3BB69-23CF-44E3-9099-C40C66FF867C}">
                  <a14:compatExt spid="_x0000_s417807"/>
                </a:ext>
                <a:ext uri="{FF2B5EF4-FFF2-40B4-BE49-F238E27FC236}">
                  <a16:creationId xmlns:a16="http://schemas.microsoft.com/office/drawing/2014/main" id="{00000000-0008-0000-0100-00000F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25</xdr:row>
          <xdr:rowOff>0</xdr:rowOff>
        </xdr:from>
        <xdr:to>
          <xdr:col>1</xdr:col>
          <xdr:colOff>495300</xdr:colOff>
          <xdr:row>26</xdr:row>
          <xdr:rowOff>38100</xdr:rowOff>
        </xdr:to>
        <xdr:sp macro="" textlink="">
          <xdr:nvSpPr>
            <xdr:cNvPr id="417808" name="Check Box 16" hidden="1">
              <a:extLst>
                <a:ext uri="{63B3BB69-23CF-44E3-9099-C40C66FF867C}">
                  <a14:compatExt spid="_x0000_s417808"/>
                </a:ext>
                <a:ext uri="{FF2B5EF4-FFF2-40B4-BE49-F238E27FC236}">
                  <a16:creationId xmlns:a16="http://schemas.microsoft.com/office/drawing/2014/main" id="{00000000-0008-0000-0100-000010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25</xdr:row>
          <xdr:rowOff>0</xdr:rowOff>
        </xdr:from>
        <xdr:to>
          <xdr:col>1</xdr:col>
          <xdr:colOff>495300</xdr:colOff>
          <xdr:row>26</xdr:row>
          <xdr:rowOff>38100</xdr:rowOff>
        </xdr:to>
        <xdr:sp macro="" textlink="">
          <xdr:nvSpPr>
            <xdr:cNvPr id="417809" name="Check Box 17" hidden="1">
              <a:extLst>
                <a:ext uri="{63B3BB69-23CF-44E3-9099-C40C66FF867C}">
                  <a14:compatExt spid="_x0000_s417809"/>
                </a:ext>
                <a:ext uri="{FF2B5EF4-FFF2-40B4-BE49-F238E27FC236}">
                  <a16:creationId xmlns:a16="http://schemas.microsoft.com/office/drawing/2014/main" id="{00000000-0008-0000-0100-000011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21</xdr:row>
          <xdr:rowOff>0</xdr:rowOff>
        </xdr:from>
        <xdr:to>
          <xdr:col>1</xdr:col>
          <xdr:colOff>495300</xdr:colOff>
          <xdr:row>22</xdr:row>
          <xdr:rowOff>38100</xdr:rowOff>
        </xdr:to>
        <xdr:sp macro="" textlink="">
          <xdr:nvSpPr>
            <xdr:cNvPr id="417810" name="Check Box 18" hidden="1">
              <a:extLst>
                <a:ext uri="{63B3BB69-23CF-44E3-9099-C40C66FF867C}">
                  <a14:compatExt spid="_x0000_s417810"/>
                </a:ext>
                <a:ext uri="{FF2B5EF4-FFF2-40B4-BE49-F238E27FC236}">
                  <a16:creationId xmlns:a16="http://schemas.microsoft.com/office/drawing/2014/main" id="{00000000-0008-0000-0100-000012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32</xdr:row>
          <xdr:rowOff>0</xdr:rowOff>
        </xdr:from>
        <xdr:to>
          <xdr:col>1</xdr:col>
          <xdr:colOff>495300</xdr:colOff>
          <xdr:row>32</xdr:row>
          <xdr:rowOff>355600</xdr:rowOff>
        </xdr:to>
        <xdr:sp macro="" textlink="">
          <xdr:nvSpPr>
            <xdr:cNvPr id="417815" name="Check Box 23" hidden="1">
              <a:extLst>
                <a:ext uri="{63B3BB69-23CF-44E3-9099-C40C66FF867C}">
                  <a14:compatExt spid="_x0000_s417815"/>
                </a:ext>
                <a:ext uri="{FF2B5EF4-FFF2-40B4-BE49-F238E27FC236}">
                  <a16:creationId xmlns:a16="http://schemas.microsoft.com/office/drawing/2014/main" id="{00000000-0008-0000-0100-000017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32</xdr:row>
          <xdr:rowOff>0</xdr:rowOff>
        </xdr:from>
        <xdr:to>
          <xdr:col>1</xdr:col>
          <xdr:colOff>495300</xdr:colOff>
          <xdr:row>32</xdr:row>
          <xdr:rowOff>355600</xdr:rowOff>
        </xdr:to>
        <xdr:sp macro="" textlink="">
          <xdr:nvSpPr>
            <xdr:cNvPr id="417816" name="Check Box 24" hidden="1">
              <a:extLst>
                <a:ext uri="{63B3BB69-23CF-44E3-9099-C40C66FF867C}">
                  <a14:compatExt spid="_x0000_s417816"/>
                </a:ext>
                <a:ext uri="{FF2B5EF4-FFF2-40B4-BE49-F238E27FC236}">
                  <a16:creationId xmlns:a16="http://schemas.microsoft.com/office/drawing/2014/main" id="{00000000-0008-0000-0100-000018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43</xdr:row>
          <xdr:rowOff>0</xdr:rowOff>
        </xdr:from>
        <xdr:to>
          <xdr:col>1</xdr:col>
          <xdr:colOff>495300</xdr:colOff>
          <xdr:row>43</xdr:row>
          <xdr:rowOff>355600</xdr:rowOff>
        </xdr:to>
        <xdr:sp macro="" textlink="">
          <xdr:nvSpPr>
            <xdr:cNvPr id="417817" name="Check Box 25" hidden="1">
              <a:extLst>
                <a:ext uri="{63B3BB69-23CF-44E3-9099-C40C66FF867C}">
                  <a14:compatExt spid="_x0000_s417817"/>
                </a:ext>
                <a:ext uri="{FF2B5EF4-FFF2-40B4-BE49-F238E27FC236}">
                  <a16:creationId xmlns:a16="http://schemas.microsoft.com/office/drawing/2014/main" id="{00000000-0008-0000-0100-000019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43</xdr:row>
          <xdr:rowOff>0</xdr:rowOff>
        </xdr:from>
        <xdr:to>
          <xdr:col>1</xdr:col>
          <xdr:colOff>495300</xdr:colOff>
          <xdr:row>43</xdr:row>
          <xdr:rowOff>355600</xdr:rowOff>
        </xdr:to>
        <xdr:sp macro="" textlink="">
          <xdr:nvSpPr>
            <xdr:cNvPr id="417818" name="Check Box 26" hidden="1">
              <a:extLst>
                <a:ext uri="{63B3BB69-23CF-44E3-9099-C40C66FF867C}">
                  <a14:compatExt spid="_x0000_s417818"/>
                </a:ext>
                <a:ext uri="{FF2B5EF4-FFF2-40B4-BE49-F238E27FC236}">
                  <a16:creationId xmlns:a16="http://schemas.microsoft.com/office/drawing/2014/main" id="{00000000-0008-0000-0100-00001A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49</xdr:row>
          <xdr:rowOff>0</xdr:rowOff>
        </xdr:from>
        <xdr:to>
          <xdr:col>1</xdr:col>
          <xdr:colOff>495300</xdr:colOff>
          <xdr:row>49</xdr:row>
          <xdr:rowOff>355600</xdr:rowOff>
        </xdr:to>
        <xdr:sp macro="" textlink="">
          <xdr:nvSpPr>
            <xdr:cNvPr id="417819" name="Check Box 27" hidden="1">
              <a:extLst>
                <a:ext uri="{63B3BB69-23CF-44E3-9099-C40C66FF867C}">
                  <a14:compatExt spid="_x0000_s417819"/>
                </a:ext>
                <a:ext uri="{FF2B5EF4-FFF2-40B4-BE49-F238E27FC236}">
                  <a16:creationId xmlns:a16="http://schemas.microsoft.com/office/drawing/2014/main" id="{00000000-0008-0000-0100-00001B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49</xdr:row>
          <xdr:rowOff>0</xdr:rowOff>
        </xdr:from>
        <xdr:to>
          <xdr:col>1</xdr:col>
          <xdr:colOff>495300</xdr:colOff>
          <xdr:row>49</xdr:row>
          <xdr:rowOff>355600</xdr:rowOff>
        </xdr:to>
        <xdr:sp macro="" textlink="">
          <xdr:nvSpPr>
            <xdr:cNvPr id="417820" name="Check Box 28" hidden="1">
              <a:extLst>
                <a:ext uri="{63B3BB69-23CF-44E3-9099-C40C66FF867C}">
                  <a14:compatExt spid="_x0000_s417820"/>
                </a:ext>
                <a:ext uri="{FF2B5EF4-FFF2-40B4-BE49-F238E27FC236}">
                  <a16:creationId xmlns:a16="http://schemas.microsoft.com/office/drawing/2014/main" id="{00000000-0008-0000-0100-00001C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54</xdr:row>
          <xdr:rowOff>0</xdr:rowOff>
        </xdr:from>
        <xdr:to>
          <xdr:col>1</xdr:col>
          <xdr:colOff>495300</xdr:colOff>
          <xdr:row>54</xdr:row>
          <xdr:rowOff>355600</xdr:rowOff>
        </xdr:to>
        <xdr:sp macro="" textlink="">
          <xdr:nvSpPr>
            <xdr:cNvPr id="417821" name="Check Box 29" hidden="1">
              <a:extLst>
                <a:ext uri="{63B3BB69-23CF-44E3-9099-C40C66FF867C}">
                  <a14:compatExt spid="_x0000_s417821"/>
                </a:ext>
                <a:ext uri="{FF2B5EF4-FFF2-40B4-BE49-F238E27FC236}">
                  <a16:creationId xmlns:a16="http://schemas.microsoft.com/office/drawing/2014/main" id="{00000000-0008-0000-0100-00001D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54</xdr:row>
          <xdr:rowOff>0</xdr:rowOff>
        </xdr:from>
        <xdr:to>
          <xdr:col>1</xdr:col>
          <xdr:colOff>495300</xdr:colOff>
          <xdr:row>54</xdr:row>
          <xdr:rowOff>355600</xdr:rowOff>
        </xdr:to>
        <xdr:sp macro="" textlink="">
          <xdr:nvSpPr>
            <xdr:cNvPr id="417822" name="Check Box 30" hidden="1">
              <a:extLst>
                <a:ext uri="{63B3BB69-23CF-44E3-9099-C40C66FF867C}">
                  <a14:compatExt spid="_x0000_s417822"/>
                </a:ext>
                <a:ext uri="{FF2B5EF4-FFF2-40B4-BE49-F238E27FC236}">
                  <a16:creationId xmlns:a16="http://schemas.microsoft.com/office/drawing/2014/main" id="{00000000-0008-0000-0100-00001E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127000</xdr:colOff>
          <xdr:row>45</xdr:row>
          <xdr:rowOff>88900</xdr:rowOff>
        </xdr:from>
        <xdr:to>
          <xdr:col>24</xdr:col>
          <xdr:colOff>88900</xdr:colOff>
          <xdr:row>45</xdr:row>
          <xdr:rowOff>342900</xdr:rowOff>
        </xdr:to>
        <xdr:sp macro="" textlink="">
          <xdr:nvSpPr>
            <xdr:cNvPr id="404481" name="Check Box 1" descr="勤務先同一&#10;" hidden="1">
              <a:extLst>
                <a:ext uri="{63B3BB69-23CF-44E3-9099-C40C66FF867C}">
                  <a14:compatExt spid="_x0000_s404481"/>
                </a:ext>
                <a:ext uri="{FF2B5EF4-FFF2-40B4-BE49-F238E27FC236}">
                  <a16:creationId xmlns:a16="http://schemas.microsoft.com/office/drawing/2014/main" id="{00000000-0008-0000-0200-0000012C0600}"/>
                </a:ext>
              </a:extLst>
            </xdr:cNvPr>
            <xdr:cNvSpPr/>
          </xdr:nvSpPr>
          <xdr:spPr bwMode="auto">
            <a:xfrm>
              <a:off x="0" y="0"/>
              <a:ext cx="0" cy="0"/>
            </a:xfrm>
            <a:prstGeom prst="rect">
              <a:avLst/>
            </a:prstGeom>
            <a:noFill/>
            <a:ln w="9525">
              <a:solidFill>
                <a:srgbClr val="000000" mc:Ignorable="a14" a14:legacySpreadsheetColorIndex="64"/>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所有者と同一</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31750</xdr:colOff>
          <xdr:row>77</xdr:row>
          <xdr:rowOff>95250</xdr:rowOff>
        </xdr:from>
        <xdr:to>
          <xdr:col>36</xdr:col>
          <xdr:colOff>0</xdr:colOff>
          <xdr:row>77</xdr:row>
          <xdr:rowOff>381000</xdr:rowOff>
        </xdr:to>
        <xdr:sp macro="" textlink="">
          <xdr:nvSpPr>
            <xdr:cNvPr id="404506" name="Check Box 26" descr="勤務先同一&#10;" hidden="1">
              <a:extLst>
                <a:ext uri="{63B3BB69-23CF-44E3-9099-C40C66FF867C}">
                  <a14:compatExt spid="_x0000_s404506"/>
                </a:ext>
                <a:ext uri="{FF2B5EF4-FFF2-40B4-BE49-F238E27FC236}">
                  <a16:creationId xmlns:a16="http://schemas.microsoft.com/office/drawing/2014/main" id="{00000000-0008-0000-0200-00001A2C0600}"/>
                </a:ext>
              </a:extLst>
            </xdr:cNvPr>
            <xdr:cNvSpPr/>
          </xdr:nvSpPr>
          <xdr:spPr bwMode="auto">
            <a:xfrm>
              <a:off x="0" y="0"/>
              <a:ext cx="0" cy="0"/>
            </a:xfrm>
            <a:prstGeom prst="rect">
              <a:avLst/>
            </a:prstGeom>
            <a:noFill/>
            <a:ln w="9525">
              <a:solidFill>
                <a:srgbClr val="000000" mc:Ignorable="a14" a14:legacySpreadsheetColorIndex="64"/>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代表となる調査者と勤務先が同一</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127000</xdr:colOff>
          <xdr:row>196</xdr:row>
          <xdr:rowOff>0</xdr:rowOff>
        </xdr:from>
        <xdr:to>
          <xdr:col>28</xdr:col>
          <xdr:colOff>0</xdr:colOff>
          <xdr:row>196</xdr:row>
          <xdr:rowOff>279400</xdr:rowOff>
        </xdr:to>
        <xdr:sp macro="" textlink="">
          <xdr:nvSpPr>
            <xdr:cNvPr id="404521" name="Check Box 41" descr="勤務先同一&#10;" hidden="1">
              <a:extLst>
                <a:ext uri="{63B3BB69-23CF-44E3-9099-C40C66FF867C}">
                  <a14:compatExt spid="_x0000_s404521"/>
                </a:ext>
                <a:ext uri="{FF2B5EF4-FFF2-40B4-BE49-F238E27FC236}">
                  <a16:creationId xmlns:a16="http://schemas.microsoft.com/office/drawing/2014/main" id="{00000000-0008-0000-0200-000029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128</xdr:col>
      <xdr:colOff>95811</xdr:colOff>
      <xdr:row>412</xdr:row>
      <xdr:rowOff>117662</xdr:rowOff>
    </xdr:from>
    <xdr:to>
      <xdr:col>130</xdr:col>
      <xdr:colOff>23489</xdr:colOff>
      <xdr:row>412</xdr:row>
      <xdr:rowOff>659466</xdr:rowOff>
    </xdr:to>
    <xdr:sp macro="" textlink="">
      <xdr:nvSpPr>
        <xdr:cNvPr id="5" name="吹き出し: 四角形 4">
          <a:extLst>
            <a:ext uri="{FF2B5EF4-FFF2-40B4-BE49-F238E27FC236}">
              <a16:creationId xmlns:a16="http://schemas.microsoft.com/office/drawing/2014/main" id="{00000000-0008-0000-0200-000005000000}"/>
            </a:ext>
          </a:extLst>
        </xdr:cNvPr>
        <xdr:cNvSpPr/>
      </xdr:nvSpPr>
      <xdr:spPr>
        <a:xfrm>
          <a:off x="27889761" y="140678087"/>
          <a:ext cx="1051628" cy="541804"/>
        </a:xfrm>
        <a:prstGeom prst="wedgeRectCallout">
          <a:avLst>
            <a:gd name="adj1" fmla="val -106720"/>
            <a:gd name="adj2" fmla="val 307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既存不適格でも概要を転記</a:t>
          </a:r>
        </a:p>
      </xdr:txBody>
    </xdr:sp>
    <xdr:clientData/>
  </xdr:twoCellAnchor>
  <mc:AlternateContent xmlns:mc="http://schemas.openxmlformats.org/markup-compatibility/2006">
    <mc:Choice xmlns:a14="http://schemas.microsoft.com/office/drawing/2010/main" Requires="a14">
      <xdr:twoCellAnchor editAs="oneCell">
        <xdr:from>
          <xdr:col>171</xdr:col>
          <xdr:colOff>0</xdr:colOff>
          <xdr:row>196</xdr:row>
          <xdr:rowOff>0</xdr:rowOff>
        </xdr:from>
        <xdr:to>
          <xdr:col>232</xdr:col>
          <xdr:colOff>57150</xdr:colOff>
          <xdr:row>196</xdr:row>
          <xdr:rowOff>279400</xdr:rowOff>
        </xdr:to>
        <xdr:sp macro="" textlink="">
          <xdr:nvSpPr>
            <xdr:cNvPr id="404533" name="Check Box 53" descr="勤務先同一&#10;" hidden="1">
              <a:extLst>
                <a:ext uri="{63B3BB69-23CF-44E3-9099-C40C66FF867C}">
                  <a14:compatExt spid="_x0000_s404533"/>
                </a:ext>
                <a:ext uri="{FF2B5EF4-FFF2-40B4-BE49-F238E27FC236}">
                  <a16:creationId xmlns:a16="http://schemas.microsoft.com/office/drawing/2014/main" id="{00000000-0008-0000-0200-000035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171</xdr:col>
          <xdr:colOff>0</xdr:colOff>
          <xdr:row>196</xdr:row>
          <xdr:rowOff>0</xdr:rowOff>
        </xdr:from>
        <xdr:to>
          <xdr:col>232</xdr:col>
          <xdr:colOff>57150</xdr:colOff>
          <xdr:row>196</xdr:row>
          <xdr:rowOff>279400</xdr:rowOff>
        </xdr:to>
        <xdr:sp macro="" textlink="">
          <xdr:nvSpPr>
            <xdr:cNvPr id="404537" name="Check Box 57" descr="勤務先同一&#10;" hidden="1">
              <a:extLst>
                <a:ext uri="{63B3BB69-23CF-44E3-9099-C40C66FF867C}">
                  <a14:compatExt spid="_x0000_s404537"/>
                </a:ext>
                <a:ext uri="{FF2B5EF4-FFF2-40B4-BE49-F238E27FC236}">
                  <a16:creationId xmlns:a16="http://schemas.microsoft.com/office/drawing/2014/main" id="{00000000-0008-0000-0200-0000392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31750</xdr:colOff>
          <xdr:row>95</xdr:row>
          <xdr:rowOff>95250</xdr:rowOff>
        </xdr:from>
        <xdr:to>
          <xdr:col>36</xdr:col>
          <xdr:colOff>0</xdr:colOff>
          <xdr:row>95</xdr:row>
          <xdr:rowOff>381000</xdr:rowOff>
        </xdr:to>
        <xdr:sp macro="" textlink="">
          <xdr:nvSpPr>
            <xdr:cNvPr id="404539" name="Check Box 59" descr="代表となる調査者と勤務先が同じ&#10;" hidden="1">
              <a:extLst>
                <a:ext uri="{63B3BB69-23CF-44E3-9099-C40C66FF867C}">
                  <a14:compatExt spid="_x0000_s404539"/>
                </a:ext>
                <a:ext uri="{FF2B5EF4-FFF2-40B4-BE49-F238E27FC236}">
                  <a16:creationId xmlns:a16="http://schemas.microsoft.com/office/drawing/2014/main" id="{00000000-0008-0000-0200-00003B2C0600}"/>
                </a:ext>
              </a:extLst>
            </xdr:cNvPr>
            <xdr:cNvSpPr/>
          </xdr:nvSpPr>
          <xdr:spPr bwMode="auto">
            <a:xfrm>
              <a:off x="0" y="0"/>
              <a:ext cx="0" cy="0"/>
            </a:xfrm>
            <a:prstGeom prst="rect">
              <a:avLst/>
            </a:prstGeom>
            <a:noFill/>
            <a:ln w="9525">
              <a:solidFill>
                <a:srgbClr val="000000" mc:Ignorable="a14" a14:legacySpreadsheetColorIndex="64"/>
              </a:solidFill>
              <a:miter lim="800000"/>
              <a:headEnd/>
              <a:tailEnd/>
            </a:ln>
            <a:extLst>
              <a:ext uri="{909E8E84-426E-40DD-AFC4-6F175D3DCCD1}">
                <a14:hiddenFill>
                  <a:solidFill>
                    <a:srgbClr val="C0C0C0" mc:Ignorable="a14" a14:legacySpreadsheetColorIndex="22"/>
                  </a:solidFill>
                </a14:hiddenFill>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代表となる調査者と勤務先が同一</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181</xdr:row>
          <xdr:rowOff>88900</xdr:rowOff>
        </xdr:from>
        <xdr:to>
          <xdr:col>37</xdr:col>
          <xdr:colOff>0</xdr:colOff>
          <xdr:row>181</xdr:row>
          <xdr:rowOff>342900</xdr:rowOff>
        </xdr:to>
        <xdr:sp macro="" textlink="">
          <xdr:nvSpPr>
            <xdr:cNvPr id="404610" name="Check Box 130" hidden="1">
              <a:extLst>
                <a:ext uri="{63B3BB69-23CF-44E3-9099-C40C66FF867C}">
                  <a14:compatExt spid="_x0000_s404610"/>
                </a:ext>
                <a:ext uri="{FF2B5EF4-FFF2-40B4-BE49-F238E27FC236}">
                  <a16:creationId xmlns:a16="http://schemas.microsoft.com/office/drawing/2014/main" id="{00000000-0008-0000-0200-0000822C0600}"/>
                </a:ext>
              </a:extLst>
            </xdr:cNvPr>
            <xdr:cNvSpPr/>
          </xdr:nvSpPr>
          <xdr:spPr bwMode="auto">
            <a:xfrm>
              <a:off x="0" y="0"/>
              <a:ext cx="0" cy="0"/>
            </a:xfrm>
            <a:prstGeom prst="rect">
              <a:avLst/>
            </a:prstGeom>
            <a:noFill/>
            <a:ln w="9525">
              <a:solidFill>
                <a:srgbClr val="000000" mc:Ignorable="a14" a14:legacySpreadsheetColorIndex="8"/>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直近に記載の確認と同一</a:t>
              </a:r>
            </a:p>
          </xdr:txBody>
        </xdr:sp>
        <xdr:clientData/>
      </xdr:twoCellAnchor>
    </mc:Choice>
    <mc:Fallback/>
  </mc:AlternateContent>
  <xdr:twoCellAnchor>
    <xdr:from>
      <xdr:col>127</xdr:col>
      <xdr:colOff>324411</xdr:colOff>
      <xdr:row>473</xdr:row>
      <xdr:rowOff>212912</xdr:rowOff>
    </xdr:from>
    <xdr:to>
      <xdr:col>129</xdr:col>
      <xdr:colOff>252089</xdr:colOff>
      <xdr:row>473</xdr:row>
      <xdr:rowOff>754716</xdr:rowOff>
    </xdr:to>
    <xdr:sp macro="" textlink="">
      <xdr:nvSpPr>
        <xdr:cNvPr id="10" name="吹き出し: 四角形 9">
          <a:extLst>
            <a:ext uri="{FF2B5EF4-FFF2-40B4-BE49-F238E27FC236}">
              <a16:creationId xmlns:a16="http://schemas.microsoft.com/office/drawing/2014/main" id="{00000000-0008-0000-0200-00000A000000}"/>
            </a:ext>
          </a:extLst>
        </xdr:cNvPr>
        <xdr:cNvSpPr/>
      </xdr:nvSpPr>
      <xdr:spPr>
        <a:xfrm>
          <a:off x="20812686" y="140430437"/>
          <a:ext cx="1051628" cy="541804"/>
        </a:xfrm>
        <a:prstGeom prst="wedgeRectCallout">
          <a:avLst>
            <a:gd name="adj1" fmla="val -106720"/>
            <a:gd name="adj2" fmla="val 307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既存不適格でも概要を転記</a:t>
          </a:r>
        </a:p>
      </xdr:txBody>
    </xdr:sp>
    <xdr:clientData/>
  </xdr:twoCellAnchor>
  <mc:AlternateContent xmlns:mc="http://schemas.openxmlformats.org/markup-compatibility/2006">
    <mc:Choice xmlns:a14="http://schemas.microsoft.com/office/drawing/2010/main" Requires="a14">
      <xdr:twoCellAnchor editAs="oneCell">
        <xdr:from>
          <xdr:col>27</xdr:col>
          <xdr:colOff>12700</xdr:colOff>
          <xdr:row>15</xdr:row>
          <xdr:rowOff>95250</xdr:rowOff>
        </xdr:from>
        <xdr:to>
          <xdr:col>36</xdr:col>
          <xdr:colOff>95250</xdr:colOff>
          <xdr:row>15</xdr:row>
          <xdr:rowOff>342900</xdr:rowOff>
        </xdr:to>
        <xdr:sp macro="" textlink="">
          <xdr:nvSpPr>
            <xdr:cNvPr id="404613" name="Check Box 133" descr="勤務先同一&#10;" hidden="1">
              <a:extLst>
                <a:ext uri="{63B3BB69-23CF-44E3-9099-C40C66FF867C}">
                  <a14:compatExt spid="_x0000_s404613"/>
                </a:ext>
                <a:ext uri="{FF2B5EF4-FFF2-40B4-BE49-F238E27FC236}">
                  <a16:creationId xmlns:a16="http://schemas.microsoft.com/office/drawing/2014/main" id="{00000000-0008-0000-0200-0000852C0600}"/>
                </a:ext>
              </a:extLst>
            </xdr:cNvPr>
            <xdr:cNvSpPr/>
          </xdr:nvSpPr>
          <xdr:spPr bwMode="auto">
            <a:xfrm>
              <a:off x="0" y="0"/>
              <a:ext cx="0" cy="0"/>
            </a:xfrm>
            <a:prstGeom prst="rect">
              <a:avLst/>
            </a:prstGeom>
            <a:noFill/>
            <a:ln w="9525">
              <a:solidFill>
                <a:srgbClr val="000000" mc:Ignorable="a14" a14:legacySpreadsheetColorIndex="64"/>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代表となる調査者と同一</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50800</xdr:colOff>
          <xdr:row>15</xdr:row>
          <xdr:rowOff>95250</xdr:rowOff>
        </xdr:from>
        <xdr:to>
          <xdr:col>49</xdr:col>
          <xdr:colOff>31750</xdr:colOff>
          <xdr:row>15</xdr:row>
          <xdr:rowOff>342900</xdr:rowOff>
        </xdr:to>
        <xdr:sp macro="" textlink="">
          <xdr:nvSpPr>
            <xdr:cNvPr id="404614" name="Check Box 134" descr="勤務先同一&#10;" hidden="1">
              <a:extLst>
                <a:ext uri="{63B3BB69-23CF-44E3-9099-C40C66FF867C}">
                  <a14:compatExt spid="_x0000_s404614"/>
                </a:ext>
                <a:ext uri="{FF2B5EF4-FFF2-40B4-BE49-F238E27FC236}">
                  <a16:creationId xmlns:a16="http://schemas.microsoft.com/office/drawing/2014/main" id="{00000000-0008-0000-0200-0000862C0600}"/>
                </a:ext>
              </a:extLst>
            </xdr:cNvPr>
            <xdr:cNvSpPr/>
          </xdr:nvSpPr>
          <xdr:spPr bwMode="auto">
            <a:xfrm>
              <a:off x="0" y="0"/>
              <a:ext cx="0" cy="0"/>
            </a:xfrm>
            <a:prstGeom prst="rect">
              <a:avLst/>
            </a:prstGeom>
            <a:noFill/>
            <a:ln w="9525">
              <a:solidFill>
                <a:srgbClr val="000000" mc:Ignorable="a14" a14:legacySpreadsheetColorIndex="64"/>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代表となる調査者と勤務先が同一</a:t>
              </a:r>
            </a:p>
          </xdr:txBody>
        </xdr:sp>
        <xdr:clientData fLocksWithSheet="0"/>
      </xdr:twoCellAnchor>
    </mc:Choice>
    <mc:Fallback/>
  </mc:AlternateContent>
  <xdr:twoCellAnchor>
    <xdr:from>
      <xdr:col>73</xdr:col>
      <xdr:colOff>0</xdr:colOff>
      <xdr:row>32</xdr:row>
      <xdr:rowOff>1</xdr:rowOff>
    </xdr:from>
    <xdr:to>
      <xdr:col>74</xdr:col>
      <xdr:colOff>17670</xdr:colOff>
      <xdr:row>38</xdr:row>
      <xdr:rowOff>0</xdr:rowOff>
    </xdr:to>
    <xdr:sp macro="" textlink="">
      <xdr:nvSpPr>
        <xdr:cNvPr id="2" name="右中かっこ 1">
          <a:extLst>
            <a:ext uri="{FF2B5EF4-FFF2-40B4-BE49-F238E27FC236}">
              <a16:creationId xmlns:a16="http://schemas.microsoft.com/office/drawing/2014/main" id="{00000000-0008-0000-0200-000002000000}"/>
            </a:ext>
          </a:extLst>
        </xdr:cNvPr>
        <xdr:cNvSpPr/>
      </xdr:nvSpPr>
      <xdr:spPr>
        <a:xfrm>
          <a:off x="10735235" y="7664825"/>
          <a:ext cx="174553" cy="2084293"/>
        </a:xfrm>
        <a:prstGeom prst="rightBrace">
          <a:avLst>
            <a:gd name="adj1" fmla="val 41666"/>
            <a:gd name="adj2" fmla="val 50000"/>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72</xdr:col>
      <xdr:colOff>139212</xdr:colOff>
      <xdr:row>46</xdr:row>
      <xdr:rowOff>0</xdr:rowOff>
    </xdr:from>
    <xdr:to>
      <xdr:col>74</xdr:col>
      <xdr:colOff>0</xdr:colOff>
      <xdr:row>51</xdr:row>
      <xdr:rowOff>347381</xdr:rowOff>
    </xdr:to>
    <xdr:sp macro="" textlink="">
      <xdr:nvSpPr>
        <xdr:cNvPr id="15" name="右中かっこ 14">
          <a:extLst>
            <a:ext uri="{FF2B5EF4-FFF2-40B4-BE49-F238E27FC236}">
              <a16:creationId xmlns:a16="http://schemas.microsoft.com/office/drawing/2014/main" id="{00000000-0008-0000-0200-00000F000000}"/>
            </a:ext>
          </a:extLst>
        </xdr:cNvPr>
        <xdr:cNvSpPr/>
      </xdr:nvSpPr>
      <xdr:spPr>
        <a:xfrm>
          <a:off x="10717565" y="11486029"/>
          <a:ext cx="174553" cy="2084293"/>
        </a:xfrm>
        <a:prstGeom prst="rightBrace">
          <a:avLst>
            <a:gd name="adj1" fmla="val 41666"/>
            <a:gd name="adj2" fmla="val 50000"/>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72</xdr:col>
      <xdr:colOff>139212</xdr:colOff>
      <xdr:row>211</xdr:row>
      <xdr:rowOff>0</xdr:rowOff>
    </xdr:from>
    <xdr:to>
      <xdr:col>74</xdr:col>
      <xdr:colOff>0</xdr:colOff>
      <xdr:row>216</xdr:row>
      <xdr:rowOff>347381</xdr:rowOff>
    </xdr:to>
    <xdr:sp macro="" textlink="">
      <xdr:nvSpPr>
        <xdr:cNvPr id="16" name="右中かっこ 15">
          <a:extLst>
            <a:ext uri="{FF2B5EF4-FFF2-40B4-BE49-F238E27FC236}">
              <a16:creationId xmlns:a16="http://schemas.microsoft.com/office/drawing/2014/main" id="{00000000-0008-0000-0200-000010000000}"/>
            </a:ext>
          </a:extLst>
        </xdr:cNvPr>
        <xdr:cNvSpPr/>
      </xdr:nvSpPr>
      <xdr:spPr>
        <a:xfrm>
          <a:off x="10717565" y="58853294"/>
          <a:ext cx="174553" cy="2084293"/>
        </a:xfrm>
        <a:prstGeom prst="rightBrace">
          <a:avLst>
            <a:gd name="adj1" fmla="val 41666"/>
            <a:gd name="adj2" fmla="val 50000"/>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82</xdr:col>
      <xdr:colOff>156882</xdr:colOff>
      <xdr:row>261</xdr:row>
      <xdr:rowOff>1</xdr:rowOff>
    </xdr:from>
    <xdr:to>
      <xdr:col>84</xdr:col>
      <xdr:colOff>0</xdr:colOff>
      <xdr:row>263</xdr:row>
      <xdr:rowOff>0</xdr:rowOff>
    </xdr:to>
    <xdr:sp macro="" textlink="">
      <xdr:nvSpPr>
        <xdr:cNvPr id="17" name="右中かっこ 16">
          <a:extLst>
            <a:ext uri="{FF2B5EF4-FFF2-40B4-BE49-F238E27FC236}">
              <a16:creationId xmlns:a16="http://schemas.microsoft.com/office/drawing/2014/main" id="{00000000-0008-0000-0200-000011000000}"/>
            </a:ext>
          </a:extLst>
        </xdr:cNvPr>
        <xdr:cNvSpPr/>
      </xdr:nvSpPr>
      <xdr:spPr>
        <a:xfrm>
          <a:off x="12304058" y="72815825"/>
          <a:ext cx="156883" cy="694763"/>
        </a:xfrm>
        <a:prstGeom prst="rightBrace">
          <a:avLst>
            <a:gd name="adj1" fmla="val 41666"/>
            <a:gd name="adj2" fmla="val 50000"/>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73</xdr:col>
      <xdr:colOff>0</xdr:colOff>
      <xdr:row>274</xdr:row>
      <xdr:rowOff>1</xdr:rowOff>
    </xdr:from>
    <xdr:to>
      <xdr:col>74</xdr:col>
      <xdr:colOff>0</xdr:colOff>
      <xdr:row>276</xdr:row>
      <xdr:rowOff>0</xdr:rowOff>
    </xdr:to>
    <xdr:sp macro="" textlink="">
      <xdr:nvSpPr>
        <xdr:cNvPr id="18" name="右中かっこ 17">
          <a:extLst>
            <a:ext uri="{FF2B5EF4-FFF2-40B4-BE49-F238E27FC236}">
              <a16:creationId xmlns:a16="http://schemas.microsoft.com/office/drawing/2014/main" id="{00000000-0008-0000-0200-000012000000}"/>
            </a:ext>
          </a:extLst>
        </xdr:cNvPr>
        <xdr:cNvSpPr/>
      </xdr:nvSpPr>
      <xdr:spPr>
        <a:xfrm>
          <a:off x="10735235" y="74900119"/>
          <a:ext cx="156883" cy="694763"/>
        </a:xfrm>
        <a:prstGeom prst="rightBrace">
          <a:avLst>
            <a:gd name="adj1" fmla="val 41666"/>
            <a:gd name="adj2" fmla="val 50000"/>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73</xdr:col>
      <xdr:colOff>0</xdr:colOff>
      <xdr:row>277</xdr:row>
      <xdr:rowOff>0</xdr:rowOff>
    </xdr:from>
    <xdr:to>
      <xdr:col>74</xdr:col>
      <xdr:colOff>0</xdr:colOff>
      <xdr:row>278</xdr:row>
      <xdr:rowOff>347381</xdr:rowOff>
    </xdr:to>
    <xdr:sp macro="" textlink="">
      <xdr:nvSpPr>
        <xdr:cNvPr id="19" name="右中かっこ 18">
          <a:extLst>
            <a:ext uri="{FF2B5EF4-FFF2-40B4-BE49-F238E27FC236}">
              <a16:creationId xmlns:a16="http://schemas.microsoft.com/office/drawing/2014/main" id="{00000000-0008-0000-0200-000013000000}"/>
            </a:ext>
          </a:extLst>
        </xdr:cNvPr>
        <xdr:cNvSpPr/>
      </xdr:nvSpPr>
      <xdr:spPr>
        <a:xfrm>
          <a:off x="10735235" y="75942265"/>
          <a:ext cx="156883" cy="694763"/>
        </a:xfrm>
        <a:prstGeom prst="rightBrace">
          <a:avLst>
            <a:gd name="adj1" fmla="val 41666"/>
            <a:gd name="adj2" fmla="val 50000"/>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73</xdr:col>
      <xdr:colOff>0</xdr:colOff>
      <xdr:row>231</xdr:row>
      <xdr:rowOff>0</xdr:rowOff>
    </xdr:from>
    <xdr:to>
      <xdr:col>74</xdr:col>
      <xdr:colOff>0</xdr:colOff>
      <xdr:row>235</xdr:row>
      <xdr:rowOff>0</xdr:rowOff>
    </xdr:to>
    <xdr:sp macro="" textlink="">
      <xdr:nvSpPr>
        <xdr:cNvPr id="20" name="右中かっこ 19">
          <a:extLst>
            <a:ext uri="{FF2B5EF4-FFF2-40B4-BE49-F238E27FC236}">
              <a16:creationId xmlns:a16="http://schemas.microsoft.com/office/drawing/2014/main" id="{00000000-0008-0000-0200-000014000000}"/>
            </a:ext>
          </a:extLst>
        </xdr:cNvPr>
        <xdr:cNvSpPr/>
      </xdr:nvSpPr>
      <xdr:spPr>
        <a:xfrm>
          <a:off x="11416393" y="63096321"/>
          <a:ext cx="163286" cy="1360715"/>
        </a:xfrm>
        <a:prstGeom prst="rightBrace">
          <a:avLst>
            <a:gd name="adj1" fmla="val 41666"/>
            <a:gd name="adj2" fmla="val 50000"/>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45</xdr:col>
      <xdr:colOff>19414</xdr:colOff>
      <xdr:row>79</xdr:row>
      <xdr:rowOff>136336</xdr:rowOff>
    </xdr:from>
    <xdr:to>
      <xdr:col>48</xdr:col>
      <xdr:colOff>2247</xdr:colOff>
      <xdr:row>81</xdr:row>
      <xdr:rowOff>142578</xdr:rowOff>
    </xdr:to>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91539" y="11604436"/>
          <a:ext cx="322558" cy="349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43</xdr:col>
      <xdr:colOff>85311</xdr:colOff>
      <xdr:row>25</xdr:row>
      <xdr:rowOff>167121</xdr:rowOff>
    </xdr:from>
    <xdr:to>
      <xdr:col>49</xdr:col>
      <xdr:colOff>34</xdr:colOff>
      <xdr:row>60</xdr:row>
      <xdr:rowOff>98172</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bwMode="auto">
        <a:xfrm>
          <a:off x="5409786" y="2538846"/>
          <a:ext cx="629098" cy="4083951"/>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000"/>
            </a:lnSpc>
            <a:spcBef>
              <a:spcPts val="0"/>
            </a:spcBef>
          </a:pPr>
          <a:r>
            <a:rPr kumimoji="1" lang="ja-JP" altLang="en-US" sz="800">
              <a:solidFill>
                <a:schemeClr val="tx1"/>
              </a:solidFill>
              <a:latin typeface="HG丸ｺﾞｼｯｸM-PRO" pitchFamily="50" charset="-128"/>
              <a:ea typeface="HG丸ｺﾞｼｯｸM-PRO" pitchFamily="50" charset="-128"/>
            </a:rPr>
            <a:t>１なし</a:t>
          </a:r>
          <a:endParaRPr kumimoji="1" lang="en-US" altLang="ja-JP" sz="800">
            <a:solidFill>
              <a:schemeClr val="tx1"/>
            </a:solidFill>
            <a:latin typeface="HG丸ｺﾞｼｯｸM-PRO" pitchFamily="50" charset="-128"/>
            <a:ea typeface="HG丸ｺﾞｼｯｸM-PRO" pitchFamily="50" charset="-128"/>
          </a:endParaRPr>
        </a:p>
        <a:p>
          <a:pPr algn="ctr">
            <a:lnSpc>
              <a:spcPts val="1000"/>
            </a:lnSpc>
            <a:spcBef>
              <a:spcPts val="0"/>
            </a:spcBef>
          </a:pPr>
          <a:endParaRPr kumimoji="1" lang="en-US" altLang="ja-JP" sz="800">
            <a:solidFill>
              <a:schemeClr val="tx1"/>
            </a:solidFill>
            <a:latin typeface="HG丸ｺﾞｼｯｸM-PRO" pitchFamily="50" charset="-128"/>
            <a:ea typeface="HG丸ｺﾞｼｯｸM-PRO" pitchFamily="50" charset="-128"/>
          </a:endParaRPr>
        </a:p>
        <a:p>
          <a:pPr algn="ctr">
            <a:lnSpc>
              <a:spcPts val="1000"/>
            </a:lnSpc>
            <a:spcBef>
              <a:spcPts val="0"/>
            </a:spcBef>
          </a:pPr>
          <a:r>
            <a:rPr kumimoji="1" lang="ja-JP" altLang="en-US" sz="800">
              <a:solidFill>
                <a:schemeClr val="tx1"/>
              </a:solidFill>
              <a:latin typeface="HG丸ｺﾞｼｯｸM-PRO" pitchFamily="50" charset="-128"/>
              <a:ea typeface="HG丸ｺﾞｼｯｸM-PRO" pitchFamily="50" charset="-128"/>
            </a:rPr>
            <a:t>２既不</a:t>
          </a:r>
          <a:endParaRPr kumimoji="1" lang="en-US" altLang="ja-JP" sz="800">
            <a:solidFill>
              <a:schemeClr val="tx1"/>
            </a:solidFill>
            <a:latin typeface="HG丸ｺﾞｼｯｸM-PRO" pitchFamily="50" charset="-128"/>
            <a:ea typeface="HG丸ｺﾞｼｯｸM-PRO" pitchFamily="50" charset="-128"/>
          </a:endParaRPr>
        </a:p>
        <a:p>
          <a:pPr marL="0" marR="0" indent="0" algn="ctr" defTabSz="914400" eaLnBrk="1" fontAlgn="auto" latinLnBrk="0" hangingPunct="1">
            <a:lnSpc>
              <a:spcPts val="1000"/>
            </a:lnSpc>
            <a:spcBef>
              <a:spcPts val="0"/>
            </a:spcBef>
            <a:spcAft>
              <a:spcPts val="0"/>
            </a:spcAft>
            <a:buClrTx/>
            <a:buSzTx/>
            <a:buFontTx/>
            <a:buNone/>
            <a:tabLst/>
            <a:defRPr/>
          </a:pPr>
          <a:endParaRPr lang="ja-JP" altLang="ja-JP" sz="800">
            <a:effectLst/>
            <a:latin typeface="HG丸ｺﾞｼｯｸM-PRO" panose="020F0600000000000000" pitchFamily="50" charset="-128"/>
            <a:ea typeface="HG丸ｺﾞｼｯｸM-PRO" panose="020F0600000000000000" pitchFamily="50" charset="-128"/>
          </a:endParaRPr>
        </a:p>
        <a:p>
          <a:pPr algn="ctr">
            <a:lnSpc>
              <a:spcPts val="1000"/>
            </a:lnSpc>
            <a:spcBef>
              <a:spcPts val="0"/>
            </a:spcBef>
          </a:pPr>
          <a:r>
            <a:rPr kumimoji="1" lang="ja-JP" altLang="en-US" sz="800">
              <a:solidFill>
                <a:schemeClr val="tx1"/>
              </a:solidFill>
              <a:latin typeface="HG丸ｺﾞｼｯｸM-PRO" pitchFamily="50" charset="-128"/>
              <a:ea typeface="HG丸ｺﾞｼｯｸM-PRO" pitchFamily="50" charset="-128"/>
            </a:rPr>
            <a:t>３要是</a:t>
          </a:r>
          <a:endParaRPr kumimoji="1" lang="en-US" altLang="ja-JP" sz="800">
            <a:solidFill>
              <a:schemeClr val="tx1"/>
            </a:solidFill>
            <a:latin typeface="HG丸ｺﾞｼｯｸM-PRO" pitchFamily="50" charset="-128"/>
            <a:ea typeface="HG丸ｺﾞｼｯｸM-PRO" pitchFamily="50" charset="-128"/>
          </a:endParaRPr>
        </a:p>
        <a:p>
          <a:pPr marL="0" marR="0" indent="0" algn="ctr" defTabSz="914400" eaLnBrk="1" fontAlgn="auto" latinLnBrk="0" hangingPunct="1">
            <a:lnSpc>
              <a:spcPts val="1000"/>
            </a:lnSpc>
            <a:spcBef>
              <a:spcPts val="0"/>
            </a:spcBef>
            <a:spcAft>
              <a:spcPts val="0"/>
            </a:spcAft>
            <a:buClrTx/>
            <a:buSzTx/>
            <a:buFontTx/>
            <a:buNone/>
            <a:tabLst/>
            <a:defRPr/>
          </a:pPr>
          <a:endParaRPr lang="ja-JP" altLang="ja-JP" sz="800">
            <a:effectLst/>
            <a:latin typeface="HG丸ｺﾞｼｯｸM-PRO" panose="020F0600000000000000" pitchFamily="50" charset="-128"/>
            <a:ea typeface="HG丸ｺﾞｼｯｸM-PRO" panose="020F0600000000000000" pitchFamily="50" charset="-128"/>
          </a:endParaRPr>
        </a:p>
        <a:p>
          <a:pPr algn="ctr">
            <a:lnSpc>
              <a:spcPts val="1000"/>
            </a:lnSpc>
            <a:spcBef>
              <a:spcPts val="0"/>
            </a:spcBef>
          </a:pPr>
          <a:r>
            <a:rPr kumimoji="1" lang="ja-JP" altLang="en-US" sz="800">
              <a:solidFill>
                <a:schemeClr val="tx1"/>
              </a:solidFill>
              <a:latin typeface="HG丸ｺﾞｼｯｸM-PRO" pitchFamily="50" charset="-128"/>
              <a:ea typeface="HG丸ｺﾞｼｯｸM-PRO" pitchFamily="50" charset="-128"/>
            </a:rPr>
            <a:t>４改善</a:t>
          </a:r>
          <a:endParaRPr kumimoji="1" lang="en-US" altLang="ja-JP" sz="800">
            <a:solidFill>
              <a:schemeClr val="tx1"/>
            </a:solidFill>
            <a:latin typeface="HG丸ｺﾞｼｯｸM-PRO" pitchFamily="50" charset="-128"/>
            <a:ea typeface="HG丸ｺﾞｼｯｸM-PRO" pitchFamily="50" charset="-128"/>
          </a:endParaRPr>
        </a:p>
        <a:p>
          <a:pPr marL="0" marR="0" indent="0" algn="ctr" defTabSz="914400" eaLnBrk="1" fontAlgn="auto" latinLnBrk="0" hangingPunct="1">
            <a:lnSpc>
              <a:spcPts val="1000"/>
            </a:lnSpc>
            <a:spcBef>
              <a:spcPts val="0"/>
            </a:spcBef>
            <a:spcAft>
              <a:spcPts val="0"/>
            </a:spcAft>
            <a:buClrTx/>
            <a:buSzTx/>
            <a:buFontTx/>
            <a:buNone/>
            <a:tabLst/>
            <a:defRPr/>
          </a:pPr>
          <a:endParaRPr lang="ja-JP" altLang="ja-JP" sz="800">
            <a:effectLst/>
            <a:latin typeface="HG丸ｺﾞｼｯｸM-PRO" panose="020F0600000000000000" pitchFamily="50" charset="-128"/>
            <a:ea typeface="HG丸ｺﾞｼｯｸM-PRO" panose="020F0600000000000000" pitchFamily="50" charset="-128"/>
          </a:endParaRPr>
        </a:p>
        <a:p>
          <a:pPr algn="ctr">
            <a:lnSpc>
              <a:spcPts val="1000"/>
            </a:lnSpc>
            <a:spcBef>
              <a:spcPts val="0"/>
            </a:spcBef>
          </a:pPr>
          <a:r>
            <a:rPr kumimoji="1" lang="ja-JP" altLang="en-US" sz="800">
              <a:solidFill>
                <a:schemeClr val="tx1"/>
              </a:solidFill>
              <a:latin typeface="HG丸ｺﾞｼｯｸM-PRO" pitchFamily="50" charset="-128"/>
              <a:ea typeface="HG丸ｺﾞｼｯｸM-PRO" pitchFamily="50" charset="-128"/>
            </a:rPr>
            <a:t>５全面</a:t>
          </a:r>
          <a:endParaRPr kumimoji="1" lang="en-US" altLang="ja-JP" sz="800">
            <a:solidFill>
              <a:schemeClr val="tx1"/>
            </a:solidFill>
            <a:latin typeface="HG丸ｺﾞｼｯｸM-PRO" pitchFamily="50" charset="-128"/>
            <a:ea typeface="HG丸ｺﾞｼｯｸM-PRO" pitchFamily="50" charset="-128"/>
          </a:endParaRPr>
        </a:p>
        <a:p>
          <a:pPr marL="0" marR="0" indent="0" algn="ctr" defTabSz="914400" eaLnBrk="1" fontAlgn="auto" latinLnBrk="0" hangingPunct="1">
            <a:lnSpc>
              <a:spcPts val="1000"/>
            </a:lnSpc>
            <a:spcBef>
              <a:spcPts val="0"/>
            </a:spcBef>
            <a:spcAft>
              <a:spcPts val="0"/>
            </a:spcAft>
            <a:buClrTx/>
            <a:buSzTx/>
            <a:buFontTx/>
            <a:buNone/>
            <a:tabLst/>
            <a:defRPr/>
          </a:pPr>
          <a:endParaRPr lang="ja-JP" altLang="ja-JP" sz="800">
            <a:effectLst/>
            <a:latin typeface="HG丸ｺﾞｼｯｸM-PRO" panose="020F0600000000000000" pitchFamily="50" charset="-128"/>
            <a:ea typeface="HG丸ｺﾞｼｯｸM-PRO" panose="020F0600000000000000" pitchFamily="50" charset="-128"/>
          </a:endParaRPr>
        </a:p>
        <a:p>
          <a:pPr algn="ctr">
            <a:lnSpc>
              <a:spcPts val="1000"/>
            </a:lnSpc>
            <a:spcBef>
              <a:spcPts val="0"/>
            </a:spcBef>
          </a:pPr>
          <a:r>
            <a:rPr kumimoji="1" lang="ja-JP" altLang="en-US" sz="800">
              <a:solidFill>
                <a:schemeClr val="tx1"/>
              </a:solidFill>
              <a:latin typeface="HG丸ｺﾞｼｯｸM-PRO" pitchFamily="50" charset="-128"/>
              <a:ea typeface="HG丸ｺﾞｼｯｸM-PRO" pitchFamily="50" charset="-128"/>
            </a:rPr>
            <a:t>６三年</a:t>
          </a:r>
          <a:endParaRPr kumimoji="1" lang="en-US" altLang="ja-JP" sz="800">
            <a:solidFill>
              <a:schemeClr val="tx1"/>
            </a:solidFill>
            <a:latin typeface="HG丸ｺﾞｼｯｸM-PRO" pitchFamily="50" charset="-128"/>
            <a:ea typeface="HG丸ｺﾞｼｯｸM-PRO" pitchFamily="50" charset="-128"/>
          </a:endParaRPr>
        </a:p>
        <a:p>
          <a:pPr marL="0" marR="0" indent="0" algn="ctr" defTabSz="914400" eaLnBrk="1" fontAlgn="auto" latinLnBrk="0" hangingPunct="1">
            <a:lnSpc>
              <a:spcPts val="1000"/>
            </a:lnSpc>
            <a:spcBef>
              <a:spcPts val="0"/>
            </a:spcBef>
            <a:spcAft>
              <a:spcPts val="0"/>
            </a:spcAft>
            <a:buClrTx/>
            <a:buSzTx/>
            <a:buFontTx/>
            <a:buNone/>
            <a:tabLst/>
            <a:defRPr/>
          </a:pPr>
          <a:endParaRPr lang="ja-JP" altLang="ja-JP" sz="800">
            <a:effectLst/>
            <a:latin typeface="HG丸ｺﾞｼｯｸM-PRO" panose="020F0600000000000000" pitchFamily="50" charset="-128"/>
            <a:ea typeface="HG丸ｺﾞｼｯｸM-PRO" panose="020F0600000000000000" pitchFamily="50" charset="-128"/>
          </a:endParaRPr>
        </a:p>
        <a:p>
          <a:pPr algn="ctr">
            <a:lnSpc>
              <a:spcPts val="1000"/>
            </a:lnSpc>
            <a:spcBef>
              <a:spcPts val="0"/>
            </a:spcBef>
          </a:pPr>
          <a:r>
            <a:rPr kumimoji="1" lang="ja-JP" altLang="en-US" sz="800">
              <a:solidFill>
                <a:schemeClr val="tx1"/>
              </a:solidFill>
              <a:latin typeface="HG丸ｺﾞｼｯｸM-PRO" pitchFamily="50" charset="-128"/>
              <a:ea typeface="HG丸ｺﾞｼｯｸM-PRO" pitchFamily="50" charset="-128"/>
            </a:rPr>
            <a:t>７耐震</a:t>
          </a:r>
          <a:endParaRPr kumimoji="1" lang="en-US" altLang="ja-JP" sz="800">
            <a:solidFill>
              <a:schemeClr val="tx1"/>
            </a:solidFill>
            <a:latin typeface="HG丸ｺﾞｼｯｸM-PRO" pitchFamily="50" charset="-128"/>
            <a:ea typeface="HG丸ｺﾞｼｯｸM-PRO" pitchFamily="50" charset="-128"/>
          </a:endParaRPr>
        </a:p>
        <a:p>
          <a:pPr marL="0" marR="0" indent="0" algn="ctr" defTabSz="914400" eaLnBrk="1" fontAlgn="auto" latinLnBrk="0" hangingPunct="1">
            <a:lnSpc>
              <a:spcPts val="1000"/>
            </a:lnSpc>
            <a:spcBef>
              <a:spcPts val="0"/>
            </a:spcBef>
            <a:spcAft>
              <a:spcPts val="0"/>
            </a:spcAft>
            <a:buClrTx/>
            <a:buSzTx/>
            <a:buFontTx/>
            <a:buNone/>
            <a:tabLst/>
            <a:defRPr/>
          </a:pPr>
          <a:endParaRPr lang="ja-JP" altLang="ja-JP" sz="800">
            <a:effectLst/>
            <a:latin typeface="HG丸ｺﾞｼｯｸM-PRO" panose="020F0600000000000000" pitchFamily="50" charset="-128"/>
            <a:ea typeface="HG丸ｺﾞｼｯｸM-PRO" panose="020F0600000000000000" pitchFamily="50" charset="-128"/>
          </a:endParaRPr>
        </a:p>
        <a:p>
          <a:pPr algn="ctr">
            <a:lnSpc>
              <a:spcPts val="1000"/>
            </a:lnSpc>
            <a:spcBef>
              <a:spcPts val="0"/>
            </a:spcBef>
          </a:pPr>
          <a:r>
            <a:rPr kumimoji="1" lang="ja-JP" altLang="en-US" sz="800">
              <a:solidFill>
                <a:schemeClr val="tx1"/>
              </a:solidFill>
              <a:latin typeface="HG丸ｺﾞｼｯｸM-PRO" pitchFamily="50" charset="-128"/>
              <a:ea typeface="HG丸ｺﾞｼｯｸM-PRO" pitchFamily="50" charset="-128"/>
            </a:rPr>
            <a:t>８アス</a:t>
          </a:r>
          <a:endParaRPr kumimoji="1" lang="en-US" altLang="ja-JP" sz="800">
            <a:solidFill>
              <a:schemeClr val="tx1"/>
            </a:solidFill>
            <a:latin typeface="HG丸ｺﾞｼｯｸM-PRO" pitchFamily="50" charset="-128"/>
            <a:ea typeface="HG丸ｺﾞｼｯｸM-PRO" pitchFamily="50" charset="-128"/>
          </a:endParaRPr>
        </a:p>
        <a:p>
          <a:pPr marL="0" marR="0" indent="0" algn="ctr" defTabSz="914400" eaLnBrk="1" fontAlgn="auto" latinLnBrk="0" hangingPunct="1">
            <a:lnSpc>
              <a:spcPts val="1000"/>
            </a:lnSpc>
            <a:spcBef>
              <a:spcPts val="0"/>
            </a:spcBef>
            <a:spcAft>
              <a:spcPts val="0"/>
            </a:spcAft>
            <a:buClrTx/>
            <a:buSzTx/>
            <a:buFontTx/>
            <a:buNone/>
            <a:tabLst/>
            <a:defRPr/>
          </a:pPr>
          <a:endParaRPr lang="ja-JP" altLang="ja-JP" sz="800">
            <a:effectLst/>
            <a:latin typeface="HG丸ｺﾞｼｯｸM-PRO" panose="020F0600000000000000" pitchFamily="50" charset="-128"/>
            <a:ea typeface="HG丸ｺﾞｼｯｸM-PRO" panose="020F0600000000000000" pitchFamily="50" charset="-128"/>
          </a:endParaRPr>
        </a:p>
        <a:p>
          <a:pPr algn="ctr">
            <a:lnSpc>
              <a:spcPts val="1000"/>
            </a:lnSpc>
            <a:spcBef>
              <a:spcPts val="0"/>
            </a:spcBef>
          </a:pPr>
          <a:r>
            <a:rPr kumimoji="1" lang="ja-JP" altLang="en-US" sz="800">
              <a:solidFill>
                <a:schemeClr val="tx1"/>
              </a:solidFill>
              <a:latin typeface="HG丸ｺﾞｼｯｸM-PRO" pitchFamily="50" charset="-128"/>
              <a:ea typeface="HG丸ｺﾞｼｯｸM-PRO" pitchFamily="50" charset="-128"/>
            </a:rPr>
            <a:t>９　他</a:t>
          </a:r>
          <a:endParaRPr kumimoji="1" lang="en-US" altLang="ja-JP" sz="800">
            <a:solidFill>
              <a:schemeClr val="tx1"/>
            </a:solidFill>
            <a:latin typeface="HG丸ｺﾞｼｯｸM-PRO" pitchFamily="50" charset="-128"/>
            <a:ea typeface="HG丸ｺﾞｼｯｸM-PRO" pitchFamily="50" charset="-128"/>
          </a:endParaRPr>
        </a:p>
        <a:p>
          <a:pPr algn="ctr">
            <a:lnSpc>
              <a:spcPts val="1000"/>
            </a:lnSpc>
            <a:spcBef>
              <a:spcPts val="0"/>
            </a:spcBef>
          </a:pPr>
          <a:endParaRPr kumimoji="1" lang="en-US" altLang="ja-JP" sz="800">
            <a:solidFill>
              <a:schemeClr val="tx1"/>
            </a:solidFill>
            <a:latin typeface="HG丸ｺﾞｼｯｸM-PRO" pitchFamily="50" charset="-128"/>
            <a:ea typeface="HG丸ｺﾞｼｯｸM-PRO" pitchFamily="50" charset="-128"/>
          </a:endParaRPr>
        </a:p>
        <a:p>
          <a:pPr algn="ctr">
            <a:lnSpc>
              <a:spcPts val="1000"/>
            </a:lnSpc>
            <a:spcBef>
              <a:spcPts val="0"/>
            </a:spcBef>
          </a:pPr>
          <a:r>
            <a:rPr kumimoji="1" lang="en-US" altLang="ja-JP" sz="800">
              <a:solidFill>
                <a:schemeClr val="tx1"/>
              </a:solidFill>
              <a:latin typeface="HG丸ｺﾞｼｯｸM-PRO" pitchFamily="50" charset="-128"/>
              <a:ea typeface="HG丸ｺﾞｼｯｸM-PRO" pitchFamily="50" charset="-128"/>
            </a:rPr>
            <a:t>B</a:t>
          </a:r>
          <a:r>
            <a:rPr kumimoji="1" lang="ja-JP" altLang="en-US" sz="800">
              <a:solidFill>
                <a:schemeClr val="tx1"/>
              </a:solidFill>
              <a:latin typeface="HG丸ｺﾞｼｯｸM-PRO" pitchFamily="50" charset="-128"/>
              <a:ea typeface="HG丸ｺﾞｼｯｸM-PRO" pitchFamily="50" charset="-128"/>
            </a:rPr>
            <a:t>　防</a:t>
          </a:r>
          <a:endParaRPr kumimoji="1" lang="en-US" altLang="ja-JP" sz="800">
            <a:solidFill>
              <a:schemeClr val="tx1"/>
            </a:solidFill>
            <a:latin typeface="HG丸ｺﾞｼｯｸM-PRO" pitchFamily="50" charset="-128"/>
            <a:ea typeface="HG丸ｺﾞｼｯｸM-PRO" pitchFamily="50" charset="-128"/>
          </a:endParaRPr>
        </a:p>
        <a:p>
          <a:pPr algn="ctr">
            <a:lnSpc>
              <a:spcPts val="1000"/>
            </a:lnSpc>
            <a:spcBef>
              <a:spcPts val="0"/>
            </a:spcBef>
          </a:pPr>
          <a:endParaRPr kumimoji="1" lang="en-US" altLang="ja-JP" sz="800">
            <a:solidFill>
              <a:schemeClr val="tx1"/>
            </a:solidFill>
            <a:latin typeface="HG丸ｺﾞｼｯｸM-PRO" pitchFamily="50" charset="-128"/>
            <a:ea typeface="HG丸ｺﾞｼｯｸM-PRO" pitchFamily="50" charset="-128"/>
          </a:endParaRPr>
        </a:p>
        <a:p>
          <a:pPr algn="ctr">
            <a:lnSpc>
              <a:spcPts val="1000"/>
            </a:lnSpc>
            <a:spcBef>
              <a:spcPts val="0"/>
            </a:spcBef>
          </a:pPr>
          <a:r>
            <a:rPr kumimoji="1" lang="en-US" altLang="ja-JP" sz="800">
              <a:solidFill>
                <a:schemeClr val="tx1"/>
              </a:solidFill>
              <a:latin typeface="HG丸ｺﾞｼｯｸM-PRO" pitchFamily="50" charset="-128"/>
              <a:ea typeface="HG丸ｺﾞｼｯｸM-PRO" pitchFamily="50" charset="-128"/>
            </a:rPr>
            <a:t>N</a:t>
          </a:r>
          <a:r>
            <a:rPr kumimoji="1" lang="ja-JP" altLang="en-US" sz="800">
              <a:solidFill>
                <a:schemeClr val="tx1"/>
              </a:solidFill>
              <a:latin typeface="HG丸ｺﾞｼｯｸM-PRO" pitchFamily="50" charset="-128"/>
              <a:ea typeface="HG丸ｺﾞｼｯｸM-PRO" pitchFamily="50" charset="-128"/>
            </a:rPr>
            <a:t>　荷</a:t>
          </a:r>
          <a:endParaRPr kumimoji="1" lang="en-US" altLang="ja-JP" sz="800">
            <a:solidFill>
              <a:schemeClr val="tx1"/>
            </a:solidFill>
            <a:latin typeface="HG丸ｺﾞｼｯｸM-PRO" pitchFamily="50" charset="-128"/>
            <a:ea typeface="HG丸ｺﾞｼｯｸM-PRO" pitchFamily="50" charset="-128"/>
          </a:endParaRPr>
        </a:p>
        <a:p>
          <a:pPr algn="ctr">
            <a:lnSpc>
              <a:spcPts val="1000"/>
            </a:lnSpc>
            <a:spcBef>
              <a:spcPts val="0"/>
            </a:spcBef>
          </a:pPr>
          <a:endParaRPr kumimoji="1" lang="en-US" altLang="ja-JP" sz="800">
            <a:solidFill>
              <a:schemeClr val="tx1"/>
            </a:solidFill>
            <a:latin typeface="HG丸ｺﾞｼｯｸM-PRO" pitchFamily="50" charset="-128"/>
            <a:ea typeface="HG丸ｺﾞｼｯｸM-PRO" pitchFamily="50" charset="-128"/>
          </a:endParaRPr>
        </a:p>
        <a:p>
          <a:pPr algn="ctr">
            <a:lnSpc>
              <a:spcPts val="1000"/>
            </a:lnSpc>
            <a:spcBef>
              <a:spcPts val="0"/>
            </a:spcBef>
          </a:pPr>
          <a:r>
            <a:rPr kumimoji="1" lang="ja-JP" altLang="en-US" sz="800">
              <a:solidFill>
                <a:schemeClr val="tx1"/>
              </a:solidFill>
              <a:latin typeface="HG丸ｺﾞｼｯｸM-PRO" pitchFamily="50" charset="-128"/>
              <a:ea typeface="HG丸ｺﾞｼｯｸM-PRO" pitchFamily="50" charset="-128"/>
            </a:rPr>
            <a:t>Ｓ</a:t>
          </a:r>
          <a:endParaRPr kumimoji="1" lang="en-US" altLang="ja-JP" sz="600">
            <a:solidFill>
              <a:schemeClr val="tx1"/>
            </a:solidFill>
            <a:latin typeface="HG丸ｺﾞｼｯｸM-PRO" pitchFamily="50" charset="-128"/>
            <a:ea typeface="HG丸ｺﾞｼｯｸM-PRO"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85725</xdr:colOff>
      <xdr:row>20</xdr:row>
      <xdr:rowOff>0</xdr:rowOff>
    </xdr:from>
    <xdr:to>
      <xdr:col>44</xdr:col>
      <xdr:colOff>153750</xdr:colOff>
      <xdr:row>20</xdr:row>
      <xdr:rowOff>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238125" y="2057400"/>
          <a:ext cx="6649800" cy="0"/>
        </a:xfrm>
        <a:prstGeom prst="line">
          <a:avLst/>
        </a:prstGeom>
        <a:noFill/>
        <a:ln w="9525">
          <a:solidFill>
            <a:srgbClr val="000000"/>
          </a:solidFill>
          <a:round/>
          <a:headEnd/>
          <a:tailEnd/>
        </a:ln>
      </xdr:spPr>
    </xdr:sp>
    <xdr:clientData/>
  </xdr:twoCellAnchor>
  <xdr:twoCellAnchor>
    <xdr:from>
      <xdr:col>1</xdr:col>
      <xdr:colOff>95250</xdr:colOff>
      <xdr:row>78</xdr:row>
      <xdr:rowOff>0</xdr:rowOff>
    </xdr:from>
    <xdr:to>
      <xdr:col>45</xdr:col>
      <xdr:colOff>1350</xdr:colOff>
      <xdr:row>78</xdr:row>
      <xdr:rowOff>0</xdr:rowOff>
    </xdr:to>
    <xdr:sp macro="" textlink="">
      <xdr:nvSpPr>
        <xdr:cNvPr id="3" name="Line 21">
          <a:extLst>
            <a:ext uri="{FF2B5EF4-FFF2-40B4-BE49-F238E27FC236}">
              <a16:creationId xmlns:a16="http://schemas.microsoft.com/office/drawing/2014/main" id="{00000000-0008-0000-0700-000003000000}"/>
            </a:ext>
          </a:extLst>
        </xdr:cNvPr>
        <xdr:cNvSpPr>
          <a:spLocks noChangeShapeType="1"/>
        </xdr:cNvSpPr>
      </xdr:nvSpPr>
      <xdr:spPr bwMode="auto">
        <a:xfrm>
          <a:off x="247650" y="8153400"/>
          <a:ext cx="6640275" cy="0"/>
        </a:xfrm>
        <a:prstGeom prst="line">
          <a:avLst/>
        </a:prstGeom>
        <a:noFill/>
        <a:ln w="9525">
          <a:solidFill>
            <a:srgbClr val="000000"/>
          </a:solidFill>
          <a:round/>
          <a:headEnd/>
          <a:tailEnd/>
        </a:ln>
      </xdr:spPr>
    </xdr:sp>
    <xdr:clientData/>
  </xdr:twoCellAnchor>
  <xdr:twoCellAnchor>
    <xdr:from>
      <xdr:col>1</xdr:col>
      <xdr:colOff>95250</xdr:colOff>
      <xdr:row>50</xdr:row>
      <xdr:rowOff>0</xdr:rowOff>
    </xdr:from>
    <xdr:to>
      <xdr:col>45</xdr:col>
      <xdr:colOff>1350</xdr:colOff>
      <xdr:row>50</xdr:row>
      <xdr:rowOff>0</xdr:rowOff>
    </xdr:to>
    <xdr:sp macro="" textlink="">
      <xdr:nvSpPr>
        <xdr:cNvPr id="4" name="Line 22">
          <a:extLst>
            <a:ext uri="{FF2B5EF4-FFF2-40B4-BE49-F238E27FC236}">
              <a16:creationId xmlns:a16="http://schemas.microsoft.com/office/drawing/2014/main" id="{00000000-0008-0000-0700-000004000000}"/>
            </a:ext>
          </a:extLst>
        </xdr:cNvPr>
        <xdr:cNvSpPr>
          <a:spLocks noChangeShapeType="1"/>
        </xdr:cNvSpPr>
      </xdr:nvSpPr>
      <xdr:spPr bwMode="auto">
        <a:xfrm>
          <a:off x="247650" y="4495800"/>
          <a:ext cx="6640275" cy="0"/>
        </a:xfrm>
        <a:prstGeom prst="line">
          <a:avLst/>
        </a:prstGeom>
        <a:noFill/>
        <a:ln w="9525">
          <a:solidFill>
            <a:srgbClr val="000000"/>
          </a:solidFill>
          <a:round/>
          <a:headEnd/>
          <a:tailEnd/>
        </a:ln>
      </xdr:spPr>
    </xdr:sp>
    <xdr:clientData/>
  </xdr:twoCellAnchor>
  <xdr:twoCellAnchor>
    <xdr:from>
      <xdr:col>1</xdr:col>
      <xdr:colOff>95250</xdr:colOff>
      <xdr:row>39</xdr:row>
      <xdr:rowOff>0</xdr:rowOff>
    </xdr:from>
    <xdr:to>
      <xdr:col>45</xdr:col>
      <xdr:colOff>1350</xdr:colOff>
      <xdr:row>39</xdr:row>
      <xdr:rowOff>0</xdr:rowOff>
    </xdr:to>
    <xdr:sp macro="" textlink="">
      <xdr:nvSpPr>
        <xdr:cNvPr id="5" name="Line 23">
          <a:extLst>
            <a:ext uri="{FF2B5EF4-FFF2-40B4-BE49-F238E27FC236}">
              <a16:creationId xmlns:a16="http://schemas.microsoft.com/office/drawing/2014/main" id="{00000000-0008-0000-0700-000005000000}"/>
            </a:ext>
          </a:extLst>
        </xdr:cNvPr>
        <xdr:cNvSpPr>
          <a:spLocks noChangeShapeType="1"/>
        </xdr:cNvSpPr>
      </xdr:nvSpPr>
      <xdr:spPr bwMode="auto">
        <a:xfrm>
          <a:off x="247650" y="3429000"/>
          <a:ext cx="6640275" cy="0"/>
        </a:xfrm>
        <a:prstGeom prst="line">
          <a:avLst/>
        </a:prstGeom>
        <a:noFill/>
        <a:ln w="9525">
          <a:solidFill>
            <a:srgbClr val="000000"/>
          </a:solidFill>
          <a:round/>
          <a:headEnd/>
          <a:tailEnd/>
        </a:ln>
      </xdr:spPr>
    </xdr:sp>
    <xdr:clientData/>
  </xdr:twoCellAnchor>
  <xdr:twoCellAnchor>
    <xdr:from>
      <xdr:col>1</xdr:col>
      <xdr:colOff>95250</xdr:colOff>
      <xdr:row>28</xdr:row>
      <xdr:rowOff>0</xdr:rowOff>
    </xdr:from>
    <xdr:to>
      <xdr:col>45</xdr:col>
      <xdr:colOff>1350</xdr:colOff>
      <xdr:row>28</xdr:row>
      <xdr:rowOff>0</xdr:rowOff>
    </xdr:to>
    <xdr:sp macro="" textlink="">
      <xdr:nvSpPr>
        <xdr:cNvPr id="6" name="Line 24">
          <a:extLst>
            <a:ext uri="{FF2B5EF4-FFF2-40B4-BE49-F238E27FC236}">
              <a16:creationId xmlns:a16="http://schemas.microsoft.com/office/drawing/2014/main" id="{00000000-0008-0000-0700-000006000000}"/>
            </a:ext>
          </a:extLst>
        </xdr:cNvPr>
        <xdr:cNvSpPr>
          <a:spLocks noChangeShapeType="1"/>
        </xdr:cNvSpPr>
      </xdr:nvSpPr>
      <xdr:spPr bwMode="auto">
        <a:xfrm>
          <a:off x="247650" y="2362200"/>
          <a:ext cx="6640275" cy="0"/>
        </a:xfrm>
        <a:prstGeom prst="line">
          <a:avLst/>
        </a:prstGeom>
        <a:noFill/>
        <a:ln w="9525">
          <a:solidFill>
            <a:srgbClr val="000000"/>
          </a:solidFill>
          <a:round/>
          <a:headEnd/>
          <a:tailEnd/>
        </a:ln>
      </xdr:spPr>
    </xdr:sp>
    <xdr:clientData/>
  </xdr:twoCellAnchor>
  <xdr:twoCellAnchor>
    <xdr:from>
      <xdr:col>1</xdr:col>
      <xdr:colOff>95250</xdr:colOff>
      <xdr:row>190</xdr:row>
      <xdr:rowOff>0</xdr:rowOff>
    </xdr:from>
    <xdr:to>
      <xdr:col>45</xdr:col>
      <xdr:colOff>0</xdr:colOff>
      <xdr:row>190</xdr:row>
      <xdr:rowOff>0</xdr:rowOff>
    </xdr:to>
    <xdr:sp macro="" textlink="">
      <xdr:nvSpPr>
        <xdr:cNvPr id="7" name="Line 147">
          <a:extLst>
            <a:ext uri="{FF2B5EF4-FFF2-40B4-BE49-F238E27FC236}">
              <a16:creationId xmlns:a16="http://schemas.microsoft.com/office/drawing/2014/main" id="{00000000-0008-0000-0700-000007000000}"/>
            </a:ext>
          </a:extLst>
        </xdr:cNvPr>
        <xdr:cNvSpPr>
          <a:spLocks noChangeShapeType="1"/>
        </xdr:cNvSpPr>
      </xdr:nvSpPr>
      <xdr:spPr bwMode="auto">
        <a:xfrm>
          <a:off x="247650" y="11696700"/>
          <a:ext cx="6638925" cy="0"/>
        </a:xfrm>
        <a:prstGeom prst="line">
          <a:avLst/>
        </a:prstGeom>
        <a:noFill/>
        <a:ln w="9525">
          <a:solidFill>
            <a:srgbClr val="000000"/>
          </a:solidFill>
          <a:round/>
          <a:headEnd/>
          <a:tailEnd/>
        </a:ln>
      </xdr:spPr>
    </xdr:sp>
    <xdr:clientData/>
  </xdr:twoCellAnchor>
  <xdr:twoCellAnchor>
    <xdr:from>
      <xdr:col>1</xdr:col>
      <xdr:colOff>95250</xdr:colOff>
      <xdr:row>211</xdr:row>
      <xdr:rowOff>0</xdr:rowOff>
    </xdr:from>
    <xdr:to>
      <xdr:col>45</xdr:col>
      <xdr:colOff>0</xdr:colOff>
      <xdr:row>211</xdr:row>
      <xdr:rowOff>0</xdr:rowOff>
    </xdr:to>
    <xdr:sp macro="" textlink="">
      <xdr:nvSpPr>
        <xdr:cNvPr id="8" name="Line 148">
          <a:extLst>
            <a:ext uri="{FF2B5EF4-FFF2-40B4-BE49-F238E27FC236}">
              <a16:creationId xmlns:a16="http://schemas.microsoft.com/office/drawing/2014/main" id="{00000000-0008-0000-0700-000008000000}"/>
            </a:ext>
          </a:extLst>
        </xdr:cNvPr>
        <xdr:cNvSpPr>
          <a:spLocks noChangeShapeType="1"/>
        </xdr:cNvSpPr>
      </xdr:nvSpPr>
      <xdr:spPr bwMode="auto">
        <a:xfrm>
          <a:off x="247650" y="13725525"/>
          <a:ext cx="6638925" cy="0"/>
        </a:xfrm>
        <a:prstGeom prst="line">
          <a:avLst/>
        </a:prstGeom>
        <a:noFill/>
        <a:ln w="9525">
          <a:solidFill>
            <a:srgbClr val="000000"/>
          </a:solidFill>
          <a:round/>
          <a:headEnd/>
          <a:tailEnd/>
        </a:ln>
      </xdr:spPr>
    </xdr:sp>
    <xdr:clientData/>
  </xdr:twoCellAnchor>
  <xdr:twoCellAnchor>
    <xdr:from>
      <xdr:col>1</xdr:col>
      <xdr:colOff>95250</xdr:colOff>
      <xdr:row>243</xdr:row>
      <xdr:rowOff>0</xdr:rowOff>
    </xdr:from>
    <xdr:to>
      <xdr:col>45</xdr:col>
      <xdr:colOff>1350</xdr:colOff>
      <xdr:row>243</xdr:row>
      <xdr:rowOff>0</xdr:rowOff>
    </xdr:to>
    <xdr:sp macro="" textlink="">
      <xdr:nvSpPr>
        <xdr:cNvPr id="9" name="Line 151">
          <a:extLst>
            <a:ext uri="{FF2B5EF4-FFF2-40B4-BE49-F238E27FC236}">
              <a16:creationId xmlns:a16="http://schemas.microsoft.com/office/drawing/2014/main" id="{00000000-0008-0000-0700-000009000000}"/>
            </a:ext>
          </a:extLst>
        </xdr:cNvPr>
        <xdr:cNvSpPr>
          <a:spLocks noChangeShapeType="1"/>
        </xdr:cNvSpPr>
      </xdr:nvSpPr>
      <xdr:spPr bwMode="auto">
        <a:xfrm>
          <a:off x="247650" y="16925925"/>
          <a:ext cx="6640275" cy="0"/>
        </a:xfrm>
        <a:prstGeom prst="line">
          <a:avLst/>
        </a:prstGeom>
        <a:noFill/>
        <a:ln w="9525">
          <a:solidFill>
            <a:srgbClr val="000000"/>
          </a:solidFill>
          <a:round/>
          <a:headEnd/>
          <a:tailEnd/>
        </a:ln>
      </xdr:spPr>
    </xdr:sp>
    <xdr:clientData/>
  </xdr:twoCellAnchor>
  <xdr:twoCellAnchor>
    <xdr:from>
      <xdr:col>1</xdr:col>
      <xdr:colOff>104773</xdr:colOff>
      <xdr:row>579</xdr:row>
      <xdr:rowOff>171450</xdr:rowOff>
    </xdr:from>
    <xdr:to>
      <xdr:col>44</xdr:col>
      <xdr:colOff>144223</xdr:colOff>
      <xdr:row>579</xdr:row>
      <xdr:rowOff>171450</xdr:rowOff>
    </xdr:to>
    <xdr:sp macro="" textlink="">
      <xdr:nvSpPr>
        <xdr:cNvPr id="10" name="Line 962">
          <a:extLst>
            <a:ext uri="{FF2B5EF4-FFF2-40B4-BE49-F238E27FC236}">
              <a16:creationId xmlns:a16="http://schemas.microsoft.com/office/drawing/2014/main" id="{00000000-0008-0000-0700-00000A000000}"/>
            </a:ext>
          </a:extLst>
        </xdr:cNvPr>
        <xdr:cNvSpPr>
          <a:spLocks noChangeShapeType="1"/>
        </xdr:cNvSpPr>
      </xdr:nvSpPr>
      <xdr:spPr bwMode="auto">
        <a:xfrm>
          <a:off x="257173" y="32184975"/>
          <a:ext cx="6621225" cy="0"/>
        </a:xfrm>
        <a:prstGeom prst="line">
          <a:avLst/>
        </a:prstGeom>
        <a:noFill/>
        <a:ln w="9525">
          <a:solidFill>
            <a:srgbClr val="000000"/>
          </a:solidFill>
          <a:round/>
          <a:headEnd/>
          <a:tailEnd/>
        </a:ln>
      </xdr:spPr>
    </xdr:sp>
    <xdr:clientData/>
  </xdr:twoCellAnchor>
  <xdr:twoCellAnchor>
    <xdr:from>
      <xdr:col>1</xdr:col>
      <xdr:colOff>95250</xdr:colOff>
      <xdr:row>254</xdr:row>
      <xdr:rowOff>0</xdr:rowOff>
    </xdr:from>
    <xdr:to>
      <xdr:col>45</xdr:col>
      <xdr:colOff>1350</xdr:colOff>
      <xdr:row>254</xdr:row>
      <xdr:rowOff>0</xdr:rowOff>
    </xdr:to>
    <xdr:sp macro="" textlink="">
      <xdr:nvSpPr>
        <xdr:cNvPr id="11" name="Line 1001">
          <a:extLst>
            <a:ext uri="{FF2B5EF4-FFF2-40B4-BE49-F238E27FC236}">
              <a16:creationId xmlns:a16="http://schemas.microsoft.com/office/drawing/2014/main" id="{00000000-0008-0000-0700-00000B000000}"/>
            </a:ext>
          </a:extLst>
        </xdr:cNvPr>
        <xdr:cNvSpPr>
          <a:spLocks noChangeShapeType="1"/>
        </xdr:cNvSpPr>
      </xdr:nvSpPr>
      <xdr:spPr bwMode="auto">
        <a:xfrm>
          <a:off x="247650" y="17697450"/>
          <a:ext cx="6640275" cy="0"/>
        </a:xfrm>
        <a:prstGeom prst="line">
          <a:avLst/>
        </a:prstGeom>
        <a:noFill/>
        <a:ln w="9525">
          <a:solidFill>
            <a:srgbClr val="000000"/>
          </a:solidFill>
          <a:round/>
          <a:headEnd/>
          <a:tailEnd/>
        </a:ln>
      </xdr:spPr>
    </xdr:sp>
    <xdr:clientData/>
  </xdr:twoCellAnchor>
  <xdr:twoCellAnchor>
    <xdr:from>
      <xdr:col>1</xdr:col>
      <xdr:colOff>123824</xdr:colOff>
      <xdr:row>263</xdr:row>
      <xdr:rowOff>38100</xdr:rowOff>
    </xdr:from>
    <xdr:to>
      <xdr:col>45</xdr:col>
      <xdr:colOff>1349</xdr:colOff>
      <xdr:row>263</xdr:row>
      <xdr:rowOff>38100</xdr:rowOff>
    </xdr:to>
    <xdr:sp macro="" textlink="">
      <xdr:nvSpPr>
        <xdr:cNvPr id="12" name="Line 1002">
          <a:extLst>
            <a:ext uri="{FF2B5EF4-FFF2-40B4-BE49-F238E27FC236}">
              <a16:creationId xmlns:a16="http://schemas.microsoft.com/office/drawing/2014/main" id="{00000000-0008-0000-0700-00000C000000}"/>
            </a:ext>
          </a:extLst>
        </xdr:cNvPr>
        <xdr:cNvSpPr>
          <a:spLocks noChangeShapeType="1"/>
        </xdr:cNvSpPr>
      </xdr:nvSpPr>
      <xdr:spPr bwMode="auto">
        <a:xfrm>
          <a:off x="276224" y="18611850"/>
          <a:ext cx="6611700" cy="0"/>
        </a:xfrm>
        <a:prstGeom prst="line">
          <a:avLst/>
        </a:prstGeom>
        <a:noFill/>
        <a:ln w="9525">
          <a:solidFill>
            <a:srgbClr val="000000"/>
          </a:solidFill>
          <a:round/>
          <a:headEnd/>
          <a:tailEnd/>
        </a:ln>
      </xdr:spPr>
    </xdr:sp>
    <xdr:clientData/>
  </xdr:twoCellAnchor>
  <xdr:twoCellAnchor>
    <xdr:from>
      <xdr:col>1</xdr:col>
      <xdr:colOff>95248</xdr:colOff>
      <xdr:row>292</xdr:row>
      <xdr:rowOff>38100</xdr:rowOff>
    </xdr:from>
    <xdr:to>
      <xdr:col>44</xdr:col>
      <xdr:colOff>134698</xdr:colOff>
      <xdr:row>292</xdr:row>
      <xdr:rowOff>38100</xdr:rowOff>
    </xdr:to>
    <xdr:sp macro="" textlink="">
      <xdr:nvSpPr>
        <xdr:cNvPr id="13" name="Line 1021">
          <a:extLst>
            <a:ext uri="{FF2B5EF4-FFF2-40B4-BE49-F238E27FC236}">
              <a16:creationId xmlns:a16="http://schemas.microsoft.com/office/drawing/2014/main" id="{00000000-0008-0000-0700-00000D000000}"/>
            </a:ext>
          </a:extLst>
        </xdr:cNvPr>
        <xdr:cNvSpPr>
          <a:spLocks noChangeShapeType="1"/>
        </xdr:cNvSpPr>
      </xdr:nvSpPr>
      <xdr:spPr bwMode="auto">
        <a:xfrm>
          <a:off x="247648" y="20507325"/>
          <a:ext cx="6621225" cy="0"/>
        </a:xfrm>
        <a:prstGeom prst="line">
          <a:avLst/>
        </a:prstGeom>
        <a:noFill/>
        <a:ln w="9525">
          <a:solidFill>
            <a:srgbClr val="000000"/>
          </a:solidFill>
          <a:round/>
          <a:headEnd/>
          <a:tailEnd/>
        </a:ln>
      </xdr:spPr>
    </xdr:sp>
    <xdr:clientData/>
  </xdr:twoCellAnchor>
  <xdr:twoCellAnchor>
    <xdr:from>
      <xdr:col>1</xdr:col>
      <xdr:colOff>95250</xdr:colOff>
      <xdr:row>108</xdr:row>
      <xdr:rowOff>0</xdr:rowOff>
    </xdr:from>
    <xdr:to>
      <xdr:col>45</xdr:col>
      <xdr:colOff>0</xdr:colOff>
      <xdr:row>120</xdr:row>
      <xdr:rowOff>0</xdr:rowOff>
    </xdr:to>
    <xdr:sp macro="" textlink="">
      <xdr:nvSpPr>
        <xdr:cNvPr id="15" name="Rectangle 7">
          <a:extLst>
            <a:ext uri="{FF2B5EF4-FFF2-40B4-BE49-F238E27FC236}">
              <a16:creationId xmlns:a16="http://schemas.microsoft.com/office/drawing/2014/main" id="{00000000-0008-0000-0700-00000F000000}"/>
            </a:ext>
          </a:extLst>
        </xdr:cNvPr>
        <xdr:cNvSpPr>
          <a:spLocks noChangeArrowheads="1"/>
        </xdr:cNvSpPr>
      </xdr:nvSpPr>
      <xdr:spPr bwMode="auto">
        <a:xfrm>
          <a:off x="247650" y="10010775"/>
          <a:ext cx="6638925" cy="1219200"/>
        </a:xfrm>
        <a:prstGeom prst="rect">
          <a:avLst/>
        </a:prstGeom>
        <a:noFill/>
        <a:ln w="9525">
          <a:solidFill>
            <a:srgbClr val="000000"/>
          </a:solidFill>
          <a:miter lim="800000"/>
          <a:headEnd/>
          <a:tailEnd/>
        </a:ln>
      </xdr:spPr>
    </xdr:sp>
    <xdr:clientData/>
  </xdr:twoCellAnchor>
  <xdr:twoCellAnchor>
    <xdr:from>
      <xdr:col>1</xdr:col>
      <xdr:colOff>95250</xdr:colOff>
      <xdr:row>111</xdr:row>
      <xdr:rowOff>0</xdr:rowOff>
    </xdr:from>
    <xdr:to>
      <xdr:col>45</xdr:col>
      <xdr:colOff>0</xdr:colOff>
      <xdr:row>111</xdr:row>
      <xdr:rowOff>0</xdr:rowOff>
    </xdr:to>
    <xdr:sp macro="" textlink="">
      <xdr:nvSpPr>
        <xdr:cNvPr id="16" name="Line 8">
          <a:extLst>
            <a:ext uri="{FF2B5EF4-FFF2-40B4-BE49-F238E27FC236}">
              <a16:creationId xmlns:a16="http://schemas.microsoft.com/office/drawing/2014/main" id="{00000000-0008-0000-0700-000010000000}"/>
            </a:ext>
          </a:extLst>
        </xdr:cNvPr>
        <xdr:cNvSpPr>
          <a:spLocks noChangeShapeType="1"/>
        </xdr:cNvSpPr>
      </xdr:nvSpPr>
      <xdr:spPr bwMode="auto">
        <a:xfrm>
          <a:off x="247650" y="10315575"/>
          <a:ext cx="6638925" cy="0"/>
        </a:xfrm>
        <a:prstGeom prst="line">
          <a:avLst/>
        </a:prstGeom>
        <a:noFill/>
        <a:ln w="9525">
          <a:solidFill>
            <a:srgbClr val="000000"/>
          </a:solidFill>
          <a:round/>
          <a:headEnd/>
          <a:tailEnd/>
        </a:ln>
      </xdr:spPr>
    </xdr:sp>
    <xdr:clientData/>
  </xdr:twoCellAnchor>
  <xdr:twoCellAnchor>
    <xdr:from>
      <xdr:col>10</xdr:col>
      <xdr:colOff>95250</xdr:colOff>
      <xdr:row>108</xdr:row>
      <xdr:rowOff>0</xdr:rowOff>
    </xdr:from>
    <xdr:to>
      <xdr:col>10</xdr:col>
      <xdr:colOff>95250</xdr:colOff>
      <xdr:row>120</xdr:row>
      <xdr:rowOff>0</xdr:rowOff>
    </xdr:to>
    <xdr:sp macro="" textlink="">
      <xdr:nvSpPr>
        <xdr:cNvPr id="17" name="Line 9">
          <a:extLst>
            <a:ext uri="{FF2B5EF4-FFF2-40B4-BE49-F238E27FC236}">
              <a16:creationId xmlns:a16="http://schemas.microsoft.com/office/drawing/2014/main" id="{00000000-0008-0000-0700-000011000000}"/>
            </a:ext>
          </a:extLst>
        </xdr:cNvPr>
        <xdr:cNvSpPr>
          <a:spLocks noChangeShapeType="1"/>
        </xdr:cNvSpPr>
      </xdr:nvSpPr>
      <xdr:spPr bwMode="auto">
        <a:xfrm>
          <a:off x="1619250" y="10010775"/>
          <a:ext cx="0" cy="1219200"/>
        </a:xfrm>
        <a:prstGeom prst="line">
          <a:avLst/>
        </a:prstGeom>
        <a:noFill/>
        <a:ln w="9525">
          <a:solidFill>
            <a:srgbClr val="000000"/>
          </a:solidFill>
          <a:round/>
          <a:headEnd/>
          <a:tailEnd/>
        </a:ln>
      </xdr:spPr>
    </xdr:sp>
    <xdr:clientData/>
  </xdr:twoCellAnchor>
  <xdr:twoCellAnchor>
    <xdr:from>
      <xdr:col>1</xdr:col>
      <xdr:colOff>95250</xdr:colOff>
      <xdr:row>114</xdr:row>
      <xdr:rowOff>0</xdr:rowOff>
    </xdr:from>
    <xdr:to>
      <xdr:col>10</xdr:col>
      <xdr:colOff>95250</xdr:colOff>
      <xdr:row>114</xdr:row>
      <xdr:rowOff>0</xdr:rowOff>
    </xdr:to>
    <xdr:sp macro="" textlink="">
      <xdr:nvSpPr>
        <xdr:cNvPr id="18" name="Line 11">
          <a:extLst>
            <a:ext uri="{FF2B5EF4-FFF2-40B4-BE49-F238E27FC236}">
              <a16:creationId xmlns:a16="http://schemas.microsoft.com/office/drawing/2014/main" id="{00000000-0008-0000-0700-000012000000}"/>
            </a:ext>
          </a:extLst>
        </xdr:cNvPr>
        <xdr:cNvSpPr>
          <a:spLocks noChangeShapeType="1"/>
        </xdr:cNvSpPr>
      </xdr:nvSpPr>
      <xdr:spPr bwMode="auto">
        <a:xfrm>
          <a:off x="247650" y="10620375"/>
          <a:ext cx="1371600" cy="0"/>
        </a:xfrm>
        <a:prstGeom prst="line">
          <a:avLst/>
        </a:prstGeom>
        <a:noFill/>
        <a:ln w="9525">
          <a:solidFill>
            <a:srgbClr val="000000"/>
          </a:solidFill>
          <a:round/>
          <a:headEnd/>
          <a:tailEnd/>
        </a:ln>
      </xdr:spPr>
    </xdr:sp>
    <xdr:clientData/>
  </xdr:twoCellAnchor>
  <xdr:twoCellAnchor>
    <xdr:from>
      <xdr:col>1</xdr:col>
      <xdr:colOff>95250</xdr:colOff>
      <xdr:row>117</xdr:row>
      <xdr:rowOff>0</xdr:rowOff>
    </xdr:from>
    <xdr:to>
      <xdr:col>10</xdr:col>
      <xdr:colOff>95250</xdr:colOff>
      <xdr:row>117</xdr:row>
      <xdr:rowOff>0</xdr:rowOff>
    </xdr:to>
    <xdr:sp macro="" textlink="">
      <xdr:nvSpPr>
        <xdr:cNvPr id="19" name="Line 14">
          <a:extLst>
            <a:ext uri="{FF2B5EF4-FFF2-40B4-BE49-F238E27FC236}">
              <a16:creationId xmlns:a16="http://schemas.microsoft.com/office/drawing/2014/main" id="{00000000-0008-0000-0700-000013000000}"/>
            </a:ext>
          </a:extLst>
        </xdr:cNvPr>
        <xdr:cNvSpPr>
          <a:spLocks noChangeShapeType="1"/>
        </xdr:cNvSpPr>
      </xdr:nvSpPr>
      <xdr:spPr bwMode="auto">
        <a:xfrm>
          <a:off x="247650" y="10925175"/>
          <a:ext cx="1371600" cy="0"/>
        </a:xfrm>
        <a:prstGeom prst="line">
          <a:avLst/>
        </a:prstGeom>
        <a:noFill/>
        <a:ln w="9525">
          <a:solidFill>
            <a:srgbClr val="000000"/>
          </a:solidFill>
          <a:round/>
          <a:headEnd/>
          <a:tailEnd/>
        </a:ln>
      </xdr:spPr>
    </xdr:sp>
    <xdr:clientData/>
  </xdr:twoCellAnchor>
  <xdr:twoCellAnchor>
    <xdr:from>
      <xdr:col>38</xdr:col>
      <xdr:colOff>0</xdr:colOff>
      <xdr:row>108</xdr:row>
      <xdr:rowOff>9525</xdr:rowOff>
    </xdr:from>
    <xdr:to>
      <xdr:col>38</xdr:col>
      <xdr:colOff>0</xdr:colOff>
      <xdr:row>120</xdr:row>
      <xdr:rowOff>0</xdr:rowOff>
    </xdr:to>
    <xdr:sp macro="" textlink="">
      <xdr:nvSpPr>
        <xdr:cNvPr id="20" name="Line 15">
          <a:extLst>
            <a:ext uri="{FF2B5EF4-FFF2-40B4-BE49-F238E27FC236}">
              <a16:creationId xmlns:a16="http://schemas.microsoft.com/office/drawing/2014/main" id="{00000000-0008-0000-0700-000014000000}"/>
            </a:ext>
          </a:extLst>
        </xdr:cNvPr>
        <xdr:cNvSpPr>
          <a:spLocks noChangeShapeType="1"/>
        </xdr:cNvSpPr>
      </xdr:nvSpPr>
      <xdr:spPr bwMode="auto">
        <a:xfrm>
          <a:off x="5819775" y="10020300"/>
          <a:ext cx="0" cy="1209675"/>
        </a:xfrm>
        <a:prstGeom prst="line">
          <a:avLst/>
        </a:prstGeom>
        <a:noFill/>
        <a:ln w="9525">
          <a:solidFill>
            <a:srgbClr val="000000"/>
          </a:solidFill>
          <a:round/>
          <a:headEnd/>
          <a:tailEnd/>
        </a:ln>
      </xdr:spPr>
    </xdr:sp>
    <xdr:clientData/>
  </xdr:twoCellAnchor>
  <xdr:twoCellAnchor>
    <xdr:from>
      <xdr:col>1</xdr:col>
      <xdr:colOff>66675</xdr:colOff>
      <xdr:row>92</xdr:row>
      <xdr:rowOff>0</xdr:rowOff>
    </xdr:from>
    <xdr:to>
      <xdr:col>44</xdr:col>
      <xdr:colOff>134700</xdr:colOff>
      <xdr:row>92</xdr:row>
      <xdr:rowOff>0</xdr:rowOff>
    </xdr:to>
    <xdr:sp macro="" textlink="">
      <xdr:nvSpPr>
        <xdr:cNvPr id="21" name="Line 21">
          <a:extLst>
            <a:ext uri="{FF2B5EF4-FFF2-40B4-BE49-F238E27FC236}">
              <a16:creationId xmlns:a16="http://schemas.microsoft.com/office/drawing/2014/main" id="{00000000-0008-0000-0700-000015000000}"/>
            </a:ext>
          </a:extLst>
        </xdr:cNvPr>
        <xdr:cNvSpPr>
          <a:spLocks noChangeShapeType="1"/>
        </xdr:cNvSpPr>
      </xdr:nvSpPr>
      <xdr:spPr bwMode="auto">
        <a:xfrm>
          <a:off x="228600" y="9067800"/>
          <a:ext cx="7059375" cy="0"/>
        </a:xfrm>
        <a:prstGeom prst="line">
          <a:avLst/>
        </a:prstGeom>
        <a:noFill/>
        <a:ln w="9525">
          <a:solidFill>
            <a:srgbClr val="000000"/>
          </a:solidFill>
          <a:round/>
          <a:headEnd/>
          <a:tailEnd/>
        </a:ln>
      </xdr:spPr>
    </xdr:sp>
    <xdr:clientData/>
  </xdr:twoCellAnchor>
  <xdr:twoCellAnchor>
    <xdr:from>
      <xdr:col>1</xdr:col>
      <xdr:colOff>95250</xdr:colOff>
      <xdr:row>199</xdr:row>
      <xdr:rowOff>0</xdr:rowOff>
    </xdr:from>
    <xdr:to>
      <xdr:col>45</xdr:col>
      <xdr:colOff>0</xdr:colOff>
      <xdr:row>199</xdr:row>
      <xdr:rowOff>0</xdr:rowOff>
    </xdr:to>
    <xdr:sp macro="" textlink="">
      <xdr:nvSpPr>
        <xdr:cNvPr id="22" name="Line 148">
          <a:extLst>
            <a:ext uri="{FF2B5EF4-FFF2-40B4-BE49-F238E27FC236}">
              <a16:creationId xmlns:a16="http://schemas.microsoft.com/office/drawing/2014/main" id="{00000000-0008-0000-0700-000016000000}"/>
            </a:ext>
          </a:extLst>
        </xdr:cNvPr>
        <xdr:cNvSpPr>
          <a:spLocks noChangeShapeType="1"/>
        </xdr:cNvSpPr>
      </xdr:nvSpPr>
      <xdr:spPr bwMode="auto">
        <a:xfrm>
          <a:off x="247650" y="12468225"/>
          <a:ext cx="6638925" cy="0"/>
        </a:xfrm>
        <a:prstGeom prst="line">
          <a:avLst/>
        </a:prstGeom>
        <a:noFill/>
        <a:ln w="9525">
          <a:solidFill>
            <a:srgbClr val="000000"/>
          </a:solidFill>
          <a:round/>
          <a:headEnd/>
          <a:tailEnd/>
        </a:ln>
      </xdr:spPr>
    </xdr:sp>
    <xdr:clientData/>
  </xdr:twoCellAnchor>
  <xdr:twoCellAnchor>
    <xdr:from>
      <xdr:col>1</xdr:col>
      <xdr:colOff>95248</xdr:colOff>
      <xdr:row>381</xdr:row>
      <xdr:rowOff>38100</xdr:rowOff>
    </xdr:from>
    <xdr:to>
      <xdr:col>44</xdr:col>
      <xdr:colOff>134698</xdr:colOff>
      <xdr:row>381</xdr:row>
      <xdr:rowOff>38100</xdr:rowOff>
    </xdr:to>
    <xdr:sp macro="" textlink="">
      <xdr:nvSpPr>
        <xdr:cNvPr id="23" name="Line 147">
          <a:extLst>
            <a:ext uri="{FF2B5EF4-FFF2-40B4-BE49-F238E27FC236}">
              <a16:creationId xmlns:a16="http://schemas.microsoft.com/office/drawing/2014/main" id="{00000000-0008-0000-0700-000017000000}"/>
            </a:ext>
          </a:extLst>
        </xdr:cNvPr>
        <xdr:cNvSpPr>
          <a:spLocks noChangeShapeType="1"/>
        </xdr:cNvSpPr>
      </xdr:nvSpPr>
      <xdr:spPr bwMode="auto">
        <a:xfrm>
          <a:off x="247648" y="22059900"/>
          <a:ext cx="6621225" cy="0"/>
        </a:xfrm>
        <a:prstGeom prst="line">
          <a:avLst/>
        </a:prstGeom>
        <a:noFill/>
        <a:ln w="9525">
          <a:solidFill>
            <a:srgbClr val="000000"/>
          </a:solidFill>
          <a:round/>
          <a:headEnd/>
          <a:tailEnd/>
        </a:ln>
      </xdr:spPr>
    </xdr:sp>
    <xdr:clientData/>
  </xdr:twoCellAnchor>
  <xdr:twoCellAnchor>
    <xdr:from>
      <xdr:col>1</xdr:col>
      <xdr:colOff>66674</xdr:colOff>
      <xdr:row>422</xdr:row>
      <xdr:rowOff>28575</xdr:rowOff>
    </xdr:from>
    <xdr:to>
      <xdr:col>44</xdr:col>
      <xdr:colOff>106124</xdr:colOff>
      <xdr:row>422</xdr:row>
      <xdr:rowOff>28575</xdr:rowOff>
    </xdr:to>
    <xdr:sp macro="" textlink="">
      <xdr:nvSpPr>
        <xdr:cNvPr id="24" name="Line 148">
          <a:extLst>
            <a:ext uri="{FF2B5EF4-FFF2-40B4-BE49-F238E27FC236}">
              <a16:creationId xmlns:a16="http://schemas.microsoft.com/office/drawing/2014/main" id="{00000000-0008-0000-0700-000018000000}"/>
            </a:ext>
          </a:extLst>
        </xdr:cNvPr>
        <xdr:cNvSpPr>
          <a:spLocks noChangeShapeType="1"/>
        </xdr:cNvSpPr>
      </xdr:nvSpPr>
      <xdr:spPr bwMode="auto">
        <a:xfrm>
          <a:off x="228599" y="39690675"/>
          <a:ext cx="7030800" cy="0"/>
        </a:xfrm>
        <a:prstGeom prst="line">
          <a:avLst/>
        </a:prstGeom>
        <a:noFill/>
        <a:ln w="9525">
          <a:solidFill>
            <a:srgbClr val="000000"/>
          </a:solidFill>
          <a:round/>
          <a:headEnd/>
          <a:tailEnd/>
        </a:ln>
      </xdr:spPr>
    </xdr:sp>
    <xdr:clientData/>
  </xdr:twoCellAnchor>
  <xdr:twoCellAnchor>
    <xdr:from>
      <xdr:col>1</xdr:col>
      <xdr:colOff>95248</xdr:colOff>
      <xdr:row>440</xdr:row>
      <xdr:rowOff>38100</xdr:rowOff>
    </xdr:from>
    <xdr:to>
      <xdr:col>44</xdr:col>
      <xdr:colOff>134698</xdr:colOff>
      <xdr:row>440</xdr:row>
      <xdr:rowOff>38100</xdr:rowOff>
    </xdr:to>
    <xdr:sp macro="" textlink="">
      <xdr:nvSpPr>
        <xdr:cNvPr id="25" name="Line 151">
          <a:extLst>
            <a:ext uri="{FF2B5EF4-FFF2-40B4-BE49-F238E27FC236}">
              <a16:creationId xmlns:a16="http://schemas.microsoft.com/office/drawing/2014/main" id="{00000000-0008-0000-0700-000019000000}"/>
            </a:ext>
          </a:extLst>
        </xdr:cNvPr>
        <xdr:cNvSpPr>
          <a:spLocks noChangeShapeType="1"/>
        </xdr:cNvSpPr>
      </xdr:nvSpPr>
      <xdr:spPr bwMode="auto">
        <a:xfrm>
          <a:off x="247648" y="28489275"/>
          <a:ext cx="6621225" cy="0"/>
        </a:xfrm>
        <a:prstGeom prst="line">
          <a:avLst/>
        </a:prstGeom>
        <a:noFill/>
        <a:ln w="9525">
          <a:solidFill>
            <a:srgbClr val="000000"/>
          </a:solidFill>
          <a:round/>
          <a:headEnd/>
          <a:tailEnd/>
        </a:ln>
      </xdr:spPr>
    </xdr:sp>
    <xdr:clientData/>
  </xdr:twoCellAnchor>
  <xdr:twoCellAnchor>
    <xdr:from>
      <xdr:col>1</xdr:col>
      <xdr:colOff>95248</xdr:colOff>
      <xdr:row>450</xdr:row>
      <xdr:rowOff>38100</xdr:rowOff>
    </xdr:from>
    <xdr:to>
      <xdr:col>44</xdr:col>
      <xdr:colOff>134698</xdr:colOff>
      <xdr:row>450</xdr:row>
      <xdr:rowOff>38100</xdr:rowOff>
    </xdr:to>
    <xdr:sp macro="" textlink="">
      <xdr:nvSpPr>
        <xdr:cNvPr id="26" name="Line 1001">
          <a:extLst>
            <a:ext uri="{FF2B5EF4-FFF2-40B4-BE49-F238E27FC236}">
              <a16:creationId xmlns:a16="http://schemas.microsoft.com/office/drawing/2014/main" id="{00000000-0008-0000-0700-00001A000000}"/>
            </a:ext>
          </a:extLst>
        </xdr:cNvPr>
        <xdr:cNvSpPr>
          <a:spLocks noChangeShapeType="1"/>
        </xdr:cNvSpPr>
      </xdr:nvSpPr>
      <xdr:spPr bwMode="auto">
        <a:xfrm>
          <a:off x="247648" y="29098875"/>
          <a:ext cx="6621225" cy="0"/>
        </a:xfrm>
        <a:prstGeom prst="line">
          <a:avLst/>
        </a:prstGeom>
        <a:noFill/>
        <a:ln w="9525">
          <a:solidFill>
            <a:srgbClr val="000000"/>
          </a:solidFill>
          <a:round/>
          <a:headEnd/>
          <a:tailEnd/>
        </a:ln>
      </xdr:spPr>
    </xdr:sp>
    <xdr:clientData/>
  </xdr:twoCellAnchor>
  <xdr:twoCellAnchor>
    <xdr:from>
      <xdr:col>1</xdr:col>
      <xdr:colOff>95248</xdr:colOff>
      <xdr:row>459</xdr:row>
      <xdr:rowOff>38100</xdr:rowOff>
    </xdr:from>
    <xdr:to>
      <xdr:col>44</xdr:col>
      <xdr:colOff>134698</xdr:colOff>
      <xdr:row>459</xdr:row>
      <xdr:rowOff>38100</xdr:rowOff>
    </xdr:to>
    <xdr:sp macro="" textlink="">
      <xdr:nvSpPr>
        <xdr:cNvPr id="27" name="Line 1002">
          <a:extLst>
            <a:ext uri="{FF2B5EF4-FFF2-40B4-BE49-F238E27FC236}">
              <a16:creationId xmlns:a16="http://schemas.microsoft.com/office/drawing/2014/main" id="{00000000-0008-0000-0700-00001B000000}"/>
            </a:ext>
          </a:extLst>
        </xdr:cNvPr>
        <xdr:cNvSpPr>
          <a:spLocks noChangeShapeType="1"/>
        </xdr:cNvSpPr>
      </xdr:nvSpPr>
      <xdr:spPr bwMode="auto">
        <a:xfrm>
          <a:off x="247648" y="29870400"/>
          <a:ext cx="6621225" cy="0"/>
        </a:xfrm>
        <a:prstGeom prst="line">
          <a:avLst/>
        </a:prstGeom>
        <a:noFill/>
        <a:ln w="9525">
          <a:solidFill>
            <a:srgbClr val="000000"/>
          </a:solidFill>
          <a:round/>
          <a:headEnd/>
          <a:tailEnd/>
        </a:ln>
      </xdr:spPr>
    </xdr:sp>
    <xdr:clientData/>
  </xdr:twoCellAnchor>
  <xdr:twoCellAnchor>
    <xdr:from>
      <xdr:col>1</xdr:col>
      <xdr:colOff>95248</xdr:colOff>
      <xdr:row>476</xdr:row>
      <xdr:rowOff>38100</xdr:rowOff>
    </xdr:from>
    <xdr:to>
      <xdr:col>44</xdr:col>
      <xdr:colOff>134698</xdr:colOff>
      <xdr:row>476</xdr:row>
      <xdr:rowOff>38100</xdr:rowOff>
    </xdr:to>
    <xdr:sp macro="" textlink="">
      <xdr:nvSpPr>
        <xdr:cNvPr id="28" name="Line 1035">
          <a:extLst>
            <a:ext uri="{FF2B5EF4-FFF2-40B4-BE49-F238E27FC236}">
              <a16:creationId xmlns:a16="http://schemas.microsoft.com/office/drawing/2014/main" id="{00000000-0008-0000-0700-00001C000000}"/>
            </a:ext>
          </a:extLst>
        </xdr:cNvPr>
        <xdr:cNvSpPr>
          <a:spLocks noChangeShapeType="1"/>
        </xdr:cNvSpPr>
      </xdr:nvSpPr>
      <xdr:spPr bwMode="auto">
        <a:xfrm>
          <a:off x="247648" y="31613475"/>
          <a:ext cx="6621225" cy="0"/>
        </a:xfrm>
        <a:prstGeom prst="line">
          <a:avLst/>
        </a:prstGeom>
        <a:noFill/>
        <a:ln w="9525">
          <a:solidFill>
            <a:srgbClr val="000000"/>
          </a:solidFill>
          <a:round/>
          <a:headEnd/>
          <a:tailEnd/>
        </a:ln>
      </xdr:spPr>
    </xdr:sp>
    <xdr:clientData/>
  </xdr:twoCellAnchor>
  <xdr:twoCellAnchor>
    <xdr:from>
      <xdr:col>1</xdr:col>
      <xdr:colOff>95249</xdr:colOff>
      <xdr:row>392</xdr:row>
      <xdr:rowOff>38100</xdr:rowOff>
    </xdr:from>
    <xdr:to>
      <xdr:col>44</xdr:col>
      <xdr:colOff>134699</xdr:colOff>
      <xdr:row>392</xdr:row>
      <xdr:rowOff>38100</xdr:rowOff>
    </xdr:to>
    <xdr:sp macro="" textlink="">
      <xdr:nvSpPr>
        <xdr:cNvPr id="29" name="Line 148">
          <a:extLst>
            <a:ext uri="{FF2B5EF4-FFF2-40B4-BE49-F238E27FC236}">
              <a16:creationId xmlns:a16="http://schemas.microsoft.com/office/drawing/2014/main" id="{00000000-0008-0000-0700-00001D000000}"/>
            </a:ext>
          </a:extLst>
        </xdr:cNvPr>
        <xdr:cNvSpPr>
          <a:spLocks noChangeShapeType="1"/>
        </xdr:cNvSpPr>
      </xdr:nvSpPr>
      <xdr:spPr bwMode="auto">
        <a:xfrm>
          <a:off x="247649" y="23155275"/>
          <a:ext cx="6621225" cy="0"/>
        </a:xfrm>
        <a:prstGeom prst="line">
          <a:avLst/>
        </a:prstGeom>
        <a:noFill/>
        <a:ln w="9525">
          <a:solidFill>
            <a:srgbClr val="000000"/>
          </a:solidFill>
          <a:round/>
          <a:headEnd/>
          <a:tailEnd/>
        </a:ln>
      </xdr:spPr>
    </xdr:sp>
    <xdr:clientData/>
  </xdr:twoCellAnchor>
  <xdr:twoCellAnchor>
    <xdr:from>
      <xdr:col>1</xdr:col>
      <xdr:colOff>95248</xdr:colOff>
      <xdr:row>310</xdr:row>
      <xdr:rowOff>38100</xdr:rowOff>
    </xdr:from>
    <xdr:to>
      <xdr:col>44</xdr:col>
      <xdr:colOff>134698</xdr:colOff>
      <xdr:row>310</xdr:row>
      <xdr:rowOff>38100</xdr:rowOff>
    </xdr:to>
    <xdr:sp macro="" textlink="">
      <xdr:nvSpPr>
        <xdr:cNvPr id="34" name="Line 147">
          <a:extLst>
            <a:ext uri="{FF2B5EF4-FFF2-40B4-BE49-F238E27FC236}">
              <a16:creationId xmlns:a16="http://schemas.microsoft.com/office/drawing/2014/main" id="{00000000-0008-0000-0700-000022000000}"/>
            </a:ext>
          </a:extLst>
        </xdr:cNvPr>
        <xdr:cNvSpPr>
          <a:spLocks noChangeShapeType="1"/>
        </xdr:cNvSpPr>
      </xdr:nvSpPr>
      <xdr:spPr bwMode="auto">
        <a:xfrm>
          <a:off x="246334" y="28021893"/>
          <a:ext cx="6569002" cy="0"/>
        </a:xfrm>
        <a:prstGeom prst="line">
          <a:avLst/>
        </a:prstGeom>
        <a:noFill/>
        <a:ln w="9525">
          <a:solidFill>
            <a:srgbClr val="000000"/>
          </a:solidFill>
          <a:round/>
          <a:headEnd/>
          <a:tailEnd/>
        </a:ln>
      </xdr:spPr>
    </xdr:sp>
    <xdr:clientData/>
  </xdr:twoCellAnchor>
  <xdr:twoCellAnchor>
    <xdr:from>
      <xdr:col>1</xdr:col>
      <xdr:colOff>104773</xdr:colOff>
      <xdr:row>491</xdr:row>
      <xdr:rowOff>171450</xdr:rowOff>
    </xdr:from>
    <xdr:to>
      <xdr:col>44</xdr:col>
      <xdr:colOff>144223</xdr:colOff>
      <xdr:row>491</xdr:row>
      <xdr:rowOff>171450</xdr:rowOff>
    </xdr:to>
    <xdr:sp macro="" textlink="">
      <xdr:nvSpPr>
        <xdr:cNvPr id="45" name="Line 962">
          <a:extLst>
            <a:ext uri="{FF2B5EF4-FFF2-40B4-BE49-F238E27FC236}">
              <a16:creationId xmlns:a16="http://schemas.microsoft.com/office/drawing/2014/main" id="{00000000-0008-0000-0700-00002D000000}"/>
            </a:ext>
          </a:extLst>
        </xdr:cNvPr>
        <xdr:cNvSpPr>
          <a:spLocks noChangeShapeType="1"/>
        </xdr:cNvSpPr>
      </xdr:nvSpPr>
      <xdr:spPr bwMode="auto">
        <a:xfrm>
          <a:off x="265965" y="48485181"/>
          <a:ext cx="7000027" cy="0"/>
        </a:xfrm>
        <a:prstGeom prst="line">
          <a:avLst/>
        </a:prstGeom>
        <a:noFill/>
        <a:ln w="9525">
          <a:solidFill>
            <a:srgbClr val="000000"/>
          </a:solidFill>
          <a:round/>
          <a:headEnd/>
          <a:tailEnd/>
        </a:ln>
      </xdr:spPr>
    </xdr:sp>
    <xdr:clientData/>
  </xdr:twoCellAnchor>
  <xdr:twoCellAnchor>
    <xdr:from>
      <xdr:col>1</xdr:col>
      <xdr:colOff>19048</xdr:colOff>
      <xdr:row>130</xdr:row>
      <xdr:rowOff>9525</xdr:rowOff>
    </xdr:from>
    <xdr:to>
      <xdr:col>44</xdr:col>
      <xdr:colOff>58498</xdr:colOff>
      <xdr:row>130</xdr:row>
      <xdr:rowOff>9525</xdr:rowOff>
    </xdr:to>
    <xdr:sp macro="" textlink="">
      <xdr:nvSpPr>
        <xdr:cNvPr id="37" name="Line 962">
          <a:extLst>
            <a:ext uri="{FF2B5EF4-FFF2-40B4-BE49-F238E27FC236}">
              <a16:creationId xmlns:a16="http://schemas.microsoft.com/office/drawing/2014/main" id="{00000000-0008-0000-0700-000025000000}"/>
            </a:ext>
          </a:extLst>
        </xdr:cNvPr>
        <xdr:cNvSpPr>
          <a:spLocks noChangeShapeType="1"/>
        </xdr:cNvSpPr>
      </xdr:nvSpPr>
      <xdr:spPr bwMode="auto">
        <a:xfrm>
          <a:off x="180973" y="11430000"/>
          <a:ext cx="7030800" cy="0"/>
        </a:xfrm>
        <a:prstGeom prst="line">
          <a:avLst/>
        </a:prstGeom>
        <a:noFill/>
        <a:ln w="9525">
          <a:solidFill>
            <a:srgbClr val="000000"/>
          </a:solidFill>
          <a:round/>
          <a:headEnd/>
          <a:tailEnd/>
        </a:ln>
      </xdr:spPr>
    </xdr:sp>
    <xdr:clientData/>
  </xdr:twoCellAnchor>
  <xdr:twoCellAnchor>
    <xdr:from>
      <xdr:col>1</xdr:col>
      <xdr:colOff>19048</xdr:colOff>
      <xdr:row>157</xdr:row>
      <xdr:rowOff>9525</xdr:rowOff>
    </xdr:from>
    <xdr:to>
      <xdr:col>44</xdr:col>
      <xdr:colOff>58498</xdr:colOff>
      <xdr:row>157</xdr:row>
      <xdr:rowOff>9525</xdr:rowOff>
    </xdr:to>
    <xdr:sp macro="" textlink="">
      <xdr:nvSpPr>
        <xdr:cNvPr id="38" name="Line 962">
          <a:extLst>
            <a:ext uri="{FF2B5EF4-FFF2-40B4-BE49-F238E27FC236}">
              <a16:creationId xmlns:a16="http://schemas.microsoft.com/office/drawing/2014/main" id="{00000000-0008-0000-0700-000026000000}"/>
            </a:ext>
          </a:extLst>
        </xdr:cNvPr>
        <xdr:cNvSpPr>
          <a:spLocks noChangeShapeType="1"/>
        </xdr:cNvSpPr>
      </xdr:nvSpPr>
      <xdr:spPr bwMode="auto">
        <a:xfrm>
          <a:off x="180973" y="15325725"/>
          <a:ext cx="7030800" cy="0"/>
        </a:xfrm>
        <a:prstGeom prst="line">
          <a:avLst/>
        </a:prstGeom>
        <a:noFill/>
        <a:ln w="9525">
          <a:solidFill>
            <a:srgbClr val="000000"/>
          </a:solidFill>
          <a:round/>
          <a:headEnd/>
          <a:tailEnd/>
        </a:ln>
      </xdr:spPr>
    </xdr:sp>
    <xdr:clientData/>
  </xdr:twoCellAnchor>
  <xdr:twoCellAnchor>
    <xdr:from>
      <xdr:col>1</xdr:col>
      <xdr:colOff>95248</xdr:colOff>
      <xdr:row>304</xdr:row>
      <xdr:rowOff>38100</xdr:rowOff>
    </xdr:from>
    <xdr:to>
      <xdr:col>44</xdr:col>
      <xdr:colOff>134698</xdr:colOff>
      <xdr:row>304</xdr:row>
      <xdr:rowOff>38100</xdr:rowOff>
    </xdr:to>
    <xdr:sp macro="" textlink="">
      <xdr:nvSpPr>
        <xdr:cNvPr id="35" name="Line 1035">
          <a:extLst>
            <a:ext uri="{FF2B5EF4-FFF2-40B4-BE49-F238E27FC236}">
              <a16:creationId xmlns:a16="http://schemas.microsoft.com/office/drawing/2014/main" id="{00000000-0008-0000-0700-000023000000}"/>
            </a:ext>
          </a:extLst>
        </xdr:cNvPr>
        <xdr:cNvSpPr>
          <a:spLocks noChangeShapeType="1"/>
        </xdr:cNvSpPr>
      </xdr:nvSpPr>
      <xdr:spPr bwMode="auto">
        <a:xfrm>
          <a:off x="257173" y="30727650"/>
          <a:ext cx="70308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95250</xdr:colOff>
      <xdr:row>78</xdr:row>
      <xdr:rowOff>0</xdr:rowOff>
    </xdr:from>
    <xdr:to>
      <xdr:col>45</xdr:col>
      <xdr:colOff>1350</xdr:colOff>
      <xdr:row>78</xdr:row>
      <xdr:rowOff>0</xdr:rowOff>
    </xdr:to>
    <xdr:sp macro="" textlink="">
      <xdr:nvSpPr>
        <xdr:cNvPr id="2" name="Line 21">
          <a:extLst>
            <a:ext uri="{FF2B5EF4-FFF2-40B4-BE49-F238E27FC236}">
              <a16:creationId xmlns:a16="http://schemas.microsoft.com/office/drawing/2014/main" id="{00000000-0008-0000-0800-000002000000}"/>
            </a:ext>
          </a:extLst>
        </xdr:cNvPr>
        <xdr:cNvSpPr>
          <a:spLocks noChangeShapeType="1"/>
        </xdr:cNvSpPr>
      </xdr:nvSpPr>
      <xdr:spPr bwMode="auto">
        <a:xfrm>
          <a:off x="247650" y="6858000"/>
          <a:ext cx="6640275" cy="0"/>
        </a:xfrm>
        <a:prstGeom prst="line">
          <a:avLst/>
        </a:prstGeom>
        <a:noFill/>
        <a:ln w="9525">
          <a:solidFill>
            <a:srgbClr val="000000"/>
          </a:solidFill>
          <a:round/>
          <a:headEnd/>
          <a:tailEnd/>
        </a:ln>
      </xdr:spPr>
    </xdr:sp>
    <xdr:clientData/>
  </xdr:twoCellAnchor>
  <xdr:twoCellAnchor>
    <xdr:from>
      <xdr:col>1</xdr:col>
      <xdr:colOff>95250</xdr:colOff>
      <xdr:row>50</xdr:row>
      <xdr:rowOff>0</xdr:rowOff>
    </xdr:from>
    <xdr:to>
      <xdr:col>45</xdr:col>
      <xdr:colOff>1350</xdr:colOff>
      <xdr:row>50</xdr:row>
      <xdr:rowOff>0</xdr:rowOff>
    </xdr:to>
    <xdr:sp macro="" textlink="">
      <xdr:nvSpPr>
        <xdr:cNvPr id="3" name="Line 22">
          <a:extLst>
            <a:ext uri="{FF2B5EF4-FFF2-40B4-BE49-F238E27FC236}">
              <a16:creationId xmlns:a16="http://schemas.microsoft.com/office/drawing/2014/main" id="{00000000-0008-0000-0800-000003000000}"/>
            </a:ext>
          </a:extLst>
        </xdr:cNvPr>
        <xdr:cNvSpPr>
          <a:spLocks noChangeShapeType="1"/>
        </xdr:cNvSpPr>
      </xdr:nvSpPr>
      <xdr:spPr bwMode="auto">
        <a:xfrm>
          <a:off x="247650" y="3200400"/>
          <a:ext cx="6640275" cy="0"/>
        </a:xfrm>
        <a:prstGeom prst="line">
          <a:avLst/>
        </a:prstGeom>
        <a:noFill/>
        <a:ln w="9525">
          <a:solidFill>
            <a:srgbClr val="000000"/>
          </a:solidFill>
          <a:round/>
          <a:headEnd/>
          <a:tailEnd/>
        </a:ln>
      </xdr:spPr>
    </xdr:sp>
    <xdr:clientData/>
  </xdr:twoCellAnchor>
  <xdr:twoCellAnchor>
    <xdr:from>
      <xdr:col>1</xdr:col>
      <xdr:colOff>95250</xdr:colOff>
      <xdr:row>39</xdr:row>
      <xdr:rowOff>0</xdr:rowOff>
    </xdr:from>
    <xdr:to>
      <xdr:col>45</xdr:col>
      <xdr:colOff>1350</xdr:colOff>
      <xdr:row>39</xdr:row>
      <xdr:rowOff>0</xdr:rowOff>
    </xdr:to>
    <xdr:sp macro="" textlink="">
      <xdr:nvSpPr>
        <xdr:cNvPr id="4" name="Line 23">
          <a:extLst>
            <a:ext uri="{FF2B5EF4-FFF2-40B4-BE49-F238E27FC236}">
              <a16:creationId xmlns:a16="http://schemas.microsoft.com/office/drawing/2014/main" id="{00000000-0008-0000-0800-000004000000}"/>
            </a:ext>
          </a:extLst>
        </xdr:cNvPr>
        <xdr:cNvSpPr>
          <a:spLocks noChangeShapeType="1"/>
        </xdr:cNvSpPr>
      </xdr:nvSpPr>
      <xdr:spPr bwMode="auto">
        <a:xfrm>
          <a:off x="247650" y="2286000"/>
          <a:ext cx="6640275" cy="0"/>
        </a:xfrm>
        <a:prstGeom prst="line">
          <a:avLst/>
        </a:prstGeom>
        <a:noFill/>
        <a:ln w="9525">
          <a:solidFill>
            <a:srgbClr val="000000"/>
          </a:solidFill>
          <a:round/>
          <a:headEnd/>
          <a:tailEnd/>
        </a:ln>
      </xdr:spPr>
    </xdr:sp>
    <xdr:clientData/>
  </xdr:twoCellAnchor>
  <xdr:twoCellAnchor>
    <xdr:from>
      <xdr:col>1</xdr:col>
      <xdr:colOff>95250</xdr:colOff>
      <xdr:row>28</xdr:row>
      <xdr:rowOff>0</xdr:rowOff>
    </xdr:from>
    <xdr:to>
      <xdr:col>45</xdr:col>
      <xdr:colOff>1350</xdr:colOff>
      <xdr:row>28</xdr:row>
      <xdr:rowOff>0</xdr:rowOff>
    </xdr:to>
    <xdr:sp macro="" textlink="">
      <xdr:nvSpPr>
        <xdr:cNvPr id="5" name="Line 24">
          <a:extLst>
            <a:ext uri="{FF2B5EF4-FFF2-40B4-BE49-F238E27FC236}">
              <a16:creationId xmlns:a16="http://schemas.microsoft.com/office/drawing/2014/main" id="{00000000-0008-0000-0800-000005000000}"/>
            </a:ext>
          </a:extLst>
        </xdr:cNvPr>
        <xdr:cNvSpPr>
          <a:spLocks noChangeShapeType="1"/>
        </xdr:cNvSpPr>
      </xdr:nvSpPr>
      <xdr:spPr bwMode="auto">
        <a:xfrm>
          <a:off x="247650" y="1371600"/>
          <a:ext cx="6640275" cy="0"/>
        </a:xfrm>
        <a:prstGeom prst="line">
          <a:avLst/>
        </a:prstGeom>
        <a:noFill/>
        <a:ln w="9525">
          <a:solidFill>
            <a:srgbClr val="000000"/>
          </a:solidFill>
          <a:round/>
          <a:headEnd/>
          <a:tailEnd/>
        </a:ln>
      </xdr:spPr>
    </xdr:sp>
    <xdr:clientData/>
  </xdr:twoCellAnchor>
  <xdr:twoCellAnchor>
    <xdr:from>
      <xdr:col>1</xdr:col>
      <xdr:colOff>95250</xdr:colOff>
      <xdr:row>190</xdr:row>
      <xdr:rowOff>0</xdr:rowOff>
    </xdr:from>
    <xdr:to>
      <xdr:col>45</xdr:col>
      <xdr:colOff>0</xdr:colOff>
      <xdr:row>190</xdr:row>
      <xdr:rowOff>0</xdr:rowOff>
    </xdr:to>
    <xdr:sp macro="" textlink="">
      <xdr:nvSpPr>
        <xdr:cNvPr id="6" name="Line 147">
          <a:extLst>
            <a:ext uri="{FF2B5EF4-FFF2-40B4-BE49-F238E27FC236}">
              <a16:creationId xmlns:a16="http://schemas.microsoft.com/office/drawing/2014/main" id="{00000000-0008-0000-0800-000006000000}"/>
            </a:ext>
          </a:extLst>
        </xdr:cNvPr>
        <xdr:cNvSpPr>
          <a:spLocks noChangeShapeType="1"/>
        </xdr:cNvSpPr>
      </xdr:nvSpPr>
      <xdr:spPr bwMode="auto">
        <a:xfrm>
          <a:off x="247650" y="11401425"/>
          <a:ext cx="6638925" cy="0"/>
        </a:xfrm>
        <a:prstGeom prst="line">
          <a:avLst/>
        </a:prstGeom>
        <a:noFill/>
        <a:ln w="9525">
          <a:solidFill>
            <a:srgbClr val="000000"/>
          </a:solidFill>
          <a:round/>
          <a:headEnd/>
          <a:tailEnd/>
        </a:ln>
      </xdr:spPr>
    </xdr:sp>
    <xdr:clientData/>
  </xdr:twoCellAnchor>
  <xdr:twoCellAnchor>
    <xdr:from>
      <xdr:col>1</xdr:col>
      <xdr:colOff>95250</xdr:colOff>
      <xdr:row>211</xdr:row>
      <xdr:rowOff>0</xdr:rowOff>
    </xdr:from>
    <xdr:to>
      <xdr:col>45</xdr:col>
      <xdr:colOff>0</xdr:colOff>
      <xdr:row>211</xdr:row>
      <xdr:rowOff>0</xdr:rowOff>
    </xdr:to>
    <xdr:sp macro="" textlink="">
      <xdr:nvSpPr>
        <xdr:cNvPr id="7" name="Line 148">
          <a:extLst>
            <a:ext uri="{FF2B5EF4-FFF2-40B4-BE49-F238E27FC236}">
              <a16:creationId xmlns:a16="http://schemas.microsoft.com/office/drawing/2014/main" id="{00000000-0008-0000-0800-000007000000}"/>
            </a:ext>
          </a:extLst>
        </xdr:cNvPr>
        <xdr:cNvSpPr>
          <a:spLocks noChangeShapeType="1"/>
        </xdr:cNvSpPr>
      </xdr:nvSpPr>
      <xdr:spPr bwMode="auto">
        <a:xfrm>
          <a:off x="247650" y="13430250"/>
          <a:ext cx="6638925" cy="0"/>
        </a:xfrm>
        <a:prstGeom prst="line">
          <a:avLst/>
        </a:prstGeom>
        <a:noFill/>
        <a:ln w="9525">
          <a:solidFill>
            <a:srgbClr val="000000"/>
          </a:solidFill>
          <a:round/>
          <a:headEnd/>
          <a:tailEnd/>
        </a:ln>
      </xdr:spPr>
    </xdr:sp>
    <xdr:clientData/>
  </xdr:twoCellAnchor>
  <xdr:twoCellAnchor>
    <xdr:from>
      <xdr:col>1</xdr:col>
      <xdr:colOff>95250</xdr:colOff>
      <xdr:row>243</xdr:row>
      <xdr:rowOff>0</xdr:rowOff>
    </xdr:from>
    <xdr:to>
      <xdr:col>45</xdr:col>
      <xdr:colOff>1350</xdr:colOff>
      <xdr:row>243</xdr:row>
      <xdr:rowOff>0</xdr:rowOff>
    </xdr:to>
    <xdr:sp macro="" textlink="">
      <xdr:nvSpPr>
        <xdr:cNvPr id="8" name="Line 151">
          <a:extLst>
            <a:ext uri="{FF2B5EF4-FFF2-40B4-BE49-F238E27FC236}">
              <a16:creationId xmlns:a16="http://schemas.microsoft.com/office/drawing/2014/main" id="{00000000-0008-0000-0800-000008000000}"/>
            </a:ext>
          </a:extLst>
        </xdr:cNvPr>
        <xdr:cNvSpPr>
          <a:spLocks noChangeShapeType="1"/>
        </xdr:cNvSpPr>
      </xdr:nvSpPr>
      <xdr:spPr bwMode="auto">
        <a:xfrm>
          <a:off x="247650" y="16630650"/>
          <a:ext cx="6640275" cy="0"/>
        </a:xfrm>
        <a:prstGeom prst="line">
          <a:avLst/>
        </a:prstGeom>
        <a:noFill/>
        <a:ln w="9525">
          <a:solidFill>
            <a:srgbClr val="000000"/>
          </a:solidFill>
          <a:round/>
          <a:headEnd/>
          <a:tailEnd/>
        </a:ln>
      </xdr:spPr>
    </xdr:sp>
    <xdr:clientData/>
  </xdr:twoCellAnchor>
  <xdr:twoCellAnchor>
    <xdr:from>
      <xdr:col>1</xdr:col>
      <xdr:colOff>95250</xdr:colOff>
      <xdr:row>254</xdr:row>
      <xdr:rowOff>0</xdr:rowOff>
    </xdr:from>
    <xdr:to>
      <xdr:col>45</xdr:col>
      <xdr:colOff>1350</xdr:colOff>
      <xdr:row>254</xdr:row>
      <xdr:rowOff>0</xdr:rowOff>
    </xdr:to>
    <xdr:sp macro="" textlink="">
      <xdr:nvSpPr>
        <xdr:cNvPr id="9" name="Line 1001">
          <a:extLst>
            <a:ext uri="{FF2B5EF4-FFF2-40B4-BE49-F238E27FC236}">
              <a16:creationId xmlns:a16="http://schemas.microsoft.com/office/drawing/2014/main" id="{00000000-0008-0000-0800-000009000000}"/>
            </a:ext>
          </a:extLst>
        </xdr:cNvPr>
        <xdr:cNvSpPr>
          <a:spLocks noChangeShapeType="1"/>
        </xdr:cNvSpPr>
      </xdr:nvSpPr>
      <xdr:spPr bwMode="auto">
        <a:xfrm>
          <a:off x="247650" y="17402175"/>
          <a:ext cx="6640275" cy="0"/>
        </a:xfrm>
        <a:prstGeom prst="line">
          <a:avLst/>
        </a:prstGeom>
        <a:noFill/>
        <a:ln w="9525">
          <a:solidFill>
            <a:srgbClr val="000000"/>
          </a:solidFill>
          <a:round/>
          <a:headEnd/>
          <a:tailEnd/>
        </a:ln>
      </xdr:spPr>
    </xdr:sp>
    <xdr:clientData/>
  </xdr:twoCellAnchor>
  <xdr:twoCellAnchor>
    <xdr:from>
      <xdr:col>1</xdr:col>
      <xdr:colOff>123824</xdr:colOff>
      <xdr:row>263</xdr:row>
      <xdr:rowOff>38100</xdr:rowOff>
    </xdr:from>
    <xdr:to>
      <xdr:col>45</xdr:col>
      <xdr:colOff>1349</xdr:colOff>
      <xdr:row>263</xdr:row>
      <xdr:rowOff>38100</xdr:rowOff>
    </xdr:to>
    <xdr:sp macro="" textlink="">
      <xdr:nvSpPr>
        <xdr:cNvPr id="10" name="Line 1002">
          <a:extLst>
            <a:ext uri="{FF2B5EF4-FFF2-40B4-BE49-F238E27FC236}">
              <a16:creationId xmlns:a16="http://schemas.microsoft.com/office/drawing/2014/main" id="{00000000-0008-0000-0800-00000A000000}"/>
            </a:ext>
          </a:extLst>
        </xdr:cNvPr>
        <xdr:cNvSpPr>
          <a:spLocks noChangeShapeType="1"/>
        </xdr:cNvSpPr>
      </xdr:nvSpPr>
      <xdr:spPr bwMode="auto">
        <a:xfrm>
          <a:off x="276224" y="18316575"/>
          <a:ext cx="6611700" cy="0"/>
        </a:xfrm>
        <a:prstGeom prst="line">
          <a:avLst/>
        </a:prstGeom>
        <a:noFill/>
        <a:ln w="9525">
          <a:solidFill>
            <a:srgbClr val="000000"/>
          </a:solidFill>
          <a:round/>
          <a:headEnd/>
          <a:tailEnd/>
        </a:ln>
      </xdr:spPr>
    </xdr:sp>
    <xdr:clientData/>
  </xdr:twoCellAnchor>
  <xdr:twoCellAnchor>
    <xdr:from>
      <xdr:col>1</xdr:col>
      <xdr:colOff>95248</xdr:colOff>
      <xdr:row>292</xdr:row>
      <xdr:rowOff>38100</xdr:rowOff>
    </xdr:from>
    <xdr:to>
      <xdr:col>44</xdr:col>
      <xdr:colOff>134698</xdr:colOff>
      <xdr:row>292</xdr:row>
      <xdr:rowOff>38100</xdr:rowOff>
    </xdr:to>
    <xdr:sp macro="" textlink="">
      <xdr:nvSpPr>
        <xdr:cNvPr id="11" name="Line 1021">
          <a:extLst>
            <a:ext uri="{FF2B5EF4-FFF2-40B4-BE49-F238E27FC236}">
              <a16:creationId xmlns:a16="http://schemas.microsoft.com/office/drawing/2014/main" id="{00000000-0008-0000-0800-00000B000000}"/>
            </a:ext>
          </a:extLst>
        </xdr:cNvPr>
        <xdr:cNvSpPr>
          <a:spLocks noChangeShapeType="1"/>
        </xdr:cNvSpPr>
      </xdr:nvSpPr>
      <xdr:spPr bwMode="auto">
        <a:xfrm>
          <a:off x="247648" y="20212050"/>
          <a:ext cx="6621225" cy="0"/>
        </a:xfrm>
        <a:prstGeom prst="line">
          <a:avLst/>
        </a:prstGeom>
        <a:noFill/>
        <a:ln w="9525">
          <a:solidFill>
            <a:srgbClr val="000000"/>
          </a:solidFill>
          <a:round/>
          <a:headEnd/>
          <a:tailEnd/>
        </a:ln>
      </xdr:spPr>
    </xdr:sp>
    <xdr:clientData/>
  </xdr:twoCellAnchor>
  <xdr:twoCellAnchor>
    <xdr:from>
      <xdr:col>1</xdr:col>
      <xdr:colOff>95250</xdr:colOff>
      <xdr:row>92</xdr:row>
      <xdr:rowOff>0</xdr:rowOff>
    </xdr:from>
    <xdr:to>
      <xdr:col>45</xdr:col>
      <xdr:colOff>1350</xdr:colOff>
      <xdr:row>92</xdr:row>
      <xdr:rowOff>0</xdr:rowOff>
    </xdr:to>
    <xdr:sp macro="" textlink="">
      <xdr:nvSpPr>
        <xdr:cNvPr id="13" name="Line 21">
          <a:extLst>
            <a:ext uri="{FF2B5EF4-FFF2-40B4-BE49-F238E27FC236}">
              <a16:creationId xmlns:a16="http://schemas.microsoft.com/office/drawing/2014/main" id="{00000000-0008-0000-0800-00000D000000}"/>
            </a:ext>
          </a:extLst>
        </xdr:cNvPr>
        <xdr:cNvSpPr>
          <a:spLocks noChangeShapeType="1"/>
        </xdr:cNvSpPr>
      </xdr:nvSpPr>
      <xdr:spPr bwMode="auto">
        <a:xfrm>
          <a:off x="247650" y="7772400"/>
          <a:ext cx="6640275" cy="0"/>
        </a:xfrm>
        <a:prstGeom prst="line">
          <a:avLst/>
        </a:prstGeom>
        <a:noFill/>
        <a:ln w="9525">
          <a:solidFill>
            <a:srgbClr val="000000"/>
          </a:solidFill>
          <a:round/>
          <a:headEnd/>
          <a:tailEnd/>
        </a:ln>
      </xdr:spPr>
    </xdr:sp>
    <xdr:clientData/>
  </xdr:twoCellAnchor>
  <xdr:twoCellAnchor>
    <xdr:from>
      <xdr:col>1</xdr:col>
      <xdr:colOff>95250</xdr:colOff>
      <xdr:row>199</xdr:row>
      <xdr:rowOff>0</xdr:rowOff>
    </xdr:from>
    <xdr:to>
      <xdr:col>45</xdr:col>
      <xdr:colOff>0</xdr:colOff>
      <xdr:row>199</xdr:row>
      <xdr:rowOff>0</xdr:rowOff>
    </xdr:to>
    <xdr:sp macro="" textlink="">
      <xdr:nvSpPr>
        <xdr:cNvPr id="14" name="Line 148">
          <a:extLst>
            <a:ext uri="{FF2B5EF4-FFF2-40B4-BE49-F238E27FC236}">
              <a16:creationId xmlns:a16="http://schemas.microsoft.com/office/drawing/2014/main" id="{00000000-0008-0000-0800-00000E000000}"/>
            </a:ext>
          </a:extLst>
        </xdr:cNvPr>
        <xdr:cNvSpPr>
          <a:spLocks noChangeShapeType="1"/>
        </xdr:cNvSpPr>
      </xdr:nvSpPr>
      <xdr:spPr bwMode="auto">
        <a:xfrm>
          <a:off x="247650" y="12172950"/>
          <a:ext cx="6638925" cy="0"/>
        </a:xfrm>
        <a:prstGeom prst="line">
          <a:avLst/>
        </a:prstGeom>
        <a:noFill/>
        <a:ln w="9525">
          <a:solidFill>
            <a:srgbClr val="000000"/>
          </a:solidFill>
          <a:round/>
          <a:headEnd/>
          <a:tailEnd/>
        </a:ln>
      </xdr:spPr>
    </xdr:sp>
    <xdr:clientData/>
  </xdr:twoCellAnchor>
  <xdr:twoCellAnchor>
    <xdr:from>
      <xdr:col>1</xdr:col>
      <xdr:colOff>133348</xdr:colOff>
      <xdr:row>103</xdr:row>
      <xdr:rowOff>38100</xdr:rowOff>
    </xdr:from>
    <xdr:to>
      <xdr:col>45</xdr:col>
      <xdr:colOff>10873</xdr:colOff>
      <xdr:row>103</xdr:row>
      <xdr:rowOff>38100</xdr:rowOff>
    </xdr:to>
    <xdr:sp macro="" textlink="">
      <xdr:nvSpPr>
        <xdr:cNvPr id="15" name="Line 147">
          <a:extLst>
            <a:ext uri="{FF2B5EF4-FFF2-40B4-BE49-F238E27FC236}">
              <a16:creationId xmlns:a16="http://schemas.microsoft.com/office/drawing/2014/main" id="{00000000-0008-0000-0800-00000F000000}"/>
            </a:ext>
          </a:extLst>
        </xdr:cNvPr>
        <xdr:cNvSpPr>
          <a:spLocks noChangeShapeType="1"/>
        </xdr:cNvSpPr>
      </xdr:nvSpPr>
      <xdr:spPr bwMode="auto">
        <a:xfrm>
          <a:off x="285748" y="8648700"/>
          <a:ext cx="6611700" cy="0"/>
        </a:xfrm>
        <a:prstGeom prst="line">
          <a:avLst/>
        </a:prstGeom>
        <a:noFill/>
        <a:ln w="9525">
          <a:solidFill>
            <a:srgbClr val="000000"/>
          </a:solidFill>
          <a:round/>
          <a:headEnd/>
          <a:tailEnd/>
        </a:ln>
      </xdr:spPr>
    </xdr:sp>
    <xdr:clientData/>
  </xdr:twoCellAnchor>
  <xdr:twoCellAnchor>
    <xdr:from>
      <xdr:col>1</xdr:col>
      <xdr:colOff>95250</xdr:colOff>
      <xdr:row>112</xdr:row>
      <xdr:rowOff>0</xdr:rowOff>
    </xdr:from>
    <xdr:to>
      <xdr:col>44</xdr:col>
      <xdr:colOff>134700</xdr:colOff>
      <xdr:row>112</xdr:row>
      <xdr:rowOff>0</xdr:rowOff>
    </xdr:to>
    <xdr:sp macro="" textlink="">
      <xdr:nvSpPr>
        <xdr:cNvPr id="16" name="Line 37">
          <a:extLst>
            <a:ext uri="{FF2B5EF4-FFF2-40B4-BE49-F238E27FC236}">
              <a16:creationId xmlns:a16="http://schemas.microsoft.com/office/drawing/2014/main" id="{00000000-0008-0000-0800-000010000000}"/>
            </a:ext>
          </a:extLst>
        </xdr:cNvPr>
        <xdr:cNvSpPr>
          <a:spLocks noChangeShapeType="1"/>
        </xdr:cNvSpPr>
      </xdr:nvSpPr>
      <xdr:spPr bwMode="auto">
        <a:xfrm>
          <a:off x="247650" y="9791700"/>
          <a:ext cx="6621225" cy="0"/>
        </a:xfrm>
        <a:prstGeom prst="line">
          <a:avLst/>
        </a:prstGeom>
        <a:noFill/>
        <a:ln w="9525">
          <a:solidFill>
            <a:srgbClr val="000000"/>
          </a:solidFill>
          <a:round/>
          <a:headEnd/>
          <a:tailEnd/>
        </a:ln>
      </xdr:spPr>
    </xdr:sp>
    <xdr:clientData/>
  </xdr:twoCellAnchor>
  <xdr:twoCellAnchor>
    <xdr:from>
      <xdr:col>1</xdr:col>
      <xdr:colOff>95250</xdr:colOff>
      <xdr:row>120</xdr:row>
      <xdr:rowOff>0</xdr:rowOff>
    </xdr:from>
    <xdr:to>
      <xdr:col>44</xdr:col>
      <xdr:colOff>134700</xdr:colOff>
      <xdr:row>120</xdr:row>
      <xdr:rowOff>0</xdr:rowOff>
    </xdr:to>
    <xdr:sp macro="" textlink="">
      <xdr:nvSpPr>
        <xdr:cNvPr id="17" name="Line 37">
          <a:extLst>
            <a:ext uri="{FF2B5EF4-FFF2-40B4-BE49-F238E27FC236}">
              <a16:creationId xmlns:a16="http://schemas.microsoft.com/office/drawing/2014/main" id="{00000000-0008-0000-0800-000011000000}"/>
            </a:ext>
          </a:extLst>
        </xdr:cNvPr>
        <xdr:cNvSpPr>
          <a:spLocks noChangeShapeType="1"/>
        </xdr:cNvSpPr>
      </xdr:nvSpPr>
      <xdr:spPr bwMode="auto">
        <a:xfrm>
          <a:off x="247650" y="10934700"/>
          <a:ext cx="6621225" cy="0"/>
        </a:xfrm>
        <a:prstGeom prst="line">
          <a:avLst/>
        </a:prstGeom>
        <a:noFill/>
        <a:ln w="9525">
          <a:solidFill>
            <a:srgbClr val="000000"/>
          </a:solidFill>
          <a:round/>
          <a:headEnd/>
          <a:tailEnd/>
        </a:ln>
      </xdr:spPr>
    </xdr:sp>
    <xdr:clientData/>
  </xdr:twoCellAnchor>
  <xdr:twoCellAnchor>
    <xdr:from>
      <xdr:col>1</xdr:col>
      <xdr:colOff>95248</xdr:colOff>
      <xdr:row>311</xdr:row>
      <xdr:rowOff>38100</xdr:rowOff>
    </xdr:from>
    <xdr:to>
      <xdr:col>44</xdr:col>
      <xdr:colOff>134698</xdr:colOff>
      <xdr:row>311</xdr:row>
      <xdr:rowOff>38100</xdr:rowOff>
    </xdr:to>
    <xdr:sp macro="" textlink="">
      <xdr:nvSpPr>
        <xdr:cNvPr id="19" name="Line 147">
          <a:extLst>
            <a:ext uri="{FF2B5EF4-FFF2-40B4-BE49-F238E27FC236}">
              <a16:creationId xmlns:a16="http://schemas.microsoft.com/office/drawing/2014/main" id="{00000000-0008-0000-0800-000013000000}"/>
            </a:ext>
          </a:extLst>
        </xdr:cNvPr>
        <xdr:cNvSpPr>
          <a:spLocks noChangeShapeType="1"/>
        </xdr:cNvSpPr>
      </xdr:nvSpPr>
      <xdr:spPr bwMode="auto">
        <a:xfrm>
          <a:off x="257173" y="22926675"/>
          <a:ext cx="7030800" cy="0"/>
        </a:xfrm>
        <a:prstGeom prst="line">
          <a:avLst/>
        </a:prstGeom>
        <a:noFill/>
        <a:ln w="9525">
          <a:solidFill>
            <a:srgbClr val="000000"/>
          </a:solidFill>
          <a:round/>
          <a:headEnd/>
          <a:tailEnd/>
        </a:ln>
      </xdr:spPr>
    </xdr:sp>
    <xdr:clientData/>
  </xdr:twoCellAnchor>
  <xdr:twoCellAnchor>
    <xdr:from>
      <xdr:col>1</xdr:col>
      <xdr:colOff>19048</xdr:colOff>
      <xdr:row>130</xdr:row>
      <xdr:rowOff>9525</xdr:rowOff>
    </xdr:from>
    <xdr:to>
      <xdr:col>44</xdr:col>
      <xdr:colOff>58498</xdr:colOff>
      <xdr:row>130</xdr:row>
      <xdr:rowOff>9525</xdr:rowOff>
    </xdr:to>
    <xdr:sp macro="" textlink="">
      <xdr:nvSpPr>
        <xdr:cNvPr id="20" name="Line 962">
          <a:extLst>
            <a:ext uri="{FF2B5EF4-FFF2-40B4-BE49-F238E27FC236}">
              <a16:creationId xmlns:a16="http://schemas.microsoft.com/office/drawing/2014/main" id="{00000000-0008-0000-0800-000014000000}"/>
            </a:ext>
          </a:extLst>
        </xdr:cNvPr>
        <xdr:cNvSpPr>
          <a:spLocks noChangeShapeType="1"/>
        </xdr:cNvSpPr>
      </xdr:nvSpPr>
      <xdr:spPr bwMode="auto">
        <a:xfrm>
          <a:off x="180973" y="11430000"/>
          <a:ext cx="7030800" cy="0"/>
        </a:xfrm>
        <a:prstGeom prst="line">
          <a:avLst/>
        </a:prstGeom>
        <a:noFill/>
        <a:ln w="9525">
          <a:solidFill>
            <a:srgbClr val="000000"/>
          </a:solidFill>
          <a:round/>
          <a:headEnd/>
          <a:tailEnd/>
        </a:ln>
      </xdr:spPr>
    </xdr:sp>
    <xdr:clientData/>
  </xdr:twoCellAnchor>
  <xdr:twoCellAnchor>
    <xdr:from>
      <xdr:col>1</xdr:col>
      <xdr:colOff>19048</xdr:colOff>
      <xdr:row>157</xdr:row>
      <xdr:rowOff>9525</xdr:rowOff>
    </xdr:from>
    <xdr:to>
      <xdr:col>44</xdr:col>
      <xdr:colOff>58498</xdr:colOff>
      <xdr:row>157</xdr:row>
      <xdr:rowOff>9525</xdr:rowOff>
    </xdr:to>
    <xdr:sp macro="" textlink="">
      <xdr:nvSpPr>
        <xdr:cNvPr id="21" name="Line 962">
          <a:extLst>
            <a:ext uri="{FF2B5EF4-FFF2-40B4-BE49-F238E27FC236}">
              <a16:creationId xmlns:a16="http://schemas.microsoft.com/office/drawing/2014/main" id="{00000000-0008-0000-0800-000015000000}"/>
            </a:ext>
          </a:extLst>
        </xdr:cNvPr>
        <xdr:cNvSpPr>
          <a:spLocks noChangeShapeType="1"/>
        </xdr:cNvSpPr>
      </xdr:nvSpPr>
      <xdr:spPr bwMode="auto">
        <a:xfrm>
          <a:off x="180973" y="11430000"/>
          <a:ext cx="7030800" cy="0"/>
        </a:xfrm>
        <a:prstGeom prst="line">
          <a:avLst/>
        </a:prstGeom>
        <a:noFill/>
        <a:ln w="9525">
          <a:solidFill>
            <a:srgbClr val="000000"/>
          </a:solidFill>
          <a:round/>
          <a:headEnd/>
          <a:tailEnd/>
        </a:ln>
      </xdr:spPr>
    </xdr:sp>
    <xdr:clientData/>
  </xdr:twoCellAnchor>
  <xdr:twoCellAnchor>
    <xdr:from>
      <xdr:col>1</xdr:col>
      <xdr:colOff>19048</xdr:colOff>
      <xdr:row>174</xdr:row>
      <xdr:rowOff>9525</xdr:rowOff>
    </xdr:from>
    <xdr:to>
      <xdr:col>44</xdr:col>
      <xdr:colOff>58498</xdr:colOff>
      <xdr:row>174</xdr:row>
      <xdr:rowOff>9525</xdr:rowOff>
    </xdr:to>
    <xdr:sp macro="" textlink="">
      <xdr:nvSpPr>
        <xdr:cNvPr id="22" name="Line 962">
          <a:extLst>
            <a:ext uri="{FF2B5EF4-FFF2-40B4-BE49-F238E27FC236}">
              <a16:creationId xmlns:a16="http://schemas.microsoft.com/office/drawing/2014/main" id="{00000000-0008-0000-0800-000016000000}"/>
            </a:ext>
          </a:extLst>
        </xdr:cNvPr>
        <xdr:cNvSpPr>
          <a:spLocks noChangeShapeType="1"/>
        </xdr:cNvSpPr>
      </xdr:nvSpPr>
      <xdr:spPr bwMode="auto">
        <a:xfrm>
          <a:off x="180973" y="15325725"/>
          <a:ext cx="7030800" cy="0"/>
        </a:xfrm>
        <a:prstGeom prst="line">
          <a:avLst/>
        </a:prstGeom>
        <a:noFill/>
        <a:ln w="9525">
          <a:solidFill>
            <a:srgbClr val="000000"/>
          </a:solidFill>
          <a:round/>
          <a:headEnd/>
          <a:tailEnd/>
        </a:ln>
      </xdr:spPr>
    </xdr:sp>
    <xdr:clientData/>
  </xdr:twoCellAnchor>
  <xdr:twoCellAnchor>
    <xdr:from>
      <xdr:col>1</xdr:col>
      <xdr:colOff>95248</xdr:colOff>
      <xdr:row>303</xdr:row>
      <xdr:rowOff>38100</xdr:rowOff>
    </xdr:from>
    <xdr:to>
      <xdr:col>44</xdr:col>
      <xdr:colOff>134698</xdr:colOff>
      <xdr:row>303</xdr:row>
      <xdr:rowOff>38100</xdr:rowOff>
    </xdr:to>
    <xdr:sp macro="" textlink="">
      <xdr:nvSpPr>
        <xdr:cNvPr id="23" name="Line 1035">
          <a:extLst>
            <a:ext uri="{FF2B5EF4-FFF2-40B4-BE49-F238E27FC236}">
              <a16:creationId xmlns:a16="http://schemas.microsoft.com/office/drawing/2014/main" id="{00000000-0008-0000-0800-000017000000}"/>
            </a:ext>
          </a:extLst>
        </xdr:cNvPr>
        <xdr:cNvSpPr>
          <a:spLocks noChangeShapeType="1"/>
        </xdr:cNvSpPr>
      </xdr:nvSpPr>
      <xdr:spPr bwMode="auto">
        <a:xfrm>
          <a:off x="256440" y="30122446"/>
          <a:ext cx="7000027" cy="0"/>
        </a:xfrm>
        <a:prstGeom prst="line">
          <a:avLst/>
        </a:prstGeom>
        <a:noFill/>
        <a:ln w="9525">
          <a:solidFill>
            <a:srgbClr val="000000"/>
          </a:solidFill>
          <a:round/>
          <a:headEnd/>
          <a:tailEnd/>
        </a:ln>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2_22" displayName="テーブル2_22" ref="AA2:AA22" totalsRowShown="0" headerRowDxfId="2" dataDxfId="1">
  <tableColumns count="1">
    <tableColumn id="1" xr3:uid="{00000000-0010-0000-0000-000001000000}" name="用途大分類" dataDxfId="0"/>
  </tableColumns>
  <tableStyleInfo name="TableStyleMedium7"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city.kyoto.lg.jp/tokei/page/0000301596.html" TargetMode="External"/><Relationship Id="rId1" Type="http://schemas.openxmlformats.org/officeDocument/2006/relationships/hyperlink" Target="https://www.city.kyoto.lg.jp/tokei/page/0000151046.html"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8.xml"/><Relationship Id="rId3" Type="http://schemas.openxmlformats.org/officeDocument/2006/relationships/vmlDrawing" Target="../drawings/vmlDrawing2.vml"/><Relationship Id="rId7" Type="http://schemas.openxmlformats.org/officeDocument/2006/relationships/ctrlProp" Target="../ctrlProps/ctrlProp27.xml"/><Relationship Id="rId12" Type="http://schemas.openxmlformats.org/officeDocument/2006/relationships/ctrlProp" Target="../ctrlProps/ctrlProp32.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DA203-86A5-44F0-95C7-9019A30F96F4}">
  <sheetPr codeName="Sheet9">
    <tabColor theme="9" tint="-0.499984740745262"/>
    <pageSetUpPr fitToPage="1"/>
  </sheetPr>
  <dimension ref="A1:Q67"/>
  <sheetViews>
    <sheetView tabSelected="1" zoomScale="70" zoomScaleNormal="70" workbookViewId="0"/>
  </sheetViews>
  <sheetFormatPr defaultColWidth="9" defaultRowHeight="13"/>
  <cols>
    <col min="1" max="4" width="2.26953125" style="931" customWidth="1"/>
    <col min="5" max="5" width="12.7265625" style="931" customWidth="1"/>
    <col min="6" max="6" width="28.6328125" style="931" customWidth="1"/>
    <col min="7" max="9" width="9.90625" style="931" customWidth="1"/>
    <col min="10" max="10" width="112" style="931" bestFit="1" customWidth="1"/>
    <col min="11" max="11" width="29" style="931" customWidth="1"/>
    <col min="12" max="12" width="32.08984375" style="931" customWidth="1"/>
    <col min="13" max="13" width="2.26953125" style="931" customWidth="1"/>
    <col min="14" max="16" width="9" style="931" hidden="1" customWidth="1"/>
    <col min="17" max="16384" width="9" style="931"/>
  </cols>
  <sheetData>
    <row r="1" spans="1:16" ht="21">
      <c r="A1" s="930" t="s">
        <v>3014</v>
      </c>
      <c r="B1" s="930"/>
      <c r="C1" s="930"/>
      <c r="D1" s="930"/>
      <c r="M1" s="1550" t="str">
        <f>チェックシート!H3</f>
        <v>Kyoto City(R4.11) ver112</v>
      </c>
    </row>
    <row r="2" spans="1:16">
      <c r="N2" s="932" t="s">
        <v>3004</v>
      </c>
      <c r="O2" s="932"/>
      <c r="P2" s="932"/>
    </row>
    <row r="3" spans="1:16" s="933" customFormat="1" ht="15">
      <c r="B3" s="934" t="s">
        <v>3048</v>
      </c>
      <c r="C3" s="934"/>
      <c r="D3" s="934"/>
      <c r="E3" s="935"/>
      <c r="F3" s="935"/>
      <c r="G3" s="935"/>
      <c r="H3" s="935"/>
      <c r="I3" s="935"/>
      <c r="J3" s="935"/>
      <c r="K3" s="935"/>
      <c r="L3" s="935"/>
      <c r="M3" s="935"/>
    </row>
    <row r="4" spans="1:16" s="933" customFormat="1" ht="15">
      <c r="B4" s="936"/>
      <c r="C4" s="936"/>
      <c r="D4" s="934"/>
      <c r="E4" s="935"/>
      <c r="F4" s="935"/>
      <c r="G4" s="935"/>
      <c r="H4" s="935"/>
      <c r="I4" s="935"/>
      <c r="J4" s="935"/>
      <c r="K4" s="935"/>
      <c r="L4" s="935"/>
      <c r="M4" s="935"/>
    </row>
    <row r="5" spans="1:16" s="933" customFormat="1" ht="15">
      <c r="B5" s="937" t="s">
        <v>3020</v>
      </c>
      <c r="C5" s="936" t="s">
        <v>3112</v>
      </c>
      <c r="D5" s="935"/>
      <c r="E5" s="935"/>
      <c r="F5" s="935"/>
      <c r="G5" s="935"/>
      <c r="H5" s="935"/>
      <c r="I5" s="935"/>
      <c r="J5" s="935"/>
      <c r="K5" s="935"/>
      <c r="L5" s="935"/>
      <c r="M5" s="935"/>
    </row>
    <row r="6" spans="1:16" s="933" customFormat="1" ht="15">
      <c r="B6" s="937"/>
      <c r="C6" s="936"/>
      <c r="D6" s="1734" t="s">
        <v>3133</v>
      </c>
      <c r="E6" s="1734"/>
      <c r="F6" s="1734"/>
      <c r="G6" s="1734"/>
      <c r="H6" s="1734"/>
      <c r="I6" s="935"/>
      <c r="J6" s="935"/>
      <c r="K6" s="935"/>
      <c r="L6" s="935"/>
      <c r="M6" s="935"/>
    </row>
    <row r="7" spans="1:16" s="933" customFormat="1" ht="15">
      <c r="B7" s="938" t="s">
        <v>3020</v>
      </c>
      <c r="C7" s="936" t="s">
        <v>3060</v>
      </c>
      <c r="D7" s="935"/>
      <c r="E7" s="935"/>
      <c r="F7" s="935"/>
      <c r="G7" s="935"/>
      <c r="H7" s="935"/>
      <c r="I7" s="935"/>
      <c r="J7" s="935"/>
      <c r="K7" s="935"/>
      <c r="L7" s="935"/>
      <c r="M7" s="935"/>
    </row>
    <row r="8" spans="1:16" s="933" customFormat="1" ht="15">
      <c r="B8" s="937" t="s">
        <v>3020</v>
      </c>
      <c r="C8" s="936" t="s">
        <v>3055</v>
      </c>
      <c r="D8" s="935"/>
      <c r="E8" s="935"/>
      <c r="F8" s="935"/>
      <c r="G8" s="935"/>
      <c r="H8" s="935"/>
      <c r="I8" s="935"/>
      <c r="J8" s="935"/>
      <c r="K8" s="935"/>
      <c r="L8" s="935"/>
      <c r="M8" s="935"/>
    </row>
    <row r="9" spans="1:16" s="933" customFormat="1" ht="15">
      <c r="B9" s="937"/>
      <c r="C9" s="936" t="s">
        <v>3021</v>
      </c>
      <c r="D9" s="935"/>
      <c r="E9" s="935"/>
      <c r="F9" s="935"/>
      <c r="G9" s="935"/>
      <c r="H9" s="935"/>
      <c r="I9" s="935"/>
      <c r="J9" s="935"/>
      <c r="K9" s="935"/>
      <c r="L9" s="935"/>
      <c r="M9" s="935"/>
    </row>
    <row r="10" spans="1:16" s="933" customFormat="1" ht="15">
      <c r="B10" s="936"/>
      <c r="C10" s="936"/>
      <c r="D10" s="1740" t="s">
        <v>3022</v>
      </c>
      <c r="E10" s="1740"/>
      <c r="F10" s="939" t="s">
        <v>3023</v>
      </c>
      <c r="G10" s="940"/>
      <c r="H10" s="940"/>
      <c r="I10" s="941"/>
      <c r="J10" s="935"/>
      <c r="K10" s="935"/>
      <c r="L10" s="935"/>
      <c r="M10" s="935"/>
    </row>
    <row r="11" spans="1:16" s="933" customFormat="1" ht="15">
      <c r="B11" s="936"/>
      <c r="C11" s="936"/>
      <c r="D11" s="1741" t="s">
        <v>3024</v>
      </c>
      <c r="E11" s="1741"/>
      <c r="F11" s="939" t="s">
        <v>3025</v>
      </c>
      <c r="G11" s="940"/>
      <c r="H11" s="940"/>
      <c r="I11" s="941"/>
      <c r="J11" s="935"/>
      <c r="K11" s="935"/>
      <c r="L11" s="935"/>
      <c r="M11" s="935"/>
    </row>
    <row r="12" spans="1:16" s="933" customFormat="1" ht="15">
      <c r="B12" s="936"/>
      <c r="C12" s="936"/>
      <c r="D12" s="1742" t="s">
        <v>3026</v>
      </c>
      <c r="E12" s="1742"/>
      <c r="F12" s="939" t="s">
        <v>3027</v>
      </c>
      <c r="G12" s="940"/>
      <c r="H12" s="940"/>
      <c r="I12" s="941"/>
      <c r="J12" s="935"/>
      <c r="K12" s="935"/>
      <c r="L12" s="935"/>
      <c r="M12" s="935"/>
    </row>
    <row r="13" spans="1:16" s="933" customFormat="1" ht="15">
      <c r="B13" s="938"/>
      <c r="C13" s="938"/>
      <c r="D13" s="1743" t="s">
        <v>3028</v>
      </c>
      <c r="E13" s="1743"/>
      <c r="F13" s="939" t="s">
        <v>3029</v>
      </c>
      <c r="G13" s="940"/>
      <c r="H13" s="940"/>
      <c r="I13" s="941"/>
      <c r="J13" s="935"/>
      <c r="K13" s="935"/>
      <c r="L13" s="935"/>
      <c r="M13" s="935"/>
    </row>
    <row r="14" spans="1:16" s="933" customFormat="1" ht="15">
      <c r="B14" s="937" t="s">
        <v>3020</v>
      </c>
      <c r="C14" s="936" t="s">
        <v>3043</v>
      </c>
      <c r="D14" s="935"/>
      <c r="E14" s="935"/>
      <c r="F14" s="935"/>
      <c r="G14" s="935"/>
      <c r="H14" s="935"/>
      <c r="I14" s="935"/>
      <c r="J14" s="935"/>
      <c r="K14" s="935"/>
      <c r="L14" s="935"/>
      <c r="M14" s="935"/>
    </row>
    <row r="15" spans="1:16" s="933" customFormat="1" ht="15">
      <c r="B15" s="936"/>
      <c r="C15" s="936" t="s">
        <v>3042</v>
      </c>
      <c r="D15" s="935"/>
      <c r="E15" s="935"/>
      <c r="F15" s="935"/>
      <c r="G15" s="935"/>
      <c r="H15" s="935"/>
      <c r="I15" s="935"/>
      <c r="J15" s="935"/>
      <c r="K15" s="935"/>
      <c r="L15" s="935"/>
      <c r="M15" s="935"/>
    </row>
    <row r="16" spans="1:16" s="933" customFormat="1" ht="15">
      <c r="B16" s="937" t="s">
        <v>3020</v>
      </c>
      <c r="C16" s="936" t="s">
        <v>3030</v>
      </c>
      <c r="D16" s="935"/>
      <c r="E16" s="935"/>
      <c r="F16" s="935"/>
      <c r="G16" s="935"/>
      <c r="H16" s="935"/>
      <c r="I16" s="935"/>
      <c r="J16" s="935"/>
      <c r="K16" s="935"/>
      <c r="L16" s="935"/>
      <c r="M16" s="935"/>
    </row>
    <row r="17" spans="2:17" s="933" customFormat="1" ht="15">
      <c r="B17" s="937" t="s">
        <v>3020</v>
      </c>
      <c r="C17" s="936" t="s">
        <v>3034</v>
      </c>
      <c r="D17" s="935"/>
      <c r="E17" s="935"/>
      <c r="F17" s="935"/>
      <c r="G17" s="935"/>
      <c r="H17" s="935"/>
      <c r="I17" s="935"/>
      <c r="J17" s="935"/>
      <c r="K17" s="935"/>
      <c r="L17" s="935"/>
      <c r="M17" s="935"/>
    </row>
    <row r="18" spans="2:17" s="933" customFormat="1" ht="15">
      <c r="B18" s="937" t="s">
        <v>3020</v>
      </c>
      <c r="C18" s="936" t="s">
        <v>3040</v>
      </c>
      <c r="D18" s="935"/>
      <c r="E18" s="935"/>
      <c r="F18" s="935"/>
      <c r="G18" s="935"/>
      <c r="H18" s="935"/>
      <c r="I18" s="935"/>
      <c r="J18" s="935"/>
      <c r="K18" s="935"/>
      <c r="L18" s="935"/>
      <c r="M18" s="935"/>
    </row>
    <row r="19" spans="2:17" s="933" customFormat="1" ht="15">
      <c r="B19" s="937" t="s">
        <v>3020</v>
      </c>
      <c r="C19" s="942" t="s">
        <v>3111</v>
      </c>
      <c r="D19" s="935"/>
      <c r="E19" s="935"/>
      <c r="F19" s="935"/>
      <c r="G19" s="935"/>
      <c r="H19" s="935"/>
      <c r="I19" s="935"/>
      <c r="J19" s="935"/>
      <c r="K19" s="935"/>
      <c r="L19" s="935"/>
      <c r="M19" s="935"/>
    </row>
    <row r="20" spans="2:17" s="933" customFormat="1" ht="15">
      <c r="B20" s="937" t="s">
        <v>3020</v>
      </c>
      <c r="C20" s="942" t="s">
        <v>3110</v>
      </c>
      <c r="D20" s="935"/>
      <c r="E20" s="935"/>
      <c r="F20" s="935"/>
      <c r="G20" s="935"/>
      <c r="H20" s="935"/>
      <c r="I20" s="935"/>
      <c r="J20" s="935"/>
      <c r="K20" s="935"/>
      <c r="L20" s="935"/>
      <c r="M20" s="935"/>
    </row>
    <row r="21" spans="2:17" s="933" customFormat="1" ht="15">
      <c r="B21" s="936"/>
      <c r="C21" s="935"/>
      <c r="D21" s="943" t="s">
        <v>3031</v>
      </c>
      <c r="E21" s="935"/>
      <c r="F21" s="935"/>
      <c r="G21" s="935"/>
      <c r="H21" s="935"/>
      <c r="I21" s="935"/>
      <c r="J21" s="935"/>
      <c r="K21" s="935"/>
      <c r="L21" s="935"/>
      <c r="M21" s="935"/>
    </row>
    <row r="22" spans="2:17" s="933" customFormat="1" ht="15">
      <c r="B22" s="937" t="s">
        <v>3020</v>
      </c>
      <c r="C22" s="942" t="s">
        <v>3044</v>
      </c>
      <c r="D22" s="935"/>
      <c r="E22" s="935"/>
      <c r="F22" s="935"/>
      <c r="G22" s="935"/>
      <c r="H22" s="935"/>
      <c r="I22" s="935"/>
      <c r="J22" s="935"/>
      <c r="K22" s="935"/>
      <c r="L22" s="935"/>
      <c r="M22" s="935"/>
    </row>
    <row r="23" spans="2:17" s="933" customFormat="1" ht="15">
      <c r="B23" s="937" t="s">
        <v>3020</v>
      </c>
      <c r="C23" s="942" t="s">
        <v>3045</v>
      </c>
      <c r="D23" s="935"/>
      <c r="E23" s="935"/>
      <c r="F23" s="935"/>
      <c r="G23" s="935"/>
      <c r="H23" s="935"/>
      <c r="I23" s="935"/>
      <c r="J23" s="935"/>
      <c r="K23" s="935"/>
      <c r="L23" s="935"/>
      <c r="M23" s="935"/>
    </row>
    <row r="24" spans="2:17" ht="15">
      <c r="B24" s="944"/>
      <c r="C24" s="944"/>
      <c r="D24" s="944"/>
      <c r="E24" s="944"/>
      <c r="F24" s="944"/>
      <c r="G24" s="944"/>
      <c r="H24" s="944"/>
      <c r="I24" s="944"/>
      <c r="J24" s="944"/>
      <c r="K24" s="944"/>
      <c r="L24" s="944"/>
      <c r="M24" s="944"/>
    </row>
    <row r="25" spans="2:17" ht="15">
      <c r="B25" s="934" t="s">
        <v>3056</v>
      </c>
      <c r="C25" s="935"/>
      <c r="D25" s="935"/>
      <c r="E25" s="935"/>
      <c r="F25" s="935"/>
      <c r="G25" s="935"/>
      <c r="H25" s="935"/>
      <c r="I25" s="935"/>
      <c r="J25" s="935"/>
      <c r="K25" s="935"/>
      <c r="L25" s="935"/>
      <c r="M25" s="935"/>
    </row>
    <row r="26" spans="2:17" ht="15">
      <c r="B26" s="936"/>
      <c r="C26" s="935"/>
      <c r="D26" s="935"/>
      <c r="E26" s="935"/>
      <c r="F26" s="935"/>
      <c r="G26" s="935"/>
      <c r="H26" s="935"/>
      <c r="I26" s="935"/>
      <c r="J26" s="935"/>
      <c r="K26" s="935"/>
      <c r="L26" s="935"/>
      <c r="M26" s="935"/>
    </row>
    <row r="27" spans="2:17" ht="15">
      <c r="B27" s="935"/>
      <c r="C27" s="935"/>
      <c r="D27" s="935"/>
      <c r="E27" s="1737" t="s">
        <v>3010</v>
      </c>
      <c r="F27" s="1738"/>
      <c r="G27" s="1738"/>
      <c r="H27" s="1739" t="s">
        <v>3013</v>
      </c>
      <c r="I27" s="1739"/>
      <c r="J27" s="945" t="s">
        <v>2999</v>
      </c>
      <c r="K27" s="945" t="s">
        <v>3049</v>
      </c>
      <c r="L27" s="945" t="s">
        <v>3037</v>
      </c>
      <c r="M27" s="935"/>
    </row>
    <row r="28" spans="2:17" ht="45">
      <c r="B28" s="935"/>
      <c r="C28" s="935"/>
      <c r="D28" s="935"/>
      <c r="E28" s="946"/>
      <c r="F28" s="947" t="s">
        <v>3012</v>
      </c>
      <c r="G28" s="948" t="s">
        <v>3011</v>
      </c>
      <c r="H28" s="949" t="s">
        <v>3113</v>
      </c>
      <c r="I28" s="949" t="s">
        <v>3114</v>
      </c>
      <c r="J28" s="950"/>
      <c r="K28" s="951"/>
      <c r="L28" s="950"/>
      <c r="M28" s="935"/>
      <c r="N28" s="952" t="s">
        <v>2987</v>
      </c>
      <c r="O28" s="952" t="s">
        <v>2988</v>
      </c>
      <c r="P28" s="952" t="s">
        <v>2990</v>
      </c>
    </row>
    <row r="29" spans="2:17" ht="30">
      <c r="B29" s="935"/>
      <c r="C29" s="935"/>
      <c r="D29" s="935"/>
      <c r="E29" s="1736" t="s">
        <v>3035</v>
      </c>
      <c r="F29" s="953" t="str">
        <f>HYPERLINK("#'"&amp;N29&amp;"'!"&amp;O29,P29)</f>
        <v>チェックシート</v>
      </c>
      <c r="G29" s="954" t="s">
        <v>3000</v>
      </c>
      <c r="H29" s="955" t="s">
        <v>1407</v>
      </c>
      <c r="I29" s="956" t="s">
        <v>1407</v>
      </c>
      <c r="J29" s="957" t="s">
        <v>3006</v>
      </c>
      <c r="K29" s="958" t="s">
        <v>3050</v>
      </c>
      <c r="L29" s="959"/>
      <c r="M29" s="935"/>
      <c r="N29" s="952" t="s">
        <v>2986</v>
      </c>
      <c r="O29" s="952" t="s">
        <v>2989</v>
      </c>
      <c r="P29" s="952" t="str">
        <f>N29</f>
        <v>チェックシート</v>
      </c>
      <c r="Q29" s="931" t="str">
        <f>チェックシート!H3</f>
        <v>Kyoto City(R4.11) ver112</v>
      </c>
    </row>
    <row r="30" spans="2:17" ht="75">
      <c r="B30" s="935"/>
      <c r="C30" s="935"/>
      <c r="D30" s="935"/>
      <c r="E30" s="1736"/>
      <c r="F30" s="953" t="str">
        <f>HYPERLINK("#'"&amp;N30&amp;"'!"&amp;O30,P30)</f>
        <v>1_入力シート【基本情報】</v>
      </c>
      <c r="G30" s="954" t="s">
        <v>3000</v>
      </c>
      <c r="H30" s="960" t="s">
        <v>1407</v>
      </c>
      <c r="I30" s="949" t="s">
        <v>1407</v>
      </c>
      <c r="J30" s="957" t="s">
        <v>3115</v>
      </c>
      <c r="K30" s="958"/>
      <c r="L30" s="959" t="s">
        <v>3036</v>
      </c>
      <c r="M30" s="935"/>
      <c r="N30" s="952" t="s">
        <v>2992</v>
      </c>
      <c r="O30" s="952" t="s">
        <v>2989</v>
      </c>
      <c r="P30" s="952" t="str">
        <f t="shared" ref="P30:P37" si="0">N30</f>
        <v>1_入力シート【基本情報】</v>
      </c>
    </row>
    <row r="31" spans="2:17" ht="30">
      <c r="B31" s="935"/>
      <c r="C31" s="935"/>
      <c r="D31" s="935"/>
      <c r="E31" s="1736"/>
      <c r="F31" s="953" t="str">
        <f>HYPERLINK("#'"&amp;N31&amp;"'!"&amp;O31,P31)</f>
        <v>2_入力シート【用途面積】</v>
      </c>
      <c r="G31" s="954" t="s">
        <v>3000</v>
      </c>
      <c r="H31" s="955" t="s">
        <v>1407</v>
      </c>
      <c r="I31" s="956" t="s">
        <v>1407</v>
      </c>
      <c r="J31" s="957" t="s">
        <v>3116</v>
      </c>
      <c r="K31" s="958"/>
      <c r="L31" s="959" t="s">
        <v>3033</v>
      </c>
      <c r="M31" s="935"/>
      <c r="N31" s="952" t="s">
        <v>2993</v>
      </c>
      <c r="O31" s="952" t="s">
        <v>2989</v>
      </c>
      <c r="P31" s="952" t="str">
        <f t="shared" si="0"/>
        <v>2_入力シート【用途面積】</v>
      </c>
    </row>
    <row r="32" spans="2:17" ht="45">
      <c r="B32" s="935"/>
      <c r="C32" s="935"/>
      <c r="D32" s="935"/>
      <c r="E32" s="1736"/>
      <c r="F32" s="961" t="str">
        <f>HYPERLINK("#'"&amp;N32&amp;"'!"&amp;O32,P32)</f>
        <v>3_入力シート【写真】</v>
      </c>
      <c r="G32" s="962" t="s">
        <v>3002</v>
      </c>
      <c r="H32" s="960" t="s">
        <v>1407</v>
      </c>
      <c r="I32" s="949" t="s">
        <v>3002</v>
      </c>
      <c r="J32" s="959" t="s">
        <v>3117</v>
      </c>
      <c r="K32" s="959" t="s">
        <v>3320</v>
      </c>
      <c r="L32" s="959"/>
      <c r="M32" s="935"/>
      <c r="N32" s="952" t="s">
        <v>2994</v>
      </c>
      <c r="O32" s="952" t="s">
        <v>2989</v>
      </c>
      <c r="P32" s="952" t="str">
        <f t="shared" si="0"/>
        <v>3_入力シート【写真】</v>
      </c>
    </row>
    <row r="33" spans="2:16" ht="48" customHeight="1">
      <c r="B33" s="935"/>
      <c r="C33" s="935"/>
      <c r="D33" s="935"/>
      <c r="E33" s="1736"/>
      <c r="F33" s="963" t="str">
        <f>HYPERLINK("#'"&amp;N33&amp;"'!"&amp;O33,P33)</f>
        <v>＜別途添付要＞図面</v>
      </c>
      <c r="G33" s="964" t="s">
        <v>1407</v>
      </c>
      <c r="H33" s="960" t="s">
        <v>3000</v>
      </c>
      <c r="I33" s="949" t="s">
        <v>1407</v>
      </c>
      <c r="J33" s="959" t="s">
        <v>3328</v>
      </c>
      <c r="K33" s="959" t="s">
        <v>3329</v>
      </c>
      <c r="L33" s="958"/>
      <c r="M33" s="935"/>
      <c r="N33" s="952" t="s">
        <v>2995</v>
      </c>
      <c r="O33" s="952" t="s">
        <v>2989</v>
      </c>
      <c r="P33" s="952" t="str">
        <f t="shared" si="0"/>
        <v>＜別途添付要＞図面</v>
      </c>
    </row>
    <row r="34" spans="2:16" ht="31.5" customHeight="1">
      <c r="B34" s="935"/>
      <c r="C34" s="935"/>
      <c r="D34" s="935"/>
      <c r="E34" s="1736"/>
      <c r="F34" s="963" t="str">
        <f t="shared" ref="F34" si="1">HYPERLINK("#'"&amp;N34&amp;"'!"&amp;O34,P34)</f>
        <v>＜入力不要＞受付管理票</v>
      </c>
      <c r="G34" s="964" t="s">
        <v>1407</v>
      </c>
      <c r="H34" s="955" t="s">
        <v>1407</v>
      </c>
      <c r="I34" s="956" t="s">
        <v>1407</v>
      </c>
      <c r="J34" s="959" t="s">
        <v>3015</v>
      </c>
      <c r="K34" s="958" t="s">
        <v>3051</v>
      </c>
      <c r="L34" s="959"/>
      <c r="M34" s="935"/>
      <c r="N34" s="952" t="s">
        <v>3003</v>
      </c>
      <c r="O34" s="952" t="s">
        <v>2989</v>
      </c>
      <c r="P34" s="952" t="str">
        <f t="shared" ref="P34" si="2">N34</f>
        <v>＜入力不要＞受付管理票</v>
      </c>
    </row>
    <row r="35" spans="2:16" ht="31.5" customHeight="1">
      <c r="B35" s="935"/>
      <c r="C35" s="935"/>
      <c r="D35" s="935"/>
      <c r="E35" s="1736"/>
      <c r="F35" s="963" t="str">
        <f>HYPERLINK("#'"&amp;N35&amp;"'!"&amp;O35,P35)</f>
        <v>＜入力不要＞報告書</v>
      </c>
      <c r="G35" s="964" t="s">
        <v>1407</v>
      </c>
      <c r="H35" s="955" t="s">
        <v>1407</v>
      </c>
      <c r="I35" s="949" t="s">
        <v>3001</v>
      </c>
      <c r="J35" s="1732" t="s">
        <v>3118</v>
      </c>
      <c r="K35" s="959" t="s">
        <v>3052</v>
      </c>
      <c r="L35" s="959"/>
      <c r="M35" s="935"/>
      <c r="N35" s="952" t="s">
        <v>2996</v>
      </c>
      <c r="O35" s="952" t="s">
        <v>2989</v>
      </c>
      <c r="P35" s="952" t="str">
        <f t="shared" si="0"/>
        <v>＜入力不要＞報告書</v>
      </c>
    </row>
    <row r="36" spans="2:16" ht="31.5" customHeight="1">
      <c r="B36" s="935"/>
      <c r="C36" s="935"/>
      <c r="D36" s="935"/>
      <c r="E36" s="1736"/>
      <c r="F36" s="963" t="str">
        <f>HYPERLINK("#'"&amp;N36&amp;"'!"&amp;O36,P36)</f>
        <v>＜入力不要＞概要書</v>
      </c>
      <c r="G36" s="964" t="s">
        <v>1407</v>
      </c>
      <c r="H36" s="955" t="s">
        <v>1407</v>
      </c>
      <c r="I36" s="949" t="s">
        <v>3001</v>
      </c>
      <c r="J36" s="1733"/>
      <c r="K36" s="959" t="s">
        <v>3053</v>
      </c>
      <c r="L36" s="958"/>
      <c r="M36" s="935"/>
      <c r="N36" s="952" t="s">
        <v>2997</v>
      </c>
      <c r="O36" s="952" t="s">
        <v>2989</v>
      </c>
      <c r="P36" s="952" t="str">
        <f t="shared" si="0"/>
        <v>＜入力不要＞概要書</v>
      </c>
    </row>
    <row r="37" spans="2:16" ht="31.5" customHeight="1">
      <c r="B37" s="935"/>
      <c r="C37" s="935"/>
      <c r="D37" s="935"/>
      <c r="E37" s="1736"/>
      <c r="F37" s="963" t="str">
        <f>HYPERLINK("#'"&amp;N37&amp;"'!"&amp;O37,P37)</f>
        <v>＜入力不要＞調査結果表</v>
      </c>
      <c r="G37" s="964" t="s">
        <v>1407</v>
      </c>
      <c r="H37" s="955" t="s">
        <v>1407</v>
      </c>
      <c r="I37" s="949" t="s">
        <v>3001</v>
      </c>
      <c r="J37" s="1733"/>
      <c r="K37" s="959" t="s">
        <v>3054</v>
      </c>
      <c r="L37" s="958"/>
      <c r="M37" s="935"/>
      <c r="N37" s="952" t="s">
        <v>2998</v>
      </c>
      <c r="O37" s="952" t="s">
        <v>2989</v>
      </c>
      <c r="P37" s="952" t="str">
        <f t="shared" si="0"/>
        <v>＜入力不要＞調査結果表</v>
      </c>
    </row>
    <row r="38" spans="2:16" ht="45">
      <c r="B38" s="935"/>
      <c r="C38" s="935"/>
      <c r="D38" s="935"/>
      <c r="E38" s="1735" t="s">
        <v>3005</v>
      </c>
      <c r="F38" s="1735"/>
      <c r="G38" s="965" t="s">
        <v>3017</v>
      </c>
      <c r="H38" s="949" t="s">
        <v>3018</v>
      </c>
      <c r="I38" s="949" t="s">
        <v>3019</v>
      </c>
      <c r="J38" s="966"/>
      <c r="K38" s="967"/>
      <c r="L38" s="968"/>
      <c r="M38" s="935"/>
    </row>
    <row r="39" spans="2:16" ht="7.5" customHeight="1">
      <c r="B39" s="935"/>
      <c r="C39" s="935"/>
      <c r="D39" s="935"/>
      <c r="E39" s="935"/>
      <c r="F39" s="935"/>
      <c r="G39" s="935"/>
      <c r="H39" s="935"/>
      <c r="I39" s="935"/>
      <c r="J39" s="935"/>
      <c r="K39" s="935"/>
      <c r="L39" s="935"/>
      <c r="M39" s="935"/>
    </row>
    <row r="40" spans="2:16" ht="15">
      <c r="B40" s="935"/>
      <c r="C40" s="935"/>
      <c r="D40" s="935"/>
      <c r="E40" s="935"/>
      <c r="F40" s="935"/>
      <c r="G40" s="935" t="s">
        <v>3009</v>
      </c>
      <c r="H40" s="935"/>
      <c r="I40" s="935"/>
      <c r="J40" s="935"/>
      <c r="K40" s="935"/>
      <c r="L40" s="935"/>
      <c r="M40" s="935"/>
    </row>
    <row r="41" spans="2:16" ht="15">
      <c r="B41" s="935"/>
      <c r="C41" s="935"/>
      <c r="D41" s="935"/>
      <c r="E41" s="935"/>
      <c r="F41" s="935"/>
      <c r="G41" s="954" t="s">
        <v>3000</v>
      </c>
      <c r="H41" s="969" t="s">
        <v>3057</v>
      </c>
      <c r="I41" s="935"/>
      <c r="J41" s="935"/>
      <c r="K41" s="935"/>
      <c r="L41" s="935"/>
      <c r="M41" s="935"/>
    </row>
    <row r="42" spans="2:16" ht="15">
      <c r="B42" s="935"/>
      <c r="C42" s="935"/>
      <c r="D42" s="935"/>
      <c r="E42" s="935"/>
      <c r="F42" s="935"/>
      <c r="G42" s="970" t="s">
        <v>3002</v>
      </c>
      <c r="H42" s="969" t="s">
        <v>3058</v>
      </c>
      <c r="I42" s="935"/>
      <c r="J42" s="935"/>
      <c r="K42" s="935"/>
      <c r="L42" s="935"/>
      <c r="M42" s="935"/>
    </row>
    <row r="43" spans="2:16" ht="15">
      <c r="B43" s="935"/>
      <c r="C43" s="935"/>
      <c r="D43" s="935"/>
      <c r="E43" s="935"/>
      <c r="F43" s="935"/>
      <c r="G43" s="964" t="s">
        <v>1407</v>
      </c>
      <c r="H43" s="969" t="s">
        <v>3059</v>
      </c>
      <c r="I43" s="935"/>
      <c r="J43" s="935"/>
      <c r="K43" s="935"/>
      <c r="L43" s="935"/>
      <c r="M43" s="935"/>
    </row>
    <row r="44" spans="2:16" ht="15">
      <c r="B44" s="935"/>
      <c r="C44" s="935"/>
      <c r="D44" s="935"/>
      <c r="E44" s="935"/>
      <c r="F44" s="935"/>
      <c r="G44" s="935"/>
      <c r="H44" s="935"/>
      <c r="I44" s="935"/>
      <c r="J44" s="935"/>
      <c r="K44" s="935"/>
      <c r="L44" s="935"/>
      <c r="M44" s="935"/>
    </row>
    <row r="45" spans="2:16" ht="15">
      <c r="B45" s="944"/>
      <c r="C45" s="944"/>
      <c r="D45" s="944"/>
      <c r="E45" s="944"/>
      <c r="F45" s="944"/>
      <c r="G45" s="944"/>
      <c r="H45" s="944"/>
      <c r="I45" s="944"/>
      <c r="J45" s="944"/>
      <c r="K45" s="944"/>
      <c r="L45" s="944"/>
      <c r="M45" s="944"/>
    </row>
    <row r="46" spans="2:16" ht="15">
      <c r="B46" s="971" t="s">
        <v>3041</v>
      </c>
      <c r="C46" s="972"/>
      <c r="D46" s="935"/>
      <c r="E46" s="935"/>
      <c r="F46" s="935"/>
      <c r="G46" s="935"/>
      <c r="H46" s="935"/>
      <c r="I46" s="935"/>
      <c r="J46" s="935"/>
      <c r="K46" s="935"/>
      <c r="L46" s="935"/>
      <c r="M46" s="935"/>
    </row>
    <row r="47" spans="2:16" ht="15">
      <c r="B47" s="973"/>
      <c r="C47" s="974"/>
      <c r="D47" s="935"/>
      <c r="E47" s="935"/>
      <c r="F47" s="935"/>
      <c r="G47" s="935"/>
      <c r="H47" s="935"/>
      <c r="I47" s="935"/>
      <c r="J47" s="935"/>
      <c r="K47" s="935"/>
      <c r="L47" s="935"/>
      <c r="M47" s="935"/>
    </row>
    <row r="48" spans="2:16" ht="15">
      <c r="B48" s="935" t="s">
        <v>3020</v>
      </c>
      <c r="C48" s="935" t="s">
        <v>3038</v>
      </c>
      <c r="D48" s="935"/>
      <c r="E48" s="935"/>
      <c r="F48" s="935"/>
      <c r="G48" s="935"/>
      <c r="H48" s="935"/>
      <c r="I48" s="935"/>
      <c r="J48" s="935"/>
      <c r="K48" s="935"/>
      <c r="L48" s="935"/>
      <c r="M48" s="935"/>
    </row>
    <row r="49" spans="2:13" ht="15">
      <c r="B49" s="935" t="s">
        <v>3020</v>
      </c>
      <c r="C49" s="935" t="s">
        <v>3039</v>
      </c>
      <c r="D49" s="935"/>
      <c r="E49" s="935"/>
      <c r="F49" s="935"/>
      <c r="G49" s="935"/>
      <c r="H49" s="935"/>
      <c r="I49" s="935"/>
      <c r="J49" s="935"/>
      <c r="K49" s="935"/>
      <c r="L49" s="935"/>
      <c r="M49" s="935"/>
    </row>
    <row r="50" spans="2:13" ht="15">
      <c r="B50" s="935" t="s">
        <v>3020</v>
      </c>
      <c r="C50" s="975" t="s">
        <v>3047</v>
      </c>
      <c r="D50" s="935"/>
      <c r="E50" s="935"/>
      <c r="F50" s="935"/>
      <c r="G50" s="935"/>
      <c r="H50" s="935"/>
      <c r="I50" s="935"/>
      <c r="J50" s="935"/>
      <c r="K50" s="935"/>
      <c r="L50" s="935"/>
      <c r="M50" s="935"/>
    </row>
    <row r="51" spans="2:13" ht="15">
      <c r="B51" s="935"/>
      <c r="C51" s="975" t="s">
        <v>3046</v>
      </c>
      <c r="D51" s="935"/>
      <c r="E51" s="935"/>
      <c r="F51" s="935"/>
      <c r="G51" s="935"/>
      <c r="H51" s="935"/>
      <c r="I51" s="935"/>
      <c r="J51" s="935"/>
      <c r="K51" s="935"/>
      <c r="L51" s="935"/>
      <c r="M51" s="935"/>
    </row>
    <row r="53" spans="2:13" ht="15">
      <c r="B53" s="971" t="s">
        <v>5622</v>
      </c>
      <c r="C53" s="972"/>
      <c r="D53" s="935"/>
      <c r="E53" s="935"/>
      <c r="F53" s="935"/>
      <c r="G53" s="935"/>
      <c r="H53" s="935"/>
      <c r="I53" s="935"/>
      <c r="J53" s="935"/>
      <c r="K53" s="935"/>
      <c r="L53" s="935"/>
      <c r="M53" s="935"/>
    </row>
    <row r="54" spans="2:13" ht="15">
      <c r="B54" s="973"/>
      <c r="C54" s="974" t="s">
        <v>5630</v>
      </c>
      <c r="D54" s="935"/>
      <c r="E54" s="935"/>
      <c r="F54" s="935"/>
      <c r="G54" s="935"/>
      <c r="H54" s="935"/>
      <c r="I54" s="935"/>
      <c r="J54" s="935"/>
      <c r="K54" s="935"/>
      <c r="L54" s="935"/>
      <c r="M54" s="935"/>
    </row>
    <row r="55" spans="2:13" ht="15">
      <c r="B55" s="935"/>
      <c r="C55" s="935"/>
      <c r="D55" s="1684" t="s">
        <v>5629</v>
      </c>
      <c r="E55" s="1684" t="s">
        <v>5623</v>
      </c>
      <c r="F55" s="1684"/>
      <c r="G55" s="1684" t="s">
        <v>5626</v>
      </c>
      <c r="H55" s="1684"/>
      <c r="I55" s="1684"/>
      <c r="J55" s="1684"/>
      <c r="K55" s="935"/>
      <c r="L55" s="935"/>
      <c r="M55" s="935"/>
    </row>
    <row r="56" spans="2:13" ht="15">
      <c r="B56" s="935"/>
      <c r="C56" s="935"/>
      <c r="D56" s="1684" t="s">
        <v>5629</v>
      </c>
      <c r="E56" s="1684" t="s">
        <v>5623</v>
      </c>
      <c r="F56" s="1684"/>
      <c r="G56" s="1684" t="s">
        <v>5631</v>
      </c>
      <c r="H56" s="1684"/>
      <c r="I56" s="1684"/>
      <c r="J56" s="1684"/>
      <c r="K56" s="935"/>
      <c r="L56" s="935"/>
      <c r="M56" s="935"/>
    </row>
    <row r="57" spans="2:13" ht="15">
      <c r="B57" s="935"/>
      <c r="C57" s="935"/>
      <c r="D57" s="1684" t="s">
        <v>5629</v>
      </c>
      <c r="E57" s="1684" t="s">
        <v>5687</v>
      </c>
      <c r="F57" s="1684"/>
      <c r="G57" s="1684" t="s">
        <v>5688</v>
      </c>
      <c r="H57" s="1684"/>
      <c r="I57" s="1684"/>
      <c r="J57" s="1684"/>
      <c r="K57" s="935"/>
      <c r="L57" s="935"/>
      <c r="M57" s="935"/>
    </row>
    <row r="58" spans="2:13" ht="15">
      <c r="B58" s="935"/>
      <c r="C58" s="935"/>
      <c r="D58" s="1684" t="s">
        <v>5629</v>
      </c>
      <c r="E58" s="1684" t="s">
        <v>5624</v>
      </c>
      <c r="F58" s="1684"/>
      <c r="G58" s="1684" t="s">
        <v>5658</v>
      </c>
      <c r="H58" s="1684"/>
      <c r="I58" s="1684"/>
      <c r="J58" s="1684"/>
      <c r="K58" s="935"/>
      <c r="L58" s="935"/>
      <c r="M58" s="935"/>
    </row>
    <row r="59" spans="2:13" ht="15">
      <c r="B59" s="935"/>
      <c r="C59" s="935"/>
      <c r="D59" s="1684" t="s">
        <v>5629</v>
      </c>
      <c r="E59" s="1684" t="s">
        <v>5647</v>
      </c>
      <c r="F59" s="1684"/>
      <c r="G59" s="1684" t="s">
        <v>5648</v>
      </c>
      <c r="H59" s="1684"/>
      <c r="I59" s="1684"/>
      <c r="J59" s="1684"/>
      <c r="K59" s="935"/>
      <c r="L59" s="935"/>
      <c r="M59" s="935"/>
    </row>
    <row r="60" spans="2:13" ht="15">
      <c r="B60" s="935"/>
      <c r="C60" s="935"/>
      <c r="D60" s="1684" t="s">
        <v>5629</v>
      </c>
      <c r="E60" s="1684" t="s">
        <v>5625</v>
      </c>
      <c r="F60" s="1684"/>
      <c r="G60" s="1684" t="s">
        <v>5627</v>
      </c>
      <c r="H60" s="1684"/>
      <c r="I60" s="1684"/>
      <c r="J60" s="1684"/>
      <c r="K60" s="935"/>
      <c r="L60" s="935"/>
      <c r="M60" s="935"/>
    </row>
    <row r="61" spans="2:13" ht="15">
      <c r="B61" s="935"/>
      <c r="C61" s="935"/>
      <c r="D61" s="1684" t="s">
        <v>5629</v>
      </c>
      <c r="E61" s="1684" t="s">
        <v>5653</v>
      </c>
      <c r="F61" s="1684"/>
      <c r="G61" s="1684" t="s">
        <v>5654</v>
      </c>
      <c r="H61" s="1684"/>
      <c r="I61" s="1684"/>
      <c r="J61" s="1684"/>
      <c r="K61" s="935"/>
      <c r="L61" s="935"/>
      <c r="M61" s="935"/>
    </row>
    <row r="62" spans="2:13" ht="15">
      <c r="B62" s="935"/>
      <c r="C62" s="935"/>
      <c r="D62" s="1684" t="s">
        <v>5644</v>
      </c>
      <c r="E62" s="1684" t="s">
        <v>5645</v>
      </c>
      <c r="F62" s="1684"/>
      <c r="G62" s="1684" t="s">
        <v>5643</v>
      </c>
      <c r="H62" s="1684"/>
      <c r="I62" s="1684"/>
      <c r="J62" s="1684"/>
      <c r="K62" s="935"/>
      <c r="L62" s="935"/>
      <c r="M62" s="935"/>
    </row>
    <row r="63" spans="2:13" ht="15">
      <c r="B63" s="935"/>
      <c r="C63" s="935"/>
      <c r="D63" s="1684" t="s">
        <v>5629</v>
      </c>
      <c r="E63" s="1684" t="s">
        <v>5628</v>
      </c>
      <c r="F63" s="1684"/>
      <c r="G63" s="1684" t="s">
        <v>5632</v>
      </c>
      <c r="H63" s="1684"/>
      <c r="I63" s="1684"/>
      <c r="J63" s="1684"/>
      <c r="K63" s="935"/>
      <c r="L63" s="935"/>
      <c r="M63" s="935"/>
    </row>
    <row r="64" spans="2:13" ht="15">
      <c r="B64" s="935"/>
      <c r="C64" s="935"/>
      <c r="D64" s="1731"/>
      <c r="E64" s="1731"/>
      <c r="F64" s="1731"/>
      <c r="G64" s="1731"/>
      <c r="H64" s="1731"/>
      <c r="I64" s="1731"/>
      <c r="J64" s="1731"/>
      <c r="K64" s="935"/>
      <c r="L64" s="935"/>
      <c r="M64" s="935"/>
    </row>
    <row r="65" spans="2:13" ht="15">
      <c r="B65" s="935"/>
      <c r="C65" s="974" t="s">
        <v>5689</v>
      </c>
      <c r="D65" s="935"/>
      <c r="E65" s="935"/>
      <c r="F65" s="935"/>
      <c r="G65" s="935"/>
      <c r="H65" s="935"/>
      <c r="I65" s="935"/>
      <c r="J65" s="935"/>
      <c r="K65" s="935"/>
      <c r="L65" s="935"/>
      <c r="M65" s="935"/>
    </row>
    <row r="66" spans="2:13" ht="15">
      <c r="B66" s="935"/>
      <c r="C66" s="935"/>
      <c r="D66" s="1684" t="s">
        <v>5629</v>
      </c>
      <c r="E66" s="1684" t="s">
        <v>5690</v>
      </c>
      <c r="F66" s="1684"/>
      <c r="G66" s="1684" t="s">
        <v>5691</v>
      </c>
      <c r="H66" s="1684"/>
      <c r="I66" s="1684"/>
      <c r="J66" s="1684"/>
      <c r="K66" s="935"/>
      <c r="L66" s="935"/>
      <c r="M66" s="935"/>
    </row>
    <row r="67" spans="2:13" ht="15">
      <c r="B67" s="935"/>
      <c r="C67" s="935"/>
      <c r="D67" s="935"/>
      <c r="E67" s="935"/>
      <c r="F67" s="935"/>
      <c r="G67" s="935"/>
      <c r="H67" s="935"/>
      <c r="I67" s="935"/>
      <c r="J67" s="935"/>
      <c r="K67" s="935"/>
      <c r="L67" s="935"/>
      <c r="M67" s="935"/>
    </row>
  </sheetData>
  <sheetProtection algorithmName="SHA-512" hashValue="5ZMIZUyXxX/BpPLqErNykLijlCeK0DyrMhvotuqs73gnF8+BBoUpPw8jTJmia0cUe/t3RHyVGJqm9/sRCEzu/Q==" saltValue="uYkwdNborQcD7D7qGB21Aw==" spinCount="100000" sheet="1" objects="1" scenarios="1"/>
  <mergeCells count="10">
    <mergeCell ref="J35:J37"/>
    <mergeCell ref="D6:H6"/>
    <mergeCell ref="E38:F38"/>
    <mergeCell ref="E29:E37"/>
    <mergeCell ref="E27:G27"/>
    <mergeCell ref="H27:I27"/>
    <mergeCell ref="D10:E10"/>
    <mergeCell ref="D11:E11"/>
    <mergeCell ref="D12:E12"/>
    <mergeCell ref="D13:E13"/>
  </mergeCells>
  <phoneticPr fontId="3"/>
  <hyperlinks>
    <hyperlink ref="D6" r:id="rId1" display="https://www.city.kyoto.lg.jp/tokei/page/0000151046.html" xr:uid="{BD73B668-036F-4622-9EE9-052BC072231C}"/>
    <hyperlink ref="D6:H6" r:id="rId2" display="https://www.city.kyoto.lg.jp/tokei/page/0000301596.html" xr:uid="{B3C21A07-B7B5-4AF9-AE0D-2CD102336DA8}"/>
  </hyperlinks>
  <pageMargins left="0.7" right="0.7" top="0.75" bottom="0.75" header="0.3" footer="0.3"/>
  <pageSetup paperSize="9" scale="49" orientation="landscape"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AQ257"/>
  <sheetViews>
    <sheetView topLeftCell="B1" zoomScaleNormal="100" zoomScaleSheetLayoutView="100" workbookViewId="0">
      <selection activeCell="AO1" sqref="AO1:AP1"/>
    </sheetView>
  </sheetViews>
  <sheetFormatPr defaultColWidth="9" defaultRowHeight="13"/>
  <cols>
    <col min="1" max="1" width="4.453125" style="931" hidden="1" customWidth="1"/>
    <col min="2" max="2" width="2.453125" style="1628" customWidth="1"/>
    <col min="3" max="3" width="2.08984375" style="1628" hidden="1" customWidth="1"/>
    <col min="4" max="19" width="2.08984375" style="1628" customWidth="1"/>
    <col min="20" max="20" width="1" style="1667" customWidth="1"/>
    <col min="21" max="36" width="2.08984375" style="1628" customWidth="1"/>
    <col min="37" max="37" width="2.453125" style="1628" customWidth="1"/>
    <col min="38" max="38" width="5.7265625" style="1628" hidden="1" customWidth="1"/>
    <col min="39" max="40" width="6" style="1628" customWidth="1"/>
    <col min="41" max="42" width="6.6328125" style="1628" customWidth="1"/>
    <col min="43" max="43" width="8" style="931" customWidth="1"/>
    <col min="44" max="16384" width="9" style="1628"/>
  </cols>
  <sheetData>
    <row r="1" spans="2:42" ht="22.5" customHeight="1">
      <c r="B1" s="1460" t="s">
        <v>2770</v>
      </c>
      <c r="C1" s="1626"/>
      <c r="D1" s="1626"/>
      <c r="E1" s="1626"/>
      <c r="F1" s="1626"/>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c r="AN1" s="1627"/>
      <c r="AO1" s="3252" t="str">
        <f>HYPERLINK("#'使用方法'!F29:F37","シート一覧へ")</f>
        <v>シート一覧へ</v>
      </c>
      <c r="AP1" s="3253"/>
    </row>
    <row r="2" spans="2:42" ht="13.5" customHeight="1">
      <c r="B2" s="2991" t="s">
        <v>1391</v>
      </c>
      <c r="C2" s="2992"/>
      <c r="D2" s="2992"/>
      <c r="E2" s="2992"/>
      <c r="F2" s="2992"/>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30" t="str">
        <f>チェックシート!H3</f>
        <v>Kyoto City(R4.11) ver112</v>
      </c>
      <c r="AO2" s="1631" t="str">
        <f>'＜入力不要＞報告書'!AN4&amp;'＜入力不要＞報告書'!AO4</f>
        <v/>
      </c>
      <c r="AP2" s="1631" t="str">
        <f>IF('＜入力不要＞報告書'!AP4="","",'＜入力不要＞報告書'!AP4)</f>
        <v/>
      </c>
    </row>
    <row r="3" spans="2:42" ht="27" customHeight="1" thickBot="1">
      <c r="B3" s="2990" t="s">
        <v>955</v>
      </c>
      <c r="C3" s="2990"/>
      <c r="D3" s="2990"/>
      <c r="E3" s="2990"/>
      <c r="F3" s="2990"/>
      <c r="G3" s="2990"/>
      <c r="H3" s="2990"/>
      <c r="I3" s="2990"/>
      <c r="J3" s="2990"/>
      <c r="K3" s="2990"/>
      <c r="L3" s="2990"/>
      <c r="M3" s="2990"/>
      <c r="N3" s="2990"/>
      <c r="O3" s="2990"/>
      <c r="P3" s="2990"/>
      <c r="Q3" s="2990"/>
      <c r="R3" s="2990"/>
      <c r="S3" s="2990"/>
      <c r="T3" s="2990"/>
      <c r="U3" s="2990"/>
      <c r="V3" s="2990"/>
      <c r="W3" s="2990"/>
      <c r="X3" s="2990"/>
      <c r="Y3" s="2990"/>
      <c r="Z3" s="2990"/>
      <c r="AA3" s="2990"/>
      <c r="AB3" s="2990"/>
      <c r="AC3" s="2990"/>
      <c r="AD3" s="2990"/>
      <c r="AE3" s="2990"/>
      <c r="AF3" s="2990"/>
      <c r="AG3" s="2990"/>
      <c r="AH3" s="2990"/>
      <c r="AI3" s="2990"/>
      <c r="AJ3" s="2990"/>
      <c r="AK3" s="2990"/>
      <c r="AL3" s="2990"/>
      <c r="AM3" s="2990"/>
      <c r="AN3" s="2990"/>
      <c r="AO3" s="2990"/>
      <c r="AP3" s="2990"/>
    </row>
    <row r="4" spans="2:42" ht="11.25" customHeight="1">
      <c r="B4" s="3138" t="s">
        <v>29</v>
      </c>
      <c r="C4" s="3139"/>
      <c r="D4" s="3139"/>
      <c r="E4" s="3139"/>
      <c r="F4" s="3140"/>
      <c r="G4" s="3157"/>
      <c r="H4" s="3158"/>
      <c r="I4" s="3158"/>
      <c r="J4" s="3158"/>
      <c r="K4" s="3158"/>
      <c r="L4" s="3158"/>
      <c r="M4" s="3158"/>
      <c r="N4" s="3159"/>
      <c r="O4" s="3146" t="s">
        <v>1348</v>
      </c>
      <c r="P4" s="3147"/>
      <c r="Q4" s="3147"/>
      <c r="R4" s="3147"/>
      <c r="S4" s="3147"/>
      <c r="T4" s="3147"/>
      <c r="U4" s="3147"/>
      <c r="V4" s="3147"/>
      <c r="W4" s="3147"/>
      <c r="X4" s="3147"/>
      <c r="Y4" s="3147"/>
      <c r="Z4" s="3147"/>
      <c r="AA4" s="3147"/>
      <c r="AB4" s="3147"/>
      <c r="AC4" s="3147"/>
      <c r="AD4" s="3147"/>
      <c r="AE4" s="3147"/>
      <c r="AF4" s="3147"/>
      <c r="AG4" s="3147"/>
      <c r="AH4" s="3147"/>
      <c r="AI4" s="3147"/>
      <c r="AJ4" s="3147"/>
      <c r="AK4" s="3147"/>
      <c r="AL4" s="3147"/>
      <c r="AM4" s="3147"/>
      <c r="AN4" s="3148"/>
      <c r="AO4" s="3239" t="s">
        <v>30</v>
      </c>
      <c r="AP4" s="3240"/>
    </row>
    <row r="5" spans="2:42" ht="11.25" customHeight="1">
      <c r="B5" s="3141"/>
      <c r="C5" s="3142"/>
      <c r="D5" s="3142"/>
      <c r="E5" s="3142"/>
      <c r="F5" s="3143"/>
      <c r="G5" s="3105" t="s">
        <v>224</v>
      </c>
      <c r="H5" s="3106"/>
      <c r="I5" s="3106"/>
      <c r="J5" s="3106"/>
      <c r="K5" s="3106"/>
      <c r="L5" s="3106"/>
      <c r="M5" s="3106"/>
      <c r="N5" s="3107"/>
      <c r="O5" s="3038">
        <f>'1_入力シート【基本情報】'!$U$301</f>
        <v>0</v>
      </c>
      <c r="P5" s="3039"/>
      <c r="Q5" s="3039"/>
      <c r="R5" s="3039"/>
      <c r="S5" s="3039"/>
      <c r="T5" s="3039"/>
      <c r="U5" s="3039"/>
      <c r="V5" s="3039"/>
      <c r="W5" s="3039"/>
      <c r="X5" s="3039"/>
      <c r="Y5" s="3039"/>
      <c r="Z5" s="3039"/>
      <c r="AA5" s="3039"/>
      <c r="AB5" s="3039"/>
      <c r="AC5" s="3039"/>
      <c r="AD5" s="3039"/>
      <c r="AE5" s="3039"/>
      <c r="AF5" s="3039"/>
      <c r="AG5" s="3039"/>
      <c r="AH5" s="3039"/>
      <c r="AI5" s="3039"/>
      <c r="AJ5" s="3039"/>
      <c r="AK5" s="3039"/>
      <c r="AL5" s="3039"/>
      <c r="AM5" s="3039"/>
      <c r="AN5" s="3040"/>
      <c r="AO5" s="3002">
        <v>1</v>
      </c>
      <c r="AP5" s="3241"/>
    </row>
    <row r="6" spans="2:42" ht="11.25" customHeight="1">
      <c r="B6" s="3141"/>
      <c r="C6" s="3142"/>
      <c r="D6" s="3142"/>
      <c r="E6" s="3142"/>
      <c r="F6" s="3143"/>
      <c r="G6" s="3134" t="s">
        <v>223</v>
      </c>
      <c r="H6" s="3135"/>
      <c r="I6" s="3135"/>
      <c r="J6" s="3135"/>
      <c r="K6" s="3135"/>
      <c r="L6" s="3135"/>
      <c r="M6" s="3135"/>
      <c r="N6" s="3135"/>
      <c r="O6" s="3188">
        <f>'1_入力シート【基本情報】'!$AW$301</f>
        <v>0</v>
      </c>
      <c r="P6" s="3189"/>
      <c r="Q6" s="3189"/>
      <c r="R6" s="3189"/>
      <c r="S6" s="3189"/>
      <c r="T6" s="3189"/>
      <c r="U6" s="3189"/>
      <c r="V6" s="3189"/>
      <c r="W6" s="3189"/>
      <c r="X6" s="3189"/>
      <c r="Y6" s="3189"/>
      <c r="Z6" s="3189"/>
      <c r="AA6" s="3189"/>
      <c r="AB6" s="3189"/>
      <c r="AC6" s="3189"/>
      <c r="AD6" s="3189"/>
      <c r="AE6" s="3189"/>
      <c r="AF6" s="3189"/>
      <c r="AG6" s="3189"/>
      <c r="AH6" s="3189"/>
      <c r="AI6" s="3189"/>
      <c r="AJ6" s="3189"/>
      <c r="AK6" s="3189"/>
      <c r="AL6" s="3189"/>
      <c r="AM6" s="3189"/>
      <c r="AN6" s="3190"/>
      <c r="AO6" s="3002">
        <v>2</v>
      </c>
      <c r="AP6" s="3241"/>
    </row>
    <row r="7" spans="2:42" ht="11.25" customHeight="1" thickBot="1">
      <c r="B7" s="3144"/>
      <c r="C7" s="3137"/>
      <c r="D7" s="3137"/>
      <c r="E7" s="3137"/>
      <c r="F7" s="3145"/>
      <c r="G7" s="3136"/>
      <c r="H7" s="3137"/>
      <c r="I7" s="3137"/>
      <c r="J7" s="3137"/>
      <c r="K7" s="3137"/>
      <c r="L7" s="3137"/>
      <c r="M7" s="3137"/>
      <c r="N7" s="3137"/>
      <c r="O7" s="3041">
        <f>'1_入力シート【基本情報】'!$BY$301</f>
        <v>0</v>
      </c>
      <c r="P7" s="3042"/>
      <c r="Q7" s="3042"/>
      <c r="R7" s="3042"/>
      <c r="S7" s="3042"/>
      <c r="T7" s="3042"/>
      <c r="U7" s="3042"/>
      <c r="V7" s="3042"/>
      <c r="W7" s="3042"/>
      <c r="X7" s="3042"/>
      <c r="Y7" s="3042"/>
      <c r="Z7" s="3042"/>
      <c r="AA7" s="3042"/>
      <c r="AB7" s="3042"/>
      <c r="AC7" s="3042"/>
      <c r="AD7" s="3042"/>
      <c r="AE7" s="3042"/>
      <c r="AF7" s="3042"/>
      <c r="AG7" s="3042"/>
      <c r="AH7" s="3042"/>
      <c r="AI7" s="3042"/>
      <c r="AJ7" s="3042"/>
      <c r="AK7" s="3042"/>
      <c r="AL7" s="3042"/>
      <c r="AM7" s="3042"/>
      <c r="AN7" s="3043"/>
      <c r="AO7" s="3160">
        <v>3</v>
      </c>
      <c r="AP7" s="3161"/>
    </row>
    <row r="8" spans="2:42" ht="13.5" thickBot="1">
      <c r="B8" s="1632"/>
      <c r="C8" s="1627"/>
      <c r="D8" s="1627"/>
      <c r="E8" s="1627"/>
      <c r="F8" s="1627"/>
      <c r="G8" s="1627"/>
      <c r="H8" s="1627"/>
      <c r="I8" s="1627"/>
      <c r="J8" s="1627"/>
      <c r="K8" s="1627"/>
      <c r="L8" s="1627"/>
      <c r="M8" s="1627"/>
      <c r="N8" s="1627"/>
      <c r="O8" s="1627"/>
      <c r="P8" s="1627"/>
      <c r="Q8" s="1627"/>
      <c r="R8" s="1627"/>
      <c r="S8" s="1627"/>
      <c r="T8" s="1627"/>
      <c r="U8" s="1627"/>
      <c r="V8" s="1627"/>
      <c r="W8" s="1627"/>
      <c r="X8" s="1627"/>
      <c r="Y8" s="1627"/>
      <c r="Z8" s="1627"/>
      <c r="AA8" s="1627"/>
      <c r="AB8" s="1627"/>
      <c r="AC8" s="1627"/>
      <c r="AD8" s="1627"/>
      <c r="AE8" s="1627"/>
      <c r="AF8" s="1627"/>
      <c r="AG8" s="1627"/>
      <c r="AH8" s="1627"/>
      <c r="AI8" s="1627"/>
      <c r="AJ8" s="1627"/>
      <c r="AK8" s="1627"/>
      <c r="AL8" s="1627"/>
      <c r="AM8" s="1627"/>
      <c r="AN8" s="1627"/>
      <c r="AO8" s="1627"/>
      <c r="AP8" s="1633"/>
    </row>
    <row r="9" spans="2:42" ht="12" customHeight="1">
      <c r="B9" s="3231" t="s">
        <v>31</v>
      </c>
      <c r="C9" s="3232"/>
      <c r="D9" s="3109"/>
      <c r="E9" s="3108" t="s">
        <v>32</v>
      </c>
      <c r="F9" s="3109"/>
      <c r="G9" s="3109"/>
      <c r="H9" s="3109"/>
      <c r="I9" s="3109"/>
      <c r="J9" s="3109"/>
      <c r="K9" s="3109"/>
      <c r="L9" s="3109"/>
      <c r="M9" s="3109"/>
      <c r="N9" s="3109"/>
      <c r="O9" s="3109"/>
      <c r="P9" s="3109"/>
      <c r="Q9" s="3109"/>
      <c r="R9" s="3109"/>
      <c r="S9" s="3109"/>
      <c r="T9" s="3109"/>
      <c r="U9" s="3109"/>
      <c r="V9" s="3109"/>
      <c r="W9" s="3109"/>
      <c r="X9" s="3109"/>
      <c r="Y9" s="3109"/>
      <c r="Z9" s="3109"/>
      <c r="AA9" s="3109"/>
      <c r="AB9" s="3109"/>
      <c r="AC9" s="3109"/>
      <c r="AD9" s="3109"/>
      <c r="AE9" s="3109"/>
      <c r="AF9" s="3109"/>
      <c r="AG9" s="3109"/>
      <c r="AH9" s="3109"/>
      <c r="AI9" s="3109"/>
      <c r="AJ9" s="3109"/>
      <c r="AK9" s="3110"/>
      <c r="AL9" s="3162" t="s">
        <v>956</v>
      </c>
      <c r="AM9" s="3164" t="s">
        <v>33</v>
      </c>
      <c r="AN9" s="3165"/>
      <c r="AO9" s="3166"/>
      <c r="AP9" s="3167" t="s">
        <v>957</v>
      </c>
    </row>
    <row r="10" spans="2:42" ht="11.25" customHeight="1">
      <c r="B10" s="3233"/>
      <c r="C10" s="3234"/>
      <c r="D10" s="3112"/>
      <c r="E10" s="3111"/>
      <c r="F10" s="3112"/>
      <c r="G10" s="3112"/>
      <c r="H10" s="3112"/>
      <c r="I10" s="3112"/>
      <c r="J10" s="3112"/>
      <c r="K10" s="3112"/>
      <c r="L10" s="3112"/>
      <c r="M10" s="3112"/>
      <c r="N10" s="3112"/>
      <c r="O10" s="3112"/>
      <c r="P10" s="3112"/>
      <c r="Q10" s="3112"/>
      <c r="R10" s="3112"/>
      <c r="S10" s="3112"/>
      <c r="T10" s="3112"/>
      <c r="U10" s="3112"/>
      <c r="V10" s="3112"/>
      <c r="W10" s="3112"/>
      <c r="X10" s="3112"/>
      <c r="Y10" s="3112"/>
      <c r="Z10" s="3112"/>
      <c r="AA10" s="3112"/>
      <c r="AB10" s="3112"/>
      <c r="AC10" s="3112"/>
      <c r="AD10" s="3112"/>
      <c r="AE10" s="3112"/>
      <c r="AF10" s="3112"/>
      <c r="AG10" s="3112"/>
      <c r="AH10" s="3112"/>
      <c r="AI10" s="3112"/>
      <c r="AJ10" s="3112"/>
      <c r="AK10" s="3113"/>
      <c r="AL10" s="3163"/>
      <c r="AM10" s="3237" t="s">
        <v>958</v>
      </c>
      <c r="AN10" s="1634" t="s">
        <v>959</v>
      </c>
      <c r="AO10" s="1635"/>
      <c r="AP10" s="3168"/>
    </row>
    <row r="11" spans="2:42" ht="21" customHeight="1" thickBot="1">
      <c r="B11" s="3235"/>
      <c r="C11" s="3115"/>
      <c r="D11" s="3115"/>
      <c r="E11" s="3114"/>
      <c r="F11" s="3115"/>
      <c r="G11" s="3115"/>
      <c r="H11" s="3115"/>
      <c r="I11" s="3115"/>
      <c r="J11" s="3115"/>
      <c r="K11" s="3115"/>
      <c r="L11" s="3115"/>
      <c r="M11" s="3115"/>
      <c r="N11" s="3115"/>
      <c r="O11" s="3115"/>
      <c r="P11" s="3115"/>
      <c r="Q11" s="3115"/>
      <c r="R11" s="3115"/>
      <c r="S11" s="3115"/>
      <c r="T11" s="3115"/>
      <c r="U11" s="3115"/>
      <c r="V11" s="3115"/>
      <c r="W11" s="3115"/>
      <c r="X11" s="3115"/>
      <c r="Y11" s="3115"/>
      <c r="Z11" s="3115"/>
      <c r="AA11" s="3115"/>
      <c r="AB11" s="3115"/>
      <c r="AC11" s="3115"/>
      <c r="AD11" s="3115"/>
      <c r="AE11" s="3115"/>
      <c r="AF11" s="3115"/>
      <c r="AG11" s="3115"/>
      <c r="AH11" s="3115"/>
      <c r="AI11" s="3115"/>
      <c r="AJ11" s="3115"/>
      <c r="AK11" s="3116"/>
      <c r="AL11" s="1636"/>
      <c r="AM11" s="3238"/>
      <c r="AN11" s="1637"/>
      <c r="AO11" s="1638" t="s">
        <v>960</v>
      </c>
      <c r="AP11" s="3169"/>
    </row>
    <row r="12" spans="2:42" ht="12" customHeight="1">
      <c r="B12" s="3030">
        <v>1</v>
      </c>
      <c r="C12" s="3031"/>
      <c r="D12" s="3032"/>
      <c r="E12" s="3068" t="s">
        <v>34</v>
      </c>
      <c r="F12" s="3069"/>
      <c r="G12" s="3069"/>
      <c r="H12" s="3069"/>
      <c r="I12" s="3069"/>
      <c r="J12" s="3069"/>
      <c r="K12" s="3069"/>
      <c r="L12" s="3069"/>
      <c r="M12" s="3069"/>
      <c r="N12" s="3069"/>
      <c r="O12" s="3069"/>
      <c r="P12" s="3069"/>
      <c r="Q12" s="3069"/>
      <c r="R12" s="3069"/>
      <c r="S12" s="3069"/>
      <c r="T12" s="3069"/>
      <c r="U12" s="3069"/>
      <c r="V12" s="3069"/>
      <c r="W12" s="3069"/>
      <c r="X12" s="3069"/>
      <c r="Y12" s="3069"/>
      <c r="Z12" s="3069"/>
      <c r="AA12" s="3069"/>
      <c r="AB12" s="3069"/>
      <c r="AC12" s="3069"/>
      <c r="AD12" s="3069"/>
      <c r="AE12" s="3069"/>
      <c r="AF12" s="3069"/>
      <c r="AG12" s="3069"/>
      <c r="AH12" s="3069"/>
      <c r="AI12" s="3069"/>
      <c r="AJ12" s="3069"/>
      <c r="AK12" s="3069"/>
      <c r="AL12" s="3069"/>
      <c r="AM12" s="3069"/>
      <c r="AN12" s="3069"/>
      <c r="AO12" s="3069"/>
      <c r="AP12" s="3070"/>
    </row>
    <row r="13" spans="2:42" ht="11.25" customHeight="1">
      <c r="B13" s="3033" t="s">
        <v>35</v>
      </c>
      <c r="C13" s="3034"/>
      <c r="D13" s="2995"/>
      <c r="E13" s="3023" t="s">
        <v>36</v>
      </c>
      <c r="F13" s="3155"/>
      <c r="G13" s="3155"/>
      <c r="H13" s="3156"/>
      <c r="I13" s="3156"/>
      <c r="J13" s="3156"/>
      <c r="K13" s="3156"/>
      <c r="L13" s="3156"/>
      <c r="M13" s="3156"/>
      <c r="N13" s="3156"/>
      <c r="O13" s="3156"/>
      <c r="P13" s="3156"/>
      <c r="Q13" s="3156"/>
      <c r="R13" s="3156"/>
      <c r="S13" s="3156"/>
      <c r="T13" s="3156"/>
      <c r="U13" s="3242" t="s">
        <v>222</v>
      </c>
      <c r="V13" s="3243"/>
      <c r="W13" s="3243"/>
      <c r="X13" s="3243"/>
      <c r="Y13" s="3243"/>
      <c r="Z13" s="3243"/>
      <c r="AA13" s="3243"/>
      <c r="AB13" s="3243"/>
      <c r="AC13" s="3243"/>
      <c r="AD13" s="3243"/>
      <c r="AE13" s="3243"/>
      <c r="AF13" s="3243"/>
      <c r="AG13" s="3243"/>
      <c r="AH13" s="3243"/>
      <c r="AI13" s="3243"/>
      <c r="AJ13" s="3243"/>
      <c r="AK13" s="3244"/>
      <c r="AL13" s="1639"/>
      <c r="AM13" s="1640" t="str">
        <f>'1_入力シート【基本情報】'!FK307</f>
        <v/>
      </c>
      <c r="AN13" s="1640" t="str">
        <f>'1_入力シート【基本情報】'!FL307</f>
        <v/>
      </c>
      <c r="AO13" s="1640" t="str">
        <f>'1_入力シート【基本情報】'!FM307</f>
        <v/>
      </c>
      <c r="AP13" s="1641">
        <f>'1_入力シート【基本情報】'!FN307</f>
        <v>0</v>
      </c>
    </row>
    <row r="14" spans="2:42" ht="12" customHeight="1">
      <c r="B14" s="3033" t="s">
        <v>961</v>
      </c>
      <c r="C14" s="3034"/>
      <c r="D14" s="2995"/>
      <c r="E14" s="3023" t="s">
        <v>37</v>
      </c>
      <c r="F14" s="3155"/>
      <c r="G14" s="3155"/>
      <c r="H14" s="3156"/>
      <c r="I14" s="3156"/>
      <c r="J14" s="3156"/>
      <c r="K14" s="3156"/>
      <c r="L14" s="3156"/>
      <c r="M14" s="3156"/>
      <c r="N14" s="3156"/>
      <c r="O14" s="3156"/>
      <c r="P14" s="3156"/>
      <c r="Q14" s="3156"/>
      <c r="R14" s="3156"/>
      <c r="S14" s="3156"/>
      <c r="T14" s="3156"/>
      <c r="U14" s="3242" t="s">
        <v>38</v>
      </c>
      <c r="V14" s="3243"/>
      <c r="W14" s="3243"/>
      <c r="X14" s="3243"/>
      <c r="Y14" s="3243"/>
      <c r="Z14" s="3243"/>
      <c r="AA14" s="3243"/>
      <c r="AB14" s="3243"/>
      <c r="AC14" s="3243"/>
      <c r="AD14" s="3243"/>
      <c r="AE14" s="3243"/>
      <c r="AF14" s="3243"/>
      <c r="AG14" s="3243"/>
      <c r="AH14" s="3243"/>
      <c r="AI14" s="3243"/>
      <c r="AJ14" s="3243"/>
      <c r="AK14" s="3244"/>
      <c r="AL14" s="1639"/>
      <c r="AM14" s="1640" t="str">
        <f>'1_入力シート【基本情報】'!FK308</f>
        <v/>
      </c>
      <c r="AN14" s="1640" t="str">
        <f>'1_入力シート【基本情報】'!FL308</f>
        <v/>
      </c>
      <c r="AO14" s="1640" t="str">
        <f>'1_入力シート【基本情報】'!FM308</f>
        <v/>
      </c>
      <c r="AP14" s="1641">
        <f>'1_入力シート【基本情報】'!FN308</f>
        <v>0</v>
      </c>
    </row>
    <row r="15" spans="2:42" ht="12" customHeight="1">
      <c r="B15" s="3033" t="s">
        <v>962</v>
      </c>
      <c r="C15" s="3034"/>
      <c r="D15" s="2995"/>
      <c r="E15" s="3149" t="s">
        <v>39</v>
      </c>
      <c r="F15" s="3150"/>
      <c r="G15" s="3150"/>
      <c r="H15" s="3150"/>
      <c r="I15" s="3150"/>
      <c r="J15" s="3150"/>
      <c r="K15" s="3150"/>
      <c r="L15" s="3150"/>
      <c r="M15" s="3150"/>
      <c r="N15" s="3150"/>
      <c r="O15" s="3150"/>
      <c r="P15" s="3150"/>
      <c r="Q15" s="3150"/>
      <c r="R15" s="3150"/>
      <c r="S15" s="3150"/>
      <c r="T15" s="3150"/>
      <c r="U15" s="3242" t="s">
        <v>40</v>
      </c>
      <c r="V15" s="3243"/>
      <c r="W15" s="3243"/>
      <c r="X15" s="3243"/>
      <c r="Y15" s="3243"/>
      <c r="Z15" s="3243"/>
      <c r="AA15" s="3243"/>
      <c r="AB15" s="3243"/>
      <c r="AC15" s="3243"/>
      <c r="AD15" s="3243"/>
      <c r="AE15" s="3243"/>
      <c r="AF15" s="3243"/>
      <c r="AG15" s="3243"/>
      <c r="AH15" s="3243"/>
      <c r="AI15" s="3243"/>
      <c r="AJ15" s="3243"/>
      <c r="AK15" s="3244"/>
      <c r="AL15" s="1639"/>
      <c r="AM15" s="1640" t="str">
        <f>'1_入力シート【基本情報】'!FK309</f>
        <v/>
      </c>
      <c r="AN15" s="1640" t="str">
        <f>'1_入力シート【基本情報】'!FL309</f>
        <v/>
      </c>
      <c r="AO15" s="1640" t="str">
        <f>'1_入力シート【基本情報】'!FM309</f>
        <v/>
      </c>
      <c r="AP15" s="1641">
        <f>'1_入力シート【基本情報】'!FN309</f>
        <v>0</v>
      </c>
    </row>
    <row r="16" spans="2:42" ht="12" customHeight="1">
      <c r="B16" s="3033" t="s">
        <v>963</v>
      </c>
      <c r="C16" s="3034"/>
      <c r="D16" s="2995"/>
      <c r="E16" s="3151"/>
      <c r="F16" s="3152"/>
      <c r="G16" s="3152"/>
      <c r="H16" s="3152"/>
      <c r="I16" s="3152"/>
      <c r="J16" s="3152"/>
      <c r="K16" s="3152"/>
      <c r="L16" s="3152"/>
      <c r="M16" s="3152"/>
      <c r="N16" s="3152"/>
      <c r="O16" s="3152"/>
      <c r="P16" s="3152"/>
      <c r="Q16" s="3152"/>
      <c r="R16" s="3152"/>
      <c r="S16" s="3152"/>
      <c r="T16" s="3152"/>
      <c r="U16" s="3242" t="s">
        <v>41</v>
      </c>
      <c r="V16" s="3243"/>
      <c r="W16" s="3243"/>
      <c r="X16" s="3243"/>
      <c r="Y16" s="3243"/>
      <c r="Z16" s="3243"/>
      <c r="AA16" s="3243"/>
      <c r="AB16" s="3243"/>
      <c r="AC16" s="3243"/>
      <c r="AD16" s="3243"/>
      <c r="AE16" s="3243"/>
      <c r="AF16" s="3243"/>
      <c r="AG16" s="3243"/>
      <c r="AH16" s="3243"/>
      <c r="AI16" s="3243"/>
      <c r="AJ16" s="3243"/>
      <c r="AK16" s="3244"/>
      <c r="AL16" s="1639"/>
      <c r="AM16" s="1640" t="str">
        <f>'1_入力シート【基本情報】'!FK310</f>
        <v/>
      </c>
      <c r="AN16" s="1640" t="str">
        <f>'1_入力シート【基本情報】'!FL310</f>
        <v/>
      </c>
      <c r="AO16" s="1640" t="str">
        <f>'1_入力シート【基本情報】'!FM310</f>
        <v/>
      </c>
      <c r="AP16" s="1641">
        <f>'1_入力シート【基本情報】'!FN310</f>
        <v>0</v>
      </c>
    </row>
    <row r="17" spans="2:42" ht="12" customHeight="1">
      <c r="B17" s="3033" t="s">
        <v>964</v>
      </c>
      <c r="C17" s="3034"/>
      <c r="D17" s="2995"/>
      <c r="E17" s="3153"/>
      <c r="F17" s="3154"/>
      <c r="G17" s="3154"/>
      <c r="H17" s="3154"/>
      <c r="I17" s="3154"/>
      <c r="J17" s="3154"/>
      <c r="K17" s="3154"/>
      <c r="L17" s="3154"/>
      <c r="M17" s="3154"/>
      <c r="N17" s="3154"/>
      <c r="O17" s="3154"/>
      <c r="P17" s="3154"/>
      <c r="Q17" s="3154"/>
      <c r="R17" s="3154"/>
      <c r="S17" s="3154"/>
      <c r="T17" s="3154"/>
      <c r="U17" s="3242" t="s">
        <v>42</v>
      </c>
      <c r="V17" s="3243"/>
      <c r="W17" s="3243"/>
      <c r="X17" s="3243"/>
      <c r="Y17" s="3243"/>
      <c r="Z17" s="3243"/>
      <c r="AA17" s="3243"/>
      <c r="AB17" s="3243"/>
      <c r="AC17" s="3243"/>
      <c r="AD17" s="3243"/>
      <c r="AE17" s="3243"/>
      <c r="AF17" s="3243"/>
      <c r="AG17" s="3243"/>
      <c r="AH17" s="3243"/>
      <c r="AI17" s="3243"/>
      <c r="AJ17" s="3243"/>
      <c r="AK17" s="3244"/>
      <c r="AL17" s="1639"/>
      <c r="AM17" s="1640" t="str">
        <f>'1_入力シート【基本情報】'!FK311</f>
        <v/>
      </c>
      <c r="AN17" s="1640" t="str">
        <f>'1_入力シート【基本情報】'!FL311</f>
        <v/>
      </c>
      <c r="AO17" s="1640" t="str">
        <f>'1_入力シート【基本情報】'!FM311</f>
        <v/>
      </c>
      <c r="AP17" s="1641">
        <f>'1_入力シート【基本情報】'!FN311</f>
        <v>0</v>
      </c>
    </row>
    <row r="18" spans="2:42" ht="21" customHeight="1">
      <c r="B18" s="3033" t="s">
        <v>43</v>
      </c>
      <c r="C18" s="3034"/>
      <c r="D18" s="2995"/>
      <c r="E18" s="3044" t="s">
        <v>44</v>
      </c>
      <c r="F18" s="3072"/>
      <c r="G18" s="3073"/>
      <c r="H18" s="2947"/>
      <c r="I18" s="2947"/>
      <c r="J18" s="2947"/>
      <c r="K18" s="2947"/>
      <c r="L18" s="2947"/>
      <c r="M18" s="2947"/>
      <c r="N18" s="2947"/>
      <c r="O18" s="2947"/>
      <c r="P18" s="2947"/>
      <c r="Q18" s="2947"/>
      <c r="R18" s="2947"/>
      <c r="S18" s="2947"/>
      <c r="T18" s="2947"/>
      <c r="U18" s="3245" t="s">
        <v>965</v>
      </c>
      <c r="V18" s="3246"/>
      <c r="W18" s="3246"/>
      <c r="X18" s="3246"/>
      <c r="Y18" s="3246"/>
      <c r="Z18" s="3246"/>
      <c r="AA18" s="3246"/>
      <c r="AB18" s="3246"/>
      <c r="AC18" s="3246"/>
      <c r="AD18" s="3246"/>
      <c r="AE18" s="3246"/>
      <c r="AF18" s="3246"/>
      <c r="AG18" s="3246"/>
      <c r="AH18" s="3246"/>
      <c r="AI18" s="3246"/>
      <c r="AJ18" s="3246"/>
      <c r="AK18" s="3247"/>
      <c r="AL18" s="1639"/>
      <c r="AM18" s="1640" t="str">
        <f>'1_入力シート【基本情報】'!FK312</f>
        <v/>
      </c>
      <c r="AN18" s="1640" t="str">
        <f>'1_入力シート【基本情報】'!FL312</f>
        <v/>
      </c>
      <c r="AO18" s="1640" t="str">
        <f>'1_入力シート【基本情報】'!FM312</f>
        <v/>
      </c>
      <c r="AP18" s="1641">
        <f>'1_入力シート【基本情報】'!FN312</f>
        <v>0</v>
      </c>
    </row>
    <row r="19" spans="2:42" ht="21" customHeight="1">
      <c r="B19" s="3033" t="s">
        <v>966</v>
      </c>
      <c r="C19" s="3034"/>
      <c r="D19" s="2995"/>
      <c r="E19" s="3074"/>
      <c r="F19" s="3075"/>
      <c r="G19" s="3076"/>
      <c r="H19" s="2953"/>
      <c r="I19" s="2953"/>
      <c r="J19" s="2953"/>
      <c r="K19" s="2953"/>
      <c r="L19" s="2953"/>
      <c r="M19" s="2953"/>
      <c r="N19" s="2953"/>
      <c r="O19" s="2953"/>
      <c r="P19" s="2953"/>
      <c r="Q19" s="2953"/>
      <c r="R19" s="2953"/>
      <c r="S19" s="2953"/>
      <c r="T19" s="2953"/>
      <c r="U19" s="3245" t="s">
        <v>45</v>
      </c>
      <c r="V19" s="3246"/>
      <c r="W19" s="3246"/>
      <c r="X19" s="3246"/>
      <c r="Y19" s="3246"/>
      <c r="Z19" s="3246"/>
      <c r="AA19" s="3246"/>
      <c r="AB19" s="3246"/>
      <c r="AC19" s="3246"/>
      <c r="AD19" s="3246"/>
      <c r="AE19" s="3246"/>
      <c r="AF19" s="3246"/>
      <c r="AG19" s="3246"/>
      <c r="AH19" s="3246"/>
      <c r="AI19" s="3246"/>
      <c r="AJ19" s="3246"/>
      <c r="AK19" s="3247"/>
      <c r="AL19" s="1639"/>
      <c r="AM19" s="1640" t="str">
        <f>'1_入力シート【基本情報】'!FK313</f>
        <v/>
      </c>
      <c r="AN19" s="1640" t="str">
        <f>'1_入力シート【基本情報】'!FL313</f>
        <v/>
      </c>
      <c r="AO19" s="1640" t="str">
        <f>'1_入力シート【基本情報】'!FM313</f>
        <v/>
      </c>
      <c r="AP19" s="1641">
        <f>'1_入力シート【基本情報】'!FN313</f>
        <v>0</v>
      </c>
    </row>
    <row r="20" spans="2:42" ht="12" customHeight="1">
      <c r="B20" s="3033" t="s">
        <v>967</v>
      </c>
      <c r="C20" s="3034"/>
      <c r="D20" s="2995"/>
      <c r="E20" s="3149" t="s">
        <v>1331</v>
      </c>
      <c r="F20" s="3150"/>
      <c r="G20" s="3150"/>
      <c r="H20" s="3150"/>
      <c r="I20" s="3150"/>
      <c r="J20" s="3150"/>
      <c r="K20" s="3150"/>
      <c r="L20" s="3150"/>
      <c r="M20" s="3150"/>
      <c r="N20" s="3150"/>
      <c r="O20" s="3150"/>
      <c r="P20" s="3150"/>
      <c r="Q20" s="3150"/>
      <c r="R20" s="3150"/>
      <c r="S20" s="3150"/>
      <c r="T20" s="3150"/>
      <c r="U20" s="3242" t="s">
        <v>47</v>
      </c>
      <c r="V20" s="3243"/>
      <c r="W20" s="3243"/>
      <c r="X20" s="3243"/>
      <c r="Y20" s="3243"/>
      <c r="Z20" s="3243"/>
      <c r="AA20" s="3243"/>
      <c r="AB20" s="3243"/>
      <c r="AC20" s="3243"/>
      <c r="AD20" s="3243"/>
      <c r="AE20" s="3243"/>
      <c r="AF20" s="3243"/>
      <c r="AG20" s="3243"/>
      <c r="AH20" s="3243"/>
      <c r="AI20" s="3243"/>
      <c r="AJ20" s="3243"/>
      <c r="AK20" s="3244"/>
      <c r="AL20" s="1639"/>
      <c r="AM20" s="1640" t="str">
        <f>'1_入力シート【基本情報】'!FK314</f>
        <v/>
      </c>
      <c r="AN20" s="1640" t="str">
        <f>'1_入力シート【基本情報】'!FL314</f>
        <v/>
      </c>
      <c r="AO20" s="1640" t="str">
        <f>'1_入力シート【基本情報】'!FM314</f>
        <v/>
      </c>
      <c r="AP20" s="1641">
        <f>'1_入力シート【基本情報】'!FN314</f>
        <v>0</v>
      </c>
    </row>
    <row r="21" spans="2:42" ht="11.25" customHeight="1" thickBot="1">
      <c r="B21" s="3186" t="s">
        <v>968</v>
      </c>
      <c r="C21" s="3187"/>
      <c r="D21" s="3037"/>
      <c r="E21" s="3199"/>
      <c r="F21" s="3200"/>
      <c r="G21" s="3200"/>
      <c r="H21" s="3200"/>
      <c r="I21" s="3200"/>
      <c r="J21" s="3200"/>
      <c r="K21" s="3200"/>
      <c r="L21" s="3200"/>
      <c r="M21" s="3200"/>
      <c r="N21" s="3200"/>
      <c r="O21" s="3200"/>
      <c r="P21" s="3200"/>
      <c r="Q21" s="3200"/>
      <c r="R21" s="3200"/>
      <c r="S21" s="3200"/>
      <c r="T21" s="3200"/>
      <c r="U21" s="3248" t="s">
        <v>48</v>
      </c>
      <c r="V21" s="3249"/>
      <c r="W21" s="3249"/>
      <c r="X21" s="3249"/>
      <c r="Y21" s="3249"/>
      <c r="Z21" s="3249"/>
      <c r="AA21" s="3249"/>
      <c r="AB21" s="3249"/>
      <c r="AC21" s="3249"/>
      <c r="AD21" s="3249"/>
      <c r="AE21" s="3249"/>
      <c r="AF21" s="3249"/>
      <c r="AG21" s="3249"/>
      <c r="AH21" s="3249"/>
      <c r="AI21" s="3249"/>
      <c r="AJ21" s="3249"/>
      <c r="AK21" s="3250"/>
      <c r="AL21" s="1642"/>
      <c r="AM21" s="1643" t="str">
        <f>'1_入力シート【基本情報】'!FK315</f>
        <v/>
      </c>
      <c r="AN21" s="1643" t="str">
        <f>'1_入力シート【基本情報】'!FL315</f>
        <v/>
      </c>
      <c r="AO21" s="1643" t="str">
        <f>'1_入力シート【基本情報】'!FM315</f>
        <v/>
      </c>
      <c r="AP21" s="1644">
        <f>'1_入力シート【基本情報】'!FN315</f>
        <v>0</v>
      </c>
    </row>
    <row r="22" spans="2:42" ht="12" customHeight="1">
      <c r="B22" s="3030">
        <v>2</v>
      </c>
      <c r="C22" s="3031"/>
      <c r="D22" s="3032"/>
      <c r="E22" s="3068" t="s">
        <v>49</v>
      </c>
      <c r="F22" s="3069"/>
      <c r="G22" s="3069"/>
      <c r="H22" s="3069"/>
      <c r="I22" s="3069"/>
      <c r="J22" s="3069"/>
      <c r="K22" s="3069"/>
      <c r="L22" s="3069"/>
      <c r="M22" s="3069"/>
      <c r="N22" s="3069"/>
      <c r="O22" s="3069"/>
      <c r="P22" s="3069"/>
      <c r="Q22" s="3069"/>
      <c r="R22" s="3069"/>
      <c r="S22" s="3069"/>
      <c r="T22" s="3069"/>
      <c r="U22" s="3069"/>
      <c r="V22" s="3069"/>
      <c r="W22" s="3069"/>
      <c r="X22" s="3069"/>
      <c r="Y22" s="3069"/>
      <c r="Z22" s="3069"/>
      <c r="AA22" s="3069"/>
      <c r="AB22" s="3069"/>
      <c r="AC22" s="3069"/>
      <c r="AD22" s="3069"/>
      <c r="AE22" s="3069"/>
      <c r="AF22" s="3069"/>
      <c r="AG22" s="3069"/>
      <c r="AH22" s="3069"/>
      <c r="AI22" s="3069"/>
      <c r="AJ22" s="3069"/>
      <c r="AK22" s="3069"/>
      <c r="AL22" s="3069"/>
      <c r="AM22" s="3069"/>
      <c r="AN22" s="3069"/>
      <c r="AO22" s="3069"/>
      <c r="AP22" s="3070"/>
    </row>
    <row r="23" spans="2:42" ht="12" customHeight="1">
      <c r="B23" s="3033" t="s">
        <v>35</v>
      </c>
      <c r="C23" s="3034"/>
      <c r="D23" s="2995"/>
      <c r="E23" s="3044" t="s">
        <v>50</v>
      </c>
      <c r="F23" s="3072"/>
      <c r="G23" s="3053"/>
      <c r="H23" s="3054"/>
      <c r="I23" s="3054"/>
      <c r="J23" s="3054"/>
      <c r="K23" s="3054"/>
      <c r="L23" s="3054"/>
      <c r="M23" s="3054"/>
      <c r="N23" s="3054"/>
      <c r="O23" s="3054"/>
      <c r="P23" s="3054"/>
      <c r="Q23" s="3054"/>
      <c r="R23" s="3054"/>
      <c r="S23" s="3054"/>
      <c r="T23" s="3054"/>
      <c r="U23" s="3023" t="s">
        <v>51</v>
      </c>
      <c r="V23" s="3019"/>
      <c r="W23" s="3024"/>
      <c r="X23" s="3024"/>
      <c r="Y23" s="3024"/>
      <c r="Z23" s="3024"/>
      <c r="AA23" s="3024"/>
      <c r="AB23" s="3024"/>
      <c r="AC23" s="3024"/>
      <c r="AD23" s="3024"/>
      <c r="AE23" s="3024"/>
      <c r="AF23" s="3024"/>
      <c r="AG23" s="3024"/>
      <c r="AH23" s="3024"/>
      <c r="AI23" s="3024"/>
      <c r="AJ23" s="3024"/>
      <c r="AK23" s="3025"/>
      <c r="AL23" s="1639"/>
      <c r="AM23" s="1640" t="str">
        <f>'1_入力シート【基本情報】'!FK325</f>
        <v/>
      </c>
      <c r="AN23" s="1640" t="str">
        <f>'1_入力シート【基本情報】'!FL325</f>
        <v/>
      </c>
      <c r="AO23" s="1640" t="str">
        <f>'1_入力シート【基本情報】'!FM325</f>
        <v/>
      </c>
      <c r="AP23" s="1641">
        <f>'1_入力シート【基本情報】'!FN325</f>
        <v>0</v>
      </c>
    </row>
    <row r="24" spans="2:42" ht="12" customHeight="1">
      <c r="B24" s="3033" t="s">
        <v>961</v>
      </c>
      <c r="C24" s="3034"/>
      <c r="D24" s="2995"/>
      <c r="E24" s="3074"/>
      <c r="F24" s="3075"/>
      <c r="G24" s="3018"/>
      <c r="H24" s="3100"/>
      <c r="I24" s="3100"/>
      <c r="J24" s="3100"/>
      <c r="K24" s="3100"/>
      <c r="L24" s="3100"/>
      <c r="M24" s="3100"/>
      <c r="N24" s="3100"/>
      <c r="O24" s="3100"/>
      <c r="P24" s="3100"/>
      <c r="Q24" s="3100"/>
      <c r="R24" s="3100"/>
      <c r="S24" s="3100"/>
      <c r="T24" s="3100"/>
      <c r="U24" s="3023" t="s">
        <v>52</v>
      </c>
      <c r="V24" s="3019"/>
      <c r="W24" s="3024"/>
      <c r="X24" s="3024"/>
      <c r="Y24" s="3024"/>
      <c r="Z24" s="3024"/>
      <c r="AA24" s="3024"/>
      <c r="AB24" s="3024"/>
      <c r="AC24" s="3024"/>
      <c r="AD24" s="3024"/>
      <c r="AE24" s="3024"/>
      <c r="AF24" s="3024"/>
      <c r="AG24" s="3024"/>
      <c r="AH24" s="3024"/>
      <c r="AI24" s="3024"/>
      <c r="AJ24" s="3024"/>
      <c r="AK24" s="3025"/>
      <c r="AL24" s="1639"/>
      <c r="AM24" s="1640" t="str">
        <f>'1_入力シート【基本情報】'!FK326</f>
        <v/>
      </c>
      <c r="AN24" s="1640" t="str">
        <f>'1_入力シート【基本情報】'!FL326</f>
        <v/>
      </c>
      <c r="AO24" s="1640" t="str">
        <f>'1_入力シート【基本情報】'!FM326</f>
        <v/>
      </c>
      <c r="AP24" s="1641">
        <f>'1_入力シート【基本情報】'!FN326</f>
        <v>0</v>
      </c>
    </row>
    <row r="25" spans="2:42" ht="12" customHeight="1">
      <c r="B25" s="3033" t="s">
        <v>962</v>
      </c>
      <c r="C25" s="3034"/>
      <c r="D25" s="2995"/>
      <c r="E25" s="3071" t="s">
        <v>174</v>
      </c>
      <c r="F25" s="3072"/>
      <c r="G25" s="3053"/>
      <c r="H25" s="3054"/>
      <c r="I25" s="3054"/>
      <c r="J25" s="3054"/>
      <c r="K25" s="3054"/>
      <c r="L25" s="3054"/>
      <c r="M25" s="3054"/>
      <c r="N25" s="3054"/>
      <c r="O25" s="3054"/>
      <c r="P25" s="3054"/>
      <c r="Q25" s="3054"/>
      <c r="R25" s="3054"/>
      <c r="S25" s="3054"/>
      <c r="T25" s="3054"/>
      <c r="U25" s="3023" t="s">
        <v>53</v>
      </c>
      <c r="V25" s="3019"/>
      <c r="W25" s="3024"/>
      <c r="X25" s="3024"/>
      <c r="Y25" s="3024"/>
      <c r="Z25" s="3024"/>
      <c r="AA25" s="3024"/>
      <c r="AB25" s="3024"/>
      <c r="AC25" s="3024"/>
      <c r="AD25" s="3024"/>
      <c r="AE25" s="3024"/>
      <c r="AF25" s="3024"/>
      <c r="AG25" s="3024"/>
      <c r="AH25" s="3024"/>
      <c r="AI25" s="3024"/>
      <c r="AJ25" s="3024"/>
      <c r="AK25" s="3025"/>
      <c r="AL25" s="1639"/>
      <c r="AM25" s="1640" t="str">
        <f>'1_入力シート【基本情報】'!FK327</f>
        <v/>
      </c>
      <c r="AN25" s="1640" t="str">
        <f>'1_入力シート【基本情報】'!FL327</f>
        <v/>
      </c>
      <c r="AO25" s="1640" t="str">
        <f>'1_入力シート【基本情報】'!FM327</f>
        <v/>
      </c>
      <c r="AP25" s="1641">
        <f>'1_入力シート【基本情報】'!FN327</f>
        <v>0</v>
      </c>
    </row>
    <row r="26" spans="2:42" ht="12" customHeight="1">
      <c r="B26" s="3033" t="s">
        <v>963</v>
      </c>
      <c r="C26" s="3034"/>
      <c r="D26" s="2995"/>
      <c r="E26" s="3074"/>
      <c r="F26" s="3075"/>
      <c r="G26" s="3018"/>
      <c r="H26" s="3100"/>
      <c r="I26" s="3100"/>
      <c r="J26" s="3100"/>
      <c r="K26" s="3100"/>
      <c r="L26" s="3100"/>
      <c r="M26" s="3100"/>
      <c r="N26" s="3100"/>
      <c r="O26" s="3100"/>
      <c r="P26" s="3100"/>
      <c r="Q26" s="3100"/>
      <c r="R26" s="3100"/>
      <c r="S26" s="3100"/>
      <c r="T26" s="3100"/>
      <c r="U26" s="3023" t="s">
        <v>54</v>
      </c>
      <c r="V26" s="3019"/>
      <c r="W26" s="3024"/>
      <c r="X26" s="3024"/>
      <c r="Y26" s="3024"/>
      <c r="Z26" s="3024"/>
      <c r="AA26" s="3024"/>
      <c r="AB26" s="3024"/>
      <c r="AC26" s="3024"/>
      <c r="AD26" s="3024"/>
      <c r="AE26" s="3024"/>
      <c r="AF26" s="3024"/>
      <c r="AG26" s="3024"/>
      <c r="AH26" s="3024"/>
      <c r="AI26" s="3024"/>
      <c r="AJ26" s="3024"/>
      <c r="AK26" s="3025"/>
      <c r="AL26" s="1639"/>
      <c r="AM26" s="1640" t="str">
        <f>'1_入力シート【基本情報】'!FK328</f>
        <v/>
      </c>
      <c r="AN26" s="1640" t="str">
        <f>'1_入力シート【基本情報】'!FL328</f>
        <v/>
      </c>
      <c r="AO26" s="1640" t="str">
        <f>'1_入力シート【基本情報】'!FM328</f>
        <v/>
      </c>
      <c r="AP26" s="1641">
        <f>'1_入力シート【基本情報】'!FN328</f>
        <v>0</v>
      </c>
    </row>
    <row r="27" spans="2:42" ht="21" customHeight="1">
      <c r="B27" s="3033" t="s">
        <v>964</v>
      </c>
      <c r="C27" s="3034"/>
      <c r="D27" s="2995"/>
      <c r="E27" s="3117" t="s">
        <v>168</v>
      </c>
      <c r="F27" s="3170"/>
      <c r="G27" s="3044" t="s">
        <v>55</v>
      </c>
      <c r="H27" s="3053"/>
      <c r="I27" s="3054"/>
      <c r="J27" s="3054"/>
      <c r="K27" s="3054"/>
      <c r="L27" s="3054"/>
      <c r="M27" s="3054"/>
      <c r="N27" s="3054"/>
      <c r="O27" s="3054"/>
      <c r="P27" s="3054"/>
      <c r="Q27" s="3054"/>
      <c r="R27" s="3054"/>
      <c r="S27" s="3054"/>
      <c r="T27" s="3055"/>
      <c r="U27" s="3023" t="s">
        <v>56</v>
      </c>
      <c r="V27" s="3019"/>
      <c r="W27" s="3024"/>
      <c r="X27" s="3024"/>
      <c r="Y27" s="3024"/>
      <c r="Z27" s="3024"/>
      <c r="AA27" s="3024"/>
      <c r="AB27" s="3024"/>
      <c r="AC27" s="3024"/>
      <c r="AD27" s="3024"/>
      <c r="AE27" s="3024"/>
      <c r="AF27" s="3024"/>
      <c r="AG27" s="3024"/>
      <c r="AH27" s="3024"/>
      <c r="AI27" s="3024"/>
      <c r="AJ27" s="3024"/>
      <c r="AK27" s="3025"/>
      <c r="AL27" s="1639"/>
      <c r="AM27" s="1640" t="str">
        <f>'1_入力シート【基本情報】'!FK329</f>
        <v/>
      </c>
      <c r="AN27" s="1640" t="str">
        <f>'1_入力シート【基本情報】'!FL329</f>
        <v/>
      </c>
      <c r="AO27" s="1640" t="str">
        <f>'1_入力シート【基本情報】'!FM329</f>
        <v/>
      </c>
      <c r="AP27" s="1641">
        <f>'1_入力シート【基本情報】'!FN329</f>
        <v>0</v>
      </c>
    </row>
    <row r="28" spans="2:42" ht="12" customHeight="1">
      <c r="B28" s="3033" t="s">
        <v>43</v>
      </c>
      <c r="C28" s="3034"/>
      <c r="D28" s="2995"/>
      <c r="E28" s="3171"/>
      <c r="F28" s="3172"/>
      <c r="G28" s="3056"/>
      <c r="H28" s="3057"/>
      <c r="I28" s="3058"/>
      <c r="J28" s="3058"/>
      <c r="K28" s="3058"/>
      <c r="L28" s="3058"/>
      <c r="M28" s="3058"/>
      <c r="N28" s="3058"/>
      <c r="O28" s="3058"/>
      <c r="P28" s="3058"/>
      <c r="Q28" s="3058"/>
      <c r="R28" s="3058"/>
      <c r="S28" s="3058"/>
      <c r="T28" s="3059"/>
      <c r="U28" s="3023" t="s">
        <v>57</v>
      </c>
      <c r="V28" s="3019"/>
      <c r="W28" s="3024"/>
      <c r="X28" s="3024"/>
      <c r="Y28" s="3024"/>
      <c r="Z28" s="3024"/>
      <c r="AA28" s="3024"/>
      <c r="AB28" s="3024"/>
      <c r="AC28" s="3024"/>
      <c r="AD28" s="3024"/>
      <c r="AE28" s="3024"/>
      <c r="AF28" s="3024"/>
      <c r="AG28" s="3024"/>
      <c r="AH28" s="3024"/>
      <c r="AI28" s="3024"/>
      <c r="AJ28" s="3024"/>
      <c r="AK28" s="3025"/>
      <c r="AL28" s="1639"/>
      <c r="AM28" s="1640" t="str">
        <f>'1_入力シート【基本情報】'!FK330</f>
        <v/>
      </c>
      <c r="AN28" s="1640" t="str">
        <f>'1_入力シート【基本情報】'!FL330</f>
        <v/>
      </c>
      <c r="AO28" s="1640" t="str">
        <f>'1_入力シート【基本情報】'!FM330</f>
        <v/>
      </c>
      <c r="AP28" s="1641">
        <f>'1_入力シート【基本情報】'!FN330</f>
        <v>0</v>
      </c>
    </row>
    <row r="29" spans="2:42" ht="11.25" customHeight="1">
      <c r="B29" s="3033" t="s">
        <v>966</v>
      </c>
      <c r="C29" s="3034"/>
      <c r="D29" s="2995"/>
      <c r="E29" s="3171"/>
      <c r="F29" s="3172"/>
      <c r="G29" s="3056"/>
      <c r="H29" s="3057"/>
      <c r="I29" s="3058"/>
      <c r="J29" s="3058"/>
      <c r="K29" s="3058"/>
      <c r="L29" s="3058"/>
      <c r="M29" s="3058"/>
      <c r="N29" s="3058"/>
      <c r="O29" s="3058"/>
      <c r="P29" s="3058"/>
      <c r="Q29" s="3058"/>
      <c r="R29" s="3058"/>
      <c r="S29" s="3058"/>
      <c r="T29" s="3059"/>
      <c r="U29" s="3023" t="s">
        <v>58</v>
      </c>
      <c r="V29" s="3019"/>
      <c r="W29" s="3024"/>
      <c r="X29" s="3024"/>
      <c r="Y29" s="3024"/>
      <c r="Z29" s="3024"/>
      <c r="AA29" s="3024"/>
      <c r="AB29" s="3024"/>
      <c r="AC29" s="3024"/>
      <c r="AD29" s="3024"/>
      <c r="AE29" s="3024"/>
      <c r="AF29" s="3024"/>
      <c r="AG29" s="3024"/>
      <c r="AH29" s="3024"/>
      <c r="AI29" s="3024"/>
      <c r="AJ29" s="3024"/>
      <c r="AK29" s="3025"/>
      <c r="AL29" s="1639"/>
      <c r="AM29" s="1640" t="str">
        <f>'1_入力シート【基本情報】'!FK331</f>
        <v/>
      </c>
      <c r="AN29" s="1640" t="str">
        <f>'1_入力シート【基本情報】'!FL331</f>
        <v/>
      </c>
      <c r="AO29" s="1640" t="str">
        <f>'1_入力シート【基本情報】'!FM331</f>
        <v/>
      </c>
      <c r="AP29" s="1641">
        <f>'1_入力シート【基本情報】'!FN331</f>
        <v>0</v>
      </c>
    </row>
    <row r="30" spans="2:42" ht="21" customHeight="1">
      <c r="B30" s="3033" t="s">
        <v>967</v>
      </c>
      <c r="C30" s="3034"/>
      <c r="D30" s="2995"/>
      <c r="E30" s="3173"/>
      <c r="F30" s="3172"/>
      <c r="G30" s="3056"/>
      <c r="H30" s="3057"/>
      <c r="I30" s="3058"/>
      <c r="J30" s="3058"/>
      <c r="K30" s="3058"/>
      <c r="L30" s="3058"/>
      <c r="M30" s="3058"/>
      <c r="N30" s="3058"/>
      <c r="O30" s="3058"/>
      <c r="P30" s="3058"/>
      <c r="Q30" s="3058"/>
      <c r="R30" s="3058"/>
      <c r="S30" s="3058"/>
      <c r="T30" s="3059"/>
      <c r="U30" s="3023" t="s">
        <v>59</v>
      </c>
      <c r="V30" s="3019"/>
      <c r="W30" s="3024"/>
      <c r="X30" s="3024"/>
      <c r="Y30" s="3024"/>
      <c r="Z30" s="3024"/>
      <c r="AA30" s="3024"/>
      <c r="AB30" s="3024"/>
      <c r="AC30" s="3024"/>
      <c r="AD30" s="3024"/>
      <c r="AE30" s="3024"/>
      <c r="AF30" s="3024"/>
      <c r="AG30" s="3024"/>
      <c r="AH30" s="3024"/>
      <c r="AI30" s="3024"/>
      <c r="AJ30" s="3024"/>
      <c r="AK30" s="3025"/>
      <c r="AL30" s="1639"/>
      <c r="AM30" s="1640" t="str">
        <f>'1_入力シート【基本情報】'!FK332</f>
        <v/>
      </c>
      <c r="AN30" s="1640" t="str">
        <f>'1_入力シート【基本情報】'!FL332</f>
        <v/>
      </c>
      <c r="AO30" s="1640" t="str">
        <f>'1_入力シート【基本情報】'!FM332</f>
        <v/>
      </c>
      <c r="AP30" s="1641">
        <f>'1_入力シート【基本情報】'!FN332</f>
        <v>0</v>
      </c>
    </row>
    <row r="31" spans="2:42" ht="11.25" customHeight="1">
      <c r="B31" s="3033" t="s">
        <v>968</v>
      </c>
      <c r="C31" s="3034"/>
      <c r="D31" s="2995"/>
      <c r="E31" s="3173"/>
      <c r="F31" s="3172"/>
      <c r="G31" s="3056"/>
      <c r="H31" s="3057"/>
      <c r="I31" s="3058"/>
      <c r="J31" s="3058"/>
      <c r="K31" s="3058"/>
      <c r="L31" s="3058"/>
      <c r="M31" s="3058"/>
      <c r="N31" s="3058"/>
      <c r="O31" s="3058"/>
      <c r="P31" s="3058"/>
      <c r="Q31" s="3058"/>
      <c r="R31" s="3058"/>
      <c r="S31" s="3058"/>
      <c r="T31" s="3059"/>
      <c r="U31" s="3023" t="s">
        <v>60</v>
      </c>
      <c r="V31" s="3019"/>
      <c r="W31" s="3024"/>
      <c r="X31" s="3024"/>
      <c r="Y31" s="3024"/>
      <c r="Z31" s="3024"/>
      <c r="AA31" s="3024"/>
      <c r="AB31" s="3024"/>
      <c r="AC31" s="3024"/>
      <c r="AD31" s="3024"/>
      <c r="AE31" s="3024"/>
      <c r="AF31" s="3024"/>
      <c r="AG31" s="3024"/>
      <c r="AH31" s="3024"/>
      <c r="AI31" s="3024"/>
      <c r="AJ31" s="3024"/>
      <c r="AK31" s="3025"/>
      <c r="AL31" s="1639"/>
      <c r="AM31" s="1640" t="str">
        <f>'1_入力シート【基本情報】'!FK333</f>
        <v/>
      </c>
      <c r="AN31" s="1640" t="str">
        <f>'1_入力シート【基本情報】'!FL333</f>
        <v/>
      </c>
      <c r="AO31" s="1640" t="str">
        <f>'1_入力シート【基本情報】'!FM333</f>
        <v/>
      </c>
      <c r="AP31" s="1641">
        <f>'1_入力シート【基本情報】'!FN333</f>
        <v>0</v>
      </c>
    </row>
    <row r="32" spans="2:42" ht="21" customHeight="1">
      <c r="B32" s="3033" t="s">
        <v>969</v>
      </c>
      <c r="C32" s="3034"/>
      <c r="D32" s="2995"/>
      <c r="E32" s="3173"/>
      <c r="F32" s="3172"/>
      <c r="G32" s="3099"/>
      <c r="H32" s="3018"/>
      <c r="I32" s="3100"/>
      <c r="J32" s="3100"/>
      <c r="K32" s="3100"/>
      <c r="L32" s="3100"/>
      <c r="M32" s="3100"/>
      <c r="N32" s="3100"/>
      <c r="O32" s="3100"/>
      <c r="P32" s="3100"/>
      <c r="Q32" s="3100"/>
      <c r="R32" s="3100"/>
      <c r="S32" s="3100"/>
      <c r="T32" s="3101"/>
      <c r="U32" s="3023" t="s">
        <v>61</v>
      </c>
      <c r="V32" s="3019"/>
      <c r="W32" s="3024"/>
      <c r="X32" s="3024"/>
      <c r="Y32" s="3024"/>
      <c r="Z32" s="3024"/>
      <c r="AA32" s="3024"/>
      <c r="AB32" s="3024"/>
      <c r="AC32" s="3024"/>
      <c r="AD32" s="3024"/>
      <c r="AE32" s="3024"/>
      <c r="AF32" s="3024"/>
      <c r="AG32" s="3024"/>
      <c r="AH32" s="3024"/>
      <c r="AI32" s="3024"/>
      <c r="AJ32" s="3024"/>
      <c r="AK32" s="3025"/>
      <c r="AL32" s="1639"/>
      <c r="AM32" s="1640" t="str">
        <f>'1_入力シート【基本情報】'!FK334</f>
        <v/>
      </c>
      <c r="AN32" s="1640" t="str">
        <f>'1_入力シート【基本情報】'!FL334</f>
        <v/>
      </c>
      <c r="AO32" s="1640" t="str">
        <f>'1_入力シート【基本情報】'!FM334</f>
        <v/>
      </c>
      <c r="AP32" s="1641">
        <f>'1_入力シート【基本情報】'!FN334</f>
        <v>0</v>
      </c>
    </row>
    <row r="33" spans="2:42" ht="21.75" customHeight="1">
      <c r="B33" s="3033" t="s">
        <v>970</v>
      </c>
      <c r="C33" s="3034"/>
      <c r="D33" s="2995"/>
      <c r="E33" s="3173"/>
      <c r="F33" s="3172"/>
      <c r="G33" s="3044" t="s">
        <v>62</v>
      </c>
      <c r="H33" s="3053"/>
      <c r="I33" s="3054"/>
      <c r="J33" s="3054"/>
      <c r="K33" s="3054"/>
      <c r="L33" s="3054"/>
      <c r="M33" s="3054"/>
      <c r="N33" s="3054"/>
      <c r="O33" s="3054"/>
      <c r="P33" s="3054"/>
      <c r="Q33" s="3054"/>
      <c r="R33" s="3054"/>
      <c r="S33" s="3054"/>
      <c r="T33" s="3055"/>
      <c r="U33" s="3023" t="s">
        <v>221</v>
      </c>
      <c r="V33" s="3019"/>
      <c r="W33" s="3024"/>
      <c r="X33" s="3024"/>
      <c r="Y33" s="3024"/>
      <c r="Z33" s="3024"/>
      <c r="AA33" s="3024"/>
      <c r="AB33" s="3024"/>
      <c r="AC33" s="3024"/>
      <c r="AD33" s="3024"/>
      <c r="AE33" s="3024"/>
      <c r="AF33" s="3024"/>
      <c r="AG33" s="3024"/>
      <c r="AH33" s="3024"/>
      <c r="AI33" s="3024"/>
      <c r="AJ33" s="3024"/>
      <c r="AK33" s="3025"/>
      <c r="AL33" s="1639"/>
      <c r="AM33" s="1640" t="str">
        <f>'1_入力シート【基本情報】'!FK335</f>
        <v/>
      </c>
      <c r="AN33" s="1640" t="str">
        <f>'1_入力シート【基本情報】'!FL335</f>
        <v/>
      </c>
      <c r="AO33" s="1640" t="str">
        <f>'1_入力シート【基本情報】'!FM335</f>
        <v/>
      </c>
      <c r="AP33" s="1641">
        <f>'1_入力シート【基本情報】'!FN335</f>
        <v>0</v>
      </c>
    </row>
    <row r="34" spans="2:42" ht="21" customHeight="1">
      <c r="B34" s="3033" t="s">
        <v>971</v>
      </c>
      <c r="C34" s="3034"/>
      <c r="D34" s="2995"/>
      <c r="E34" s="3173"/>
      <c r="F34" s="3172"/>
      <c r="G34" s="3056"/>
      <c r="H34" s="3057"/>
      <c r="I34" s="3058"/>
      <c r="J34" s="3058"/>
      <c r="K34" s="3058"/>
      <c r="L34" s="3058"/>
      <c r="M34" s="3058"/>
      <c r="N34" s="3058"/>
      <c r="O34" s="3058"/>
      <c r="P34" s="3058"/>
      <c r="Q34" s="3058"/>
      <c r="R34" s="3058"/>
      <c r="S34" s="3058"/>
      <c r="T34" s="3059"/>
      <c r="U34" s="3023" t="s">
        <v>63</v>
      </c>
      <c r="V34" s="3019"/>
      <c r="W34" s="3024"/>
      <c r="X34" s="3024"/>
      <c r="Y34" s="3024"/>
      <c r="Z34" s="3024"/>
      <c r="AA34" s="3024"/>
      <c r="AB34" s="3024"/>
      <c r="AC34" s="3024"/>
      <c r="AD34" s="3024"/>
      <c r="AE34" s="3024"/>
      <c r="AF34" s="3024"/>
      <c r="AG34" s="3024"/>
      <c r="AH34" s="3024"/>
      <c r="AI34" s="3024"/>
      <c r="AJ34" s="3024"/>
      <c r="AK34" s="3025"/>
      <c r="AL34" s="1639"/>
      <c r="AM34" s="1640" t="str">
        <f>'1_入力シート【基本情報】'!FK336</f>
        <v/>
      </c>
      <c r="AN34" s="1640" t="str">
        <f>'1_入力シート【基本情報】'!FL336</f>
        <v/>
      </c>
      <c r="AO34" s="1640" t="str">
        <f>'1_入力シート【基本情報】'!FM336</f>
        <v/>
      </c>
      <c r="AP34" s="1641">
        <f>'1_入力シート【基本情報】'!FN336</f>
        <v>0</v>
      </c>
    </row>
    <row r="35" spans="2:42" ht="11.25" customHeight="1">
      <c r="B35" s="3033" t="s">
        <v>972</v>
      </c>
      <c r="C35" s="3034"/>
      <c r="D35" s="2995"/>
      <c r="E35" s="3173"/>
      <c r="F35" s="3172"/>
      <c r="G35" s="3056"/>
      <c r="H35" s="3057"/>
      <c r="I35" s="3058"/>
      <c r="J35" s="3058"/>
      <c r="K35" s="3058"/>
      <c r="L35" s="3058"/>
      <c r="M35" s="3058"/>
      <c r="N35" s="3058"/>
      <c r="O35" s="3058"/>
      <c r="P35" s="3058"/>
      <c r="Q35" s="3058"/>
      <c r="R35" s="3058"/>
      <c r="S35" s="3058"/>
      <c r="T35" s="3059"/>
      <c r="U35" s="3023" t="s">
        <v>64</v>
      </c>
      <c r="V35" s="3019"/>
      <c r="W35" s="3024"/>
      <c r="X35" s="3024"/>
      <c r="Y35" s="3024"/>
      <c r="Z35" s="3024"/>
      <c r="AA35" s="3024"/>
      <c r="AB35" s="3024"/>
      <c r="AC35" s="3024"/>
      <c r="AD35" s="3024"/>
      <c r="AE35" s="3024"/>
      <c r="AF35" s="3024"/>
      <c r="AG35" s="3024"/>
      <c r="AH35" s="3024"/>
      <c r="AI35" s="3024"/>
      <c r="AJ35" s="3024"/>
      <c r="AK35" s="3025"/>
      <c r="AL35" s="1639"/>
      <c r="AM35" s="1640" t="str">
        <f>'1_入力シート【基本情報】'!FK337</f>
        <v/>
      </c>
      <c r="AN35" s="1640" t="str">
        <f>'1_入力シート【基本情報】'!FL337</f>
        <v/>
      </c>
      <c r="AO35" s="1640" t="str">
        <f>'1_入力シート【基本情報】'!FM337</f>
        <v/>
      </c>
      <c r="AP35" s="1641">
        <f>'1_入力シート【基本情報】'!FN337</f>
        <v>0</v>
      </c>
    </row>
    <row r="36" spans="2:42" ht="21" customHeight="1">
      <c r="B36" s="3033" t="s">
        <v>973</v>
      </c>
      <c r="C36" s="3034"/>
      <c r="D36" s="2995"/>
      <c r="E36" s="3173"/>
      <c r="F36" s="3172"/>
      <c r="G36" s="3056"/>
      <c r="H36" s="3057"/>
      <c r="I36" s="3058"/>
      <c r="J36" s="3058"/>
      <c r="K36" s="3058"/>
      <c r="L36" s="3058"/>
      <c r="M36" s="3058"/>
      <c r="N36" s="3058"/>
      <c r="O36" s="3058"/>
      <c r="P36" s="3058"/>
      <c r="Q36" s="3058"/>
      <c r="R36" s="3058"/>
      <c r="S36" s="3058"/>
      <c r="T36" s="3059"/>
      <c r="U36" s="3023" t="s">
        <v>65</v>
      </c>
      <c r="V36" s="3019"/>
      <c r="W36" s="3024"/>
      <c r="X36" s="3024"/>
      <c r="Y36" s="3024"/>
      <c r="Z36" s="3024"/>
      <c r="AA36" s="3024"/>
      <c r="AB36" s="3024"/>
      <c r="AC36" s="3024"/>
      <c r="AD36" s="3024"/>
      <c r="AE36" s="3024"/>
      <c r="AF36" s="3024"/>
      <c r="AG36" s="3024"/>
      <c r="AH36" s="3024"/>
      <c r="AI36" s="3024"/>
      <c r="AJ36" s="3024"/>
      <c r="AK36" s="3025"/>
      <c r="AL36" s="1639"/>
      <c r="AM36" s="1640" t="str">
        <f>'1_入力シート【基本情報】'!FK338</f>
        <v/>
      </c>
      <c r="AN36" s="1640" t="str">
        <f>'1_入力シート【基本情報】'!FL338</f>
        <v/>
      </c>
      <c r="AO36" s="1640" t="str">
        <f>'1_入力シート【基本情報】'!FM338</f>
        <v/>
      </c>
      <c r="AP36" s="1641">
        <f>'1_入力シート【基本情報】'!FN338</f>
        <v>0</v>
      </c>
    </row>
    <row r="37" spans="2:42" ht="12" customHeight="1">
      <c r="B37" s="3033" t="s">
        <v>974</v>
      </c>
      <c r="C37" s="3034"/>
      <c r="D37" s="2995"/>
      <c r="E37" s="3173"/>
      <c r="F37" s="3172"/>
      <c r="G37" s="3044" t="s">
        <v>66</v>
      </c>
      <c r="H37" s="3053"/>
      <c r="I37" s="3054"/>
      <c r="J37" s="3054"/>
      <c r="K37" s="3054"/>
      <c r="L37" s="3054"/>
      <c r="M37" s="3054"/>
      <c r="N37" s="3054"/>
      <c r="O37" s="3054"/>
      <c r="P37" s="3054"/>
      <c r="Q37" s="3054"/>
      <c r="R37" s="3054"/>
      <c r="S37" s="3054"/>
      <c r="T37" s="3055"/>
      <c r="U37" s="3023" t="s">
        <v>67</v>
      </c>
      <c r="V37" s="3019"/>
      <c r="W37" s="3024"/>
      <c r="X37" s="3024"/>
      <c r="Y37" s="3024"/>
      <c r="Z37" s="3024"/>
      <c r="AA37" s="3024"/>
      <c r="AB37" s="3024"/>
      <c r="AC37" s="3024"/>
      <c r="AD37" s="3024"/>
      <c r="AE37" s="3024"/>
      <c r="AF37" s="3024"/>
      <c r="AG37" s="3024"/>
      <c r="AH37" s="3024"/>
      <c r="AI37" s="3024"/>
      <c r="AJ37" s="3024"/>
      <c r="AK37" s="3025"/>
      <c r="AL37" s="1639"/>
      <c r="AM37" s="1640" t="str">
        <f>'1_入力シート【基本情報】'!FK339</f>
        <v/>
      </c>
      <c r="AN37" s="1640" t="str">
        <f>'1_入力シート【基本情報】'!FL339</f>
        <v/>
      </c>
      <c r="AO37" s="1640" t="str">
        <f>'1_入力シート【基本情報】'!FM339</f>
        <v/>
      </c>
      <c r="AP37" s="1641">
        <f>'1_入力シート【基本情報】'!FN339</f>
        <v>0</v>
      </c>
    </row>
    <row r="38" spans="2:42" ht="12" customHeight="1">
      <c r="B38" s="3033" t="s">
        <v>975</v>
      </c>
      <c r="C38" s="3034"/>
      <c r="D38" s="2995"/>
      <c r="E38" s="3173"/>
      <c r="F38" s="3172"/>
      <c r="G38" s="3099"/>
      <c r="H38" s="3018"/>
      <c r="I38" s="3100"/>
      <c r="J38" s="3100"/>
      <c r="K38" s="3100"/>
      <c r="L38" s="3100"/>
      <c r="M38" s="3100"/>
      <c r="N38" s="3100"/>
      <c r="O38" s="3100"/>
      <c r="P38" s="3100"/>
      <c r="Q38" s="3100"/>
      <c r="R38" s="3100"/>
      <c r="S38" s="3100"/>
      <c r="T38" s="3101"/>
      <c r="U38" s="3023" t="s">
        <v>68</v>
      </c>
      <c r="V38" s="3019"/>
      <c r="W38" s="3024"/>
      <c r="X38" s="3024"/>
      <c r="Y38" s="3024"/>
      <c r="Z38" s="3024"/>
      <c r="AA38" s="3024"/>
      <c r="AB38" s="3024"/>
      <c r="AC38" s="3024"/>
      <c r="AD38" s="3024"/>
      <c r="AE38" s="3024"/>
      <c r="AF38" s="3024"/>
      <c r="AG38" s="3024"/>
      <c r="AH38" s="3024"/>
      <c r="AI38" s="3024"/>
      <c r="AJ38" s="3024"/>
      <c r="AK38" s="3025"/>
      <c r="AL38" s="1639"/>
      <c r="AM38" s="1640" t="str">
        <f>'1_入力シート【基本情報】'!FK340</f>
        <v/>
      </c>
      <c r="AN38" s="1640" t="str">
        <f>'1_入力シート【基本情報】'!FL340</f>
        <v/>
      </c>
      <c r="AO38" s="1640" t="str">
        <f>'1_入力シート【基本情報】'!FM340</f>
        <v/>
      </c>
      <c r="AP38" s="1641">
        <f>'1_入力シート【基本情報】'!FN340</f>
        <v>0</v>
      </c>
    </row>
    <row r="39" spans="2:42" ht="12" customHeight="1">
      <c r="B39" s="3033" t="s">
        <v>976</v>
      </c>
      <c r="C39" s="3034"/>
      <c r="D39" s="2995"/>
      <c r="E39" s="3173"/>
      <c r="F39" s="3172"/>
      <c r="G39" s="3044" t="s">
        <v>1347</v>
      </c>
      <c r="H39" s="3045"/>
      <c r="I39" s="3046"/>
      <c r="J39" s="3046"/>
      <c r="K39" s="3046"/>
      <c r="L39" s="3046"/>
      <c r="M39" s="3046"/>
      <c r="N39" s="3046"/>
      <c r="O39" s="3046"/>
      <c r="P39" s="3046"/>
      <c r="Q39" s="3046"/>
      <c r="R39" s="3046"/>
      <c r="S39" s="3046"/>
      <c r="T39" s="3047"/>
      <c r="U39" s="3023" t="s">
        <v>70</v>
      </c>
      <c r="V39" s="3019"/>
      <c r="W39" s="3024"/>
      <c r="X39" s="3024"/>
      <c r="Y39" s="3024"/>
      <c r="Z39" s="3024"/>
      <c r="AA39" s="3024"/>
      <c r="AB39" s="3024"/>
      <c r="AC39" s="3024"/>
      <c r="AD39" s="3024"/>
      <c r="AE39" s="3024"/>
      <c r="AF39" s="3024"/>
      <c r="AG39" s="3024"/>
      <c r="AH39" s="3024"/>
      <c r="AI39" s="3024"/>
      <c r="AJ39" s="3024"/>
      <c r="AK39" s="3025"/>
      <c r="AL39" s="1639"/>
      <c r="AM39" s="1640" t="str">
        <f>'1_入力シート【基本情報】'!FK341</f>
        <v/>
      </c>
      <c r="AN39" s="1640" t="str">
        <f>'1_入力シート【基本情報】'!FL341</f>
        <v/>
      </c>
      <c r="AO39" s="1640" t="str">
        <f>'1_入力シート【基本情報】'!FM341</f>
        <v/>
      </c>
      <c r="AP39" s="1641">
        <f>'1_入力シート【基本情報】'!FN341</f>
        <v>0</v>
      </c>
    </row>
    <row r="40" spans="2:42" ht="12" customHeight="1" thickBot="1">
      <c r="B40" s="3026" t="s">
        <v>977</v>
      </c>
      <c r="C40" s="3027"/>
      <c r="D40" s="3037"/>
      <c r="E40" s="3174"/>
      <c r="F40" s="3175"/>
      <c r="G40" s="3048"/>
      <c r="H40" s="3049"/>
      <c r="I40" s="3050"/>
      <c r="J40" s="3050"/>
      <c r="K40" s="3050"/>
      <c r="L40" s="3050"/>
      <c r="M40" s="3050"/>
      <c r="N40" s="3050"/>
      <c r="O40" s="3050"/>
      <c r="P40" s="3050"/>
      <c r="Q40" s="3050"/>
      <c r="R40" s="3050"/>
      <c r="S40" s="3050"/>
      <c r="T40" s="3051"/>
      <c r="U40" s="3182" t="s">
        <v>71</v>
      </c>
      <c r="V40" s="3183"/>
      <c r="W40" s="3184"/>
      <c r="X40" s="3184"/>
      <c r="Y40" s="3184"/>
      <c r="Z40" s="3184"/>
      <c r="AA40" s="3184"/>
      <c r="AB40" s="3184"/>
      <c r="AC40" s="3184"/>
      <c r="AD40" s="3184"/>
      <c r="AE40" s="3184"/>
      <c r="AF40" s="3184"/>
      <c r="AG40" s="3184"/>
      <c r="AH40" s="3184"/>
      <c r="AI40" s="3184"/>
      <c r="AJ40" s="3184"/>
      <c r="AK40" s="3185"/>
      <c r="AL40" s="1642"/>
      <c r="AM40" s="1643" t="str">
        <f>'1_入力シート【基本情報】'!FK342</f>
        <v/>
      </c>
      <c r="AN40" s="1643" t="str">
        <f>'1_入力シート【基本情報】'!FL342</f>
        <v/>
      </c>
      <c r="AO40" s="1643" t="str">
        <f>'1_入力シート【基本情報】'!FM342</f>
        <v/>
      </c>
      <c r="AP40" s="1644">
        <f>'1_入力シート【基本情報】'!FN342</f>
        <v>0</v>
      </c>
    </row>
    <row r="41" spans="2:42" ht="12" customHeight="1">
      <c r="B41" s="3030" ph="1">
        <v>3</v>
      </c>
      <c r="C41" s="3031" ph="1"/>
      <c r="D41" s="3032"/>
      <c r="E41" s="3068" t="s">
        <v>72</v>
      </c>
      <c r="F41" s="3069"/>
      <c r="G41" s="3069"/>
      <c r="H41" s="3069"/>
      <c r="I41" s="3069"/>
      <c r="J41" s="3069"/>
      <c r="K41" s="3069"/>
      <c r="L41" s="3069"/>
      <c r="M41" s="3069"/>
      <c r="N41" s="3069"/>
      <c r="O41" s="3069"/>
      <c r="P41" s="3069"/>
      <c r="Q41" s="3069"/>
      <c r="R41" s="3069"/>
      <c r="S41" s="3069"/>
      <c r="T41" s="3069"/>
      <c r="U41" s="3069"/>
      <c r="V41" s="3069"/>
      <c r="W41" s="3069"/>
      <c r="X41" s="3069"/>
      <c r="Y41" s="3069"/>
      <c r="Z41" s="3069"/>
      <c r="AA41" s="3069"/>
      <c r="AB41" s="3069"/>
      <c r="AC41" s="3069"/>
      <c r="AD41" s="3069"/>
      <c r="AE41" s="3069"/>
      <c r="AF41" s="3069"/>
      <c r="AG41" s="3069"/>
      <c r="AH41" s="3069"/>
      <c r="AI41" s="3069"/>
      <c r="AJ41" s="3069"/>
      <c r="AK41" s="3069"/>
      <c r="AL41" s="3069"/>
      <c r="AM41" s="3069"/>
      <c r="AN41" s="3069"/>
      <c r="AO41" s="3069"/>
      <c r="AP41" s="3070"/>
    </row>
    <row r="42" spans="2:42" ht="12" customHeight="1">
      <c r="B42" s="3033" t="s">
        <v>35</v>
      </c>
      <c r="C42" s="3034"/>
      <c r="D42" s="2995"/>
      <c r="E42" s="3193" t="s">
        <v>73</v>
      </c>
      <c r="F42" s="3097"/>
      <c r="G42" s="3155"/>
      <c r="H42" s="3156"/>
      <c r="I42" s="3156"/>
      <c r="J42" s="3156"/>
      <c r="K42" s="3156"/>
      <c r="L42" s="3156"/>
      <c r="M42" s="3156"/>
      <c r="N42" s="3156"/>
      <c r="O42" s="3156"/>
      <c r="P42" s="3156"/>
      <c r="Q42" s="3156"/>
      <c r="R42" s="3156"/>
      <c r="S42" s="3156"/>
      <c r="T42" s="3156"/>
      <c r="U42" s="3023" t="s">
        <v>74</v>
      </c>
      <c r="V42" s="3019"/>
      <c r="W42" s="3024"/>
      <c r="X42" s="3024"/>
      <c r="Y42" s="3024"/>
      <c r="Z42" s="3024"/>
      <c r="AA42" s="3024"/>
      <c r="AB42" s="3024"/>
      <c r="AC42" s="3024"/>
      <c r="AD42" s="3024"/>
      <c r="AE42" s="3024"/>
      <c r="AF42" s="3024"/>
      <c r="AG42" s="3024"/>
      <c r="AH42" s="3024"/>
      <c r="AI42" s="3024"/>
      <c r="AJ42" s="3024"/>
      <c r="AK42" s="3025"/>
      <c r="AL42" s="1639"/>
      <c r="AM42" s="1640" t="str">
        <f>'1_入力シート【基本情報】'!FK352</f>
        <v/>
      </c>
      <c r="AN42" s="1640" t="str">
        <f>'1_入力シート【基本情報】'!FL352</f>
        <v/>
      </c>
      <c r="AO42" s="1640" t="str">
        <f>'1_入力シート【基本情報】'!FM352</f>
        <v/>
      </c>
      <c r="AP42" s="1641">
        <f>'1_入力シート【基本情報】'!FN352</f>
        <v>0</v>
      </c>
    </row>
    <row r="43" spans="2:42" ht="11.25" customHeight="1">
      <c r="B43" s="3033" t="s">
        <v>961</v>
      </c>
      <c r="C43" s="3034"/>
      <c r="D43" s="2995"/>
      <c r="E43" s="3071" t="s">
        <v>220</v>
      </c>
      <c r="F43" s="3072"/>
      <c r="G43" s="3073"/>
      <c r="H43" s="2947"/>
      <c r="I43" s="2947"/>
      <c r="J43" s="2947"/>
      <c r="K43" s="2947"/>
      <c r="L43" s="2947"/>
      <c r="M43" s="2947"/>
      <c r="N43" s="2947"/>
      <c r="O43" s="2947"/>
      <c r="P43" s="2947"/>
      <c r="Q43" s="2947"/>
      <c r="R43" s="2947"/>
      <c r="S43" s="2947"/>
      <c r="T43" s="2947"/>
      <c r="U43" s="3023" t="s">
        <v>75</v>
      </c>
      <c r="V43" s="3019"/>
      <c r="W43" s="3024"/>
      <c r="X43" s="3024"/>
      <c r="Y43" s="3024"/>
      <c r="Z43" s="3024"/>
      <c r="AA43" s="3024"/>
      <c r="AB43" s="3024"/>
      <c r="AC43" s="3024"/>
      <c r="AD43" s="3024"/>
      <c r="AE43" s="3024"/>
      <c r="AF43" s="3024"/>
      <c r="AG43" s="3024"/>
      <c r="AH43" s="3024"/>
      <c r="AI43" s="3024"/>
      <c r="AJ43" s="3024"/>
      <c r="AK43" s="3025"/>
      <c r="AL43" s="1639"/>
      <c r="AM43" s="1640" t="str">
        <f>'1_入力シート【基本情報】'!FK353</f>
        <v/>
      </c>
      <c r="AN43" s="1640" t="str">
        <f>'1_入力シート【基本情報】'!FL353</f>
        <v/>
      </c>
      <c r="AO43" s="1640" t="str">
        <f>'1_入力シート【基本情報】'!FM353</f>
        <v/>
      </c>
      <c r="AP43" s="1641">
        <f>'1_入力シート【基本情報】'!FN353</f>
        <v>0</v>
      </c>
    </row>
    <row r="44" spans="2:42" ht="11.25" customHeight="1">
      <c r="B44" s="3033" t="s">
        <v>962</v>
      </c>
      <c r="C44" s="3034"/>
      <c r="D44" s="2995"/>
      <c r="E44" s="3176"/>
      <c r="F44" s="3194"/>
      <c r="G44" s="3177"/>
      <c r="H44" s="3124"/>
      <c r="I44" s="3124"/>
      <c r="J44" s="3124"/>
      <c r="K44" s="3124"/>
      <c r="L44" s="3124"/>
      <c r="M44" s="3124"/>
      <c r="N44" s="3124"/>
      <c r="O44" s="3124"/>
      <c r="P44" s="3124"/>
      <c r="Q44" s="3124"/>
      <c r="R44" s="3124"/>
      <c r="S44" s="3124"/>
      <c r="T44" s="3124"/>
      <c r="U44" s="3023" t="s">
        <v>76</v>
      </c>
      <c r="V44" s="3019"/>
      <c r="W44" s="3024"/>
      <c r="X44" s="3024"/>
      <c r="Y44" s="3024"/>
      <c r="Z44" s="3024"/>
      <c r="AA44" s="3024"/>
      <c r="AB44" s="3024"/>
      <c r="AC44" s="3024"/>
      <c r="AD44" s="3024"/>
      <c r="AE44" s="3024"/>
      <c r="AF44" s="3024"/>
      <c r="AG44" s="3024"/>
      <c r="AH44" s="3024"/>
      <c r="AI44" s="3024"/>
      <c r="AJ44" s="3024"/>
      <c r="AK44" s="3025"/>
      <c r="AL44" s="1639"/>
      <c r="AM44" s="1640" t="str">
        <f>'1_入力シート【基本情報】'!FK354</f>
        <v/>
      </c>
      <c r="AN44" s="1640" t="str">
        <f>'1_入力シート【基本情報】'!FL354</f>
        <v/>
      </c>
      <c r="AO44" s="1640" t="str">
        <f>'1_入力シート【基本情報】'!FM354</f>
        <v/>
      </c>
      <c r="AP44" s="1641">
        <f>'1_入力シート【基本情報】'!FN354</f>
        <v>0</v>
      </c>
    </row>
    <row r="45" spans="2:42" ht="12" customHeight="1">
      <c r="B45" s="3033" t="s">
        <v>963</v>
      </c>
      <c r="C45" s="3034"/>
      <c r="D45" s="2995"/>
      <c r="E45" s="3176"/>
      <c r="F45" s="3194"/>
      <c r="G45" s="3177"/>
      <c r="H45" s="3124"/>
      <c r="I45" s="3124"/>
      <c r="J45" s="3124"/>
      <c r="K45" s="3124"/>
      <c r="L45" s="3124"/>
      <c r="M45" s="3124"/>
      <c r="N45" s="3124"/>
      <c r="O45" s="3124"/>
      <c r="P45" s="3124"/>
      <c r="Q45" s="3124"/>
      <c r="R45" s="3124"/>
      <c r="S45" s="3124"/>
      <c r="T45" s="3124"/>
      <c r="U45" s="3023" t="s">
        <v>77</v>
      </c>
      <c r="V45" s="3019"/>
      <c r="W45" s="3024"/>
      <c r="X45" s="3024"/>
      <c r="Y45" s="3024"/>
      <c r="Z45" s="3024"/>
      <c r="AA45" s="3024"/>
      <c r="AB45" s="3024"/>
      <c r="AC45" s="3024"/>
      <c r="AD45" s="3024"/>
      <c r="AE45" s="3024"/>
      <c r="AF45" s="3024"/>
      <c r="AG45" s="3024"/>
      <c r="AH45" s="3024"/>
      <c r="AI45" s="3024"/>
      <c r="AJ45" s="3024"/>
      <c r="AK45" s="3025"/>
      <c r="AL45" s="1639"/>
      <c r="AM45" s="1640" t="str">
        <f>'1_入力シート【基本情報】'!FK355</f>
        <v/>
      </c>
      <c r="AN45" s="1640" t="str">
        <f>'1_入力シート【基本情報】'!FL355</f>
        <v/>
      </c>
      <c r="AO45" s="1640" t="str">
        <f>'1_入力シート【基本情報】'!FM355</f>
        <v/>
      </c>
      <c r="AP45" s="1641">
        <f>'1_入力シート【基本情報】'!FN355</f>
        <v>0</v>
      </c>
    </row>
    <row r="46" spans="2:42" ht="11.25" customHeight="1">
      <c r="B46" s="3033" t="s">
        <v>964</v>
      </c>
      <c r="C46" s="3034"/>
      <c r="D46" s="2995"/>
      <c r="E46" s="3074"/>
      <c r="F46" s="3075"/>
      <c r="G46" s="3076"/>
      <c r="H46" s="2953"/>
      <c r="I46" s="2953"/>
      <c r="J46" s="2953"/>
      <c r="K46" s="2953"/>
      <c r="L46" s="2953"/>
      <c r="M46" s="2953"/>
      <c r="N46" s="2953"/>
      <c r="O46" s="2953"/>
      <c r="P46" s="2953"/>
      <c r="Q46" s="2953"/>
      <c r="R46" s="2953"/>
      <c r="S46" s="2953"/>
      <c r="T46" s="2953"/>
      <c r="U46" s="3023" t="s">
        <v>219</v>
      </c>
      <c r="V46" s="3019"/>
      <c r="W46" s="3024"/>
      <c r="X46" s="3024"/>
      <c r="Y46" s="3024"/>
      <c r="Z46" s="3024"/>
      <c r="AA46" s="3024"/>
      <c r="AB46" s="3024"/>
      <c r="AC46" s="3024"/>
      <c r="AD46" s="3024"/>
      <c r="AE46" s="3024"/>
      <c r="AF46" s="3024"/>
      <c r="AG46" s="3024"/>
      <c r="AH46" s="3024"/>
      <c r="AI46" s="3024"/>
      <c r="AJ46" s="3024"/>
      <c r="AK46" s="3025"/>
      <c r="AL46" s="1639"/>
      <c r="AM46" s="1640" t="str">
        <f>'1_入力シート【基本情報】'!FK356</f>
        <v/>
      </c>
      <c r="AN46" s="1640" t="str">
        <f>'1_入力シート【基本情報】'!FL356</f>
        <v/>
      </c>
      <c r="AO46" s="1640" t="str">
        <f>'1_入力シート【基本情報】'!FM356</f>
        <v/>
      </c>
      <c r="AP46" s="1641">
        <f>'1_入力シート【基本情報】'!FN356</f>
        <v>0</v>
      </c>
    </row>
    <row r="47" spans="2:42" ht="12" customHeight="1">
      <c r="B47" s="3033" t="s">
        <v>43</v>
      </c>
      <c r="C47" s="3034"/>
      <c r="D47" s="2995"/>
      <c r="E47" s="3071" t="s">
        <v>175</v>
      </c>
      <c r="F47" s="3072"/>
      <c r="G47" s="3073"/>
      <c r="H47" s="2947"/>
      <c r="I47" s="2947"/>
      <c r="J47" s="2947"/>
      <c r="K47" s="2947"/>
      <c r="L47" s="2947"/>
      <c r="M47" s="2947"/>
      <c r="N47" s="2947"/>
      <c r="O47" s="2947"/>
      <c r="P47" s="2947"/>
      <c r="Q47" s="2947"/>
      <c r="R47" s="2947"/>
      <c r="S47" s="2947"/>
      <c r="T47" s="2947"/>
      <c r="U47" s="3023" t="s">
        <v>78</v>
      </c>
      <c r="V47" s="3019"/>
      <c r="W47" s="3024"/>
      <c r="X47" s="3024"/>
      <c r="Y47" s="3024"/>
      <c r="Z47" s="3024"/>
      <c r="AA47" s="3024"/>
      <c r="AB47" s="3024"/>
      <c r="AC47" s="3024"/>
      <c r="AD47" s="3024"/>
      <c r="AE47" s="3024"/>
      <c r="AF47" s="3024"/>
      <c r="AG47" s="3024"/>
      <c r="AH47" s="3024"/>
      <c r="AI47" s="3024"/>
      <c r="AJ47" s="3024"/>
      <c r="AK47" s="3025"/>
      <c r="AL47" s="1639"/>
      <c r="AM47" s="1640" t="str">
        <f>'1_入力シート【基本情報】'!FK357</f>
        <v/>
      </c>
      <c r="AN47" s="1640" t="str">
        <f>'1_入力シート【基本情報】'!FL357</f>
        <v/>
      </c>
      <c r="AO47" s="1640" t="str">
        <f>'1_入力シート【基本情報】'!FM357</f>
        <v/>
      </c>
      <c r="AP47" s="1641">
        <f>'1_入力シート【基本情報】'!FN357</f>
        <v>0</v>
      </c>
    </row>
    <row r="48" spans="2:42" ht="12" customHeight="1">
      <c r="B48" s="3033" t="s">
        <v>966</v>
      </c>
      <c r="C48" s="3034"/>
      <c r="D48" s="2995"/>
      <c r="E48" s="3074"/>
      <c r="F48" s="3075"/>
      <c r="G48" s="3076"/>
      <c r="H48" s="2953"/>
      <c r="I48" s="2953"/>
      <c r="J48" s="2953"/>
      <c r="K48" s="2953"/>
      <c r="L48" s="2953"/>
      <c r="M48" s="2953"/>
      <c r="N48" s="2953"/>
      <c r="O48" s="2953"/>
      <c r="P48" s="2953"/>
      <c r="Q48" s="2953"/>
      <c r="R48" s="2953"/>
      <c r="S48" s="2953"/>
      <c r="T48" s="2953"/>
      <c r="U48" s="3023" t="s">
        <v>79</v>
      </c>
      <c r="V48" s="3019"/>
      <c r="W48" s="3024"/>
      <c r="X48" s="3024"/>
      <c r="Y48" s="3024"/>
      <c r="Z48" s="3024"/>
      <c r="AA48" s="3024"/>
      <c r="AB48" s="3024"/>
      <c r="AC48" s="3024"/>
      <c r="AD48" s="3024"/>
      <c r="AE48" s="3024"/>
      <c r="AF48" s="3024"/>
      <c r="AG48" s="3024"/>
      <c r="AH48" s="3024"/>
      <c r="AI48" s="3024"/>
      <c r="AJ48" s="3024"/>
      <c r="AK48" s="3025"/>
      <c r="AL48" s="1639"/>
      <c r="AM48" s="1640" t="str">
        <f>'1_入力シート【基本情報】'!FK358</f>
        <v/>
      </c>
      <c r="AN48" s="1640" t="str">
        <f>'1_入力シート【基本情報】'!FL358</f>
        <v/>
      </c>
      <c r="AO48" s="1640" t="str">
        <f>'1_入力シート【基本情報】'!FM358</f>
        <v/>
      </c>
      <c r="AP48" s="1641">
        <f>'1_入力シート【基本情報】'!FN358</f>
        <v>0</v>
      </c>
    </row>
    <row r="49" spans="2:42" ht="12" customHeight="1">
      <c r="B49" s="3033" t="s">
        <v>967</v>
      </c>
      <c r="C49" s="3034"/>
      <c r="D49" s="2995"/>
      <c r="E49" s="3071" t="s">
        <v>218</v>
      </c>
      <c r="F49" s="3072"/>
      <c r="G49" s="3073"/>
      <c r="H49" s="2947"/>
      <c r="I49" s="2947"/>
      <c r="J49" s="2947"/>
      <c r="K49" s="2947"/>
      <c r="L49" s="2947"/>
      <c r="M49" s="2947"/>
      <c r="N49" s="2947"/>
      <c r="O49" s="2947"/>
      <c r="P49" s="2947"/>
      <c r="Q49" s="2947"/>
      <c r="R49" s="2947"/>
      <c r="S49" s="2947"/>
      <c r="T49" s="2947"/>
      <c r="U49" s="3023" t="s">
        <v>80</v>
      </c>
      <c r="V49" s="3019"/>
      <c r="W49" s="3024"/>
      <c r="X49" s="3024"/>
      <c r="Y49" s="3024"/>
      <c r="Z49" s="3024"/>
      <c r="AA49" s="3024"/>
      <c r="AB49" s="3024"/>
      <c r="AC49" s="3024"/>
      <c r="AD49" s="3024"/>
      <c r="AE49" s="3024"/>
      <c r="AF49" s="3024"/>
      <c r="AG49" s="3024"/>
      <c r="AH49" s="3024"/>
      <c r="AI49" s="3024"/>
      <c r="AJ49" s="3024"/>
      <c r="AK49" s="3025"/>
      <c r="AL49" s="1639"/>
      <c r="AM49" s="1640" t="str">
        <f>'1_入力シート【基本情報】'!FK359</f>
        <v/>
      </c>
      <c r="AN49" s="1640" t="str">
        <f>'1_入力シート【基本情報】'!FL359</f>
        <v/>
      </c>
      <c r="AO49" s="1640" t="str">
        <f>'1_入力シート【基本情報】'!FM359</f>
        <v/>
      </c>
      <c r="AP49" s="1641">
        <f>'1_入力シート【基本情報】'!FN359</f>
        <v>0</v>
      </c>
    </row>
    <row r="50" spans="2:42" ht="12" customHeight="1" thickBot="1">
      <c r="B50" s="3026" t="s">
        <v>968</v>
      </c>
      <c r="C50" s="3027"/>
      <c r="D50" s="3037"/>
      <c r="E50" s="3195"/>
      <c r="F50" s="3196"/>
      <c r="G50" s="3197"/>
      <c r="H50" s="3198"/>
      <c r="I50" s="3198"/>
      <c r="J50" s="3198"/>
      <c r="K50" s="3198"/>
      <c r="L50" s="3198"/>
      <c r="M50" s="3198"/>
      <c r="N50" s="3198"/>
      <c r="O50" s="3198"/>
      <c r="P50" s="3198"/>
      <c r="Q50" s="3198"/>
      <c r="R50" s="3198"/>
      <c r="S50" s="3198"/>
      <c r="T50" s="3198"/>
      <c r="U50" s="3182" t="s">
        <v>71</v>
      </c>
      <c r="V50" s="3183"/>
      <c r="W50" s="3184"/>
      <c r="X50" s="3184"/>
      <c r="Y50" s="3184"/>
      <c r="Z50" s="3184"/>
      <c r="AA50" s="3184"/>
      <c r="AB50" s="3184"/>
      <c r="AC50" s="3184"/>
      <c r="AD50" s="3184"/>
      <c r="AE50" s="3184"/>
      <c r="AF50" s="3184"/>
      <c r="AG50" s="3184"/>
      <c r="AH50" s="3184"/>
      <c r="AI50" s="3184"/>
      <c r="AJ50" s="3184"/>
      <c r="AK50" s="3185"/>
      <c r="AL50" s="1642"/>
      <c r="AM50" s="1643" t="str">
        <f>'1_入力シート【基本情報】'!FK360</f>
        <v/>
      </c>
      <c r="AN50" s="1643" t="str">
        <f>'1_入力シート【基本情報】'!FL360</f>
        <v/>
      </c>
      <c r="AO50" s="1643" t="str">
        <f>'1_入力シート【基本情報】'!FM360</f>
        <v/>
      </c>
      <c r="AP50" s="1644">
        <f>'1_入力シート【基本情報】'!FN360</f>
        <v>0</v>
      </c>
    </row>
    <row r="51" spans="2:42" ht="12" customHeight="1">
      <c r="B51" s="3030">
        <v>4</v>
      </c>
      <c r="C51" s="3031"/>
      <c r="D51" s="3032"/>
      <c r="E51" s="3068" t="s">
        <v>81</v>
      </c>
      <c r="F51" s="3069"/>
      <c r="G51" s="3069"/>
      <c r="H51" s="3069"/>
      <c r="I51" s="3069"/>
      <c r="J51" s="3069"/>
      <c r="K51" s="3069"/>
      <c r="L51" s="3069"/>
      <c r="M51" s="3069"/>
      <c r="N51" s="3069"/>
      <c r="O51" s="3069"/>
      <c r="P51" s="3069"/>
      <c r="Q51" s="3069"/>
      <c r="R51" s="3069"/>
      <c r="S51" s="3069"/>
      <c r="T51" s="3069"/>
      <c r="U51" s="3069"/>
      <c r="V51" s="3069"/>
      <c r="W51" s="3069"/>
      <c r="X51" s="3069"/>
      <c r="Y51" s="3069"/>
      <c r="Z51" s="3069"/>
      <c r="AA51" s="3069"/>
      <c r="AB51" s="3069"/>
      <c r="AC51" s="3069"/>
      <c r="AD51" s="3069"/>
      <c r="AE51" s="3069"/>
      <c r="AF51" s="3069"/>
      <c r="AG51" s="3069"/>
      <c r="AH51" s="3069"/>
      <c r="AI51" s="3069"/>
      <c r="AJ51" s="3069"/>
      <c r="AK51" s="3069"/>
      <c r="AL51" s="3069"/>
      <c r="AM51" s="3069"/>
      <c r="AN51" s="3069"/>
      <c r="AO51" s="3069"/>
      <c r="AP51" s="3070"/>
    </row>
    <row r="52" spans="2:42" ht="12" customHeight="1">
      <c r="B52" s="2993" t="s">
        <v>35</v>
      </c>
      <c r="C52" s="2994"/>
      <c r="D52" s="2995"/>
      <c r="E52" s="3117" t="s">
        <v>82</v>
      </c>
      <c r="F52" s="2948"/>
      <c r="G52" s="3044" t="s">
        <v>227</v>
      </c>
      <c r="H52" s="3072"/>
      <c r="I52" s="3053"/>
      <c r="J52" s="3053"/>
      <c r="K52" s="3054"/>
      <c r="L52" s="3054"/>
      <c r="M52" s="3054"/>
      <c r="N52" s="3054"/>
      <c r="O52" s="3054"/>
      <c r="P52" s="3054"/>
      <c r="Q52" s="3054"/>
      <c r="R52" s="3054"/>
      <c r="S52" s="3054"/>
      <c r="T52" s="3054"/>
      <c r="U52" s="3054"/>
      <c r="V52" s="3054"/>
      <c r="W52" s="3054"/>
      <c r="X52" s="3054"/>
      <c r="Y52" s="3054"/>
      <c r="Z52" s="3054"/>
      <c r="AA52" s="3054"/>
      <c r="AB52" s="3054"/>
      <c r="AC52" s="3054"/>
      <c r="AD52" s="3054"/>
      <c r="AE52" s="3054"/>
      <c r="AF52" s="3054"/>
      <c r="AG52" s="3054"/>
      <c r="AH52" s="3054"/>
      <c r="AI52" s="3054"/>
      <c r="AJ52" s="3054"/>
      <c r="AK52" s="3055"/>
      <c r="AL52" s="1639"/>
      <c r="AM52" s="1640" t="str">
        <f>'1_入力シート【基本情報】'!FK370</f>
        <v/>
      </c>
      <c r="AN52" s="1640" t="str">
        <f>'1_入力シート【基本情報】'!FL370</f>
        <v/>
      </c>
      <c r="AO52" s="1640" t="str">
        <f>'1_入力シート【基本情報】'!FM370</f>
        <v/>
      </c>
      <c r="AP52" s="1641">
        <f>'1_入力シート【基本情報】'!AR370</f>
        <v>0</v>
      </c>
    </row>
    <row r="53" spans="2:42" ht="12" customHeight="1">
      <c r="B53" s="2993" t="s">
        <v>961</v>
      </c>
      <c r="C53" s="2994"/>
      <c r="D53" s="2995"/>
      <c r="E53" s="2949"/>
      <c r="F53" s="2951"/>
      <c r="G53" s="3044" t="s">
        <v>228</v>
      </c>
      <c r="H53" s="3072"/>
      <c r="I53" s="3053"/>
      <c r="J53" s="3053"/>
      <c r="K53" s="3054"/>
      <c r="L53" s="3054"/>
      <c r="M53" s="3054"/>
      <c r="N53" s="3054"/>
      <c r="O53" s="3054"/>
      <c r="P53" s="3054"/>
      <c r="Q53" s="3054"/>
      <c r="R53" s="3054"/>
      <c r="S53" s="3054"/>
      <c r="T53" s="3054"/>
      <c r="U53" s="3054"/>
      <c r="V53" s="3054"/>
      <c r="W53" s="3054"/>
      <c r="X53" s="3054"/>
      <c r="Y53" s="3054"/>
      <c r="Z53" s="3054"/>
      <c r="AA53" s="3054"/>
      <c r="AB53" s="3054"/>
      <c r="AC53" s="3054"/>
      <c r="AD53" s="3054"/>
      <c r="AE53" s="3054"/>
      <c r="AF53" s="3054"/>
      <c r="AG53" s="3054"/>
      <c r="AH53" s="3054"/>
      <c r="AI53" s="3054"/>
      <c r="AJ53" s="3054"/>
      <c r="AK53" s="3055"/>
      <c r="AL53" s="1639"/>
      <c r="AM53" s="1645" t="str">
        <f>'1_入力シート【基本情報】'!FK371</f>
        <v/>
      </c>
      <c r="AN53" s="1645" t="str">
        <f>'1_入力シート【基本情報】'!FL371</f>
        <v/>
      </c>
      <c r="AO53" s="1645" t="str">
        <f>'1_入力シート【基本情報】'!FM371</f>
        <v/>
      </c>
      <c r="AP53" s="1641">
        <f>'1_入力シート【基本情報】'!AR371</f>
        <v>0</v>
      </c>
    </row>
    <row r="54" spans="2:42" ht="12" customHeight="1">
      <c r="B54" s="2993" t="s">
        <v>962</v>
      </c>
      <c r="C54" s="2994"/>
      <c r="D54" s="2995"/>
      <c r="E54" s="2949"/>
      <c r="F54" s="2951"/>
      <c r="G54" s="3023" t="s">
        <v>229</v>
      </c>
      <c r="H54" s="3097"/>
      <c r="I54" s="3019"/>
      <c r="J54" s="3019"/>
      <c r="K54" s="3024"/>
      <c r="L54" s="3024"/>
      <c r="M54" s="3024"/>
      <c r="N54" s="3024"/>
      <c r="O54" s="3024"/>
      <c r="P54" s="3024"/>
      <c r="Q54" s="3024"/>
      <c r="R54" s="3024"/>
      <c r="S54" s="3024"/>
      <c r="T54" s="3024"/>
      <c r="U54" s="3024"/>
      <c r="V54" s="3024"/>
      <c r="W54" s="3024"/>
      <c r="X54" s="3024"/>
      <c r="Y54" s="3024"/>
      <c r="Z54" s="3024"/>
      <c r="AA54" s="3024"/>
      <c r="AB54" s="3024"/>
      <c r="AC54" s="3024"/>
      <c r="AD54" s="3024"/>
      <c r="AE54" s="3024"/>
      <c r="AF54" s="3024"/>
      <c r="AG54" s="3024"/>
      <c r="AH54" s="3024"/>
      <c r="AI54" s="3024"/>
      <c r="AJ54" s="3024"/>
      <c r="AK54" s="3025"/>
      <c r="AL54" s="1639"/>
      <c r="AM54" s="1645" t="str">
        <f>'1_入力シート【基本情報】'!FK372</f>
        <v/>
      </c>
      <c r="AN54" s="1645" t="str">
        <f>'1_入力シート【基本情報】'!FL372</f>
        <v/>
      </c>
      <c r="AO54" s="1645" t="str">
        <f>'1_入力シート【基本情報】'!FM372</f>
        <v/>
      </c>
      <c r="AP54" s="1641">
        <f>'1_入力シート【基本情報】'!AR372</f>
        <v>0</v>
      </c>
    </row>
    <row r="55" spans="2:42" ht="23.25" customHeight="1">
      <c r="B55" s="2993" t="s">
        <v>963</v>
      </c>
      <c r="C55" s="2994"/>
      <c r="D55" s="2995"/>
      <c r="E55" s="2949"/>
      <c r="F55" s="2951"/>
      <c r="G55" s="3176" t="s">
        <v>83</v>
      </c>
      <c r="H55" s="3177"/>
      <c r="I55" s="3124"/>
      <c r="J55" s="3124"/>
      <c r="K55" s="3124"/>
      <c r="L55" s="3124"/>
      <c r="M55" s="3124"/>
      <c r="N55" s="3124"/>
      <c r="O55" s="3124"/>
      <c r="P55" s="3124"/>
      <c r="Q55" s="3124"/>
      <c r="R55" s="3124"/>
      <c r="S55" s="3124"/>
      <c r="T55" s="2951"/>
      <c r="U55" s="3044" t="s">
        <v>230</v>
      </c>
      <c r="V55" s="3053"/>
      <c r="W55" s="3054"/>
      <c r="X55" s="3054"/>
      <c r="Y55" s="3054"/>
      <c r="Z55" s="3054"/>
      <c r="AA55" s="3054"/>
      <c r="AB55" s="3054"/>
      <c r="AC55" s="3054"/>
      <c r="AD55" s="3054"/>
      <c r="AE55" s="3054"/>
      <c r="AF55" s="3054"/>
      <c r="AG55" s="3054"/>
      <c r="AH55" s="3054"/>
      <c r="AI55" s="3054"/>
      <c r="AJ55" s="3054"/>
      <c r="AK55" s="3055"/>
      <c r="AL55" s="1639"/>
      <c r="AM55" s="1645" t="str">
        <f>'1_入力シート【基本情報】'!FK373</f>
        <v/>
      </c>
      <c r="AN55" s="1645" t="str">
        <f>'1_入力シート【基本情報】'!FL373</f>
        <v/>
      </c>
      <c r="AO55" s="1645" t="str">
        <f>'1_入力シート【基本情報】'!FM373</f>
        <v/>
      </c>
      <c r="AP55" s="1641">
        <f>'1_入力シート【基本情報】'!AR373</f>
        <v>0</v>
      </c>
    </row>
    <row r="56" spans="2:42" ht="23.25" customHeight="1">
      <c r="B56" s="2993" t="s">
        <v>964</v>
      </c>
      <c r="C56" s="2994"/>
      <c r="D56" s="2995"/>
      <c r="E56" s="2952"/>
      <c r="F56" s="2954"/>
      <c r="G56" s="3074"/>
      <c r="H56" s="3076"/>
      <c r="I56" s="2953"/>
      <c r="J56" s="2953"/>
      <c r="K56" s="2953"/>
      <c r="L56" s="2953"/>
      <c r="M56" s="2953"/>
      <c r="N56" s="2953"/>
      <c r="O56" s="2953"/>
      <c r="P56" s="2953"/>
      <c r="Q56" s="2953"/>
      <c r="R56" s="2953"/>
      <c r="S56" s="2953"/>
      <c r="T56" s="2954"/>
      <c r="U56" s="3044" t="s">
        <v>231</v>
      </c>
      <c r="V56" s="3053"/>
      <c r="W56" s="3054"/>
      <c r="X56" s="3054"/>
      <c r="Y56" s="3054"/>
      <c r="Z56" s="3054"/>
      <c r="AA56" s="3054"/>
      <c r="AB56" s="3054"/>
      <c r="AC56" s="3054"/>
      <c r="AD56" s="3054"/>
      <c r="AE56" s="3054"/>
      <c r="AF56" s="3054"/>
      <c r="AG56" s="3054"/>
      <c r="AH56" s="3054"/>
      <c r="AI56" s="3054"/>
      <c r="AJ56" s="3054"/>
      <c r="AK56" s="3055"/>
      <c r="AL56" s="1639"/>
      <c r="AM56" s="1645" t="str">
        <f>'1_入力シート【基本情報】'!FK374</f>
        <v/>
      </c>
      <c r="AN56" s="1645" t="str">
        <f>'1_入力シート【基本情報】'!FL374</f>
        <v/>
      </c>
      <c r="AO56" s="1645" t="str">
        <f>'1_入力シート【基本情報】'!FM374</f>
        <v/>
      </c>
      <c r="AP56" s="1641">
        <f>'1_入力シート【基本情報】'!AR374</f>
        <v>0</v>
      </c>
    </row>
    <row r="57" spans="2:42" ht="23.25" customHeight="1">
      <c r="B57" s="3033" t="s">
        <v>43</v>
      </c>
      <c r="C57" s="3034"/>
      <c r="D57" s="2995"/>
      <c r="E57" s="3117" t="s">
        <v>169</v>
      </c>
      <c r="F57" s="3081"/>
      <c r="G57" s="3044" t="s">
        <v>55</v>
      </c>
      <c r="H57" s="3073"/>
      <c r="I57" s="2935"/>
      <c r="J57" s="2935"/>
      <c r="K57" s="2935"/>
      <c r="L57" s="2935"/>
      <c r="M57" s="2935"/>
      <c r="N57" s="2935"/>
      <c r="O57" s="2935"/>
      <c r="P57" s="2935"/>
      <c r="Q57" s="2935"/>
      <c r="R57" s="2935"/>
      <c r="S57" s="2935"/>
      <c r="T57" s="2936"/>
      <c r="U57" s="3044" t="s">
        <v>84</v>
      </c>
      <c r="V57" s="3053"/>
      <c r="W57" s="3054"/>
      <c r="X57" s="3054"/>
      <c r="Y57" s="3054"/>
      <c r="Z57" s="3054"/>
      <c r="AA57" s="3054"/>
      <c r="AB57" s="3054"/>
      <c r="AC57" s="3054"/>
      <c r="AD57" s="3054"/>
      <c r="AE57" s="3054"/>
      <c r="AF57" s="3054"/>
      <c r="AG57" s="3054"/>
      <c r="AH57" s="3054"/>
      <c r="AI57" s="3054"/>
      <c r="AJ57" s="3054"/>
      <c r="AK57" s="3055"/>
      <c r="AL57" s="1639"/>
      <c r="AM57" s="1645" t="str">
        <f>'1_入力シート【基本情報】'!FK375</f>
        <v/>
      </c>
      <c r="AN57" s="1645" t="str">
        <f>'1_入力シート【基本情報】'!FL375</f>
        <v/>
      </c>
      <c r="AO57" s="1645" t="str">
        <f>'1_入力シート【基本情報】'!FM375</f>
        <v/>
      </c>
      <c r="AP57" s="1641">
        <f>'1_入力シート【基本情報】'!AR375</f>
        <v>0</v>
      </c>
    </row>
    <row r="58" spans="2:42" ht="23.25" customHeight="1">
      <c r="B58" s="2993" t="s">
        <v>966</v>
      </c>
      <c r="C58" s="2994"/>
      <c r="D58" s="2995"/>
      <c r="E58" s="3171"/>
      <c r="F58" s="3083"/>
      <c r="G58" s="3132"/>
      <c r="H58" s="3177"/>
      <c r="I58" s="2939"/>
      <c r="J58" s="2939"/>
      <c r="K58" s="2939"/>
      <c r="L58" s="2939"/>
      <c r="M58" s="2939"/>
      <c r="N58" s="2939"/>
      <c r="O58" s="2939"/>
      <c r="P58" s="2939"/>
      <c r="Q58" s="2939"/>
      <c r="R58" s="2939"/>
      <c r="S58" s="2939"/>
      <c r="T58" s="2940"/>
      <c r="U58" s="3044" t="s">
        <v>85</v>
      </c>
      <c r="V58" s="3053"/>
      <c r="W58" s="3054"/>
      <c r="X58" s="3054"/>
      <c r="Y58" s="3054"/>
      <c r="Z58" s="3054"/>
      <c r="AA58" s="3054"/>
      <c r="AB58" s="3054"/>
      <c r="AC58" s="3054"/>
      <c r="AD58" s="3054"/>
      <c r="AE58" s="3054"/>
      <c r="AF58" s="3054"/>
      <c r="AG58" s="3054"/>
      <c r="AH58" s="3054"/>
      <c r="AI58" s="3054"/>
      <c r="AJ58" s="3054"/>
      <c r="AK58" s="3055"/>
      <c r="AL58" s="1639"/>
      <c r="AM58" s="1645" t="str">
        <f>'1_入力シート【基本情報】'!FK376</f>
        <v/>
      </c>
      <c r="AN58" s="1645" t="str">
        <f>'1_入力シート【基本情報】'!FL376</f>
        <v/>
      </c>
      <c r="AO58" s="1645" t="str">
        <f>'1_入力シート【基本情報】'!FM376</f>
        <v/>
      </c>
      <c r="AP58" s="1641">
        <f>'1_入力シート【基本情報】'!AR376</f>
        <v>0</v>
      </c>
    </row>
    <row r="59" spans="2:42" ht="21" customHeight="1">
      <c r="B59" s="2993" t="s">
        <v>967</v>
      </c>
      <c r="C59" s="2994"/>
      <c r="D59" s="2995"/>
      <c r="E59" s="3082"/>
      <c r="F59" s="3083"/>
      <c r="G59" s="3132"/>
      <c r="H59" s="3177"/>
      <c r="I59" s="2939"/>
      <c r="J59" s="2939"/>
      <c r="K59" s="2939"/>
      <c r="L59" s="2939"/>
      <c r="M59" s="2939"/>
      <c r="N59" s="2939"/>
      <c r="O59" s="2939"/>
      <c r="P59" s="2939"/>
      <c r="Q59" s="2939"/>
      <c r="R59" s="2939"/>
      <c r="S59" s="2939"/>
      <c r="T59" s="2940"/>
      <c r="U59" s="3044" t="s">
        <v>86</v>
      </c>
      <c r="V59" s="3053"/>
      <c r="W59" s="3054"/>
      <c r="X59" s="3054"/>
      <c r="Y59" s="3054"/>
      <c r="Z59" s="3054"/>
      <c r="AA59" s="3054"/>
      <c r="AB59" s="3054"/>
      <c r="AC59" s="3054"/>
      <c r="AD59" s="3054"/>
      <c r="AE59" s="3054"/>
      <c r="AF59" s="3054"/>
      <c r="AG59" s="3054"/>
      <c r="AH59" s="3054"/>
      <c r="AI59" s="3054"/>
      <c r="AJ59" s="3054"/>
      <c r="AK59" s="3055"/>
      <c r="AL59" s="1639"/>
      <c r="AM59" s="1645" t="str">
        <f>'1_入力シート【基本情報】'!FK377</f>
        <v/>
      </c>
      <c r="AN59" s="1645" t="str">
        <f>'1_入力シート【基本情報】'!FL377</f>
        <v/>
      </c>
      <c r="AO59" s="1645" t="str">
        <f>'1_入力シート【基本情報】'!FM377</f>
        <v/>
      </c>
      <c r="AP59" s="1641">
        <f>'1_入力シート【基本情報】'!AR377</f>
        <v>0</v>
      </c>
    </row>
    <row r="60" spans="2:42" ht="23.25" customHeight="1">
      <c r="B60" s="2993" t="s">
        <v>968</v>
      </c>
      <c r="C60" s="2994"/>
      <c r="D60" s="2995"/>
      <c r="E60" s="3082"/>
      <c r="F60" s="3083"/>
      <c r="G60" s="3132"/>
      <c r="H60" s="3177"/>
      <c r="I60" s="2939"/>
      <c r="J60" s="2939"/>
      <c r="K60" s="2939"/>
      <c r="L60" s="2939"/>
      <c r="M60" s="2939"/>
      <c r="N60" s="2939"/>
      <c r="O60" s="2939"/>
      <c r="P60" s="2939"/>
      <c r="Q60" s="2939"/>
      <c r="R60" s="2939"/>
      <c r="S60" s="2939"/>
      <c r="T60" s="2940"/>
      <c r="U60" s="3044" t="s">
        <v>87</v>
      </c>
      <c r="V60" s="3053"/>
      <c r="W60" s="3054"/>
      <c r="X60" s="3054"/>
      <c r="Y60" s="3054"/>
      <c r="Z60" s="3054"/>
      <c r="AA60" s="3054"/>
      <c r="AB60" s="3054"/>
      <c r="AC60" s="3054"/>
      <c r="AD60" s="3054"/>
      <c r="AE60" s="3054"/>
      <c r="AF60" s="3054"/>
      <c r="AG60" s="3054"/>
      <c r="AH60" s="3054"/>
      <c r="AI60" s="3054"/>
      <c r="AJ60" s="3054"/>
      <c r="AK60" s="3055"/>
      <c r="AL60" s="1639"/>
      <c r="AM60" s="1645" t="str">
        <f>'1_入力シート【基本情報】'!FK378</f>
        <v/>
      </c>
      <c r="AN60" s="1645" t="str">
        <f>'1_入力シート【基本情報】'!FL378</f>
        <v/>
      </c>
      <c r="AO60" s="1645" t="str">
        <f>'1_入力シート【基本情報】'!FM378</f>
        <v/>
      </c>
      <c r="AP60" s="1641">
        <f>'1_入力シート【基本情報】'!AR378</f>
        <v>0</v>
      </c>
    </row>
    <row r="61" spans="2:42" ht="31.5" customHeight="1">
      <c r="B61" s="2993" t="s">
        <v>969</v>
      </c>
      <c r="C61" s="2994"/>
      <c r="D61" s="2995"/>
      <c r="E61" s="3082"/>
      <c r="F61" s="3083"/>
      <c r="G61" s="3133"/>
      <c r="H61" s="3076"/>
      <c r="I61" s="2944"/>
      <c r="J61" s="2944"/>
      <c r="K61" s="2944"/>
      <c r="L61" s="2944"/>
      <c r="M61" s="2944"/>
      <c r="N61" s="2944"/>
      <c r="O61" s="2944"/>
      <c r="P61" s="2944"/>
      <c r="Q61" s="2944"/>
      <c r="R61" s="2944"/>
      <c r="S61" s="2944"/>
      <c r="T61" s="2945"/>
      <c r="U61" s="3044" t="s">
        <v>88</v>
      </c>
      <c r="V61" s="3053"/>
      <c r="W61" s="3054"/>
      <c r="X61" s="3054"/>
      <c r="Y61" s="3054"/>
      <c r="Z61" s="3054"/>
      <c r="AA61" s="3054"/>
      <c r="AB61" s="3054"/>
      <c r="AC61" s="3054"/>
      <c r="AD61" s="3054"/>
      <c r="AE61" s="3054"/>
      <c r="AF61" s="3054"/>
      <c r="AG61" s="3054"/>
      <c r="AH61" s="3054"/>
      <c r="AI61" s="3054"/>
      <c r="AJ61" s="3054"/>
      <c r="AK61" s="3055"/>
      <c r="AL61" s="1639"/>
      <c r="AM61" s="1645" t="str">
        <f>'1_入力シート【基本情報】'!FK379</f>
        <v/>
      </c>
      <c r="AN61" s="1645" t="str">
        <f>'1_入力シート【基本情報】'!FL379</f>
        <v/>
      </c>
      <c r="AO61" s="1645" t="str">
        <f>'1_入力シート【基本情報】'!FM379</f>
        <v/>
      </c>
      <c r="AP61" s="1641">
        <f>'1_入力シート【基本情報】'!AR379</f>
        <v>0</v>
      </c>
    </row>
    <row r="62" spans="2:42" ht="12" customHeight="1">
      <c r="B62" s="2993" t="s">
        <v>970</v>
      </c>
      <c r="C62" s="2994"/>
      <c r="D62" s="2995"/>
      <c r="E62" s="3082"/>
      <c r="F62" s="3083"/>
      <c r="G62" s="3044" t="s">
        <v>232</v>
      </c>
      <c r="H62" s="2935"/>
      <c r="I62" s="2935"/>
      <c r="J62" s="2935"/>
      <c r="K62" s="2935"/>
      <c r="L62" s="2935"/>
      <c r="M62" s="2935"/>
      <c r="N62" s="2935"/>
      <c r="O62" s="2935"/>
      <c r="P62" s="2935"/>
      <c r="Q62" s="2935"/>
      <c r="R62" s="2935"/>
      <c r="S62" s="2935"/>
      <c r="T62" s="2936"/>
      <c r="U62" s="3044" t="s">
        <v>89</v>
      </c>
      <c r="V62" s="3053"/>
      <c r="W62" s="3054"/>
      <c r="X62" s="3054"/>
      <c r="Y62" s="3054"/>
      <c r="Z62" s="3054"/>
      <c r="AA62" s="3054"/>
      <c r="AB62" s="3054"/>
      <c r="AC62" s="3054"/>
      <c r="AD62" s="3054"/>
      <c r="AE62" s="3054"/>
      <c r="AF62" s="3054"/>
      <c r="AG62" s="3054"/>
      <c r="AH62" s="3054"/>
      <c r="AI62" s="3054"/>
      <c r="AJ62" s="3054"/>
      <c r="AK62" s="3055"/>
      <c r="AL62" s="1639"/>
      <c r="AM62" s="1645" t="str">
        <f>'1_入力シート【基本情報】'!FK380</f>
        <v/>
      </c>
      <c r="AN62" s="1645" t="str">
        <f>'1_入力シート【基本情報】'!FL380</f>
        <v/>
      </c>
      <c r="AO62" s="1645" t="str">
        <f>'1_入力シート【基本情報】'!FM380</f>
        <v/>
      </c>
      <c r="AP62" s="1641">
        <f>'1_入力シート【基本情報】'!AR380</f>
        <v>0</v>
      </c>
    </row>
    <row r="63" spans="2:42" ht="12" customHeight="1">
      <c r="B63" s="2993" t="s">
        <v>971</v>
      </c>
      <c r="C63" s="2994"/>
      <c r="D63" s="2995"/>
      <c r="E63" s="3082"/>
      <c r="F63" s="3083"/>
      <c r="G63" s="2941"/>
      <c r="H63" s="2939"/>
      <c r="I63" s="2939"/>
      <c r="J63" s="2939"/>
      <c r="K63" s="2939"/>
      <c r="L63" s="2939"/>
      <c r="M63" s="2939"/>
      <c r="N63" s="2939"/>
      <c r="O63" s="2939"/>
      <c r="P63" s="2939"/>
      <c r="Q63" s="2939"/>
      <c r="R63" s="2939"/>
      <c r="S63" s="2939"/>
      <c r="T63" s="2940"/>
      <c r="U63" s="3044" t="s">
        <v>90</v>
      </c>
      <c r="V63" s="3053"/>
      <c r="W63" s="3054"/>
      <c r="X63" s="3054"/>
      <c r="Y63" s="3054"/>
      <c r="Z63" s="3054"/>
      <c r="AA63" s="3054"/>
      <c r="AB63" s="3054"/>
      <c r="AC63" s="3054"/>
      <c r="AD63" s="3054"/>
      <c r="AE63" s="3054"/>
      <c r="AF63" s="3054"/>
      <c r="AG63" s="3054"/>
      <c r="AH63" s="3054"/>
      <c r="AI63" s="3054"/>
      <c r="AJ63" s="3054"/>
      <c r="AK63" s="3055"/>
      <c r="AL63" s="1639"/>
      <c r="AM63" s="1645" t="str">
        <f>'1_入力シート【基本情報】'!FK381</f>
        <v/>
      </c>
      <c r="AN63" s="1645" t="str">
        <f>'1_入力シート【基本情報】'!FL381</f>
        <v/>
      </c>
      <c r="AO63" s="1645" t="str">
        <f>'1_入力シート【基本情報】'!FM381</f>
        <v/>
      </c>
      <c r="AP63" s="1641">
        <f>'1_入力シート【基本情報】'!AR381</f>
        <v>0</v>
      </c>
    </row>
    <row r="64" spans="2:42" ht="12" customHeight="1">
      <c r="B64" s="2993" t="s">
        <v>972</v>
      </c>
      <c r="C64" s="2994"/>
      <c r="D64" s="2995"/>
      <c r="E64" s="3082"/>
      <c r="F64" s="3083"/>
      <c r="G64" s="2941"/>
      <c r="H64" s="2939"/>
      <c r="I64" s="2939"/>
      <c r="J64" s="2939"/>
      <c r="K64" s="2939"/>
      <c r="L64" s="2939"/>
      <c r="M64" s="2939"/>
      <c r="N64" s="2939"/>
      <c r="O64" s="2939"/>
      <c r="P64" s="2939"/>
      <c r="Q64" s="2939"/>
      <c r="R64" s="2939"/>
      <c r="S64" s="2939"/>
      <c r="T64" s="2940"/>
      <c r="U64" s="3044" t="s">
        <v>91</v>
      </c>
      <c r="V64" s="3053"/>
      <c r="W64" s="3054"/>
      <c r="X64" s="3054"/>
      <c r="Y64" s="3054"/>
      <c r="Z64" s="3054"/>
      <c r="AA64" s="3054"/>
      <c r="AB64" s="3054"/>
      <c r="AC64" s="3054"/>
      <c r="AD64" s="3054"/>
      <c r="AE64" s="3054"/>
      <c r="AF64" s="3054"/>
      <c r="AG64" s="3054"/>
      <c r="AH64" s="3054"/>
      <c r="AI64" s="3054"/>
      <c r="AJ64" s="3054"/>
      <c r="AK64" s="3055"/>
      <c r="AL64" s="1639"/>
      <c r="AM64" s="1645" t="str">
        <f>'1_入力シート【基本情報】'!FK382</f>
        <v/>
      </c>
      <c r="AN64" s="1645" t="str">
        <f>'1_入力シート【基本情報】'!FL382</f>
        <v/>
      </c>
      <c r="AO64" s="1645" t="str">
        <f>'1_入力シート【基本情報】'!FM382</f>
        <v/>
      </c>
      <c r="AP64" s="1641">
        <f>'1_入力シート【基本情報】'!AR382</f>
        <v>0</v>
      </c>
    </row>
    <row r="65" spans="2:42" ht="21" customHeight="1">
      <c r="B65" s="2993" t="s">
        <v>973</v>
      </c>
      <c r="C65" s="2994"/>
      <c r="D65" s="2995"/>
      <c r="E65" s="3082"/>
      <c r="F65" s="3083"/>
      <c r="G65" s="2943"/>
      <c r="H65" s="2944"/>
      <c r="I65" s="2944"/>
      <c r="J65" s="2944"/>
      <c r="K65" s="2944"/>
      <c r="L65" s="2944"/>
      <c r="M65" s="2944"/>
      <c r="N65" s="2944"/>
      <c r="O65" s="2944"/>
      <c r="P65" s="2944"/>
      <c r="Q65" s="2944"/>
      <c r="R65" s="2944"/>
      <c r="S65" s="2944"/>
      <c r="T65" s="2945"/>
      <c r="U65" s="3044" t="s">
        <v>92</v>
      </c>
      <c r="V65" s="3053"/>
      <c r="W65" s="3054"/>
      <c r="X65" s="3054"/>
      <c r="Y65" s="3054"/>
      <c r="Z65" s="3054"/>
      <c r="AA65" s="3054"/>
      <c r="AB65" s="3054"/>
      <c r="AC65" s="3054"/>
      <c r="AD65" s="3054"/>
      <c r="AE65" s="3054"/>
      <c r="AF65" s="3054"/>
      <c r="AG65" s="3054"/>
      <c r="AH65" s="3054"/>
      <c r="AI65" s="3054"/>
      <c r="AJ65" s="3054"/>
      <c r="AK65" s="3055"/>
      <c r="AL65" s="1639"/>
      <c r="AM65" s="1645" t="str">
        <f>'1_入力シート【基本情報】'!FK383</f>
        <v/>
      </c>
      <c r="AN65" s="1645" t="str">
        <f>'1_入力シート【基本情報】'!FL383</f>
        <v/>
      </c>
      <c r="AO65" s="1645" t="str">
        <f>'1_入力シート【基本情報】'!FM383</f>
        <v/>
      </c>
      <c r="AP65" s="1641">
        <f>'1_入力シート【基本情報】'!AR383</f>
        <v>0</v>
      </c>
    </row>
    <row r="66" spans="2:42" ht="21" customHeight="1">
      <c r="B66" s="2993" t="s">
        <v>974</v>
      </c>
      <c r="C66" s="2994"/>
      <c r="D66" s="2995"/>
      <c r="E66" s="3082"/>
      <c r="F66" s="3083"/>
      <c r="G66" s="3095" t="s">
        <v>93</v>
      </c>
      <c r="H66" s="3178"/>
      <c r="I66" s="3156"/>
      <c r="J66" s="3156"/>
      <c r="K66" s="3156"/>
      <c r="L66" s="3156"/>
      <c r="M66" s="3156"/>
      <c r="N66" s="3156"/>
      <c r="O66" s="3156"/>
      <c r="P66" s="3156"/>
      <c r="Q66" s="3156"/>
      <c r="R66" s="3156"/>
      <c r="S66" s="3156"/>
      <c r="T66" s="3156"/>
      <c r="U66" s="3044" t="s">
        <v>94</v>
      </c>
      <c r="V66" s="3053"/>
      <c r="W66" s="3054"/>
      <c r="X66" s="3054"/>
      <c r="Y66" s="3054"/>
      <c r="Z66" s="3054"/>
      <c r="AA66" s="3054"/>
      <c r="AB66" s="3054"/>
      <c r="AC66" s="3054"/>
      <c r="AD66" s="3054"/>
      <c r="AE66" s="3054"/>
      <c r="AF66" s="3054"/>
      <c r="AG66" s="3054"/>
      <c r="AH66" s="3054"/>
      <c r="AI66" s="3054"/>
      <c r="AJ66" s="3054"/>
      <c r="AK66" s="3055"/>
      <c r="AL66" s="1639"/>
      <c r="AM66" s="1645" t="str">
        <f>'1_入力シート【基本情報】'!FK384</f>
        <v/>
      </c>
      <c r="AN66" s="1645" t="str">
        <f>'1_入力シート【基本情報】'!FL384</f>
        <v/>
      </c>
      <c r="AO66" s="1645" t="str">
        <f>'1_入力シート【基本情報】'!FM384</f>
        <v/>
      </c>
      <c r="AP66" s="1641">
        <f>'1_入力シート【基本情報】'!AR384</f>
        <v>0</v>
      </c>
    </row>
    <row r="67" spans="2:42" ht="21" customHeight="1">
      <c r="B67" s="2993" t="s">
        <v>975</v>
      </c>
      <c r="C67" s="2994"/>
      <c r="D67" s="2995"/>
      <c r="E67" s="3084"/>
      <c r="F67" s="3085"/>
      <c r="G67" s="3095" t="s">
        <v>217</v>
      </c>
      <c r="H67" s="3178"/>
      <c r="I67" s="3156"/>
      <c r="J67" s="3156"/>
      <c r="K67" s="3156"/>
      <c r="L67" s="3156"/>
      <c r="M67" s="3156"/>
      <c r="N67" s="3156"/>
      <c r="O67" s="3156"/>
      <c r="P67" s="3156"/>
      <c r="Q67" s="3156"/>
      <c r="R67" s="3156"/>
      <c r="S67" s="3156"/>
      <c r="T67" s="3156"/>
      <c r="U67" s="3044" t="s">
        <v>95</v>
      </c>
      <c r="V67" s="3053"/>
      <c r="W67" s="3054"/>
      <c r="X67" s="3054"/>
      <c r="Y67" s="3054"/>
      <c r="Z67" s="3054"/>
      <c r="AA67" s="3054"/>
      <c r="AB67" s="3054"/>
      <c r="AC67" s="3054"/>
      <c r="AD67" s="3054"/>
      <c r="AE67" s="3054"/>
      <c r="AF67" s="3054"/>
      <c r="AG67" s="3054"/>
      <c r="AH67" s="3054"/>
      <c r="AI67" s="3054"/>
      <c r="AJ67" s="3054"/>
      <c r="AK67" s="3055"/>
      <c r="AL67" s="1639"/>
      <c r="AM67" s="1645" t="str">
        <f>'1_入力シート【基本情報】'!FK385</f>
        <v/>
      </c>
      <c r="AN67" s="1645" t="str">
        <f>'1_入力シート【基本情報】'!FL385</f>
        <v/>
      </c>
      <c r="AO67" s="1645" t="str">
        <f>'1_入力シート【基本情報】'!FM385</f>
        <v/>
      </c>
      <c r="AP67" s="1641">
        <f>'1_入力シート【基本情報】'!AR385</f>
        <v>0</v>
      </c>
    </row>
    <row r="68" spans="2:42" ht="12" customHeight="1">
      <c r="B68" s="2993" t="s">
        <v>976</v>
      </c>
      <c r="C68" s="2994"/>
      <c r="D68" s="2995"/>
      <c r="E68" s="3117" t="s">
        <v>19</v>
      </c>
      <c r="F68" s="3081"/>
      <c r="G68" s="3044" t="s">
        <v>55</v>
      </c>
      <c r="H68" s="3073"/>
      <c r="I68" s="2935"/>
      <c r="J68" s="2935"/>
      <c r="K68" s="2935"/>
      <c r="L68" s="2935"/>
      <c r="M68" s="2935"/>
      <c r="N68" s="2935"/>
      <c r="O68" s="2935"/>
      <c r="P68" s="2935"/>
      <c r="Q68" s="2935"/>
      <c r="R68" s="2935"/>
      <c r="S68" s="2935"/>
      <c r="T68" s="2936"/>
      <c r="U68" s="3044" t="s">
        <v>96</v>
      </c>
      <c r="V68" s="3053"/>
      <c r="W68" s="3054"/>
      <c r="X68" s="3054"/>
      <c r="Y68" s="3054"/>
      <c r="Z68" s="3054"/>
      <c r="AA68" s="3054"/>
      <c r="AB68" s="3054"/>
      <c r="AC68" s="3054"/>
      <c r="AD68" s="3054"/>
      <c r="AE68" s="3054"/>
      <c r="AF68" s="3054"/>
      <c r="AG68" s="3054"/>
      <c r="AH68" s="3054"/>
      <c r="AI68" s="3054"/>
      <c r="AJ68" s="3054"/>
      <c r="AK68" s="3055"/>
      <c r="AL68" s="1639"/>
      <c r="AM68" s="1645" t="str">
        <f>'1_入力シート【基本情報】'!FK386</f>
        <v/>
      </c>
      <c r="AN68" s="1645" t="str">
        <f>'1_入力シート【基本情報】'!FL386</f>
        <v/>
      </c>
      <c r="AO68" s="1645" t="str">
        <f>'1_入力シート【基本情報】'!FM386</f>
        <v/>
      </c>
      <c r="AP68" s="1641">
        <f>'1_入力シート【基本情報】'!AR386</f>
        <v>0</v>
      </c>
    </row>
    <row r="69" spans="2:42" ht="12" customHeight="1">
      <c r="B69" s="2993" t="s">
        <v>977</v>
      </c>
      <c r="C69" s="2994"/>
      <c r="D69" s="2995"/>
      <c r="E69" s="3171"/>
      <c r="F69" s="3083"/>
      <c r="G69" s="3132"/>
      <c r="H69" s="3177"/>
      <c r="I69" s="2939"/>
      <c r="J69" s="2939"/>
      <c r="K69" s="2939"/>
      <c r="L69" s="2939"/>
      <c r="M69" s="2939"/>
      <c r="N69" s="2939"/>
      <c r="O69" s="2939"/>
      <c r="P69" s="2939"/>
      <c r="Q69" s="2939"/>
      <c r="R69" s="2939"/>
      <c r="S69" s="2939"/>
      <c r="T69" s="2940"/>
      <c r="U69" s="3044" t="s">
        <v>97</v>
      </c>
      <c r="V69" s="3053"/>
      <c r="W69" s="3054"/>
      <c r="X69" s="3054"/>
      <c r="Y69" s="3054"/>
      <c r="Z69" s="3054"/>
      <c r="AA69" s="3054"/>
      <c r="AB69" s="3054"/>
      <c r="AC69" s="3054"/>
      <c r="AD69" s="3054"/>
      <c r="AE69" s="3054"/>
      <c r="AF69" s="3054"/>
      <c r="AG69" s="3054"/>
      <c r="AH69" s="3054"/>
      <c r="AI69" s="3054"/>
      <c r="AJ69" s="3054"/>
      <c r="AK69" s="3055"/>
      <c r="AL69" s="1639"/>
      <c r="AM69" s="1645" t="str">
        <f>'1_入力シート【基本情報】'!FK387</f>
        <v/>
      </c>
      <c r="AN69" s="1645" t="str">
        <f>'1_入力シート【基本情報】'!FL387</f>
        <v/>
      </c>
      <c r="AO69" s="1645" t="str">
        <f>'1_入力シート【基本情報】'!FM387</f>
        <v/>
      </c>
      <c r="AP69" s="1641">
        <f>'1_入力シート【基本情報】'!AR387</f>
        <v>0</v>
      </c>
    </row>
    <row r="70" spans="2:42" ht="21.75" customHeight="1">
      <c r="B70" s="2993" t="s">
        <v>984</v>
      </c>
      <c r="C70" s="2994"/>
      <c r="D70" s="2995"/>
      <c r="E70" s="3171"/>
      <c r="F70" s="3083"/>
      <c r="G70" s="3133"/>
      <c r="H70" s="3076"/>
      <c r="I70" s="2944"/>
      <c r="J70" s="2944"/>
      <c r="K70" s="2944"/>
      <c r="L70" s="2944"/>
      <c r="M70" s="2944"/>
      <c r="N70" s="2944"/>
      <c r="O70" s="2944"/>
      <c r="P70" s="2944"/>
      <c r="Q70" s="2944"/>
      <c r="R70" s="2944"/>
      <c r="S70" s="2944"/>
      <c r="T70" s="2945"/>
      <c r="U70" s="3044" t="s">
        <v>98</v>
      </c>
      <c r="V70" s="3053"/>
      <c r="W70" s="3054"/>
      <c r="X70" s="3054"/>
      <c r="Y70" s="3054"/>
      <c r="Z70" s="3054"/>
      <c r="AA70" s="3054"/>
      <c r="AB70" s="3054"/>
      <c r="AC70" s="3054"/>
      <c r="AD70" s="3054"/>
      <c r="AE70" s="3054"/>
      <c r="AF70" s="3054"/>
      <c r="AG70" s="3054"/>
      <c r="AH70" s="3054"/>
      <c r="AI70" s="3054"/>
      <c r="AJ70" s="3054"/>
      <c r="AK70" s="3055"/>
      <c r="AL70" s="1639"/>
      <c r="AM70" s="1645" t="str">
        <f>'1_入力シート【基本情報】'!FK388</f>
        <v/>
      </c>
      <c r="AN70" s="1645" t="str">
        <f>'1_入力シート【基本情報】'!FL388</f>
        <v/>
      </c>
      <c r="AO70" s="1645" t="str">
        <f>'1_入力シート【基本情報】'!FM388</f>
        <v/>
      </c>
      <c r="AP70" s="1641">
        <f>'1_入力シート【基本情報】'!AR388</f>
        <v>0</v>
      </c>
    </row>
    <row r="71" spans="2:42" ht="12" customHeight="1">
      <c r="B71" s="2993" t="s">
        <v>985</v>
      </c>
      <c r="C71" s="2994"/>
      <c r="D71" s="2995"/>
      <c r="E71" s="3171"/>
      <c r="F71" s="3083"/>
      <c r="G71" s="3044" t="s">
        <v>242</v>
      </c>
      <c r="H71" s="3073"/>
      <c r="I71" s="2935"/>
      <c r="J71" s="2935"/>
      <c r="K71" s="2935"/>
      <c r="L71" s="2935"/>
      <c r="M71" s="2935"/>
      <c r="N71" s="2935"/>
      <c r="O71" s="2935"/>
      <c r="P71" s="2935"/>
      <c r="Q71" s="2935"/>
      <c r="R71" s="2935"/>
      <c r="S71" s="2935"/>
      <c r="T71" s="2936"/>
      <c r="U71" s="3044" t="s">
        <v>99</v>
      </c>
      <c r="V71" s="3053"/>
      <c r="W71" s="3054"/>
      <c r="X71" s="3054"/>
      <c r="Y71" s="3054"/>
      <c r="Z71" s="3054"/>
      <c r="AA71" s="3054"/>
      <c r="AB71" s="3054"/>
      <c r="AC71" s="3054"/>
      <c r="AD71" s="3054"/>
      <c r="AE71" s="3054"/>
      <c r="AF71" s="3054"/>
      <c r="AG71" s="3054"/>
      <c r="AH71" s="3054"/>
      <c r="AI71" s="3054"/>
      <c r="AJ71" s="3054"/>
      <c r="AK71" s="3055"/>
      <c r="AL71" s="1639"/>
      <c r="AM71" s="1645" t="str">
        <f>'1_入力シート【基本情報】'!FK389</f>
        <v/>
      </c>
      <c r="AN71" s="1645" t="str">
        <f>'1_入力シート【基本情報】'!FL389</f>
        <v/>
      </c>
      <c r="AO71" s="1645" t="str">
        <f>'1_入力シート【基本情報】'!FM389</f>
        <v/>
      </c>
      <c r="AP71" s="1641">
        <f>'1_入力シート【基本情報】'!AR389</f>
        <v>0</v>
      </c>
    </row>
    <row r="72" spans="2:42" ht="12" customHeight="1">
      <c r="B72" s="2993" t="s">
        <v>986</v>
      </c>
      <c r="C72" s="2994"/>
      <c r="D72" s="2995"/>
      <c r="E72" s="3171"/>
      <c r="F72" s="3083"/>
      <c r="G72" s="3176"/>
      <c r="H72" s="3177"/>
      <c r="I72" s="2939"/>
      <c r="J72" s="2939"/>
      <c r="K72" s="2939"/>
      <c r="L72" s="2939"/>
      <c r="M72" s="2939"/>
      <c r="N72" s="2939"/>
      <c r="O72" s="2939"/>
      <c r="P72" s="2939"/>
      <c r="Q72" s="2939"/>
      <c r="R72" s="2939"/>
      <c r="S72" s="2939"/>
      <c r="T72" s="2940"/>
      <c r="U72" s="3044" t="s">
        <v>90</v>
      </c>
      <c r="V72" s="3053"/>
      <c r="W72" s="3054"/>
      <c r="X72" s="3054"/>
      <c r="Y72" s="3054"/>
      <c r="Z72" s="3054"/>
      <c r="AA72" s="3054"/>
      <c r="AB72" s="3054"/>
      <c r="AC72" s="3054"/>
      <c r="AD72" s="3054"/>
      <c r="AE72" s="3054"/>
      <c r="AF72" s="3054"/>
      <c r="AG72" s="3054"/>
      <c r="AH72" s="3054"/>
      <c r="AI72" s="3054"/>
      <c r="AJ72" s="3054"/>
      <c r="AK72" s="3055"/>
      <c r="AL72" s="1639"/>
      <c r="AM72" s="1645" t="str">
        <f>'1_入力シート【基本情報】'!FK390</f>
        <v/>
      </c>
      <c r="AN72" s="1645" t="str">
        <f>'1_入力シート【基本情報】'!FL390</f>
        <v/>
      </c>
      <c r="AO72" s="1645" t="str">
        <f>'1_入力シート【基本情報】'!FM390</f>
        <v/>
      </c>
      <c r="AP72" s="1641">
        <f>'1_入力シート【基本情報】'!AR390</f>
        <v>0</v>
      </c>
    </row>
    <row r="73" spans="2:42" ht="21" customHeight="1">
      <c r="B73" s="2993" t="s">
        <v>987</v>
      </c>
      <c r="C73" s="2994"/>
      <c r="D73" s="2995"/>
      <c r="E73" s="3191"/>
      <c r="F73" s="3085"/>
      <c r="G73" s="3074"/>
      <c r="H73" s="3076"/>
      <c r="I73" s="2944"/>
      <c r="J73" s="2944"/>
      <c r="K73" s="2944"/>
      <c r="L73" s="2944"/>
      <c r="M73" s="2944"/>
      <c r="N73" s="2944"/>
      <c r="O73" s="2944"/>
      <c r="P73" s="2944"/>
      <c r="Q73" s="2944"/>
      <c r="R73" s="2944"/>
      <c r="S73" s="2944"/>
      <c r="T73" s="2945"/>
      <c r="U73" s="3044" t="s">
        <v>92</v>
      </c>
      <c r="V73" s="3053"/>
      <c r="W73" s="3054"/>
      <c r="X73" s="3054"/>
      <c r="Y73" s="3054"/>
      <c r="Z73" s="3054"/>
      <c r="AA73" s="3054"/>
      <c r="AB73" s="3054"/>
      <c r="AC73" s="3054"/>
      <c r="AD73" s="3054"/>
      <c r="AE73" s="3054"/>
      <c r="AF73" s="3054"/>
      <c r="AG73" s="3054"/>
      <c r="AH73" s="3054"/>
      <c r="AI73" s="3054"/>
      <c r="AJ73" s="3054"/>
      <c r="AK73" s="3055"/>
      <c r="AL73" s="1639"/>
      <c r="AM73" s="1645" t="str">
        <f>'1_入力シート【基本情報】'!FK391</f>
        <v/>
      </c>
      <c r="AN73" s="1645" t="str">
        <f>'1_入力シート【基本情報】'!FL391</f>
        <v/>
      </c>
      <c r="AO73" s="1645" t="str">
        <f>'1_入力シート【基本情報】'!FM391</f>
        <v/>
      </c>
      <c r="AP73" s="1641">
        <f>'1_入力シート【基本情報】'!AR391</f>
        <v>0</v>
      </c>
    </row>
    <row r="74" spans="2:42" ht="12" customHeight="1">
      <c r="B74" s="2993" t="s">
        <v>988</v>
      </c>
      <c r="C74" s="2994"/>
      <c r="D74" s="2995"/>
      <c r="E74" s="3117" t="s">
        <v>100</v>
      </c>
      <c r="F74" s="3081"/>
      <c r="G74" s="3052" t="s">
        <v>216</v>
      </c>
      <c r="H74" s="2935"/>
      <c r="I74" s="2935"/>
      <c r="J74" s="2935"/>
      <c r="K74" s="2935"/>
      <c r="L74" s="2935"/>
      <c r="M74" s="2935"/>
      <c r="N74" s="2935"/>
      <c r="O74" s="2935"/>
      <c r="P74" s="2935"/>
      <c r="Q74" s="2935"/>
      <c r="R74" s="2935"/>
      <c r="S74" s="2935"/>
      <c r="T74" s="2936"/>
      <c r="U74" s="3052" t="s">
        <v>215</v>
      </c>
      <c r="V74" s="3053"/>
      <c r="W74" s="3054"/>
      <c r="X74" s="3054"/>
      <c r="Y74" s="3054"/>
      <c r="Z74" s="3054"/>
      <c r="AA74" s="3054"/>
      <c r="AB74" s="3054"/>
      <c r="AC74" s="3054"/>
      <c r="AD74" s="3054"/>
      <c r="AE74" s="3054"/>
      <c r="AF74" s="3054"/>
      <c r="AG74" s="3054"/>
      <c r="AH74" s="3054"/>
      <c r="AI74" s="3054"/>
      <c r="AJ74" s="3054"/>
      <c r="AK74" s="3055"/>
      <c r="AL74" s="1639"/>
      <c r="AM74" s="1645" t="str">
        <f>'1_入力シート【基本情報】'!FK392</f>
        <v/>
      </c>
      <c r="AN74" s="1645" t="str">
        <f>'1_入力シート【基本情報】'!FL392</f>
        <v/>
      </c>
      <c r="AO74" s="1645" t="str">
        <f>'1_入力シート【基本情報】'!FM392</f>
        <v/>
      </c>
      <c r="AP74" s="1641">
        <f>'1_入力シート【基本情報】'!AR392</f>
        <v>0</v>
      </c>
    </row>
    <row r="75" spans="2:42" ht="11.25" customHeight="1">
      <c r="B75" s="2993" t="s">
        <v>989</v>
      </c>
      <c r="C75" s="2994"/>
      <c r="D75" s="2995"/>
      <c r="E75" s="3118"/>
      <c r="F75" s="3083"/>
      <c r="G75" s="2943"/>
      <c r="H75" s="2944"/>
      <c r="I75" s="2944"/>
      <c r="J75" s="2944"/>
      <c r="K75" s="2944"/>
      <c r="L75" s="2944"/>
      <c r="M75" s="2944"/>
      <c r="N75" s="2944"/>
      <c r="O75" s="2944"/>
      <c r="P75" s="2944"/>
      <c r="Q75" s="2944"/>
      <c r="R75" s="2944"/>
      <c r="S75" s="2944"/>
      <c r="T75" s="2945"/>
      <c r="U75" s="3052" t="s">
        <v>101</v>
      </c>
      <c r="V75" s="3053"/>
      <c r="W75" s="3054"/>
      <c r="X75" s="3054"/>
      <c r="Y75" s="3054"/>
      <c r="Z75" s="3054"/>
      <c r="AA75" s="3054"/>
      <c r="AB75" s="3054"/>
      <c r="AC75" s="3054"/>
      <c r="AD75" s="3054"/>
      <c r="AE75" s="3054"/>
      <c r="AF75" s="3054"/>
      <c r="AG75" s="3054"/>
      <c r="AH75" s="3054"/>
      <c r="AI75" s="3054"/>
      <c r="AJ75" s="3054"/>
      <c r="AK75" s="3055"/>
      <c r="AL75" s="1639"/>
      <c r="AM75" s="1645" t="str">
        <f>'1_入力シート【基本情報】'!FK393</f>
        <v/>
      </c>
      <c r="AN75" s="1645" t="str">
        <f>'1_入力シート【基本情報】'!FL393</f>
        <v/>
      </c>
      <c r="AO75" s="1645" t="str">
        <f>'1_入力シート【基本情報】'!FM393</f>
        <v/>
      </c>
      <c r="AP75" s="1641">
        <f>'1_入力シート【基本情報】'!AR393</f>
        <v>0</v>
      </c>
    </row>
    <row r="76" spans="2:42" ht="21" customHeight="1">
      <c r="B76" s="2993" t="s">
        <v>990</v>
      </c>
      <c r="C76" s="2994"/>
      <c r="D76" s="2995"/>
      <c r="E76" s="3119"/>
      <c r="F76" s="3085"/>
      <c r="G76" s="3095" t="s">
        <v>184</v>
      </c>
      <c r="H76" s="3178"/>
      <c r="I76" s="3178"/>
      <c r="J76" s="3178"/>
      <c r="K76" s="3178"/>
      <c r="L76" s="3178"/>
      <c r="M76" s="3178"/>
      <c r="N76" s="3178"/>
      <c r="O76" s="3178"/>
      <c r="P76" s="3178"/>
      <c r="Q76" s="3178"/>
      <c r="R76" s="3178"/>
      <c r="S76" s="3178"/>
      <c r="T76" s="3192"/>
      <c r="U76" s="3052" t="s">
        <v>185</v>
      </c>
      <c r="V76" s="3053"/>
      <c r="W76" s="3054"/>
      <c r="X76" s="3054"/>
      <c r="Y76" s="3054"/>
      <c r="Z76" s="3054"/>
      <c r="AA76" s="3054"/>
      <c r="AB76" s="3054"/>
      <c r="AC76" s="3054"/>
      <c r="AD76" s="3054"/>
      <c r="AE76" s="3054"/>
      <c r="AF76" s="3054"/>
      <c r="AG76" s="3054"/>
      <c r="AH76" s="3054"/>
      <c r="AI76" s="3054"/>
      <c r="AJ76" s="3054"/>
      <c r="AK76" s="3055"/>
      <c r="AL76" s="1639"/>
      <c r="AM76" s="1645" t="str">
        <f>'1_入力シート【基本情報】'!FK394</f>
        <v/>
      </c>
      <c r="AN76" s="1645" t="str">
        <f>'1_入力シート【基本情報】'!FL394</f>
        <v/>
      </c>
      <c r="AO76" s="1645" t="str">
        <f>'1_入力シート【基本情報】'!FM394</f>
        <v/>
      </c>
      <c r="AP76" s="1641">
        <f>'1_入力シート【基本情報】'!AR394</f>
        <v>0</v>
      </c>
    </row>
    <row r="77" spans="2:42" ht="11.25" customHeight="1">
      <c r="B77" s="2993" t="s">
        <v>991</v>
      </c>
      <c r="C77" s="2994"/>
      <c r="D77" s="2995"/>
      <c r="E77" s="3071" t="s">
        <v>233</v>
      </c>
      <c r="F77" s="3121"/>
      <c r="G77" s="3121"/>
      <c r="H77" s="2947"/>
      <c r="I77" s="2947"/>
      <c r="J77" s="2947"/>
      <c r="K77" s="2947"/>
      <c r="L77" s="2947"/>
      <c r="M77" s="2947"/>
      <c r="N77" s="2947"/>
      <c r="O77" s="2947"/>
      <c r="P77" s="2947"/>
      <c r="Q77" s="2947"/>
      <c r="R77" s="2947"/>
      <c r="S77" s="2947"/>
      <c r="T77" s="2948"/>
      <c r="U77" s="3052" t="s">
        <v>234</v>
      </c>
      <c r="V77" s="3053"/>
      <c r="W77" s="3054"/>
      <c r="X77" s="3054"/>
      <c r="Y77" s="3054"/>
      <c r="Z77" s="3054"/>
      <c r="AA77" s="3054"/>
      <c r="AB77" s="3054"/>
      <c r="AC77" s="3054"/>
      <c r="AD77" s="3054"/>
      <c r="AE77" s="3054"/>
      <c r="AF77" s="3054"/>
      <c r="AG77" s="3054"/>
      <c r="AH77" s="3054"/>
      <c r="AI77" s="3054"/>
      <c r="AJ77" s="3054"/>
      <c r="AK77" s="3055"/>
      <c r="AL77" s="1639"/>
      <c r="AM77" s="1645" t="str">
        <f>'1_入力シート【基本情報】'!FK395</f>
        <v/>
      </c>
      <c r="AN77" s="1645" t="str">
        <f>'1_入力シート【基本情報】'!FL395</f>
        <v/>
      </c>
      <c r="AO77" s="1645" t="str">
        <f>'1_入力シート【基本情報】'!FM395</f>
        <v/>
      </c>
      <c r="AP77" s="1641">
        <f>'1_入力シート【基本情報】'!AR395</f>
        <v>0</v>
      </c>
    </row>
    <row r="78" spans="2:42" ht="29.5" customHeight="1">
      <c r="B78" s="2993" t="s">
        <v>992</v>
      </c>
      <c r="C78" s="2994"/>
      <c r="D78" s="2995"/>
      <c r="E78" s="3179"/>
      <c r="F78" s="3123"/>
      <c r="G78" s="3123"/>
      <c r="H78" s="3124"/>
      <c r="I78" s="3124"/>
      <c r="J78" s="3124"/>
      <c r="K78" s="3124"/>
      <c r="L78" s="3124"/>
      <c r="M78" s="3124"/>
      <c r="N78" s="3124"/>
      <c r="O78" s="3124"/>
      <c r="P78" s="3124"/>
      <c r="Q78" s="3124"/>
      <c r="R78" s="3124"/>
      <c r="S78" s="3124"/>
      <c r="T78" s="2951"/>
      <c r="U78" s="3052" t="s">
        <v>235</v>
      </c>
      <c r="V78" s="3053"/>
      <c r="W78" s="3054"/>
      <c r="X78" s="3054"/>
      <c r="Y78" s="3054"/>
      <c r="Z78" s="3054"/>
      <c r="AA78" s="3054"/>
      <c r="AB78" s="3054"/>
      <c r="AC78" s="3054"/>
      <c r="AD78" s="3054"/>
      <c r="AE78" s="3054"/>
      <c r="AF78" s="3054"/>
      <c r="AG78" s="3054"/>
      <c r="AH78" s="3054"/>
      <c r="AI78" s="3054"/>
      <c r="AJ78" s="3054"/>
      <c r="AK78" s="3055"/>
      <c r="AL78" s="1639"/>
      <c r="AM78" s="1645" t="str">
        <f>'1_入力シート【基本情報】'!FK396</f>
        <v/>
      </c>
      <c r="AN78" s="1645" t="str">
        <f>'1_入力シート【基本情報】'!FL396</f>
        <v/>
      </c>
      <c r="AO78" s="1645" t="str">
        <f>'1_入力シート【基本情報】'!FM396</f>
        <v/>
      </c>
      <c r="AP78" s="1641">
        <f>'1_入力シート【基本情報】'!AR396</f>
        <v>0</v>
      </c>
    </row>
    <row r="79" spans="2:42" ht="23.25" customHeight="1">
      <c r="B79" s="2993" t="s">
        <v>993</v>
      </c>
      <c r="C79" s="2994"/>
      <c r="D79" s="2995"/>
      <c r="E79" s="3180"/>
      <c r="F79" s="3123"/>
      <c r="G79" s="3123"/>
      <c r="H79" s="3124"/>
      <c r="I79" s="3124"/>
      <c r="J79" s="3124"/>
      <c r="K79" s="3124"/>
      <c r="L79" s="3124"/>
      <c r="M79" s="3124"/>
      <c r="N79" s="3124"/>
      <c r="O79" s="3124"/>
      <c r="P79" s="3124"/>
      <c r="Q79" s="3124"/>
      <c r="R79" s="3124"/>
      <c r="S79" s="3124"/>
      <c r="T79" s="2951"/>
      <c r="U79" s="3052" t="s">
        <v>214</v>
      </c>
      <c r="V79" s="3053"/>
      <c r="W79" s="3054"/>
      <c r="X79" s="3054"/>
      <c r="Y79" s="3054"/>
      <c r="Z79" s="3054"/>
      <c r="AA79" s="3054"/>
      <c r="AB79" s="3054"/>
      <c r="AC79" s="3054"/>
      <c r="AD79" s="3054"/>
      <c r="AE79" s="3054"/>
      <c r="AF79" s="3054"/>
      <c r="AG79" s="3054"/>
      <c r="AH79" s="3054"/>
      <c r="AI79" s="3054"/>
      <c r="AJ79" s="3054"/>
      <c r="AK79" s="3055"/>
      <c r="AL79" s="1639"/>
      <c r="AM79" s="1645" t="str">
        <f>'1_入力シート【基本情報】'!FK397</f>
        <v/>
      </c>
      <c r="AN79" s="1645" t="str">
        <f>'1_入力シート【基本情報】'!FL397</f>
        <v/>
      </c>
      <c r="AO79" s="1645" t="str">
        <f>'1_入力シート【基本情報】'!FM397</f>
        <v/>
      </c>
      <c r="AP79" s="1641">
        <f>'1_入力シート【基本情報】'!AR397</f>
        <v>0</v>
      </c>
    </row>
    <row r="80" spans="2:42" ht="12" customHeight="1">
      <c r="B80" s="2993" t="s">
        <v>994</v>
      </c>
      <c r="C80" s="2994"/>
      <c r="D80" s="2994"/>
      <c r="E80" s="3180"/>
      <c r="F80" s="3123"/>
      <c r="G80" s="3123"/>
      <c r="H80" s="3124"/>
      <c r="I80" s="3124"/>
      <c r="J80" s="3124"/>
      <c r="K80" s="3124"/>
      <c r="L80" s="3124"/>
      <c r="M80" s="3124"/>
      <c r="N80" s="3124"/>
      <c r="O80" s="3124"/>
      <c r="P80" s="3124"/>
      <c r="Q80" s="3124"/>
      <c r="R80" s="3124"/>
      <c r="S80" s="3124"/>
      <c r="T80" s="2951"/>
      <c r="U80" s="3052" t="s">
        <v>236</v>
      </c>
      <c r="V80" s="3053"/>
      <c r="W80" s="3054"/>
      <c r="X80" s="3054"/>
      <c r="Y80" s="3054"/>
      <c r="Z80" s="3054"/>
      <c r="AA80" s="3054"/>
      <c r="AB80" s="3054"/>
      <c r="AC80" s="3054"/>
      <c r="AD80" s="3054"/>
      <c r="AE80" s="3054"/>
      <c r="AF80" s="3054"/>
      <c r="AG80" s="3054"/>
      <c r="AH80" s="3054"/>
      <c r="AI80" s="3054"/>
      <c r="AJ80" s="3054"/>
      <c r="AK80" s="3055"/>
      <c r="AL80" s="1639"/>
      <c r="AM80" s="1645" t="str">
        <f>'1_入力シート【基本情報】'!FK398</f>
        <v/>
      </c>
      <c r="AN80" s="1645" t="str">
        <f>'1_入力シート【基本情報】'!FL398</f>
        <v/>
      </c>
      <c r="AO80" s="1645" t="str">
        <f>'1_入力シート【基本情報】'!FM398</f>
        <v/>
      </c>
      <c r="AP80" s="1641">
        <f>'1_入力シート【基本情報】'!AR398</f>
        <v>0</v>
      </c>
    </row>
    <row r="81" spans="2:42" ht="12" customHeight="1">
      <c r="B81" s="2993" t="s">
        <v>995</v>
      </c>
      <c r="C81" s="2994"/>
      <c r="D81" s="2994"/>
      <c r="E81" s="3180"/>
      <c r="F81" s="3123"/>
      <c r="G81" s="3123"/>
      <c r="H81" s="3124"/>
      <c r="I81" s="3124"/>
      <c r="J81" s="3124"/>
      <c r="K81" s="3124"/>
      <c r="L81" s="3124"/>
      <c r="M81" s="3124"/>
      <c r="N81" s="3124"/>
      <c r="O81" s="3124"/>
      <c r="P81" s="3124"/>
      <c r="Q81" s="3124"/>
      <c r="R81" s="3124"/>
      <c r="S81" s="3124"/>
      <c r="T81" s="2951"/>
      <c r="U81" s="3052" t="s">
        <v>237</v>
      </c>
      <c r="V81" s="3053"/>
      <c r="W81" s="3054"/>
      <c r="X81" s="3054"/>
      <c r="Y81" s="3054"/>
      <c r="Z81" s="3054"/>
      <c r="AA81" s="3054"/>
      <c r="AB81" s="3054"/>
      <c r="AC81" s="3054"/>
      <c r="AD81" s="3054"/>
      <c r="AE81" s="3054"/>
      <c r="AF81" s="3054"/>
      <c r="AG81" s="3054"/>
      <c r="AH81" s="3054"/>
      <c r="AI81" s="3054"/>
      <c r="AJ81" s="3054"/>
      <c r="AK81" s="3055"/>
      <c r="AL81" s="1639"/>
      <c r="AM81" s="1645" t="str">
        <f>'1_入力シート【基本情報】'!FK399</f>
        <v/>
      </c>
      <c r="AN81" s="1645" t="str">
        <f>'1_入力シート【基本情報】'!FL399</f>
        <v/>
      </c>
      <c r="AO81" s="1645" t="str">
        <f>'1_入力シート【基本情報】'!FM399</f>
        <v/>
      </c>
      <c r="AP81" s="1641">
        <f>'1_入力シート【基本情報】'!AR399</f>
        <v>0</v>
      </c>
    </row>
    <row r="82" spans="2:42" ht="12" customHeight="1">
      <c r="B82" s="2993" t="s">
        <v>996</v>
      </c>
      <c r="C82" s="2994"/>
      <c r="D82" s="2994"/>
      <c r="E82" s="3180"/>
      <c r="F82" s="3123"/>
      <c r="G82" s="3123"/>
      <c r="H82" s="3124"/>
      <c r="I82" s="3124"/>
      <c r="J82" s="3124"/>
      <c r="K82" s="3124"/>
      <c r="L82" s="3124"/>
      <c r="M82" s="3124"/>
      <c r="N82" s="3124"/>
      <c r="O82" s="3124"/>
      <c r="P82" s="3124"/>
      <c r="Q82" s="3124"/>
      <c r="R82" s="3124"/>
      <c r="S82" s="3124"/>
      <c r="T82" s="2951"/>
      <c r="U82" s="3052" t="s">
        <v>238</v>
      </c>
      <c r="V82" s="3053"/>
      <c r="W82" s="3054"/>
      <c r="X82" s="3054"/>
      <c r="Y82" s="3054"/>
      <c r="Z82" s="3054"/>
      <c r="AA82" s="3054"/>
      <c r="AB82" s="3054"/>
      <c r="AC82" s="3054"/>
      <c r="AD82" s="3054"/>
      <c r="AE82" s="3054"/>
      <c r="AF82" s="3054"/>
      <c r="AG82" s="3054"/>
      <c r="AH82" s="3054"/>
      <c r="AI82" s="3054"/>
      <c r="AJ82" s="3054"/>
      <c r="AK82" s="3055"/>
      <c r="AL82" s="1639"/>
      <c r="AM82" s="1645" t="str">
        <f>'1_入力シート【基本情報】'!FK400</f>
        <v/>
      </c>
      <c r="AN82" s="1645" t="str">
        <f>'1_入力シート【基本情報】'!FL400</f>
        <v/>
      </c>
      <c r="AO82" s="1645" t="str">
        <f>'1_入力シート【基本情報】'!FM400</f>
        <v/>
      </c>
      <c r="AP82" s="1641">
        <f>'1_入力シート【基本情報】'!AR400</f>
        <v>0</v>
      </c>
    </row>
    <row r="83" spans="2:42" ht="22.15" customHeight="1">
      <c r="B83" s="2993" t="s">
        <v>997</v>
      </c>
      <c r="C83" s="2994"/>
      <c r="D83" s="2994"/>
      <c r="E83" s="3180"/>
      <c r="F83" s="3123"/>
      <c r="G83" s="3123"/>
      <c r="H83" s="3124"/>
      <c r="I83" s="3124"/>
      <c r="J83" s="3124"/>
      <c r="K83" s="3124"/>
      <c r="L83" s="3124"/>
      <c r="M83" s="3124"/>
      <c r="N83" s="3124"/>
      <c r="O83" s="3124"/>
      <c r="P83" s="3124"/>
      <c r="Q83" s="3124"/>
      <c r="R83" s="3124"/>
      <c r="S83" s="3124"/>
      <c r="T83" s="2951"/>
      <c r="U83" s="3095" t="s">
        <v>239</v>
      </c>
      <c r="V83" s="3019"/>
      <c r="W83" s="3024"/>
      <c r="X83" s="3024"/>
      <c r="Y83" s="3024"/>
      <c r="Z83" s="3024"/>
      <c r="AA83" s="3024"/>
      <c r="AB83" s="3024"/>
      <c r="AC83" s="3024"/>
      <c r="AD83" s="3024"/>
      <c r="AE83" s="3024"/>
      <c r="AF83" s="3024"/>
      <c r="AG83" s="3024"/>
      <c r="AH83" s="3024"/>
      <c r="AI83" s="3024"/>
      <c r="AJ83" s="3024"/>
      <c r="AK83" s="3025"/>
      <c r="AL83" s="1639"/>
      <c r="AM83" s="1645" t="str">
        <f>'1_入力シート【基本情報】'!FK401</f>
        <v/>
      </c>
      <c r="AN83" s="1645" t="str">
        <f>'1_入力シート【基本情報】'!FL401</f>
        <v/>
      </c>
      <c r="AO83" s="1645" t="str">
        <f>'1_入力シート【基本情報】'!FM401</f>
        <v/>
      </c>
      <c r="AP83" s="1641">
        <f>'1_入力シート【基本情報】'!AR401</f>
        <v>0</v>
      </c>
    </row>
    <row r="84" spans="2:42" ht="12" customHeight="1">
      <c r="B84" s="2993" t="s">
        <v>998</v>
      </c>
      <c r="C84" s="2994"/>
      <c r="D84" s="2994"/>
      <c r="E84" s="3181"/>
      <c r="F84" s="3126"/>
      <c r="G84" s="3126"/>
      <c r="H84" s="2953"/>
      <c r="I84" s="2953"/>
      <c r="J84" s="2953"/>
      <c r="K84" s="2953"/>
      <c r="L84" s="2953"/>
      <c r="M84" s="2953"/>
      <c r="N84" s="2953"/>
      <c r="O84" s="2953"/>
      <c r="P84" s="2953"/>
      <c r="Q84" s="2953"/>
      <c r="R84" s="2953"/>
      <c r="S84" s="2953"/>
      <c r="T84" s="2954"/>
      <c r="U84" s="3133" t="s">
        <v>240</v>
      </c>
      <c r="V84" s="3018"/>
      <c r="W84" s="3100"/>
      <c r="X84" s="3100"/>
      <c r="Y84" s="3100"/>
      <c r="Z84" s="3100"/>
      <c r="AA84" s="3100"/>
      <c r="AB84" s="3100"/>
      <c r="AC84" s="3100"/>
      <c r="AD84" s="3100"/>
      <c r="AE84" s="3100"/>
      <c r="AF84" s="3100"/>
      <c r="AG84" s="3100"/>
      <c r="AH84" s="3100"/>
      <c r="AI84" s="3100"/>
      <c r="AJ84" s="3100"/>
      <c r="AK84" s="3101"/>
      <c r="AL84" s="1639"/>
      <c r="AM84" s="1645" t="str">
        <f>'1_入力シート【基本情報】'!FK402</f>
        <v/>
      </c>
      <c r="AN84" s="1645" t="str">
        <f>'1_入力シート【基本情報】'!FL402</f>
        <v/>
      </c>
      <c r="AO84" s="1645" t="str">
        <f>'1_入力シート【基本情報】'!FM402</f>
        <v/>
      </c>
      <c r="AP84" s="1641">
        <f>'1_入力シート【基本情報】'!AR402</f>
        <v>0</v>
      </c>
    </row>
    <row r="85" spans="2:42" ht="12" customHeight="1">
      <c r="B85" s="2993" t="s">
        <v>999</v>
      </c>
      <c r="C85" s="2994"/>
      <c r="D85" s="2994"/>
      <c r="E85" s="3120" t="s">
        <v>213</v>
      </c>
      <c r="F85" s="3121"/>
      <c r="G85" s="3121"/>
      <c r="H85" s="2947"/>
      <c r="I85" s="2947"/>
      <c r="J85" s="2947"/>
      <c r="K85" s="2947"/>
      <c r="L85" s="2947"/>
      <c r="M85" s="2947"/>
      <c r="N85" s="2947"/>
      <c r="O85" s="2947"/>
      <c r="P85" s="2947"/>
      <c r="Q85" s="2947"/>
      <c r="R85" s="2947"/>
      <c r="S85" s="2947"/>
      <c r="T85" s="2948"/>
      <c r="U85" s="3127" t="s">
        <v>102</v>
      </c>
      <c r="V85" s="3077"/>
      <c r="W85" s="3078"/>
      <c r="X85" s="3078"/>
      <c r="Y85" s="3078"/>
      <c r="Z85" s="3078"/>
      <c r="AA85" s="3078"/>
      <c r="AB85" s="3078"/>
      <c r="AC85" s="3078"/>
      <c r="AD85" s="3078"/>
      <c r="AE85" s="3078"/>
      <c r="AF85" s="3078"/>
      <c r="AG85" s="3078"/>
      <c r="AH85" s="3078"/>
      <c r="AI85" s="3078"/>
      <c r="AJ85" s="3078"/>
      <c r="AK85" s="3078"/>
      <c r="AL85" s="1639"/>
      <c r="AM85" s="1645" t="str">
        <f>'1_入力シート【基本情報】'!FK403</f>
        <v/>
      </c>
      <c r="AN85" s="1645" t="str">
        <f>'1_入力シート【基本情報】'!FL403</f>
        <v/>
      </c>
      <c r="AO85" s="1645" t="str">
        <f>'1_入力シート【基本情報】'!FM403</f>
        <v/>
      </c>
      <c r="AP85" s="1641">
        <f>'1_入力シート【基本情報】'!AR403</f>
        <v>0</v>
      </c>
    </row>
    <row r="86" spans="2:42" ht="23.25" customHeight="1">
      <c r="B86" s="2993" t="s">
        <v>1000</v>
      </c>
      <c r="C86" s="2994"/>
      <c r="D86" s="2994"/>
      <c r="E86" s="3181"/>
      <c r="F86" s="3126"/>
      <c r="G86" s="3126"/>
      <c r="H86" s="2953"/>
      <c r="I86" s="2953"/>
      <c r="J86" s="2953"/>
      <c r="K86" s="2953"/>
      <c r="L86" s="2953"/>
      <c r="M86" s="2953"/>
      <c r="N86" s="2953"/>
      <c r="O86" s="2953"/>
      <c r="P86" s="2953"/>
      <c r="Q86" s="2953"/>
      <c r="R86" s="2953"/>
      <c r="S86" s="2953"/>
      <c r="T86" s="2954"/>
      <c r="U86" s="3127" t="s">
        <v>241</v>
      </c>
      <c r="V86" s="3077"/>
      <c r="W86" s="3078"/>
      <c r="X86" s="3078"/>
      <c r="Y86" s="3078"/>
      <c r="Z86" s="3078"/>
      <c r="AA86" s="3078"/>
      <c r="AB86" s="3078"/>
      <c r="AC86" s="3078"/>
      <c r="AD86" s="3078"/>
      <c r="AE86" s="3078"/>
      <c r="AF86" s="3078"/>
      <c r="AG86" s="3078"/>
      <c r="AH86" s="3078"/>
      <c r="AI86" s="3078"/>
      <c r="AJ86" s="3078"/>
      <c r="AK86" s="3078"/>
      <c r="AL86" s="1639"/>
      <c r="AM86" s="1645" t="str">
        <f>'1_入力シート【基本情報】'!FK404</f>
        <v/>
      </c>
      <c r="AN86" s="1645" t="str">
        <f>'1_入力シート【基本情報】'!FL404</f>
        <v/>
      </c>
      <c r="AO86" s="1645" t="str">
        <f>'1_入力シート【基本情報】'!FM404</f>
        <v/>
      </c>
      <c r="AP86" s="1641">
        <f>'1_入力シート【基本情報】'!AR404</f>
        <v>0</v>
      </c>
    </row>
    <row r="87" spans="2:42" ht="23.25" customHeight="1">
      <c r="B87" s="2993" t="s">
        <v>1001</v>
      </c>
      <c r="C87" s="2994"/>
      <c r="D87" s="2994"/>
      <c r="E87" s="3052" t="s">
        <v>978</v>
      </c>
      <c r="F87" s="3073"/>
      <c r="G87" s="3073"/>
      <c r="H87" s="2947"/>
      <c r="I87" s="2947"/>
      <c r="J87" s="2947"/>
      <c r="K87" s="2947"/>
      <c r="L87" s="2947"/>
      <c r="M87" s="2947"/>
      <c r="N87" s="2947"/>
      <c r="O87" s="2947"/>
      <c r="P87" s="2947"/>
      <c r="Q87" s="2947"/>
      <c r="R87" s="2947"/>
      <c r="S87" s="2947"/>
      <c r="T87" s="2948"/>
      <c r="U87" s="3127" t="s">
        <v>979</v>
      </c>
      <c r="V87" s="3077"/>
      <c r="W87" s="3078"/>
      <c r="X87" s="3078"/>
      <c r="Y87" s="3078"/>
      <c r="Z87" s="3078"/>
      <c r="AA87" s="3078"/>
      <c r="AB87" s="3078"/>
      <c r="AC87" s="3078"/>
      <c r="AD87" s="3078"/>
      <c r="AE87" s="3078"/>
      <c r="AF87" s="3078"/>
      <c r="AG87" s="3078"/>
      <c r="AH87" s="3078"/>
      <c r="AI87" s="3078"/>
      <c r="AJ87" s="3078"/>
      <c r="AK87" s="3078"/>
      <c r="AL87" s="1639"/>
      <c r="AM87" s="1645" t="str">
        <f>'1_入力シート【基本情報】'!FK405</f>
        <v/>
      </c>
      <c r="AN87" s="1645" t="str">
        <f>'1_入力シート【基本情報】'!FL405</f>
        <v/>
      </c>
      <c r="AO87" s="1645" t="str">
        <f>'1_入力シート【基本情報】'!FM405</f>
        <v/>
      </c>
      <c r="AP87" s="1641">
        <f>'1_入力シート【基本情報】'!AR405</f>
        <v>0</v>
      </c>
    </row>
    <row r="88" spans="2:42" ht="23.25" customHeight="1">
      <c r="B88" s="2993" t="s">
        <v>1002</v>
      </c>
      <c r="C88" s="2994"/>
      <c r="D88" s="2994"/>
      <c r="E88" s="3133"/>
      <c r="F88" s="3076"/>
      <c r="G88" s="3076"/>
      <c r="H88" s="2953"/>
      <c r="I88" s="2953"/>
      <c r="J88" s="2953"/>
      <c r="K88" s="2953"/>
      <c r="L88" s="2953"/>
      <c r="M88" s="2953"/>
      <c r="N88" s="2953"/>
      <c r="O88" s="2953"/>
      <c r="P88" s="2953"/>
      <c r="Q88" s="2953"/>
      <c r="R88" s="2953"/>
      <c r="S88" s="2953"/>
      <c r="T88" s="2954"/>
      <c r="U88" s="3127" t="s">
        <v>980</v>
      </c>
      <c r="V88" s="3077"/>
      <c r="W88" s="3078"/>
      <c r="X88" s="3078"/>
      <c r="Y88" s="3078"/>
      <c r="Z88" s="3078"/>
      <c r="AA88" s="3078"/>
      <c r="AB88" s="3078"/>
      <c r="AC88" s="3078"/>
      <c r="AD88" s="3078"/>
      <c r="AE88" s="3078"/>
      <c r="AF88" s="3078"/>
      <c r="AG88" s="3078"/>
      <c r="AH88" s="3078"/>
      <c r="AI88" s="3078"/>
      <c r="AJ88" s="3078"/>
      <c r="AK88" s="3078"/>
      <c r="AL88" s="1639"/>
      <c r="AM88" s="1645" t="str">
        <f>'1_入力シート【基本情報】'!FK406</f>
        <v/>
      </c>
      <c r="AN88" s="1645" t="str">
        <f>'1_入力シート【基本情報】'!FL406</f>
        <v/>
      </c>
      <c r="AO88" s="1645" t="str">
        <f>'1_入力シート【基本情報】'!FM406</f>
        <v/>
      </c>
      <c r="AP88" s="1641">
        <f>'1_入力シート【基本情報】'!AR406</f>
        <v>0</v>
      </c>
    </row>
    <row r="89" spans="2:42" ht="12" customHeight="1">
      <c r="B89" s="2993" t="s">
        <v>1003</v>
      </c>
      <c r="C89" s="2994"/>
      <c r="D89" s="2994"/>
      <c r="E89" s="3120" t="s">
        <v>103</v>
      </c>
      <c r="F89" s="3121"/>
      <c r="G89" s="3121"/>
      <c r="H89" s="2947"/>
      <c r="I89" s="2947"/>
      <c r="J89" s="2947"/>
      <c r="K89" s="2947"/>
      <c r="L89" s="2947"/>
      <c r="M89" s="2947"/>
      <c r="N89" s="2947"/>
      <c r="O89" s="2947"/>
      <c r="P89" s="2947"/>
      <c r="Q89" s="2947"/>
      <c r="R89" s="2947"/>
      <c r="S89" s="2947"/>
      <c r="T89" s="2948"/>
      <c r="U89" s="3127" t="s">
        <v>104</v>
      </c>
      <c r="V89" s="3077"/>
      <c r="W89" s="3078"/>
      <c r="X89" s="3078"/>
      <c r="Y89" s="3078"/>
      <c r="Z89" s="3078"/>
      <c r="AA89" s="3078"/>
      <c r="AB89" s="3078"/>
      <c r="AC89" s="3078"/>
      <c r="AD89" s="3078"/>
      <c r="AE89" s="3078"/>
      <c r="AF89" s="3078"/>
      <c r="AG89" s="3078"/>
      <c r="AH89" s="3078"/>
      <c r="AI89" s="3078"/>
      <c r="AJ89" s="3078"/>
      <c r="AK89" s="3078"/>
      <c r="AL89" s="1639"/>
      <c r="AM89" s="1645" t="str">
        <f>'1_入力シート【基本情報】'!FK407</f>
        <v/>
      </c>
      <c r="AN89" s="1645" t="str">
        <f>'1_入力シート【基本情報】'!FL407</f>
        <v/>
      </c>
      <c r="AO89" s="1645" t="str">
        <f>'1_入力シート【基本情報】'!FM407</f>
        <v/>
      </c>
      <c r="AP89" s="1641">
        <f>'1_入力シート【基本情報】'!AR407</f>
        <v>0</v>
      </c>
    </row>
    <row r="90" spans="2:42" ht="12" customHeight="1">
      <c r="B90" s="2993" t="s">
        <v>1004</v>
      </c>
      <c r="C90" s="2994"/>
      <c r="D90" s="2994"/>
      <c r="E90" s="3122"/>
      <c r="F90" s="3123"/>
      <c r="G90" s="3123"/>
      <c r="H90" s="3124"/>
      <c r="I90" s="3124"/>
      <c r="J90" s="3124"/>
      <c r="K90" s="3124"/>
      <c r="L90" s="3124"/>
      <c r="M90" s="3124"/>
      <c r="N90" s="3124"/>
      <c r="O90" s="3124"/>
      <c r="P90" s="3124"/>
      <c r="Q90" s="3124"/>
      <c r="R90" s="3124"/>
      <c r="S90" s="3124"/>
      <c r="T90" s="2951"/>
      <c r="U90" s="3077" t="s">
        <v>105</v>
      </c>
      <c r="V90" s="3077"/>
      <c r="W90" s="3078"/>
      <c r="X90" s="3078"/>
      <c r="Y90" s="3078"/>
      <c r="Z90" s="3078"/>
      <c r="AA90" s="3078"/>
      <c r="AB90" s="3078"/>
      <c r="AC90" s="3078"/>
      <c r="AD90" s="3078"/>
      <c r="AE90" s="3078"/>
      <c r="AF90" s="3078"/>
      <c r="AG90" s="3078"/>
      <c r="AH90" s="3078"/>
      <c r="AI90" s="3078"/>
      <c r="AJ90" s="3078"/>
      <c r="AK90" s="3078"/>
      <c r="AL90" s="1639"/>
      <c r="AM90" s="1645" t="str">
        <f>'1_入力シート【基本情報】'!FK408</f>
        <v/>
      </c>
      <c r="AN90" s="1645" t="str">
        <f>'1_入力シート【基本情報】'!FL408</f>
        <v/>
      </c>
      <c r="AO90" s="1645" t="str">
        <f>'1_入力シート【基本情報】'!FM408</f>
        <v/>
      </c>
      <c r="AP90" s="1641">
        <f>'1_入力シート【基本情報】'!AR408</f>
        <v>0</v>
      </c>
    </row>
    <row r="91" spans="2:42" ht="12" customHeight="1">
      <c r="B91" s="2993" t="s">
        <v>1005</v>
      </c>
      <c r="C91" s="2994"/>
      <c r="D91" s="2994"/>
      <c r="E91" s="3122"/>
      <c r="F91" s="3123"/>
      <c r="G91" s="3123"/>
      <c r="H91" s="3124"/>
      <c r="I91" s="3124"/>
      <c r="J91" s="3124"/>
      <c r="K91" s="3124"/>
      <c r="L91" s="3124"/>
      <c r="M91" s="3124"/>
      <c r="N91" s="3124"/>
      <c r="O91" s="3124"/>
      <c r="P91" s="3124"/>
      <c r="Q91" s="3124"/>
      <c r="R91" s="3124"/>
      <c r="S91" s="3124"/>
      <c r="T91" s="2951"/>
      <c r="U91" s="3077" t="s">
        <v>106</v>
      </c>
      <c r="V91" s="3077"/>
      <c r="W91" s="3078"/>
      <c r="X91" s="3078"/>
      <c r="Y91" s="3078"/>
      <c r="Z91" s="3078"/>
      <c r="AA91" s="3078"/>
      <c r="AB91" s="3078"/>
      <c r="AC91" s="3078"/>
      <c r="AD91" s="3078"/>
      <c r="AE91" s="3078"/>
      <c r="AF91" s="3078"/>
      <c r="AG91" s="3078"/>
      <c r="AH91" s="3078"/>
      <c r="AI91" s="3078"/>
      <c r="AJ91" s="3078"/>
      <c r="AK91" s="3078"/>
      <c r="AL91" s="1639"/>
      <c r="AM91" s="1645" t="str">
        <f>'1_入力シート【基本情報】'!FK409</f>
        <v/>
      </c>
      <c r="AN91" s="1645" t="str">
        <f>'1_入力シート【基本情報】'!FL409</f>
        <v/>
      </c>
      <c r="AO91" s="1645" t="str">
        <f>'1_入力シート【基本情報】'!FM409</f>
        <v/>
      </c>
      <c r="AP91" s="1641">
        <f>'1_入力シート【基本情報】'!AR409</f>
        <v>0</v>
      </c>
    </row>
    <row r="92" spans="2:42" ht="12" customHeight="1">
      <c r="B92" s="2993" t="s">
        <v>1341</v>
      </c>
      <c r="C92" s="2994"/>
      <c r="D92" s="2994"/>
      <c r="E92" s="3122"/>
      <c r="F92" s="3123"/>
      <c r="G92" s="3123"/>
      <c r="H92" s="3124"/>
      <c r="I92" s="3124"/>
      <c r="J92" s="3124"/>
      <c r="K92" s="3124"/>
      <c r="L92" s="3124"/>
      <c r="M92" s="3124"/>
      <c r="N92" s="3124"/>
      <c r="O92" s="3124"/>
      <c r="P92" s="3124"/>
      <c r="Q92" s="3124"/>
      <c r="R92" s="3124"/>
      <c r="S92" s="3124"/>
      <c r="T92" s="2951"/>
      <c r="U92" s="3077" t="s">
        <v>107</v>
      </c>
      <c r="V92" s="3077"/>
      <c r="W92" s="3078"/>
      <c r="X92" s="3078"/>
      <c r="Y92" s="3078"/>
      <c r="Z92" s="3078"/>
      <c r="AA92" s="3078"/>
      <c r="AB92" s="3078"/>
      <c r="AC92" s="3078"/>
      <c r="AD92" s="3078"/>
      <c r="AE92" s="3078"/>
      <c r="AF92" s="3078"/>
      <c r="AG92" s="3078"/>
      <c r="AH92" s="3078"/>
      <c r="AI92" s="3078"/>
      <c r="AJ92" s="3078"/>
      <c r="AK92" s="3078"/>
      <c r="AL92" s="1639"/>
      <c r="AM92" s="1645" t="str">
        <f>'1_入力シート【基本情報】'!FK410</f>
        <v/>
      </c>
      <c r="AN92" s="1645" t="str">
        <f>'1_入力シート【基本情報】'!FL410</f>
        <v/>
      </c>
      <c r="AO92" s="1645" t="str">
        <f>'1_入力シート【基本情報】'!FM410</f>
        <v/>
      </c>
      <c r="AP92" s="1641">
        <f>'1_入力シート【基本情報】'!AR410</f>
        <v>0</v>
      </c>
    </row>
    <row r="93" spans="2:42" ht="12" customHeight="1">
      <c r="B93" s="2993" t="s">
        <v>1342</v>
      </c>
      <c r="C93" s="2994"/>
      <c r="D93" s="2994"/>
      <c r="E93" s="3122"/>
      <c r="F93" s="3123"/>
      <c r="G93" s="3123"/>
      <c r="H93" s="3124"/>
      <c r="I93" s="3124"/>
      <c r="J93" s="3124"/>
      <c r="K93" s="3124"/>
      <c r="L93" s="3124"/>
      <c r="M93" s="3124"/>
      <c r="N93" s="3124"/>
      <c r="O93" s="3124"/>
      <c r="P93" s="3124"/>
      <c r="Q93" s="3124"/>
      <c r="R93" s="3124"/>
      <c r="S93" s="3124"/>
      <c r="T93" s="2951"/>
      <c r="U93" s="3077" t="s">
        <v>108</v>
      </c>
      <c r="V93" s="3077"/>
      <c r="W93" s="3078"/>
      <c r="X93" s="3078"/>
      <c r="Y93" s="3078"/>
      <c r="Z93" s="3078"/>
      <c r="AA93" s="3078"/>
      <c r="AB93" s="3078"/>
      <c r="AC93" s="3078"/>
      <c r="AD93" s="3078"/>
      <c r="AE93" s="3078"/>
      <c r="AF93" s="3078"/>
      <c r="AG93" s="3078"/>
      <c r="AH93" s="3078"/>
      <c r="AI93" s="3078"/>
      <c r="AJ93" s="3078"/>
      <c r="AK93" s="3078"/>
      <c r="AL93" s="1639"/>
      <c r="AM93" s="1645" t="str">
        <f>'1_入力シート【基本情報】'!FK411</f>
        <v/>
      </c>
      <c r="AN93" s="1645" t="str">
        <f>'1_入力シート【基本情報】'!FL411</f>
        <v/>
      </c>
      <c r="AO93" s="1645" t="str">
        <f>'1_入力シート【基本情報】'!FM411</f>
        <v/>
      </c>
      <c r="AP93" s="1641">
        <f>'1_入力シート【基本情報】'!AR411</f>
        <v>0</v>
      </c>
    </row>
    <row r="94" spans="2:42" ht="12" customHeight="1">
      <c r="B94" s="2993" t="s">
        <v>1343</v>
      </c>
      <c r="C94" s="2994"/>
      <c r="D94" s="2994"/>
      <c r="E94" s="3125"/>
      <c r="F94" s="3126"/>
      <c r="G94" s="3126"/>
      <c r="H94" s="2953"/>
      <c r="I94" s="2953"/>
      <c r="J94" s="2953"/>
      <c r="K94" s="2953"/>
      <c r="L94" s="2953"/>
      <c r="M94" s="2953"/>
      <c r="N94" s="2953"/>
      <c r="O94" s="2953"/>
      <c r="P94" s="2953"/>
      <c r="Q94" s="2953"/>
      <c r="R94" s="2953"/>
      <c r="S94" s="2953"/>
      <c r="T94" s="2954"/>
      <c r="U94" s="3077" t="s">
        <v>109</v>
      </c>
      <c r="V94" s="3079"/>
      <c r="W94" s="3079"/>
      <c r="X94" s="3079"/>
      <c r="Y94" s="3079"/>
      <c r="Z94" s="3079"/>
      <c r="AA94" s="3079"/>
      <c r="AB94" s="3079"/>
      <c r="AC94" s="3079"/>
      <c r="AD94" s="3079"/>
      <c r="AE94" s="3079"/>
      <c r="AF94" s="3079"/>
      <c r="AG94" s="3079"/>
      <c r="AH94" s="3079"/>
      <c r="AI94" s="3079"/>
      <c r="AJ94" s="3079"/>
      <c r="AK94" s="3079"/>
      <c r="AL94" s="1639"/>
      <c r="AM94" s="1645" t="str">
        <f>'1_入力シート【基本情報】'!FK412</f>
        <v/>
      </c>
      <c r="AN94" s="1645" t="str">
        <f>'1_入力シート【基本情報】'!FL412</f>
        <v/>
      </c>
      <c r="AO94" s="1645" t="str">
        <f>'1_入力シート【基本情報】'!FM412</f>
        <v/>
      </c>
      <c r="AP94" s="1641">
        <f>'1_入力シート【基本情報】'!AR412</f>
        <v>0</v>
      </c>
    </row>
    <row r="95" spans="2:42" ht="44.25" customHeight="1">
      <c r="B95" s="2993" t="s">
        <v>1344</v>
      </c>
      <c r="C95" s="2994"/>
      <c r="D95" s="2994"/>
      <c r="E95" s="3086" t="s">
        <v>1349</v>
      </c>
      <c r="F95" s="3087"/>
      <c r="G95" s="3087"/>
      <c r="H95" s="3087"/>
      <c r="I95" s="3087"/>
      <c r="J95" s="3087"/>
      <c r="K95" s="3087"/>
      <c r="L95" s="3087"/>
      <c r="M95" s="3087"/>
      <c r="N95" s="3087"/>
      <c r="O95" s="3087"/>
      <c r="P95" s="3087"/>
      <c r="Q95" s="3087"/>
      <c r="R95" s="3087"/>
      <c r="S95" s="3087"/>
      <c r="T95" s="3088"/>
      <c r="U95" s="3227" t="s">
        <v>212</v>
      </c>
      <c r="V95" s="3227"/>
      <c r="W95" s="3078"/>
      <c r="X95" s="3078"/>
      <c r="Y95" s="3078"/>
      <c r="Z95" s="3078"/>
      <c r="AA95" s="3078"/>
      <c r="AB95" s="3078"/>
      <c r="AC95" s="3078"/>
      <c r="AD95" s="3078"/>
      <c r="AE95" s="3078"/>
      <c r="AF95" s="3078"/>
      <c r="AG95" s="3078"/>
      <c r="AH95" s="3078"/>
      <c r="AI95" s="3078"/>
      <c r="AJ95" s="3078"/>
      <c r="AK95" s="3078"/>
      <c r="AL95" s="1639"/>
      <c r="AM95" s="1645" t="str">
        <f>'1_入力シート【基本情報】'!FK413</f>
        <v/>
      </c>
      <c r="AN95" s="1645" t="str">
        <f>'1_入力シート【基本情報】'!FL413</f>
        <v/>
      </c>
      <c r="AO95" s="1645" t="str">
        <f>'1_入力シート【基本情報】'!FM413</f>
        <v/>
      </c>
      <c r="AP95" s="1641">
        <f>'1_入力シート【基本情報】'!AR413</f>
        <v>0</v>
      </c>
    </row>
    <row r="96" spans="2:42" ht="11.25" customHeight="1">
      <c r="B96" s="2993" t="s">
        <v>981</v>
      </c>
      <c r="C96" s="2994"/>
      <c r="D96" s="2994"/>
      <c r="E96" s="3089"/>
      <c r="F96" s="3090"/>
      <c r="G96" s="3090"/>
      <c r="H96" s="3090"/>
      <c r="I96" s="3090"/>
      <c r="J96" s="3090"/>
      <c r="K96" s="3090"/>
      <c r="L96" s="3090"/>
      <c r="M96" s="3090"/>
      <c r="N96" s="3090"/>
      <c r="O96" s="3090"/>
      <c r="P96" s="3090"/>
      <c r="Q96" s="3090"/>
      <c r="R96" s="3090"/>
      <c r="S96" s="3090"/>
      <c r="T96" s="3091"/>
      <c r="U96" s="3077" t="s">
        <v>111</v>
      </c>
      <c r="V96" s="3098"/>
      <c r="W96" s="3079"/>
      <c r="X96" s="3079"/>
      <c r="Y96" s="3079"/>
      <c r="Z96" s="3079"/>
      <c r="AA96" s="3079"/>
      <c r="AB96" s="3079"/>
      <c r="AC96" s="3079"/>
      <c r="AD96" s="3079"/>
      <c r="AE96" s="3079"/>
      <c r="AF96" s="3079"/>
      <c r="AG96" s="3079"/>
      <c r="AH96" s="3079"/>
      <c r="AI96" s="3079"/>
      <c r="AJ96" s="3079"/>
      <c r="AK96" s="3079"/>
      <c r="AL96" s="1639"/>
      <c r="AM96" s="1645" t="str">
        <f>'1_入力シート【基本情報】'!FK414</f>
        <v/>
      </c>
      <c r="AN96" s="1645" t="str">
        <f>'1_入力シート【基本情報】'!FL414</f>
        <v/>
      </c>
      <c r="AO96" s="1645" t="str">
        <f>'1_入力シート【基本情報】'!FM414</f>
        <v/>
      </c>
      <c r="AP96" s="1641">
        <f>'1_入力シート【基本情報】'!AR414</f>
        <v>0</v>
      </c>
    </row>
    <row r="97" spans="2:42" ht="23.25" customHeight="1">
      <c r="B97" s="2993" t="s">
        <v>982</v>
      </c>
      <c r="C97" s="2994"/>
      <c r="D97" s="2994"/>
      <c r="E97" s="3089"/>
      <c r="F97" s="3090"/>
      <c r="G97" s="3090"/>
      <c r="H97" s="3090"/>
      <c r="I97" s="3090"/>
      <c r="J97" s="3090"/>
      <c r="K97" s="3090"/>
      <c r="L97" s="3090"/>
      <c r="M97" s="3090"/>
      <c r="N97" s="3090"/>
      <c r="O97" s="3090"/>
      <c r="P97" s="3090"/>
      <c r="Q97" s="3090"/>
      <c r="R97" s="3090"/>
      <c r="S97" s="3090"/>
      <c r="T97" s="3091"/>
      <c r="U97" s="3077" t="s">
        <v>112</v>
      </c>
      <c r="V97" s="3098"/>
      <c r="W97" s="3079"/>
      <c r="X97" s="3079"/>
      <c r="Y97" s="3079"/>
      <c r="Z97" s="3079"/>
      <c r="AA97" s="3079"/>
      <c r="AB97" s="3079"/>
      <c r="AC97" s="3079"/>
      <c r="AD97" s="3079"/>
      <c r="AE97" s="3079"/>
      <c r="AF97" s="3079"/>
      <c r="AG97" s="3079"/>
      <c r="AH97" s="3079"/>
      <c r="AI97" s="3079"/>
      <c r="AJ97" s="3079"/>
      <c r="AK97" s="3079"/>
      <c r="AL97" s="1639"/>
      <c r="AM97" s="1645" t="str">
        <f>'1_入力シート【基本情報】'!FK415</f>
        <v/>
      </c>
      <c r="AN97" s="1645" t="str">
        <f>'1_入力シート【基本情報】'!FL415</f>
        <v/>
      </c>
      <c r="AO97" s="1645" t="str">
        <f>'1_入力シート【基本情報】'!FM415</f>
        <v/>
      </c>
      <c r="AP97" s="1641">
        <f>'1_入力シート【基本情報】'!AR415</f>
        <v>0</v>
      </c>
    </row>
    <row r="98" spans="2:42" ht="27" customHeight="1" thickBot="1">
      <c r="B98" s="3186" t="s">
        <v>983</v>
      </c>
      <c r="C98" s="3187"/>
      <c r="D98" s="3037"/>
      <c r="E98" s="3092"/>
      <c r="F98" s="3093"/>
      <c r="G98" s="3093"/>
      <c r="H98" s="3093"/>
      <c r="I98" s="3093"/>
      <c r="J98" s="3093"/>
      <c r="K98" s="3093"/>
      <c r="L98" s="3093"/>
      <c r="M98" s="3093"/>
      <c r="N98" s="3093"/>
      <c r="O98" s="3093"/>
      <c r="P98" s="3093"/>
      <c r="Q98" s="3093"/>
      <c r="R98" s="3093"/>
      <c r="S98" s="3093"/>
      <c r="T98" s="3094"/>
      <c r="U98" s="3226" t="s">
        <v>225</v>
      </c>
      <c r="V98" s="3049"/>
      <c r="W98" s="3050"/>
      <c r="X98" s="3050"/>
      <c r="Y98" s="3050"/>
      <c r="Z98" s="3050"/>
      <c r="AA98" s="3050"/>
      <c r="AB98" s="3050"/>
      <c r="AC98" s="3050"/>
      <c r="AD98" s="3050"/>
      <c r="AE98" s="3050"/>
      <c r="AF98" s="3050"/>
      <c r="AG98" s="3050"/>
      <c r="AH98" s="3050"/>
      <c r="AI98" s="3050"/>
      <c r="AJ98" s="3050"/>
      <c r="AK98" s="3051"/>
      <c r="AL98" s="1642"/>
      <c r="AM98" s="1646" t="str">
        <f>'1_入力シート【基本情報】'!FK416</f>
        <v/>
      </c>
      <c r="AN98" s="1646" t="str">
        <f>'1_入力シート【基本情報】'!FL416</f>
        <v/>
      </c>
      <c r="AO98" s="1646" t="str">
        <f>'1_入力シート【基本情報】'!FM416</f>
        <v/>
      </c>
      <c r="AP98" s="1644">
        <f>'1_入力シート【基本情報】'!AR416</f>
        <v>0</v>
      </c>
    </row>
    <row r="99" spans="2:42" ht="12" customHeight="1">
      <c r="B99" s="3030">
        <v>5</v>
      </c>
      <c r="C99" s="3031"/>
      <c r="D99" s="3032"/>
      <c r="E99" s="3068" t="s">
        <v>113</v>
      </c>
      <c r="F99" s="3069"/>
      <c r="G99" s="3069"/>
      <c r="H99" s="3069"/>
      <c r="I99" s="3069"/>
      <c r="J99" s="3069"/>
      <c r="K99" s="3069"/>
      <c r="L99" s="3069"/>
      <c r="M99" s="3069"/>
      <c r="N99" s="3069"/>
      <c r="O99" s="3069"/>
      <c r="P99" s="3069"/>
      <c r="Q99" s="3069"/>
      <c r="R99" s="3069"/>
      <c r="S99" s="3069"/>
      <c r="T99" s="3069"/>
      <c r="U99" s="3069"/>
      <c r="V99" s="3069"/>
      <c r="W99" s="3069"/>
      <c r="X99" s="3069"/>
      <c r="Y99" s="3069"/>
      <c r="Z99" s="3069"/>
      <c r="AA99" s="3069"/>
      <c r="AB99" s="3069"/>
      <c r="AC99" s="3069"/>
      <c r="AD99" s="3069"/>
      <c r="AE99" s="3069"/>
      <c r="AF99" s="3069"/>
      <c r="AG99" s="3069"/>
      <c r="AH99" s="3069"/>
      <c r="AI99" s="3069"/>
      <c r="AJ99" s="3069"/>
      <c r="AK99" s="3069"/>
      <c r="AL99" s="3069"/>
      <c r="AM99" s="3069"/>
      <c r="AN99" s="3069"/>
      <c r="AO99" s="3069"/>
      <c r="AP99" s="3070"/>
    </row>
    <row r="100" spans="2:42" ht="12" customHeight="1">
      <c r="B100" s="2993" t="s">
        <v>35</v>
      </c>
      <c r="C100" s="2994"/>
      <c r="D100" s="2994"/>
      <c r="E100" s="3095" t="s">
        <v>211</v>
      </c>
      <c r="F100" s="3096"/>
      <c r="G100" s="3096"/>
      <c r="H100" s="3024"/>
      <c r="I100" s="3024"/>
      <c r="J100" s="3024"/>
      <c r="K100" s="3024"/>
      <c r="L100" s="3024"/>
      <c r="M100" s="3024"/>
      <c r="N100" s="3024"/>
      <c r="O100" s="3024"/>
      <c r="P100" s="3024"/>
      <c r="Q100" s="3024"/>
      <c r="R100" s="3024"/>
      <c r="S100" s="3024"/>
      <c r="T100" s="3025"/>
      <c r="U100" s="3028" t="s">
        <v>210</v>
      </c>
      <c r="V100" s="3019"/>
      <c r="W100" s="3024"/>
      <c r="X100" s="3024"/>
      <c r="Y100" s="3024"/>
      <c r="Z100" s="3024"/>
      <c r="AA100" s="3024"/>
      <c r="AB100" s="3024"/>
      <c r="AC100" s="3024"/>
      <c r="AD100" s="3024"/>
      <c r="AE100" s="3024"/>
      <c r="AF100" s="3024"/>
      <c r="AG100" s="3024"/>
      <c r="AH100" s="3024"/>
      <c r="AI100" s="3024"/>
      <c r="AJ100" s="3024"/>
      <c r="AK100" s="3025"/>
      <c r="AL100" s="1639"/>
      <c r="AM100" s="1645" t="str">
        <f>'1_入力シート【基本情報】'!FK426</f>
        <v/>
      </c>
      <c r="AN100" s="1645" t="str">
        <f>'1_入力シート【基本情報】'!FL426</f>
        <v/>
      </c>
      <c r="AO100" s="1645" t="str">
        <f>'1_入力シート【基本情報】'!FM426</f>
        <v/>
      </c>
      <c r="AP100" s="1641">
        <f>'1_入力シート【基本情報】'!FN426</f>
        <v>0</v>
      </c>
    </row>
    <row r="101" spans="2:42" ht="12" customHeight="1">
      <c r="B101" s="2993" t="s">
        <v>961</v>
      </c>
      <c r="C101" s="2994"/>
      <c r="D101" s="2994"/>
      <c r="E101" s="3052" t="s">
        <v>114</v>
      </c>
      <c r="F101" s="2935"/>
      <c r="G101" s="2935"/>
      <c r="H101" s="2947"/>
      <c r="I101" s="2947"/>
      <c r="J101" s="2947"/>
      <c r="K101" s="2947"/>
      <c r="L101" s="2947"/>
      <c r="M101" s="2947"/>
      <c r="N101" s="2947"/>
      <c r="O101" s="2947"/>
      <c r="P101" s="2947"/>
      <c r="Q101" s="2947"/>
      <c r="R101" s="2947"/>
      <c r="S101" s="2947"/>
      <c r="T101" s="2948"/>
      <c r="U101" s="3028" t="s">
        <v>209</v>
      </c>
      <c r="V101" s="3019"/>
      <c r="W101" s="3024"/>
      <c r="X101" s="3024"/>
      <c r="Y101" s="3024"/>
      <c r="Z101" s="3024"/>
      <c r="AA101" s="3024"/>
      <c r="AB101" s="3024"/>
      <c r="AC101" s="3024"/>
      <c r="AD101" s="3024"/>
      <c r="AE101" s="3024"/>
      <c r="AF101" s="3024"/>
      <c r="AG101" s="3024"/>
      <c r="AH101" s="3024"/>
      <c r="AI101" s="3024"/>
      <c r="AJ101" s="3024"/>
      <c r="AK101" s="3025"/>
      <c r="AL101" s="1639"/>
      <c r="AM101" s="1645" t="str">
        <f>'1_入力シート【基本情報】'!FK427</f>
        <v/>
      </c>
      <c r="AN101" s="1645" t="str">
        <f>'1_入力シート【基本情報】'!FL427</f>
        <v/>
      </c>
      <c r="AO101" s="1645" t="str">
        <f>'1_入力シート【基本情報】'!FM427</f>
        <v/>
      </c>
      <c r="AP101" s="1641">
        <f>'1_入力シート【基本情報】'!FN427</f>
        <v>0</v>
      </c>
    </row>
    <row r="102" spans="2:42" ht="12" customHeight="1">
      <c r="B102" s="2993" t="s">
        <v>962</v>
      </c>
      <c r="C102" s="2994"/>
      <c r="D102" s="2994"/>
      <c r="E102" s="2943"/>
      <c r="F102" s="2944"/>
      <c r="G102" s="2944"/>
      <c r="H102" s="2953"/>
      <c r="I102" s="2953"/>
      <c r="J102" s="2953"/>
      <c r="K102" s="2953"/>
      <c r="L102" s="2953"/>
      <c r="M102" s="2953"/>
      <c r="N102" s="2953"/>
      <c r="O102" s="2953"/>
      <c r="P102" s="2953"/>
      <c r="Q102" s="2953"/>
      <c r="R102" s="2953"/>
      <c r="S102" s="2953"/>
      <c r="T102" s="2954"/>
      <c r="U102" s="3028" t="s">
        <v>115</v>
      </c>
      <c r="V102" s="3019"/>
      <c r="W102" s="3024"/>
      <c r="X102" s="3024"/>
      <c r="Y102" s="3024"/>
      <c r="Z102" s="3024"/>
      <c r="AA102" s="3024"/>
      <c r="AB102" s="3024"/>
      <c r="AC102" s="3024"/>
      <c r="AD102" s="3024"/>
      <c r="AE102" s="3024"/>
      <c r="AF102" s="3024"/>
      <c r="AG102" s="3024"/>
      <c r="AH102" s="3024"/>
      <c r="AI102" s="3024"/>
      <c r="AJ102" s="3024"/>
      <c r="AK102" s="3025"/>
      <c r="AL102" s="1639"/>
      <c r="AM102" s="1645" t="str">
        <f>'1_入力シート【基本情報】'!FK428</f>
        <v/>
      </c>
      <c r="AN102" s="1645" t="str">
        <f>'1_入力シート【基本情報】'!FL428</f>
        <v/>
      </c>
      <c r="AO102" s="1645" t="str">
        <f>'1_入力シート【基本情報】'!FM428</f>
        <v/>
      </c>
      <c r="AP102" s="1641">
        <f>'1_入力シート【基本情報】'!FN428</f>
        <v>0</v>
      </c>
    </row>
    <row r="103" spans="2:42" ht="12" customHeight="1">
      <c r="B103" s="2993" t="s">
        <v>963</v>
      </c>
      <c r="C103" s="2994"/>
      <c r="D103" s="2994"/>
      <c r="E103" s="3052" t="s">
        <v>116</v>
      </c>
      <c r="F103" s="2935"/>
      <c r="G103" s="2935"/>
      <c r="H103" s="2947"/>
      <c r="I103" s="2947"/>
      <c r="J103" s="2947"/>
      <c r="K103" s="2947"/>
      <c r="L103" s="2947"/>
      <c r="M103" s="2947"/>
      <c r="N103" s="2947"/>
      <c r="O103" s="2947"/>
      <c r="P103" s="2947"/>
      <c r="Q103" s="2947"/>
      <c r="R103" s="2947"/>
      <c r="S103" s="2947"/>
      <c r="T103" s="2948"/>
      <c r="U103" s="3028" t="s">
        <v>117</v>
      </c>
      <c r="V103" s="3019"/>
      <c r="W103" s="3024"/>
      <c r="X103" s="3024"/>
      <c r="Y103" s="3024"/>
      <c r="Z103" s="3024"/>
      <c r="AA103" s="3024"/>
      <c r="AB103" s="3024"/>
      <c r="AC103" s="3024"/>
      <c r="AD103" s="3024"/>
      <c r="AE103" s="3024"/>
      <c r="AF103" s="3024"/>
      <c r="AG103" s="3024"/>
      <c r="AH103" s="3024"/>
      <c r="AI103" s="3024"/>
      <c r="AJ103" s="3024"/>
      <c r="AK103" s="3025"/>
      <c r="AL103" s="1639"/>
      <c r="AM103" s="1645" t="str">
        <f>'1_入力シート【基本情報】'!FK429</f>
        <v/>
      </c>
      <c r="AN103" s="1645" t="str">
        <f>'1_入力シート【基本情報】'!FL429</f>
        <v/>
      </c>
      <c r="AO103" s="1645" t="str">
        <f>'1_入力シート【基本情報】'!FM429</f>
        <v/>
      </c>
      <c r="AP103" s="1641">
        <f>'1_入力シート【基本情報】'!FN429</f>
        <v>0</v>
      </c>
    </row>
    <row r="104" spans="2:42" ht="12" customHeight="1">
      <c r="B104" s="2993" t="s">
        <v>964</v>
      </c>
      <c r="C104" s="2994"/>
      <c r="D104" s="2994"/>
      <c r="E104" s="2943"/>
      <c r="F104" s="2944"/>
      <c r="G104" s="2944"/>
      <c r="H104" s="2953"/>
      <c r="I104" s="2953"/>
      <c r="J104" s="2953"/>
      <c r="K104" s="2953"/>
      <c r="L104" s="2953"/>
      <c r="M104" s="2953"/>
      <c r="N104" s="2953"/>
      <c r="O104" s="2953"/>
      <c r="P104" s="2953"/>
      <c r="Q104" s="2953"/>
      <c r="R104" s="2953"/>
      <c r="S104" s="2953"/>
      <c r="T104" s="2954"/>
      <c r="U104" s="3028" t="s">
        <v>115</v>
      </c>
      <c r="V104" s="3019"/>
      <c r="W104" s="3024"/>
      <c r="X104" s="3024"/>
      <c r="Y104" s="3024"/>
      <c r="Z104" s="3024"/>
      <c r="AA104" s="3024"/>
      <c r="AB104" s="3024"/>
      <c r="AC104" s="3024"/>
      <c r="AD104" s="3024"/>
      <c r="AE104" s="3024"/>
      <c r="AF104" s="3024"/>
      <c r="AG104" s="3024"/>
      <c r="AH104" s="3024"/>
      <c r="AI104" s="3024"/>
      <c r="AJ104" s="3024"/>
      <c r="AK104" s="3025"/>
      <c r="AL104" s="1639"/>
      <c r="AM104" s="1645" t="str">
        <f>'1_入力シート【基本情報】'!FK430</f>
        <v/>
      </c>
      <c r="AN104" s="1645" t="str">
        <f>'1_入力シート【基本情報】'!FL430</f>
        <v/>
      </c>
      <c r="AO104" s="1645" t="str">
        <f>'1_入力シート【基本情報】'!FM430</f>
        <v/>
      </c>
      <c r="AP104" s="1641">
        <f>'1_入力シート【基本情報】'!FN430</f>
        <v>0</v>
      </c>
    </row>
    <row r="105" spans="2:42" ht="12" customHeight="1">
      <c r="B105" s="2993" t="s">
        <v>43</v>
      </c>
      <c r="C105" s="2994"/>
      <c r="D105" s="2994"/>
      <c r="E105" s="3023" t="s">
        <v>118</v>
      </c>
      <c r="F105" s="3097"/>
      <c r="G105" s="3019"/>
      <c r="H105" s="3024"/>
      <c r="I105" s="3024"/>
      <c r="J105" s="3024"/>
      <c r="K105" s="3024"/>
      <c r="L105" s="3024"/>
      <c r="M105" s="3024"/>
      <c r="N105" s="3024"/>
      <c r="O105" s="3024"/>
      <c r="P105" s="3024"/>
      <c r="Q105" s="3024"/>
      <c r="R105" s="3024"/>
      <c r="S105" s="3024"/>
      <c r="T105" s="3025"/>
      <c r="U105" s="3028" t="s">
        <v>119</v>
      </c>
      <c r="V105" s="3019"/>
      <c r="W105" s="3024"/>
      <c r="X105" s="3024"/>
      <c r="Y105" s="3024"/>
      <c r="Z105" s="3024"/>
      <c r="AA105" s="3024"/>
      <c r="AB105" s="3024"/>
      <c r="AC105" s="3024"/>
      <c r="AD105" s="3024"/>
      <c r="AE105" s="3024"/>
      <c r="AF105" s="3024"/>
      <c r="AG105" s="3024"/>
      <c r="AH105" s="3024"/>
      <c r="AI105" s="3024"/>
      <c r="AJ105" s="3024"/>
      <c r="AK105" s="3025"/>
      <c r="AL105" s="1639"/>
      <c r="AM105" s="1645" t="str">
        <f>'1_入力シート【基本情報】'!FK431</f>
        <v/>
      </c>
      <c r="AN105" s="1645" t="str">
        <f>'1_入力シート【基本情報】'!FL431</f>
        <v/>
      </c>
      <c r="AO105" s="1645" t="str">
        <f>'1_入力シート【基本情報】'!FM431</f>
        <v/>
      </c>
      <c r="AP105" s="1641">
        <f>'1_入力シート【基本情報】'!FN431</f>
        <v>0</v>
      </c>
    </row>
    <row r="106" spans="2:42" ht="12" customHeight="1">
      <c r="B106" s="2993" t="s">
        <v>966</v>
      </c>
      <c r="C106" s="2994"/>
      <c r="D106" s="2994"/>
      <c r="E106" s="3044" t="s">
        <v>120</v>
      </c>
      <c r="F106" s="3073"/>
      <c r="G106" s="3053"/>
      <c r="H106" s="3054"/>
      <c r="I106" s="3054"/>
      <c r="J106" s="3054"/>
      <c r="K106" s="3054"/>
      <c r="L106" s="3054"/>
      <c r="M106" s="3054"/>
      <c r="N106" s="3054"/>
      <c r="O106" s="3054"/>
      <c r="P106" s="3054"/>
      <c r="Q106" s="3054"/>
      <c r="R106" s="3054"/>
      <c r="S106" s="3054"/>
      <c r="T106" s="3055"/>
      <c r="U106" s="3028" t="s">
        <v>121</v>
      </c>
      <c r="V106" s="3019"/>
      <c r="W106" s="3024"/>
      <c r="X106" s="3024"/>
      <c r="Y106" s="3024"/>
      <c r="Z106" s="3024"/>
      <c r="AA106" s="3024"/>
      <c r="AB106" s="3024"/>
      <c r="AC106" s="3024"/>
      <c r="AD106" s="3024"/>
      <c r="AE106" s="3024"/>
      <c r="AF106" s="3024"/>
      <c r="AG106" s="3024"/>
      <c r="AH106" s="3024"/>
      <c r="AI106" s="3024"/>
      <c r="AJ106" s="3024"/>
      <c r="AK106" s="3025"/>
      <c r="AL106" s="1639"/>
      <c r="AM106" s="1645" t="str">
        <f>'1_入力シート【基本情報】'!FK432</f>
        <v/>
      </c>
      <c r="AN106" s="1645" t="str">
        <f>'1_入力シート【基本情報】'!FL432</f>
        <v/>
      </c>
      <c r="AO106" s="1645" t="str">
        <f>'1_入力シート【基本情報】'!FM432</f>
        <v/>
      </c>
      <c r="AP106" s="1641">
        <f>'1_入力シート【基本情報】'!FN432</f>
        <v>0</v>
      </c>
    </row>
    <row r="107" spans="2:42" ht="12" customHeight="1">
      <c r="B107" s="2993" t="s">
        <v>967</v>
      </c>
      <c r="C107" s="2994"/>
      <c r="D107" s="2994"/>
      <c r="E107" s="3132"/>
      <c r="F107" s="3177"/>
      <c r="G107" s="3057"/>
      <c r="H107" s="3058"/>
      <c r="I107" s="3058"/>
      <c r="J107" s="3058"/>
      <c r="K107" s="3058"/>
      <c r="L107" s="3058"/>
      <c r="M107" s="3058"/>
      <c r="N107" s="3058"/>
      <c r="O107" s="3058"/>
      <c r="P107" s="3058"/>
      <c r="Q107" s="3058"/>
      <c r="R107" s="3058"/>
      <c r="S107" s="3058"/>
      <c r="T107" s="3059"/>
      <c r="U107" s="3028" t="s">
        <v>122</v>
      </c>
      <c r="V107" s="3019"/>
      <c r="W107" s="3024"/>
      <c r="X107" s="3024"/>
      <c r="Y107" s="3024"/>
      <c r="Z107" s="3024"/>
      <c r="AA107" s="3024"/>
      <c r="AB107" s="3024"/>
      <c r="AC107" s="3024"/>
      <c r="AD107" s="3024"/>
      <c r="AE107" s="3024"/>
      <c r="AF107" s="3024"/>
      <c r="AG107" s="3024"/>
      <c r="AH107" s="3024"/>
      <c r="AI107" s="3024"/>
      <c r="AJ107" s="3024"/>
      <c r="AK107" s="3025"/>
      <c r="AL107" s="1639"/>
      <c r="AM107" s="1645" t="str">
        <f>'1_入力シート【基本情報】'!FK433</f>
        <v/>
      </c>
      <c r="AN107" s="1645" t="str">
        <f>'1_入力シート【基本情報】'!FL433</f>
        <v/>
      </c>
      <c r="AO107" s="1645" t="str">
        <f>'1_入力シート【基本情報】'!FM433</f>
        <v/>
      </c>
      <c r="AP107" s="1641">
        <f>'1_入力シート【基本情報】'!FN433</f>
        <v>0</v>
      </c>
    </row>
    <row r="108" spans="2:42" ht="12" customHeight="1">
      <c r="B108" s="2993" t="s">
        <v>968</v>
      </c>
      <c r="C108" s="2994"/>
      <c r="D108" s="2994"/>
      <c r="E108" s="3132"/>
      <c r="F108" s="3177"/>
      <c r="G108" s="3057"/>
      <c r="H108" s="3058"/>
      <c r="I108" s="3058"/>
      <c r="J108" s="3058"/>
      <c r="K108" s="3058"/>
      <c r="L108" s="3058"/>
      <c r="M108" s="3058"/>
      <c r="N108" s="3058"/>
      <c r="O108" s="3058"/>
      <c r="P108" s="3058"/>
      <c r="Q108" s="3058"/>
      <c r="R108" s="3058"/>
      <c r="S108" s="3058"/>
      <c r="T108" s="3059"/>
      <c r="U108" s="3028" t="s">
        <v>115</v>
      </c>
      <c r="V108" s="3019"/>
      <c r="W108" s="3024"/>
      <c r="X108" s="3024"/>
      <c r="Y108" s="3024"/>
      <c r="Z108" s="3024"/>
      <c r="AA108" s="3024"/>
      <c r="AB108" s="3024"/>
      <c r="AC108" s="3024"/>
      <c r="AD108" s="3024"/>
      <c r="AE108" s="3024"/>
      <c r="AF108" s="3024"/>
      <c r="AG108" s="3024"/>
      <c r="AH108" s="3024"/>
      <c r="AI108" s="3024"/>
      <c r="AJ108" s="3024"/>
      <c r="AK108" s="3025"/>
      <c r="AL108" s="1639"/>
      <c r="AM108" s="1645" t="str">
        <f>'1_入力シート【基本情報】'!FK434</f>
        <v/>
      </c>
      <c r="AN108" s="1645" t="str">
        <f>'1_入力シート【基本情報】'!FL434</f>
        <v/>
      </c>
      <c r="AO108" s="1645" t="str">
        <f>'1_入力シート【基本情報】'!FM434</f>
        <v/>
      </c>
      <c r="AP108" s="1641">
        <f>'1_入力シート【基本情報】'!FN434</f>
        <v>0</v>
      </c>
    </row>
    <row r="109" spans="2:42" ht="12" customHeight="1">
      <c r="B109" s="2993" t="s">
        <v>969</v>
      </c>
      <c r="C109" s="2994"/>
      <c r="D109" s="2994"/>
      <c r="E109" s="3133"/>
      <c r="F109" s="3076"/>
      <c r="G109" s="3018"/>
      <c r="H109" s="3100"/>
      <c r="I109" s="3100"/>
      <c r="J109" s="3100"/>
      <c r="K109" s="3100"/>
      <c r="L109" s="3100"/>
      <c r="M109" s="3100"/>
      <c r="N109" s="3100"/>
      <c r="O109" s="3100"/>
      <c r="P109" s="3100"/>
      <c r="Q109" s="3100"/>
      <c r="R109" s="3100"/>
      <c r="S109" s="3100"/>
      <c r="T109" s="3101"/>
      <c r="U109" s="3028" t="s">
        <v>123</v>
      </c>
      <c r="V109" s="3019"/>
      <c r="W109" s="3024"/>
      <c r="X109" s="3024"/>
      <c r="Y109" s="3024"/>
      <c r="Z109" s="3024"/>
      <c r="AA109" s="3024"/>
      <c r="AB109" s="3024"/>
      <c r="AC109" s="3024"/>
      <c r="AD109" s="3024"/>
      <c r="AE109" s="3024"/>
      <c r="AF109" s="3024"/>
      <c r="AG109" s="3024"/>
      <c r="AH109" s="3024"/>
      <c r="AI109" s="3024"/>
      <c r="AJ109" s="3024"/>
      <c r="AK109" s="3025"/>
      <c r="AL109" s="1639"/>
      <c r="AM109" s="1645" t="str">
        <f>'1_入力シート【基本情報】'!FK435</f>
        <v/>
      </c>
      <c r="AN109" s="1645" t="str">
        <f>'1_入力シート【基本情報】'!FL435</f>
        <v/>
      </c>
      <c r="AO109" s="1645" t="str">
        <f>'1_入力シート【基本情報】'!FM435</f>
        <v/>
      </c>
      <c r="AP109" s="1641">
        <f>'1_入力シート【基本情報】'!FN435</f>
        <v>0</v>
      </c>
    </row>
    <row r="110" spans="2:42" ht="12" customHeight="1">
      <c r="B110" s="2993" t="s">
        <v>970</v>
      </c>
      <c r="C110" s="2994"/>
      <c r="D110" s="2994"/>
      <c r="E110" s="3080" t="s">
        <v>124</v>
      </c>
      <c r="F110" s="3081"/>
      <c r="G110" s="3044" t="s">
        <v>124</v>
      </c>
      <c r="H110" s="3072"/>
      <c r="I110" s="2935"/>
      <c r="J110" s="2935"/>
      <c r="K110" s="2935"/>
      <c r="L110" s="2935"/>
      <c r="M110" s="2935"/>
      <c r="N110" s="2935"/>
      <c r="O110" s="2935"/>
      <c r="P110" s="2935"/>
      <c r="Q110" s="2935"/>
      <c r="R110" s="2935"/>
      <c r="S110" s="2935"/>
      <c r="T110" s="2936"/>
      <c r="U110" s="3028" t="s">
        <v>125</v>
      </c>
      <c r="V110" s="3019"/>
      <c r="W110" s="3024"/>
      <c r="X110" s="3024"/>
      <c r="Y110" s="3024"/>
      <c r="Z110" s="3024"/>
      <c r="AA110" s="3024"/>
      <c r="AB110" s="3024"/>
      <c r="AC110" s="3024"/>
      <c r="AD110" s="3024"/>
      <c r="AE110" s="3024"/>
      <c r="AF110" s="3024"/>
      <c r="AG110" s="3024"/>
      <c r="AH110" s="3024"/>
      <c r="AI110" s="3024"/>
      <c r="AJ110" s="3024"/>
      <c r="AK110" s="3025"/>
      <c r="AL110" s="1639"/>
      <c r="AM110" s="1645" t="str">
        <f>'1_入力シート【基本情報】'!FK436</f>
        <v/>
      </c>
      <c r="AN110" s="1645" t="str">
        <f>'1_入力シート【基本情報】'!FL436</f>
        <v/>
      </c>
      <c r="AO110" s="1645" t="str">
        <f>'1_入力シート【基本情報】'!FM436</f>
        <v/>
      </c>
      <c r="AP110" s="1641">
        <f>'1_入力シート【基本情報】'!FN436</f>
        <v>0</v>
      </c>
    </row>
    <row r="111" spans="2:42" ht="12" customHeight="1">
      <c r="B111" s="2993" t="s">
        <v>971</v>
      </c>
      <c r="C111" s="2994"/>
      <c r="D111" s="2994"/>
      <c r="E111" s="3082"/>
      <c r="F111" s="3083"/>
      <c r="G111" s="3176"/>
      <c r="H111" s="3194"/>
      <c r="I111" s="2939"/>
      <c r="J111" s="2939"/>
      <c r="K111" s="2939"/>
      <c r="L111" s="2939"/>
      <c r="M111" s="2939"/>
      <c r="N111" s="2939"/>
      <c r="O111" s="2939"/>
      <c r="P111" s="2939"/>
      <c r="Q111" s="2939"/>
      <c r="R111" s="2939"/>
      <c r="S111" s="2939"/>
      <c r="T111" s="2940"/>
      <c r="U111" s="3028" t="s">
        <v>208</v>
      </c>
      <c r="V111" s="3019"/>
      <c r="W111" s="3024"/>
      <c r="X111" s="3024"/>
      <c r="Y111" s="3024"/>
      <c r="Z111" s="3024"/>
      <c r="AA111" s="3024"/>
      <c r="AB111" s="3024"/>
      <c r="AC111" s="3024"/>
      <c r="AD111" s="3024"/>
      <c r="AE111" s="3024"/>
      <c r="AF111" s="3024"/>
      <c r="AG111" s="3024"/>
      <c r="AH111" s="3024"/>
      <c r="AI111" s="3024"/>
      <c r="AJ111" s="3024"/>
      <c r="AK111" s="3025"/>
      <c r="AL111" s="1639"/>
      <c r="AM111" s="1645" t="str">
        <f>'1_入力シート【基本情報】'!FK437</f>
        <v/>
      </c>
      <c r="AN111" s="1645" t="str">
        <f>'1_入力シート【基本情報】'!FL437</f>
        <v/>
      </c>
      <c r="AO111" s="1645" t="str">
        <f>'1_入力シート【基本情報】'!FM437</f>
        <v/>
      </c>
      <c r="AP111" s="1641">
        <f>'1_入力シート【基本情報】'!FN437</f>
        <v>0</v>
      </c>
    </row>
    <row r="112" spans="2:42" ht="12" customHeight="1">
      <c r="B112" s="2993" t="s">
        <v>972</v>
      </c>
      <c r="C112" s="2994"/>
      <c r="D112" s="2994"/>
      <c r="E112" s="3082"/>
      <c r="F112" s="3083"/>
      <c r="G112" s="3176"/>
      <c r="H112" s="3194"/>
      <c r="I112" s="2939"/>
      <c r="J112" s="2939"/>
      <c r="K112" s="2939"/>
      <c r="L112" s="2939"/>
      <c r="M112" s="2939"/>
      <c r="N112" s="2939"/>
      <c r="O112" s="2939"/>
      <c r="P112" s="2939"/>
      <c r="Q112" s="2939"/>
      <c r="R112" s="2939"/>
      <c r="S112" s="2939"/>
      <c r="T112" s="2940"/>
      <c r="U112" s="3028" t="s">
        <v>126</v>
      </c>
      <c r="V112" s="3019"/>
      <c r="W112" s="3024"/>
      <c r="X112" s="3024"/>
      <c r="Y112" s="3024"/>
      <c r="Z112" s="3024"/>
      <c r="AA112" s="3024"/>
      <c r="AB112" s="3024"/>
      <c r="AC112" s="3024"/>
      <c r="AD112" s="3024"/>
      <c r="AE112" s="3024"/>
      <c r="AF112" s="3024"/>
      <c r="AG112" s="3024"/>
      <c r="AH112" s="3024"/>
      <c r="AI112" s="3024"/>
      <c r="AJ112" s="3024"/>
      <c r="AK112" s="3025"/>
      <c r="AL112" s="1639"/>
      <c r="AM112" s="1645" t="str">
        <f>'1_入力シート【基本情報】'!FK438</f>
        <v/>
      </c>
      <c r="AN112" s="1645" t="str">
        <f>'1_入力シート【基本情報】'!FL438</f>
        <v/>
      </c>
      <c r="AO112" s="1645" t="str">
        <f>'1_入力シート【基本情報】'!FM438</f>
        <v/>
      </c>
      <c r="AP112" s="1641">
        <f>'1_入力シート【基本情報】'!FN438</f>
        <v>0</v>
      </c>
    </row>
    <row r="113" spans="2:42" ht="12" customHeight="1">
      <c r="B113" s="2993" t="s">
        <v>973</v>
      </c>
      <c r="C113" s="2994"/>
      <c r="D113" s="2994"/>
      <c r="E113" s="3082"/>
      <c r="F113" s="3083"/>
      <c r="G113" s="3176"/>
      <c r="H113" s="3194"/>
      <c r="I113" s="2939"/>
      <c r="J113" s="2939"/>
      <c r="K113" s="2939"/>
      <c r="L113" s="2939"/>
      <c r="M113" s="2939"/>
      <c r="N113" s="2939"/>
      <c r="O113" s="2939"/>
      <c r="P113" s="2939"/>
      <c r="Q113" s="2939"/>
      <c r="R113" s="2939"/>
      <c r="S113" s="2939"/>
      <c r="T113" s="2940"/>
      <c r="U113" s="3028" t="s">
        <v>115</v>
      </c>
      <c r="V113" s="3019"/>
      <c r="W113" s="3024"/>
      <c r="X113" s="3024"/>
      <c r="Y113" s="3024"/>
      <c r="Z113" s="3024"/>
      <c r="AA113" s="3024"/>
      <c r="AB113" s="3024"/>
      <c r="AC113" s="3024"/>
      <c r="AD113" s="3024"/>
      <c r="AE113" s="3024"/>
      <c r="AF113" s="3024"/>
      <c r="AG113" s="3024"/>
      <c r="AH113" s="3024"/>
      <c r="AI113" s="3024"/>
      <c r="AJ113" s="3024"/>
      <c r="AK113" s="3025"/>
      <c r="AL113" s="1639"/>
      <c r="AM113" s="1645" t="str">
        <f>'1_入力シート【基本情報】'!FK439</f>
        <v/>
      </c>
      <c r="AN113" s="1645" t="str">
        <f>'1_入力シート【基本情報】'!FL439</f>
        <v/>
      </c>
      <c r="AO113" s="1645" t="str">
        <f>'1_入力シート【基本情報】'!FM439</f>
        <v/>
      </c>
      <c r="AP113" s="1641">
        <f>'1_入力シート【基本情報】'!FN439</f>
        <v>0</v>
      </c>
    </row>
    <row r="114" spans="2:42" ht="12" customHeight="1">
      <c r="B114" s="2993" t="s">
        <v>974</v>
      </c>
      <c r="C114" s="2994"/>
      <c r="D114" s="2994"/>
      <c r="E114" s="3082"/>
      <c r="F114" s="3083"/>
      <c r="G114" s="3074"/>
      <c r="H114" s="3075"/>
      <c r="I114" s="2944"/>
      <c r="J114" s="2944"/>
      <c r="K114" s="2944"/>
      <c r="L114" s="2944"/>
      <c r="M114" s="2944"/>
      <c r="N114" s="2944"/>
      <c r="O114" s="2944"/>
      <c r="P114" s="2944"/>
      <c r="Q114" s="2944"/>
      <c r="R114" s="2944"/>
      <c r="S114" s="2944"/>
      <c r="T114" s="2945"/>
      <c r="U114" s="3028" t="s">
        <v>127</v>
      </c>
      <c r="V114" s="3019"/>
      <c r="W114" s="3024"/>
      <c r="X114" s="3024"/>
      <c r="Y114" s="3024"/>
      <c r="Z114" s="3024"/>
      <c r="AA114" s="3024"/>
      <c r="AB114" s="3024"/>
      <c r="AC114" s="3024"/>
      <c r="AD114" s="3024"/>
      <c r="AE114" s="3024"/>
      <c r="AF114" s="3024"/>
      <c r="AG114" s="3024"/>
      <c r="AH114" s="3024"/>
      <c r="AI114" s="3024"/>
      <c r="AJ114" s="3024"/>
      <c r="AK114" s="3025"/>
      <c r="AL114" s="1647"/>
      <c r="AM114" s="1645" t="str">
        <f>'1_入力シート【基本情報】'!FK440</f>
        <v/>
      </c>
      <c r="AN114" s="1645" t="str">
        <f>'1_入力シート【基本情報】'!FL440</f>
        <v/>
      </c>
      <c r="AO114" s="1645" t="str">
        <f>'1_入力シート【基本情報】'!FM440</f>
        <v/>
      </c>
      <c r="AP114" s="1641">
        <f>'1_入力シート【基本情報】'!FN440</f>
        <v>0</v>
      </c>
    </row>
    <row r="115" spans="2:42" ht="11.25" customHeight="1">
      <c r="B115" s="2993" t="s">
        <v>975</v>
      </c>
      <c r="C115" s="2994"/>
      <c r="D115" s="2994"/>
      <c r="E115" s="3082"/>
      <c r="F115" s="3083"/>
      <c r="G115" s="3023" t="s">
        <v>207</v>
      </c>
      <c r="H115" s="3019"/>
      <c r="I115" s="3024"/>
      <c r="J115" s="3024"/>
      <c r="K115" s="3024"/>
      <c r="L115" s="3024"/>
      <c r="M115" s="3024"/>
      <c r="N115" s="3024"/>
      <c r="O115" s="3024"/>
      <c r="P115" s="3024"/>
      <c r="Q115" s="3024"/>
      <c r="R115" s="3024"/>
      <c r="S115" s="3024"/>
      <c r="T115" s="3025"/>
      <c r="U115" s="3028" t="s">
        <v>206</v>
      </c>
      <c r="V115" s="3019"/>
      <c r="W115" s="3024"/>
      <c r="X115" s="3024"/>
      <c r="Y115" s="3024"/>
      <c r="Z115" s="3024"/>
      <c r="AA115" s="3024"/>
      <c r="AB115" s="3024"/>
      <c r="AC115" s="3024"/>
      <c r="AD115" s="3024"/>
      <c r="AE115" s="3024"/>
      <c r="AF115" s="3024"/>
      <c r="AG115" s="3024"/>
      <c r="AH115" s="3024"/>
      <c r="AI115" s="3024"/>
      <c r="AJ115" s="3024"/>
      <c r="AK115" s="3025"/>
      <c r="AL115" s="1639"/>
      <c r="AM115" s="1645" t="str">
        <f>'1_入力シート【基本情報】'!FK441</f>
        <v/>
      </c>
      <c r="AN115" s="1645" t="str">
        <f>'1_入力シート【基本情報】'!FL441</f>
        <v/>
      </c>
      <c r="AO115" s="1645" t="str">
        <f>'1_入力シート【基本情報】'!FM441</f>
        <v/>
      </c>
      <c r="AP115" s="1641">
        <f>'1_入力シート【基本情報】'!FN441</f>
        <v>0</v>
      </c>
    </row>
    <row r="116" spans="2:42" ht="11.25" customHeight="1">
      <c r="B116" s="2993" t="s">
        <v>976</v>
      </c>
      <c r="C116" s="2994"/>
      <c r="D116" s="2994"/>
      <c r="E116" s="3082"/>
      <c r="F116" s="3083"/>
      <c r="G116" s="3044" t="s">
        <v>205</v>
      </c>
      <c r="H116" s="3046"/>
      <c r="I116" s="3046"/>
      <c r="J116" s="3046"/>
      <c r="K116" s="3046"/>
      <c r="L116" s="3046"/>
      <c r="M116" s="3046"/>
      <c r="N116" s="3046"/>
      <c r="O116" s="3046"/>
      <c r="P116" s="3046"/>
      <c r="Q116" s="3046"/>
      <c r="R116" s="3046"/>
      <c r="S116" s="3046"/>
      <c r="T116" s="3047"/>
      <c r="U116" s="3028" t="s">
        <v>128</v>
      </c>
      <c r="V116" s="3019"/>
      <c r="W116" s="3024"/>
      <c r="X116" s="3024"/>
      <c r="Y116" s="3024"/>
      <c r="Z116" s="3024"/>
      <c r="AA116" s="3024"/>
      <c r="AB116" s="3024"/>
      <c r="AC116" s="3024"/>
      <c r="AD116" s="3024"/>
      <c r="AE116" s="3024"/>
      <c r="AF116" s="3024"/>
      <c r="AG116" s="3024"/>
      <c r="AH116" s="3024"/>
      <c r="AI116" s="3024"/>
      <c r="AJ116" s="3024"/>
      <c r="AK116" s="3025"/>
      <c r="AL116" s="1639"/>
      <c r="AM116" s="1645" t="str">
        <f>'1_入力シート【基本情報】'!FK442</f>
        <v/>
      </c>
      <c r="AN116" s="1645" t="str">
        <f>'1_入力シート【基本情報】'!FL442</f>
        <v/>
      </c>
      <c r="AO116" s="1645" t="str">
        <f>'1_入力シート【基本情報】'!FM442</f>
        <v/>
      </c>
      <c r="AP116" s="1641">
        <f>'1_入力シート【基本情報】'!FN442</f>
        <v>0</v>
      </c>
    </row>
    <row r="117" spans="2:42" ht="11.25" customHeight="1">
      <c r="B117" s="2993" t="s">
        <v>977</v>
      </c>
      <c r="C117" s="2994"/>
      <c r="D117" s="2994"/>
      <c r="E117" s="3082"/>
      <c r="F117" s="3083"/>
      <c r="G117" s="3102"/>
      <c r="H117" s="3103"/>
      <c r="I117" s="3103"/>
      <c r="J117" s="3103"/>
      <c r="K117" s="3103"/>
      <c r="L117" s="3103"/>
      <c r="M117" s="3103"/>
      <c r="N117" s="3103"/>
      <c r="O117" s="3103"/>
      <c r="P117" s="3103"/>
      <c r="Q117" s="3103"/>
      <c r="R117" s="3103"/>
      <c r="S117" s="3103"/>
      <c r="T117" s="3104"/>
      <c r="U117" s="3028" t="s">
        <v>129</v>
      </c>
      <c r="V117" s="3019"/>
      <c r="W117" s="3024"/>
      <c r="X117" s="3024"/>
      <c r="Y117" s="3024"/>
      <c r="Z117" s="3024"/>
      <c r="AA117" s="3024"/>
      <c r="AB117" s="3024"/>
      <c r="AC117" s="3024"/>
      <c r="AD117" s="3024"/>
      <c r="AE117" s="3024"/>
      <c r="AF117" s="3024"/>
      <c r="AG117" s="3024"/>
      <c r="AH117" s="3024"/>
      <c r="AI117" s="3024"/>
      <c r="AJ117" s="3024"/>
      <c r="AK117" s="3025"/>
      <c r="AL117" s="1639"/>
      <c r="AM117" s="1645" t="str">
        <f>'1_入力シート【基本情報】'!FK443</f>
        <v/>
      </c>
      <c r="AN117" s="1645" t="str">
        <f>'1_入力シート【基本情報】'!FL443</f>
        <v/>
      </c>
      <c r="AO117" s="1645" t="str">
        <f>'1_入力シート【基本情報】'!FM443</f>
        <v/>
      </c>
      <c r="AP117" s="1641">
        <f>'1_入力シート【基本情報】'!FN443</f>
        <v>0</v>
      </c>
    </row>
    <row r="118" spans="2:42" ht="12" customHeight="1">
      <c r="B118" s="2993" t="s">
        <v>984</v>
      </c>
      <c r="C118" s="2994"/>
      <c r="D118" s="2994"/>
      <c r="E118" s="3082"/>
      <c r="F118" s="3083"/>
      <c r="G118" s="3086" t="s">
        <v>130</v>
      </c>
      <c r="H118" s="3087"/>
      <c r="I118" s="3087"/>
      <c r="J118" s="3087"/>
      <c r="K118" s="3087"/>
      <c r="L118" s="3087"/>
      <c r="M118" s="3087"/>
      <c r="N118" s="3087"/>
      <c r="O118" s="3087"/>
      <c r="P118" s="3087"/>
      <c r="Q118" s="3087"/>
      <c r="R118" s="3087"/>
      <c r="S118" s="3087"/>
      <c r="T118" s="3088"/>
      <c r="U118" s="3028" t="s">
        <v>131</v>
      </c>
      <c r="V118" s="3019"/>
      <c r="W118" s="3024"/>
      <c r="X118" s="3024"/>
      <c r="Y118" s="3024"/>
      <c r="Z118" s="3024"/>
      <c r="AA118" s="3024"/>
      <c r="AB118" s="3024"/>
      <c r="AC118" s="3024"/>
      <c r="AD118" s="3024"/>
      <c r="AE118" s="3024"/>
      <c r="AF118" s="3024"/>
      <c r="AG118" s="3024"/>
      <c r="AH118" s="3024"/>
      <c r="AI118" s="3024"/>
      <c r="AJ118" s="3024"/>
      <c r="AK118" s="3025"/>
      <c r="AL118" s="1639"/>
      <c r="AM118" s="1645" t="str">
        <f>'1_入力シート【基本情報】'!FK444</f>
        <v/>
      </c>
      <c r="AN118" s="1645" t="str">
        <f>'1_入力シート【基本情報】'!FL444</f>
        <v/>
      </c>
      <c r="AO118" s="1645" t="str">
        <f>'1_入力シート【基本情報】'!FM444</f>
        <v/>
      </c>
      <c r="AP118" s="1641">
        <f>'1_入力シート【基本情報】'!FN444</f>
        <v>0</v>
      </c>
    </row>
    <row r="119" spans="2:42" ht="12" customHeight="1">
      <c r="B119" s="2993" t="s">
        <v>985</v>
      </c>
      <c r="C119" s="2994"/>
      <c r="D119" s="2994"/>
      <c r="E119" s="3082"/>
      <c r="F119" s="3083"/>
      <c r="G119" s="3089"/>
      <c r="H119" s="3090"/>
      <c r="I119" s="3090"/>
      <c r="J119" s="3090"/>
      <c r="K119" s="3090"/>
      <c r="L119" s="3090"/>
      <c r="M119" s="3090"/>
      <c r="N119" s="3090"/>
      <c r="O119" s="3090"/>
      <c r="P119" s="3090"/>
      <c r="Q119" s="3090"/>
      <c r="R119" s="3090"/>
      <c r="S119" s="3090"/>
      <c r="T119" s="3091"/>
      <c r="U119" s="3028" t="s">
        <v>204</v>
      </c>
      <c r="V119" s="3019"/>
      <c r="W119" s="3024"/>
      <c r="X119" s="3024"/>
      <c r="Y119" s="3024"/>
      <c r="Z119" s="3024"/>
      <c r="AA119" s="3024"/>
      <c r="AB119" s="3024"/>
      <c r="AC119" s="3024"/>
      <c r="AD119" s="3024"/>
      <c r="AE119" s="3024"/>
      <c r="AF119" s="3024"/>
      <c r="AG119" s="3024"/>
      <c r="AH119" s="3024"/>
      <c r="AI119" s="3024"/>
      <c r="AJ119" s="3024"/>
      <c r="AK119" s="3025"/>
      <c r="AL119" s="1639"/>
      <c r="AM119" s="1645" t="str">
        <f>'1_入力シート【基本情報】'!FK445</f>
        <v/>
      </c>
      <c r="AN119" s="1645" t="str">
        <f>'1_入力シート【基本情報】'!FL445</f>
        <v/>
      </c>
      <c r="AO119" s="1645" t="str">
        <f>'1_入力シート【基本情報】'!FM445</f>
        <v/>
      </c>
      <c r="AP119" s="1641">
        <f>'1_入力シート【基本情報】'!FN445</f>
        <v>0</v>
      </c>
    </row>
    <row r="120" spans="2:42" ht="12" customHeight="1">
      <c r="B120" s="2993" t="s">
        <v>986</v>
      </c>
      <c r="C120" s="2994"/>
      <c r="D120" s="2994"/>
      <c r="E120" s="3082"/>
      <c r="F120" s="3083"/>
      <c r="G120" s="3089"/>
      <c r="H120" s="3090"/>
      <c r="I120" s="3090"/>
      <c r="J120" s="3090"/>
      <c r="K120" s="3090"/>
      <c r="L120" s="3090"/>
      <c r="M120" s="3090"/>
      <c r="N120" s="3090"/>
      <c r="O120" s="3090"/>
      <c r="P120" s="3090"/>
      <c r="Q120" s="3090"/>
      <c r="R120" s="3090"/>
      <c r="S120" s="3090"/>
      <c r="T120" s="3091"/>
      <c r="U120" s="3028" t="s">
        <v>203</v>
      </c>
      <c r="V120" s="3019"/>
      <c r="W120" s="3024"/>
      <c r="X120" s="3024"/>
      <c r="Y120" s="3024"/>
      <c r="Z120" s="3024"/>
      <c r="AA120" s="3024"/>
      <c r="AB120" s="3024"/>
      <c r="AC120" s="3024"/>
      <c r="AD120" s="3024"/>
      <c r="AE120" s="3024"/>
      <c r="AF120" s="3024"/>
      <c r="AG120" s="3024"/>
      <c r="AH120" s="3024"/>
      <c r="AI120" s="3024"/>
      <c r="AJ120" s="3024"/>
      <c r="AK120" s="3025"/>
      <c r="AL120" s="1639"/>
      <c r="AM120" s="1645" t="str">
        <f>'1_入力シート【基本情報】'!FK446</f>
        <v/>
      </c>
      <c r="AN120" s="1645" t="str">
        <f>'1_入力シート【基本情報】'!FL446</f>
        <v/>
      </c>
      <c r="AO120" s="1645" t="str">
        <f>'1_入力シート【基本情報】'!FM446</f>
        <v/>
      </c>
      <c r="AP120" s="1641">
        <f>'1_入力シート【基本情報】'!FN446</f>
        <v>0</v>
      </c>
    </row>
    <row r="121" spans="2:42" ht="21" customHeight="1">
      <c r="B121" s="2993" t="s">
        <v>987</v>
      </c>
      <c r="C121" s="2994"/>
      <c r="D121" s="2994"/>
      <c r="E121" s="3082"/>
      <c r="F121" s="3083"/>
      <c r="G121" s="3089"/>
      <c r="H121" s="3090"/>
      <c r="I121" s="3090"/>
      <c r="J121" s="3090"/>
      <c r="K121" s="3090"/>
      <c r="L121" s="3090"/>
      <c r="M121" s="3090"/>
      <c r="N121" s="3090"/>
      <c r="O121" s="3090"/>
      <c r="P121" s="3090"/>
      <c r="Q121" s="3090"/>
      <c r="R121" s="3090"/>
      <c r="S121" s="3090"/>
      <c r="T121" s="3091"/>
      <c r="U121" s="3128" t="s">
        <v>202</v>
      </c>
      <c r="V121" s="3129"/>
      <c r="W121" s="3130"/>
      <c r="X121" s="3130"/>
      <c r="Y121" s="3130"/>
      <c r="Z121" s="3130"/>
      <c r="AA121" s="3130"/>
      <c r="AB121" s="3130"/>
      <c r="AC121" s="3130"/>
      <c r="AD121" s="3130"/>
      <c r="AE121" s="3130"/>
      <c r="AF121" s="3130"/>
      <c r="AG121" s="3130"/>
      <c r="AH121" s="3130"/>
      <c r="AI121" s="3130"/>
      <c r="AJ121" s="3130"/>
      <c r="AK121" s="3131"/>
      <c r="AL121" s="1639"/>
      <c r="AM121" s="1645" t="str">
        <f>'1_入力シート【基本情報】'!FK447</f>
        <v/>
      </c>
      <c r="AN121" s="1645" t="str">
        <f>'1_入力シート【基本情報】'!FL447</f>
        <v/>
      </c>
      <c r="AO121" s="1645" t="str">
        <f>'1_入力シート【基本情報】'!FM447</f>
        <v/>
      </c>
      <c r="AP121" s="1641">
        <f>'1_入力シート【基本情報】'!FN447</f>
        <v>0</v>
      </c>
    </row>
    <row r="122" spans="2:42" ht="12" customHeight="1">
      <c r="B122" s="2993" t="s">
        <v>988</v>
      </c>
      <c r="C122" s="2994"/>
      <c r="D122" s="2994"/>
      <c r="E122" s="3084"/>
      <c r="F122" s="3085"/>
      <c r="G122" s="3223"/>
      <c r="H122" s="3224"/>
      <c r="I122" s="3224"/>
      <c r="J122" s="3224"/>
      <c r="K122" s="3224"/>
      <c r="L122" s="3224"/>
      <c r="M122" s="3224"/>
      <c r="N122" s="3224"/>
      <c r="O122" s="3224"/>
      <c r="P122" s="3224"/>
      <c r="Q122" s="3224"/>
      <c r="R122" s="3224"/>
      <c r="S122" s="3224"/>
      <c r="T122" s="3225"/>
      <c r="U122" s="3028" t="s">
        <v>115</v>
      </c>
      <c r="V122" s="3019"/>
      <c r="W122" s="3024"/>
      <c r="X122" s="3024"/>
      <c r="Y122" s="3024"/>
      <c r="Z122" s="3024"/>
      <c r="AA122" s="3024"/>
      <c r="AB122" s="3024"/>
      <c r="AC122" s="3024"/>
      <c r="AD122" s="3024"/>
      <c r="AE122" s="3024"/>
      <c r="AF122" s="3024"/>
      <c r="AG122" s="3024"/>
      <c r="AH122" s="3024"/>
      <c r="AI122" s="3024"/>
      <c r="AJ122" s="3024"/>
      <c r="AK122" s="3025"/>
      <c r="AL122" s="1639"/>
      <c r="AM122" s="1645" t="str">
        <f>'1_入力シート【基本情報】'!FK448</f>
        <v/>
      </c>
      <c r="AN122" s="1645" t="str">
        <f>'1_入力シート【基本情報】'!FL448</f>
        <v/>
      </c>
      <c r="AO122" s="1645" t="str">
        <f>'1_入力シート【基本情報】'!FM448</f>
        <v/>
      </c>
      <c r="AP122" s="1641">
        <f>'1_入力シート【基本情報】'!FN448</f>
        <v>0</v>
      </c>
    </row>
    <row r="123" spans="2:42" ht="12" customHeight="1">
      <c r="B123" s="2993" t="s">
        <v>989</v>
      </c>
      <c r="C123" s="2994"/>
      <c r="D123" s="2994"/>
      <c r="E123" s="3080" t="s">
        <v>132</v>
      </c>
      <c r="F123" s="3081"/>
      <c r="G123" s="3052" t="s">
        <v>133</v>
      </c>
      <c r="H123" s="3053"/>
      <c r="I123" s="3054"/>
      <c r="J123" s="3054"/>
      <c r="K123" s="3054"/>
      <c r="L123" s="3054"/>
      <c r="M123" s="3054"/>
      <c r="N123" s="3054"/>
      <c r="O123" s="3054"/>
      <c r="P123" s="3054"/>
      <c r="Q123" s="3054"/>
      <c r="R123" s="3054"/>
      <c r="S123" s="3054"/>
      <c r="T123" s="3055"/>
      <c r="U123" s="3028" t="s">
        <v>134</v>
      </c>
      <c r="V123" s="3019"/>
      <c r="W123" s="3024"/>
      <c r="X123" s="3024"/>
      <c r="Y123" s="3024"/>
      <c r="Z123" s="3024"/>
      <c r="AA123" s="3024"/>
      <c r="AB123" s="3024"/>
      <c r="AC123" s="3024"/>
      <c r="AD123" s="3024"/>
      <c r="AE123" s="3024"/>
      <c r="AF123" s="3024"/>
      <c r="AG123" s="3024"/>
      <c r="AH123" s="3024"/>
      <c r="AI123" s="3024"/>
      <c r="AJ123" s="3024"/>
      <c r="AK123" s="3025"/>
      <c r="AL123" s="1639"/>
      <c r="AM123" s="1645" t="str">
        <f>'1_入力シート【基本情報】'!FK449</f>
        <v/>
      </c>
      <c r="AN123" s="1645" t="str">
        <f>'1_入力シート【基本情報】'!FL449</f>
        <v/>
      </c>
      <c r="AO123" s="1645" t="str">
        <f>'1_入力シート【基本情報】'!FM449</f>
        <v/>
      </c>
      <c r="AP123" s="1641">
        <f>'1_入力シート【基本情報】'!FN449</f>
        <v>0</v>
      </c>
    </row>
    <row r="124" spans="2:42" ht="12" customHeight="1">
      <c r="B124" s="2993" t="s">
        <v>990</v>
      </c>
      <c r="C124" s="2994"/>
      <c r="D124" s="2994"/>
      <c r="E124" s="3082"/>
      <c r="F124" s="3083"/>
      <c r="G124" s="3056"/>
      <c r="H124" s="3057"/>
      <c r="I124" s="3058"/>
      <c r="J124" s="3058"/>
      <c r="K124" s="3058"/>
      <c r="L124" s="3058"/>
      <c r="M124" s="3058"/>
      <c r="N124" s="3058"/>
      <c r="O124" s="3058"/>
      <c r="P124" s="3058"/>
      <c r="Q124" s="3058"/>
      <c r="R124" s="3058"/>
      <c r="S124" s="3058"/>
      <c r="T124" s="3059"/>
      <c r="U124" s="3028" t="s">
        <v>201</v>
      </c>
      <c r="V124" s="3019"/>
      <c r="W124" s="3024"/>
      <c r="X124" s="3024"/>
      <c r="Y124" s="3024"/>
      <c r="Z124" s="3024"/>
      <c r="AA124" s="3024"/>
      <c r="AB124" s="3024"/>
      <c r="AC124" s="3024"/>
      <c r="AD124" s="3024"/>
      <c r="AE124" s="3024"/>
      <c r="AF124" s="3024"/>
      <c r="AG124" s="3024"/>
      <c r="AH124" s="3024"/>
      <c r="AI124" s="3024"/>
      <c r="AJ124" s="3024"/>
      <c r="AK124" s="3025"/>
      <c r="AL124" s="1639"/>
      <c r="AM124" s="1645" t="str">
        <f>'1_入力シート【基本情報】'!FK450</f>
        <v/>
      </c>
      <c r="AN124" s="1645" t="str">
        <f>'1_入力シート【基本情報】'!FL450</f>
        <v/>
      </c>
      <c r="AO124" s="1645" t="str">
        <f>'1_入力シート【基本情報】'!FM450</f>
        <v/>
      </c>
      <c r="AP124" s="1641">
        <f>'1_入力シート【基本情報】'!FN450</f>
        <v>0</v>
      </c>
    </row>
    <row r="125" spans="2:42" ht="12" customHeight="1">
      <c r="B125" s="2993" t="s">
        <v>991</v>
      </c>
      <c r="C125" s="2994"/>
      <c r="D125" s="2994"/>
      <c r="E125" s="3082"/>
      <c r="F125" s="3083"/>
      <c r="G125" s="3099"/>
      <c r="H125" s="3018"/>
      <c r="I125" s="3100"/>
      <c r="J125" s="3100"/>
      <c r="K125" s="3100"/>
      <c r="L125" s="3100"/>
      <c r="M125" s="3100"/>
      <c r="N125" s="3100"/>
      <c r="O125" s="3100"/>
      <c r="P125" s="3100"/>
      <c r="Q125" s="3100"/>
      <c r="R125" s="3100"/>
      <c r="S125" s="3100"/>
      <c r="T125" s="3101"/>
      <c r="U125" s="3028" t="s">
        <v>200</v>
      </c>
      <c r="V125" s="3019"/>
      <c r="W125" s="3024"/>
      <c r="X125" s="3024"/>
      <c r="Y125" s="3024"/>
      <c r="Z125" s="3024"/>
      <c r="AA125" s="3024"/>
      <c r="AB125" s="3024"/>
      <c r="AC125" s="3024"/>
      <c r="AD125" s="3024"/>
      <c r="AE125" s="3024"/>
      <c r="AF125" s="3024"/>
      <c r="AG125" s="3024"/>
      <c r="AH125" s="3024"/>
      <c r="AI125" s="3024"/>
      <c r="AJ125" s="3024"/>
      <c r="AK125" s="3025"/>
      <c r="AL125" s="1639"/>
      <c r="AM125" s="1645" t="str">
        <f>'1_入力シート【基本情報】'!FK451</f>
        <v/>
      </c>
      <c r="AN125" s="1645" t="str">
        <f>'1_入力シート【基本情報】'!FL451</f>
        <v/>
      </c>
      <c r="AO125" s="1645" t="str">
        <f>'1_入力シート【基本情報】'!FM451</f>
        <v/>
      </c>
      <c r="AP125" s="1641">
        <f>'1_入力シート【基本情報】'!FN451</f>
        <v>0</v>
      </c>
    </row>
    <row r="126" spans="2:42" ht="12" customHeight="1">
      <c r="B126" s="2993" t="s">
        <v>992</v>
      </c>
      <c r="C126" s="2994"/>
      <c r="D126" s="2994"/>
      <c r="E126" s="3082"/>
      <c r="F126" s="3083"/>
      <c r="G126" s="3052" t="s">
        <v>135</v>
      </c>
      <c r="H126" s="3053"/>
      <c r="I126" s="3054"/>
      <c r="J126" s="3054"/>
      <c r="K126" s="3054"/>
      <c r="L126" s="3054"/>
      <c r="M126" s="3054"/>
      <c r="N126" s="3054"/>
      <c r="O126" s="3054"/>
      <c r="P126" s="3054"/>
      <c r="Q126" s="3054"/>
      <c r="R126" s="3054"/>
      <c r="S126" s="3054"/>
      <c r="T126" s="3055"/>
      <c r="U126" s="3028" t="s">
        <v>136</v>
      </c>
      <c r="V126" s="3019"/>
      <c r="W126" s="3024"/>
      <c r="X126" s="3024"/>
      <c r="Y126" s="3024"/>
      <c r="Z126" s="3024"/>
      <c r="AA126" s="3024"/>
      <c r="AB126" s="3024"/>
      <c r="AC126" s="3024"/>
      <c r="AD126" s="3024"/>
      <c r="AE126" s="3024"/>
      <c r="AF126" s="3024"/>
      <c r="AG126" s="3024"/>
      <c r="AH126" s="3024"/>
      <c r="AI126" s="3024"/>
      <c r="AJ126" s="3024"/>
      <c r="AK126" s="3025"/>
      <c r="AL126" s="1639"/>
      <c r="AM126" s="1645" t="str">
        <f>'1_入力シート【基本情報】'!FK452</f>
        <v/>
      </c>
      <c r="AN126" s="1645" t="str">
        <f>'1_入力シート【基本情報】'!FL452</f>
        <v/>
      </c>
      <c r="AO126" s="1645" t="str">
        <f>'1_入力シート【基本情報】'!FM452</f>
        <v/>
      </c>
      <c r="AP126" s="1641">
        <f>'1_入力シート【基本情報】'!FN452</f>
        <v>0</v>
      </c>
    </row>
    <row r="127" spans="2:42" ht="12" customHeight="1">
      <c r="B127" s="2993" t="s">
        <v>993</v>
      </c>
      <c r="C127" s="2994"/>
      <c r="D127" s="2994"/>
      <c r="E127" s="3082"/>
      <c r="F127" s="3083"/>
      <c r="G127" s="3132"/>
      <c r="H127" s="3057"/>
      <c r="I127" s="3058"/>
      <c r="J127" s="3058"/>
      <c r="K127" s="3058"/>
      <c r="L127" s="3058"/>
      <c r="M127" s="3058"/>
      <c r="N127" s="3058"/>
      <c r="O127" s="3058"/>
      <c r="P127" s="3058"/>
      <c r="Q127" s="3058"/>
      <c r="R127" s="3058"/>
      <c r="S127" s="3058"/>
      <c r="T127" s="3059"/>
      <c r="U127" s="3028" t="s">
        <v>137</v>
      </c>
      <c r="V127" s="3019"/>
      <c r="W127" s="3024"/>
      <c r="X127" s="3024"/>
      <c r="Y127" s="3024"/>
      <c r="Z127" s="3024"/>
      <c r="AA127" s="3024"/>
      <c r="AB127" s="3024"/>
      <c r="AC127" s="3024"/>
      <c r="AD127" s="3024"/>
      <c r="AE127" s="3024"/>
      <c r="AF127" s="3024"/>
      <c r="AG127" s="3024"/>
      <c r="AH127" s="3024"/>
      <c r="AI127" s="3024"/>
      <c r="AJ127" s="3024"/>
      <c r="AK127" s="3025"/>
      <c r="AL127" s="1639"/>
      <c r="AM127" s="1645" t="str">
        <f>'1_入力シート【基本情報】'!FK453</f>
        <v/>
      </c>
      <c r="AN127" s="1645" t="str">
        <f>'1_入力シート【基本情報】'!FL453</f>
        <v/>
      </c>
      <c r="AO127" s="1645" t="str">
        <f>'1_入力シート【基本情報】'!FM453</f>
        <v/>
      </c>
      <c r="AP127" s="1641">
        <f>'1_入力シート【基本情報】'!FN453</f>
        <v>0</v>
      </c>
    </row>
    <row r="128" spans="2:42" ht="12" customHeight="1">
      <c r="B128" s="2993" t="s">
        <v>994</v>
      </c>
      <c r="C128" s="2994"/>
      <c r="D128" s="2994"/>
      <c r="E128" s="3084"/>
      <c r="F128" s="3085"/>
      <c r="G128" s="3133"/>
      <c r="H128" s="3018"/>
      <c r="I128" s="3100"/>
      <c r="J128" s="3100"/>
      <c r="K128" s="3100"/>
      <c r="L128" s="3100"/>
      <c r="M128" s="3100"/>
      <c r="N128" s="3100"/>
      <c r="O128" s="3100"/>
      <c r="P128" s="3100"/>
      <c r="Q128" s="3100"/>
      <c r="R128" s="3100"/>
      <c r="S128" s="3100"/>
      <c r="T128" s="3101"/>
      <c r="U128" s="3028" t="s">
        <v>199</v>
      </c>
      <c r="V128" s="3019"/>
      <c r="W128" s="3024"/>
      <c r="X128" s="3024"/>
      <c r="Y128" s="3024"/>
      <c r="Z128" s="3024"/>
      <c r="AA128" s="3024"/>
      <c r="AB128" s="3024"/>
      <c r="AC128" s="3024"/>
      <c r="AD128" s="3024"/>
      <c r="AE128" s="3024"/>
      <c r="AF128" s="3024"/>
      <c r="AG128" s="3024"/>
      <c r="AH128" s="3024"/>
      <c r="AI128" s="3024"/>
      <c r="AJ128" s="3024"/>
      <c r="AK128" s="3025"/>
      <c r="AL128" s="1639"/>
      <c r="AM128" s="1645" t="str">
        <f>'1_入力シート【基本情報】'!FK454</f>
        <v/>
      </c>
      <c r="AN128" s="1645" t="str">
        <f>'1_入力シート【基本情報】'!FL454</f>
        <v/>
      </c>
      <c r="AO128" s="1645" t="str">
        <f>'1_入力シート【基本情報】'!FM454</f>
        <v/>
      </c>
      <c r="AP128" s="1641">
        <f>'1_入力シート【基本情報】'!FN454</f>
        <v>0</v>
      </c>
    </row>
    <row r="129" spans="2:42" ht="12" customHeight="1">
      <c r="B129" s="2993" t="s">
        <v>995</v>
      </c>
      <c r="C129" s="2994"/>
      <c r="D129" s="2994"/>
      <c r="E129" s="3080" t="s">
        <v>172</v>
      </c>
      <c r="F129" s="3170"/>
      <c r="G129" s="3086" t="s">
        <v>1350</v>
      </c>
      <c r="H129" s="3087"/>
      <c r="I129" s="3087"/>
      <c r="J129" s="3087"/>
      <c r="K129" s="3087"/>
      <c r="L129" s="3087"/>
      <c r="M129" s="3087"/>
      <c r="N129" s="3087"/>
      <c r="O129" s="3087"/>
      <c r="P129" s="3087"/>
      <c r="Q129" s="3087"/>
      <c r="R129" s="3087"/>
      <c r="S129" s="3087"/>
      <c r="T129" s="3087"/>
      <c r="U129" s="3028" t="s">
        <v>139</v>
      </c>
      <c r="V129" s="3019"/>
      <c r="W129" s="3024"/>
      <c r="X129" s="3024"/>
      <c r="Y129" s="3024"/>
      <c r="Z129" s="3024"/>
      <c r="AA129" s="3024"/>
      <c r="AB129" s="3024"/>
      <c r="AC129" s="3024"/>
      <c r="AD129" s="3024"/>
      <c r="AE129" s="3024"/>
      <c r="AF129" s="3024"/>
      <c r="AG129" s="3024"/>
      <c r="AH129" s="3024"/>
      <c r="AI129" s="3024"/>
      <c r="AJ129" s="3024"/>
      <c r="AK129" s="3025"/>
      <c r="AL129" s="1639"/>
      <c r="AM129" s="1645" t="str">
        <f>'1_入力シート【基本情報】'!FK455</f>
        <v/>
      </c>
      <c r="AN129" s="1645" t="str">
        <f>'1_入力シート【基本情報】'!FL455</f>
        <v/>
      </c>
      <c r="AO129" s="1645" t="str">
        <f>'1_入力シート【基本情報】'!FM455</f>
        <v/>
      </c>
      <c r="AP129" s="1641">
        <f>'1_入力シート【基本情報】'!FN455</f>
        <v>0</v>
      </c>
    </row>
    <row r="130" spans="2:42" ht="12" customHeight="1">
      <c r="B130" s="2993" t="s">
        <v>996</v>
      </c>
      <c r="C130" s="2994"/>
      <c r="D130" s="2994"/>
      <c r="E130" s="3082"/>
      <c r="F130" s="3172"/>
      <c r="G130" s="3223"/>
      <c r="H130" s="3224"/>
      <c r="I130" s="3224"/>
      <c r="J130" s="3224"/>
      <c r="K130" s="3224"/>
      <c r="L130" s="3224"/>
      <c r="M130" s="3224"/>
      <c r="N130" s="3224"/>
      <c r="O130" s="3224"/>
      <c r="P130" s="3224"/>
      <c r="Q130" s="3224"/>
      <c r="R130" s="3224"/>
      <c r="S130" s="3224"/>
      <c r="T130" s="3224"/>
      <c r="U130" s="3028" t="s">
        <v>140</v>
      </c>
      <c r="V130" s="3019"/>
      <c r="W130" s="3024"/>
      <c r="X130" s="3024"/>
      <c r="Y130" s="3024"/>
      <c r="Z130" s="3024"/>
      <c r="AA130" s="3024"/>
      <c r="AB130" s="3024"/>
      <c r="AC130" s="3024"/>
      <c r="AD130" s="3024"/>
      <c r="AE130" s="3024"/>
      <c r="AF130" s="3024"/>
      <c r="AG130" s="3024"/>
      <c r="AH130" s="3024"/>
      <c r="AI130" s="3024"/>
      <c r="AJ130" s="3024"/>
      <c r="AK130" s="3025"/>
      <c r="AL130" s="1639"/>
      <c r="AM130" s="1645" t="str">
        <f>'1_入力シート【基本情報】'!FK456</f>
        <v/>
      </c>
      <c r="AN130" s="1645" t="str">
        <f>'1_入力シート【基本情報】'!FL456</f>
        <v/>
      </c>
      <c r="AO130" s="1645" t="str">
        <f>'1_入力シート【基本情報】'!FM456</f>
        <v/>
      </c>
      <c r="AP130" s="1641">
        <f>'1_入力シート【基本情報】'!FN456</f>
        <v>0</v>
      </c>
    </row>
    <row r="131" spans="2:42" ht="12" customHeight="1">
      <c r="B131" s="2993" t="s">
        <v>997</v>
      </c>
      <c r="C131" s="2994"/>
      <c r="D131" s="2994"/>
      <c r="E131" s="3173"/>
      <c r="F131" s="3172"/>
      <c r="G131" s="3086" t="s">
        <v>1351</v>
      </c>
      <c r="H131" s="3087"/>
      <c r="I131" s="3087"/>
      <c r="J131" s="3087"/>
      <c r="K131" s="3087"/>
      <c r="L131" s="3087"/>
      <c r="M131" s="3087"/>
      <c r="N131" s="3087"/>
      <c r="O131" s="3087"/>
      <c r="P131" s="3087"/>
      <c r="Q131" s="3087"/>
      <c r="R131" s="3087"/>
      <c r="S131" s="3087"/>
      <c r="T131" s="3088"/>
      <c r="U131" s="3028" t="s">
        <v>742</v>
      </c>
      <c r="V131" s="3019"/>
      <c r="W131" s="3024"/>
      <c r="X131" s="3024"/>
      <c r="Y131" s="3024"/>
      <c r="Z131" s="3024"/>
      <c r="AA131" s="3024"/>
      <c r="AB131" s="3024"/>
      <c r="AC131" s="3024"/>
      <c r="AD131" s="3024"/>
      <c r="AE131" s="3024"/>
      <c r="AF131" s="3024"/>
      <c r="AG131" s="3024"/>
      <c r="AH131" s="3024"/>
      <c r="AI131" s="3024"/>
      <c r="AJ131" s="3024"/>
      <c r="AK131" s="3025"/>
      <c r="AL131" s="1639"/>
      <c r="AM131" s="1645" t="str">
        <f>'1_入力シート【基本情報】'!FK457</f>
        <v/>
      </c>
      <c r="AN131" s="1645" t="str">
        <f>'1_入力シート【基本情報】'!FL457</f>
        <v/>
      </c>
      <c r="AO131" s="1645" t="str">
        <f>'1_入力シート【基本情報】'!FM457</f>
        <v/>
      </c>
      <c r="AP131" s="1641">
        <f>'1_入力シート【基本情報】'!FN457</f>
        <v>0</v>
      </c>
    </row>
    <row r="132" spans="2:42" ht="12" customHeight="1">
      <c r="B132" s="2993" t="s">
        <v>998</v>
      </c>
      <c r="C132" s="2994"/>
      <c r="D132" s="2994"/>
      <c r="E132" s="3173"/>
      <c r="F132" s="3172"/>
      <c r="G132" s="3089"/>
      <c r="H132" s="3090"/>
      <c r="I132" s="3090"/>
      <c r="J132" s="3090"/>
      <c r="K132" s="3090"/>
      <c r="L132" s="3090"/>
      <c r="M132" s="3090"/>
      <c r="N132" s="3090"/>
      <c r="O132" s="3090"/>
      <c r="P132" s="3090"/>
      <c r="Q132" s="3090"/>
      <c r="R132" s="3090"/>
      <c r="S132" s="3090"/>
      <c r="T132" s="3091"/>
      <c r="U132" s="3028" t="s">
        <v>198</v>
      </c>
      <c r="V132" s="3019"/>
      <c r="W132" s="3024"/>
      <c r="X132" s="3024"/>
      <c r="Y132" s="3024"/>
      <c r="Z132" s="3024"/>
      <c r="AA132" s="3024"/>
      <c r="AB132" s="3024"/>
      <c r="AC132" s="3024"/>
      <c r="AD132" s="3024"/>
      <c r="AE132" s="3024"/>
      <c r="AF132" s="3024"/>
      <c r="AG132" s="3024"/>
      <c r="AH132" s="3024"/>
      <c r="AI132" s="3024"/>
      <c r="AJ132" s="3024"/>
      <c r="AK132" s="3025"/>
      <c r="AL132" s="1639"/>
      <c r="AM132" s="1645" t="str">
        <f>'1_入力シート【基本情報】'!FK458</f>
        <v/>
      </c>
      <c r="AN132" s="1645" t="str">
        <f>'1_入力シート【基本情報】'!FL458</f>
        <v/>
      </c>
      <c r="AO132" s="1645" t="str">
        <f>'1_入力シート【基本情報】'!FM458</f>
        <v/>
      </c>
      <c r="AP132" s="1641">
        <f>'1_入力シート【基本情報】'!FN458</f>
        <v>0</v>
      </c>
    </row>
    <row r="133" spans="2:42" ht="12" customHeight="1">
      <c r="B133" s="2993" t="s">
        <v>999</v>
      </c>
      <c r="C133" s="2994"/>
      <c r="D133" s="2994"/>
      <c r="E133" s="3173"/>
      <c r="F133" s="3172"/>
      <c r="G133" s="3089"/>
      <c r="H133" s="3090"/>
      <c r="I133" s="3090"/>
      <c r="J133" s="3090"/>
      <c r="K133" s="3090"/>
      <c r="L133" s="3090"/>
      <c r="M133" s="3090"/>
      <c r="N133" s="3090"/>
      <c r="O133" s="3090"/>
      <c r="P133" s="3090"/>
      <c r="Q133" s="3090"/>
      <c r="R133" s="3090"/>
      <c r="S133" s="3090"/>
      <c r="T133" s="3091"/>
      <c r="U133" s="3028" t="s">
        <v>197</v>
      </c>
      <c r="V133" s="3019"/>
      <c r="W133" s="3024"/>
      <c r="X133" s="3024"/>
      <c r="Y133" s="3024"/>
      <c r="Z133" s="3024"/>
      <c r="AA133" s="3024"/>
      <c r="AB133" s="3024"/>
      <c r="AC133" s="3024"/>
      <c r="AD133" s="3024"/>
      <c r="AE133" s="3024"/>
      <c r="AF133" s="3024"/>
      <c r="AG133" s="3024"/>
      <c r="AH133" s="3024"/>
      <c r="AI133" s="3024"/>
      <c r="AJ133" s="3024"/>
      <c r="AK133" s="3025"/>
      <c r="AL133" s="1639"/>
      <c r="AM133" s="1645" t="str">
        <f>'1_入力シート【基本情報】'!FK459</f>
        <v/>
      </c>
      <c r="AN133" s="1645" t="str">
        <f>'1_入力シート【基本情報】'!FL459</f>
        <v/>
      </c>
      <c r="AO133" s="1645" t="str">
        <f>'1_入力シート【基本情報】'!FM459</f>
        <v/>
      </c>
      <c r="AP133" s="1641">
        <f>'1_入力シート【基本情報】'!FN459</f>
        <v>0</v>
      </c>
    </row>
    <row r="134" spans="2:42" ht="23.25" customHeight="1">
      <c r="B134" s="2993" t="s">
        <v>1000</v>
      </c>
      <c r="C134" s="2994"/>
      <c r="D134" s="2994"/>
      <c r="E134" s="3173"/>
      <c r="F134" s="3172"/>
      <c r="G134" s="3089"/>
      <c r="H134" s="3090"/>
      <c r="I134" s="3090"/>
      <c r="J134" s="3090"/>
      <c r="K134" s="3090"/>
      <c r="L134" s="3090"/>
      <c r="M134" s="3090"/>
      <c r="N134" s="3090"/>
      <c r="O134" s="3090"/>
      <c r="P134" s="3090"/>
      <c r="Q134" s="3090"/>
      <c r="R134" s="3090"/>
      <c r="S134" s="3090"/>
      <c r="T134" s="3091"/>
      <c r="U134" s="3028" t="s">
        <v>196</v>
      </c>
      <c r="V134" s="3019"/>
      <c r="W134" s="3024"/>
      <c r="X134" s="3024"/>
      <c r="Y134" s="3024"/>
      <c r="Z134" s="3024"/>
      <c r="AA134" s="3024"/>
      <c r="AB134" s="3024"/>
      <c r="AC134" s="3024"/>
      <c r="AD134" s="3024"/>
      <c r="AE134" s="3024"/>
      <c r="AF134" s="3024"/>
      <c r="AG134" s="3024"/>
      <c r="AH134" s="3024"/>
      <c r="AI134" s="3024"/>
      <c r="AJ134" s="3024"/>
      <c r="AK134" s="3025"/>
      <c r="AL134" s="1639"/>
      <c r="AM134" s="1645" t="str">
        <f>'1_入力シート【基本情報】'!FK460</f>
        <v/>
      </c>
      <c r="AN134" s="1645" t="str">
        <f>'1_入力シート【基本情報】'!FL460</f>
        <v/>
      </c>
      <c r="AO134" s="1645" t="str">
        <f>'1_入力シート【基本情報】'!FM460</f>
        <v/>
      </c>
      <c r="AP134" s="1641">
        <f>'1_入力シート【基本情報】'!FN460</f>
        <v>0</v>
      </c>
    </row>
    <row r="135" spans="2:42" ht="12" customHeight="1">
      <c r="B135" s="2993" t="s">
        <v>1001</v>
      </c>
      <c r="C135" s="2994"/>
      <c r="D135" s="2994"/>
      <c r="E135" s="3173"/>
      <c r="F135" s="3172"/>
      <c r="G135" s="3089"/>
      <c r="H135" s="3090"/>
      <c r="I135" s="3090"/>
      <c r="J135" s="3090"/>
      <c r="K135" s="3090"/>
      <c r="L135" s="3090"/>
      <c r="M135" s="3090"/>
      <c r="N135" s="3090"/>
      <c r="O135" s="3090"/>
      <c r="P135" s="3090"/>
      <c r="Q135" s="3090"/>
      <c r="R135" s="3090"/>
      <c r="S135" s="3090"/>
      <c r="T135" s="3091"/>
      <c r="U135" s="3028" t="s">
        <v>187</v>
      </c>
      <c r="V135" s="3019"/>
      <c r="W135" s="3024"/>
      <c r="X135" s="3024"/>
      <c r="Y135" s="3024"/>
      <c r="Z135" s="3024"/>
      <c r="AA135" s="3024"/>
      <c r="AB135" s="3024"/>
      <c r="AC135" s="3024"/>
      <c r="AD135" s="3024"/>
      <c r="AE135" s="3024"/>
      <c r="AF135" s="3024"/>
      <c r="AG135" s="3024"/>
      <c r="AH135" s="3024"/>
      <c r="AI135" s="3024"/>
      <c r="AJ135" s="3024"/>
      <c r="AK135" s="3025"/>
      <c r="AL135" s="1639"/>
      <c r="AM135" s="1645" t="str">
        <f>'1_入力シート【基本情報】'!FK461</f>
        <v/>
      </c>
      <c r="AN135" s="1645" t="str">
        <f>'1_入力シート【基本情報】'!FL461</f>
        <v/>
      </c>
      <c r="AO135" s="1645" t="str">
        <f>'1_入力シート【基本情報】'!FM461</f>
        <v/>
      </c>
      <c r="AP135" s="1641">
        <f>'1_入力シート【基本情報】'!FN461</f>
        <v>0</v>
      </c>
    </row>
    <row r="136" spans="2:42" ht="12" customHeight="1">
      <c r="B136" s="2993" t="s">
        <v>1002</v>
      </c>
      <c r="C136" s="2994"/>
      <c r="D136" s="2994"/>
      <c r="E136" s="3173"/>
      <c r="F136" s="3172"/>
      <c r="G136" s="3223"/>
      <c r="H136" s="3224"/>
      <c r="I136" s="3224"/>
      <c r="J136" s="3224"/>
      <c r="K136" s="3224"/>
      <c r="L136" s="3224"/>
      <c r="M136" s="3224"/>
      <c r="N136" s="3224"/>
      <c r="O136" s="3224"/>
      <c r="P136" s="3224"/>
      <c r="Q136" s="3224"/>
      <c r="R136" s="3224"/>
      <c r="S136" s="3224"/>
      <c r="T136" s="3225"/>
      <c r="U136" s="3028" t="s">
        <v>141</v>
      </c>
      <c r="V136" s="3019"/>
      <c r="W136" s="3024"/>
      <c r="X136" s="3024"/>
      <c r="Y136" s="3024"/>
      <c r="Z136" s="3024"/>
      <c r="AA136" s="3024"/>
      <c r="AB136" s="3024"/>
      <c r="AC136" s="3024"/>
      <c r="AD136" s="3024"/>
      <c r="AE136" s="3024"/>
      <c r="AF136" s="3024"/>
      <c r="AG136" s="3024"/>
      <c r="AH136" s="3024"/>
      <c r="AI136" s="3024"/>
      <c r="AJ136" s="3024"/>
      <c r="AK136" s="3025"/>
      <c r="AL136" s="1639"/>
      <c r="AM136" s="1645" t="str">
        <f>'1_入力シート【基本情報】'!FK462</f>
        <v/>
      </c>
      <c r="AN136" s="1645" t="str">
        <f>'1_入力シート【基本情報】'!FL462</f>
        <v/>
      </c>
      <c r="AO136" s="1645" t="str">
        <f>'1_入力シート【基本情報】'!FM462</f>
        <v/>
      </c>
      <c r="AP136" s="1641">
        <f>'1_入力シート【基本情報】'!FN462</f>
        <v>0</v>
      </c>
    </row>
    <row r="137" spans="2:42" ht="12" customHeight="1">
      <c r="B137" s="2993" t="s">
        <v>1003</v>
      </c>
      <c r="C137" s="2994"/>
      <c r="D137" s="2994"/>
      <c r="E137" s="3173"/>
      <c r="F137" s="3172"/>
      <c r="G137" s="3052" t="s">
        <v>188</v>
      </c>
      <c r="H137" s="3053"/>
      <c r="I137" s="3054"/>
      <c r="J137" s="3054"/>
      <c r="K137" s="3054"/>
      <c r="L137" s="3054"/>
      <c r="M137" s="3054"/>
      <c r="N137" s="3054"/>
      <c r="O137" s="3054"/>
      <c r="P137" s="3054"/>
      <c r="Q137" s="3054"/>
      <c r="R137" s="3054"/>
      <c r="S137" s="3054"/>
      <c r="T137" s="3055"/>
      <c r="U137" s="3028" t="s">
        <v>189</v>
      </c>
      <c r="V137" s="3019"/>
      <c r="W137" s="3024"/>
      <c r="X137" s="3024"/>
      <c r="Y137" s="3024"/>
      <c r="Z137" s="3024"/>
      <c r="AA137" s="3024"/>
      <c r="AB137" s="3024"/>
      <c r="AC137" s="3024"/>
      <c r="AD137" s="3024"/>
      <c r="AE137" s="3024"/>
      <c r="AF137" s="3024"/>
      <c r="AG137" s="3024"/>
      <c r="AH137" s="3024"/>
      <c r="AI137" s="3024"/>
      <c r="AJ137" s="3024"/>
      <c r="AK137" s="3025"/>
      <c r="AL137" s="1639"/>
      <c r="AM137" s="1645" t="str">
        <f>'1_入力シート【基本情報】'!FK463</f>
        <v/>
      </c>
      <c r="AN137" s="1645" t="str">
        <f>'1_入力シート【基本情報】'!FL463</f>
        <v/>
      </c>
      <c r="AO137" s="1645" t="str">
        <f>'1_入力シート【基本情報】'!FM463</f>
        <v/>
      </c>
      <c r="AP137" s="1641">
        <f>'1_入力シート【基本情報】'!FN463</f>
        <v>0</v>
      </c>
    </row>
    <row r="138" spans="2:42" ht="12" customHeight="1">
      <c r="B138" s="2993" t="s">
        <v>1004</v>
      </c>
      <c r="C138" s="2994"/>
      <c r="D138" s="2994"/>
      <c r="E138" s="3173"/>
      <c r="F138" s="3172"/>
      <c r="G138" s="3056"/>
      <c r="H138" s="3057"/>
      <c r="I138" s="3058"/>
      <c r="J138" s="3058"/>
      <c r="K138" s="3058"/>
      <c r="L138" s="3058"/>
      <c r="M138" s="3058"/>
      <c r="N138" s="3058"/>
      <c r="O138" s="3058"/>
      <c r="P138" s="3058"/>
      <c r="Q138" s="3058"/>
      <c r="R138" s="3058"/>
      <c r="S138" s="3058"/>
      <c r="T138" s="3059"/>
      <c r="U138" s="3028" t="s">
        <v>142</v>
      </c>
      <c r="V138" s="3019"/>
      <c r="W138" s="3024"/>
      <c r="X138" s="3024"/>
      <c r="Y138" s="3024"/>
      <c r="Z138" s="3024"/>
      <c r="AA138" s="3024"/>
      <c r="AB138" s="3024"/>
      <c r="AC138" s="3024"/>
      <c r="AD138" s="3024"/>
      <c r="AE138" s="3024"/>
      <c r="AF138" s="3024"/>
      <c r="AG138" s="3024"/>
      <c r="AH138" s="3024"/>
      <c r="AI138" s="3024"/>
      <c r="AJ138" s="3024"/>
      <c r="AK138" s="3025"/>
      <c r="AL138" s="1639"/>
      <c r="AM138" s="1645" t="str">
        <f>'1_入力シート【基本情報】'!FK464</f>
        <v/>
      </c>
      <c r="AN138" s="1645" t="str">
        <f>'1_入力シート【基本情報】'!FL464</f>
        <v/>
      </c>
      <c r="AO138" s="1645" t="str">
        <f>'1_入力シート【基本情報】'!FM464</f>
        <v/>
      </c>
      <c r="AP138" s="1641">
        <f>'1_入力シート【基本情報】'!FN464</f>
        <v>0</v>
      </c>
    </row>
    <row r="139" spans="2:42" ht="12.65" customHeight="1" thickBot="1">
      <c r="B139" s="3026" t="s">
        <v>1005</v>
      </c>
      <c r="C139" s="3027"/>
      <c r="D139" s="3027"/>
      <c r="E139" s="3174"/>
      <c r="F139" s="3175"/>
      <c r="G139" s="3060"/>
      <c r="H139" s="3061"/>
      <c r="I139" s="3062"/>
      <c r="J139" s="3062"/>
      <c r="K139" s="3062"/>
      <c r="L139" s="3062"/>
      <c r="M139" s="3062"/>
      <c r="N139" s="3062"/>
      <c r="O139" s="3062"/>
      <c r="P139" s="3062"/>
      <c r="Q139" s="3062"/>
      <c r="R139" s="3062"/>
      <c r="S139" s="3062"/>
      <c r="T139" s="3063"/>
      <c r="U139" s="3202" t="s">
        <v>143</v>
      </c>
      <c r="V139" s="3203"/>
      <c r="W139" s="3203"/>
      <c r="X139" s="3203"/>
      <c r="Y139" s="3203"/>
      <c r="Z139" s="3203"/>
      <c r="AA139" s="3203"/>
      <c r="AB139" s="3203"/>
      <c r="AC139" s="3203"/>
      <c r="AD139" s="3203"/>
      <c r="AE139" s="3203"/>
      <c r="AF139" s="3203"/>
      <c r="AG139" s="3203"/>
      <c r="AH139" s="3203"/>
      <c r="AI139" s="3203"/>
      <c r="AJ139" s="3203"/>
      <c r="AK139" s="3204"/>
      <c r="AL139" s="1642"/>
      <c r="AM139" s="1646" t="str">
        <f>'1_入力シート【基本情報】'!FK465</f>
        <v/>
      </c>
      <c r="AN139" s="1646" t="str">
        <f>'1_入力シート【基本情報】'!FL465</f>
        <v/>
      </c>
      <c r="AO139" s="1646" t="str">
        <f>'1_入力シート【基本情報】'!FM465</f>
        <v/>
      </c>
      <c r="AP139" s="1644">
        <f>'1_入力シート【基本情報】'!FN465</f>
        <v>0</v>
      </c>
    </row>
    <row r="140" spans="2:42" ht="12" customHeight="1">
      <c r="B140" s="3030">
        <v>6</v>
      </c>
      <c r="C140" s="3031"/>
      <c r="D140" s="3032"/>
      <c r="E140" s="3068" t="s">
        <v>144</v>
      </c>
      <c r="F140" s="3069"/>
      <c r="G140" s="3069"/>
      <c r="H140" s="3069"/>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69"/>
      <c r="AD140" s="3069"/>
      <c r="AE140" s="3069"/>
      <c r="AF140" s="3069"/>
      <c r="AG140" s="3069"/>
      <c r="AH140" s="3069"/>
      <c r="AI140" s="3069"/>
      <c r="AJ140" s="3069"/>
      <c r="AK140" s="3069"/>
      <c r="AL140" s="3069"/>
      <c r="AM140" s="3069"/>
      <c r="AN140" s="3069"/>
      <c r="AO140" s="3069"/>
      <c r="AP140" s="3070"/>
    </row>
    <row r="141" spans="2:42" ht="12" customHeight="1">
      <c r="B141" s="2993" t="s">
        <v>35</v>
      </c>
      <c r="C141" s="2994"/>
      <c r="D141" s="2995"/>
      <c r="E141" s="3080" t="s">
        <v>190</v>
      </c>
      <c r="F141" s="3170"/>
      <c r="G141" s="3149" t="s">
        <v>145</v>
      </c>
      <c r="H141" s="3217"/>
      <c r="I141" s="2931"/>
      <c r="J141" s="2931"/>
      <c r="K141" s="2931"/>
      <c r="L141" s="2931"/>
      <c r="M141" s="2931"/>
      <c r="N141" s="2931"/>
      <c r="O141" s="2931"/>
      <c r="P141" s="2931"/>
      <c r="Q141" s="2931"/>
      <c r="R141" s="2931"/>
      <c r="S141" s="2931"/>
      <c r="T141" s="2932"/>
      <c r="U141" s="3028" t="s">
        <v>146</v>
      </c>
      <c r="V141" s="3019"/>
      <c r="W141" s="3024"/>
      <c r="X141" s="3024"/>
      <c r="Y141" s="3024"/>
      <c r="Z141" s="3024"/>
      <c r="AA141" s="3024"/>
      <c r="AB141" s="3024"/>
      <c r="AC141" s="3024"/>
      <c r="AD141" s="3024"/>
      <c r="AE141" s="3024"/>
      <c r="AF141" s="3024"/>
      <c r="AG141" s="3024"/>
      <c r="AH141" s="3024"/>
      <c r="AI141" s="3024"/>
      <c r="AJ141" s="3024"/>
      <c r="AK141" s="3025"/>
      <c r="AL141" s="1639"/>
      <c r="AM141" s="1645" t="str">
        <f>'1_入力シート【基本情報】'!FK475</f>
        <v/>
      </c>
      <c r="AN141" s="1645" t="str">
        <f>'1_入力シート【基本情報】'!FL475</f>
        <v/>
      </c>
      <c r="AO141" s="1645" t="str">
        <f>'1_入力シート【基本情報】'!FM475</f>
        <v/>
      </c>
      <c r="AP141" s="1641">
        <f>'1_入力シート【基本情報】'!FN475</f>
        <v>0</v>
      </c>
    </row>
    <row r="142" spans="2:42" ht="12" customHeight="1">
      <c r="B142" s="2993" t="s">
        <v>961</v>
      </c>
      <c r="C142" s="2994"/>
      <c r="D142" s="2995"/>
      <c r="E142" s="3082"/>
      <c r="F142" s="3172"/>
      <c r="G142" s="3153"/>
      <c r="H142" s="3218"/>
      <c r="I142" s="3219"/>
      <c r="J142" s="3219"/>
      <c r="K142" s="3219"/>
      <c r="L142" s="3219"/>
      <c r="M142" s="3219"/>
      <c r="N142" s="3219"/>
      <c r="O142" s="3219"/>
      <c r="P142" s="3219"/>
      <c r="Q142" s="3219"/>
      <c r="R142" s="3219"/>
      <c r="S142" s="3219"/>
      <c r="T142" s="3220"/>
      <c r="U142" s="3028" t="s">
        <v>191</v>
      </c>
      <c r="V142" s="3019"/>
      <c r="W142" s="3024"/>
      <c r="X142" s="3024"/>
      <c r="Y142" s="3024"/>
      <c r="Z142" s="3024"/>
      <c r="AA142" s="3024"/>
      <c r="AB142" s="3024"/>
      <c r="AC142" s="3024"/>
      <c r="AD142" s="3024"/>
      <c r="AE142" s="3024"/>
      <c r="AF142" s="3024"/>
      <c r="AG142" s="3024"/>
      <c r="AH142" s="3024"/>
      <c r="AI142" s="3024"/>
      <c r="AJ142" s="3024"/>
      <c r="AK142" s="3025"/>
      <c r="AL142" s="1639"/>
      <c r="AM142" s="1645" t="str">
        <f>'1_入力シート【基本情報】'!FK476</f>
        <v/>
      </c>
      <c r="AN142" s="1645" t="str">
        <f>'1_入力シート【基本情報】'!FL476</f>
        <v/>
      </c>
      <c r="AO142" s="1645" t="str">
        <f>'1_入力シート【基本情報】'!FM476</f>
        <v/>
      </c>
      <c r="AP142" s="1641">
        <f>'1_入力シート【基本情報】'!FN476</f>
        <v>0</v>
      </c>
    </row>
    <row r="143" spans="2:42" ht="21" customHeight="1">
      <c r="B143" s="2993" t="s">
        <v>962</v>
      </c>
      <c r="C143" s="2994"/>
      <c r="D143" s="2995"/>
      <c r="E143" s="3173"/>
      <c r="F143" s="3172"/>
      <c r="G143" s="3149" t="s">
        <v>192</v>
      </c>
      <c r="H143" s="3150"/>
      <c r="I143" s="3150"/>
      <c r="J143" s="3150"/>
      <c r="K143" s="3150"/>
      <c r="L143" s="3150"/>
      <c r="M143" s="3150"/>
      <c r="N143" s="3150"/>
      <c r="O143" s="3150"/>
      <c r="P143" s="3150"/>
      <c r="Q143" s="3150"/>
      <c r="R143" s="3150"/>
      <c r="S143" s="3150"/>
      <c r="T143" s="3221"/>
      <c r="U143" s="3028" t="s">
        <v>147</v>
      </c>
      <c r="V143" s="3019"/>
      <c r="W143" s="3024"/>
      <c r="X143" s="3024"/>
      <c r="Y143" s="3024"/>
      <c r="Z143" s="3024"/>
      <c r="AA143" s="3024"/>
      <c r="AB143" s="3024"/>
      <c r="AC143" s="3024"/>
      <c r="AD143" s="3024"/>
      <c r="AE143" s="3024"/>
      <c r="AF143" s="3024"/>
      <c r="AG143" s="3024"/>
      <c r="AH143" s="3024"/>
      <c r="AI143" s="3024"/>
      <c r="AJ143" s="3024"/>
      <c r="AK143" s="3025"/>
      <c r="AL143" s="1639"/>
      <c r="AM143" s="1645" t="str">
        <f>'1_入力シート【基本情報】'!FK477</f>
        <v/>
      </c>
      <c r="AN143" s="1645" t="str">
        <f>'1_入力シート【基本情報】'!FL477</f>
        <v/>
      </c>
      <c r="AO143" s="1645" t="str">
        <f>'1_入力シート【基本情報】'!FM477</f>
        <v/>
      </c>
      <c r="AP143" s="1641">
        <f>'1_入力シート【基本情報】'!FN477</f>
        <v>0</v>
      </c>
    </row>
    <row r="144" spans="2:42" ht="12" customHeight="1">
      <c r="B144" s="2993" t="s">
        <v>963</v>
      </c>
      <c r="C144" s="2994"/>
      <c r="D144" s="2995"/>
      <c r="E144" s="3206"/>
      <c r="F144" s="3207"/>
      <c r="G144" s="3153"/>
      <c r="H144" s="3154"/>
      <c r="I144" s="3154"/>
      <c r="J144" s="3154"/>
      <c r="K144" s="3154"/>
      <c r="L144" s="3154"/>
      <c r="M144" s="3154"/>
      <c r="N144" s="3154"/>
      <c r="O144" s="3154"/>
      <c r="P144" s="3154"/>
      <c r="Q144" s="3154"/>
      <c r="R144" s="3154"/>
      <c r="S144" s="3154"/>
      <c r="T144" s="3222"/>
      <c r="U144" s="3028" t="s">
        <v>193</v>
      </c>
      <c r="V144" s="3019"/>
      <c r="W144" s="3024"/>
      <c r="X144" s="3024"/>
      <c r="Y144" s="3024"/>
      <c r="Z144" s="3024"/>
      <c r="AA144" s="3024"/>
      <c r="AB144" s="3024"/>
      <c r="AC144" s="3024"/>
      <c r="AD144" s="3024"/>
      <c r="AE144" s="3024"/>
      <c r="AF144" s="3024"/>
      <c r="AG144" s="3024"/>
      <c r="AH144" s="3024"/>
      <c r="AI144" s="3024"/>
      <c r="AJ144" s="3024"/>
      <c r="AK144" s="3025"/>
      <c r="AL144" s="1639"/>
      <c r="AM144" s="1645" t="str">
        <f>'1_入力シート【基本情報】'!FK478</f>
        <v/>
      </c>
      <c r="AN144" s="1645" t="str">
        <f>'1_入力シート【基本情報】'!FL478</f>
        <v/>
      </c>
      <c r="AO144" s="1645" t="str">
        <f>'1_入力シート【基本情報】'!FM478</f>
        <v/>
      </c>
      <c r="AP144" s="1641">
        <f>'1_入力シート【基本情報】'!FN478</f>
        <v>0</v>
      </c>
    </row>
    <row r="145" spans="1:43" ht="11.25" customHeight="1">
      <c r="B145" s="2993" t="s">
        <v>964</v>
      </c>
      <c r="C145" s="2994"/>
      <c r="D145" s="2995"/>
      <c r="E145" s="3095" t="s">
        <v>148</v>
      </c>
      <c r="F145" s="3155"/>
      <c r="G145" s="3019"/>
      <c r="H145" s="3024"/>
      <c r="I145" s="3024"/>
      <c r="J145" s="3024"/>
      <c r="K145" s="3024"/>
      <c r="L145" s="3024"/>
      <c r="M145" s="3024"/>
      <c r="N145" s="3024"/>
      <c r="O145" s="3024"/>
      <c r="P145" s="3024"/>
      <c r="Q145" s="3024"/>
      <c r="R145" s="3024"/>
      <c r="S145" s="3024"/>
      <c r="T145" s="3025"/>
      <c r="U145" s="3028" t="s">
        <v>149</v>
      </c>
      <c r="V145" s="3019"/>
      <c r="W145" s="3024"/>
      <c r="X145" s="3024"/>
      <c r="Y145" s="3024"/>
      <c r="Z145" s="3024"/>
      <c r="AA145" s="3024"/>
      <c r="AB145" s="3024"/>
      <c r="AC145" s="3024"/>
      <c r="AD145" s="3024"/>
      <c r="AE145" s="3024"/>
      <c r="AF145" s="3024"/>
      <c r="AG145" s="3024"/>
      <c r="AH145" s="3024"/>
      <c r="AI145" s="3024"/>
      <c r="AJ145" s="3024"/>
      <c r="AK145" s="3025"/>
      <c r="AL145" s="1639"/>
      <c r="AM145" s="1645" t="str">
        <f>'1_入力シート【基本情報】'!FK479</f>
        <v/>
      </c>
      <c r="AN145" s="1645" t="str">
        <f>'1_入力シート【基本情報】'!FL479</f>
        <v/>
      </c>
      <c r="AO145" s="1645" t="str">
        <f>'1_入力シート【基本情報】'!FM479</f>
        <v/>
      </c>
      <c r="AP145" s="1641">
        <f>'1_入力シート【基本情報】'!FN479</f>
        <v>0</v>
      </c>
    </row>
    <row r="146" spans="1:43" ht="24" customHeight="1">
      <c r="B146" s="2993" t="s">
        <v>43</v>
      </c>
      <c r="C146" s="2994"/>
      <c r="D146" s="2995"/>
      <c r="E146" s="3205" t="s">
        <v>150</v>
      </c>
      <c r="F146" s="3170"/>
      <c r="G146" s="3052" t="s">
        <v>151</v>
      </c>
      <c r="H146" s="3053"/>
      <c r="I146" s="3054"/>
      <c r="J146" s="3054"/>
      <c r="K146" s="3054"/>
      <c r="L146" s="3054"/>
      <c r="M146" s="3054"/>
      <c r="N146" s="3054"/>
      <c r="O146" s="3054"/>
      <c r="P146" s="3054"/>
      <c r="Q146" s="3054"/>
      <c r="R146" s="3054"/>
      <c r="S146" s="3054"/>
      <c r="T146" s="3055"/>
      <c r="U146" s="3028" t="s">
        <v>152</v>
      </c>
      <c r="V146" s="3208"/>
      <c r="W146" s="3096"/>
      <c r="X146" s="3096"/>
      <c r="Y146" s="3096"/>
      <c r="Z146" s="3096"/>
      <c r="AA146" s="3096"/>
      <c r="AB146" s="3096"/>
      <c r="AC146" s="3096"/>
      <c r="AD146" s="3096"/>
      <c r="AE146" s="3096"/>
      <c r="AF146" s="3096"/>
      <c r="AG146" s="3096"/>
      <c r="AH146" s="3096"/>
      <c r="AI146" s="3096"/>
      <c r="AJ146" s="3096"/>
      <c r="AK146" s="3209"/>
      <c r="AL146" s="1639"/>
      <c r="AM146" s="1645" t="str">
        <f>'1_入力シート【基本情報】'!FK480</f>
        <v/>
      </c>
      <c r="AN146" s="1645" t="str">
        <f>'1_入力シート【基本情報】'!FL480</f>
        <v/>
      </c>
      <c r="AO146" s="1645" t="str">
        <f>'1_入力シート【基本情報】'!FM480</f>
        <v/>
      </c>
      <c r="AP146" s="1641">
        <f>'1_入力シート【基本情報】'!FN480</f>
        <v>0</v>
      </c>
    </row>
    <row r="147" spans="1:43" ht="12" customHeight="1">
      <c r="B147" s="2993" t="s">
        <v>966</v>
      </c>
      <c r="C147" s="2994"/>
      <c r="D147" s="2995"/>
      <c r="E147" s="3173"/>
      <c r="F147" s="3172"/>
      <c r="G147" s="3099"/>
      <c r="H147" s="3018"/>
      <c r="I147" s="3100"/>
      <c r="J147" s="3100"/>
      <c r="K147" s="3100"/>
      <c r="L147" s="3100"/>
      <c r="M147" s="3100"/>
      <c r="N147" s="3100"/>
      <c r="O147" s="3100"/>
      <c r="P147" s="3100"/>
      <c r="Q147" s="3100"/>
      <c r="R147" s="3100"/>
      <c r="S147" s="3100"/>
      <c r="T147" s="3101"/>
      <c r="U147" s="3064" t="s">
        <v>153</v>
      </c>
      <c r="V147" s="3065"/>
      <c r="W147" s="3066"/>
      <c r="X147" s="3066"/>
      <c r="Y147" s="3066"/>
      <c r="Z147" s="3066"/>
      <c r="AA147" s="3066"/>
      <c r="AB147" s="3066"/>
      <c r="AC147" s="3066"/>
      <c r="AD147" s="3066"/>
      <c r="AE147" s="3066"/>
      <c r="AF147" s="3066"/>
      <c r="AG147" s="3066"/>
      <c r="AH147" s="3066"/>
      <c r="AI147" s="3066"/>
      <c r="AJ147" s="3066"/>
      <c r="AK147" s="3067"/>
      <c r="AL147" s="1639"/>
      <c r="AM147" s="1645" t="str">
        <f>'1_入力シート【基本情報】'!FK481</f>
        <v/>
      </c>
      <c r="AN147" s="1645" t="str">
        <f>'1_入力シート【基本情報】'!FL481</f>
        <v/>
      </c>
      <c r="AO147" s="1645" t="str">
        <f>'1_入力シート【基本情報】'!FM481</f>
        <v/>
      </c>
      <c r="AP147" s="1641">
        <f>'1_入力シート【基本情報】'!FN481</f>
        <v>0</v>
      </c>
    </row>
    <row r="148" spans="1:43" ht="12" customHeight="1">
      <c r="B148" s="2993" t="s">
        <v>967</v>
      </c>
      <c r="C148" s="2994"/>
      <c r="D148" s="2995"/>
      <c r="E148" s="3173"/>
      <c r="F148" s="3172"/>
      <c r="G148" s="3052" t="s">
        <v>195</v>
      </c>
      <c r="H148" s="3053"/>
      <c r="I148" s="3054"/>
      <c r="J148" s="3054"/>
      <c r="K148" s="3054"/>
      <c r="L148" s="3054"/>
      <c r="M148" s="3054"/>
      <c r="N148" s="3054"/>
      <c r="O148" s="3054"/>
      <c r="P148" s="3054"/>
      <c r="Q148" s="3054"/>
      <c r="R148" s="3054"/>
      <c r="S148" s="3054"/>
      <c r="T148" s="3055"/>
      <c r="U148" s="3064" t="s">
        <v>154</v>
      </c>
      <c r="V148" s="3065"/>
      <c r="W148" s="3066"/>
      <c r="X148" s="3066"/>
      <c r="Y148" s="3066"/>
      <c r="Z148" s="3066"/>
      <c r="AA148" s="3066"/>
      <c r="AB148" s="3066"/>
      <c r="AC148" s="3066"/>
      <c r="AD148" s="3066"/>
      <c r="AE148" s="3066"/>
      <c r="AF148" s="3066"/>
      <c r="AG148" s="3066"/>
      <c r="AH148" s="3066"/>
      <c r="AI148" s="3066"/>
      <c r="AJ148" s="3066"/>
      <c r="AK148" s="3067"/>
      <c r="AL148" s="1639"/>
      <c r="AM148" s="1645" t="str">
        <f>'1_入力シート【基本情報】'!FK482</f>
        <v/>
      </c>
      <c r="AN148" s="1645" t="str">
        <f>'1_入力シート【基本情報】'!FL482</f>
        <v/>
      </c>
      <c r="AO148" s="1645" t="str">
        <f>'1_入力シート【基本情報】'!FM482</f>
        <v/>
      </c>
      <c r="AP148" s="1641">
        <f>'1_入力シート【基本情報】'!FN482</f>
        <v>0</v>
      </c>
    </row>
    <row r="149" spans="1:43" ht="12" customHeight="1" thickBot="1">
      <c r="B149" s="3026" t="s">
        <v>968</v>
      </c>
      <c r="C149" s="3027"/>
      <c r="D149" s="3037"/>
      <c r="E149" s="3174"/>
      <c r="F149" s="3175"/>
      <c r="G149" s="3060"/>
      <c r="H149" s="3061"/>
      <c r="I149" s="3062"/>
      <c r="J149" s="3062"/>
      <c r="K149" s="3062"/>
      <c r="L149" s="3062"/>
      <c r="M149" s="3062"/>
      <c r="N149" s="3062"/>
      <c r="O149" s="3062"/>
      <c r="P149" s="3062"/>
      <c r="Q149" s="3062"/>
      <c r="R149" s="3062"/>
      <c r="S149" s="3062"/>
      <c r="T149" s="3063"/>
      <c r="U149" s="3213" t="s">
        <v>153</v>
      </c>
      <c r="V149" s="3214"/>
      <c r="W149" s="3215"/>
      <c r="X149" s="3215"/>
      <c r="Y149" s="3215"/>
      <c r="Z149" s="3215"/>
      <c r="AA149" s="3215"/>
      <c r="AB149" s="3215"/>
      <c r="AC149" s="3215"/>
      <c r="AD149" s="3215"/>
      <c r="AE149" s="3215"/>
      <c r="AF149" s="3215"/>
      <c r="AG149" s="3215"/>
      <c r="AH149" s="3215"/>
      <c r="AI149" s="3215"/>
      <c r="AJ149" s="3215"/>
      <c r="AK149" s="3216"/>
      <c r="AL149" s="1642"/>
      <c r="AM149" s="1646" t="str">
        <f>'1_入力シート【基本情報】'!FK483</f>
        <v/>
      </c>
      <c r="AN149" s="1646" t="str">
        <f>'1_入力シート【基本情報】'!FL483</f>
        <v/>
      </c>
      <c r="AO149" s="1646" t="str">
        <f>'1_入力シート【基本情報】'!FM483</f>
        <v/>
      </c>
      <c r="AP149" s="1644">
        <f>'1_入力シート【基本情報】'!FN483</f>
        <v>0</v>
      </c>
    </row>
    <row r="150" spans="1:43" ht="11.25" customHeight="1">
      <c r="B150" s="3228">
        <v>7</v>
      </c>
      <c r="C150" s="3229"/>
      <c r="D150" s="3230"/>
      <c r="E150" s="3210" t="s">
        <v>155</v>
      </c>
      <c r="F150" s="3211"/>
      <c r="G150" s="3211"/>
      <c r="H150" s="3211"/>
      <c r="I150" s="3211"/>
      <c r="J150" s="3211"/>
      <c r="K150" s="3211"/>
      <c r="L150" s="3211"/>
      <c r="M150" s="3211"/>
      <c r="N150" s="3211"/>
      <c r="O150" s="3211"/>
      <c r="P150" s="3211"/>
      <c r="Q150" s="3211"/>
      <c r="R150" s="3211"/>
      <c r="S150" s="3211"/>
      <c r="T150" s="3211"/>
      <c r="U150" s="3211"/>
      <c r="V150" s="3211"/>
      <c r="W150" s="3211"/>
      <c r="X150" s="3211"/>
      <c r="Y150" s="3211"/>
      <c r="Z150" s="3211"/>
      <c r="AA150" s="3211"/>
      <c r="AB150" s="3211"/>
      <c r="AC150" s="3211"/>
      <c r="AD150" s="3211"/>
      <c r="AE150" s="3211"/>
      <c r="AF150" s="3211"/>
      <c r="AG150" s="3211"/>
      <c r="AH150" s="3211"/>
      <c r="AI150" s="3211"/>
      <c r="AJ150" s="3211"/>
      <c r="AK150" s="3211"/>
      <c r="AL150" s="3211"/>
      <c r="AM150" s="3211"/>
      <c r="AN150" s="3211"/>
      <c r="AO150" s="3211"/>
      <c r="AP150" s="3212"/>
    </row>
    <row r="151" spans="1:43">
      <c r="B151" s="2993" t="s">
        <v>35</v>
      </c>
      <c r="C151" s="2994"/>
      <c r="D151" s="2995"/>
      <c r="E151" s="3029" t="str">
        <f>'1_入力シート【基本情報】'!P493</f>
        <v>防火設備（防火扉、防火シャッターその他これらに類するものに限る。）</v>
      </c>
      <c r="F151" s="3029"/>
      <c r="G151" s="3029"/>
      <c r="H151" s="3029"/>
      <c r="I151" s="3022" t="str">
        <f>'1_入力シート【基本情報】'!$U$493</f>
        <v>昭和48年建設省告示第2563号第１第一号ロに規定する基準への適合の状況</v>
      </c>
      <c r="J151" s="3022"/>
      <c r="K151" s="3022"/>
      <c r="L151" s="3022"/>
      <c r="M151" s="3022"/>
      <c r="N151" s="3022"/>
      <c r="O151" s="3022"/>
      <c r="P151" s="3022"/>
      <c r="Q151" s="3022"/>
      <c r="R151" s="3022"/>
      <c r="S151" s="3022"/>
      <c r="T151" s="3022"/>
      <c r="U151" s="3022"/>
      <c r="V151" s="3022"/>
      <c r="W151" s="3022"/>
      <c r="X151" s="3022"/>
      <c r="Y151" s="3022"/>
      <c r="Z151" s="3022"/>
      <c r="AA151" s="3022"/>
      <c r="AB151" s="3022"/>
      <c r="AC151" s="3022"/>
      <c r="AD151" s="3022"/>
      <c r="AE151" s="3022"/>
      <c r="AF151" s="3022"/>
      <c r="AG151" s="3022"/>
      <c r="AH151" s="3022"/>
      <c r="AI151" s="3022"/>
      <c r="AJ151" s="3022"/>
      <c r="AK151" s="3201"/>
      <c r="AL151" s="1639"/>
      <c r="AM151" s="1640" t="str">
        <f>'1_入力シート【基本情報】'!FK493</f>
        <v/>
      </c>
      <c r="AN151" s="1640" t="str">
        <f>'1_入力シート【基本情報】'!FL493</f>
        <v/>
      </c>
      <c r="AO151" s="1640" t="str">
        <f>'1_入力シート【基本情報】'!FM493</f>
        <v/>
      </c>
      <c r="AP151" s="1641">
        <f>'1_入力シート【基本情報】'!FN493</f>
        <v>0</v>
      </c>
    </row>
    <row r="152" spans="1:43" ht="27" customHeight="1">
      <c r="B152" s="2993" t="s">
        <v>961</v>
      </c>
      <c r="C152" s="2994"/>
      <c r="D152" s="2995"/>
      <c r="E152" s="3029"/>
      <c r="F152" s="3029"/>
      <c r="G152" s="3029"/>
      <c r="H152" s="3029"/>
      <c r="I152" s="3022" t="str">
        <f>'1_入力シート【基本情報】'!$U$494</f>
        <v>常時閉鎖又は作動をした状態にあるもの以外の防火設備（以下「随閉防火設備」という。）における煙又は熱を感知し自動的に閉鎖又は動作の状況</v>
      </c>
      <c r="J152" s="3022"/>
      <c r="K152" s="3022"/>
      <c r="L152" s="3022"/>
      <c r="M152" s="3022"/>
      <c r="N152" s="3022"/>
      <c r="O152" s="3022"/>
      <c r="P152" s="3022"/>
      <c r="Q152" s="3022"/>
      <c r="R152" s="3022"/>
      <c r="S152" s="3022"/>
      <c r="T152" s="3022"/>
      <c r="U152" s="3022"/>
      <c r="V152" s="3022"/>
      <c r="W152" s="3022"/>
      <c r="X152" s="3022"/>
      <c r="Y152" s="3022"/>
      <c r="Z152" s="3022"/>
      <c r="AA152" s="3022"/>
      <c r="AB152" s="3022"/>
      <c r="AC152" s="3022"/>
      <c r="AD152" s="3022"/>
      <c r="AE152" s="3022"/>
      <c r="AF152" s="3022"/>
      <c r="AG152" s="3022"/>
      <c r="AH152" s="3022"/>
      <c r="AI152" s="3022"/>
      <c r="AJ152" s="3022"/>
      <c r="AK152" s="3201"/>
      <c r="AL152" s="1639"/>
      <c r="AM152" s="1640" t="str">
        <f>'1_入力シート【基本情報】'!FK494</f>
        <v/>
      </c>
      <c r="AN152" s="1640" t="str">
        <f>'1_入力シート【基本情報】'!FL494</f>
        <v/>
      </c>
      <c r="AO152" s="1640" t="str">
        <f>'1_入力シート【基本情報】'!FM494</f>
        <v/>
      </c>
      <c r="AP152" s="1641">
        <f>'1_入力シート【基本情報】'!FN494</f>
        <v>0</v>
      </c>
    </row>
    <row r="153" spans="1:43" s="1649" customFormat="1">
      <c r="A153" s="931"/>
      <c r="B153" s="2993" t="s">
        <v>962</v>
      </c>
      <c r="C153" s="2994"/>
      <c r="D153" s="2995"/>
      <c r="E153" s="3029"/>
      <c r="F153" s="3029"/>
      <c r="G153" s="3029"/>
      <c r="H153" s="3029"/>
      <c r="I153" s="3022" t="str">
        <f>'1_入力シート【基本情報】'!$U$495</f>
        <v>随閉防火設備の本体と枠の劣化及び損傷の状況</v>
      </c>
      <c r="J153" s="3022"/>
      <c r="K153" s="3022"/>
      <c r="L153" s="3022"/>
      <c r="M153" s="3022"/>
      <c r="N153" s="3022"/>
      <c r="O153" s="3022"/>
      <c r="P153" s="3022"/>
      <c r="Q153" s="3022"/>
      <c r="R153" s="3022"/>
      <c r="S153" s="3022"/>
      <c r="T153" s="3022"/>
      <c r="U153" s="3022"/>
      <c r="V153" s="3022"/>
      <c r="W153" s="3022"/>
      <c r="X153" s="3022"/>
      <c r="Y153" s="3022"/>
      <c r="Z153" s="3022"/>
      <c r="AA153" s="3022"/>
      <c r="AB153" s="3022"/>
      <c r="AC153" s="3022"/>
      <c r="AD153" s="3022"/>
      <c r="AE153" s="3022"/>
      <c r="AF153" s="3022"/>
      <c r="AG153" s="3022"/>
      <c r="AH153" s="3022"/>
      <c r="AI153" s="3022"/>
      <c r="AJ153" s="3022"/>
      <c r="AK153" s="3201"/>
      <c r="AL153" s="1648"/>
      <c r="AM153" s="1640" t="str">
        <f>'1_入力シート【基本情報】'!FK495</f>
        <v/>
      </c>
      <c r="AN153" s="1640" t="str">
        <f>'1_入力シート【基本情報】'!FL495</f>
        <v/>
      </c>
      <c r="AO153" s="1640" t="str">
        <f>'1_入力シート【基本情報】'!FM495</f>
        <v/>
      </c>
      <c r="AP153" s="1641">
        <f>'1_入力シート【基本情報】'!FN495</f>
        <v>0</v>
      </c>
      <c r="AQ153" s="931"/>
    </row>
    <row r="154" spans="1:43" s="1649" customFormat="1">
      <c r="A154" s="931"/>
      <c r="B154" s="2993" t="s">
        <v>963</v>
      </c>
      <c r="C154" s="2994"/>
      <c r="D154" s="2995"/>
      <c r="E154" s="3029"/>
      <c r="F154" s="3029"/>
      <c r="G154" s="3029"/>
      <c r="H154" s="3029"/>
      <c r="I154" s="3036" t="str">
        <f>'1_入力シート【基本情報】'!$U$496</f>
        <v>随閉防火設備の閉鎖又は作動の状況</v>
      </c>
      <c r="J154" s="3036"/>
      <c r="K154" s="3036"/>
      <c r="L154" s="3036"/>
      <c r="M154" s="3036"/>
      <c r="N154" s="3036"/>
      <c r="O154" s="3036"/>
      <c r="P154" s="3036"/>
      <c r="Q154" s="3036"/>
      <c r="R154" s="3036"/>
      <c r="S154" s="3036"/>
      <c r="T154" s="3036"/>
      <c r="U154" s="3036"/>
      <c r="V154" s="3036"/>
      <c r="W154" s="3036"/>
      <c r="X154" s="3036"/>
      <c r="Y154" s="3036"/>
      <c r="Z154" s="3036"/>
      <c r="AA154" s="3036"/>
      <c r="AB154" s="3036"/>
      <c r="AC154" s="3036"/>
      <c r="AD154" s="3036"/>
      <c r="AE154" s="3036"/>
      <c r="AF154" s="3036"/>
      <c r="AG154" s="3036"/>
      <c r="AH154" s="3036"/>
      <c r="AI154" s="3036"/>
      <c r="AJ154" s="3036"/>
      <c r="AK154" s="3036"/>
      <c r="AL154" s="1650"/>
      <c r="AM154" s="1640" t="str">
        <f>'1_入力シート【基本情報】'!FK496</f>
        <v/>
      </c>
      <c r="AN154" s="1640" t="str">
        <f>'1_入力シート【基本情報】'!FL496</f>
        <v/>
      </c>
      <c r="AO154" s="1640" t="str">
        <f>'1_入力シート【基本情報】'!FM496</f>
        <v/>
      </c>
      <c r="AP154" s="1641">
        <f>'1_入力シート【基本情報】'!FN496</f>
        <v>0</v>
      </c>
      <c r="AQ154" s="931"/>
    </row>
    <row r="155" spans="1:43" s="1649" customFormat="1">
      <c r="A155" s="931"/>
      <c r="B155" s="2993" t="s">
        <v>964</v>
      </c>
      <c r="C155" s="2994"/>
      <c r="D155" s="2995"/>
      <c r="E155" s="3029"/>
      <c r="F155" s="3029"/>
      <c r="G155" s="3029"/>
      <c r="H155" s="3029"/>
      <c r="I155" s="3022" t="str">
        <f>'1_入力シート【基本情報】'!$U$497</f>
        <v>随閉防火設備の閉鎖又は作動の障害となる物品の放置の状況</v>
      </c>
      <c r="J155" s="3022"/>
      <c r="K155" s="3022"/>
      <c r="L155" s="3022"/>
      <c r="M155" s="3022"/>
      <c r="N155" s="3022"/>
      <c r="O155" s="3022"/>
      <c r="P155" s="3022"/>
      <c r="Q155" s="3022"/>
      <c r="R155" s="3022"/>
      <c r="S155" s="3022"/>
      <c r="T155" s="3022"/>
      <c r="U155" s="3022"/>
      <c r="V155" s="3022"/>
      <c r="W155" s="3022"/>
      <c r="X155" s="3022"/>
      <c r="Y155" s="3022"/>
      <c r="Z155" s="3022"/>
      <c r="AA155" s="3022"/>
      <c r="AB155" s="3022"/>
      <c r="AC155" s="3022"/>
      <c r="AD155" s="3022"/>
      <c r="AE155" s="3022"/>
      <c r="AF155" s="3022"/>
      <c r="AG155" s="3022"/>
      <c r="AH155" s="3022"/>
      <c r="AI155" s="3022"/>
      <c r="AJ155" s="3022"/>
      <c r="AK155" s="3022"/>
      <c r="AL155" s="1650"/>
      <c r="AM155" s="1640" t="str">
        <f>'1_入力シート【基本情報】'!FK497</f>
        <v/>
      </c>
      <c r="AN155" s="1640" t="str">
        <f>'1_入力シート【基本情報】'!FL497</f>
        <v/>
      </c>
      <c r="AO155" s="1640" t="str">
        <f>'1_入力シート【基本情報】'!FM497</f>
        <v/>
      </c>
      <c r="AP155" s="1641">
        <f>'1_入力シート【基本情報】'!FN497</f>
        <v>0</v>
      </c>
      <c r="AQ155" s="931"/>
    </row>
    <row r="156" spans="1:43" s="1649" customFormat="1" ht="30" hidden="1" customHeight="1">
      <c r="A156" s="931"/>
      <c r="B156" s="2993" t="s">
        <v>43</v>
      </c>
      <c r="C156" s="2994"/>
      <c r="D156" s="2995"/>
      <c r="E156" s="3029"/>
      <c r="F156" s="3029"/>
      <c r="G156" s="3029"/>
      <c r="H156" s="3029"/>
      <c r="I156" s="3021">
        <f>'1_入力シート【基本情報】'!$U$498</f>
        <v>0</v>
      </c>
      <c r="J156" s="3022"/>
      <c r="K156" s="3022"/>
      <c r="L156" s="3022"/>
      <c r="M156" s="3022"/>
      <c r="N156" s="3022"/>
      <c r="O156" s="3022"/>
      <c r="P156" s="3022"/>
      <c r="Q156" s="3022"/>
      <c r="R156" s="3022"/>
      <c r="S156" s="3022"/>
      <c r="T156" s="3022"/>
      <c r="U156" s="3022"/>
      <c r="V156" s="3022"/>
      <c r="W156" s="3022"/>
      <c r="X156" s="3022"/>
      <c r="Y156" s="3022"/>
      <c r="Z156" s="3022"/>
      <c r="AA156" s="3022"/>
      <c r="AB156" s="3022"/>
      <c r="AC156" s="3022"/>
      <c r="AD156" s="3022"/>
      <c r="AE156" s="3022"/>
      <c r="AF156" s="3022"/>
      <c r="AG156" s="3022"/>
      <c r="AH156" s="3022"/>
      <c r="AI156" s="3022"/>
      <c r="AJ156" s="3022"/>
      <c r="AK156" s="3022"/>
      <c r="AL156" s="1650"/>
      <c r="AM156" s="1640" t="str">
        <f>'1_入力シート【基本情報】'!FK498</f>
        <v/>
      </c>
      <c r="AN156" s="1640" t="str">
        <f>'1_入力シート【基本情報】'!FL498</f>
        <v/>
      </c>
      <c r="AO156" s="1640" t="str">
        <f>'1_入力シート【基本情報】'!FM498</f>
        <v/>
      </c>
      <c r="AP156" s="1641">
        <f>'1_入力シート【基本情報】'!FN498</f>
        <v>0</v>
      </c>
      <c r="AQ156" s="931"/>
    </row>
    <row r="157" spans="1:43" s="1649" customFormat="1" ht="30" hidden="1" customHeight="1">
      <c r="A157" s="931"/>
      <c r="B157" s="2993" t="s">
        <v>966</v>
      </c>
      <c r="C157" s="2994"/>
      <c r="D157" s="2995"/>
      <c r="E157" s="3029"/>
      <c r="F157" s="3029"/>
      <c r="G157" s="3029"/>
      <c r="H157" s="3029"/>
      <c r="I157" s="3021">
        <f>'1_入力シート【基本情報】'!$U$499</f>
        <v>0</v>
      </c>
      <c r="J157" s="3022"/>
      <c r="K157" s="3022"/>
      <c r="L157" s="3022"/>
      <c r="M157" s="3022"/>
      <c r="N157" s="3022"/>
      <c r="O157" s="3022"/>
      <c r="P157" s="3022"/>
      <c r="Q157" s="3022"/>
      <c r="R157" s="3022"/>
      <c r="S157" s="3022"/>
      <c r="T157" s="3022"/>
      <c r="U157" s="3022"/>
      <c r="V157" s="3022"/>
      <c r="W157" s="3022"/>
      <c r="X157" s="3022"/>
      <c r="Y157" s="3022"/>
      <c r="Z157" s="3022"/>
      <c r="AA157" s="3022"/>
      <c r="AB157" s="3022"/>
      <c r="AC157" s="3022"/>
      <c r="AD157" s="3022"/>
      <c r="AE157" s="3022"/>
      <c r="AF157" s="3022"/>
      <c r="AG157" s="3022"/>
      <c r="AH157" s="3022"/>
      <c r="AI157" s="3022"/>
      <c r="AJ157" s="3022"/>
      <c r="AK157" s="3022"/>
      <c r="AL157" s="1650"/>
      <c r="AM157" s="1640" t="str">
        <f>'1_入力シート【基本情報】'!FK499</f>
        <v/>
      </c>
      <c r="AN157" s="1640" t="str">
        <f>'1_入力シート【基本情報】'!FL499</f>
        <v/>
      </c>
      <c r="AO157" s="1640" t="str">
        <f>'1_入力シート【基本情報】'!FM499</f>
        <v/>
      </c>
      <c r="AP157" s="1641">
        <f>'1_入力シート【基本情報】'!FN499</f>
        <v>0</v>
      </c>
      <c r="AQ157" s="931"/>
    </row>
    <row r="158" spans="1:43" s="1649" customFormat="1" ht="30" hidden="1" customHeight="1">
      <c r="A158" s="931"/>
      <c r="B158" s="2993" t="s">
        <v>967</v>
      </c>
      <c r="C158" s="2994"/>
      <c r="D158" s="2995"/>
      <c r="E158" s="3029"/>
      <c r="F158" s="3029"/>
      <c r="G158" s="3029"/>
      <c r="H158" s="3029"/>
      <c r="I158" s="3021">
        <f>'1_入力シート【基本情報】'!$U$500</f>
        <v>0</v>
      </c>
      <c r="J158" s="3022"/>
      <c r="K158" s="3022"/>
      <c r="L158" s="3022"/>
      <c r="M158" s="3022"/>
      <c r="N158" s="3022"/>
      <c r="O158" s="3022"/>
      <c r="P158" s="3022"/>
      <c r="Q158" s="3022"/>
      <c r="R158" s="3022"/>
      <c r="S158" s="3022"/>
      <c r="T158" s="3022"/>
      <c r="U158" s="3022"/>
      <c r="V158" s="3022"/>
      <c r="W158" s="3022"/>
      <c r="X158" s="3022"/>
      <c r="Y158" s="3022"/>
      <c r="Z158" s="3022"/>
      <c r="AA158" s="3022"/>
      <c r="AB158" s="3022"/>
      <c r="AC158" s="3022"/>
      <c r="AD158" s="3022"/>
      <c r="AE158" s="3022"/>
      <c r="AF158" s="3022"/>
      <c r="AG158" s="3022"/>
      <c r="AH158" s="3022"/>
      <c r="AI158" s="3022"/>
      <c r="AJ158" s="3022"/>
      <c r="AK158" s="3022"/>
      <c r="AL158" s="1650"/>
      <c r="AM158" s="1640" t="str">
        <f>'1_入力シート【基本情報】'!FK500</f>
        <v/>
      </c>
      <c r="AN158" s="1640" t="str">
        <f>'1_入力シート【基本情報】'!FL500</f>
        <v/>
      </c>
      <c r="AO158" s="1640" t="str">
        <f>'1_入力シート【基本情報】'!FM500</f>
        <v/>
      </c>
      <c r="AP158" s="1641">
        <f>'1_入力シート【基本情報】'!FN500</f>
        <v>0</v>
      </c>
      <c r="AQ158" s="931"/>
    </row>
    <row r="159" spans="1:43" s="1649" customFormat="1" ht="30" hidden="1" customHeight="1">
      <c r="A159" s="931"/>
      <c r="B159" s="3033" t="s">
        <v>968</v>
      </c>
      <c r="C159" s="3034"/>
      <c r="D159" s="3035"/>
      <c r="E159" s="3029"/>
      <c r="F159" s="3029"/>
      <c r="G159" s="3029"/>
      <c r="H159" s="3029"/>
      <c r="I159" s="3021">
        <f>'1_入力シート【基本情報】'!$U$501</f>
        <v>0</v>
      </c>
      <c r="J159" s="3022"/>
      <c r="K159" s="3022"/>
      <c r="L159" s="3022"/>
      <c r="M159" s="3022"/>
      <c r="N159" s="3022"/>
      <c r="O159" s="3022"/>
      <c r="P159" s="3022"/>
      <c r="Q159" s="3022"/>
      <c r="R159" s="3022"/>
      <c r="S159" s="3022"/>
      <c r="T159" s="3022"/>
      <c r="U159" s="3022"/>
      <c r="V159" s="3022"/>
      <c r="W159" s="3022"/>
      <c r="X159" s="3022"/>
      <c r="Y159" s="3022"/>
      <c r="Z159" s="3022"/>
      <c r="AA159" s="3022"/>
      <c r="AB159" s="3022"/>
      <c r="AC159" s="3022"/>
      <c r="AD159" s="3022"/>
      <c r="AE159" s="3022"/>
      <c r="AF159" s="3022"/>
      <c r="AG159" s="3022"/>
      <c r="AH159" s="3022"/>
      <c r="AI159" s="3022"/>
      <c r="AJ159" s="3022"/>
      <c r="AK159" s="3022"/>
      <c r="AL159" s="1650"/>
      <c r="AM159" s="1640" t="str">
        <f>'1_入力シート【基本情報】'!FK501</f>
        <v/>
      </c>
      <c r="AN159" s="1640" t="str">
        <f>'1_入力シート【基本情報】'!FL501</f>
        <v/>
      </c>
      <c r="AO159" s="1640" t="str">
        <f>'1_入力シート【基本情報】'!FM501</f>
        <v/>
      </c>
      <c r="AP159" s="1641">
        <f>'1_入力シート【基本情報】'!FN501</f>
        <v>0</v>
      </c>
      <c r="AQ159" s="931"/>
    </row>
    <row r="160" spans="1:43" s="1649" customFormat="1" ht="30" hidden="1" customHeight="1">
      <c r="A160" s="931"/>
      <c r="B160" s="3033" t="s">
        <v>969</v>
      </c>
      <c r="C160" s="3034"/>
      <c r="D160" s="3035"/>
      <c r="E160" s="3029"/>
      <c r="F160" s="3029"/>
      <c r="G160" s="3029"/>
      <c r="H160" s="3029"/>
      <c r="I160" s="3021">
        <f>'1_入力シート【基本情報】'!$U$502</f>
        <v>0</v>
      </c>
      <c r="J160" s="3022"/>
      <c r="K160" s="3022"/>
      <c r="L160" s="3022"/>
      <c r="M160" s="3022"/>
      <c r="N160" s="3022"/>
      <c r="O160" s="3022"/>
      <c r="P160" s="3022"/>
      <c r="Q160" s="3022"/>
      <c r="R160" s="3022"/>
      <c r="S160" s="3022"/>
      <c r="T160" s="3022"/>
      <c r="U160" s="3022"/>
      <c r="V160" s="3022"/>
      <c r="W160" s="3022"/>
      <c r="X160" s="3022"/>
      <c r="Y160" s="3022"/>
      <c r="Z160" s="3022"/>
      <c r="AA160" s="3022"/>
      <c r="AB160" s="3022"/>
      <c r="AC160" s="3022"/>
      <c r="AD160" s="3022"/>
      <c r="AE160" s="3022"/>
      <c r="AF160" s="3022"/>
      <c r="AG160" s="3022"/>
      <c r="AH160" s="3022"/>
      <c r="AI160" s="3022"/>
      <c r="AJ160" s="3022"/>
      <c r="AK160" s="3022"/>
      <c r="AL160" s="1650"/>
      <c r="AM160" s="1640" t="str">
        <f>'1_入力シート【基本情報】'!FK502</f>
        <v/>
      </c>
      <c r="AN160" s="1640" t="str">
        <f>'1_入力シート【基本情報】'!FL502</f>
        <v/>
      </c>
      <c r="AO160" s="1640" t="str">
        <f>'1_入力シート【基本情報】'!FM502</f>
        <v/>
      </c>
      <c r="AP160" s="1641">
        <f>'1_入力シート【基本情報】'!FN502</f>
        <v>0</v>
      </c>
      <c r="AQ160" s="931"/>
    </row>
    <row r="161" spans="1:43" ht="12" customHeight="1">
      <c r="B161" s="1651"/>
      <c r="C161" s="3017" t="s">
        <v>1352</v>
      </c>
      <c r="D161" s="3018"/>
      <c r="E161" s="3019"/>
      <c r="F161" s="3019"/>
      <c r="G161" s="3019"/>
      <c r="H161" s="3019"/>
      <c r="I161" s="3019"/>
      <c r="J161" s="3019"/>
      <c r="K161" s="3019"/>
      <c r="L161" s="3019"/>
      <c r="M161" s="3019"/>
      <c r="N161" s="3019"/>
      <c r="O161" s="3019"/>
      <c r="P161" s="3019"/>
      <c r="Q161" s="3019"/>
      <c r="R161" s="3019"/>
      <c r="S161" s="3019"/>
      <c r="T161" s="3019"/>
      <c r="U161" s="3019"/>
      <c r="V161" s="3019"/>
      <c r="W161" s="3019"/>
      <c r="X161" s="3019"/>
      <c r="Y161" s="3019"/>
      <c r="Z161" s="3019"/>
      <c r="AA161" s="3019"/>
      <c r="AB161" s="3019"/>
      <c r="AC161" s="3019"/>
      <c r="AD161" s="3019"/>
      <c r="AE161" s="3019"/>
      <c r="AF161" s="3019"/>
      <c r="AG161" s="3019"/>
      <c r="AH161" s="3019"/>
      <c r="AI161" s="3019"/>
      <c r="AJ161" s="3019"/>
      <c r="AK161" s="3019"/>
      <c r="AL161" s="3019"/>
      <c r="AM161" s="3019"/>
      <c r="AN161" s="3019"/>
      <c r="AO161" s="3019"/>
      <c r="AP161" s="3020"/>
    </row>
    <row r="162" spans="1:43" ht="12" customHeight="1">
      <c r="B162" s="1652" t="s">
        <v>2642</v>
      </c>
      <c r="C162" s="1653" t="s">
        <v>1006</v>
      </c>
      <c r="D162" s="1653"/>
      <c r="E162" s="1653"/>
      <c r="F162" s="1653"/>
      <c r="G162" s="1653"/>
      <c r="H162" s="1653"/>
      <c r="I162" s="1653"/>
      <c r="J162" s="1653"/>
      <c r="K162" s="1653"/>
      <c r="L162" s="1653"/>
      <c r="M162" s="1653"/>
      <c r="N162" s="1653"/>
      <c r="O162" s="1653"/>
      <c r="P162" s="1653"/>
      <c r="Q162" s="1653"/>
      <c r="R162" s="1653"/>
      <c r="S162" s="1653"/>
      <c r="T162" s="1653"/>
      <c r="U162" s="1653"/>
      <c r="V162" s="1653"/>
      <c r="W162" s="1653"/>
      <c r="X162" s="1653"/>
      <c r="Y162" s="1653"/>
      <c r="Z162" s="1653"/>
      <c r="AA162" s="1653"/>
      <c r="AB162" s="1653"/>
      <c r="AC162" s="1653"/>
      <c r="AD162" s="1653"/>
      <c r="AE162" s="1653"/>
      <c r="AF162" s="1653"/>
      <c r="AG162" s="1653"/>
      <c r="AH162" s="1653"/>
      <c r="AI162" s="1653"/>
      <c r="AJ162" s="1653"/>
      <c r="AK162" s="1653"/>
      <c r="AL162" s="1653"/>
      <c r="AM162" s="1653"/>
      <c r="AN162" s="1653"/>
      <c r="AO162" s="1653"/>
      <c r="AP162" s="1654"/>
    </row>
    <row r="163" spans="1:43" ht="12" customHeight="1">
      <c r="B163" s="1655"/>
      <c r="C163" s="1656"/>
      <c r="D163" s="1657" t="str">
        <f>'1_入力シート【基本情報】'!$DO$277</f>
        <v/>
      </c>
      <c r="E163" s="1656" t="s">
        <v>489</v>
      </c>
      <c r="F163" s="1656" t="s">
        <v>25</v>
      </c>
      <c r="G163" s="3011" t="str">
        <f>'1_入力シート【基本情報】'!$DM$277</f>
        <v/>
      </c>
      <c r="H163" s="3012"/>
      <c r="I163" s="3013"/>
      <c r="J163" s="3013"/>
      <c r="K163" s="3013"/>
      <c r="L163" s="3013"/>
      <c r="M163" s="3013"/>
      <c r="N163" s="3013"/>
      <c r="O163" s="3013"/>
      <c r="P163" s="3013"/>
      <c r="Q163" s="3013"/>
      <c r="R163" s="3013"/>
      <c r="S163" s="3013"/>
      <c r="T163" s="1656"/>
      <c r="U163" s="1656" t="s">
        <v>1345</v>
      </c>
      <c r="V163" s="1656"/>
      <c r="W163" s="1658" t="str">
        <f>'1_入力シート【基本情報】'!$DP$277</f>
        <v/>
      </c>
      <c r="X163" s="1656" t="s">
        <v>226</v>
      </c>
      <c r="Y163" s="1656"/>
      <c r="Z163" s="1656"/>
      <c r="AA163" s="1656"/>
      <c r="AB163" s="1656"/>
      <c r="AC163" s="1656"/>
      <c r="AD163" s="1656"/>
      <c r="AE163" s="1656"/>
      <c r="AF163" s="1656"/>
      <c r="AG163" s="1656"/>
      <c r="AH163" s="1656"/>
      <c r="AI163" s="1656"/>
      <c r="AJ163" s="1656"/>
      <c r="AK163" s="1656"/>
      <c r="AL163" s="1656"/>
      <c r="AM163" s="1656"/>
      <c r="AN163" s="1656"/>
      <c r="AO163" s="1656"/>
      <c r="AP163" s="1659"/>
    </row>
    <row r="164" spans="1:43" ht="2.5" customHeight="1" thickBot="1">
      <c r="B164" s="2999"/>
      <c r="C164" s="3000"/>
      <c r="D164" s="3000"/>
      <c r="E164" s="3000"/>
      <c r="F164" s="3000"/>
      <c r="G164" s="3000"/>
      <c r="H164" s="3000"/>
      <c r="I164" s="3000"/>
      <c r="J164" s="3000"/>
      <c r="K164" s="3000"/>
      <c r="L164" s="3000"/>
      <c r="M164" s="3000"/>
      <c r="N164" s="3000"/>
      <c r="O164" s="3000"/>
      <c r="P164" s="3000"/>
      <c r="Q164" s="3000"/>
      <c r="R164" s="3000"/>
      <c r="S164" s="3000"/>
      <c r="T164" s="3000"/>
      <c r="U164" s="3000"/>
      <c r="V164" s="3000"/>
      <c r="W164" s="3000"/>
      <c r="X164" s="3000"/>
      <c r="Y164" s="3000"/>
      <c r="Z164" s="3000"/>
      <c r="AA164" s="3000"/>
      <c r="AB164" s="3000"/>
      <c r="AC164" s="3000"/>
      <c r="AD164" s="3000"/>
      <c r="AE164" s="3000"/>
      <c r="AF164" s="3000"/>
      <c r="AG164" s="3000"/>
      <c r="AH164" s="3000"/>
      <c r="AI164" s="3000"/>
      <c r="AJ164" s="3000"/>
      <c r="AK164" s="3000"/>
      <c r="AL164" s="3000"/>
      <c r="AM164" s="3000"/>
      <c r="AN164" s="3000"/>
      <c r="AO164" s="3000"/>
      <c r="AP164" s="3001"/>
    </row>
    <row r="165" spans="1:43" ht="12" customHeight="1">
      <c r="B165" s="1660"/>
      <c r="C165" s="3014" t="s">
        <v>1353</v>
      </c>
      <c r="D165" s="3015"/>
      <c r="E165" s="3015"/>
      <c r="F165" s="3015"/>
      <c r="G165" s="3015"/>
      <c r="H165" s="3015"/>
      <c r="I165" s="3015"/>
      <c r="J165" s="3015"/>
      <c r="K165" s="3015"/>
      <c r="L165" s="3015"/>
      <c r="M165" s="3015"/>
      <c r="N165" s="3015"/>
      <c r="O165" s="3015"/>
      <c r="P165" s="3015"/>
      <c r="Q165" s="3015"/>
      <c r="R165" s="3015"/>
      <c r="S165" s="3015"/>
      <c r="T165" s="3015"/>
      <c r="U165" s="3015"/>
      <c r="V165" s="3015"/>
      <c r="W165" s="3015"/>
      <c r="X165" s="3015"/>
      <c r="Y165" s="3015"/>
      <c r="Z165" s="3015"/>
      <c r="AA165" s="3015"/>
      <c r="AB165" s="3015"/>
      <c r="AC165" s="3015"/>
      <c r="AD165" s="3015"/>
      <c r="AE165" s="3015"/>
      <c r="AF165" s="3015"/>
      <c r="AG165" s="3015"/>
      <c r="AH165" s="3015"/>
      <c r="AI165" s="3015"/>
      <c r="AJ165" s="3015"/>
      <c r="AK165" s="3015"/>
      <c r="AL165" s="3015"/>
      <c r="AM165" s="3015"/>
      <c r="AN165" s="3015"/>
      <c r="AO165" s="3015"/>
      <c r="AP165" s="3016"/>
    </row>
    <row r="166" spans="1:43" ht="30" customHeight="1">
      <c r="B166" s="2996" t="s">
        <v>31</v>
      </c>
      <c r="C166" s="2997"/>
      <c r="D166" s="2998"/>
      <c r="E166" s="3008" t="s">
        <v>1007</v>
      </c>
      <c r="F166" s="3009"/>
      <c r="G166" s="3009"/>
      <c r="H166" s="3009"/>
      <c r="I166" s="3009"/>
      <c r="J166" s="3009"/>
      <c r="K166" s="3009"/>
      <c r="L166" s="3009"/>
      <c r="M166" s="3009"/>
      <c r="N166" s="3010"/>
      <c r="O166" s="3002" t="s">
        <v>156</v>
      </c>
      <c r="P166" s="3003"/>
      <c r="Q166" s="3004"/>
      <c r="R166" s="3004"/>
      <c r="S166" s="3004"/>
      <c r="T166" s="3004"/>
      <c r="U166" s="3004"/>
      <c r="V166" s="3004"/>
      <c r="W166" s="3004"/>
      <c r="X166" s="3004"/>
      <c r="Y166" s="3004"/>
      <c r="Z166" s="3004"/>
      <c r="AA166" s="3004"/>
      <c r="AB166" s="3004"/>
      <c r="AC166" s="3004"/>
      <c r="AD166" s="3005"/>
      <c r="AE166" s="3006" t="s">
        <v>194</v>
      </c>
      <c r="AF166" s="3007"/>
      <c r="AG166" s="3007"/>
      <c r="AH166" s="3007"/>
      <c r="AI166" s="3007"/>
      <c r="AJ166" s="2997"/>
      <c r="AK166" s="2997"/>
      <c r="AL166" s="2997"/>
      <c r="AM166" s="2997"/>
      <c r="AN166" s="2997"/>
      <c r="AO166" s="2998"/>
      <c r="AP166" s="1661" t="s">
        <v>387</v>
      </c>
    </row>
    <row r="167" spans="1:43" ht="65.150000000000006" customHeight="1">
      <c r="A167" s="1035"/>
      <c r="B167" s="2987" t="str">
        <f>IFERROR(INDEX('1_入力シート【基本情報】'!$DW$307:$DW$526,MATCH(ROW(A1),'1_入力シート【基本情報】'!$HX$307:$HX$526,0)),"")</f>
        <v/>
      </c>
      <c r="C167" s="2988"/>
      <c r="D167" s="2989"/>
      <c r="E167" s="2983" t="str">
        <f>IFERROR(INDEX('1_入力シート【基本情報】'!$DR$307:$DR$526,MATCH(ROW(A1),'1_入力シート【基本情報】'!$HX$307:$HX$526,0)),"")</f>
        <v/>
      </c>
      <c r="F167" s="2983"/>
      <c r="G167" s="2983"/>
      <c r="H167" s="2983"/>
      <c r="I167" s="2983"/>
      <c r="J167" s="2983"/>
      <c r="K167" s="2983"/>
      <c r="L167" s="2983"/>
      <c r="M167" s="2983"/>
      <c r="N167" s="2984"/>
      <c r="O167" s="2984" t="str">
        <f>IFERROR(INDEX('1_入力シート【基本情報】'!$FW$307:$FW$526,MATCH(ROW(A1),'1_入力シート【基本情報】'!$HX$307:$HX$526,0)),"")</f>
        <v/>
      </c>
      <c r="P167" s="2985"/>
      <c r="Q167" s="2985"/>
      <c r="R167" s="2985"/>
      <c r="S167" s="2985"/>
      <c r="T167" s="2985"/>
      <c r="U167" s="2985"/>
      <c r="V167" s="2985"/>
      <c r="W167" s="2985"/>
      <c r="X167" s="2985"/>
      <c r="Y167" s="2985"/>
      <c r="Z167" s="2985"/>
      <c r="AA167" s="2985"/>
      <c r="AB167" s="2985"/>
      <c r="AC167" s="2985"/>
      <c r="AD167" s="2985"/>
      <c r="AE167" s="2984" t="str">
        <f>IFERROR(INDEX('1_入力シート【基本情報】'!$BD$307:$BD$526,MATCH(ROW(A1),'1_入力シート【基本情報】'!$HX$307:$HX$526,0)),"")</f>
        <v/>
      </c>
      <c r="AF167" s="2985"/>
      <c r="AG167" s="2985"/>
      <c r="AH167" s="2985"/>
      <c r="AI167" s="2985"/>
      <c r="AJ167" s="2985"/>
      <c r="AK167" s="2985"/>
      <c r="AL167" s="2985"/>
      <c r="AM167" s="2985"/>
      <c r="AN167" s="2985"/>
      <c r="AO167" s="2986"/>
      <c r="AP167" s="1662" t="str">
        <f>IFERROR(INDEX('1_入力シート【基本情報】'!$EA$307:$EA$526,MATCH(ROW(A1),'1_入力シート【基本情報】'!$HX$307:$HX$526,0)),"")</f>
        <v/>
      </c>
      <c r="AQ167" s="1035"/>
    </row>
    <row r="168" spans="1:43" ht="65.150000000000006" customHeight="1">
      <c r="A168" s="1035"/>
      <c r="B168" s="2987" t="str">
        <f>IFERROR(INDEX('1_入力シート【基本情報】'!$DW$307:$DW$526,MATCH(ROW(A2),'1_入力シート【基本情報】'!$HX$307:$HX$526,0)),"")</f>
        <v/>
      </c>
      <c r="C168" s="2988"/>
      <c r="D168" s="2989"/>
      <c r="E168" s="2983" t="str">
        <f>IFERROR(INDEX('1_入力シート【基本情報】'!$DR$307:$DR$526,MATCH(ROW(A2),'1_入力シート【基本情報】'!$HX$307:$HX$526,0)),"")</f>
        <v/>
      </c>
      <c r="F168" s="2983"/>
      <c r="G168" s="2983"/>
      <c r="H168" s="2983"/>
      <c r="I168" s="2983"/>
      <c r="J168" s="2983"/>
      <c r="K168" s="2983"/>
      <c r="L168" s="2983"/>
      <c r="M168" s="2983"/>
      <c r="N168" s="2984"/>
      <c r="O168" s="2984" t="str">
        <f>IFERROR(INDEX('1_入力シート【基本情報】'!$FW$307:$FW$526,MATCH(ROW(A2),'1_入力シート【基本情報】'!$HX$307:$HX$526,0)),"")</f>
        <v/>
      </c>
      <c r="P168" s="2985"/>
      <c r="Q168" s="2985"/>
      <c r="R168" s="2985"/>
      <c r="S168" s="2985"/>
      <c r="T168" s="2985"/>
      <c r="U168" s="2985"/>
      <c r="V168" s="2985"/>
      <c r="W168" s="2985"/>
      <c r="X168" s="2985"/>
      <c r="Y168" s="2985"/>
      <c r="Z168" s="2985"/>
      <c r="AA168" s="2985"/>
      <c r="AB168" s="2985"/>
      <c r="AC168" s="2985"/>
      <c r="AD168" s="2985"/>
      <c r="AE168" s="2984" t="str">
        <f>IFERROR(INDEX('1_入力シート【基本情報】'!$BD$307:$BD$526,MATCH(ROW(A2),'1_入力シート【基本情報】'!$HX$307:$HX$526,0)),"")</f>
        <v/>
      </c>
      <c r="AF168" s="2985"/>
      <c r="AG168" s="2985"/>
      <c r="AH168" s="2985"/>
      <c r="AI168" s="2985"/>
      <c r="AJ168" s="2985"/>
      <c r="AK168" s="2985"/>
      <c r="AL168" s="2985"/>
      <c r="AM168" s="2985"/>
      <c r="AN168" s="2985"/>
      <c r="AO168" s="2986"/>
      <c r="AP168" s="1662" t="str">
        <f>IFERROR(INDEX('1_入力シート【基本情報】'!$EA$307:$EA$526,MATCH(ROW(A2),'1_入力シート【基本情報】'!$HX$307:$HX$526,0)),"")</f>
        <v/>
      </c>
      <c r="AQ168" s="1035"/>
    </row>
    <row r="169" spans="1:43" ht="65.150000000000006" customHeight="1">
      <c r="A169" s="1035"/>
      <c r="B169" s="2987" t="str">
        <f>IFERROR(INDEX('1_入力シート【基本情報】'!$DW$307:$DW$526,MATCH(ROW(A3),'1_入力シート【基本情報】'!$HX$307:$HX$526,0)),"")</f>
        <v/>
      </c>
      <c r="C169" s="2988"/>
      <c r="D169" s="2989"/>
      <c r="E169" s="2983" t="str">
        <f>IFERROR(INDEX('1_入力シート【基本情報】'!$DR$307:$DR$526,MATCH(ROW(A3),'1_入力シート【基本情報】'!$HX$307:$HX$526,0)),"")</f>
        <v/>
      </c>
      <c r="F169" s="2983"/>
      <c r="G169" s="2983"/>
      <c r="H169" s="2983"/>
      <c r="I169" s="2983"/>
      <c r="J169" s="2983"/>
      <c r="K169" s="2983"/>
      <c r="L169" s="2983"/>
      <c r="M169" s="2983"/>
      <c r="N169" s="2984"/>
      <c r="O169" s="2984" t="str">
        <f>IFERROR(INDEX('1_入力シート【基本情報】'!$FW$307:$FW$526,MATCH(ROW(A3),'1_入力シート【基本情報】'!$HX$307:$HX$526,0)),"")</f>
        <v/>
      </c>
      <c r="P169" s="2985"/>
      <c r="Q169" s="2985"/>
      <c r="R169" s="2985"/>
      <c r="S169" s="2985"/>
      <c r="T169" s="2985"/>
      <c r="U169" s="2985"/>
      <c r="V169" s="2985"/>
      <c r="W169" s="2985"/>
      <c r="X169" s="2985"/>
      <c r="Y169" s="2985"/>
      <c r="Z169" s="2985"/>
      <c r="AA169" s="2985"/>
      <c r="AB169" s="2985"/>
      <c r="AC169" s="2985"/>
      <c r="AD169" s="2985"/>
      <c r="AE169" s="2984" t="str">
        <f>IFERROR(INDEX('1_入力シート【基本情報】'!$BD$307:$BD$526,MATCH(ROW(A3),'1_入力シート【基本情報】'!$HX$307:$HX$526,0)),"")</f>
        <v/>
      </c>
      <c r="AF169" s="2985"/>
      <c r="AG169" s="2985"/>
      <c r="AH169" s="2985"/>
      <c r="AI169" s="2985"/>
      <c r="AJ169" s="2985"/>
      <c r="AK169" s="2985"/>
      <c r="AL169" s="2985"/>
      <c r="AM169" s="2985"/>
      <c r="AN169" s="2985"/>
      <c r="AO169" s="2986"/>
      <c r="AP169" s="1662" t="str">
        <f>IFERROR(INDEX('1_入力シート【基本情報】'!$EA$307:$EA$526,MATCH(ROW(A3),'1_入力シート【基本情報】'!$HX$307:$HX$526,0)),"")</f>
        <v/>
      </c>
      <c r="AQ169" s="1035"/>
    </row>
    <row r="170" spans="1:43" ht="65.150000000000006" customHeight="1">
      <c r="A170" s="1035"/>
      <c r="B170" s="2987" t="str">
        <f>IFERROR(INDEX('1_入力シート【基本情報】'!$DW$307:$DW$526,MATCH(ROW(A4),'1_入力シート【基本情報】'!$HX$307:$HX$526,0)),"")</f>
        <v/>
      </c>
      <c r="C170" s="2988"/>
      <c r="D170" s="2989"/>
      <c r="E170" s="2983" t="str">
        <f>IFERROR(INDEX('1_入力シート【基本情報】'!$DR$307:$DR$526,MATCH(ROW(A4),'1_入力シート【基本情報】'!$HX$307:$HX$526,0)),"")</f>
        <v/>
      </c>
      <c r="F170" s="2983"/>
      <c r="G170" s="2983"/>
      <c r="H170" s="2983"/>
      <c r="I170" s="2983"/>
      <c r="J170" s="2983"/>
      <c r="K170" s="2983"/>
      <c r="L170" s="2983"/>
      <c r="M170" s="2983"/>
      <c r="N170" s="2984"/>
      <c r="O170" s="2984" t="str">
        <f>IFERROR(INDEX('1_入力シート【基本情報】'!$FW$307:$FW$526,MATCH(ROW(A4),'1_入力シート【基本情報】'!$HX$307:$HX$526,0)),"")</f>
        <v/>
      </c>
      <c r="P170" s="2985"/>
      <c r="Q170" s="2985"/>
      <c r="R170" s="2985"/>
      <c r="S170" s="2985"/>
      <c r="T170" s="2985"/>
      <c r="U170" s="2985"/>
      <c r="V170" s="2985"/>
      <c r="W170" s="2985"/>
      <c r="X170" s="2985"/>
      <c r="Y170" s="2985"/>
      <c r="Z170" s="2985"/>
      <c r="AA170" s="2985"/>
      <c r="AB170" s="2985"/>
      <c r="AC170" s="2985"/>
      <c r="AD170" s="2985"/>
      <c r="AE170" s="2984" t="str">
        <f>IFERROR(INDEX('1_入力シート【基本情報】'!$BD$307:$BD$526,MATCH(ROW(A4),'1_入力シート【基本情報】'!$HX$307:$HX$526,0)),"")</f>
        <v/>
      </c>
      <c r="AF170" s="2985"/>
      <c r="AG170" s="2985"/>
      <c r="AH170" s="2985"/>
      <c r="AI170" s="2985"/>
      <c r="AJ170" s="2985"/>
      <c r="AK170" s="2985"/>
      <c r="AL170" s="2985"/>
      <c r="AM170" s="2985"/>
      <c r="AN170" s="2985"/>
      <c r="AO170" s="2986"/>
      <c r="AP170" s="1662" t="str">
        <f>IFERROR(INDEX('1_入力シート【基本情報】'!$EA$307:$EA$526,MATCH(ROW(A4),'1_入力シート【基本情報】'!$HX$307:$HX$526,0)),"")</f>
        <v/>
      </c>
      <c r="AQ170" s="1035"/>
    </row>
    <row r="171" spans="1:43" ht="65.150000000000006" customHeight="1">
      <c r="A171" s="1035"/>
      <c r="B171" s="2987" t="str">
        <f>IFERROR(INDEX('1_入力シート【基本情報】'!$DW$307:$DW$526,MATCH(ROW(A5),'1_入力シート【基本情報】'!$HX$307:$HX$526,0)),"")</f>
        <v/>
      </c>
      <c r="C171" s="2988"/>
      <c r="D171" s="2989"/>
      <c r="E171" s="2983" t="str">
        <f>IFERROR(INDEX('1_入力シート【基本情報】'!$DR$307:$DR$526,MATCH(ROW(A5),'1_入力シート【基本情報】'!$HX$307:$HX$526,0)),"")</f>
        <v/>
      </c>
      <c r="F171" s="2983"/>
      <c r="G171" s="2983"/>
      <c r="H171" s="2983"/>
      <c r="I171" s="2983"/>
      <c r="J171" s="2983"/>
      <c r="K171" s="2983"/>
      <c r="L171" s="2983"/>
      <c r="M171" s="2983"/>
      <c r="N171" s="2984"/>
      <c r="O171" s="2984" t="str">
        <f>IFERROR(INDEX('1_入力シート【基本情報】'!$FW$307:$FW$526,MATCH(ROW(A5),'1_入力シート【基本情報】'!$HX$307:$HX$526,0)),"")</f>
        <v/>
      </c>
      <c r="P171" s="2985"/>
      <c r="Q171" s="2985"/>
      <c r="R171" s="2985"/>
      <c r="S171" s="2985"/>
      <c r="T171" s="2985"/>
      <c r="U171" s="2985"/>
      <c r="V171" s="2985"/>
      <c r="W171" s="2985"/>
      <c r="X171" s="2985"/>
      <c r="Y171" s="2985"/>
      <c r="Z171" s="2985"/>
      <c r="AA171" s="2985"/>
      <c r="AB171" s="2985"/>
      <c r="AC171" s="2985"/>
      <c r="AD171" s="2985"/>
      <c r="AE171" s="2984" t="str">
        <f>IFERROR(INDEX('1_入力シート【基本情報】'!$BD$307:$BD$526,MATCH(ROW(A5),'1_入力シート【基本情報】'!$HX$307:$HX$526,0)),"")</f>
        <v/>
      </c>
      <c r="AF171" s="2985"/>
      <c r="AG171" s="2985"/>
      <c r="AH171" s="2985"/>
      <c r="AI171" s="2985"/>
      <c r="AJ171" s="2985"/>
      <c r="AK171" s="2985"/>
      <c r="AL171" s="2985"/>
      <c r="AM171" s="2985"/>
      <c r="AN171" s="2985"/>
      <c r="AO171" s="2986"/>
      <c r="AP171" s="1662" t="str">
        <f>IFERROR(INDEX('1_入力シート【基本情報】'!$EA$307:$EA$526,MATCH(ROW(A5),'1_入力シート【基本情報】'!$HX$307:$HX$526,0)),"")</f>
        <v/>
      </c>
      <c r="AQ171" s="1035"/>
    </row>
    <row r="172" spans="1:43" ht="65.150000000000006" customHeight="1">
      <c r="A172" s="1035"/>
      <c r="B172" s="2987" t="str">
        <f>IFERROR(INDEX('1_入力シート【基本情報】'!$DW$307:$DW$526,MATCH(ROW(A6),'1_入力シート【基本情報】'!$HX$307:$HX$526,0)),"")</f>
        <v/>
      </c>
      <c r="C172" s="2988"/>
      <c r="D172" s="2989"/>
      <c r="E172" s="2983" t="str">
        <f>IFERROR(INDEX('1_入力シート【基本情報】'!$DR$307:$DR$526,MATCH(ROW(A6),'1_入力シート【基本情報】'!$HX$307:$HX$526,0)),"")</f>
        <v/>
      </c>
      <c r="F172" s="2983"/>
      <c r="G172" s="2983"/>
      <c r="H172" s="2983"/>
      <c r="I172" s="2983"/>
      <c r="J172" s="2983"/>
      <c r="K172" s="2983"/>
      <c r="L172" s="2983"/>
      <c r="M172" s="2983"/>
      <c r="N172" s="2984"/>
      <c r="O172" s="2984" t="str">
        <f>IFERROR(INDEX('1_入力シート【基本情報】'!$FW$307:$FW$526,MATCH(ROW(A6),'1_入力シート【基本情報】'!$HX$307:$HX$526,0)),"")</f>
        <v/>
      </c>
      <c r="P172" s="2985"/>
      <c r="Q172" s="2985"/>
      <c r="R172" s="2985"/>
      <c r="S172" s="2985"/>
      <c r="T172" s="2985"/>
      <c r="U172" s="2985"/>
      <c r="V172" s="2985"/>
      <c r="W172" s="2985"/>
      <c r="X172" s="2985"/>
      <c r="Y172" s="2985"/>
      <c r="Z172" s="2985"/>
      <c r="AA172" s="2985"/>
      <c r="AB172" s="2985"/>
      <c r="AC172" s="2985"/>
      <c r="AD172" s="2985"/>
      <c r="AE172" s="2984" t="str">
        <f>IFERROR(INDEX('1_入力シート【基本情報】'!$BD$307:$BD$526,MATCH(ROW(A6),'1_入力シート【基本情報】'!$HX$307:$HX$526,0)),"")</f>
        <v/>
      </c>
      <c r="AF172" s="2985"/>
      <c r="AG172" s="2985"/>
      <c r="AH172" s="2985"/>
      <c r="AI172" s="2985"/>
      <c r="AJ172" s="2985"/>
      <c r="AK172" s="2985"/>
      <c r="AL172" s="2985"/>
      <c r="AM172" s="2985"/>
      <c r="AN172" s="2985"/>
      <c r="AO172" s="2986"/>
      <c r="AP172" s="1662" t="str">
        <f>IFERROR(INDEX('1_入力シート【基本情報】'!$EA$307:$EA$526,MATCH(ROW(A6),'1_入力シート【基本情報】'!$HX$307:$HX$526,0)),"")</f>
        <v/>
      </c>
      <c r="AQ172" s="1035"/>
    </row>
    <row r="173" spans="1:43" ht="65.150000000000006" customHeight="1">
      <c r="A173" s="1035"/>
      <c r="B173" s="2987" t="str">
        <f>IFERROR(INDEX('1_入力シート【基本情報】'!$DW$307:$DW$526,MATCH(ROW(A7),'1_入力シート【基本情報】'!$HX$307:$HX$526,0)),"")</f>
        <v/>
      </c>
      <c r="C173" s="2988"/>
      <c r="D173" s="2989"/>
      <c r="E173" s="2983" t="str">
        <f>IFERROR(INDEX('1_入力シート【基本情報】'!$DR$307:$DR$526,MATCH(ROW(A7),'1_入力シート【基本情報】'!$HX$307:$HX$526,0)),"")</f>
        <v/>
      </c>
      <c r="F173" s="2983"/>
      <c r="G173" s="2983"/>
      <c r="H173" s="2983"/>
      <c r="I173" s="2983"/>
      <c r="J173" s="2983"/>
      <c r="K173" s="2983"/>
      <c r="L173" s="2983"/>
      <c r="M173" s="2983"/>
      <c r="N173" s="2984"/>
      <c r="O173" s="2984" t="str">
        <f>IFERROR(INDEX('1_入力シート【基本情報】'!$FW$307:$FW$526,MATCH(ROW(A7),'1_入力シート【基本情報】'!$HX$307:$HX$526,0)),"")</f>
        <v/>
      </c>
      <c r="P173" s="2985"/>
      <c r="Q173" s="2985"/>
      <c r="R173" s="2985"/>
      <c r="S173" s="2985"/>
      <c r="T173" s="2985"/>
      <c r="U173" s="2985"/>
      <c r="V173" s="2985"/>
      <c r="W173" s="2985"/>
      <c r="X173" s="2985"/>
      <c r="Y173" s="2985"/>
      <c r="Z173" s="2985"/>
      <c r="AA173" s="2985"/>
      <c r="AB173" s="2985"/>
      <c r="AC173" s="2985"/>
      <c r="AD173" s="2985"/>
      <c r="AE173" s="2984" t="str">
        <f>IFERROR(INDEX('1_入力シート【基本情報】'!$BD$307:$BD$526,MATCH(ROW(A7),'1_入力シート【基本情報】'!$HX$307:$HX$526,0)),"")</f>
        <v/>
      </c>
      <c r="AF173" s="2985"/>
      <c r="AG173" s="2985"/>
      <c r="AH173" s="2985"/>
      <c r="AI173" s="2985"/>
      <c r="AJ173" s="2985"/>
      <c r="AK173" s="2985"/>
      <c r="AL173" s="2985"/>
      <c r="AM173" s="2985"/>
      <c r="AN173" s="2985"/>
      <c r="AO173" s="2986"/>
      <c r="AP173" s="1662" t="str">
        <f>IFERROR(INDEX('1_入力シート【基本情報】'!$EA$307:$EA$526,MATCH(ROW(A7),'1_入力シート【基本情報】'!$HX$307:$HX$526,0)),"")</f>
        <v/>
      </c>
      <c r="AQ173" s="1035"/>
    </row>
    <row r="174" spans="1:43" ht="65.150000000000006" customHeight="1">
      <c r="A174" s="1035"/>
      <c r="B174" s="2987" t="str">
        <f>IFERROR(INDEX('1_入力シート【基本情報】'!$DW$307:$DW$526,MATCH(ROW(A8),'1_入力シート【基本情報】'!$HX$307:$HX$526,0)),"")</f>
        <v/>
      </c>
      <c r="C174" s="2988"/>
      <c r="D174" s="2989"/>
      <c r="E174" s="2983" t="str">
        <f>IFERROR(INDEX('1_入力シート【基本情報】'!$DR$307:$DR$526,MATCH(ROW(A8),'1_入力シート【基本情報】'!$HX$307:$HX$526,0)),"")</f>
        <v/>
      </c>
      <c r="F174" s="2983"/>
      <c r="G174" s="2983"/>
      <c r="H174" s="2983"/>
      <c r="I174" s="2983"/>
      <c r="J174" s="2983"/>
      <c r="K174" s="2983"/>
      <c r="L174" s="2983"/>
      <c r="M174" s="2983"/>
      <c r="N174" s="2984"/>
      <c r="O174" s="2984" t="str">
        <f>IFERROR(INDEX('1_入力シート【基本情報】'!$FW$307:$FW$526,MATCH(ROW(A8),'1_入力シート【基本情報】'!$HX$307:$HX$526,0)),"")</f>
        <v/>
      </c>
      <c r="P174" s="2985"/>
      <c r="Q174" s="2985"/>
      <c r="R174" s="2985"/>
      <c r="S174" s="2985"/>
      <c r="T174" s="2985"/>
      <c r="U174" s="2985"/>
      <c r="V174" s="2985"/>
      <c r="W174" s="2985"/>
      <c r="X174" s="2985"/>
      <c r="Y174" s="2985"/>
      <c r="Z174" s="2985"/>
      <c r="AA174" s="2985"/>
      <c r="AB174" s="2985"/>
      <c r="AC174" s="2985"/>
      <c r="AD174" s="2985"/>
      <c r="AE174" s="2984" t="str">
        <f>IFERROR(INDEX('1_入力シート【基本情報】'!$BD$307:$BD$526,MATCH(ROW(A8),'1_入力シート【基本情報】'!$HX$307:$HX$526,0)),"")</f>
        <v/>
      </c>
      <c r="AF174" s="2985"/>
      <c r="AG174" s="2985"/>
      <c r="AH174" s="2985"/>
      <c r="AI174" s="2985"/>
      <c r="AJ174" s="2985"/>
      <c r="AK174" s="2985"/>
      <c r="AL174" s="2985"/>
      <c r="AM174" s="2985"/>
      <c r="AN174" s="2985"/>
      <c r="AO174" s="2986"/>
      <c r="AP174" s="1662" t="str">
        <f>IFERROR(INDEX('1_入力シート【基本情報】'!$EA$307:$EA$526,MATCH(ROW(A8),'1_入力シート【基本情報】'!$HX$307:$HX$526,0)),"")</f>
        <v/>
      </c>
      <c r="AQ174" s="1035"/>
    </row>
    <row r="175" spans="1:43" ht="65.150000000000006" customHeight="1">
      <c r="A175" s="1035"/>
      <c r="B175" s="2987" t="str">
        <f>IFERROR(INDEX('1_入力シート【基本情報】'!$DW$307:$DW$526,MATCH(ROW(A9),'1_入力シート【基本情報】'!$HX$307:$HX$526,0)),"")</f>
        <v/>
      </c>
      <c r="C175" s="2988"/>
      <c r="D175" s="2989"/>
      <c r="E175" s="2983" t="str">
        <f>IFERROR(INDEX('1_入力シート【基本情報】'!$DR$307:$DR$526,MATCH(ROW(A9),'1_入力シート【基本情報】'!$HX$307:$HX$526,0)),"")</f>
        <v/>
      </c>
      <c r="F175" s="2983"/>
      <c r="G175" s="2983"/>
      <c r="H175" s="2983"/>
      <c r="I175" s="2983"/>
      <c r="J175" s="2983"/>
      <c r="K175" s="2983"/>
      <c r="L175" s="2983"/>
      <c r="M175" s="2983"/>
      <c r="N175" s="2984"/>
      <c r="O175" s="2984" t="str">
        <f>IFERROR(INDEX('1_入力シート【基本情報】'!$FW$307:$FW$526,MATCH(ROW(A9),'1_入力シート【基本情報】'!$HX$307:$HX$526,0)),"")</f>
        <v/>
      </c>
      <c r="P175" s="2985"/>
      <c r="Q175" s="2985"/>
      <c r="R175" s="2985"/>
      <c r="S175" s="2985"/>
      <c r="T175" s="2985"/>
      <c r="U175" s="2985"/>
      <c r="V175" s="2985"/>
      <c r="W175" s="2985"/>
      <c r="X175" s="2985"/>
      <c r="Y175" s="2985"/>
      <c r="Z175" s="2985"/>
      <c r="AA175" s="2985"/>
      <c r="AB175" s="2985"/>
      <c r="AC175" s="2985"/>
      <c r="AD175" s="2985"/>
      <c r="AE175" s="2984" t="str">
        <f>IFERROR(INDEX('1_入力シート【基本情報】'!$BD$307:$BD$526,MATCH(ROW(A9),'1_入力シート【基本情報】'!$HX$307:$HX$526,0)),"")</f>
        <v/>
      </c>
      <c r="AF175" s="2985"/>
      <c r="AG175" s="2985"/>
      <c r="AH175" s="2985"/>
      <c r="AI175" s="2985"/>
      <c r="AJ175" s="2985"/>
      <c r="AK175" s="2985"/>
      <c r="AL175" s="2985"/>
      <c r="AM175" s="2985"/>
      <c r="AN175" s="2985"/>
      <c r="AO175" s="2986"/>
      <c r="AP175" s="1662" t="str">
        <f>IFERROR(INDEX('1_入力シート【基本情報】'!$EA$307:$EA$526,MATCH(ROW(A9),'1_入力シート【基本情報】'!$HX$307:$HX$526,0)),"")</f>
        <v/>
      </c>
      <c r="AQ175" s="1035"/>
    </row>
    <row r="176" spans="1:43" ht="65.150000000000006" customHeight="1">
      <c r="A176" s="1035"/>
      <c r="B176" s="2987" t="str">
        <f>IFERROR(INDEX('1_入力シート【基本情報】'!$DW$307:$DW$526,MATCH(ROW(A10),'1_入力シート【基本情報】'!$HX$307:$HX$526,0)),"")</f>
        <v/>
      </c>
      <c r="C176" s="2988"/>
      <c r="D176" s="2989"/>
      <c r="E176" s="2983" t="str">
        <f>IFERROR(INDEX('1_入力シート【基本情報】'!$DR$307:$DR$526,MATCH(ROW(A10),'1_入力シート【基本情報】'!$HX$307:$HX$526,0)),"")</f>
        <v/>
      </c>
      <c r="F176" s="2983"/>
      <c r="G176" s="2983"/>
      <c r="H176" s="2983"/>
      <c r="I176" s="2983"/>
      <c r="J176" s="2983"/>
      <c r="K176" s="2983"/>
      <c r="L176" s="2983"/>
      <c r="M176" s="2983"/>
      <c r="N176" s="2984"/>
      <c r="O176" s="2984" t="str">
        <f>IFERROR(INDEX('1_入力シート【基本情報】'!$FW$307:$FW$526,MATCH(ROW(A10),'1_入力シート【基本情報】'!$HX$307:$HX$526,0)),"")</f>
        <v/>
      </c>
      <c r="P176" s="2985"/>
      <c r="Q176" s="2985"/>
      <c r="R176" s="2985"/>
      <c r="S176" s="2985"/>
      <c r="T176" s="2985"/>
      <c r="U176" s="2985"/>
      <c r="V176" s="2985"/>
      <c r="W176" s="2985"/>
      <c r="X176" s="2985"/>
      <c r="Y176" s="2985"/>
      <c r="Z176" s="2985"/>
      <c r="AA176" s="2985"/>
      <c r="AB176" s="2985"/>
      <c r="AC176" s="2985"/>
      <c r="AD176" s="2985"/>
      <c r="AE176" s="2984" t="str">
        <f>IFERROR(INDEX('1_入力シート【基本情報】'!$BD$307:$BD$526,MATCH(ROW(A10),'1_入力シート【基本情報】'!$HX$307:$HX$526,0)),"")</f>
        <v/>
      </c>
      <c r="AF176" s="2985"/>
      <c r="AG176" s="2985"/>
      <c r="AH176" s="2985"/>
      <c r="AI176" s="2985"/>
      <c r="AJ176" s="2985"/>
      <c r="AK176" s="2985"/>
      <c r="AL176" s="2985"/>
      <c r="AM176" s="2985"/>
      <c r="AN176" s="2985"/>
      <c r="AO176" s="2986"/>
      <c r="AP176" s="1662" t="str">
        <f>IFERROR(INDEX('1_入力シート【基本情報】'!$EA$307:$EA$526,MATCH(ROW(A10),'1_入力シート【基本情報】'!$HX$307:$HX$526,0)),"")</f>
        <v/>
      </c>
      <c r="AQ176" s="1035"/>
    </row>
    <row r="177" spans="1:43" ht="65.150000000000006" customHeight="1">
      <c r="A177" s="1035"/>
      <c r="B177" s="2987" t="str">
        <f>IFERROR(INDEX('1_入力シート【基本情報】'!$DW$307:$DW$526,MATCH(ROW(A11),'1_入力シート【基本情報】'!$HX$307:$HX$526,0)),"")</f>
        <v/>
      </c>
      <c r="C177" s="2988"/>
      <c r="D177" s="2989"/>
      <c r="E177" s="2983" t="str">
        <f>IFERROR(INDEX('1_入力シート【基本情報】'!$DR$307:$DR$526,MATCH(ROW(A11),'1_入力シート【基本情報】'!$HX$307:$HX$526,0)),"")</f>
        <v/>
      </c>
      <c r="F177" s="2983"/>
      <c r="G177" s="2983"/>
      <c r="H177" s="2983"/>
      <c r="I177" s="2983"/>
      <c r="J177" s="2983"/>
      <c r="K177" s="2983"/>
      <c r="L177" s="2983"/>
      <c r="M177" s="2983"/>
      <c r="N177" s="2984"/>
      <c r="O177" s="2984" t="str">
        <f>IFERROR(INDEX('1_入力シート【基本情報】'!$FW$307:$FW$526,MATCH(ROW(A11),'1_入力シート【基本情報】'!$HX$307:$HX$526,0)),"")</f>
        <v/>
      </c>
      <c r="P177" s="2985"/>
      <c r="Q177" s="2985"/>
      <c r="R177" s="2985"/>
      <c r="S177" s="2985"/>
      <c r="T177" s="2985"/>
      <c r="U177" s="2985"/>
      <c r="V177" s="2985"/>
      <c r="W177" s="2985"/>
      <c r="X177" s="2985"/>
      <c r="Y177" s="2985"/>
      <c r="Z177" s="2985"/>
      <c r="AA177" s="2985"/>
      <c r="AB177" s="2985"/>
      <c r="AC177" s="2985"/>
      <c r="AD177" s="2985"/>
      <c r="AE177" s="2984" t="str">
        <f>IFERROR(INDEX('1_入力シート【基本情報】'!$BD$307:$BD$526,MATCH(ROW(A11),'1_入力シート【基本情報】'!$HX$307:$HX$526,0)),"")</f>
        <v/>
      </c>
      <c r="AF177" s="2985"/>
      <c r="AG177" s="2985"/>
      <c r="AH177" s="2985"/>
      <c r="AI177" s="2985"/>
      <c r="AJ177" s="2985"/>
      <c r="AK177" s="2985"/>
      <c r="AL177" s="2985"/>
      <c r="AM177" s="2985"/>
      <c r="AN177" s="2985"/>
      <c r="AO177" s="2986"/>
      <c r="AP177" s="1662" t="str">
        <f>IFERROR(INDEX('1_入力シート【基本情報】'!$EA$307:$EA$526,MATCH(ROW(A11),'1_入力シート【基本情報】'!$HX$307:$HX$526,0)),"")</f>
        <v/>
      </c>
      <c r="AQ177" s="1035"/>
    </row>
    <row r="178" spans="1:43" ht="65.150000000000006" customHeight="1">
      <c r="A178" s="1035"/>
      <c r="B178" s="2987" t="str">
        <f>IFERROR(INDEX('1_入力シート【基本情報】'!$DW$307:$DW$526,MATCH(ROW(A12),'1_入力シート【基本情報】'!$HX$307:$HX$526,0)),"")</f>
        <v/>
      </c>
      <c r="C178" s="2988"/>
      <c r="D178" s="2989"/>
      <c r="E178" s="2983" t="str">
        <f>IFERROR(INDEX('1_入力シート【基本情報】'!$DR$307:$DR$526,MATCH(ROW(A12),'1_入力シート【基本情報】'!$HX$307:$HX$526,0)),"")</f>
        <v/>
      </c>
      <c r="F178" s="2983"/>
      <c r="G178" s="2983"/>
      <c r="H178" s="2983"/>
      <c r="I178" s="2983"/>
      <c r="J178" s="2983"/>
      <c r="K178" s="2983"/>
      <c r="L178" s="2983"/>
      <c r="M178" s="2983"/>
      <c r="N178" s="2984"/>
      <c r="O178" s="2984" t="str">
        <f>IFERROR(INDEX('1_入力シート【基本情報】'!$FW$307:$FW$526,MATCH(ROW(A12),'1_入力シート【基本情報】'!$HX$307:$HX$526,0)),"")</f>
        <v/>
      </c>
      <c r="P178" s="2985"/>
      <c r="Q178" s="2985"/>
      <c r="R178" s="2985"/>
      <c r="S178" s="2985"/>
      <c r="T178" s="2985"/>
      <c r="U178" s="2985"/>
      <c r="V178" s="2985"/>
      <c r="W178" s="2985"/>
      <c r="X178" s="2985"/>
      <c r="Y178" s="2985"/>
      <c r="Z178" s="2985"/>
      <c r="AA178" s="2985"/>
      <c r="AB178" s="2985"/>
      <c r="AC178" s="2985"/>
      <c r="AD178" s="2985"/>
      <c r="AE178" s="2984" t="str">
        <f>IFERROR(INDEX('1_入力シート【基本情報】'!$BD$307:$BD$526,MATCH(ROW(A12),'1_入力シート【基本情報】'!$HX$307:$HX$526,0)),"")</f>
        <v/>
      </c>
      <c r="AF178" s="2985"/>
      <c r="AG178" s="2985"/>
      <c r="AH178" s="2985"/>
      <c r="AI178" s="2985"/>
      <c r="AJ178" s="2985"/>
      <c r="AK178" s="2985"/>
      <c r="AL178" s="2985"/>
      <c r="AM178" s="2985"/>
      <c r="AN178" s="2985"/>
      <c r="AO178" s="2986"/>
      <c r="AP178" s="1662" t="str">
        <f>IFERROR(INDEX('1_入力シート【基本情報】'!$EA$307:$EA$526,MATCH(ROW(A12),'1_入力シート【基本情報】'!$HX$307:$HX$526,0)),"")</f>
        <v/>
      </c>
      <c r="AQ178" s="1035"/>
    </row>
    <row r="179" spans="1:43" ht="65.150000000000006" customHeight="1">
      <c r="A179" s="1035"/>
      <c r="B179" s="2987" t="str">
        <f>IFERROR(INDEX('1_入力シート【基本情報】'!$DW$307:$DW$526,MATCH(ROW(A13),'1_入力シート【基本情報】'!$HX$307:$HX$526,0)),"")</f>
        <v/>
      </c>
      <c r="C179" s="2988"/>
      <c r="D179" s="2989"/>
      <c r="E179" s="2983" t="str">
        <f>IFERROR(INDEX('1_入力シート【基本情報】'!$DR$307:$DR$526,MATCH(ROW(A13),'1_入力シート【基本情報】'!$HX$307:$HX$526,0)),"")</f>
        <v/>
      </c>
      <c r="F179" s="2983"/>
      <c r="G179" s="2983"/>
      <c r="H179" s="2983"/>
      <c r="I179" s="2983"/>
      <c r="J179" s="2983"/>
      <c r="K179" s="2983"/>
      <c r="L179" s="2983"/>
      <c r="M179" s="2983"/>
      <c r="N179" s="2984"/>
      <c r="O179" s="2984" t="str">
        <f>IFERROR(INDEX('1_入力シート【基本情報】'!$FW$307:$FW$526,MATCH(ROW(A13),'1_入力シート【基本情報】'!$HX$307:$HX$526,0)),"")</f>
        <v/>
      </c>
      <c r="P179" s="2985"/>
      <c r="Q179" s="2985"/>
      <c r="R179" s="2985"/>
      <c r="S179" s="2985"/>
      <c r="T179" s="2985"/>
      <c r="U179" s="2985"/>
      <c r="V179" s="2985"/>
      <c r="W179" s="2985"/>
      <c r="X179" s="2985"/>
      <c r="Y179" s="2985"/>
      <c r="Z179" s="2985"/>
      <c r="AA179" s="2985"/>
      <c r="AB179" s="2985"/>
      <c r="AC179" s="2985"/>
      <c r="AD179" s="2985"/>
      <c r="AE179" s="2984" t="str">
        <f>IFERROR(INDEX('1_入力シート【基本情報】'!$BD$307:$BD$526,MATCH(ROW(A13),'1_入力シート【基本情報】'!$HX$307:$HX$526,0)),"")</f>
        <v/>
      </c>
      <c r="AF179" s="2985"/>
      <c r="AG179" s="2985"/>
      <c r="AH179" s="2985"/>
      <c r="AI179" s="2985"/>
      <c r="AJ179" s="2985"/>
      <c r="AK179" s="2985"/>
      <c r="AL179" s="2985"/>
      <c r="AM179" s="2985"/>
      <c r="AN179" s="2985"/>
      <c r="AO179" s="2986"/>
      <c r="AP179" s="1662" t="str">
        <f>IFERROR(INDEX('1_入力シート【基本情報】'!$EA$307:$EA$526,MATCH(ROW(A13),'1_入力シート【基本情報】'!$HX$307:$HX$526,0)),"")</f>
        <v/>
      </c>
      <c r="AQ179" s="1035"/>
    </row>
    <row r="180" spans="1:43" ht="65.150000000000006" customHeight="1">
      <c r="A180" s="1035"/>
      <c r="B180" s="2987" t="str">
        <f>IFERROR(INDEX('1_入力シート【基本情報】'!$DW$307:$DW$526,MATCH(ROW(A14),'1_入力シート【基本情報】'!$HX$307:$HX$526,0)),"")</f>
        <v/>
      </c>
      <c r="C180" s="2988"/>
      <c r="D180" s="2989"/>
      <c r="E180" s="2983" t="str">
        <f>IFERROR(INDEX('1_入力シート【基本情報】'!$DR$307:$DR$526,MATCH(ROW(A14),'1_入力シート【基本情報】'!$HX$307:$HX$526,0)),"")</f>
        <v/>
      </c>
      <c r="F180" s="2983"/>
      <c r="G180" s="2983"/>
      <c r="H180" s="2983"/>
      <c r="I180" s="2983"/>
      <c r="J180" s="2983"/>
      <c r="K180" s="2983"/>
      <c r="L180" s="2983"/>
      <c r="M180" s="2983"/>
      <c r="N180" s="2984"/>
      <c r="O180" s="2984" t="str">
        <f>IFERROR(INDEX('1_入力シート【基本情報】'!$FW$307:$FW$526,MATCH(ROW(A14),'1_入力シート【基本情報】'!$HX$307:$HX$526,0)),"")</f>
        <v/>
      </c>
      <c r="P180" s="2985"/>
      <c r="Q180" s="2985"/>
      <c r="R180" s="2985"/>
      <c r="S180" s="2985"/>
      <c r="T180" s="2985"/>
      <c r="U180" s="2985"/>
      <c r="V180" s="2985"/>
      <c r="W180" s="2985"/>
      <c r="X180" s="2985"/>
      <c r="Y180" s="2985"/>
      <c r="Z180" s="2985"/>
      <c r="AA180" s="2985"/>
      <c r="AB180" s="2985"/>
      <c r="AC180" s="2985"/>
      <c r="AD180" s="2985"/>
      <c r="AE180" s="2984" t="str">
        <f>IFERROR(INDEX('1_入力シート【基本情報】'!$BD$307:$BD$526,MATCH(ROW(A14),'1_入力シート【基本情報】'!$HX$307:$HX$526,0)),"")</f>
        <v/>
      </c>
      <c r="AF180" s="2985"/>
      <c r="AG180" s="2985"/>
      <c r="AH180" s="2985"/>
      <c r="AI180" s="2985"/>
      <c r="AJ180" s="2985"/>
      <c r="AK180" s="2985"/>
      <c r="AL180" s="2985"/>
      <c r="AM180" s="2985"/>
      <c r="AN180" s="2985"/>
      <c r="AO180" s="2986"/>
      <c r="AP180" s="1662" t="str">
        <f>IFERROR(INDEX('1_入力シート【基本情報】'!$EA$307:$EA$526,MATCH(ROW(A14),'1_入力シート【基本情報】'!$HX$307:$HX$526,0)),"")</f>
        <v/>
      </c>
      <c r="AQ180" s="1035"/>
    </row>
    <row r="181" spans="1:43" ht="65.150000000000006" customHeight="1">
      <c r="A181" s="1035"/>
      <c r="B181" s="2987" t="str">
        <f>IFERROR(INDEX('1_入力シート【基本情報】'!$DW$307:$DW$526,MATCH(ROW(A15),'1_入力シート【基本情報】'!$HX$307:$HX$526,0)),"")</f>
        <v/>
      </c>
      <c r="C181" s="2988"/>
      <c r="D181" s="2989"/>
      <c r="E181" s="2983" t="str">
        <f>IFERROR(INDEX('1_入力シート【基本情報】'!$DR$307:$DR$526,MATCH(ROW(A15),'1_入力シート【基本情報】'!$HX$307:$HX$526,0)),"")</f>
        <v/>
      </c>
      <c r="F181" s="2983"/>
      <c r="G181" s="2983"/>
      <c r="H181" s="2983"/>
      <c r="I181" s="2983"/>
      <c r="J181" s="2983"/>
      <c r="K181" s="2983"/>
      <c r="L181" s="2983"/>
      <c r="M181" s="2983"/>
      <c r="N181" s="2984"/>
      <c r="O181" s="2984" t="str">
        <f>IFERROR(INDEX('1_入力シート【基本情報】'!$FW$307:$FW$526,MATCH(ROW(A15),'1_入力シート【基本情報】'!$HX$307:$HX$526,0)),"")</f>
        <v/>
      </c>
      <c r="P181" s="2985"/>
      <c r="Q181" s="2985"/>
      <c r="R181" s="2985"/>
      <c r="S181" s="2985"/>
      <c r="T181" s="2985"/>
      <c r="U181" s="2985"/>
      <c r="V181" s="2985"/>
      <c r="W181" s="2985"/>
      <c r="X181" s="2985"/>
      <c r="Y181" s="2985"/>
      <c r="Z181" s="2985"/>
      <c r="AA181" s="2985"/>
      <c r="AB181" s="2985"/>
      <c r="AC181" s="2985"/>
      <c r="AD181" s="2985"/>
      <c r="AE181" s="2984" t="str">
        <f>IFERROR(INDEX('1_入力シート【基本情報】'!$BD$307:$BD$526,MATCH(ROW(A15),'1_入力シート【基本情報】'!$HX$307:$HX$526,0)),"")</f>
        <v/>
      </c>
      <c r="AF181" s="2985"/>
      <c r="AG181" s="2985"/>
      <c r="AH181" s="2985"/>
      <c r="AI181" s="2985"/>
      <c r="AJ181" s="2985"/>
      <c r="AK181" s="2985"/>
      <c r="AL181" s="2985"/>
      <c r="AM181" s="2985"/>
      <c r="AN181" s="2985"/>
      <c r="AO181" s="2986"/>
      <c r="AP181" s="1662" t="str">
        <f>IFERROR(INDEX('1_入力シート【基本情報】'!$EA$307:$EA$526,MATCH(ROW(A15),'1_入力シート【基本情報】'!$HX$307:$HX$526,0)),"")</f>
        <v/>
      </c>
      <c r="AQ181" s="1035"/>
    </row>
    <row r="182" spans="1:43" ht="65.150000000000006" customHeight="1">
      <c r="A182" s="1035"/>
      <c r="B182" s="2987" t="str">
        <f>IFERROR(INDEX('1_入力シート【基本情報】'!$DW$307:$DW$526,MATCH(ROW(A16),'1_入力シート【基本情報】'!$HX$307:$HX$526,0)),"")</f>
        <v/>
      </c>
      <c r="C182" s="2988"/>
      <c r="D182" s="2989"/>
      <c r="E182" s="2983" t="str">
        <f>IFERROR(INDEX('1_入力シート【基本情報】'!$DR$307:$DR$526,MATCH(ROW(A16),'1_入力シート【基本情報】'!$HX$307:$HX$526,0)),"")</f>
        <v/>
      </c>
      <c r="F182" s="2983"/>
      <c r="G182" s="2983"/>
      <c r="H182" s="2983"/>
      <c r="I182" s="2983"/>
      <c r="J182" s="2983"/>
      <c r="K182" s="2983"/>
      <c r="L182" s="2983"/>
      <c r="M182" s="2983"/>
      <c r="N182" s="2984"/>
      <c r="O182" s="2984" t="str">
        <f>IFERROR(INDEX('1_入力シート【基本情報】'!$FW$307:$FW$526,MATCH(ROW(A16),'1_入力シート【基本情報】'!$HX$307:$HX$526,0)),"")</f>
        <v/>
      </c>
      <c r="P182" s="2985"/>
      <c r="Q182" s="2985"/>
      <c r="R182" s="2985"/>
      <c r="S182" s="2985"/>
      <c r="T182" s="2985"/>
      <c r="U182" s="2985"/>
      <c r="V182" s="2985"/>
      <c r="W182" s="2985"/>
      <c r="X182" s="2985"/>
      <c r="Y182" s="2985"/>
      <c r="Z182" s="2985"/>
      <c r="AA182" s="2985"/>
      <c r="AB182" s="2985"/>
      <c r="AC182" s="2985"/>
      <c r="AD182" s="2985"/>
      <c r="AE182" s="2984" t="str">
        <f>IFERROR(INDEX('1_入力シート【基本情報】'!$BD$307:$BD$526,MATCH(ROW(A16),'1_入力シート【基本情報】'!$HX$307:$HX$526,0)),"")</f>
        <v/>
      </c>
      <c r="AF182" s="2985"/>
      <c r="AG182" s="2985"/>
      <c r="AH182" s="2985"/>
      <c r="AI182" s="2985"/>
      <c r="AJ182" s="2985"/>
      <c r="AK182" s="2985"/>
      <c r="AL182" s="2985"/>
      <c r="AM182" s="2985"/>
      <c r="AN182" s="2985"/>
      <c r="AO182" s="2986"/>
      <c r="AP182" s="1662" t="str">
        <f>IFERROR(INDEX('1_入力シート【基本情報】'!$EA$307:$EA$526,MATCH(ROW(A16),'1_入力シート【基本情報】'!$HX$307:$HX$526,0)),"")</f>
        <v/>
      </c>
      <c r="AQ182" s="1035"/>
    </row>
    <row r="183" spans="1:43" ht="65.150000000000006" customHeight="1">
      <c r="A183" s="1035"/>
      <c r="B183" s="2987" t="str">
        <f>IFERROR(INDEX('1_入力シート【基本情報】'!$DW$307:$DW$526,MATCH(ROW(A17),'1_入力シート【基本情報】'!$HX$307:$HX$526,0)),"")</f>
        <v/>
      </c>
      <c r="C183" s="2988"/>
      <c r="D183" s="2989"/>
      <c r="E183" s="2983" t="str">
        <f>IFERROR(INDEX('1_入力シート【基本情報】'!$DR$307:$DR$526,MATCH(ROW(A17),'1_入力シート【基本情報】'!$HX$307:$HX$526,0)),"")</f>
        <v/>
      </c>
      <c r="F183" s="2983"/>
      <c r="G183" s="2983"/>
      <c r="H183" s="2983"/>
      <c r="I183" s="2983"/>
      <c r="J183" s="2983"/>
      <c r="K183" s="2983"/>
      <c r="L183" s="2983"/>
      <c r="M183" s="2983"/>
      <c r="N183" s="2984"/>
      <c r="O183" s="2984" t="str">
        <f>IFERROR(INDEX('1_入力シート【基本情報】'!$FW$307:$FW$526,MATCH(ROW(A17),'1_入力シート【基本情報】'!$HX$307:$HX$526,0)),"")</f>
        <v/>
      </c>
      <c r="P183" s="2985"/>
      <c r="Q183" s="2985"/>
      <c r="R183" s="2985"/>
      <c r="S183" s="2985"/>
      <c r="T183" s="2985"/>
      <c r="U183" s="2985"/>
      <c r="V183" s="2985"/>
      <c r="W183" s="2985"/>
      <c r="X183" s="2985"/>
      <c r="Y183" s="2985"/>
      <c r="Z183" s="2985"/>
      <c r="AA183" s="2985"/>
      <c r="AB183" s="2985"/>
      <c r="AC183" s="2985"/>
      <c r="AD183" s="2985"/>
      <c r="AE183" s="2984" t="str">
        <f>IFERROR(INDEX('1_入力シート【基本情報】'!$BD$307:$BD$526,MATCH(ROW(A17),'1_入力シート【基本情報】'!$HX$307:$HX$526,0)),"")</f>
        <v/>
      </c>
      <c r="AF183" s="2985"/>
      <c r="AG183" s="2985"/>
      <c r="AH183" s="2985"/>
      <c r="AI183" s="2985"/>
      <c r="AJ183" s="2985"/>
      <c r="AK183" s="2985"/>
      <c r="AL183" s="2985"/>
      <c r="AM183" s="2985"/>
      <c r="AN183" s="2985"/>
      <c r="AO183" s="2986"/>
      <c r="AP183" s="1662" t="str">
        <f>IFERROR(INDEX('1_入力シート【基本情報】'!$EA$307:$EA$526,MATCH(ROW(A17),'1_入力シート【基本情報】'!$HX$307:$HX$526,0)),"")</f>
        <v/>
      </c>
      <c r="AQ183" s="1035"/>
    </row>
    <row r="184" spans="1:43" ht="65.150000000000006" customHeight="1">
      <c r="A184" s="1035"/>
      <c r="B184" s="2987" t="str">
        <f>IFERROR(INDEX('1_入力シート【基本情報】'!$DW$307:$DW$526,MATCH(ROW(A18),'1_入力シート【基本情報】'!$HX$307:$HX$526,0)),"")</f>
        <v/>
      </c>
      <c r="C184" s="2988"/>
      <c r="D184" s="2989"/>
      <c r="E184" s="2983" t="str">
        <f>IFERROR(INDEX('1_入力シート【基本情報】'!$DR$307:$DR$526,MATCH(ROW(A18),'1_入力シート【基本情報】'!$HX$307:$HX$526,0)),"")</f>
        <v/>
      </c>
      <c r="F184" s="2983"/>
      <c r="G184" s="2983"/>
      <c r="H184" s="2983"/>
      <c r="I184" s="2983"/>
      <c r="J184" s="2983"/>
      <c r="K184" s="2983"/>
      <c r="L184" s="2983"/>
      <c r="M184" s="2983"/>
      <c r="N184" s="2984"/>
      <c r="O184" s="2984" t="str">
        <f>IFERROR(INDEX('1_入力シート【基本情報】'!$FW$307:$FW$526,MATCH(ROW(A18),'1_入力シート【基本情報】'!$HX$307:$HX$526,0)),"")</f>
        <v/>
      </c>
      <c r="P184" s="2985"/>
      <c r="Q184" s="2985"/>
      <c r="R184" s="2985"/>
      <c r="S184" s="2985"/>
      <c r="T184" s="2985"/>
      <c r="U184" s="2985"/>
      <c r="V184" s="2985"/>
      <c r="W184" s="2985"/>
      <c r="X184" s="2985"/>
      <c r="Y184" s="2985"/>
      <c r="Z184" s="2985"/>
      <c r="AA184" s="2985"/>
      <c r="AB184" s="2985"/>
      <c r="AC184" s="2985"/>
      <c r="AD184" s="2985"/>
      <c r="AE184" s="2984" t="str">
        <f>IFERROR(INDEX('1_入力シート【基本情報】'!$BD$307:$BD$526,MATCH(ROW(A18),'1_入力シート【基本情報】'!$HX$307:$HX$526,0)),"")</f>
        <v/>
      </c>
      <c r="AF184" s="2985"/>
      <c r="AG184" s="2985"/>
      <c r="AH184" s="2985"/>
      <c r="AI184" s="2985"/>
      <c r="AJ184" s="2985"/>
      <c r="AK184" s="2985"/>
      <c r="AL184" s="2985"/>
      <c r="AM184" s="2985"/>
      <c r="AN184" s="2985"/>
      <c r="AO184" s="2986"/>
      <c r="AP184" s="1662" t="str">
        <f>IFERROR(INDEX('1_入力シート【基本情報】'!$EA$307:$EA$526,MATCH(ROW(A18),'1_入力シート【基本情報】'!$HX$307:$HX$526,0)),"")</f>
        <v/>
      </c>
      <c r="AQ184" s="1035"/>
    </row>
    <row r="185" spans="1:43" ht="65.150000000000006" customHeight="1">
      <c r="A185" s="1035"/>
      <c r="B185" s="2987" t="str">
        <f>IFERROR(INDEX('1_入力シート【基本情報】'!$DW$307:$DW$526,MATCH(ROW(A19),'1_入力シート【基本情報】'!$HX$307:$HX$526,0)),"")</f>
        <v/>
      </c>
      <c r="C185" s="2988"/>
      <c r="D185" s="2989"/>
      <c r="E185" s="2983" t="str">
        <f>IFERROR(INDEX('1_入力シート【基本情報】'!$DR$307:$DR$526,MATCH(ROW(A19),'1_入力シート【基本情報】'!$HX$307:$HX$526,0)),"")</f>
        <v/>
      </c>
      <c r="F185" s="2983"/>
      <c r="G185" s="2983"/>
      <c r="H185" s="2983"/>
      <c r="I185" s="2983"/>
      <c r="J185" s="2983"/>
      <c r="K185" s="2983"/>
      <c r="L185" s="2983"/>
      <c r="M185" s="2983"/>
      <c r="N185" s="2984"/>
      <c r="O185" s="2984" t="str">
        <f>IFERROR(INDEX('1_入力シート【基本情報】'!$FW$307:$FW$526,MATCH(ROW(A19),'1_入力シート【基本情報】'!$HX$307:$HX$526,0)),"")</f>
        <v/>
      </c>
      <c r="P185" s="2985"/>
      <c r="Q185" s="2985"/>
      <c r="R185" s="2985"/>
      <c r="S185" s="2985"/>
      <c r="T185" s="2985"/>
      <c r="U185" s="2985"/>
      <c r="V185" s="2985"/>
      <c r="W185" s="2985"/>
      <c r="X185" s="2985"/>
      <c r="Y185" s="2985"/>
      <c r="Z185" s="2985"/>
      <c r="AA185" s="2985"/>
      <c r="AB185" s="2985"/>
      <c r="AC185" s="2985"/>
      <c r="AD185" s="2985"/>
      <c r="AE185" s="2984" t="str">
        <f>IFERROR(INDEX('1_入力シート【基本情報】'!$BD$307:$BD$526,MATCH(ROW(A19),'1_入力シート【基本情報】'!$HX$307:$HX$526,0)),"")</f>
        <v/>
      </c>
      <c r="AF185" s="2985"/>
      <c r="AG185" s="2985"/>
      <c r="AH185" s="2985"/>
      <c r="AI185" s="2985"/>
      <c r="AJ185" s="2985"/>
      <c r="AK185" s="2985"/>
      <c r="AL185" s="2985"/>
      <c r="AM185" s="2985"/>
      <c r="AN185" s="2985"/>
      <c r="AO185" s="2986"/>
      <c r="AP185" s="1662" t="str">
        <f>IFERROR(INDEX('1_入力シート【基本情報】'!$EA$307:$EA$526,MATCH(ROW(A19),'1_入力シート【基本情報】'!$HX$307:$HX$526,0)),"")</f>
        <v/>
      </c>
      <c r="AQ185" s="1035"/>
    </row>
    <row r="186" spans="1:43" ht="65.150000000000006" customHeight="1">
      <c r="A186" s="1035"/>
      <c r="B186" s="2987" t="str">
        <f>IFERROR(INDEX('1_入力シート【基本情報】'!$DW$307:$DW$526,MATCH(ROW(A20),'1_入力シート【基本情報】'!$HX$307:$HX$526,0)),"")</f>
        <v/>
      </c>
      <c r="C186" s="2988"/>
      <c r="D186" s="2989"/>
      <c r="E186" s="2983" t="str">
        <f>IFERROR(INDEX('1_入力シート【基本情報】'!$DR$307:$DR$526,MATCH(ROW(A20),'1_入力シート【基本情報】'!$HX$307:$HX$526,0)),"")</f>
        <v/>
      </c>
      <c r="F186" s="2983"/>
      <c r="G186" s="2983"/>
      <c r="H186" s="2983"/>
      <c r="I186" s="2983"/>
      <c r="J186" s="2983"/>
      <c r="K186" s="2983"/>
      <c r="L186" s="2983"/>
      <c r="M186" s="2983"/>
      <c r="N186" s="2984"/>
      <c r="O186" s="2984" t="str">
        <f>IFERROR(INDEX('1_入力シート【基本情報】'!$FW$307:$FW$526,MATCH(ROW(A20),'1_入力シート【基本情報】'!$HX$307:$HX$526,0)),"")</f>
        <v/>
      </c>
      <c r="P186" s="2985"/>
      <c r="Q186" s="2985"/>
      <c r="R186" s="2985"/>
      <c r="S186" s="2985"/>
      <c r="T186" s="2985"/>
      <c r="U186" s="2985"/>
      <c r="V186" s="2985"/>
      <c r="W186" s="2985"/>
      <c r="X186" s="2985"/>
      <c r="Y186" s="2985"/>
      <c r="Z186" s="2985"/>
      <c r="AA186" s="2985"/>
      <c r="AB186" s="2985"/>
      <c r="AC186" s="2985"/>
      <c r="AD186" s="2985"/>
      <c r="AE186" s="2984" t="str">
        <f>IFERROR(INDEX('1_入力シート【基本情報】'!$BD$307:$BD$526,MATCH(ROW(A20),'1_入力シート【基本情報】'!$HX$307:$HX$526,0)),"")</f>
        <v/>
      </c>
      <c r="AF186" s="2985"/>
      <c r="AG186" s="2985"/>
      <c r="AH186" s="2985"/>
      <c r="AI186" s="2985"/>
      <c r="AJ186" s="2985"/>
      <c r="AK186" s="2985"/>
      <c r="AL186" s="2985"/>
      <c r="AM186" s="2985"/>
      <c r="AN186" s="2985"/>
      <c r="AO186" s="2986"/>
      <c r="AP186" s="1662" t="str">
        <f>IFERROR(INDEX('1_入力シート【基本情報】'!$EA$307:$EA$526,MATCH(ROW(A20),'1_入力シート【基本情報】'!$HX$307:$HX$526,0)),"")</f>
        <v/>
      </c>
      <c r="AQ186" s="1035"/>
    </row>
    <row r="187" spans="1:43" ht="65.150000000000006" customHeight="1">
      <c r="A187" s="1035"/>
      <c r="B187" s="2987" t="str">
        <f>IFERROR(INDEX('1_入力シート【基本情報】'!$DW$307:$DW$526,MATCH(ROW(A21),'1_入力シート【基本情報】'!$HX$307:$HX$526,0)),"")</f>
        <v/>
      </c>
      <c r="C187" s="2988"/>
      <c r="D187" s="2989"/>
      <c r="E187" s="2983" t="str">
        <f>IFERROR(INDEX('1_入力シート【基本情報】'!$DR$307:$DR$526,MATCH(ROW(A21),'1_入力シート【基本情報】'!$HX$307:$HX$526,0)),"")</f>
        <v/>
      </c>
      <c r="F187" s="2983"/>
      <c r="G187" s="2983"/>
      <c r="H187" s="2983"/>
      <c r="I187" s="2983"/>
      <c r="J187" s="2983"/>
      <c r="K187" s="2983"/>
      <c r="L187" s="2983"/>
      <c r="M187" s="2983"/>
      <c r="N187" s="2984"/>
      <c r="O187" s="2984" t="str">
        <f>IFERROR(INDEX('1_入力シート【基本情報】'!$FW$307:$FW$526,MATCH(ROW(A21),'1_入力シート【基本情報】'!$HX$307:$HX$526,0)),"")</f>
        <v/>
      </c>
      <c r="P187" s="2985"/>
      <c r="Q187" s="2985"/>
      <c r="R187" s="2985"/>
      <c r="S187" s="2985"/>
      <c r="T187" s="2985"/>
      <c r="U187" s="2985"/>
      <c r="V187" s="2985"/>
      <c r="W187" s="2985"/>
      <c r="X187" s="2985"/>
      <c r="Y187" s="2985"/>
      <c r="Z187" s="2985"/>
      <c r="AA187" s="2985"/>
      <c r="AB187" s="2985"/>
      <c r="AC187" s="2985"/>
      <c r="AD187" s="2985"/>
      <c r="AE187" s="2984" t="str">
        <f>IFERROR(INDEX('1_入力シート【基本情報】'!$BD$307:$BD$526,MATCH(ROW(A21),'1_入力シート【基本情報】'!$HX$307:$HX$526,0)),"")</f>
        <v/>
      </c>
      <c r="AF187" s="2985"/>
      <c r="AG187" s="2985"/>
      <c r="AH187" s="2985"/>
      <c r="AI187" s="2985"/>
      <c r="AJ187" s="2985"/>
      <c r="AK187" s="2985"/>
      <c r="AL187" s="2985"/>
      <c r="AM187" s="2985"/>
      <c r="AN187" s="2985"/>
      <c r="AO187" s="2986"/>
      <c r="AP187" s="1662" t="str">
        <f>IFERROR(INDEX('1_入力シート【基本情報】'!$EA$307:$EA$526,MATCH(ROW(A21),'1_入力シート【基本情報】'!$HX$307:$HX$526,0)),"")</f>
        <v/>
      </c>
      <c r="AQ187" s="1035"/>
    </row>
    <row r="188" spans="1:43" ht="65.150000000000006" customHeight="1">
      <c r="A188" s="1035"/>
      <c r="B188" s="2987" t="str">
        <f>IFERROR(INDEX('1_入力シート【基本情報】'!$DW$307:$DW$526,MATCH(ROW(A22),'1_入力シート【基本情報】'!$HX$307:$HX$526,0)),"")</f>
        <v/>
      </c>
      <c r="C188" s="2988"/>
      <c r="D188" s="2989"/>
      <c r="E188" s="2983" t="str">
        <f>IFERROR(INDEX('1_入力シート【基本情報】'!$DR$307:$DR$526,MATCH(ROW(A22),'1_入力シート【基本情報】'!$HX$307:$HX$526,0)),"")</f>
        <v/>
      </c>
      <c r="F188" s="2983"/>
      <c r="G188" s="2983"/>
      <c r="H188" s="2983"/>
      <c r="I188" s="2983"/>
      <c r="J188" s="2983"/>
      <c r="K188" s="2983"/>
      <c r="L188" s="2983"/>
      <c r="M188" s="2983"/>
      <c r="N188" s="2984"/>
      <c r="O188" s="2984" t="str">
        <f>IFERROR(INDEX('1_入力シート【基本情報】'!$FW$307:$FW$526,MATCH(ROW(A22),'1_入力シート【基本情報】'!$HX$307:$HX$526,0)),"")</f>
        <v/>
      </c>
      <c r="P188" s="2985"/>
      <c r="Q188" s="2985"/>
      <c r="R188" s="2985"/>
      <c r="S188" s="2985"/>
      <c r="T188" s="2985"/>
      <c r="U188" s="2985"/>
      <c r="V188" s="2985"/>
      <c r="W188" s="2985"/>
      <c r="X188" s="2985"/>
      <c r="Y188" s="2985"/>
      <c r="Z188" s="2985"/>
      <c r="AA188" s="2985"/>
      <c r="AB188" s="2985"/>
      <c r="AC188" s="2985"/>
      <c r="AD188" s="2985"/>
      <c r="AE188" s="2984" t="str">
        <f>IFERROR(INDEX('1_入力シート【基本情報】'!$BD$307:$BD$526,MATCH(ROW(A22),'1_入力シート【基本情報】'!$HX$307:$HX$526,0)),"")</f>
        <v/>
      </c>
      <c r="AF188" s="2985"/>
      <c r="AG188" s="2985"/>
      <c r="AH188" s="2985"/>
      <c r="AI188" s="2985"/>
      <c r="AJ188" s="2985"/>
      <c r="AK188" s="2985"/>
      <c r="AL188" s="2985"/>
      <c r="AM188" s="2985"/>
      <c r="AN188" s="2985"/>
      <c r="AO188" s="2986"/>
      <c r="AP188" s="1662" t="str">
        <f>IFERROR(INDEX('1_入力シート【基本情報】'!$EA$307:$EA$526,MATCH(ROW(A22),'1_入力シート【基本情報】'!$HX$307:$HX$526,0)),"")</f>
        <v/>
      </c>
      <c r="AQ188" s="1035"/>
    </row>
    <row r="189" spans="1:43" ht="65.150000000000006" customHeight="1">
      <c r="A189" s="1035"/>
      <c r="B189" s="2987" t="str">
        <f>IFERROR(INDEX('1_入力シート【基本情報】'!$DW$307:$DW$526,MATCH(ROW(A23),'1_入力シート【基本情報】'!$HX$307:$HX$526,0)),"")</f>
        <v/>
      </c>
      <c r="C189" s="2988"/>
      <c r="D189" s="2989"/>
      <c r="E189" s="2983" t="str">
        <f>IFERROR(INDEX('1_入力シート【基本情報】'!$DR$307:$DR$526,MATCH(ROW(A23),'1_入力シート【基本情報】'!$HX$307:$HX$526,0)),"")</f>
        <v/>
      </c>
      <c r="F189" s="2983"/>
      <c r="G189" s="2983"/>
      <c r="H189" s="2983"/>
      <c r="I189" s="2983"/>
      <c r="J189" s="2983"/>
      <c r="K189" s="2983"/>
      <c r="L189" s="2983"/>
      <c r="M189" s="2983"/>
      <c r="N189" s="2984"/>
      <c r="O189" s="2984" t="str">
        <f>IFERROR(INDEX('1_入力シート【基本情報】'!$FW$307:$FW$526,MATCH(ROW(A23),'1_入力シート【基本情報】'!$HX$307:$HX$526,0)),"")</f>
        <v/>
      </c>
      <c r="P189" s="2985"/>
      <c r="Q189" s="2985"/>
      <c r="R189" s="2985"/>
      <c r="S189" s="2985"/>
      <c r="T189" s="2985"/>
      <c r="U189" s="2985"/>
      <c r="V189" s="2985"/>
      <c r="W189" s="2985"/>
      <c r="X189" s="2985"/>
      <c r="Y189" s="2985"/>
      <c r="Z189" s="2985"/>
      <c r="AA189" s="2985"/>
      <c r="AB189" s="2985"/>
      <c r="AC189" s="2985"/>
      <c r="AD189" s="2985"/>
      <c r="AE189" s="2984" t="str">
        <f>IFERROR(INDEX('1_入力シート【基本情報】'!$BD$307:$BD$526,MATCH(ROW(A23),'1_入力シート【基本情報】'!$HX$307:$HX$526,0)),"")</f>
        <v/>
      </c>
      <c r="AF189" s="2985"/>
      <c r="AG189" s="2985"/>
      <c r="AH189" s="2985"/>
      <c r="AI189" s="2985"/>
      <c r="AJ189" s="2985"/>
      <c r="AK189" s="2985"/>
      <c r="AL189" s="2985"/>
      <c r="AM189" s="2985"/>
      <c r="AN189" s="2985"/>
      <c r="AO189" s="2986"/>
      <c r="AP189" s="1662" t="str">
        <f>IFERROR(INDEX('1_入力シート【基本情報】'!$EA$307:$EA$526,MATCH(ROW(A23),'1_入力シート【基本情報】'!$HX$307:$HX$526,0)),"")</f>
        <v/>
      </c>
      <c r="AQ189" s="1035"/>
    </row>
    <row r="190" spans="1:43" ht="65.150000000000006" customHeight="1">
      <c r="A190" s="1035"/>
      <c r="B190" s="2987" t="str">
        <f>IFERROR(INDEX('1_入力シート【基本情報】'!$DW$307:$DW$526,MATCH(ROW(A24),'1_入力シート【基本情報】'!$HX$307:$HX$526,0)),"")</f>
        <v/>
      </c>
      <c r="C190" s="2988"/>
      <c r="D190" s="2989"/>
      <c r="E190" s="2983" t="str">
        <f>IFERROR(INDEX('1_入力シート【基本情報】'!$DR$307:$DR$526,MATCH(ROW(A24),'1_入力シート【基本情報】'!$HX$307:$HX$526,0)),"")</f>
        <v/>
      </c>
      <c r="F190" s="2983"/>
      <c r="G190" s="2983"/>
      <c r="H190" s="2983"/>
      <c r="I190" s="2983"/>
      <c r="J190" s="2983"/>
      <c r="K190" s="2983"/>
      <c r="L190" s="2983"/>
      <c r="M190" s="2983"/>
      <c r="N190" s="2984"/>
      <c r="O190" s="2984" t="str">
        <f>IFERROR(INDEX('1_入力シート【基本情報】'!$FW$307:$FW$526,MATCH(ROW(A24),'1_入力シート【基本情報】'!$HX$307:$HX$526,0)),"")</f>
        <v/>
      </c>
      <c r="P190" s="2985"/>
      <c r="Q190" s="2985"/>
      <c r="R190" s="2985"/>
      <c r="S190" s="2985"/>
      <c r="T190" s="2985"/>
      <c r="U190" s="2985"/>
      <c r="V190" s="2985"/>
      <c r="W190" s="2985"/>
      <c r="X190" s="2985"/>
      <c r="Y190" s="2985"/>
      <c r="Z190" s="2985"/>
      <c r="AA190" s="2985"/>
      <c r="AB190" s="2985"/>
      <c r="AC190" s="2985"/>
      <c r="AD190" s="2985"/>
      <c r="AE190" s="2984" t="str">
        <f>IFERROR(INDEX('1_入力シート【基本情報】'!$BD$307:$BD$526,MATCH(ROW(A24),'1_入力シート【基本情報】'!$HX$307:$HX$526,0)),"")</f>
        <v/>
      </c>
      <c r="AF190" s="2985"/>
      <c r="AG190" s="2985"/>
      <c r="AH190" s="2985"/>
      <c r="AI190" s="2985"/>
      <c r="AJ190" s="2985"/>
      <c r="AK190" s="2985"/>
      <c r="AL190" s="2985"/>
      <c r="AM190" s="2985"/>
      <c r="AN190" s="2985"/>
      <c r="AO190" s="2986"/>
      <c r="AP190" s="1662" t="str">
        <f>IFERROR(INDEX('1_入力シート【基本情報】'!$EA$307:$EA$526,MATCH(ROW(A24),'1_入力シート【基本情報】'!$HX$307:$HX$526,0)),"")</f>
        <v/>
      </c>
      <c r="AQ190" s="1035"/>
    </row>
    <row r="191" spans="1:43" ht="65.150000000000006" customHeight="1">
      <c r="A191" s="1035"/>
      <c r="B191" s="2987" t="str">
        <f>IFERROR(INDEX('1_入力シート【基本情報】'!$DW$307:$DW$526,MATCH(ROW(A25),'1_入力シート【基本情報】'!$HX$307:$HX$526,0)),"")</f>
        <v/>
      </c>
      <c r="C191" s="2988"/>
      <c r="D191" s="2989"/>
      <c r="E191" s="2983" t="str">
        <f>IFERROR(INDEX('1_入力シート【基本情報】'!$DR$307:$DR$526,MATCH(ROW(A25),'1_入力シート【基本情報】'!$HX$307:$HX$526,0)),"")</f>
        <v/>
      </c>
      <c r="F191" s="2983"/>
      <c r="G191" s="2983"/>
      <c r="H191" s="2983"/>
      <c r="I191" s="2983"/>
      <c r="J191" s="2983"/>
      <c r="K191" s="2983"/>
      <c r="L191" s="2983"/>
      <c r="M191" s="2983"/>
      <c r="N191" s="2984"/>
      <c r="O191" s="2984" t="str">
        <f>IFERROR(INDEX('1_入力シート【基本情報】'!$FW$307:$FW$526,MATCH(ROW(A25),'1_入力シート【基本情報】'!$HX$307:$HX$526,0)),"")</f>
        <v/>
      </c>
      <c r="P191" s="2985"/>
      <c r="Q191" s="2985"/>
      <c r="R191" s="2985"/>
      <c r="S191" s="2985"/>
      <c r="T191" s="2985"/>
      <c r="U191" s="2985"/>
      <c r="V191" s="2985"/>
      <c r="W191" s="2985"/>
      <c r="X191" s="2985"/>
      <c r="Y191" s="2985"/>
      <c r="Z191" s="2985"/>
      <c r="AA191" s="2985"/>
      <c r="AB191" s="2985"/>
      <c r="AC191" s="2985"/>
      <c r="AD191" s="2985"/>
      <c r="AE191" s="2984" t="str">
        <f>IFERROR(INDEX('1_入力シート【基本情報】'!$BD$307:$BD$526,MATCH(ROW(A25),'1_入力シート【基本情報】'!$HX$307:$HX$526,0)),"")</f>
        <v/>
      </c>
      <c r="AF191" s="2985"/>
      <c r="AG191" s="2985"/>
      <c r="AH191" s="2985"/>
      <c r="AI191" s="2985"/>
      <c r="AJ191" s="2985"/>
      <c r="AK191" s="2985"/>
      <c r="AL191" s="2985"/>
      <c r="AM191" s="2985"/>
      <c r="AN191" s="2985"/>
      <c r="AO191" s="2986"/>
      <c r="AP191" s="1662" t="str">
        <f>IFERROR(INDEX('1_入力シート【基本情報】'!$EA$307:$EA$526,MATCH(ROW(A25),'1_入力シート【基本情報】'!$HX$307:$HX$526,0)),"")</f>
        <v/>
      </c>
      <c r="AQ191" s="1035"/>
    </row>
    <row r="192" spans="1:43" ht="65.150000000000006" customHeight="1">
      <c r="A192" s="1035"/>
      <c r="B192" s="2987" t="str">
        <f>IFERROR(INDEX('1_入力シート【基本情報】'!$DW$307:$DW$526,MATCH(ROW(A26),'1_入力シート【基本情報】'!$HX$307:$HX$526,0)),"")</f>
        <v/>
      </c>
      <c r="C192" s="2988"/>
      <c r="D192" s="2989"/>
      <c r="E192" s="2983" t="str">
        <f>IFERROR(INDEX('1_入力シート【基本情報】'!$DR$307:$DR$526,MATCH(ROW(A26),'1_入力シート【基本情報】'!$HX$307:$HX$526,0)),"")</f>
        <v/>
      </c>
      <c r="F192" s="2983"/>
      <c r="G192" s="2983"/>
      <c r="H192" s="2983"/>
      <c r="I192" s="2983"/>
      <c r="J192" s="2983"/>
      <c r="K192" s="2983"/>
      <c r="L192" s="2983"/>
      <c r="M192" s="2983"/>
      <c r="N192" s="2984"/>
      <c r="O192" s="2984" t="str">
        <f>IFERROR(INDEX('1_入力シート【基本情報】'!$FW$307:$FW$526,MATCH(ROW(A26),'1_入力シート【基本情報】'!$HX$307:$HX$526,0)),"")</f>
        <v/>
      </c>
      <c r="P192" s="2985"/>
      <c r="Q192" s="2985"/>
      <c r="R192" s="2985"/>
      <c r="S192" s="2985"/>
      <c r="T192" s="2985"/>
      <c r="U192" s="2985"/>
      <c r="V192" s="2985"/>
      <c r="W192" s="2985"/>
      <c r="X192" s="2985"/>
      <c r="Y192" s="2985"/>
      <c r="Z192" s="2985"/>
      <c r="AA192" s="2985"/>
      <c r="AB192" s="2985"/>
      <c r="AC192" s="2985"/>
      <c r="AD192" s="2985"/>
      <c r="AE192" s="2984" t="str">
        <f>IFERROR(INDEX('1_入力シート【基本情報】'!$BD$307:$BD$526,MATCH(ROW(A26),'1_入力シート【基本情報】'!$HX$307:$HX$526,0)),"")</f>
        <v/>
      </c>
      <c r="AF192" s="2985"/>
      <c r="AG192" s="2985"/>
      <c r="AH192" s="2985"/>
      <c r="AI192" s="2985"/>
      <c r="AJ192" s="2985"/>
      <c r="AK192" s="2985"/>
      <c r="AL192" s="2985"/>
      <c r="AM192" s="2985"/>
      <c r="AN192" s="2985"/>
      <c r="AO192" s="2986"/>
      <c r="AP192" s="1662" t="str">
        <f>IFERROR(INDEX('1_入力シート【基本情報】'!$EA$307:$EA$526,MATCH(ROW(A26),'1_入力シート【基本情報】'!$HX$307:$HX$526,0)),"")</f>
        <v/>
      </c>
      <c r="AQ192" s="1035"/>
    </row>
    <row r="193" spans="1:43" ht="65.150000000000006" customHeight="1">
      <c r="A193" s="1035"/>
      <c r="B193" s="2987" t="str">
        <f>IFERROR(INDEX('1_入力シート【基本情報】'!$DW$307:$DW$526,MATCH(ROW(A27),'1_入力シート【基本情報】'!$HX$307:$HX$526,0)),"")</f>
        <v/>
      </c>
      <c r="C193" s="2988"/>
      <c r="D193" s="2989"/>
      <c r="E193" s="2983" t="str">
        <f>IFERROR(INDEX('1_入力シート【基本情報】'!$DR$307:$DR$526,MATCH(ROW(A27),'1_入力シート【基本情報】'!$HX$307:$HX$526,0)),"")</f>
        <v/>
      </c>
      <c r="F193" s="2983"/>
      <c r="G193" s="2983"/>
      <c r="H193" s="2983"/>
      <c r="I193" s="2983"/>
      <c r="J193" s="2983"/>
      <c r="K193" s="2983"/>
      <c r="L193" s="2983"/>
      <c r="M193" s="2983"/>
      <c r="N193" s="2984"/>
      <c r="O193" s="2984" t="str">
        <f>IFERROR(INDEX('1_入力シート【基本情報】'!$FW$307:$FW$526,MATCH(ROW(A27),'1_入力シート【基本情報】'!$HX$307:$HX$526,0)),"")</f>
        <v/>
      </c>
      <c r="P193" s="2985"/>
      <c r="Q193" s="2985"/>
      <c r="R193" s="2985"/>
      <c r="S193" s="2985"/>
      <c r="T193" s="2985"/>
      <c r="U193" s="2985"/>
      <c r="V193" s="2985"/>
      <c r="W193" s="2985"/>
      <c r="X193" s="2985"/>
      <c r="Y193" s="2985"/>
      <c r="Z193" s="2985"/>
      <c r="AA193" s="2985"/>
      <c r="AB193" s="2985"/>
      <c r="AC193" s="2985"/>
      <c r="AD193" s="2985"/>
      <c r="AE193" s="2984" t="str">
        <f>IFERROR(INDEX('1_入力シート【基本情報】'!$BD$307:$BD$526,MATCH(ROW(A27),'1_入力シート【基本情報】'!$HX$307:$HX$526,0)),"")</f>
        <v/>
      </c>
      <c r="AF193" s="2985"/>
      <c r="AG193" s="2985"/>
      <c r="AH193" s="2985"/>
      <c r="AI193" s="2985"/>
      <c r="AJ193" s="2985"/>
      <c r="AK193" s="2985"/>
      <c r="AL193" s="2985"/>
      <c r="AM193" s="2985"/>
      <c r="AN193" s="2985"/>
      <c r="AO193" s="2986"/>
      <c r="AP193" s="1662" t="str">
        <f>IFERROR(INDEX('1_入力シート【基本情報】'!$EA$307:$EA$526,MATCH(ROW(A27),'1_入力シート【基本情報】'!$HX$307:$HX$526,0)),"")</f>
        <v/>
      </c>
      <c r="AQ193" s="1035"/>
    </row>
    <row r="194" spans="1:43" ht="65.150000000000006" customHeight="1">
      <c r="A194" s="1035"/>
      <c r="B194" s="2987" t="str">
        <f>IFERROR(INDEX('1_入力シート【基本情報】'!$DW$307:$DW$526,MATCH(ROW(A28),'1_入力シート【基本情報】'!$HX$307:$HX$526,0)),"")</f>
        <v/>
      </c>
      <c r="C194" s="2988"/>
      <c r="D194" s="2989"/>
      <c r="E194" s="2983" t="str">
        <f>IFERROR(INDEX('1_入力シート【基本情報】'!$DR$307:$DR$526,MATCH(ROW(A28),'1_入力シート【基本情報】'!$HX$307:$HX$526,0)),"")</f>
        <v/>
      </c>
      <c r="F194" s="2983"/>
      <c r="G194" s="2983"/>
      <c r="H194" s="2983"/>
      <c r="I194" s="2983"/>
      <c r="J194" s="2983"/>
      <c r="K194" s="2983"/>
      <c r="L194" s="2983"/>
      <c r="M194" s="2983"/>
      <c r="N194" s="2984"/>
      <c r="O194" s="2984" t="str">
        <f>IFERROR(INDEX('1_入力シート【基本情報】'!$FW$307:$FW$526,MATCH(ROW(A28),'1_入力シート【基本情報】'!$HX$307:$HX$526,0)),"")</f>
        <v/>
      </c>
      <c r="P194" s="2985"/>
      <c r="Q194" s="2985"/>
      <c r="R194" s="2985"/>
      <c r="S194" s="2985"/>
      <c r="T194" s="2985"/>
      <c r="U194" s="2985"/>
      <c r="V194" s="2985"/>
      <c r="W194" s="2985"/>
      <c r="X194" s="2985"/>
      <c r="Y194" s="2985"/>
      <c r="Z194" s="2985"/>
      <c r="AA194" s="2985"/>
      <c r="AB194" s="2985"/>
      <c r="AC194" s="2985"/>
      <c r="AD194" s="2985"/>
      <c r="AE194" s="2984" t="str">
        <f>IFERROR(INDEX('1_入力シート【基本情報】'!$BD$307:$BD$526,MATCH(ROW(A28),'1_入力シート【基本情報】'!$HX$307:$HX$526,0)),"")</f>
        <v/>
      </c>
      <c r="AF194" s="2985"/>
      <c r="AG194" s="2985"/>
      <c r="AH194" s="2985"/>
      <c r="AI194" s="2985"/>
      <c r="AJ194" s="2985"/>
      <c r="AK194" s="2985"/>
      <c r="AL194" s="2985"/>
      <c r="AM194" s="2985"/>
      <c r="AN194" s="2985"/>
      <c r="AO194" s="2986"/>
      <c r="AP194" s="1662" t="str">
        <f>IFERROR(INDEX('1_入力シート【基本情報】'!$EA$307:$EA$526,MATCH(ROW(A28),'1_入力シート【基本情報】'!$HX$307:$HX$526,0)),"")</f>
        <v/>
      </c>
      <c r="AQ194" s="1035"/>
    </row>
    <row r="195" spans="1:43" ht="65.150000000000006" customHeight="1">
      <c r="A195" s="1035"/>
      <c r="B195" s="2987" t="str">
        <f>IFERROR(INDEX('1_入力シート【基本情報】'!$DW$307:$DW$526,MATCH(ROW(A29),'1_入力シート【基本情報】'!$HX$307:$HX$526,0)),"")</f>
        <v/>
      </c>
      <c r="C195" s="2988"/>
      <c r="D195" s="2989"/>
      <c r="E195" s="2983" t="str">
        <f>IFERROR(INDEX('1_入力シート【基本情報】'!$DR$307:$DR$526,MATCH(ROW(A29),'1_入力シート【基本情報】'!$HX$307:$HX$526,0)),"")</f>
        <v/>
      </c>
      <c r="F195" s="2983"/>
      <c r="G195" s="2983"/>
      <c r="H195" s="2983"/>
      <c r="I195" s="2983"/>
      <c r="J195" s="2983"/>
      <c r="K195" s="2983"/>
      <c r="L195" s="2983"/>
      <c r="M195" s="2983"/>
      <c r="N195" s="2984"/>
      <c r="O195" s="2984" t="str">
        <f>IFERROR(INDEX('1_入力シート【基本情報】'!$FW$307:$FW$526,MATCH(ROW(A29),'1_入力シート【基本情報】'!$HX$307:$HX$526,0)),"")</f>
        <v/>
      </c>
      <c r="P195" s="2985"/>
      <c r="Q195" s="2985"/>
      <c r="R195" s="2985"/>
      <c r="S195" s="2985"/>
      <c r="T195" s="2985"/>
      <c r="U195" s="2985"/>
      <c r="V195" s="2985"/>
      <c r="W195" s="2985"/>
      <c r="X195" s="2985"/>
      <c r="Y195" s="2985"/>
      <c r="Z195" s="2985"/>
      <c r="AA195" s="2985"/>
      <c r="AB195" s="2985"/>
      <c r="AC195" s="2985"/>
      <c r="AD195" s="2985"/>
      <c r="AE195" s="2984" t="str">
        <f>IFERROR(INDEX('1_入力シート【基本情報】'!$BD$307:$BD$526,MATCH(ROW(A29),'1_入力シート【基本情報】'!$HX$307:$HX$526,0)),"")</f>
        <v/>
      </c>
      <c r="AF195" s="2985"/>
      <c r="AG195" s="2985"/>
      <c r="AH195" s="2985"/>
      <c r="AI195" s="2985"/>
      <c r="AJ195" s="2985"/>
      <c r="AK195" s="2985"/>
      <c r="AL195" s="2985"/>
      <c r="AM195" s="2985"/>
      <c r="AN195" s="2985"/>
      <c r="AO195" s="2986"/>
      <c r="AP195" s="1662" t="str">
        <f>IFERROR(INDEX('1_入力シート【基本情報】'!$EA$307:$EA$526,MATCH(ROW(A29),'1_入力シート【基本情報】'!$HX$307:$HX$526,0)),"")</f>
        <v/>
      </c>
      <c r="AQ195" s="1035"/>
    </row>
    <row r="196" spans="1:43" ht="65.150000000000006" customHeight="1">
      <c r="A196" s="1035"/>
      <c r="B196" s="2987" t="str">
        <f>IFERROR(INDEX('1_入力シート【基本情報】'!$DW$307:$DW$526,MATCH(ROW(A30),'1_入力シート【基本情報】'!$HX$307:$HX$526,0)),"")</f>
        <v/>
      </c>
      <c r="C196" s="2988"/>
      <c r="D196" s="2989"/>
      <c r="E196" s="2983" t="str">
        <f>IFERROR(INDEX('1_入力シート【基本情報】'!$DR$307:$DR$526,MATCH(ROW(A30),'1_入力シート【基本情報】'!$HX$307:$HX$526,0)),"")</f>
        <v/>
      </c>
      <c r="F196" s="2983"/>
      <c r="G196" s="2983"/>
      <c r="H196" s="2983"/>
      <c r="I196" s="2983"/>
      <c r="J196" s="2983"/>
      <c r="K196" s="2983"/>
      <c r="L196" s="2983"/>
      <c r="M196" s="2983"/>
      <c r="N196" s="2984"/>
      <c r="O196" s="2984" t="str">
        <f>IFERROR(INDEX('1_入力シート【基本情報】'!$FW$307:$FW$526,MATCH(ROW(A30),'1_入力シート【基本情報】'!$HX$307:$HX$526,0)),"")</f>
        <v/>
      </c>
      <c r="P196" s="2985"/>
      <c r="Q196" s="2985"/>
      <c r="R196" s="2985"/>
      <c r="S196" s="2985"/>
      <c r="T196" s="2985"/>
      <c r="U196" s="2985"/>
      <c r="V196" s="2985"/>
      <c r="W196" s="2985"/>
      <c r="X196" s="2985"/>
      <c r="Y196" s="2985"/>
      <c r="Z196" s="2985"/>
      <c r="AA196" s="2985"/>
      <c r="AB196" s="2985"/>
      <c r="AC196" s="2985"/>
      <c r="AD196" s="2985"/>
      <c r="AE196" s="2984" t="str">
        <f>IFERROR(INDEX('1_入力シート【基本情報】'!$BD$307:$BD$526,MATCH(ROW(A30),'1_入力シート【基本情報】'!$HX$307:$HX$526,0)),"")</f>
        <v/>
      </c>
      <c r="AF196" s="2985"/>
      <c r="AG196" s="2985"/>
      <c r="AH196" s="2985"/>
      <c r="AI196" s="2985"/>
      <c r="AJ196" s="2985"/>
      <c r="AK196" s="2985"/>
      <c r="AL196" s="2985"/>
      <c r="AM196" s="2985"/>
      <c r="AN196" s="2985"/>
      <c r="AO196" s="2986"/>
      <c r="AP196" s="1662" t="str">
        <f>IFERROR(INDEX('1_入力シート【基本情報】'!$EA$307:$EA$526,MATCH(ROW(A30),'1_入力シート【基本情報】'!$HX$307:$HX$526,0)),"")</f>
        <v/>
      </c>
      <c r="AQ196" s="1035"/>
    </row>
    <row r="197" spans="1:43" ht="65.150000000000006" customHeight="1">
      <c r="A197" s="1035"/>
      <c r="B197" s="2987" t="str">
        <f>IFERROR(INDEX('1_入力シート【基本情報】'!$DW$307:$DW$526,MATCH(ROW(A31),'1_入力シート【基本情報】'!$HX$307:$HX$526,0)),"")</f>
        <v/>
      </c>
      <c r="C197" s="2988"/>
      <c r="D197" s="2989"/>
      <c r="E197" s="2983" t="str">
        <f>IFERROR(INDEX('1_入力シート【基本情報】'!$DR$307:$DR$526,MATCH(ROW(A31),'1_入力シート【基本情報】'!$HX$307:$HX$526,0)),"")</f>
        <v/>
      </c>
      <c r="F197" s="2983"/>
      <c r="G197" s="2983"/>
      <c r="H197" s="2983"/>
      <c r="I197" s="2983"/>
      <c r="J197" s="2983"/>
      <c r="K197" s="2983"/>
      <c r="L197" s="2983"/>
      <c r="M197" s="2983"/>
      <c r="N197" s="2984"/>
      <c r="O197" s="2984" t="str">
        <f>IFERROR(INDEX('1_入力シート【基本情報】'!$FW$307:$FW$526,MATCH(ROW(A31),'1_入力シート【基本情報】'!$HX$307:$HX$526,0)),"")</f>
        <v/>
      </c>
      <c r="P197" s="2985"/>
      <c r="Q197" s="2985"/>
      <c r="R197" s="2985"/>
      <c r="S197" s="2985"/>
      <c r="T197" s="2985"/>
      <c r="U197" s="2985"/>
      <c r="V197" s="2985"/>
      <c r="W197" s="2985"/>
      <c r="X197" s="2985"/>
      <c r="Y197" s="2985"/>
      <c r="Z197" s="2985"/>
      <c r="AA197" s="2985"/>
      <c r="AB197" s="2985"/>
      <c r="AC197" s="2985"/>
      <c r="AD197" s="2985"/>
      <c r="AE197" s="2984" t="str">
        <f>IFERROR(INDEX('1_入力シート【基本情報】'!$BD$307:$BD$526,MATCH(ROW(A31),'1_入力シート【基本情報】'!$HX$307:$HX$526,0)),"")</f>
        <v/>
      </c>
      <c r="AF197" s="2985"/>
      <c r="AG197" s="2985"/>
      <c r="AH197" s="2985"/>
      <c r="AI197" s="2985"/>
      <c r="AJ197" s="2985"/>
      <c r="AK197" s="2985"/>
      <c r="AL197" s="2985"/>
      <c r="AM197" s="2985"/>
      <c r="AN197" s="2985"/>
      <c r="AO197" s="2986"/>
      <c r="AP197" s="1662" t="str">
        <f>IFERROR(INDEX('1_入力シート【基本情報】'!$EA$307:$EA$526,MATCH(ROW(A31),'1_入力シート【基本情報】'!$HX$307:$HX$526,0)),"")</f>
        <v/>
      </c>
      <c r="AQ197" s="1035"/>
    </row>
    <row r="198" spans="1:43" ht="65.150000000000006" customHeight="1">
      <c r="A198" s="1035"/>
      <c r="B198" s="2987" t="str">
        <f>IFERROR(INDEX('1_入力シート【基本情報】'!$DW$307:$DW$526,MATCH(ROW(A32),'1_入力シート【基本情報】'!$HX$307:$HX$526,0)),"")</f>
        <v/>
      </c>
      <c r="C198" s="2988"/>
      <c r="D198" s="2989"/>
      <c r="E198" s="2983" t="str">
        <f>IFERROR(INDEX('1_入力シート【基本情報】'!$DR$307:$DR$526,MATCH(ROW(A32),'1_入力シート【基本情報】'!$HX$307:$HX$526,0)),"")</f>
        <v/>
      </c>
      <c r="F198" s="2983"/>
      <c r="G198" s="2983"/>
      <c r="H198" s="2983"/>
      <c r="I198" s="2983"/>
      <c r="J198" s="2983"/>
      <c r="K198" s="2983"/>
      <c r="L198" s="2983"/>
      <c r="M198" s="2983"/>
      <c r="N198" s="2984"/>
      <c r="O198" s="2984" t="str">
        <f>IFERROR(INDEX('1_入力シート【基本情報】'!$FW$307:$FW$526,MATCH(ROW(A32),'1_入力シート【基本情報】'!$HX$307:$HX$526,0)),"")</f>
        <v/>
      </c>
      <c r="P198" s="2985"/>
      <c r="Q198" s="2985"/>
      <c r="R198" s="2985"/>
      <c r="S198" s="2985"/>
      <c r="T198" s="2985"/>
      <c r="U198" s="2985"/>
      <c r="V198" s="2985"/>
      <c r="W198" s="2985"/>
      <c r="X198" s="2985"/>
      <c r="Y198" s="2985"/>
      <c r="Z198" s="2985"/>
      <c r="AA198" s="2985"/>
      <c r="AB198" s="2985"/>
      <c r="AC198" s="2985"/>
      <c r="AD198" s="2985"/>
      <c r="AE198" s="2984" t="str">
        <f>IFERROR(INDEX('1_入力シート【基本情報】'!$BD$307:$BD$526,MATCH(ROW(A32),'1_入力シート【基本情報】'!$HX$307:$HX$526,0)),"")</f>
        <v/>
      </c>
      <c r="AF198" s="2985"/>
      <c r="AG198" s="2985"/>
      <c r="AH198" s="2985"/>
      <c r="AI198" s="2985"/>
      <c r="AJ198" s="2985"/>
      <c r="AK198" s="2985"/>
      <c r="AL198" s="2985"/>
      <c r="AM198" s="2985"/>
      <c r="AN198" s="2985"/>
      <c r="AO198" s="2986"/>
      <c r="AP198" s="1662" t="str">
        <f>IFERROR(INDEX('1_入力シート【基本情報】'!$EA$307:$EA$526,MATCH(ROW(A32),'1_入力シート【基本情報】'!$HX$307:$HX$526,0)),"")</f>
        <v/>
      </c>
      <c r="AQ198" s="1035"/>
    </row>
    <row r="199" spans="1:43" ht="65.150000000000006" customHeight="1">
      <c r="A199" s="1035"/>
      <c r="B199" s="2987" t="str">
        <f>IFERROR(INDEX('1_入力シート【基本情報】'!$DW$307:$DW$526,MATCH(ROW(A33),'1_入力シート【基本情報】'!$HX$307:$HX$526,0)),"")</f>
        <v/>
      </c>
      <c r="C199" s="2988"/>
      <c r="D199" s="2989"/>
      <c r="E199" s="2983" t="str">
        <f>IFERROR(INDEX('1_入力シート【基本情報】'!$DR$307:$DR$526,MATCH(ROW(A33),'1_入力シート【基本情報】'!$HX$307:$HX$526,0)),"")</f>
        <v/>
      </c>
      <c r="F199" s="2983"/>
      <c r="G199" s="2983"/>
      <c r="H199" s="2983"/>
      <c r="I199" s="2983"/>
      <c r="J199" s="2983"/>
      <c r="K199" s="2983"/>
      <c r="L199" s="2983"/>
      <c r="M199" s="2983"/>
      <c r="N199" s="2984"/>
      <c r="O199" s="2984" t="str">
        <f>IFERROR(INDEX('1_入力シート【基本情報】'!$FW$307:$FW$526,MATCH(ROW(A33),'1_入力シート【基本情報】'!$HX$307:$HX$526,0)),"")</f>
        <v/>
      </c>
      <c r="P199" s="2985"/>
      <c r="Q199" s="2985"/>
      <c r="R199" s="2985"/>
      <c r="S199" s="2985"/>
      <c r="T199" s="2985"/>
      <c r="U199" s="2985"/>
      <c r="V199" s="2985"/>
      <c r="W199" s="2985"/>
      <c r="X199" s="2985"/>
      <c r="Y199" s="2985"/>
      <c r="Z199" s="2985"/>
      <c r="AA199" s="2985"/>
      <c r="AB199" s="2985"/>
      <c r="AC199" s="2985"/>
      <c r="AD199" s="2985"/>
      <c r="AE199" s="2984" t="str">
        <f>IFERROR(INDEX('1_入力シート【基本情報】'!$BD$307:$BD$526,MATCH(ROW(A33),'1_入力シート【基本情報】'!$HX$307:$HX$526,0)),"")</f>
        <v/>
      </c>
      <c r="AF199" s="2985"/>
      <c r="AG199" s="2985"/>
      <c r="AH199" s="2985"/>
      <c r="AI199" s="2985"/>
      <c r="AJ199" s="2985"/>
      <c r="AK199" s="2985"/>
      <c r="AL199" s="2985"/>
      <c r="AM199" s="2985"/>
      <c r="AN199" s="2985"/>
      <c r="AO199" s="2986"/>
      <c r="AP199" s="1662" t="str">
        <f>IFERROR(INDEX('1_入力シート【基本情報】'!$EA$307:$EA$526,MATCH(ROW(A33),'1_入力シート【基本情報】'!$HX$307:$HX$526,0)),"")</f>
        <v/>
      </c>
      <c r="AQ199" s="1035"/>
    </row>
    <row r="200" spans="1:43" ht="65.150000000000006" customHeight="1">
      <c r="A200" s="1035"/>
      <c r="B200" s="2987" t="str">
        <f>IFERROR(INDEX('1_入力シート【基本情報】'!$DW$307:$DW$526,MATCH(ROW(A34),'1_入力シート【基本情報】'!$HX$307:$HX$526,0)),"")</f>
        <v/>
      </c>
      <c r="C200" s="2988"/>
      <c r="D200" s="2989"/>
      <c r="E200" s="2983" t="str">
        <f>IFERROR(INDEX('1_入力シート【基本情報】'!$DR$307:$DR$526,MATCH(ROW(A34),'1_入力シート【基本情報】'!$HX$307:$HX$526,0)),"")</f>
        <v/>
      </c>
      <c r="F200" s="2983"/>
      <c r="G200" s="2983"/>
      <c r="H200" s="2983"/>
      <c r="I200" s="2983"/>
      <c r="J200" s="2983"/>
      <c r="K200" s="2983"/>
      <c r="L200" s="2983"/>
      <c r="M200" s="2983"/>
      <c r="N200" s="2984"/>
      <c r="O200" s="2984" t="str">
        <f>IFERROR(INDEX('1_入力シート【基本情報】'!$FW$307:$FW$526,MATCH(ROW(A34),'1_入力シート【基本情報】'!$HX$307:$HX$526,0)),"")</f>
        <v/>
      </c>
      <c r="P200" s="2985"/>
      <c r="Q200" s="2985"/>
      <c r="R200" s="2985"/>
      <c r="S200" s="2985"/>
      <c r="T200" s="2985"/>
      <c r="U200" s="2985"/>
      <c r="V200" s="2985"/>
      <c r="W200" s="2985"/>
      <c r="X200" s="2985"/>
      <c r="Y200" s="2985"/>
      <c r="Z200" s="2985"/>
      <c r="AA200" s="2985"/>
      <c r="AB200" s="2985"/>
      <c r="AC200" s="2985"/>
      <c r="AD200" s="2985"/>
      <c r="AE200" s="2984" t="str">
        <f>IFERROR(INDEX('1_入力シート【基本情報】'!$BD$307:$BD$526,MATCH(ROW(A34),'1_入力シート【基本情報】'!$HX$307:$HX$526,0)),"")</f>
        <v/>
      </c>
      <c r="AF200" s="2985"/>
      <c r="AG200" s="2985"/>
      <c r="AH200" s="2985"/>
      <c r="AI200" s="2985"/>
      <c r="AJ200" s="2985"/>
      <c r="AK200" s="2985"/>
      <c r="AL200" s="2985"/>
      <c r="AM200" s="2985"/>
      <c r="AN200" s="2985"/>
      <c r="AO200" s="2986"/>
      <c r="AP200" s="1662" t="str">
        <f>IFERROR(INDEX('1_入力シート【基本情報】'!$EA$307:$EA$526,MATCH(ROW(A34),'1_入力シート【基本情報】'!$HX$307:$HX$526,0)),"")</f>
        <v/>
      </c>
      <c r="AQ200" s="1035"/>
    </row>
    <row r="201" spans="1:43" ht="65.150000000000006" customHeight="1">
      <c r="A201" s="1035"/>
      <c r="B201" s="2987" t="str">
        <f>IFERROR(INDEX('1_入力シート【基本情報】'!$DW$307:$DW$526,MATCH(ROW(A35),'1_入力シート【基本情報】'!$HX$307:$HX$526,0)),"")</f>
        <v/>
      </c>
      <c r="C201" s="2988"/>
      <c r="D201" s="2989"/>
      <c r="E201" s="2983" t="str">
        <f>IFERROR(INDEX('1_入力シート【基本情報】'!$DR$307:$DR$526,MATCH(ROW(A35),'1_入力シート【基本情報】'!$HX$307:$HX$526,0)),"")</f>
        <v/>
      </c>
      <c r="F201" s="2983"/>
      <c r="G201" s="2983"/>
      <c r="H201" s="2983"/>
      <c r="I201" s="2983"/>
      <c r="J201" s="2983"/>
      <c r="K201" s="2983"/>
      <c r="L201" s="2983"/>
      <c r="M201" s="2983"/>
      <c r="N201" s="2984"/>
      <c r="O201" s="2984" t="str">
        <f>IFERROR(INDEX('1_入力シート【基本情報】'!$FW$307:$FW$526,MATCH(ROW(A35),'1_入力シート【基本情報】'!$HX$307:$HX$526,0)),"")</f>
        <v/>
      </c>
      <c r="P201" s="2985"/>
      <c r="Q201" s="2985"/>
      <c r="R201" s="2985"/>
      <c r="S201" s="2985"/>
      <c r="T201" s="2985"/>
      <c r="U201" s="2985"/>
      <c r="V201" s="2985"/>
      <c r="W201" s="2985"/>
      <c r="X201" s="2985"/>
      <c r="Y201" s="2985"/>
      <c r="Z201" s="2985"/>
      <c r="AA201" s="2985"/>
      <c r="AB201" s="2985"/>
      <c r="AC201" s="2985"/>
      <c r="AD201" s="2985"/>
      <c r="AE201" s="2984" t="str">
        <f>IFERROR(INDEX('1_入力シート【基本情報】'!$BD$307:$BD$526,MATCH(ROW(A35),'1_入力シート【基本情報】'!$HX$307:$HX$526,0)),"")</f>
        <v/>
      </c>
      <c r="AF201" s="2985"/>
      <c r="AG201" s="2985"/>
      <c r="AH201" s="2985"/>
      <c r="AI201" s="2985"/>
      <c r="AJ201" s="2985"/>
      <c r="AK201" s="2985"/>
      <c r="AL201" s="2985"/>
      <c r="AM201" s="2985"/>
      <c r="AN201" s="2985"/>
      <c r="AO201" s="2986"/>
      <c r="AP201" s="1662" t="str">
        <f>IFERROR(INDEX('1_入力シート【基本情報】'!$EA$307:$EA$526,MATCH(ROW(A35),'1_入力シート【基本情報】'!$HX$307:$HX$526,0)),"")</f>
        <v/>
      </c>
      <c r="AQ201" s="1035"/>
    </row>
    <row r="202" spans="1:43" ht="65.150000000000006" customHeight="1">
      <c r="A202" s="1035"/>
      <c r="B202" s="2987" t="str">
        <f>IFERROR(INDEX('1_入力シート【基本情報】'!$DW$307:$DW$526,MATCH(ROW(A36),'1_入力シート【基本情報】'!$HX$307:$HX$526,0)),"")</f>
        <v/>
      </c>
      <c r="C202" s="2988"/>
      <c r="D202" s="2989"/>
      <c r="E202" s="2983" t="str">
        <f>IFERROR(INDEX('1_入力シート【基本情報】'!$DR$307:$DR$526,MATCH(ROW(A36),'1_入力シート【基本情報】'!$HX$307:$HX$526,0)),"")</f>
        <v/>
      </c>
      <c r="F202" s="2983"/>
      <c r="G202" s="2983"/>
      <c r="H202" s="2983"/>
      <c r="I202" s="2983"/>
      <c r="J202" s="2983"/>
      <c r="K202" s="2983"/>
      <c r="L202" s="2983"/>
      <c r="M202" s="2983"/>
      <c r="N202" s="2984"/>
      <c r="O202" s="2984" t="str">
        <f>IFERROR(INDEX('1_入力シート【基本情報】'!$FW$307:$FW$526,MATCH(ROW(A36),'1_入力シート【基本情報】'!$HX$307:$HX$526,0)),"")</f>
        <v/>
      </c>
      <c r="P202" s="2985"/>
      <c r="Q202" s="2985"/>
      <c r="R202" s="2985"/>
      <c r="S202" s="2985"/>
      <c r="T202" s="2985"/>
      <c r="U202" s="2985"/>
      <c r="V202" s="2985"/>
      <c r="W202" s="2985"/>
      <c r="X202" s="2985"/>
      <c r="Y202" s="2985"/>
      <c r="Z202" s="2985"/>
      <c r="AA202" s="2985"/>
      <c r="AB202" s="2985"/>
      <c r="AC202" s="2985"/>
      <c r="AD202" s="2985"/>
      <c r="AE202" s="2984" t="str">
        <f>IFERROR(INDEX('1_入力シート【基本情報】'!$BD$307:$BD$526,MATCH(ROW(A36),'1_入力シート【基本情報】'!$HX$307:$HX$526,0)),"")</f>
        <v/>
      </c>
      <c r="AF202" s="2985"/>
      <c r="AG202" s="2985"/>
      <c r="AH202" s="2985"/>
      <c r="AI202" s="2985"/>
      <c r="AJ202" s="2985"/>
      <c r="AK202" s="2985"/>
      <c r="AL202" s="2985"/>
      <c r="AM202" s="2985"/>
      <c r="AN202" s="2985"/>
      <c r="AO202" s="2986"/>
      <c r="AP202" s="1662" t="str">
        <f>IFERROR(INDEX('1_入力シート【基本情報】'!$EA$307:$EA$526,MATCH(ROW(A36),'1_入力シート【基本情報】'!$HX$307:$HX$526,0)),"")</f>
        <v/>
      </c>
      <c r="AQ202" s="1035"/>
    </row>
    <row r="203" spans="1:43" ht="65.150000000000006" customHeight="1">
      <c r="A203" s="1035"/>
      <c r="B203" s="2987" t="str">
        <f>IFERROR(INDEX('1_入力シート【基本情報】'!$DW$307:$DW$526,MATCH(ROW(A37),'1_入力シート【基本情報】'!$HX$307:$HX$526,0)),"")</f>
        <v/>
      </c>
      <c r="C203" s="2988"/>
      <c r="D203" s="2989"/>
      <c r="E203" s="2983" t="str">
        <f>IFERROR(INDEX('1_入力シート【基本情報】'!$DR$307:$DR$526,MATCH(ROW(A37),'1_入力シート【基本情報】'!$HX$307:$HX$526,0)),"")</f>
        <v/>
      </c>
      <c r="F203" s="2983"/>
      <c r="G203" s="2983"/>
      <c r="H203" s="2983"/>
      <c r="I203" s="2983"/>
      <c r="J203" s="2983"/>
      <c r="K203" s="2983"/>
      <c r="L203" s="2983"/>
      <c r="M203" s="2983"/>
      <c r="N203" s="2984"/>
      <c r="O203" s="2984" t="str">
        <f>IFERROR(INDEX('1_入力シート【基本情報】'!$FW$307:$FW$526,MATCH(ROW(A37),'1_入力シート【基本情報】'!$HX$307:$HX$526,0)),"")</f>
        <v/>
      </c>
      <c r="P203" s="2985"/>
      <c r="Q203" s="2985"/>
      <c r="R203" s="2985"/>
      <c r="S203" s="2985"/>
      <c r="T203" s="2985"/>
      <c r="U203" s="2985"/>
      <c r="V203" s="2985"/>
      <c r="W203" s="2985"/>
      <c r="X203" s="2985"/>
      <c r="Y203" s="2985"/>
      <c r="Z203" s="2985"/>
      <c r="AA203" s="2985"/>
      <c r="AB203" s="2985"/>
      <c r="AC203" s="2985"/>
      <c r="AD203" s="2985"/>
      <c r="AE203" s="2984" t="str">
        <f>IFERROR(INDEX('1_入力シート【基本情報】'!$BD$307:$BD$526,MATCH(ROW(A37),'1_入力シート【基本情報】'!$HX$307:$HX$526,0)),"")</f>
        <v/>
      </c>
      <c r="AF203" s="2985"/>
      <c r="AG203" s="2985"/>
      <c r="AH203" s="2985"/>
      <c r="AI203" s="2985"/>
      <c r="AJ203" s="2985"/>
      <c r="AK203" s="2985"/>
      <c r="AL203" s="2985"/>
      <c r="AM203" s="2985"/>
      <c r="AN203" s="2985"/>
      <c r="AO203" s="2986"/>
      <c r="AP203" s="1662" t="str">
        <f>IFERROR(INDEX('1_入力シート【基本情報】'!$EA$307:$EA$526,MATCH(ROW(A37),'1_入力シート【基本情報】'!$HX$307:$HX$526,0)),"")</f>
        <v/>
      </c>
      <c r="AQ203" s="1035"/>
    </row>
    <row r="204" spans="1:43" ht="65.150000000000006" customHeight="1">
      <c r="A204" s="1035"/>
      <c r="B204" s="2987" t="str">
        <f>IFERROR(INDEX('1_入力シート【基本情報】'!$DW$307:$DW$526,MATCH(ROW(A38),'1_入力シート【基本情報】'!$HX$307:$HX$526,0)),"")</f>
        <v/>
      </c>
      <c r="C204" s="2988"/>
      <c r="D204" s="2989"/>
      <c r="E204" s="2983" t="str">
        <f>IFERROR(INDEX('1_入力シート【基本情報】'!$DR$307:$DR$526,MATCH(ROW(A38),'1_入力シート【基本情報】'!$HX$307:$HX$526,0)),"")</f>
        <v/>
      </c>
      <c r="F204" s="2983"/>
      <c r="G204" s="2983"/>
      <c r="H204" s="2983"/>
      <c r="I204" s="2983"/>
      <c r="J204" s="2983"/>
      <c r="K204" s="2983"/>
      <c r="L204" s="2983"/>
      <c r="M204" s="2983"/>
      <c r="N204" s="2984"/>
      <c r="O204" s="2984" t="str">
        <f>IFERROR(INDEX('1_入力シート【基本情報】'!$FW$307:$FW$526,MATCH(ROW(A38),'1_入力シート【基本情報】'!$HX$307:$HX$526,0)),"")</f>
        <v/>
      </c>
      <c r="P204" s="2985"/>
      <c r="Q204" s="2985"/>
      <c r="R204" s="2985"/>
      <c r="S204" s="2985"/>
      <c r="T204" s="2985"/>
      <c r="U204" s="2985"/>
      <c r="V204" s="2985"/>
      <c r="W204" s="2985"/>
      <c r="X204" s="2985"/>
      <c r="Y204" s="2985"/>
      <c r="Z204" s="2985"/>
      <c r="AA204" s="2985"/>
      <c r="AB204" s="2985"/>
      <c r="AC204" s="2985"/>
      <c r="AD204" s="2985"/>
      <c r="AE204" s="2984" t="str">
        <f>IFERROR(INDEX('1_入力シート【基本情報】'!$BD$307:$BD$526,MATCH(ROW(A38),'1_入力シート【基本情報】'!$HX$307:$HX$526,0)),"")</f>
        <v/>
      </c>
      <c r="AF204" s="2985"/>
      <c r="AG204" s="2985"/>
      <c r="AH204" s="2985"/>
      <c r="AI204" s="2985"/>
      <c r="AJ204" s="2985"/>
      <c r="AK204" s="2985"/>
      <c r="AL204" s="2985"/>
      <c r="AM204" s="2985"/>
      <c r="AN204" s="2985"/>
      <c r="AO204" s="2986"/>
      <c r="AP204" s="1662" t="str">
        <f>IFERROR(INDEX('1_入力シート【基本情報】'!$EA$307:$EA$526,MATCH(ROW(A38),'1_入力シート【基本情報】'!$HX$307:$HX$526,0)),"")</f>
        <v/>
      </c>
      <c r="AQ204" s="1035"/>
    </row>
    <row r="205" spans="1:43" ht="65.150000000000006" customHeight="1">
      <c r="A205" s="1035"/>
      <c r="B205" s="2987" t="str">
        <f>IFERROR(INDEX('1_入力シート【基本情報】'!$DW$307:$DW$526,MATCH(ROW(A39),'1_入力シート【基本情報】'!$HX$307:$HX$526,0)),"")</f>
        <v/>
      </c>
      <c r="C205" s="2988"/>
      <c r="D205" s="2989"/>
      <c r="E205" s="2983" t="str">
        <f>IFERROR(INDEX('1_入力シート【基本情報】'!$DR$307:$DR$526,MATCH(ROW(A39),'1_入力シート【基本情報】'!$HX$307:$HX$526,0)),"")</f>
        <v/>
      </c>
      <c r="F205" s="2983"/>
      <c r="G205" s="2983"/>
      <c r="H205" s="2983"/>
      <c r="I205" s="2983"/>
      <c r="J205" s="2983"/>
      <c r="K205" s="2983"/>
      <c r="L205" s="2983"/>
      <c r="M205" s="2983"/>
      <c r="N205" s="2984"/>
      <c r="O205" s="2984" t="str">
        <f>IFERROR(INDEX('1_入力シート【基本情報】'!$FW$307:$FW$526,MATCH(ROW(A39),'1_入力シート【基本情報】'!$HX$307:$HX$526,0)),"")</f>
        <v/>
      </c>
      <c r="P205" s="2985"/>
      <c r="Q205" s="2985"/>
      <c r="R205" s="2985"/>
      <c r="S205" s="2985"/>
      <c r="T205" s="2985"/>
      <c r="U205" s="2985"/>
      <c r="V205" s="2985"/>
      <c r="W205" s="2985"/>
      <c r="X205" s="2985"/>
      <c r="Y205" s="2985"/>
      <c r="Z205" s="2985"/>
      <c r="AA205" s="2985"/>
      <c r="AB205" s="2985"/>
      <c r="AC205" s="2985"/>
      <c r="AD205" s="2985"/>
      <c r="AE205" s="2984" t="str">
        <f>IFERROR(INDEX('1_入力シート【基本情報】'!$BD$307:$BD$526,MATCH(ROW(A39),'1_入力シート【基本情報】'!$HX$307:$HX$526,0)),"")</f>
        <v/>
      </c>
      <c r="AF205" s="2985"/>
      <c r="AG205" s="2985"/>
      <c r="AH205" s="2985"/>
      <c r="AI205" s="2985"/>
      <c r="AJ205" s="2985"/>
      <c r="AK205" s="2985"/>
      <c r="AL205" s="2985"/>
      <c r="AM205" s="2985"/>
      <c r="AN205" s="2985"/>
      <c r="AO205" s="2986"/>
      <c r="AP205" s="1662" t="str">
        <f>IFERROR(INDEX('1_入力シート【基本情報】'!$EA$307:$EA$526,MATCH(ROW(A39),'1_入力シート【基本情報】'!$HX$307:$HX$526,0)),"")</f>
        <v/>
      </c>
      <c r="AQ205" s="1035"/>
    </row>
    <row r="206" spans="1:43" ht="65.150000000000006" customHeight="1">
      <c r="A206" s="1035"/>
      <c r="B206" s="2987" t="str">
        <f>IFERROR(INDEX('1_入力シート【基本情報】'!$DW$307:$DW$526,MATCH(ROW(A40),'1_入力シート【基本情報】'!$HX$307:$HX$526,0)),"")</f>
        <v/>
      </c>
      <c r="C206" s="2988"/>
      <c r="D206" s="2989"/>
      <c r="E206" s="2983" t="str">
        <f>IFERROR(INDEX('1_入力シート【基本情報】'!$DR$307:$DR$526,MATCH(ROW(A40),'1_入力シート【基本情報】'!$HX$307:$HX$526,0)),"")</f>
        <v/>
      </c>
      <c r="F206" s="2983"/>
      <c r="G206" s="2983"/>
      <c r="H206" s="2983"/>
      <c r="I206" s="2983"/>
      <c r="J206" s="2983"/>
      <c r="K206" s="2983"/>
      <c r="L206" s="2983"/>
      <c r="M206" s="2983"/>
      <c r="N206" s="2984"/>
      <c r="O206" s="2984" t="str">
        <f>IFERROR(INDEX('1_入力シート【基本情報】'!$FW$307:$FW$526,MATCH(ROW(A40),'1_入力シート【基本情報】'!$HX$307:$HX$526,0)),"")</f>
        <v/>
      </c>
      <c r="P206" s="2985"/>
      <c r="Q206" s="2985"/>
      <c r="R206" s="2985"/>
      <c r="S206" s="2985"/>
      <c r="T206" s="2985"/>
      <c r="U206" s="2985"/>
      <c r="V206" s="2985"/>
      <c r="W206" s="2985"/>
      <c r="X206" s="2985"/>
      <c r="Y206" s="2985"/>
      <c r="Z206" s="2985"/>
      <c r="AA206" s="2985"/>
      <c r="AB206" s="2985"/>
      <c r="AC206" s="2985"/>
      <c r="AD206" s="2985"/>
      <c r="AE206" s="2984" t="str">
        <f>IFERROR(INDEX('1_入力シート【基本情報】'!$BD$307:$BD$526,MATCH(ROW(A40),'1_入力シート【基本情報】'!$HX$307:$HX$526,0)),"")</f>
        <v/>
      </c>
      <c r="AF206" s="2985"/>
      <c r="AG206" s="2985"/>
      <c r="AH206" s="2985"/>
      <c r="AI206" s="2985"/>
      <c r="AJ206" s="2985"/>
      <c r="AK206" s="2985"/>
      <c r="AL206" s="2985"/>
      <c r="AM206" s="2985"/>
      <c r="AN206" s="2985"/>
      <c r="AO206" s="2986"/>
      <c r="AP206" s="1662" t="str">
        <f>IFERROR(INDEX('1_入力シート【基本情報】'!$EA$307:$EA$526,MATCH(ROW(A40),'1_入力シート【基本情報】'!$HX$307:$HX$526,0)),"")</f>
        <v/>
      </c>
      <c r="AQ206" s="1035"/>
    </row>
    <row r="207" spans="1:43" ht="65.150000000000006" customHeight="1">
      <c r="A207" s="1035"/>
      <c r="B207" s="2987" t="str">
        <f>IFERROR(INDEX('1_入力シート【基本情報】'!$DW$307:$DW$526,MATCH(ROW(A41),'1_入力シート【基本情報】'!$HX$307:$HX$526,0)),"")</f>
        <v/>
      </c>
      <c r="C207" s="2988"/>
      <c r="D207" s="2989"/>
      <c r="E207" s="2983" t="str">
        <f>IFERROR(INDEX('1_入力シート【基本情報】'!$DR$307:$DR$526,MATCH(ROW(A41),'1_入力シート【基本情報】'!$HX$307:$HX$526,0)),"")</f>
        <v/>
      </c>
      <c r="F207" s="2983"/>
      <c r="G207" s="2983"/>
      <c r="H207" s="2983"/>
      <c r="I207" s="2983"/>
      <c r="J207" s="2983"/>
      <c r="K207" s="2983"/>
      <c r="L207" s="2983"/>
      <c r="M207" s="2983"/>
      <c r="N207" s="2984"/>
      <c r="O207" s="2984" t="str">
        <f>IFERROR(INDEX('1_入力シート【基本情報】'!$FW$307:$FW$526,MATCH(ROW(A41),'1_入力シート【基本情報】'!$HX$307:$HX$526,0)),"")</f>
        <v/>
      </c>
      <c r="P207" s="2985"/>
      <c r="Q207" s="2985"/>
      <c r="R207" s="2985"/>
      <c r="S207" s="2985"/>
      <c r="T207" s="2985"/>
      <c r="U207" s="2985"/>
      <c r="V207" s="2985"/>
      <c r="W207" s="2985"/>
      <c r="X207" s="2985"/>
      <c r="Y207" s="2985"/>
      <c r="Z207" s="2985"/>
      <c r="AA207" s="2985"/>
      <c r="AB207" s="2985"/>
      <c r="AC207" s="2985"/>
      <c r="AD207" s="2985"/>
      <c r="AE207" s="2984" t="str">
        <f>IFERROR(INDEX('1_入力シート【基本情報】'!$BD$307:$BD$526,MATCH(ROW(A41),'1_入力シート【基本情報】'!$HX$307:$HX$526,0)),"")</f>
        <v/>
      </c>
      <c r="AF207" s="2985"/>
      <c r="AG207" s="2985"/>
      <c r="AH207" s="2985"/>
      <c r="AI207" s="2985"/>
      <c r="AJ207" s="2985"/>
      <c r="AK207" s="2985"/>
      <c r="AL207" s="2985"/>
      <c r="AM207" s="2985"/>
      <c r="AN207" s="2985"/>
      <c r="AO207" s="2986"/>
      <c r="AP207" s="1662" t="str">
        <f>IFERROR(INDEX('1_入力シート【基本情報】'!$EA$307:$EA$526,MATCH(ROW(A41),'1_入力シート【基本情報】'!$HX$307:$HX$526,0)),"")</f>
        <v/>
      </c>
      <c r="AQ207" s="1035"/>
    </row>
    <row r="208" spans="1:43" ht="65.150000000000006" customHeight="1">
      <c r="A208" s="1035"/>
      <c r="B208" s="2987" t="str">
        <f>IFERROR(INDEX('1_入力シート【基本情報】'!$DW$307:$DW$526,MATCH(ROW(A42),'1_入力シート【基本情報】'!$HX$307:$HX$526,0)),"")</f>
        <v/>
      </c>
      <c r="C208" s="2988"/>
      <c r="D208" s="2989"/>
      <c r="E208" s="2983" t="str">
        <f>IFERROR(INDEX('1_入力シート【基本情報】'!$DR$307:$DR$526,MATCH(ROW(A42),'1_入力シート【基本情報】'!$HX$307:$HX$526,0)),"")</f>
        <v/>
      </c>
      <c r="F208" s="2983"/>
      <c r="G208" s="2983"/>
      <c r="H208" s="2983"/>
      <c r="I208" s="2983"/>
      <c r="J208" s="2983"/>
      <c r="K208" s="2983"/>
      <c r="L208" s="2983"/>
      <c r="M208" s="2983"/>
      <c r="N208" s="2984"/>
      <c r="O208" s="2984" t="str">
        <f>IFERROR(INDEX('1_入力シート【基本情報】'!$FW$307:$FW$526,MATCH(ROW(A42),'1_入力シート【基本情報】'!$HX$307:$HX$526,0)),"")</f>
        <v/>
      </c>
      <c r="P208" s="2985"/>
      <c r="Q208" s="2985"/>
      <c r="R208" s="2985"/>
      <c r="S208" s="2985"/>
      <c r="T208" s="2985"/>
      <c r="U208" s="2985"/>
      <c r="V208" s="2985"/>
      <c r="W208" s="2985"/>
      <c r="X208" s="2985"/>
      <c r="Y208" s="2985"/>
      <c r="Z208" s="2985"/>
      <c r="AA208" s="2985"/>
      <c r="AB208" s="2985"/>
      <c r="AC208" s="2985"/>
      <c r="AD208" s="2985"/>
      <c r="AE208" s="2984" t="str">
        <f>IFERROR(INDEX('1_入力シート【基本情報】'!$BD$307:$BD$526,MATCH(ROW(A42),'1_入力シート【基本情報】'!$HX$307:$HX$526,0)),"")</f>
        <v/>
      </c>
      <c r="AF208" s="2985"/>
      <c r="AG208" s="2985"/>
      <c r="AH208" s="2985"/>
      <c r="AI208" s="2985"/>
      <c r="AJ208" s="2985"/>
      <c r="AK208" s="2985"/>
      <c r="AL208" s="2985"/>
      <c r="AM208" s="2985"/>
      <c r="AN208" s="2985"/>
      <c r="AO208" s="2986"/>
      <c r="AP208" s="1662" t="str">
        <f>IFERROR(INDEX('1_入力シート【基本情報】'!$EA$307:$EA$526,MATCH(ROW(A42),'1_入力シート【基本情報】'!$HX$307:$HX$526,0)),"")</f>
        <v/>
      </c>
      <c r="AQ208" s="1035"/>
    </row>
    <row r="209" spans="1:43" ht="65.150000000000006" customHeight="1">
      <c r="A209" s="1035"/>
      <c r="B209" s="2987" t="str">
        <f>IFERROR(INDEX('1_入力シート【基本情報】'!$DW$307:$DW$526,MATCH(ROW(A43),'1_入力シート【基本情報】'!$HX$307:$HX$526,0)),"")</f>
        <v/>
      </c>
      <c r="C209" s="2988"/>
      <c r="D209" s="2989"/>
      <c r="E209" s="2983" t="str">
        <f>IFERROR(INDEX('1_入力シート【基本情報】'!$DR$307:$DR$526,MATCH(ROW(A43),'1_入力シート【基本情報】'!$HX$307:$HX$526,0)),"")</f>
        <v/>
      </c>
      <c r="F209" s="2983"/>
      <c r="G209" s="2983"/>
      <c r="H209" s="2983"/>
      <c r="I209" s="2983"/>
      <c r="J209" s="2983"/>
      <c r="K209" s="2983"/>
      <c r="L209" s="2983"/>
      <c r="M209" s="2983"/>
      <c r="N209" s="2984"/>
      <c r="O209" s="2984" t="str">
        <f>IFERROR(INDEX('1_入力シート【基本情報】'!$FW$307:$FW$526,MATCH(ROW(A43),'1_入力シート【基本情報】'!$HX$307:$HX$526,0)),"")</f>
        <v/>
      </c>
      <c r="P209" s="2985"/>
      <c r="Q209" s="2985"/>
      <c r="R209" s="2985"/>
      <c r="S209" s="2985"/>
      <c r="T209" s="2985"/>
      <c r="U209" s="2985"/>
      <c r="V209" s="2985"/>
      <c r="W209" s="2985"/>
      <c r="X209" s="2985"/>
      <c r="Y209" s="2985"/>
      <c r="Z209" s="2985"/>
      <c r="AA209" s="2985"/>
      <c r="AB209" s="2985"/>
      <c r="AC209" s="2985"/>
      <c r="AD209" s="2985"/>
      <c r="AE209" s="2984" t="str">
        <f>IFERROR(INDEX('1_入力シート【基本情報】'!$BD$307:$BD$526,MATCH(ROW(A43),'1_入力シート【基本情報】'!$HX$307:$HX$526,0)),"")</f>
        <v/>
      </c>
      <c r="AF209" s="2985"/>
      <c r="AG209" s="2985"/>
      <c r="AH209" s="2985"/>
      <c r="AI209" s="2985"/>
      <c r="AJ209" s="2985"/>
      <c r="AK209" s="2985"/>
      <c r="AL209" s="2985"/>
      <c r="AM209" s="2985"/>
      <c r="AN209" s="2985"/>
      <c r="AO209" s="2986"/>
      <c r="AP209" s="1662" t="str">
        <f>IFERROR(INDEX('1_入力シート【基本情報】'!$EA$307:$EA$526,MATCH(ROW(A43),'1_入力シート【基本情報】'!$HX$307:$HX$526,0)),"")</f>
        <v/>
      </c>
      <c r="AQ209" s="1035"/>
    </row>
    <row r="210" spans="1:43" ht="65.150000000000006" customHeight="1">
      <c r="A210" s="1035"/>
      <c r="B210" s="2987" t="str">
        <f>IFERROR(INDEX('1_入力シート【基本情報】'!$DW$307:$DW$526,MATCH(ROW(A44),'1_入力シート【基本情報】'!$HX$307:$HX$526,0)),"")</f>
        <v/>
      </c>
      <c r="C210" s="2988"/>
      <c r="D210" s="2989"/>
      <c r="E210" s="2983" t="str">
        <f>IFERROR(INDEX('1_入力シート【基本情報】'!$DR$307:$DR$526,MATCH(ROW(A44),'1_入力シート【基本情報】'!$HX$307:$HX$526,0)),"")</f>
        <v/>
      </c>
      <c r="F210" s="2983"/>
      <c r="G210" s="2983"/>
      <c r="H210" s="2983"/>
      <c r="I210" s="2983"/>
      <c r="J210" s="2983"/>
      <c r="K210" s="2983"/>
      <c r="L210" s="2983"/>
      <c r="M210" s="2983"/>
      <c r="N210" s="2984"/>
      <c r="O210" s="2984" t="str">
        <f>IFERROR(INDEX('1_入力シート【基本情報】'!$FW$307:$FW$526,MATCH(ROW(A44),'1_入力シート【基本情報】'!$HX$307:$HX$526,0)),"")</f>
        <v/>
      </c>
      <c r="P210" s="2985"/>
      <c r="Q210" s="2985"/>
      <c r="R210" s="2985"/>
      <c r="S210" s="2985"/>
      <c r="T210" s="2985"/>
      <c r="U210" s="2985"/>
      <c r="V210" s="2985"/>
      <c r="W210" s="2985"/>
      <c r="X210" s="2985"/>
      <c r="Y210" s="2985"/>
      <c r="Z210" s="2985"/>
      <c r="AA210" s="2985"/>
      <c r="AB210" s="2985"/>
      <c r="AC210" s="2985"/>
      <c r="AD210" s="2985"/>
      <c r="AE210" s="2984" t="str">
        <f>IFERROR(INDEX('1_入力シート【基本情報】'!$BD$307:$BD$526,MATCH(ROW(A44),'1_入力シート【基本情報】'!$HX$307:$HX$526,0)),"")</f>
        <v/>
      </c>
      <c r="AF210" s="2985"/>
      <c r="AG210" s="2985"/>
      <c r="AH210" s="2985"/>
      <c r="AI210" s="2985"/>
      <c r="AJ210" s="2985"/>
      <c r="AK210" s="2985"/>
      <c r="AL210" s="2985"/>
      <c r="AM210" s="2985"/>
      <c r="AN210" s="2985"/>
      <c r="AO210" s="2986"/>
      <c r="AP210" s="1662" t="str">
        <f>IFERROR(INDEX('1_入力シート【基本情報】'!$EA$307:$EA$526,MATCH(ROW(A44),'1_入力シート【基本情報】'!$HX$307:$HX$526,0)),"")</f>
        <v/>
      </c>
      <c r="AQ210" s="1035"/>
    </row>
    <row r="211" spans="1:43" ht="65.150000000000006" customHeight="1">
      <c r="A211" s="1035"/>
      <c r="B211" s="2987" t="str">
        <f>IFERROR(INDEX('1_入力シート【基本情報】'!$DW$307:$DW$526,MATCH(ROW(A45),'1_入力シート【基本情報】'!$HX$307:$HX$526,0)),"")</f>
        <v/>
      </c>
      <c r="C211" s="2988"/>
      <c r="D211" s="2989"/>
      <c r="E211" s="2983" t="str">
        <f>IFERROR(INDEX('1_入力シート【基本情報】'!$DR$307:$DR$526,MATCH(ROW(A45),'1_入力シート【基本情報】'!$HX$307:$HX$526,0)),"")</f>
        <v/>
      </c>
      <c r="F211" s="2983"/>
      <c r="G211" s="2983"/>
      <c r="H211" s="2983"/>
      <c r="I211" s="2983"/>
      <c r="J211" s="2983"/>
      <c r="K211" s="2983"/>
      <c r="L211" s="2983"/>
      <c r="M211" s="2983"/>
      <c r="N211" s="2984"/>
      <c r="O211" s="2984" t="str">
        <f>IFERROR(INDEX('1_入力シート【基本情報】'!$FW$307:$FW$526,MATCH(ROW(A45),'1_入力シート【基本情報】'!$HX$307:$HX$526,0)),"")</f>
        <v/>
      </c>
      <c r="P211" s="2985"/>
      <c r="Q211" s="2985"/>
      <c r="R211" s="2985"/>
      <c r="S211" s="2985"/>
      <c r="T211" s="2985"/>
      <c r="U211" s="2985"/>
      <c r="V211" s="2985"/>
      <c r="W211" s="2985"/>
      <c r="X211" s="2985"/>
      <c r="Y211" s="2985"/>
      <c r="Z211" s="2985"/>
      <c r="AA211" s="2985"/>
      <c r="AB211" s="2985"/>
      <c r="AC211" s="2985"/>
      <c r="AD211" s="2985"/>
      <c r="AE211" s="2984" t="str">
        <f>IFERROR(INDEX('1_入力シート【基本情報】'!$BD$307:$BD$526,MATCH(ROW(A45),'1_入力シート【基本情報】'!$HX$307:$HX$526,0)),"")</f>
        <v/>
      </c>
      <c r="AF211" s="2985"/>
      <c r="AG211" s="2985"/>
      <c r="AH211" s="2985"/>
      <c r="AI211" s="2985"/>
      <c r="AJ211" s="2985"/>
      <c r="AK211" s="2985"/>
      <c r="AL211" s="2985"/>
      <c r="AM211" s="2985"/>
      <c r="AN211" s="2985"/>
      <c r="AO211" s="2986"/>
      <c r="AP211" s="1662" t="str">
        <f>IFERROR(INDEX('1_入力シート【基本情報】'!$EA$307:$EA$526,MATCH(ROW(A45),'1_入力シート【基本情報】'!$HX$307:$HX$526,0)),"")</f>
        <v/>
      </c>
      <c r="AQ211" s="1035"/>
    </row>
    <row r="212" spans="1:43" ht="65.150000000000006" customHeight="1">
      <c r="A212" s="1035"/>
      <c r="B212" s="2987" t="str">
        <f>IFERROR(INDEX('1_入力シート【基本情報】'!$DW$307:$DW$526,MATCH(ROW(A46),'1_入力シート【基本情報】'!$HX$307:$HX$526,0)),"")</f>
        <v/>
      </c>
      <c r="C212" s="2988"/>
      <c r="D212" s="2989"/>
      <c r="E212" s="2983" t="str">
        <f>IFERROR(INDEX('1_入力シート【基本情報】'!$DR$307:$DR$526,MATCH(ROW(A46),'1_入力シート【基本情報】'!$HX$307:$HX$526,0)),"")</f>
        <v/>
      </c>
      <c r="F212" s="2983"/>
      <c r="G212" s="2983"/>
      <c r="H212" s="2983"/>
      <c r="I212" s="2983"/>
      <c r="J212" s="2983"/>
      <c r="K212" s="2983"/>
      <c r="L212" s="2983"/>
      <c r="M212" s="2983"/>
      <c r="N212" s="2984"/>
      <c r="O212" s="2984" t="str">
        <f>IFERROR(INDEX('1_入力シート【基本情報】'!$FW$307:$FW$526,MATCH(ROW(A46),'1_入力シート【基本情報】'!$HX$307:$HX$526,0)),"")</f>
        <v/>
      </c>
      <c r="P212" s="2985"/>
      <c r="Q212" s="2985"/>
      <c r="R212" s="2985"/>
      <c r="S212" s="2985"/>
      <c r="T212" s="2985"/>
      <c r="U212" s="2985"/>
      <c r="V212" s="2985"/>
      <c r="W212" s="2985"/>
      <c r="X212" s="2985"/>
      <c r="Y212" s="2985"/>
      <c r="Z212" s="2985"/>
      <c r="AA212" s="2985"/>
      <c r="AB212" s="2985"/>
      <c r="AC212" s="2985"/>
      <c r="AD212" s="2985"/>
      <c r="AE212" s="2984" t="str">
        <f>IFERROR(INDEX('1_入力シート【基本情報】'!$BD$307:$BD$526,MATCH(ROW(A46),'1_入力シート【基本情報】'!$HX$307:$HX$526,0)),"")</f>
        <v/>
      </c>
      <c r="AF212" s="2985"/>
      <c r="AG212" s="2985"/>
      <c r="AH212" s="2985"/>
      <c r="AI212" s="2985"/>
      <c r="AJ212" s="2985"/>
      <c r="AK212" s="2985"/>
      <c r="AL212" s="2985"/>
      <c r="AM212" s="2985"/>
      <c r="AN212" s="2985"/>
      <c r="AO212" s="2986"/>
      <c r="AP212" s="1662" t="str">
        <f>IFERROR(INDEX('1_入力シート【基本情報】'!$EA$307:$EA$526,MATCH(ROW(A46),'1_入力シート【基本情報】'!$HX$307:$HX$526,0)),"")</f>
        <v/>
      </c>
      <c r="AQ212" s="1035"/>
    </row>
    <row r="213" spans="1:43" ht="65.150000000000006" customHeight="1">
      <c r="A213" s="1035"/>
      <c r="B213" s="2987" t="str">
        <f>IFERROR(INDEX('1_入力シート【基本情報】'!$DW$307:$DW$526,MATCH(ROW(A47),'1_入力シート【基本情報】'!$HX$307:$HX$526,0)),"")</f>
        <v/>
      </c>
      <c r="C213" s="2988"/>
      <c r="D213" s="2989"/>
      <c r="E213" s="2983" t="str">
        <f>IFERROR(INDEX('1_入力シート【基本情報】'!$DR$307:$DR$526,MATCH(ROW(A47),'1_入力シート【基本情報】'!$HX$307:$HX$526,0)),"")</f>
        <v/>
      </c>
      <c r="F213" s="2983"/>
      <c r="G213" s="2983"/>
      <c r="H213" s="2983"/>
      <c r="I213" s="2983"/>
      <c r="J213" s="2983"/>
      <c r="K213" s="2983"/>
      <c r="L213" s="2983"/>
      <c r="M213" s="2983"/>
      <c r="N213" s="2984"/>
      <c r="O213" s="2984" t="str">
        <f>IFERROR(INDEX('1_入力シート【基本情報】'!$FW$307:$FW$526,MATCH(ROW(A47),'1_入力シート【基本情報】'!$HX$307:$HX$526,0)),"")</f>
        <v/>
      </c>
      <c r="P213" s="2985"/>
      <c r="Q213" s="2985"/>
      <c r="R213" s="2985"/>
      <c r="S213" s="2985"/>
      <c r="T213" s="2985"/>
      <c r="U213" s="2985"/>
      <c r="V213" s="2985"/>
      <c r="W213" s="2985"/>
      <c r="X213" s="2985"/>
      <c r="Y213" s="2985"/>
      <c r="Z213" s="2985"/>
      <c r="AA213" s="2985"/>
      <c r="AB213" s="2985"/>
      <c r="AC213" s="2985"/>
      <c r="AD213" s="2985"/>
      <c r="AE213" s="2984" t="str">
        <f>IFERROR(INDEX('1_入力シート【基本情報】'!$BD$307:$BD$526,MATCH(ROW(A47),'1_入力シート【基本情報】'!$HX$307:$HX$526,0)),"")</f>
        <v/>
      </c>
      <c r="AF213" s="2985"/>
      <c r="AG213" s="2985"/>
      <c r="AH213" s="2985"/>
      <c r="AI213" s="2985"/>
      <c r="AJ213" s="2985"/>
      <c r="AK213" s="2985"/>
      <c r="AL213" s="2985"/>
      <c r="AM213" s="2985"/>
      <c r="AN213" s="2985"/>
      <c r="AO213" s="2986"/>
      <c r="AP213" s="1662" t="str">
        <f>IFERROR(INDEX('1_入力シート【基本情報】'!$EA$307:$EA$526,MATCH(ROW(A47),'1_入力シート【基本情報】'!$HX$307:$HX$526,0)),"")</f>
        <v/>
      </c>
      <c r="AQ213" s="1035"/>
    </row>
    <row r="214" spans="1:43" ht="65.150000000000006" customHeight="1">
      <c r="A214" s="1035"/>
      <c r="B214" s="2987" t="str">
        <f>IFERROR(INDEX('1_入力シート【基本情報】'!$DW$307:$DW$526,MATCH(ROW(A48),'1_入力シート【基本情報】'!$HX$307:$HX$526,0)),"")</f>
        <v/>
      </c>
      <c r="C214" s="2988"/>
      <c r="D214" s="2989"/>
      <c r="E214" s="2983" t="str">
        <f>IFERROR(INDEX('1_入力シート【基本情報】'!$DR$307:$DR$526,MATCH(ROW(A48),'1_入力シート【基本情報】'!$HX$307:$HX$526,0)),"")</f>
        <v/>
      </c>
      <c r="F214" s="2983"/>
      <c r="G214" s="2983"/>
      <c r="H214" s="2983"/>
      <c r="I214" s="2983"/>
      <c r="J214" s="2983"/>
      <c r="K214" s="2983"/>
      <c r="L214" s="2983"/>
      <c r="M214" s="2983"/>
      <c r="N214" s="2984"/>
      <c r="O214" s="2984" t="str">
        <f>IFERROR(INDEX('1_入力シート【基本情報】'!$FW$307:$FW$526,MATCH(ROW(A48),'1_入力シート【基本情報】'!$HX$307:$HX$526,0)),"")</f>
        <v/>
      </c>
      <c r="P214" s="2985"/>
      <c r="Q214" s="2985"/>
      <c r="R214" s="2985"/>
      <c r="S214" s="2985"/>
      <c r="T214" s="2985"/>
      <c r="U214" s="2985"/>
      <c r="V214" s="2985"/>
      <c r="W214" s="2985"/>
      <c r="X214" s="2985"/>
      <c r="Y214" s="2985"/>
      <c r="Z214" s="2985"/>
      <c r="AA214" s="2985"/>
      <c r="AB214" s="2985"/>
      <c r="AC214" s="2985"/>
      <c r="AD214" s="2985"/>
      <c r="AE214" s="2984" t="str">
        <f>IFERROR(INDEX('1_入力シート【基本情報】'!$BD$307:$BD$526,MATCH(ROW(A48),'1_入力シート【基本情報】'!$HX$307:$HX$526,0)),"")</f>
        <v/>
      </c>
      <c r="AF214" s="2985"/>
      <c r="AG214" s="2985"/>
      <c r="AH214" s="2985"/>
      <c r="AI214" s="2985"/>
      <c r="AJ214" s="2985"/>
      <c r="AK214" s="2985"/>
      <c r="AL214" s="2985"/>
      <c r="AM214" s="2985"/>
      <c r="AN214" s="2985"/>
      <c r="AO214" s="2986"/>
      <c r="AP214" s="1662" t="str">
        <f>IFERROR(INDEX('1_入力シート【基本情報】'!$EA$307:$EA$526,MATCH(ROW(A48),'1_入力シート【基本情報】'!$HX$307:$HX$526,0)),"")</f>
        <v/>
      </c>
      <c r="AQ214" s="1035"/>
    </row>
    <row r="215" spans="1:43" ht="65.150000000000006" customHeight="1">
      <c r="A215" s="1035"/>
      <c r="B215" s="2987" t="str">
        <f>IFERROR(INDEX('1_入力シート【基本情報】'!$DW$307:$DW$526,MATCH(ROW(A49),'1_入力シート【基本情報】'!$HX$307:$HX$526,0)),"")</f>
        <v/>
      </c>
      <c r="C215" s="2988"/>
      <c r="D215" s="2989"/>
      <c r="E215" s="2983" t="str">
        <f>IFERROR(INDEX('1_入力シート【基本情報】'!$DR$307:$DR$526,MATCH(ROW(A49),'1_入力シート【基本情報】'!$HX$307:$HX$526,0)),"")</f>
        <v/>
      </c>
      <c r="F215" s="2983"/>
      <c r="G215" s="2983"/>
      <c r="H215" s="2983"/>
      <c r="I215" s="2983"/>
      <c r="J215" s="2983"/>
      <c r="K215" s="2983"/>
      <c r="L215" s="2983"/>
      <c r="M215" s="2983"/>
      <c r="N215" s="2984"/>
      <c r="O215" s="2984" t="str">
        <f>IFERROR(INDEX('1_入力シート【基本情報】'!$FW$307:$FW$526,MATCH(ROW(A49),'1_入力シート【基本情報】'!$HX$307:$HX$526,0)),"")</f>
        <v/>
      </c>
      <c r="P215" s="2985"/>
      <c r="Q215" s="2985"/>
      <c r="R215" s="2985"/>
      <c r="S215" s="2985"/>
      <c r="T215" s="2985"/>
      <c r="U215" s="2985"/>
      <c r="V215" s="2985"/>
      <c r="W215" s="2985"/>
      <c r="X215" s="2985"/>
      <c r="Y215" s="2985"/>
      <c r="Z215" s="2985"/>
      <c r="AA215" s="2985"/>
      <c r="AB215" s="2985"/>
      <c r="AC215" s="2985"/>
      <c r="AD215" s="2985"/>
      <c r="AE215" s="2984" t="str">
        <f>IFERROR(INDEX('1_入力シート【基本情報】'!$BD$307:$BD$526,MATCH(ROW(A49),'1_入力シート【基本情報】'!$HX$307:$HX$526,0)),"")</f>
        <v/>
      </c>
      <c r="AF215" s="2985"/>
      <c r="AG215" s="2985"/>
      <c r="AH215" s="2985"/>
      <c r="AI215" s="2985"/>
      <c r="AJ215" s="2985"/>
      <c r="AK215" s="2985"/>
      <c r="AL215" s="2985"/>
      <c r="AM215" s="2985"/>
      <c r="AN215" s="2985"/>
      <c r="AO215" s="2986"/>
      <c r="AP215" s="1662" t="str">
        <f>IFERROR(INDEX('1_入力シート【基本情報】'!$EA$307:$EA$526,MATCH(ROW(A49),'1_入力シート【基本情報】'!$HX$307:$HX$526,0)),"")</f>
        <v/>
      </c>
      <c r="AQ215" s="1035"/>
    </row>
    <row r="216" spans="1:43" ht="65.150000000000006" customHeight="1">
      <c r="A216" s="1035"/>
      <c r="B216" s="2987" t="str">
        <f>IFERROR(INDEX('1_入力シート【基本情報】'!$DW$307:$DW$526,MATCH(ROW(A50),'1_入力シート【基本情報】'!$HX$307:$HX$526,0)),"")</f>
        <v/>
      </c>
      <c r="C216" s="2988"/>
      <c r="D216" s="2989"/>
      <c r="E216" s="2983" t="str">
        <f>IFERROR(INDEX('1_入力シート【基本情報】'!$DR$307:$DR$526,MATCH(ROW(A50),'1_入力シート【基本情報】'!$HX$307:$HX$526,0)),"")</f>
        <v/>
      </c>
      <c r="F216" s="2983"/>
      <c r="G216" s="2983"/>
      <c r="H216" s="2983"/>
      <c r="I216" s="2983"/>
      <c r="J216" s="2983"/>
      <c r="K216" s="2983"/>
      <c r="L216" s="2983"/>
      <c r="M216" s="2983"/>
      <c r="N216" s="2984"/>
      <c r="O216" s="2984" t="str">
        <f>IFERROR(INDEX('1_入力シート【基本情報】'!$FW$307:$FW$526,MATCH(ROW(A50),'1_入力シート【基本情報】'!$HX$307:$HX$526,0)),"")</f>
        <v/>
      </c>
      <c r="P216" s="2985"/>
      <c r="Q216" s="2985"/>
      <c r="R216" s="2985"/>
      <c r="S216" s="2985"/>
      <c r="T216" s="2985"/>
      <c r="U216" s="2985"/>
      <c r="V216" s="2985"/>
      <c r="W216" s="2985"/>
      <c r="X216" s="2985"/>
      <c r="Y216" s="2985"/>
      <c r="Z216" s="2985"/>
      <c r="AA216" s="2985"/>
      <c r="AB216" s="2985"/>
      <c r="AC216" s="2985"/>
      <c r="AD216" s="2985"/>
      <c r="AE216" s="2984" t="str">
        <f>IFERROR(INDEX('1_入力シート【基本情報】'!$BD$307:$BD$526,MATCH(ROW(A50),'1_入力シート【基本情報】'!$HX$307:$HX$526,0)),"")</f>
        <v/>
      </c>
      <c r="AF216" s="2985"/>
      <c r="AG216" s="2985"/>
      <c r="AH216" s="2985"/>
      <c r="AI216" s="2985"/>
      <c r="AJ216" s="2985"/>
      <c r="AK216" s="2985"/>
      <c r="AL216" s="2985"/>
      <c r="AM216" s="2985"/>
      <c r="AN216" s="2985"/>
      <c r="AO216" s="2986"/>
      <c r="AP216" s="1662" t="str">
        <f>IFERROR(INDEX('1_入力シート【基本情報】'!$EA$307:$EA$526,MATCH(ROW(A50),'1_入力シート【基本情報】'!$HX$307:$HX$526,0)),"")</f>
        <v/>
      </c>
      <c r="AQ216" s="1035"/>
    </row>
    <row r="217" spans="1:43" ht="65.150000000000006" customHeight="1">
      <c r="A217" s="1035"/>
      <c r="B217" s="2987" t="str">
        <f>IFERROR(INDEX('1_入力シート【基本情報】'!$DW$307:$DW$526,MATCH(ROW(A51),'1_入力シート【基本情報】'!$HX$307:$HX$526,0)),"")</f>
        <v/>
      </c>
      <c r="C217" s="2988"/>
      <c r="D217" s="2989"/>
      <c r="E217" s="2983" t="str">
        <f>IFERROR(INDEX('1_入力シート【基本情報】'!$DR$307:$DR$526,MATCH(ROW(A51),'1_入力シート【基本情報】'!$HX$307:$HX$526,0)),"")</f>
        <v/>
      </c>
      <c r="F217" s="2983"/>
      <c r="G217" s="2983"/>
      <c r="H217" s="2983"/>
      <c r="I217" s="2983"/>
      <c r="J217" s="2983"/>
      <c r="K217" s="2983"/>
      <c r="L217" s="2983"/>
      <c r="M217" s="2983"/>
      <c r="N217" s="2984"/>
      <c r="O217" s="2984" t="str">
        <f>IFERROR(INDEX('1_入力シート【基本情報】'!$FW$307:$FW$526,MATCH(ROW(A51),'1_入力シート【基本情報】'!$HX$307:$HX$526,0)),"")</f>
        <v/>
      </c>
      <c r="P217" s="2985"/>
      <c r="Q217" s="2985"/>
      <c r="R217" s="2985"/>
      <c r="S217" s="2985"/>
      <c r="T217" s="2985"/>
      <c r="U217" s="2985"/>
      <c r="V217" s="2985"/>
      <c r="W217" s="2985"/>
      <c r="X217" s="2985"/>
      <c r="Y217" s="2985"/>
      <c r="Z217" s="2985"/>
      <c r="AA217" s="2985"/>
      <c r="AB217" s="2985"/>
      <c r="AC217" s="2985"/>
      <c r="AD217" s="2985"/>
      <c r="AE217" s="2984" t="str">
        <f>IFERROR(INDEX('1_入力シート【基本情報】'!$BD$307:$BD$526,MATCH(ROW(A51),'1_入力シート【基本情報】'!$HX$307:$HX$526,0)),"")</f>
        <v/>
      </c>
      <c r="AF217" s="2985"/>
      <c r="AG217" s="2985"/>
      <c r="AH217" s="2985"/>
      <c r="AI217" s="2985"/>
      <c r="AJ217" s="2985"/>
      <c r="AK217" s="2985"/>
      <c r="AL217" s="2985"/>
      <c r="AM217" s="2985"/>
      <c r="AN217" s="2985"/>
      <c r="AO217" s="2986"/>
      <c r="AP217" s="1662" t="str">
        <f>IFERROR(INDEX('1_入力シート【基本情報】'!$EA$307:$EA$526,MATCH(ROW(A51),'1_入力シート【基本情報】'!$HX$307:$HX$526,0)),"")</f>
        <v/>
      </c>
      <c r="AQ217" s="1035"/>
    </row>
    <row r="218" spans="1:43" ht="65.150000000000006" customHeight="1">
      <c r="A218" s="1035"/>
      <c r="B218" s="2987" t="str">
        <f>IFERROR(INDEX('1_入力シート【基本情報】'!$DW$307:$DW$526,MATCH(ROW(A52),'1_入力シート【基本情報】'!$HX$307:$HX$526,0)),"")</f>
        <v/>
      </c>
      <c r="C218" s="2988"/>
      <c r="D218" s="2989"/>
      <c r="E218" s="2983" t="str">
        <f>IFERROR(INDEX('1_入力シート【基本情報】'!$DR$307:$DR$526,MATCH(ROW(A52),'1_入力シート【基本情報】'!$HX$307:$HX$526,0)),"")</f>
        <v/>
      </c>
      <c r="F218" s="2983"/>
      <c r="G218" s="2983"/>
      <c r="H218" s="2983"/>
      <c r="I218" s="2983"/>
      <c r="J218" s="2983"/>
      <c r="K218" s="2983"/>
      <c r="L218" s="2983"/>
      <c r="M218" s="2983"/>
      <c r="N218" s="2984"/>
      <c r="O218" s="2984" t="str">
        <f>IFERROR(INDEX('1_入力シート【基本情報】'!$FW$307:$FW$526,MATCH(ROW(A52),'1_入力シート【基本情報】'!$HX$307:$HX$526,0)),"")</f>
        <v/>
      </c>
      <c r="P218" s="2985"/>
      <c r="Q218" s="2985"/>
      <c r="R218" s="2985"/>
      <c r="S218" s="2985"/>
      <c r="T218" s="2985"/>
      <c r="U218" s="2985"/>
      <c r="V218" s="2985"/>
      <c r="W218" s="2985"/>
      <c r="X218" s="2985"/>
      <c r="Y218" s="2985"/>
      <c r="Z218" s="2985"/>
      <c r="AA218" s="2985"/>
      <c r="AB218" s="2985"/>
      <c r="AC218" s="2985"/>
      <c r="AD218" s="2985"/>
      <c r="AE218" s="2984" t="str">
        <f>IFERROR(INDEX('1_入力シート【基本情報】'!$BD$307:$BD$526,MATCH(ROW(A52),'1_入力シート【基本情報】'!$HX$307:$HX$526,0)),"")</f>
        <v/>
      </c>
      <c r="AF218" s="2985"/>
      <c r="AG218" s="2985"/>
      <c r="AH218" s="2985"/>
      <c r="AI218" s="2985"/>
      <c r="AJ218" s="2985"/>
      <c r="AK218" s="2985"/>
      <c r="AL218" s="2985"/>
      <c r="AM218" s="2985"/>
      <c r="AN218" s="2985"/>
      <c r="AO218" s="2986"/>
      <c r="AP218" s="1662" t="str">
        <f>IFERROR(INDEX('1_入力シート【基本情報】'!$EA$307:$EA$526,MATCH(ROW(A52),'1_入力シート【基本情報】'!$HX$307:$HX$526,0)),"")</f>
        <v/>
      </c>
      <c r="AQ218" s="1035"/>
    </row>
    <row r="219" spans="1:43" ht="65.150000000000006" customHeight="1">
      <c r="A219" s="1035"/>
      <c r="B219" s="2987" t="str">
        <f>IFERROR(INDEX('1_入力シート【基本情報】'!$DW$307:$DW$526,MATCH(ROW(A53),'1_入力シート【基本情報】'!$HX$307:$HX$526,0)),"")</f>
        <v/>
      </c>
      <c r="C219" s="2988"/>
      <c r="D219" s="2989"/>
      <c r="E219" s="2983" t="str">
        <f>IFERROR(INDEX('1_入力シート【基本情報】'!$DR$307:$DR$526,MATCH(ROW(A53),'1_入力シート【基本情報】'!$HX$307:$HX$526,0)),"")</f>
        <v/>
      </c>
      <c r="F219" s="2983"/>
      <c r="G219" s="2983"/>
      <c r="H219" s="2983"/>
      <c r="I219" s="2983"/>
      <c r="J219" s="2983"/>
      <c r="K219" s="2983"/>
      <c r="L219" s="2983"/>
      <c r="M219" s="2983"/>
      <c r="N219" s="2984"/>
      <c r="O219" s="2984" t="str">
        <f>IFERROR(INDEX('1_入力シート【基本情報】'!$FW$307:$FW$526,MATCH(ROW(A53),'1_入力シート【基本情報】'!$HX$307:$HX$526,0)),"")</f>
        <v/>
      </c>
      <c r="P219" s="2985"/>
      <c r="Q219" s="2985"/>
      <c r="R219" s="2985"/>
      <c r="S219" s="2985"/>
      <c r="T219" s="2985"/>
      <c r="U219" s="2985"/>
      <c r="V219" s="2985"/>
      <c r="W219" s="2985"/>
      <c r="X219" s="2985"/>
      <c r="Y219" s="2985"/>
      <c r="Z219" s="2985"/>
      <c r="AA219" s="2985"/>
      <c r="AB219" s="2985"/>
      <c r="AC219" s="2985"/>
      <c r="AD219" s="2985"/>
      <c r="AE219" s="2984" t="str">
        <f>IFERROR(INDEX('1_入力シート【基本情報】'!$BD$307:$BD$526,MATCH(ROW(A53),'1_入力シート【基本情報】'!$HX$307:$HX$526,0)),"")</f>
        <v/>
      </c>
      <c r="AF219" s="2985"/>
      <c r="AG219" s="2985"/>
      <c r="AH219" s="2985"/>
      <c r="AI219" s="2985"/>
      <c r="AJ219" s="2985"/>
      <c r="AK219" s="2985"/>
      <c r="AL219" s="2985"/>
      <c r="AM219" s="2985"/>
      <c r="AN219" s="2985"/>
      <c r="AO219" s="2986"/>
      <c r="AP219" s="1662" t="str">
        <f>IFERROR(INDEX('1_入力シート【基本情報】'!$EA$307:$EA$526,MATCH(ROW(A53),'1_入力シート【基本情報】'!$HX$307:$HX$526,0)),"")</f>
        <v/>
      </c>
      <c r="AQ219" s="1035"/>
    </row>
    <row r="220" spans="1:43" ht="65.150000000000006" customHeight="1">
      <c r="A220" s="1035"/>
      <c r="B220" s="2987" t="str">
        <f>IFERROR(INDEX('1_入力シート【基本情報】'!$DW$307:$DW$526,MATCH(ROW(A54),'1_入力シート【基本情報】'!$HX$307:$HX$526,0)),"")</f>
        <v/>
      </c>
      <c r="C220" s="2988"/>
      <c r="D220" s="2989"/>
      <c r="E220" s="2983" t="str">
        <f>IFERROR(INDEX('1_入力シート【基本情報】'!$DR$307:$DR$526,MATCH(ROW(A54),'1_入力シート【基本情報】'!$HX$307:$HX$526,0)),"")</f>
        <v/>
      </c>
      <c r="F220" s="2983"/>
      <c r="G220" s="2983"/>
      <c r="H220" s="2983"/>
      <c r="I220" s="2983"/>
      <c r="J220" s="2983"/>
      <c r="K220" s="2983"/>
      <c r="L220" s="2983"/>
      <c r="M220" s="2983"/>
      <c r="N220" s="2984"/>
      <c r="O220" s="2984" t="str">
        <f>IFERROR(INDEX('1_入力シート【基本情報】'!$FW$307:$FW$526,MATCH(ROW(A54),'1_入力シート【基本情報】'!$HX$307:$HX$526,0)),"")</f>
        <v/>
      </c>
      <c r="P220" s="2985"/>
      <c r="Q220" s="2985"/>
      <c r="R220" s="2985"/>
      <c r="S220" s="2985"/>
      <c r="T220" s="2985"/>
      <c r="U220" s="2985"/>
      <c r="V220" s="2985"/>
      <c r="W220" s="2985"/>
      <c r="X220" s="2985"/>
      <c r="Y220" s="2985"/>
      <c r="Z220" s="2985"/>
      <c r="AA220" s="2985"/>
      <c r="AB220" s="2985"/>
      <c r="AC220" s="2985"/>
      <c r="AD220" s="2985"/>
      <c r="AE220" s="2984" t="str">
        <f>IFERROR(INDEX('1_入力シート【基本情報】'!$BD$307:$BD$526,MATCH(ROW(A54),'1_入力シート【基本情報】'!$HX$307:$HX$526,0)),"")</f>
        <v/>
      </c>
      <c r="AF220" s="2985"/>
      <c r="AG220" s="2985"/>
      <c r="AH220" s="2985"/>
      <c r="AI220" s="2985"/>
      <c r="AJ220" s="2985"/>
      <c r="AK220" s="2985"/>
      <c r="AL220" s="2985"/>
      <c r="AM220" s="2985"/>
      <c r="AN220" s="2985"/>
      <c r="AO220" s="2986"/>
      <c r="AP220" s="1662" t="str">
        <f>IFERROR(INDEX('1_入力シート【基本情報】'!$EA$307:$EA$526,MATCH(ROW(A54),'1_入力シート【基本情報】'!$HX$307:$HX$526,0)),"")</f>
        <v/>
      </c>
      <c r="AQ220" s="1035"/>
    </row>
    <row r="221" spans="1:43" ht="65.150000000000006" customHeight="1">
      <c r="A221" s="1035"/>
      <c r="B221" s="2987" t="str">
        <f>IFERROR(INDEX('1_入力シート【基本情報】'!$DW$307:$DW$526,MATCH(ROW(A55),'1_入力シート【基本情報】'!$HX$307:$HX$526,0)),"")</f>
        <v/>
      </c>
      <c r="C221" s="2988"/>
      <c r="D221" s="2989"/>
      <c r="E221" s="2983" t="str">
        <f>IFERROR(INDEX('1_入力シート【基本情報】'!$DR$307:$DR$526,MATCH(ROW(A55),'1_入力シート【基本情報】'!$HX$307:$HX$526,0)),"")</f>
        <v/>
      </c>
      <c r="F221" s="2983"/>
      <c r="G221" s="2983"/>
      <c r="H221" s="2983"/>
      <c r="I221" s="2983"/>
      <c r="J221" s="2983"/>
      <c r="K221" s="2983"/>
      <c r="L221" s="2983"/>
      <c r="M221" s="2983"/>
      <c r="N221" s="2984"/>
      <c r="O221" s="2984" t="str">
        <f>IFERROR(INDEX('1_入力シート【基本情報】'!$FW$307:$FW$526,MATCH(ROW(A55),'1_入力シート【基本情報】'!$HX$307:$HX$526,0)),"")</f>
        <v/>
      </c>
      <c r="P221" s="2985"/>
      <c r="Q221" s="2985"/>
      <c r="R221" s="2985"/>
      <c r="S221" s="2985"/>
      <c r="T221" s="2985"/>
      <c r="U221" s="2985"/>
      <c r="V221" s="2985"/>
      <c r="W221" s="2985"/>
      <c r="X221" s="2985"/>
      <c r="Y221" s="2985"/>
      <c r="Z221" s="2985"/>
      <c r="AA221" s="2985"/>
      <c r="AB221" s="2985"/>
      <c r="AC221" s="2985"/>
      <c r="AD221" s="2985"/>
      <c r="AE221" s="2984" t="str">
        <f>IFERROR(INDEX('1_入力シート【基本情報】'!$BD$307:$BD$526,MATCH(ROW(A55),'1_入力シート【基本情報】'!$HX$307:$HX$526,0)),"")</f>
        <v/>
      </c>
      <c r="AF221" s="2985"/>
      <c r="AG221" s="2985"/>
      <c r="AH221" s="2985"/>
      <c r="AI221" s="2985"/>
      <c r="AJ221" s="2985"/>
      <c r="AK221" s="2985"/>
      <c r="AL221" s="2985"/>
      <c r="AM221" s="2985"/>
      <c r="AN221" s="2985"/>
      <c r="AO221" s="2986"/>
      <c r="AP221" s="1662" t="str">
        <f>IFERROR(INDEX('1_入力シート【基本情報】'!$EA$307:$EA$526,MATCH(ROW(A55),'1_入力シート【基本情報】'!$HX$307:$HX$526,0)),"")</f>
        <v/>
      </c>
      <c r="AQ221" s="1035"/>
    </row>
    <row r="222" spans="1:43" ht="65.150000000000006" customHeight="1">
      <c r="A222" s="1035"/>
      <c r="B222" s="2987" t="str">
        <f>IFERROR(INDEX('1_入力シート【基本情報】'!$DW$307:$DW$526,MATCH(ROW(A56),'1_入力シート【基本情報】'!$HX$307:$HX$526,0)),"")</f>
        <v/>
      </c>
      <c r="C222" s="2988"/>
      <c r="D222" s="2989"/>
      <c r="E222" s="2983" t="str">
        <f>IFERROR(INDEX('1_入力シート【基本情報】'!$DR$307:$DR$526,MATCH(ROW(A56),'1_入力シート【基本情報】'!$HX$307:$HX$526,0)),"")</f>
        <v/>
      </c>
      <c r="F222" s="2983"/>
      <c r="G222" s="2983"/>
      <c r="H222" s="2983"/>
      <c r="I222" s="2983"/>
      <c r="J222" s="2983"/>
      <c r="K222" s="2983"/>
      <c r="L222" s="2983"/>
      <c r="M222" s="2983"/>
      <c r="N222" s="2984"/>
      <c r="O222" s="2984" t="str">
        <f>IFERROR(INDEX('1_入力シート【基本情報】'!$FW$307:$FW$526,MATCH(ROW(A56),'1_入力シート【基本情報】'!$HX$307:$HX$526,0)),"")</f>
        <v/>
      </c>
      <c r="P222" s="2985"/>
      <c r="Q222" s="2985"/>
      <c r="R222" s="2985"/>
      <c r="S222" s="2985"/>
      <c r="T222" s="2985"/>
      <c r="U222" s="2985"/>
      <c r="V222" s="2985"/>
      <c r="W222" s="2985"/>
      <c r="X222" s="2985"/>
      <c r="Y222" s="2985"/>
      <c r="Z222" s="2985"/>
      <c r="AA222" s="2985"/>
      <c r="AB222" s="2985"/>
      <c r="AC222" s="2985"/>
      <c r="AD222" s="2985"/>
      <c r="AE222" s="2984" t="str">
        <f>IFERROR(INDEX('1_入力シート【基本情報】'!$BD$307:$BD$526,MATCH(ROW(A56),'1_入力シート【基本情報】'!$HX$307:$HX$526,0)),"")</f>
        <v/>
      </c>
      <c r="AF222" s="2985"/>
      <c r="AG222" s="2985"/>
      <c r="AH222" s="2985"/>
      <c r="AI222" s="2985"/>
      <c r="AJ222" s="2985"/>
      <c r="AK222" s="2985"/>
      <c r="AL222" s="2985"/>
      <c r="AM222" s="2985"/>
      <c r="AN222" s="2985"/>
      <c r="AO222" s="2986"/>
      <c r="AP222" s="1662" t="str">
        <f>IFERROR(INDEX('1_入力シート【基本情報】'!$EA$307:$EA$526,MATCH(ROW(A56),'1_入力シート【基本情報】'!$HX$307:$HX$526,0)),"")</f>
        <v/>
      </c>
      <c r="AQ222" s="1035"/>
    </row>
    <row r="223" spans="1:43" ht="65.150000000000006" customHeight="1">
      <c r="A223" s="1035"/>
      <c r="B223" s="2987" t="str">
        <f>IFERROR(INDEX('1_入力シート【基本情報】'!$DW$307:$DW$526,MATCH(ROW(A57),'1_入力シート【基本情報】'!$HX$307:$HX$526,0)),"")</f>
        <v/>
      </c>
      <c r="C223" s="2988"/>
      <c r="D223" s="2989"/>
      <c r="E223" s="2983" t="str">
        <f>IFERROR(INDEX('1_入力シート【基本情報】'!$DR$307:$DR$526,MATCH(ROW(A57),'1_入力シート【基本情報】'!$HX$307:$HX$526,0)),"")</f>
        <v/>
      </c>
      <c r="F223" s="2983"/>
      <c r="G223" s="2983"/>
      <c r="H223" s="2983"/>
      <c r="I223" s="2983"/>
      <c r="J223" s="2983"/>
      <c r="K223" s="2983"/>
      <c r="L223" s="2983"/>
      <c r="M223" s="2983"/>
      <c r="N223" s="2984"/>
      <c r="O223" s="2984" t="str">
        <f>IFERROR(INDEX('1_入力シート【基本情報】'!$FW$307:$FW$526,MATCH(ROW(A57),'1_入力シート【基本情報】'!$HX$307:$HX$526,0)),"")</f>
        <v/>
      </c>
      <c r="P223" s="2985"/>
      <c r="Q223" s="2985"/>
      <c r="R223" s="2985"/>
      <c r="S223" s="2985"/>
      <c r="T223" s="2985"/>
      <c r="U223" s="2985"/>
      <c r="V223" s="2985"/>
      <c r="W223" s="2985"/>
      <c r="X223" s="2985"/>
      <c r="Y223" s="2985"/>
      <c r="Z223" s="2985"/>
      <c r="AA223" s="2985"/>
      <c r="AB223" s="2985"/>
      <c r="AC223" s="2985"/>
      <c r="AD223" s="2985"/>
      <c r="AE223" s="2984" t="str">
        <f>IFERROR(INDEX('1_入力シート【基本情報】'!$BD$307:$BD$526,MATCH(ROW(A57),'1_入力シート【基本情報】'!$HX$307:$HX$526,0)),"")</f>
        <v/>
      </c>
      <c r="AF223" s="2985"/>
      <c r="AG223" s="2985"/>
      <c r="AH223" s="2985"/>
      <c r="AI223" s="2985"/>
      <c r="AJ223" s="2985"/>
      <c r="AK223" s="2985"/>
      <c r="AL223" s="2985"/>
      <c r="AM223" s="2985"/>
      <c r="AN223" s="2985"/>
      <c r="AO223" s="2986"/>
      <c r="AP223" s="1662" t="str">
        <f>IFERROR(INDEX('1_入力シート【基本情報】'!$EA$307:$EA$526,MATCH(ROW(A57),'1_入力シート【基本情報】'!$HX$307:$HX$526,0)),"")</f>
        <v/>
      </c>
      <c r="AQ223" s="1035"/>
    </row>
    <row r="224" spans="1:43" ht="65.150000000000006" customHeight="1">
      <c r="A224" s="1035"/>
      <c r="B224" s="2987" t="str">
        <f>IFERROR(INDEX('1_入力シート【基本情報】'!$DW$307:$DW$526,MATCH(ROW(A58),'1_入力シート【基本情報】'!$HX$307:$HX$526,0)),"")</f>
        <v/>
      </c>
      <c r="C224" s="2988"/>
      <c r="D224" s="2989"/>
      <c r="E224" s="2983" t="str">
        <f>IFERROR(INDEX('1_入力シート【基本情報】'!$DR$307:$DR$526,MATCH(ROW(A58),'1_入力シート【基本情報】'!$HX$307:$HX$526,0)),"")</f>
        <v/>
      </c>
      <c r="F224" s="2983"/>
      <c r="G224" s="2983"/>
      <c r="H224" s="2983"/>
      <c r="I224" s="2983"/>
      <c r="J224" s="2983"/>
      <c r="K224" s="2983"/>
      <c r="L224" s="2983"/>
      <c r="M224" s="2983"/>
      <c r="N224" s="2984"/>
      <c r="O224" s="2984" t="str">
        <f>IFERROR(INDEX('1_入力シート【基本情報】'!$FW$307:$FW$526,MATCH(ROW(A58),'1_入力シート【基本情報】'!$HX$307:$HX$526,0)),"")</f>
        <v/>
      </c>
      <c r="P224" s="2985"/>
      <c r="Q224" s="2985"/>
      <c r="R224" s="2985"/>
      <c r="S224" s="2985"/>
      <c r="T224" s="2985"/>
      <c r="U224" s="2985"/>
      <c r="V224" s="2985"/>
      <c r="W224" s="2985"/>
      <c r="X224" s="2985"/>
      <c r="Y224" s="2985"/>
      <c r="Z224" s="2985"/>
      <c r="AA224" s="2985"/>
      <c r="AB224" s="2985"/>
      <c r="AC224" s="2985"/>
      <c r="AD224" s="2985"/>
      <c r="AE224" s="2984" t="str">
        <f>IFERROR(INDEX('1_入力シート【基本情報】'!$BD$307:$BD$526,MATCH(ROW(A58),'1_入力シート【基本情報】'!$HX$307:$HX$526,0)),"")</f>
        <v/>
      </c>
      <c r="AF224" s="2985"/>
      <c r="AG224" s="2985"/>
      <c r="AH224" s="2985"/>
      <c r="AI224" s="2985"/>
      <c r="AJ224" s="2985"/>
      <c r="AK224" s="2985"/>
      <c r="AL224" s="2985"/>
      <c r="AM224" s="2985"/>
      <c r="AN224" s="2985"/>
      <c r="AO224" s="2986"/>
      <c r="AP224" s="1662" t="str">
        <f>IFERROR(INDEX('1_入力シート【基本情報】'!$EA$307:$EA$526,MATCH(ROW(A58),'1_入力シート【基本情報】'!$HX$307:$HX$526,0)),"")</f>
        <v/>
      </c>
      <c r="AQ224" s="1035"/>
    </row>
    <row r="225" spans="1:43" ht="65.150000000000006" customHeight="1">
      <c r="A225" s="1035"/>
      <c r="B225" s="2987" t="str">
        <f>IFERROR(INDEX('1_入力シート【基本情報】'!$DW$307:$DW$526,MATCH(ROW(A59),'1_入力シート【基本情報】'!$HX$307:$HX$526,0)),"")</f>
        <v/>
      </c>
      <c r="C225" s="2988"/>
      <c r="D225" s="2989"/>
      <c r="E225" s="2983" t="str">
        <f>IFERROR(INDEX('1_入力シート【基本情報】'!$DR$307:$DR$526,MATCH(ROW(A59),'1_入力シート【基本情報】'!$HX$307:$HX$526,0)),"")</f>
        <v/>
      </c>
      <c r="F225" s="2983"/>
      <c r="G225" s="2983"/>
      <c r="H225" s="2983"/>
      <c r="I225" s="2983"/>
      <c r="J225" s="2983"/>
      <c r="K225" s="2983"/>
      <c r="L225" s="2983"/>
      <c r="M225" s="2983"/>
      <c r="N225" s="2984"/>
      <c r="O225" s="2984" t="str">
        <f>IFERROR(INDEX('1_入力シート【基本情報】'!$FW$307:$FW$526,MATCH(ROW(A59),'1_入力シート【基本情報】'!$HX$307:$HX$526,0)),"")</f>
        <v/>
      </c>
      <c r="P225" s="2985"/>
      <c r="Q225" s="2985"/>
      <c r="R225" s="2985"/>
      <c r="S225" s="2985"/>
      <c r="T225" s="2985"/>
      <c r="U225" s="2985"/>
      <c r="V225" s="2985"/>
      <c r="W225" s="2985"/>
      <c r="X225" s="2985"/>
      <c r="Y225" s="2985"/>
      <c r="Z225" s="2985"/>
      <c r="AA225" s="2985"/>
      <c r="AB225" s="2985"/>
      <c r="AC225" s="2985"/>
      <c r="AD225" s="2985"/>
      <c r="AE225" s="2984" t="str">
        <f>IFERROR(INDEX('1_入力シート【基本情報】'!$BD$307:$BD$526,MATCH(ROW(A59),'1_入力シート【基本情報】'!$HX$307:$HX$526,0)),"")</f>
        <v/>
      </c>
      <c r="AF225" s="2985"/>
      <c r="AG225" s="2985"/>
      <c r="AH225" s="2985"/>
      <c r="AI225" s="2985"/>
      <c r="AJ225" s="2985"/>
      <c r="AK225" s="2985"/>
      <c r="AL225" s="2985"/>
      <c r="AM225" s="2985"/>
      <c r="AN225" s="2985"/>
      <c r="AO225" s="2986"/>
      <c r="AP225" s="1662" t="str">
        <f>IFERROR(INDEX('1_入力シート【基本情報】'!$EA$307:$EA$526,MATCH(ROW(A59),'1_入力シート【基本情報】'!$HX$307:$HX$526,0)),"")</f>
        <v/>
      </c>
      <c r="AQ225" s="1035"/>
    </row>
    <row r="226" spans="1:43" ht="65.150000000000006" customHeight="1">
      <c r="A226" s="1035"/>
      <c r="B226" s="2987" t="str">
        <f>IFERROR(INDEX('1_入力シート【基本情報】'!$DW$307:$DW$526,MATCH(ROW(A60),'1_入力シート【基本情報】'!$HX$307:$HX$526,0)),"")</f>
        <v/>
      </c>
      <c r="C226" s="2988"/>
      <c r="D226" s="2989"/>
      <c r="E226" s="2983" t="str">
        <f>IFERROR(INDEX('1_入力シート【基本情報】'!$DR$307:$DR$526,MATCH(ROW(A60),'1_入力シート【基本情報】'!$HX$307:$HX$526,0)),"")</f>
        <v/>
      </c>
      <c r="F226" s="2983"/>
      <c r="G226" s="2983"/>
      <c r="H226" s="2983"/>
      <c r="I226" s="2983"/>
      <c r="J226" s="2983"/>
      <c r="K226" s="2983"/>
      <c r="L226" s="2983"/>
      <c r="M226" s="2983"/>
      <c r="N226" s="2984"/>
      <c r="O226" s="2984" t="str">
        <f>IFERROR(INDEX('1_入力シート【基本情報】'!$FW$307:$FW$526,MATCH(ROW(A60),'1_入力シート【基本情報】'!$HX$307:$HX$526,0)),"")</f>
        <v/>
      </c>
      <c r="P226" s="2985"/>
      <c r="Q226" s="2985"/>
      <c r="R226" s="2985"/>
      <c r="S226" s="2985"/>
      <c r="T226" s="2985"/>
      <c r="U226" s="2985"/>
      <c r="V226" s="2985"/>
      <c r="W226" s="2985"/>
      <c r="X226" s="2985"/>
      <c r="Y226" s="2985"/>
      <c r="Z226" s="2985"/>
      <c r="AA226" s="2985"/>
      <c r="AB226" s="2985"/>
      <c r="AC226" s="2985"/>
      <c r="AD226" s="2985"/>
      <c r="AE226" s="2984" t="str">
        <f>IFERROR(INDEX('1_入力シート【基本情報】'!$BD$307:$BD$526,MATCH(ROW(A60),'1_入力シート【基本情報】'!$HX$307:$HX$526,0)),"")</f>
        <v/>
      </c>
      <c r="AF226" s="2985"/>
      <c r="AG226" s="2985"/>
      <c r="AH226" s="2985"/>
      <c r="AI226" s="2985"/>
      <c r="AJ226" s="2985"/>
      <c r="AK226" s="2985"/>
      <c r="AL226" s="2985"/>
      <c r="AM226" s="2985"/>
      <c r="AN226" s="2985"/>
      <c r="AO226" s="2986"/>
      <c r="AP226" s="1662" t="str">
        <f>IFERROR(INDEX('1_入力シート【基本情報】'!$EA$307:$EA$526,MATCH(ROW(A60),'1_入力シート【基本情報】'!$HX$307:$HX$526,0)),"")</f>
        <v/>
      </c>
      <c r="AQ226" s="1035"/>
    </row>
    <row r="227" spans="1:43" ht="65.150000000000006" customHeight="1">
      <c r="A227" s="1035"/>
      <c r="B227" s="2987" t="str">
        <f>IFERROR(INDEX('1_入力シート【基本情報】'!$DW$307:$DW$526,MATCH(ROW(A61),'1_入力シート【基本情報】'!$HX$307:$HX$526,0)),"")</f>
        <v/>
      </c>
      <c r="C227" s="2988"/>
      <c r="D227" s="2989"/>
      <c r="E227" s="2983" t="str">
        <f>IFERROR(INDEX('1_入力シート【基本情報】'!$DR$307:$DR$526,MATCH(ROW(A61),'1_入力シート【基本情報】'!$HX$307:$HX$526,0)),"")</f>
        <v/>
      </c>
      <c r="F227" s="2983"/>
      <c r="G227" s="2983"/>
      <c r="H227" s="2983"/>
      <c r="I227" s="2983"/>
      <c r="J227" s="2983"/>
      <c r="K227" s="2983"/>
      <c r="L227" s="2983"/>
      <c r="M227" s="2983"/>
      <c r="N227" s="2984"/>
      <c r="O227" s="2984" t="str">
        <f>IFERROR(INDEX('1_入力シート【基本情報】'!$FW$307:$FW$526,MATCH(ROW(A61),'1_入力シート【基本情報】'!$HX$307:$HX$526,0)),"")</f>
        <v/>
      </c>
      <c r="P227" s="2985"/>
      <c r="Q227" s="2985"/>
      <c r="R227" s="2985"/>
      <c r="S227" s="2985"/>
      <c r="T227" s="2985"/>
      <c r="U227" s="2985"/>
      <c r="V227" s="2985"/>
      <c r="W227" s="2985"/>
      <c r="X227" s="2985"/>
      <c r="Y227" s="2985"/>
      <c r="Z227" s="2985"/>
      <c r="AA227" s="2985"/>
      <c r="AB227" s="2985"/>
      <c r="AC227" s="2985"/>
      <c r="AD227" s="2985"/>
      <c r="AE227" s="2984" t="str">
        <f>IFERROR(INDEX('1_入力シート【基本情報】'!$BD$307:$BD$526,MATCH(ROW(A61),'1_入力シート【基本情報】'!$HX$307:$HX$526,0)),"")</f>
        <v/>
      </c>
      <c r="AF227" s="2985"/>
      <c r="AG227" s="2985"/>
      <c r="AH227" s="2985"/>
      <c r="AI227" s="2985"/>
      <c r="AJ227" s="2985"/>
      <c r="AK227" s="2985"/>
      <c r="AL227" s="2985"/>
      <c r="AM227" s="2985"/>
      <c r="AN227" s="2985"/>
      <c r="AO227" s="2986"/>
      <c r="AP227" s="1662" t="str">
        <f>IFERROR(INDEX('1_入力シート【基本情報】'!$EA$307:$EA$526,MATCH(ROW(A61),'1_入力シート【基本情報】'!$HX$307:$HX$526,0)),"")</f>
        <v/>
      </c>
      <c r="AQ227" s="1035"/>
    </row>
    <row r="228" spans="1:43" ht="65.150000000000006" customHeight="1">
      <c r="A228" s="1035"/>
      <c r="B228" s="2987" t="str">
        <f>IFERROR(INDEX('1_入力シート【基本情報】'!$DW$307:$DW$526,MATCH(ROW(A62),'1_入力シート【基本情報】'!$HX$307:$HX$526,0)),"")</f>
        <v/>
      </c>
      <c r="C228" s="2988"/>
      <c r="D228" s="2989"/>
      <c r="E228" s="2983" t="str">
        <f>IFERROR(INDEX('1_入力シート【基本情報】'!$DR$307:$DR$526,MATCH(ROW(A62),'1_入力シート【基本情報】'!$HX$307:$HX$526,0)),"")</f>
        <v/>
      </c>
      <c r="F228" s="2983"/>
      <c r="G228" s="2983"/>
      <c r="H228" s="2983"/>
      <c r="I228" s="2983"/>
      <c r="J228" s="2983"/>
      <c r="K228" s="2983"/>
      <c r="L228" s="2983"/>
      <c r="M228" s="2983"/>
      <c r="N228" s="2984"/>
      <c r="O228" s="2984" t="str">
        <f>IFERROR(INDEX('1_入力シート【基本情報】'!$FW$307:$FW$526,MATCH(ROW(A62),'1_入力シート【基本情報】'!$HX$307:$HX$526,0)),"")</f>
        <v/>
      </c>
      <c r="P228" s="2985"/>
      <c r="Q228" s="2985"/>
      <c r="R228" s="2985"/>
      <c r="S228" s="2985"/>
      <c r="T228" s="2985"/>
      <c r="U228" s="2985"/>
      <c r="V228" s="2985"/>
      <c r="W228" s="2985"/>
      <c r="X228" s="2985"/>
      <c r="Y228" s="2985"/>
      <c r="Z228" s="2985"/>
      <c r="AA228" s="2985"/>
      <c r="AB228" s="2985"/>
      <c r="AC228" s="2985"/>
      <c r="AD228" s="2985"/>
      <c r="AE228" s="2984" t="str">
        <f>IFERROR(INDEX('1_入力シート【基本情報】'!$BD$307:$BD$526,MATCH(ROW(A62),'1_入力シート【基本情報】'!$HX$307:$HX$526,0)),"")</f>
        <v/>
      </c>
      <c r="AF228" s="2985"/>
      <c r="AG228" s="2985"/>
      <c r="AH228" s="2985"/>
      <c r="AI228" s="2985"/>
      <c r="AJ228" s="2985"/>
      <c r="AK228" s="2985"/>
      <c r="AL228" s="2985"/>
      <c r="AM228" s="2985"/>
      <c r="AN228" s="2985"/>
      <c r="AO228" s="2986"/>
      <c r="AP228" s="1662" t="str">
        <f>IFERROR(INDEX('1_入力シート【基本情報】'!$EA$307:$EA$526,MATCH(ROW(A62),'1_入力シート【基本情報】'!$HX$307:$HX$526,0)),"")</f>
        <v/>
      </c>
      <c r="AQ228" s="1035"/>
    </row>
    <row r="229" spans="1:43" ht="65.150000000000006" customHeight="1">
      <c r="A229" s="1035"/>
      <c r="B229" s="2987" t="str">
        <f>IFERROR(INDEX('1_入力シート【基本情報】'!$DW$307:$DW$526,MATCH(ROW(A63),'1_入力シート【基本情報】'!$HX$307:$HX$526,0)),"")</f>
        <v/>
      </c>
      <c r="C229" s="2988"/>
      <c r="D229" s="2989"/>
      <c r="E229" s="2983" t="str">
        <f>IFERROR(INDEX('1_入力シート【基本情報】'!$DR$307:$DR$526,MATCH(ROW(A63),'1_入力シート【基本情報】'!$HX$307:$HX$526,0)),"")</f>
        <v/>
      </c>
      <c r="F229" s="2983"/>
      <c r="G229" s="2983"/>
      <c r="H229" s="2983"/>
      <c r="I229" s="2983"/>
      <c r="J229" s="2983"/>
      <c r="K229" s="2983"/>
      <c r="L229" s="2983"/>
      <c r="M229" s="2983"/>
      <c r="N229" s="2984"/>
      <c r="O229" s="2984" t="str">
        <f>IFERROR(INDEX('1_入力シート【基本情報】'!$FW$307:$FW$526,MATCH(ROW(A63),'1_入力シート【基本情報】'!$HX$307:$HX$526,0)),"")</f>
        <v/>
      </c>
      <c r="P229" s="2985"/>
      <c r="Q229" s="2985"/>
      <c r="R229" s="2985"/>
      <c r="S229" s="2985"/>
      <c r="T229" s="2985"/>
      <c r="U229" s="2985"/>
      <c r="V229" s="2985"/>
      <c r="W229" s="2985"/>
      <c r="X229" s="2985"/>
      <c r="Y229" s="2985"/>
      <c r="Z229" s="2985"/>
      <c r="AA229" s="2985"/>
      <c r="AB229" s="2985"/>
      <c r="AC229" s="2985"/>
      <c r="AD229" s="2985"/>
      <c r="AE229" s="2984" t="str">
        <f>IFERROR(INDEX('1_入力シート【基本情報】'!$BD$307:$BD$526,MATCH(ROW(A63),'1_入力シート【基本情報】'!$HX$307:$HX$526,0)),"")</f>
        <v/>
      </c>
      <c r="AF229" s="2985"/>
      <c r="AG229" s="2985"/>
      <c r="AH229" s="2985"/>
      <c r="AI229" s="2985"/>
      <c r="AJ229" s="2985"/>
      <c r="AK229" s="2985"/>
      <c r="AL229" s="2985"/>
      <c r="AM229" s="2985"/>
      <c r="AN229" s="2985"/>
      <c r="AO229" s="2986"/>
      <c r="AP229" s="1662" t="str">
        <f>IFERROR(INDEX('1_入力シート【基本情報】'!$EA$307:$EA$526,MATCH(ROW(A63),'1_入力シート【基本情報】'!$HX$307:$HX$526,0)),"")</f>
        <v/>
      </c>
      <c r="AQ229" s="1035"/>
    </row>
    <row r="230" spans="1:43" ht="65.150000000000006" customHeight="1">
      <c r="A230" s="1035"/>
      <c r="B230" s="2987" t="str">
        <f>IFERROR(INDEX('1_入力シート【基本情報】'!$DW$307:$DW$526,MATCH(ROW(A64),'1_入力シート【基本情報】'!$HX$307:$HX$526,0)),"")</f>
        <v/>
      </c>
      <c r="C230" s="2988"/>
      <c r="D230" s="2989"/>
      <c r="E230" s="2983" t="str">
        <f>IFERROR(INDEX('1_入力シート【基本情報】'!$DR$307:$DR$526,MATCH(ROW(A64),'1_入力シート【基本情報】'!$HX$307:$HX$526,0)),"")</f>
        <v/>
      </c>
      <c r="F230" s="2983"/>
      <c r="G230" s="2983"/>
      <c r="H230" s="2983"/>
      <c r="I230" s="2983"/>
      <c r="J230" s="2983"/>
      <c r="K230" s="2983"/>
      <c r="L230" s="2983"/>
      <c r="M230" s="2983"/>
      <c r="N230" s="2984"/>
      <c r="O230" s="2984" t="str">
        <f>IFERROR(INDEX('1_入力シート【基本情報】'!$FW$307:$FW$526,MATCH(ROW(A64),'1_入力シート【基本情報】'!$HX$307:$HX$526,0)),"")</f>
        <v/>
      </c>
      <c r="P230" s="2985"/>
      <c r="Q230" s="2985"/>
      <c r="R230" s="2985"/>
      <c r="S230" s="2985"/>
      <c r="T230" s="2985"/>
      <c r="U230" s="2985"/>
      <c r="V230" s="2985"/>
      <c r="W230" s="2985"/>
      <c r="X230" s="2985"/>
      <c r="Y230" s="2985"/>
      <c r="Z230" s="2985"/>
      <c r="AA230" s="2985"/>
      <c r="AB230" s="2985"/>
      <c r="AC230" s="2985"/>
      <c r="AD230" s="2985"/>
      <c r="AE230" s="2984" t="str">
        <f>IFERROR(INDEX('1_入力シート【基本情報】'!$BD$307:$BD$526,MATCH(ROW(A64),'1_入力シート【基本情報】'!$HX$307:$HX$526,0)),"")</f>
        <v/>
      </c>
      <c r="AF230" s="2985"/>
      <c r="AG230" s="2985"/>
      <c r="AH230" s="2985"/>
      <c r="AI230" s="2985"/>
      <c r="AJ230" s="2985"/>
      <c r="AK230" s="2985"/>
      <c r="AL230" s="2985"/>
      <c r="AM230" s="2985"/>
      <c r="AN230" s="2985"/>
      <c r="AO230" s="2986"/>
      <c r="AP230" s="1662" t="str">
        <f>IFERROR(INDEX('1_入力シート【基本情報】'!$EA$307:$EA$526,MATCH(ROW(A64),'1_入力シート【基本情報】'!$HX$307:$HX$526,0)),"")</f>
        <v/>
      </c>
      <c r="AQ230" s="1035"/>
    </row>
    <row r="231" spans="1:43" ht="65.150000000000006" customHeight="1">
      <c r="A231" s="1035"/>
      <c r="B231" s="2987" t="str">
        <f>IFERROR(INDEX('1_入力シート【基本情報】'!$DW$307:$DW$526,MATCH(ROW(A65),'1_入力シート【基本情報】'!$HX$307:$HX$526,0)),"")</f>
        <v/>
      </c>
      <c r="C231" s="2988"/>
      <c r="D231" s="2989"/>
      <c r="E231" s="2983" t="str">
        <f>IFERROR(INDEX('1_入力シート【基本情報】'!$DR$307:$DR$526,MATCH(ROW(A65),'1_入力シート【基本情報】'!$HX$307:$HX$526,0)),"")</f>
        <v/>
      </c>
      <c r="F231" s="2983"/>
      <c r="G231" s="2983"/>
      <c r="H231" s="2983"/>
      <c r="I231" s="2983"/>
      <c r="J231" s="2983"/>
      <c r="K231" s="2983"/>
      <c r="L231" s="2983"/>
      <c r="M231" s="2983"/>
      <c r="N231" s="2984"/>
      <c r="O231" s="2984" t="str">
        <f>IFERROR(INDEX('1_入力シート【基本情報】'!$FW$307:$FW$526,MATCH(ROW(A65),'1_入力シート【基本情報】'!$HX$307:$HX$526,0)),"")</f>
        <v/>
      </c>
      <c r="P231" s="2985"/>
      <c r="Q231" s="2985"/>
      <c r="R231" s="2985"/>
      <c r="S231" s="2985"/>
      <c r="T231" s="2985"/>
      <c r="U231" s="2985"/>
      <c r="V231" s="2985"/>
      <c r="W231" s="2985"/>
      <c r="X231" s="2985"/>
      <c r="Y231" s="2985"/>
      <c r="Z231" s="2985"/>
      <c r="AA231" s="2985"/>
      <c r="AB231" s="2985"/>
      <c r="AC231" s="2985"/>
      <c r="AD231" s="2985"/>
      <c r="AE231" s="2984" t="str">
        <f>IFERROR(INDEX('1_入力シート【基本情報】'!$BD$307:$BD$526,MATCH(ROW(A65),'1_入力シート【基本情報】'!$HX$307:$HX$526,0)),"")</f>
        <v/>
      </c>
      <c r="AF231" s="2985"/>
      <c r="AG231" s="2985"/>
      <c r="AH231" s="2985"/>
      <c r="AI231" s="2985"/>
      <c r="AJ231" s="2985"/>
      <c r="AK231" s="2985"/>
      <c r="AL231" s="2985"/>
      <c r="AM231" s="2985"/>
      <c r="AN231" s="2985"/>
      <c r="AO231" s="2986"/>
      <c r="AP231" s="1662" t="str">
        <f>IFERROR(INDEX('1_入力シート【基本情報】'!$EA$307:$EA$526,MATCH(ROW(A65),'1_入力シート【基本情報】'!$HX$307:$HX$526,0)),"")</f>
        <v/>
      </c>
      <c r="AQ231" s="1035"/>
    </row>
    <row r="232" spans="1:43" ht="65.150000000000006" customHeight="1">
      <c r="A232" s="1035"/>
      <c r="B232" s="2987" t="str">
        <f>IFERROR(INDEX('1_入力シート【基本情報】'!$DW$307:$DW$526,MATCH(ROW(A66),'1_入力シート【基本情報】'!$HX$307:$HX$526,0)),"")</f>
        <v/>
      </c>
      <c r="C232" s="2988"/>
      <c r="D232" s="2989"/>
      <c r="E232" s="2983" t="str">
        <f>IFERROR(INDEX('1_入力シート【基本情報】'!$DR$307:$DR$526,MATCH(ROW(A66),'1_入力シート【基本情報】'!$HX$307:$HX$526,0)),"")</f>
        <v/>
      </c>
      <c r="F232" s="2983"/>
      <c r="G232" s="2983"/>
      <c r="H232" s="2983"/>
      <c r="I232" s="2983"/>
      <c r="J232" s="2983"/>
      <c r="K232" s="2983"/>
      <c r="L232" s="2983"/>
      <c r="M232" s="2983"/>
      <c r="N232" s="2984"/>
      <c r="O232" s="2984" t="str">
        <f>IFERROR(INDEX('1_入力シート【基本情報】'!$FW$307:$FW$526,MATCH(ROW(A66),'1_入力シート【基本情報】'!$HX$307:$HX$526,0)),"")</f>
        <v/>
      </c>
      <c r="P232" s="2985"/>
      <c r="Q232" s="2985"/>
      <c r="R232" s="2985"/>
      <c r="S232" s="2985"/>
      <c r="T232" s="2985"/>
      <c r="U232" s="2985"/>
      <c r="V232" s="2985"/>
      <c r="W232" s="2985"/>
      <c r="X232" s="2985"/>
      <c r="Y232" s="2985"/>
      <c r="Z232" s="2985"/>
      <c r="AA232" s="2985"/>
      <c r="AB232" s="2985"/>
      <c r="AC232" s="2985"/>
      <c r="AD232" s="2985"/>
      <c r="AE232" s="2984" t="str">
        <f>IFERROR(INDEX('1_入力シート【基本情報】'!$BD$307:$BD$526,MATCH(ROW(A66),'1_入力シート【基本情報】'!$HX$307:$HX$526,0)),"")</f>
        <v/>
      </c>
      <c r="AF232" s="2985"/>
      <c r="AG232" s="2985"/>
      <c r="AH232" s="2985"/>
      <c r="AI232" s="2985"/>
      <c r="AJ232" s="2985"/>
      <c r="AK232" s="2985"/>
      <c r="AL232" s="2985"/>
      <c r="AM232" s="2985"/>
      <c r="AN232" s="2985"/>
      <c r="AO232" s="2986"/>
      <c r="AP232" s="1662" t="str">
        <f>IFERROR(INDEX('1_入力シート【基本情報】'!$EA$307:$EA$526,MATCH(ROW(A66),'1_入力シート【基本情報】'!$HX$307:$HX$526,0)),"")</f>
        <v/>
      </c>
      <c r="AQ232" s="1035"/>
    </row>
    <row r="233" spans="1:43" ht="65.150000000000006" customHeight="1">
      <c r="A233" s="1035"/>
      <c r="B233" s="2987" t="str">
        <f>IFERROR(INDEX('1_入力シート【基本情報】'!$DW$307:$DW$526,MATCH(ROW(A67),'1_入力シート【基本情報】'!$HX$307:$HX$526,0)),"")</f>
        <v/>
      </c>
      <c r="C233" s="2988"/>
      <c r="D233" s="2989"/>
      <c r="E233" s="2983" t="str">
        <f>IFERROR(INDEX('1_入力シート【基本情報】'!$DR$307:$DR$526,MATCH(ROW(A67),'1_入力シート【基本情報】'!$HX$307:$HX$526,0)),"")</f>
        <v/>
      </c>
      <c r="F233" s="2983"/>
      <c r="G233" s="2983"/>
      <c r="H233" s="2983"/>
      <c r="I233" s="2983"/>
      <c r="J233" s="2983"/>
      <c r="K233" s="2983"/>
      <c r="L233" s="2983"/>
      <c r="M233" s="2983"/>
      <c r="N233" s="2984"/>
      <c r="O233" s="2984" t="str">
        <f>IFERROR(INDEX('1_入力シート【基本情報】'!$FW$307:$FW$526,MATCH(ROW(A67),'1_入力シート【基本情報】'!$HX$307:$HX$526,0)),"")</f>
        <v/>
      </c>
      <c r="P233" s="2985"/>
      <c r="Q233" s="2985"/>
      <c r="R233" s="2985"/>
      <c r="S233" s="2985"/>
      <c r="T233" s="2985"/>
      <c r="U233" s="2985"/>
      <c r="V233" s="2985"/>
      <c r="W233" s="2985"/>
      <c r="X233" s="2985"/>
      <c r="Y233" s="2985"/>
      <c r="Z233" s="2985"/>
      <c r="AA233" s="2985"/>
      <c r="AB233" s="2985"/>
      <c r="AC233" s="2985"/>
      <c r="AD233" s="2985"/>
      <c r="AE233" s="2984" t="str">
        <f>IFERROR(INDEX('1_入力シート【基本情報】'!$BD$307:$BD$526,MATCH(ROW(A67),'1_入力シート【基本情報】'!$HX$307:$HX$526,0)),"")</f>
        <v/>
      </c>
      <c r="AF233" s="2985"/>
      <c r="AG233" s="2985"/>
      <c r="AH233" s="2985"/>
      <c r="AI233" s="2985"/>
      <c r="AJ233" s="2985"/>
      <c r="AK233" s="2985"/>
      <c r="AL233" s="2985"/>
      <c r="AM233" s="2985"/>
      <c r="AN233" s="2985"/>
      <c r="AO233" s="2986"/>
      <c r="AP233" s="1662" t="str">
        <f>IFERROR(INDEX('1_入力シート【基本情報】'!$EA$307:$EA$526,MATCH(ROW(A67),'1_入力シート【基本情報】'!$HX$307:$HX$526,0)),"")</f>
        <v/>
      </c>
      <c r="AQ233" s="1035"/>
    </row>
    <row r="234" spans="1:43" ht="65.150000000000006" customHeight="1">
      <c r="A234" s="1035"/>
      <c r="B234" s="2987" t="str">
        <f>IFERROR(INDEX('1_入力シート【基本情報】'!$DW$307:$DW$526,MATCH(ROW(A68),'1_入力シート【基本情報】'!$HX$307:$HX$526,0)),"")</f>
        <v/>
      </c>
      <c r="C234" s="2988"/>
      <c r="D234" s="2989"/>
      <c r="E234" s="2983" t="str">
        <f>IFERROR(INDEX('1_入力シート【基本情報】'!$DR$307:$DR$526,MATCH(ROW(A68),'1_入力シート【基本情報】'!$HX$307:$HX$526,0)),"")</f>
        <v/>
      </c>
      <c r="F234" s="2983"/>
      <c r="G234" s="2983"/>
      <c r="H234" s="2983"/>
      <c r="I234" s="2983"/>
      <c r="J234" s="2983"/>
      <c r="K234" s="2983"/>
      <c r="L234" s="2983"/>
      <c r="M234" s="2983"/>
      <c r="N234" s="2984"/>
      <c r="O234" s="2984" t="str">
        <f>IFERROR(INDEX('1_入力シート【基本情報】'!$FW$307:$FW$526,MATCH(ROW(A68),'1_入力シート【基本情報】'!$HX$307:$HX$526,0)),"")</f>
        <v/>
      </c>
      <c r="P234" s="2985"/>
      <c r="Q234" s="2985"/>
      <c r="R234" s="2985"/>
      <c r="S234" s="2985"/>
      <c r="T234" s="2985"/>
      <c r="U234" s="2985"/>
      <c r="V234" s="2985"/>
      <c r="W234" s="2985"/>
      <c r="X234" s="2985"/>
      <c r="Y234" s="2985"/>
      <c r="Z234" s="2985"/>
      <c r="AA234" s="2985"/>
      <c r="AB234" s="2985"/>
      <c r="AC234" s="2985"/>
      <c r="AD234" s="2985"/>
      <c r="AE234" s="2984" t="str">
        <f>IFERROR(INDEX('1_入力シート【基本情報】'!$BD$307:$BD$526,MATCH(ROW(A68),'1_入力シート【基本情報】'!$HX$307:$HX$526,0)),"")</f>
        <v/>
      </c>
      <c r="AF234" s="2985"/>
      <c r="AG234" s="2985"/>
      <c r="AH234" s="2985"/>
      <c r="AI234" s="2985"/>
      <c r="AJ234" s="2985"/>
      <c r="AK234" s="2985"/>
      <c r="AL234" s="2985"/>
      <c r="AM234" s="2985"/>
      <c r="AN234" s="2985"/>
      <c r="AO234" s="2986"/>
      <c r="AP234" s="1662" t="str">
        <f>IFERROR(INDEX('1_入力シート【基本情報】'!$EA$307:$EA$526,MATCH(ROW(A68),'1_入力シート【基本情報】'!$HX$307:$HX$526,0)),"")</f>
        <v/>
      </c>
      <c r="AQ234" s="1035"/>
    </row>
    <row r="235" spans="1:43" ht="65.150000000000006" customHeight="1">
      <c r="A235" s="1035"/>
      <c r="B235" s="2987" t="str">
        <f>IFERROR(INDEX('1_入力シート【基本情報】'!$DW$307:$DW$526,MATCH(ROW(A69),'1_入力シート【基本情報】'!$HX$307:$HX$526,0)),"")</f>
        <v/>
      </c>
      <c r="C235" s="2988"/>
      <c r="D235" s="2989"/>
      <c r="E235" s="2983" t="str">
        <f>IFERROR(INDEX('1_入力シート【基本情報】'!$DR$307:$DR$526,MATCH(ROW(A69),'1_入力シート【基本情報】'!$HX$307:$HX$526,0)),"")</f>
        <v/>
      </c>
      <c r="F235" s="2983"/>
      <c r="G235" s="2983"/>
      <c r="H235" s="2983"/>
      <c r="I235" s="2983"/>
      <c r="J235" s="2983"/>
      <c r="K235" s="2983"/>
      <c r="L235" s="2983"/>
      <c r="M235" s="2983"/>
      <c r="N235" s="2984"/>
      <c r="O235" s="2984" t="str">
        <f>IFERROR(INDEX('1_入力シート【基本情報】'!$FW$307:$FW$526,MATCH(ROW(A69),'1_入力シート【基本情報】'!$HX$307:$HX$526,0)),"")</f>
        <v/>
      </c>
      <c r="P235" s="2985"/>
      <c r="Q235" s="2985"/>
      <c r="R235" s="2985"/>
      <c r="S235" s="2985"/>
      <c r="T235" s="2985"/>
      <c r="U235" s="2985"/>
      <c r="V235" s="2985"/>
      <c r="W235" s="2985"/>
      <c r="X235" s="2985"/>
      <c r="Y235" s="2985"/>
      <c r="Z235" s="2985"/>
      <c r="AA235" s="2985"/>
      <c r="AB235" s="2985"/>
      <c r="AC235" s="2985"/>
      <c r="AD235" s="2985"/>
      <c r="AE235" s="2984" t="str">
        <f>IFERROR(INDEX('1_入力シート【基本情報】'!$BD$307:$BD$526,MATCH(ROW(A69),'1_入力シート【基本情報】'!$HX$307:$HX$526,0)),"")</f>
        <v/>
      </c>
      <c r="AF235" s="2985"/>
      <c r="AG235" s="2985"/>
      <c r="AH235" s="2985"/>
      <c r="AI235" s="2985"/>
      <c r="AJ235" s="2985"/>
      <c r="AK235" s="2985"/>
      <c r="AL235" s="2985"/>
      <c r="AM235" s="2985"/>
      <c r="AN235" s="2985"/>
      <c r="AO235" s="2986"/>
      <c r="AP235" s="1662" t="str">
        <f>IFERROR(INDEX('1_入力シート【基本情報】'!$EA$307:$EA$526,MATCH(ROW(A69),'1_入力シート【基本情報】'!$HX$307:$HX$526,0)),"")</f>
        <v/>
      </c>
      <c r="AQ235" s="1035"/>
    </row>
    <row r="236" spans="1:43" ht="65.150000000000006" customHeight="1">
      <c r="A236" s="1035"/>
      <c r="B236" s="2987" t="str">
        <f>IFERROR(INDEX('1_入力シート【基本情報】'!$DW$307:$DW$526,MATCH(ROW(A70),'1_入力シート【基本情報】'!$HX$307:$HX$526,0)),"")</f>
        <v/>
      </c>
      <c r="C236" s="2988"/>
      <c r="D236" s="2989"/>
      <c r="E236" s="2983" t="str">
        <f>IFERROR(INDEX('1_入力シート【基本情報】'!$DR$307:$DR$526,MATCH(ROW(A70),'1_入力シート【基本情報】'!$HX$307:$HX$526,0)),"")</f>
        <v/>
      </c>
      <c r="F236" s="2983"/>
      <c r="G236" s="2983"/>
      <c r="H236" s="2983"/>
      <c r="I236" s="2983"/>
      <c r="J236" s="2983"/>
      <c r="K236" s="2983"/>
      <c r="L236" s="2983"/>
      <c r="M236" s="2983"/>
      <c r="N236" s="2984"/>
      <c r="O236" s="2984" t="str">
        <f>IFERROR(INDEX('1_入力シート【基本情報】'!$FW$307:$FW$526,MATCH(ROW(A70),'1_入力シート【基本情報】'!$HX$307:$HX$526,0)),"")</f>
        <v/>
      </c>
      <c r="P236" s="2985"/>
      <c r="Q236" s="2985"/>
      <c r="R236" s="2985"/>
      <c r="S236" s="2985"/>
      <c r="T236" s="2985"/>
      <c r="U236" s="2985"/>
      <c r="V236" s="2985"/>
      <c r="W236" s="2985"/>
      <c r="X236" s="2985"/>
      <c r="Y236" s="2985"/>
      <c r="Z236" s="2985"/>
      <c r="AA236" s="2985"/>
      <c r="AB236" s="2985"/>
      <c r="AC236" s="2985"/>
      <c r="AD236" s="2985"/>
      <c r="AE236" s="2984" t="str">
        <f>IFERROR(INDEX('1_入力シート【基本情報】'!$BD$307:$BD$526,MATCH(ROW(A70),'1_入力シート【基本情報】'!$HX$307:$HX$526,0)),"")</f>
        <v/>
      </c>
      <c r="AF236" s="2985"/>
      <c r="AG236" s="2985"/>
      <c r="AH236" s="2985"/>
      <c r="AI236" s="2985"/>
      <c r="AJ236" s="2985"/>
      <c r="AK236" s="2985"/>
      <c r="AL236" s="2985"/>
      <c r="AM236" s="2985"/>
      <c r="AN236" s="2985"/>
      <c r="AO236" s="2986"/>
      <c r="AP236" s="1662" t="str">
        <f>IFERROR(INDEX('1_入力シート【基本情報】'!$EA$307:$EA$526,MATCH(ROW(A70),'1_入力シート【基本情報】'!$HX$307:$HX$526,0)),"")</f>
        <v/>
      </c>
      <c r="AQ236" s="1035"/>
    </row>
    <row r="237" spans="1:43" ht="65.150000000000006" customHeight="1">
      <c r="A237" s="1035"/>
      <c r="B237" s="2987" t="str">
        <f>IFERROR(INDEX('1_入力シート【基本情報】'!$DW$307:$DW$526,MATCH(ROW(A71),'1_入力シート【基本情報】'!$HX$307:$HX$526,0)),"")</f>
        <v/>
      </c>
      <c r="C237" s="2988"/>
      <c r="D237" s="2989"/>
      <c r="E237" s="2983" t="str">
        <f>IFERROR(INDEX('1_入力シート【基本情報】'!$DR$307:$DR$526,MATCH(ROW(A71),'1_入力シート【基本情報】'!$HX$307:$HX$526,0)),"")</f>
        <v/>
      </c>
      <c r="F237" s="2983"/>
      <c r="G237" s="2983"/>
      <c r="H237" s="2983"/>
      <c r="I237" s="2983"/>
      <c r="J237" s="2983"/>
      <c r="K237" s="2983"/>
      <c r="L237" s="2983"/>
      <c r="M237" s="2983"/>
      <c r="N237" s="2984"/>
      <c r="O237" s="2984" t="str">
        <f>IFERROR(INDEX('1_入力シート【基本情報】'!$FW$307:$FW$526,MATCH(ROW(A71),'1_入力シート【基本情報】'!$HX$307:$HX$526,0)),"")</f>
        <v/>
      </c>
      <c r="P237" s="2985"/>
      <c r="Q237" s="2985"/>
      <c r="R237" s="2985"/>
      <c r="S237" s="2985"/>
      <c r="T237" s="2985"/>
      <c r="U237" s="2985"/>
      <c r="V237" s="2985"/>
      <c r="W237" s="2985"/>
      <c r="X237" s="2985"/>
      <c r="Y237" s="2985"/>
      <c r="Z237" s="2985"/>
      <c r="AA237" s="2985"/>
      <c r="AB237" s="2985"/>
      <c r="AC237" s="2985"/>
      <c r="AD237" s="2985"/>
      <c r="AE237" s="2984" t="str">
        <f>IFERROR(INDEX('1_入力シート【基本情報】'!$BD$307:$BD$526,MATCH(ROW(A71),'1_入力シート【基本情報】'!$HX$307:$HX$526,0)),"")</f>
        <v/>
      </c>
      <c r="AF237" s="2985"/>
      <c r="AG237" s="2985"/>
      <c r="AH237" s="2985"/>
      <c r="AI237" s="2985"/>
      <c r="AJ237" s="2985"/>
      <c r="AK237" s="2985"/>
      <c r="AL237" s="2985"/>
      <c r="AM237" s="2985"/>
      <c r="AN237" s="2985"/>
      <c r="AO237" s="2986"/>
      <c r="AP237" s="1662" t="str">
        <f>IFERROR(INDEX('1_入力シート【基本情報】'!$EA$307:$EA$526,MATCH(ROW(A71),'1_入力シート【基本情報】'!$HX$307:$HX$526,0)),"")</f>
        <v/>
      </c>
      <c r="AQ237" s="1035"/>
    </row>
    <row r="238" spans="1:43" ht="65.150000000000006" customHeight="1">
      <c r="A238" s="1035"/>
      <c r="B238" s="2987" t="str">
        <f>IFERROR(INDEX('1_入力シート【基本情報】'!$DW$307:$DW$526,MATCH(ROW(A72),'1_入力シート【基本情報】'!$HX$307:$HX$526,0)),"")</f>
        <v/>
      </c>
      <c r="C238" s="2988"/>
      <c r="D238" s="2989"/>
      <c r="E238" s="2983" t="str">
        <f>IFERROR(INDEX('1_入力シート【基本情報】'!$DR$307:$DR$526,MATCH(ROW(A72),'1_入力シート【基本情報】'!$HX$307:$HX$526,0)),"")</f>
        <v/>
      </c>
      <c r="F238" s="2983"/>
      <c r="G238" s="2983"/>
      <c r="H238" s="2983"/>
      <c r="I238" s="2983"/>
      <c r="J238" s="2983"/>
      <c r="K238" s="2983"/>
      <c r="L238" s="2983"/>
      <c r="M238" s="2983"/>
      <c r="N238" s="2984"/>
      <c r="O238" s="2984" t="str">
        <f>IFERROR(INDEX('1_入力シート【基本情報】'!$FW$307:$FW$526,MATCH(ROW(A72),'1_入力シート【基本情報】'!$HX$307:$HX$526,0)),"")</f>
        <v/>
      </c>
      <c r="P238" s="2985"/>
      <c r="Q238" s="2985"/>
      <c r="R238" s="2985"/>
      <c r="S238" s="2985"/>
      <c r="T238" s="2985"/>
      <c r="U238" s="2985"/>
      <c r="V238" s="2985"/>
      <c r="W238" s="2985"/>
      <c r="X238" s="2985"/>
      <c r="Y238" s="2985"/>
      <c r="Z238" s="2985"/>
      <c r="AA238" s="2985"/>
      <c r="AB238" s="2985"/>
      <c r="AC238" s="2985"/>
      <c r="AD238" s="2985"/>
      <c r="AE238" s="2984" t="str">
        <f>IFERROR(INDEX('1_入力シート【基本情報】'!$BD$307:$BD$526,MATCH(ROW(A72),'1_入力シート【基本情報】'!$HX$307:$HX$526,0)),"")</f>
        <v/>
      </c>
      <c r="AF238" s="2985"/>
      <c r="AG238" s="2985"/>
      <c r="AH238" s="2985"/>
      <c r="AI238" s="2985"/>
      <c r="AJ238" s="2985"/>
      <c r="AK238" s="2985"/>
      <c r="AL238" s="2985"/>
      <c r="AM238" s="2985"/>
      <c r="AN238" s="2985"/>
      <c r="AO238" s="2986"/>
      <c r="AP238" s="1662" t="str">
        <f>IFERROR(INDEX('1_入力シート【基本情報】'!$EA$307:$EA$526,MATCH(ROW(A72),'1_入力シート【基本情報】'!$HX$307:$HX$526,0)),"")</f>
        <v/>
      </c>
      <c r="AQ238" s="1035"/>
    </row>
    <row r="239" spans="1:43" ht="65.150000000000006" customHeight="1">
      <c r="A239" s="1035"/>
      <c r="B239" s="2987" t="str">
        <f>IFERROR(INDEX('1_入力シート【基本情報】'!$DW$307:$DW$526,MATCH(ROW(A73),'1_入力シート【基本情報】'!$HX$307:$HX$526,0)),"")</f>
        <v/>
      </c>
      <c r="C239" s="2988"/>
      <c r="D239" s="2989"/>
      <c r="E239" s="2983" t="str">
        <f>IFERROR(INDEX('1_入力シート【基本情報】'!$DR$307:$DR$526,MATCH(ROW(A73),'1_入力シート【基本情報】'!$HX$307:$HX$526,0)),"")</f>
        <v/>
      </c>
      <c r="F239" s="2983"/>
      <c r="G239" s="2983"/>
      <c r="H239" s="2983"/>
      <c r="I239" s="2983"/>
      <c r="J239" s="2983"/>
      <c r="K239" s="2983"/>
      <c r="L239" s="2983"/>
      <c r="M239" s="2983"/>
      <c r="N239" s="2984"/>
      <c r="O239" s="2984" t="str">
        <f>IFERROR(INDEX('1_入力シート【基本情報】'!$FW$307:$FW$526,MATCH(ROW(A73),'1_入力シート【基本情報】'!$HX$307:$HX$526,0)),"")</f>
        <v/>
      </c>
      <c r="P239" s="2985"/>
      <c r="Q239" s="2985"/>
      <c r="R239" s="2985"/>
      <c r="S239" s="2985"/>
      <c r="T239" s="2985"/>
      <c r="U239" s="2985"/>
      <c r="V239" s="2985"/>
      <c r="W239" s="2985"/>
      <c r="X239" s="2985"/>
      <c r="Y239" s="2985"/>
      <c r="Z239" s="2985"/>
      <c r="AA239" s="2985"/>
      <c r="AB239" s="2985"/>
      <c r="AC239" s="2985"/>
      <c r="AD239" s="2985"/>
      <c r="AE239" s="2984" t="str">
        <f>IFERROR(INDEX('1_入力シート【基本情報】'!$BD$307:$BD$526,MATCH(ROW(A73),'1_入力シート【基本情報】'!$HX$307:$HX$526,0)),"")</f>
        <v/>
      </c>
      <c r="AF239" s="2985"/>
      <c r="AG239" s="2985"/>
      <c r="AH239" s="2985"/>
      <c r="AI239" s="2985"/>
      <c r="AJ239" s="2985"/>
      <c r="AK239" s="2985"/>
      <c r="AL239" s="2985"/>
      <c r="AM239" s="2985"/>
      <c r="AN239" s="2985"/>
      <c r="AO239" s="2986"/>
      <c r="AP239" s="1662" t="str">
        <f>IFERROR(INDEX('1_入力シート【基本情報】'!$EA$307:$EA$526,MATCH(ROW(A73),'1_入力シート【基本情報】'!$HX$307:$HX$526,0)),"")</f>
        <v/>
      </c>
      <c r="AQ239" s="1035"/>
    </row>
    <row r="240" spans="1:43" ht="65.150000000000006" customHeight="1">
      <c r="A240" s="1035"/>
      <c r="B240" s="2987" t="str">
        <f>IFERROR(INDEX('1_入力シート【基本情報】'!$DW$307:$DW$526,MATCH(ROW(A74),'1_入力シート【基本情報】'!$HX$307:$HX$526,0)),"")</f>
        <v/>
      </c>
      <c r="C240" s="2988"/>
      <c r="D240" s="2989"/>
      <c r="E240" s="2983" t="str">
        <f>IFERROR(INDEX('1_入力シート【基本情報】'!$DR$307:$DR$526,MATCH(ROW(A74),'1_入力シート【基本情報】'!$HX$307:$HX$526,0)),"")</f>
        <v/>
      </c>
      <c r="F240" s="2983"/>
      <c r="G240" s="2983"/>
      <c r="H240" s="2983"/>
      <c r="I240" s="2983"/>
      <c r="J240" s="2983"/>
      <c r="K240" s="2983"/>
      <c r="L240" s="2983"/>
      <c r="M240" s="2983"/>
      <c r="N240" s="2984"/>
      <c r="O240" s="2984" t="str">
        <f>IFERROR(INDEX('1_入力シート【基本情報】'!$FW$307:$FW$526,MATCH(ROW(A74),'1_入力シート【基本情報】'!$HX$307:$HX$526,0)),"")</f>
        <v/>
      </c>
      <c r="P240" s="2985"/>
      <c r="Q240" s="2985"/>
      <c r="R240" s="2985"/>
      <c r="S240" s="2985"/>
      <c r="T240" s="2985"/>
      <c r="U240" s="2985"/>
      <c r="V240" s="2985"/>
      <c r="W240" s="2985"/>
      <c r="X240" s="2985"/>
      <c r="Y240" s="2985"/>
      <c r="Z240" s="2985"/>
      <c r="AA240" s="2985"/>
      <c r="AB240" s="2985"/>
      <c r="AC240" s="2985"/>
      <c r="AD240" s="2985"/>
      <c r="AE240" s="2984" t="str">
        <f>IFERROR(INDEX('1_入力シート【基本情報】'!$BD$307:$BD$526,MATCH(ROW(A74),'1_入力シート【基本情報】'!$HX$307:$HX$526,0)),"")</f>
        <v/>
      </c>
      <c r="AF240" s="2985"/>
      <c r="AG240" s="2985"/>
      <c r="AH240" s="2985"/>
      <c r="AI240" s="2985"/>
      <c r="AJ240" s="2985"/>
      <c r="AK240" s="2985"/>
      <c r="AL240" s="2985"/>
      <c r="AM240" s="2985"/>
      <c r="AN240" s="2985"/>
      <c r="AO240" s="2986"/>
      <c r="AP240" s="1662" t="str">
        <f>IFERROR(INDEX('1_入力シート【基本情報】'!$EA$307:$EA$526,MATCH(ROW(A74),'1_入力シート【基本情報】'!$HX$307:$HX$526,0)),"")</f>
        <v/>
      </c>
      <c r="AQ240" s="1035"/>
    </row>
    <row r="241" spans="1:43" ht="65.150000000000006" customHeight="1">
      <c r="A241" s="1035"/>
      <c r="B241" s="2987" t="str">
        <f>IFERROR(INDEX('1_入力シート【基本情報】'!$DW$307:$DW$526,MATCH(ROW(A75),'1_入力シート【基本情報】'!$HX$307:$HX$526,0)),"")</f>
        <v/>
      </c>
      <c r="C241" s="2988"/>
      <c r="D241" s="2989"/>
      <c r="E241" s="2983" t="str">
        <f>IFERROR(INDEX('1_入力シート【基本情報】'!$DR$307:$DR$526,MATCH(ROW(A75),'1_入力シート【基本情報】'!$HX$307:$HX$526,0)),"")</f>
        <v/>
      </c>
      <c r="F241" s="2983"/>
      <c r="G241" s="2983"/>
      <c r="H241" s="2983"/>
      <c r="I241" s="2983"/>
      <c r="J241" s="2983"/>
      <c r="K241" s="2983"/>
      <c r="L241" s="2983"/>
      <c r="M241" s="2983"/>
      <c r="N241" s="2984"/>
      <c r="O241" s="2984" t="str">
        <f>IFERROR(INDEX('1_入力シート【基本情報】'!$FW$307:$FW$526,MATCH(ROW(A75),'1_入力シート【基本情報】'!$HX$307:$HX$526,0)),"")</f>
        <v/>
      </c>
      <c r="P241" s="2985"/>
      <c r="Q241" s="2985"/>
      <c r="R241" s="2985"/>
      <c r="S241" s="2985"/>
      <c r="T241" s="2985"/>
      <c r="U241" s="2985"/>
      <c r="V241" s="2985"/>
      <c r="W241" s="2985"/>
      <c r="X241" s="2985"/>
      <c r="Y241" s="2985"/>
      <c r="Z241" s="2985"/>
      <c r="AA241" s="2985"/>
      <c r="AB241" s="2985"/>
      <c r="AC241" s="2985"/>
      <c r="AD241" s="2985"/>
      <c r="AE241" s="2984" t="str">
        <f>IFERROR(INDEX('1_入力シート【基本情報】'!$BD$307:$BD$526,MATCH(ROW(A75),'1_入力シート【基本情報】'!$HX$307:$HX$526,0)),"")</f>
        <v/>
      </c>
      <c r="AF241" s="2985"/>
      <c r="AG241" s="2985"/>
      <c r="AH241" s="2985"/>
      <c r="AI241" s="2985"/>
      <c r="AJ241" s="2985"/>
      <c r="AK241" s="2985"/>
      <c r="AL241" s="2985"/>
      <c r="AM241" s="2985"/>
      <c r="AN241" s="2985"/>
      <c r="AO241" s="2986"/>
      <c r="AP241" s="1662" t="str">
        <f>IFERROR(INDEX('1_入力シート【基本情報】'!$EA$307:$EA$526,MATCH(ROW(A75),'1_入力シート【基本情報】'!$HX$307:$HX$526,0)),"")</f>
        <v/>
      </c>
      <c r="AQ241" s="1035"/>
    </row>
    <row r="242" spans="1:43" s="931" customFormat="1"/>
    <row r="243" spans="1:43" ht="11.25" customHeight="1">
      <c r="B243" s="1663"/>
      <c r="C243" s="3251" t="s">
        <v>157</v>
      </c>
      <c r="D243" s="2942"/>
      <c r="E243" s="2942"/>
      <c r="F243" s="2942"/>
      <c r="G243" s="2942"/>
      <c r="H243" s="2942"/>
      <c r="I243" s="2942"/>
      <c r="J243" s="2942"/>
      <c r="K243" s="2942"/>
      <c r="L243" s="2942"/>
      <c r="M243" s="2942"/>
      <c r="N243" s="2942"/>
      <c r="O243" s="2942"/>
      <c r="P243" s="2942"/>
      <c r="Q243" s="2942"/>
      <c r="R243" s="2942"/>
      <c r="S243" s="2942"/>
      <c r="T243" s="2942"/>
      <c r="U243" s="2942"/>
      <c r="V243" s="2942"/>
      <c r="W243" s="2942"/>
      <c r="X243" s="2942"/>
      <c r="Y243" s="2942"/>
      <c r="Z243" s="2942"/>
      <c r="AA243" s="2942"/>
      <c r="AB243" s="2942"/>
      <c r="AC243" s="2942"/>
      <c r="AD243" s="2942"/>
      <c r="AE243" s="2942"/>
      <c r="AF243" s="2942"/>
      <c r="AG243" s="2942"/>
      <c r="AH243" s="2942"/>
      <c r="AI243" s="2942"/>
      <c r="AJ243" s="2942"/>
      <c r="AK243" s="2942"/>
      <c r="AL243" s="2942"/>
      <c r="AM243" s="2942"/>
      <c r="AN243" s="2942"/>
      <c r="AO243" s="2942"/>
      <c r="AP243" s="2942"/>
    </row>
    <row r="244" spans="1:43">
      <c r="B244" s="1664"/>
      <c r="C244" s="1665" t="s">
        <v>1354</v>
      </c>
      <c r="D244" s="3236" t="s">
        <v>1008</v>
      </c>
      <c r="E244" s="2950"/>
      <c r="F244" s="2950"/>
      <c r="G244" s="2950"/>
      <c r="H244" s="2950"/>
      <c r="I244" s="2950"/>
      <c r="J244" s="2950"/>
      <c r="K244" s="2950"/>
      <c r="L244" s="2950"/>
      <c r="M244" s="2950"/>
      <c r="N244" s="2950"/>
      <c r="O244" s="2950"/>
      <c r="P244" s="2950"/>
      <c r="Q244" s="2950"/>
      <c r="R244" s="2950"/>
      <c r="S244" s="2950"/>
      <c r="T244" s="2950"/>
      <c r="U244" s="2950"/>
      <c r="V244" s="2950"/>
      <c r="W244" s="2950"/>
      <c r="X244" s="2950"/>
      <c r="Y244" s="2950"/>
      <c r="Z244" s="2950"/>
      <c r="AA244" s="2950"/>
      <c r="AB244" s="2950"/>
      <c r="AC244" s="2950"/>
      <c r="AD244" s="2950"/>
      <c r="AE244" s="2950"/>
      <c r="AF244" s="2950"/>
      <c r="AG244" s="2950"/>
      <c r="AH244" s="2950"/>
      <c r="AI244" s="2950"/>
      <c r="AJ244" s="2950"/>
      <c r="AK244" s="2950"/>
      <c r="AL244" s="2950"/>
      <c r="AM244" s="2950"/>
      <c r="AN244" s="2950"/>
      <c r="AO244" s="2950"/>
      <c r="AP244" s="2950"/>
    </row>
    <row r="245" spans="1:43" ht="10.5" customHeight="1">
      <c r="B245" s="1664"/>
      <c r="C245" s="1665" t="s">
        <v>1355</v>
      </c>
      <c r="D245" s="3236" t="s">
        <v>1009</v>
      </c>
      <c r="E245" s="2950"/>
      <c r="F245" s="2950"/>
      <c r="G245" s="2950"/>
      <c r="H245" s="2950"/>
      <c r="I245" s="2950"/>
      <c r="J245" s="2950"/>
      <c r="K245" s="2950"/>
      <c r="L245" s="2950"/>
      <c r="M245" s="2950"/>
      <c r="N245" s="2950"/>
      <c r="O245" s="2950"/>
      <c r="P245" s="2950"/>
      <c r="Q245" s="2950"/>
      <c r="R245" s="2950"/>
      <c r="S245" s="2950"/>
      <c r="T245" s="2950"/>
      <c r="U245" s="2950"/>
      <c r="V245" s="2950"/>
      <c r="W245" s="2950"/>
      <c r="X245" s="2950"/>
      <c r="Y245" s="2950"/>
      <c r="Z245" s="2950"/>
      <c r="AA245" s="2950"/>
      <c r="AB245" s="2950"/>
      <c r="AC245" s="2950"/>
      <c r="AD245" s="2950"/>
      <c r="AE245" s="2950"/>
      <c r="AF245" s="2950"/>
      <c r="AG245" s="2950"/>
      <c r="AH245" s="2950"/>
      <c r="AI245" s="2950"/>
      <c r="AJ245" s="2950"/>
      <c r="AK245" s="2950"/>
      <c r="AL245" s="2950"/>
      <c r="AM245" s="2950"/>
      <c r="AN245" s="2950"/>
      <c r="AO245" s="2950"/>
      <c r="AP245" s="2950"/>
    </row>
    <row r="246" spans="1:43" ht="31.5" customHeight="1">
      <c r="B246" s="1664"/>
      <c r="C246" s="1665" t="s">
        <v>1356</v>
      </c>
      <c r="D246" s="3236" t="s">
        <v>1010</v>
      </c>
      <c r="E246" s="2950"/>
      <c r="F246" s="2950"/>
      <c r="G246" s="2950"/>
      <c r="H246" s="2950"/>
      <c r="I246" s="2950"/>
      <c r="J246" s="2950"/>
      <c r="K246" s="2950"/>
      <c r="L246" s="2950"/>
      <c r="M246" s="2950"/>
      <c r="N246" s="2950"/>
      <c r="O246" s="2950"/>
      <c r="P246" s="2950"/>
      <c r="Q246" s="2950"/>
      <c r="R246" s="2950"/>
      <c r="S246" s="2950"/>
      <c r="T246" s="2950"/>
      <c r="U246" s="2950"/>
      <c r="V246" s="2950"/>
      <c r="W246" s="2950"/>
      <c r="X246" s="2950"/>
      <c r="Y246" s="2950"/>
      <c r="Z246" s="2950"/>
      <c r="AA246" s="2950"/>
      <c r="AB246" s="2950"/>
      <c r="AC246" s="2950"/>
      <c r="AD246" s="2950"/>
      <c r="AE246" s="2950"/>
      <c r="AF246" s="2950"/>
      <c r="AG246" s="2950"/>
      <c r="AH246" s="2950"/>
      <c r="AI246" s="2950"/>
      <c r="AJ246" s="2950"/>
      <c r="AK246" s="2950"/>
      <c r="AL246" s="2950"/>
      <c r="AM246" s="2950"/>
      <c r="AN246" s="2950"/>
      <c r="AO246" s="2950"/>
      <c r="AP246" s="2950"/>
    </row>
    <row r="247" spans="1:43" ht="10.5" customHeight="1">
      <c r="B247" s="1664"/>
      <c r="C247" s="1665" t="s">
        <v>1357</v>
      </c>
      <c r="D247" s="3236" t="s">
        <v>1011</v>
      </c>
      <c r="E247" s="2950"/>
      <c r="F247" s="2950"/>
      <c r="G247" s="2950"/>
      <c r="H247" s="2950"/>
      <c r="I247" s="2950"/>
      <c r="J247" s="2950"/>
      <c r="K247" s="2950"/>
      <c r="L247" s="2950"/>
      <c r="M247" s="2950"/>
      <c r="N247" s="2950"/>
      <c r="O247" s="2950"/>
      <c r="P247" s="2950"/>
      <c r="Q247" s="2950"/>
      <c r="R247" s="2950"/>
      <c r="S247" s="2950"/>
      <c r="T247" s="2950"/>
      <c r="U247" s="2950"/>
      <c r="V247" s="2950"/>
      <c r="W247" s="2950"/>
      <c r="X247" s="2950"/>
      <c r="Y247" s="2950"/>
      <c r="Z247" s="2950"/>
      <c r="AA247" s="2950"/>
      <c r="AB247" s="2950"/>
      <c r="AC247" s="2950"/>
      <c r="AD247" s="2950"/>
      <c r="AE247" s="2950"/>
      <c r="AF247" s="2950"/>
      <c r="AG247" s="2950"/>
      <c r="AH247" s="2950"/>
      <c r="AI247" s="2950"/>
      <c r="AJ247" s="2950"/>
      <c r="AK247" s="2950"/>
      <c r="AL247" s="2950"/>
      <c r="AM247" s="2950"/>
      <c r="AN247" s="2950"/>
      <c r="AO247" s="2950"/>
      <c r="AP247" s="2950"/>
    </row>
    <row r="248" spans="1:43" ht="10.5" customHeight="1">
      <c r="B248" s="1664"/>
      <c r="C248" s="1665" t="s">
        <v>1358</v>
      </c>
      <c r="D248" s="3236" t="s">
        <v>1012</v>
      </c>
      <c r="E248" s="2950"/>
      <c r="F248" s="2950"/>
      <c r="G248" s="2950"/>
      <c r="H248" s="2950"/>
      <c r="I248" s="2950"/>
      <c r="J248" s="2950"/>
      <c r="K248" s="2950"/>
      <c r="L248" s="2950"/>
      <c r="M248" s="2950"/>
      <c r="N248" s="2950"/>
      <c r="O248" s="2950"/>
      <c r="P248" s="2950"/>
      <c r="Q248" s="2950"/>
      <c r="R248" s="2950"/>
      <c r="S248" s="2950"/>
      <c r="T248" s="2950"/>
      <c r="U248" s="2950"/>
      <c r="V248" s="2950"/>
      <c r="W248" s="2950"/>
      <c r="X248" s="2950"/>
      <c r="Y248" s="2950"/>
      <c r="Z248" s="2950"/>
      <c r="AA248" s="2950"/>
      <c r="AB248" s="2950"/>
      <c r="AC248" s="2950"/>
      <c r="AD248" s="2950"/>
      <c r="AE248" s="2950"/>
      <c r="AF248" s="2950"/>
      <c r="AG248" s="2950"/>
      <c r="AH248" s="2950"/>
      <c r="AI248" s="2950"/>
      <c r="AJ248" s="2950"/>
      <c r="AK248" s="2950"/>
      <c r="AL248" s="2950"/>
      <c r="AM248" s="2950"/>
      <c r="AN248" s="2950"/>
      <c r="AO248" s="2950"/>
      <c r="AP248" s="2950"/>
    </row>
    <row r="249" spans="1:43" ht="21" customHeight="1">
      <c r="B249" s="1664"/>
      <c r="C249" s="1665" t="s">
        <v>1359</v>
      </c>
      <c r="D249" s="3236" t="s">
        <v>1013</v>
      </c>
      <c r="E249" s="2950"/>
      <c r="F249" s="2950"/>
      <c r="G249" s="2950"/>
      <c r="H249" s="2950"/>
      <c r="I249" s="2950"/>
      <c r="J249" s="2950"/>
      <c r="K249" s="2950"/>
      <c r="L249" s="2950"/>
      <c r="M249" s="2950"/>
      <c r="N249" s="2950"/>
      <c r="O249" s="2950"/>
      <c r="P249" s="2950"/>
      <c r="Q249" s="2950"/>
      <c r="R249" s="2950"/>
      <c r="S249" s="2950"/>
      <c r="T249" s="2950"/>
      <c r="U249" s="2950"/>
      <c r="V249" s="2950"/>
      <c r="W249" s="2950"/>
      <c r="X249" s="2950"/>
      <c r="Y249" s="2950"/>
      <c r="Z249" s="2950"/>
      <c r="AA249" s="2950"/>
      <c r="AB249" s="2950"/>
      <c r="AC249" s="2950"/>
      <c r="AD249" s="2950"/>
      <c r="AE249" s="2950"/>
      <c r="AF249" s="2950"/>
      <c r="AG249" s="2950"/>
      <c r="AH249" s="2950"/>
      <c r="AI249" s="2950"/>
      <c r="AJ249" s="2950"/>
      <c r="AK249" s="2950"/>
      <c r="AL249" s="2950"/>
      <c r="AM249" s="2950"/>
      <c r="AN249" s="2950"/>
      <c r="AO249" s="2950"/>
      <c r="AP249" s="2950"/>
    </row>
    <row r="250" spans="1:43" ht="11.25" customHeight="1">
      <c r="B250" s="1664"/>
      <c r="C250" s="1665" t="s">
        <v>1360</v>
      </c>
      <c r="D250" s="3236" t="s">
        <v>1014</v>
      </c>
      <c r="E250" s="2950"/>
      <c r="F250" s="2950"/>
      <c r="G250" s="2950"/>
      <c r="H250" s="2950"/>
      <c r="I250" s="2950"/>
      <c r="J250" s="2950"/>
      <c r="K250" s="2950"/>
      <c r="L250" s="2950"/>
      <c r="M250" s="2950"/>
      <c r="N250" s="2950"/>
      <c r="O250" s="2950"/>
      <c r="P250" s="2950"/>
      <c r="Q250" s="2950"/>
      <c r="R250" s="2950"/>
      <c r="S250" s="2950"/>
      <c r="T250" s="2950"/>
      <c r="U250" s="2950"/>
      <c r="V250" s="2950"/>
      <c r="W250" s="2950"/>
      <c r="X250" s="2950"/>
      <c r="Y250" s="2950"/>
      <c r="Z250" s="2950"/>
      <c r="AA250" s="2950"/>
      <c r="AB250" s="2950"/>
      <c r="AC250" s="2950"/>
      <c r="AD250" s="2950"/>
      <c r="AE250" s="2950"/>
      <c r="AF250" s="2950"/>
      <c r="AG250" s="2950"/>
      <c r="AH250" s="2950"/>
      <c r="AI250" s="2950"/>
      <c r="AJ250" s="2950"/>
      <c r="AK250" s="2950"/>
      <c r="AL250" s="2950"/>
      <c r="AM250" s="2950"/>
      <c r="AN250" s="2950"/>
      <c r="AO250" s="2950"/>
      <c r="AP250" s="2950"/>
    </row>
    <row r="251" spans="1:43" ht="21.75" customHeight="1">
      <c r="B251" s="1664"/>
      <c r="C251" s="1665" t="s">
        <v>1361</v>
      </c>
      <c r="D251" s="3236" t="s">
        <v>1015</v>
      </c>
      <c r="E251" s="2950"/>
      <c r="F251" s="2950"/>
      <c r="G251" s="2950"/>
      <c r="H251" s="2950"/>
      <c r="I251" s="2950"/>
      <c r="J251" s="2950"/>
      <c r="K251" s="2950"/>
      <c r="L251" s="2950"/>
      <c r="M251" s="2950"/>
      <c r="N251" s="2950"/>
      <c r="O251" s="2950"/>
      <c r="P251" s="2950"/>
      <c r="Q251" s="2950"/>
      <c r="R251" s="2950"/>
      <c r="S251" s="2950"/>
      <c r="T251" s="2950"/>
      <c r="U251" s="2950"/>
      <c r="V251" s="2950"/>
      <c r="W251" s="2950"/>
      <c r="X251" s="2950"/>
      <c r="Y251" s="2950"/>
      <c r="Z251" s="2950"/>
      <c r="AA251" s="2950"/>
      <c r="AB251" s="2950"/>
      <c r="AC251" s="2950"/>
      <c r="AD251" s="2950"/>
      <c r="AE251" s="2950"/>
      <c r="AF251" s="2950"/>
      <c r="AG251" s="2950"/>
      <c r="AH251" s="2950"/>
      <c r="AI251" s="2950"/>
      <c r="AJ251" s="2950"/>
      <c r="AK251" s="2950"/>
      <c r="AL251" s="2950"/>
      <c r="AM251" s="2950"/>
      <c r="AN251" s="2950"/>
      <c r="AO251" s="2950"/>
      <c r="AP251" s="2950"/>
    </row>
    <row r="252" spans="1:43" ht="21.75" customHeight="1">
      <c r="B252" s="1664"/>
      <c r="C252" s="1665" t="s">
        <v>1362</v>
      </c>
      <c r="D252" s="3236" t="s">
        <v>1016</v>
      </c>
      <c r="E252" s="2950"/>
      <c r="F252" s="2950"/>
      <c r="G252" s="2950"/>
      <c r="H252" s="2950"/>
      <c r="I252" s="2950"/>
      <c r="J252" s="2950"/>
      <c r="K252" s="2950"/>
      <c r="L252" s="2950"/>
      <c r="M252" s="2950"/>
      <c r="N252" s="2950"/>
      <c r="O252" s="2950"/>
      <c r="P252" s="2950"/>
      <c r="Q252" s="2950"/>
      <c r="R252" s="2950"/>
      <c r="S252" s="2950"/>
      <c r="T252" s="2950"/>
      <c r="U252" s="2950"/>
      <c r="V252" s="2950"/>
      <c r="W252" s="2950"/>
      <c r="X252" s="2950"/>
      <c r="Y252" s="2950"/>
      <c r="Z252" s="2950"/>
      <c r="AA252" s="2950"/>
      <c r="AB252" s="2950"/>
      <c r="AC252" s="2950"/>
      <c r="AD252" s="2950"/>
      <c r="AE252" s="2950"/>
      <c r="AF252" s="2950"/>
      <c r="AG252" s="2950"/>
      <c r="AH252" s="2950"/>
      <c r="AI252" s="2950"/>
      <c r="AJ252" s="2950"/>
      <c r="AK252" s="2950"/>
      <c r="AL252" s="2950"/>
      <c r="AM252" s="2950"/>
      <c r="AN252" s="2950"/>
      <c r="AO252" s="2950"/>
      <c r="AP252" s="2950"/>
    </row>
    <row r="253" spans="1:43" ht="21" customHeight="1">
      <c r="B253" s="1664"/>
      <c r="C253" s="1665" t="s">
        <v>1363</v>
      </c>
      <c r="D253" s="3236" t="s">
        <v>1017</v>
      </c>
      <c r="E253" s="2950"/>
      <c r="F253" s="2950"/>
      <c r="G253" s="2950"/>
      <c r="H253" s="2950"/>
      <c r="I253" s="2950"/>
      <c r="J253" s="2950"/>
      <c r="K253" s="2950"/>
      <c r="L253" s="2950"/>
      <c r="M253" s="2950"/>
      <c r="N253" s="2950"/>
      <c r="O253" s="2950"/>
      <c r="P253" s="2950"/>
      <c r="Q253" s="2950"/>
      <c r="R253" s="2950"/>
      <c r="S253" s="2950"/>
      <c r="T253" s="2950"/>
      <c r="U253" s="2950"/>
      <c r="V253" s="2950"/>
      <c r="W253" s="2950"/>
      <c r="X253" s="2950"/>
      <c r="Y253" s="2950"/>
      <c r="Z253" s="2950"/>
      <c r="AA253" s="2950"/>
      <c r="AB253" s="2950"/>
      <c r="AC253" s="2950"/>
      <c r="AD253" s="2950"/>
      <c r="AE253" s="2950"/>
      <c r="AF253" s="2950"/>
      <c r="AG253" s="2950"/>
      <c r="AH253" s="2950"/>
      <c r="AI253" s="2950"/>
      <c r="AJ253" s="2950"/>
      <c r="AK253" s="2950"/>
      <c r="AL253" s="2950"/>
      <c r="AM253" s="2950"/>
      <c r="AN253" s="2950"/>
      <c r="AO253" s="2950"/>
      <c r="AP253" s="2950"/>
    </row>
    <row r="254" spans="1:43" ht="21" customHeight="1">
      <c r="B254" s="1664"/>
      <c r="C254" s="1665" t="s">
        <v>1364</v>
      </c>
      <c r="D254" s="3236" t="s">
        <v>1018</v>
      </c>
      <c r="E254" s="2950"/>
      <c r="F254" s="2950"/>
      <c r="G254" s="2950"/>
      <c r="H254" s="2950"/>
      <c r="I254" s="2950"/>
      <c r="J254" s="2950"/>
      <c r="K254" s="2950"/>
      <c r="L254" s="2950"/>
      <c r="M254" s="2950"/>
      <c r="N254" s="2950"/>
      <c r="O254" s="2950"/>
      <c r="P254" s="2950"/>
      <c r="Q254" s="2950"/>
      <c r="R254" s="2950"/>
      <c r="S254" s="2950"/>
      <c r="T254" s="2950"/>
      <c r="U254" s="2950"/>
      <c r="V254" s="2950"/>
      <c r="W254" s="2950"/>
      <c r="X254" s="2950"/>
      <c r="Y254" s="2950"/>
      <c r="Z254" s="2950"/>
      <c r="AA254" s="2950"/>
      <c r="AB254" s="2950"/>
      <c r="AC254" s="2950"/>
      <c r="AD254" s="2950"/>
      <c r="AE254" s="2950"/>
      <c r="AF254" s="2950"/>
      <c r="AG254" s="2950"/>
      <c r="AH254" s="2950"/>
      <c r="AI254" s="2950"/>
      <c r="AJ254" s="2950"/>
      <c r="AK254" s="2950"/>
      <c r="AL254" s="2950"/>
      <c r="AM254" s="2950"/>
      <c r="AN254" s="2950"/>
      <c r="AO254" s="2950"/>
      <c r="AP254" s="2950"/>
    </row>
    <row r="255" spans="1:43" ht="43.5" customHeight="1">
      <c r="B255" s="1666"/>
      <c r="C255" s="1665" t="s">
        <v>1365</v>
      </c>
      <c r="D255" s="3236" t="s">
        <v>1019</v>
      </c>
      <c r="E255" s="2950"/>
      <c r="F255" s="2950"/>
      <c r="G255" s="2950"/>
      <c r="H255" s="2950"/>
      <c r="I255" s="2950"/>
      <c r="J255" s="2950"/>
      <c r="K255" s="2950"/>
      <c r="L255" s="2950"/>
      <c r="M255" s="2950"/>
      <c r="N255" s="2950"/>
      <c r="O255" s="2950"/>
      <c r="P255" s="2950"/>
      <c r="Q255" s="2950"/>
      <c r="R255" s="2950"/>
      <c r="S255" s="2950"/>
      <c r="T255" s="2950"/>
      <c r="U255" s="2950"/>
      <c r="V255" s="2950"/>
      <c r="W255" s="2950"/>
      <c r="X255" s="2950"/>
      <c r="Y255" s="2950"/>
      <c r="Z255" s="2950"/>
      <c r="AA255" s="2950"/>
      <c r="AB255" s="2950"/>
      <c r="AC255" s="2950"/>
      <c r="AD255" s="2950"/>
      <c r="AE255" s="2950"/>
      <c r="AF255" s="2950"/>
      <c r="AG255" s="2950"/>
      <c r="AH255" s="2950"/>
      <c r="AI255" s="2950"/>
      <c r="AJ255" s="2950"/>
      <c r="AK255" s="2950"/>
      <c r="AL255" s="2950"/>
      <c r="AM255" s="2950"/>
      <c r="AN255" s="2950"/>
      <c r="AO255" s="2950"/>
      <c r="AP255" s="2950"/>
    </row>
    <row r="256" spans="1:43" ht="11.25" customHeight="1">
      <c r="B256" s="1666"/>
      <c r="C256" s="1665" t="s">
        <v>1366</v>
      </c>
      <c r="D256" s="3236" t="s">
        <v>1020</v>
      </c>
      <c r="E256" s="2950"/>
      <c r="F256" s="2950"/>
      <c r="G256" s="2950"/>
      <c r="H256" s="2950"/>
      <c r="I256" s="2950"/>
      <c r="J256" s="2950"/>
      <c r="K256" s="2950"/>
      <c r="L256" s="2950"/>
      <c r="M256" s="2950"/>
      <c r="N256" s="2950"/>
      <c r="O256" s="2950"/>
      <c r="P256" s="2950"/>
      <c r="Q256" s="2950"/>
      <c r="R256" s="2950"/>
      <c r="S256" s="2950"/>
      <c r="T256" s="2950"/>
      <c r="U256" s="2950"/>
      <c r="V256" s="2950"/>
      <c r="W256" s="2950"/>
      <c r="X256" s="2950"/>
      <c r="Y256" s="2950"/>
      <c r="Z256" s="2950"/>
      <c r="AA256" s="2950"/>
      <c r="AB256" s="2950"/>
      <c r="AC256" s="2950"/>
      <c r="AD256" s="2950"/>
      <c r="AE256" s="2950"/>
      <c r="AF256" s="2950"/>
      <c r="AG256" s="2950"/>
      <c r="AH256" s="2950"/>
      <c r="AI256" s="2950"/>
      <c r="AJ256" s="2950"/>
      <c r="AK256" s="2950"/>
      <c r="AL256" s="2950"/>
      <c r="AM256" s="2950"/>
      <c r="AN256" s="2950"/>
      <c r="AO256" s="2950"/>
      <c r="AP256" s="2950"/>
    </row>
    <row r="257" spans="2:42" ht="22.5" customHeight="1">
      <c r="B257" s="1666"/>
      <c r="C257" s="1665" t="s">
        <v>1367</v>
      </c>
      <c r="D257" s="3236" t="s">
        <v>1021</v>
      </c>
      <c r="E257" s="2950"/>
      <c r="F257" s="2950"/>
      <c r="G257" s="2950"/>
      <c r="H257" s="2950"/>
      <c r="I257" s="2950"/>
      <c r="J257" s="2950"/>
      <c r="K257" s="2950"/>
      <c r="L257" s="2950"/>
      <c r="M257" s="2950"/>
      <c r="N257" s="2950"/>
      <c r="O257" s="2950"/>
      <c r="P257" s="2950"/>
      <c r="Q257" s="2950"/>
      <c r="R257" s="2950"/>
      <c r="S257" s="2950"/>
      <c r="T257" s="2950"/>
      <c r="U257" s="2950"/>
      <c r="V257" s="2950"/>
      <c r="W257" s="2950"/>
      <c r="X257" s="2950"/>
      <c r="Y257" s="2950"/>
      <c r="Z257" s="2950"/>
      <c r="AA257" s="2950"/>
      <c r="AB257" s="2950"/>
      <c r="AC257" s="2950"/>
      <c r="AD257" s="2950"/>
      <c r="AE257" s="2950"/>
      <c r="AF257" s="2950"/>
      <c r="AG257" s="2950"/>
      <c r="AH257" s="2950"/>
      <c r="AI257" s="2950"/>
      <c r="AJ257" s="2950"/>
      <c r="AK257" s="2950"/>
      <c r="AL257" s="2950"/>
      <c r="AM257" s="2950"/>
      <c r="AN257" s="2950"/>
      <c r="AO257" s="2950"/>
      <c r="AP257" s="2950"/>
    </row>
  </sheetData>
  <sheetProtection algorithmName="SHA-512" hashValue="TPPVdcyjGyE3I3AcEnV03sF43ZkCX5jsqIddXcFS2F1yqH5We4MEfM4txmPOI/I+TdLRTg7iukl6te2WT3IsYA==" saltValue="4NBs3M4D+jG+XqEiQna1WQ==" spinCount="100000" sheet="1" objects="1" scenarios="1" selectLockedCells="1"/>
  <mergeCells count="701">
    <mergeCell ref="AE194:AO194"/>
    <mergeCell ref="B195:D195"/>
    <mergeCell ref="E195:N195"/>
    <mergeCell ref="O195:AD195"/>
    <mergeCell ref="AE195:AO195"/>
    <mergeCell ref="B196:D196"/>
    <mergeCell ref="E196:N196"/>
    <mergeCell ref="O196:AD196"/>
    <mergeCell ref="AO1:AP1"/>
    <mergeCell ref="O190:AD190"/>
    <mergeCell ref="AE190:AO190"/>
    <mergeCell ref="B191:D191"/>
    <mergeCell ref="E191:N191"/>
    <mergeCell ref="O191:AD191"/>
    <mergeCell ref="AE191:AO191"/>
    <mergeCell ref="B192:D192"/>
    <mergeCell ref="B186:D186"/>
    <mergeCell ref="E186:N186"/>
    <mergeCell ref="AE188:AO188"/>
    <mergeCell ref="B189:D189"/>
    <mergeCell ref="E189:N189"/>
    <mergeCell ref="O189:AD189"/>
    <mergeCell ref="AE189:AO189"/>
    <mergeCell ref="E182:N182"/>
    <mergeCell ref="D248:AP248"/>
    <mergeCell ref="AE236:AO236"/>
    <mergeCell ref="B228:D228"/>
    <mergeCell ref="E228:N228"/>
    <mergeCell ref="D253:AP253"/>
    <mergeCell ref="B235:D235"/>
    <mergeCell ref="E235:N235"/>
    <mergeCell ref="O235:AD235"/>
    <mergeCell ref="AE235:AO235"/>
    <mergeCell ref="B234:D234"/>
    <mergeCell ref="E234:N234"/>
    <mergeCell ref="O234:AD234"/>
    <mergeCell ref="AE234:AO234"/>
    <mergeCell ref="B240:D240"/>
    <mergeCell ref="E240:N240"/>
    <mergeCell ref="O240:AD240"/>
    <mergeCell ref="C243:AP243"/>
    <mergeCell ref="D245:AP245"/>
    <mergeCell ref="D246:AP246"/>
    <mergeCell ref="D249:AP249"/>
    <mergeCell ref="D250:AP250"/>
    <mergeCell ref="D251:AP251"/>
    <mergeCell ref="D247:AP247"/>
    <mergeCell ref="B231:D231"/>
    <mergeCell ref="AE196:AO196"/>
    <mergeCell ref="B222:D222"/>
    <mergeCell ref="E222:N222"/>
    <mergeCell ref="O222:AD222"/>
    <mergeCell ref="AE222:AO222"/>
    <mergeCell ref="E231:N231"/>
    <mergeCell ref="O231:AD231"/>
    <mergeCell ref="AE231:AO231"/>
    <mergeCell ref="AE240:AO240"/>
    <mergeCell ref="O219:AD219"/>
    <mergeCell ref="AE219:AO219"/>
    <mergeCell ref="B220:D220"/>
    <mergeCell ref="E220:N220"/>
    <mergeCell ref="O220:AD220"/>
    <mergeCell ref="B205:D205"/>
    <mergeCell ref="E205:N205"/>
    <mergeCell ref="O205:AD205"/>
    <mergeCell ref="AE205:AO205"/>
    <mergeCell ref="B197:D197"/>
    <mergeCell ref="E197:N197"/>
    <mergeCell ref="O197:AD197"/>
    <mergeCell ref="AE197:AO197"/>
    <mergeCell ref="B198:D198"/>
    <mergeCell ref="E198:N198"/>
    <mergeCell ref="B24:D24"/>
    <mergeCell ref="B25:D25"/>
    <mergeCell ref="B230:D230"/>
    <mergeCell ref="D254:AP254"/>
    <mergeCell ref="U69:AK69"/>
    <mergeCell ref="B182:D182"/>
    <mergeCell ref="B183:D183"/>
    <mergeCell ref="B241:D241"/>
    <mergeCell ref="B167:D167"/>
    <mergeCell ref="B168:D168"/>
    <mergeCell ref="B169:D169"/>
    <mergeCell ref="B170:D170"/>
    <mergeCell ref="B172:D172"/>
    <mergeCell ref="B173:D173"/>
    <mergeCell ref="B174:D174"/>
    <mergeCell ref="B175:D175"/>
    <mergeCell ref="D252:AP252"/>
    <mergeCell ref="E178:N178"/>
    <mergeCell ref="E179:N179"/>
    <mergeCell ref="E180:N180"/>
    <mergeCell ref="E181:N181"/>
    <mergeCell ref="E175:N175"/>
    <mergeCell ref="E183:N183"/>
    <mergeCell ref="E241:N241"/>
    <mergeCell ref="D244:AP244"/>
    <mergeCell ref="D255:AP255"/>
    <mergeCell ref="D256:AP256"/>
    <mergeCell ref="D257:AP257"/>
    <mergeCell ref="AM10:AM11"/>
    <mergeCell ref="AO4:AP4"/>
    <mergeCell ref="AO5:AP5"/>
    <mergeCell ref="AO6:AP6"/>
    <mergeCell ref="U13:AK13"/>
    <mergeCell ref="U14:AK14"/>
    <mergeCell ref="U15:AK15"/>
    <mergeCell ref="U16:AK16"/>
    <mergeCell ref="U17:AK17"/>
    <mergeCell ref="E22:AP22"/>
    <mergeCell ref="E23:T24"/>
    <mergeCell ref="E25:T26"/>
    <mergeCell ref="U18:AK18"/>
    <mergeCell ref="U19:AK19"/>
    <mergeCell ref="U20:AK20"/>
    <mergeCell ref="U21:AK21"/>
    <mergeCell ref="E51:AP51"/>
    <mergeCell ref="B19:D19"/>
    <mergeCell ref="B20:D20"/>
    <mergeCell ref="B23:D23"/>
    <mergeCell ref="B22:D22"/>
    <mergeCell ref="B12:D12"/>
    <mergeCell ref="B9:D11"/>
    <mergeCell ref="B13:D13"/>
    <mergeCell ref="B14:D14"/>
    <mergeCell ref="B15:D15"/>
    <mergeCell ref="B16:D16"/>
    <mergeCell ref="B17:D17"/>
    <mergeCell ref="B18:D18"/>
    <mergeCell ref="B21:D21"/>
    <mergeCell ref="B66:D66"/>
    <mergeCell ref="B67:D67"/>
    <mergeCell ref="B68:D68"/>
    <mergeCell ref="B69:D69"/>
    <mergeCell ref="B70:D70"/>
    <mergeCell ref="B71:D71"/>
    <mergeCell ref="B74:D74"/>
    <mergeCell ref="B26:D26"/>
    <mergeCell ref="B72:D72"/>
    <mergeCell ref="B73:D73"/>
    <mergeCell ref="B47:D47"/>
    <mergeCell ref="B48:D48"/>
    <mergeCell ref="B49:D49"/>
    <mergeCell ref="B50:D50"/>
    <mergeCell ref="B51:D51"/>
    <mergeCell ref="B52:D52"/>
    <mergeCell ref="B53:D53"/>
    <mergeCell ref="B46:D46"/>
    <mergeCell ref="B27:D27"/>
    <mergeCell ref="B28:D28"/>
    <mergeCell ref="B56:D56"/>
    <mergeCell ref="B58:D58"/>
    <mergeCell ref="B59:D59"/>
    <mergeCell ref="B38:D38"/>
    <mergeCell ref="B104:D104"/>
    <mergeCell ref="B105:D105"/>
    <mergeCell ref="B84:D84"/>
    <mergeCell ref="B131:D131"/>
    <mergeCell ref="B111:D111"/>
    <mergeCell ref="B112:D112"/>
    <mergeCell ref="B60:D60"/>
    <mergeCell ref="B61:D61"/>
    <mergeCell ref="B62:D62"/>
    <mergeCell ref="B63:D63"/>
    <mergeCell ref="B64:D64"/>
    <mergeCell ref="B65:D65"/>
    <mergeCell ref="B102:D102"/>
    <mergeCell ref="B120:D120"/>
    <mergeCell ref="B87:D87"/>
    <mergeCell ref="B88:D88"/>
    <mergeCell ref="B89:D89"/>
    <mergeCell ref="B90:D90"/>
    <mergeCell ref="B91:D91"/>
    <mergeCell ref="B92:D92"/>
    <mergeCell ref="B117:D117"/>
    <mergeCell ref="B118:D118"/>
    <mergeCell ref="B119:D119"/>
    <mergeCell ref="B109:D109"/>
    <mergeCell ref="B146:D146"/>
    <mergeCell ref="B147:D147"/>
    <mergeCell ref="B148:D148"/>
    <mergeCell ref="B149:D149"/>
    <mergeCell ref="B150:D150"/>
    <mergeCell ref="B75:D75"/>
    <mergeCell ref="B76:D76"/>
    <mergeCell ref="B77:D77"/>
    <mergeCell ref="B78:D78"/>
    <mergeCell ref="B79:D79"/>
    <mergeCell ref="B80:D80"/>
    <mergeCell ref="B81:D81"/>
    <mergeCell ref="B82:D82"/>
    <mergeCell ref="B83:D83"/>
    <mergeCell ref="B142:D142"/>
    <mergeCell ref="B113:D113"/>
    <mergeCell ref="B106:D106"/>
    <mergeCell ref="B107:D107"/>
    <mergeCell ref="B108:D108"/>
    <mergeCell ref="B99:D99"/>
    <mergeCell ref="B101:D101"/>
    <mergeCell ref="B114:D114"/>
    <mergeCell ref="B115:D115"/>
    <mergeCell ref="B116:D116"/>
    <mergeCell ref="B143:D143"/>
    <mergeCell ref="B144:D144"/>
    <mergeCell ref="B145:D145"/>
    <mergeCell ref="E106:T109"/>
    <mergeCell ref="G110:T114"/>
    <mergeCell ref="B128:D128"/>
    <mergeCell ref="U125:AK125"/>
    <mergeCell ref="U126:AK126"/>
    <mergeCell ref="U127:AK127"/>
    <mergeCell ref="B121:D121"/>
    <mergeCell ref="B122:D122"/>
    <mergeCell ref="B123:D123"/>
    <mergeCell ref="B124:D124"/>
    <mergeCell ref="U133:AK133"/>
    <mergeCell ref="B126:D126"/>
    <mergeCell ref="B127:D127"/>
    <mergeCell ref="B132:D132"/>
    <mergeCell ref="B133:D133"/>
    <mergeCell ref="B134:D134"/>
    <mergeCell ref="B141:D141"/>
    <mergeCell ref="U107:AK107"/>
    <mergeCell ref="U108:AK108"/>
    <mergeCell ref="G129:T130"/>
    <mergeCell ref="G118:T122"/>
    <mergeCell ref="U90:AK90"/>
    <mergeCell ref="U91:AK91"/>
    <mergeCell ref="U100:AK100"/>
    <mergeCell ref="U101:AK101"/>
    <mergeCell ref="U102:AK102"/>
    <mergeCell ref="U103:AK103"/>
    <mergeCell ref="U104:AK104"/>
    <mergeCell ref="U105:AK105"/>
    <mergeCell ref="U106:AK106"/>
    <mergeCell ref="U98:AK98"/>
    <mergeCell ref="U92:AK92"/>
    <mergeCell ref="U95:AK95"/>
    <mergeCell ref="I153:AK153"/>
    <mergeCell ref="U143:AK143"/>
    <mergeCell ref="I152:AK152"/>
    <mergeCell ref="U137:AK137"/>
    <mergeCell ref="U138:AK138"/>
    <mergeCell ref="U139:AK139"/>
    <mergeCell ref="U141:AK141"/>
    <mergeCell ref="U142:AK142"/>
    <mergeCell ref="E146:F149"/>
    <mergeCell ref="E141:F144"/>
    <mergeCell ref="E129:F139"/>
    <mergeCell ref="U131:AK131"/>
    <mergeCell ref="I151:AK151"/>
    <mergeCell ref="U145:AK145"/>
    <mergeCell ref="U146:AK146"/>
    <mergeCell ref="G148:T149"/>
    <mergeCell ref="E150:AP150"/>
    <mergeCell ref="U148:AK148"/>
    <mergeCell ref="U149:AK149"/>
    <mergeCell ref="G141:T142"/>
    <mergeCell ref="G143:T144"/>
    <mergeCell ref="E145:T145"/>
    <mergeCell ref="G146:T147"/>
    <mergeCell ref="G131:T136"/>
    <mergeCell ref="U33:AK33"/>
    <mergeCell ref="U34:AK34"/>
    <mergeCell ref="U35:AK35"/>
    <mergeCell ref="U36:AK36"/>
    <mergeCell ref="O6:AN6"/>
    <mergeCell ref="E87:T88"/>
    <mergeCell ref="E85:T86"/>
    <mergeCell ref="E68:F73"/>
    <mergeCell ref="G76:T76"/>
    <mergeCell ref="E41:AP41"/>
    <mergeCell ref="E42:T42"/>
    <mergeCell ref="E43:T46"/>
    <mergeCell ref="U38:AK38"/>
    <mergeCell ref="U39:AK39"/>
    <mergeCell ref="E49:T50"/>
    <mergeCell ref="U40:AK40"/>
    <mergeCell ref="U42:AK42"/>
    <mergeCell ref="U43:AK43"/>
    <mergeCell ref="U44:AK44"/>
    <mergeCell ref="U45:AK45"/>
    <mergeCell ref="U85:AK85"/>
    <mergeCell ref="E13:T13"/>
    <mergeCell ref="E20:T21"/>
    <mergeCell ref="E12:AP12"/>
    <mergeCell ref="B135:D135"/>
    <mergeCell ref="B54:D54"/>
    <mergeCell ref="B55:D55"/>
    <mergeCell ref="B29:D29"/>
    <mergeCell ref="B30:D30"/>
    <mergeCell ref="B31:D31"/>
    <mergeCell ref="B32:D32"/>
    <mergeCell ref="B42:D42"/>
    <mergeCell ref="B43:D43"/>
    <mergeCell ref="B44:D44"/>
    <mergeCell ref="B45:D45"/>
    <mergeCell ref="B85:D85"/>
    <mergeCell ref="B86:D86"/>
    <mergeCell ref="B130:D130"/>
    <mergeCell ref="B97:D97"/>
    <mergeCell ref="B100:D100"/>
    <mergeCell ref="B103:D103"/>
    <mergeCell ref="B93:D93"/>
    <mergeCell ref="B94:D94"/>
    <mergeCell ref="B95:D95"/>
    <mergeCell ref="B96:D96"/>
    <mergeCell ref="B98:D98"/>
    <mergeCell ref="B125:D125"/>
    <mergeCell ref="B110:D110"/>
    <mergeCell ref="E77:T84"/>
    <mergeCell ref="G57:T61"/>
    <mergeCell ref="G62:T65"/>
    <mergeCell ref="U46:AK46"/>
    <mergeCell ref="U47:AK47"/>
    <mergeCell ref="U48:AK48"/>
    <mergeCell ref="U49:AK49"/>
    <mergeCell ref="U50:AK50"/>
    <mergeCell ref="G52:AK52"/>
    <mergeCell ref="U80:AK80"/>
    <mergeCell ref="U81:AK81"/>
    <mergeCell ref="U82:AK82"/>
    <mergeCell ref="U84:AK84"/>
    <mergeCell ref="G54:AK54"/>
    <mergeCell ref="U32:AK32"/>
    <mergeCell ref="E27:F40"/>
    <mergeCell ref="E52:F56"/>
    <mergeCell ref="E57:F67"/>
    <mergeCell ref="G55:T56"/>
    <mergeCell ref="U55:AK55"/>
    <mergeCell ref="U56:AK56"/>
    <mergeCell ref="U74:AK74"/>
    <mergeCell ref="U75:AK75"/>
    <mergeCell ref="G27:T32"/>
    <mergeCell ref="G33:T36"/>
    <mergeCell ref="G37:T38"/>
    <mergeCell ref="U68:AK68"/>
    <mergeCell ref="U61:AK61"/>
    <mergeCell ref="U62:AK62"/>
    <mergeCell ref="U63:AK63"/>
    <mergeCell ref="U70:AK70"/>
    <mergeCell ref="U71:AK71"/>
    <mergeCell ref="G71:T73"/>
    <mergeCell ref="G74:T75"/>
    <mergeCell ref="G66:T66"/>
    <mergeCell ref="G67:T67"/>
    <mergeCell ref="G68:T70"/>
    <mergeCell ref="G53:AK53"/>
    <mergeCell ref="AO7:AP7"/>
    <mergeCell ref="AL9:AL10"/>
    <mergeCell ref="AM9:AO9"/>
    <mergeCell ref="AP9:AP11"/>
    <mergeCell ref="U23:AK23"/>
    <mergeCell ref="U24:AK24"/>
    <mergeCell ref="U25:AK25"/>
    <mergeCell ref="U26:AK26"/>
    <mergeCell ref="U27:AK27"/>
    <mergeCell ref="U86:AK86"/>
    <mergeCell ref="U76:AK76"/>
    <mergeCell ref="U66:AK66"/>
    <mergeCell ref="U67:AK67"/>
    <mergeCell ref="G6:N7"/>
    <mergeCell ref="U28:AK28"/>
    <mergeCell ref="U29:AK29"/>
    <mergeCell ref="E18:T19"/>
    <mergeCell ref="U57:AK57"/>
    <mergeCell ref="U58:AK58"/>
    <mergeCell ref="B4:F7"/>
    <mergeCell ref="O4:AN4"/>
    <mergeCell ref="B33:D33"/>
    <mergeCell ref="B34:D34"/>
    <mergeCell ref="B35:D35"/>
    <mergeCell ref="B36:D36"/>
    <mergeCell ref="B37:D37"/>
    <mergeCell ref="U83:AK83"/>
    <mergeCell ref="E15:T17"/>
    <mergeCell ref="E14:T14"/>
    <mergeCell ref="G4:N4"/>
    <mergeCell ref="U77:AK77"/>
    <mergeCell ref="U78:AK78"/>
    <mergeCell ref="U79:AK79"/>
    <mergeCell ref="G5:N5"/>
    <mergeCell ref="E9:AK11"/>
    <mergeCell ref="U37:AK37"/>
    <mergeCell ref="U30:AK30"/>
    <mergeCell ref="U72:AK72"/>
    <mergeCell ref="U73:AK73"/>
    <mergeCell ref="E74:F76"/>
    <mergeCell ref="E89:T94"/>
    <mergeCell ref="U128:AK128"/>
    <mergeCell ref="U124:AK124"/>
    <mergeCell ref="U118:AK118"/>
    <mergeCell ref="U119:AK119"/>
    <mergeCell ref="U116:AK116"/>
    <mergeCell ref="U112:AK112"/>
    <mergeCell ref="U87:AK87"/>
    <mergeCell ref="U88:AK88"/>
    <mergeCell ref="U89:AK89"/>
    <mergeCell ref="U109:AK109"/>
    <mergeCell ref="U110:AK110"/>
    <mergeCell ref="U111:AK111"/>
    <mergeCell ref="U121:AK121"/>
    <mergeCell ref="U122:AK122"/>
    <mergeCell ref="U123:AK123"/>
    <mergeCell ref="G126:T128"/>
    <mergeCell ref="E123:F128"/>
    <mergeCell ref="E110:F122"/>
    <mergeCell ref="E95:T98"/>
    <mergeCell ref="U115:AK115"/>
    <mergeCell ref="E99:AP99"/>
    <mergeCell ref="E100:T100"/>
    <mergeCell ref="E105:T105"/>
    <mergeCell ref="U96:AK96"/>
    <mergeCell ref="U97:AK97"/>
    <mergeCell ref="U117:AK117"/>
    <mergeCell ref="U120:AK120"/>
    <mergeCell ref="G123:T125"/>
    <mergeCell ref="G115:T115"/>
    <mergeCell ref="G116:T117"/>
    <mergeCell ref="U113:AK113"/>
    <mergeCell ref="U114:AK114"/>
    <mergeCell ref="B39:D39"/>
    <mergeCell ref="B40:D40"/>
    <mergeCell ref="B41:D41"/>
    <mergeCell ref="B57:D57"/>
    <mergeCell ref="O5:AN5"/>
    <mergeCell ref="O7:AN7"/>
    <mergeCell ref="G39:T40"/>
    <mergeCell ref="B152:D152"/>
    <mergeCell ref="B153:D153"/>
    <mergeCell ref="G137:T139"/>
    <mergeCell ref="U147:AK147"/>
    <mergeCell ref="U134:AK134"/>
    <mergeCell ref="U135:AK135"/>
    <mergeCell ref="U136:AK136"/>
    <mergeCell ref="E140:AP140"/>
    <mergeCell ref="U64:AK64"/>
    <mergeCell ref="U65:AK65"/>
    <mergeCell ref="E47:T48"/>
    <mergeCell ref="U59:AK59"/>
    <mergeCell ref="U60:AK60"/>
    <mergeCell ref="E101:T102"/>
    <mergeCell ref="E103:T104"/>
    <mergeCell ref="U93:AK93"/>
    <mergeCell ref="U94:AK94"/>
    <mergeCell ref="I160:AK160"/>
    <mergeCell ref="B151:D151"/>
    <mergeCell ref="U31:AK31"/>
    <mergeCell ref="B136:D136"/>
    <mergeCell ref="B137:D137"/>
    <mergeCell ref="B138:D138"/>
    <mergeCell ref="B139:D139"/>
    <mergeCell ref="U144:AK144"/>
    <mergeCell ref="U129:AK129"/>
    <mergeCell ref="U130:AK130"/>
    <mergeCell ref="E151:H160"/>
    <mergeCell ref="I156:AK156"/>
    <mergeCell ref="I157:AK157"/>
    <mergeCell ref="B140:D140"/>
    <mergeCell ref="B129:D129"/>
    <mergeCell ref="I158:AK158"/>
    <mergeCell ref="I159:AK159"/>
    <mergeCell ref="U132:AK132"/>
    <mergeCell ref="B159:D159"/>
    <mergeCell ref="B160:D160"/>
    <mergeCell ref="B154:D154"/>
    <mergeCell ref="B155:D155"/>
    <mergeCell ref="I154:AK154"/>
    <mergeCell ref="I155:AK155"/>
    <mergeCell ref="G163:S163"/>
    <mergeCell ref="C165:AP165"/>
    <mergeCell ref="C161:AP161"/>
    <mergeCell ref="AE241:AO241"/>
    <mergeCell ref="O241:AD241"/>
    <mergeCell ref="AE183:AO183"/>
    <mergeCell ref="O183:AD183"/>
    <mergeCell ref="O176:AD176"/>
    <mergeCell ref="AE176:AO176"/>
    <mergeCell ref="O177:AD177"/>
    <mergeCell ref="E170:N170"/>
    <mergeCell ref="B184:D184"/>
    <mergeCell ref="E184:N184"/>
    <mergeCell ref="O184:AD184"/>
    <mergeCell ref="AE184:AO184"/>
    <mergeCell ref="B185:D185"/>
    <mergeCell ref="E185:N185"/>
    <mergeCell ref="O185:AD185"/>
    <mergeCell ref="AE185:AO185"/>
    <mergeCell ref="B190:D190"/>
    <mergeCell ref="E190:N190"/>
    <mergeCell ref="O174:AD174"/>
    <mergeCell ref="AE173:AO173"/>
    <mergeCell ref="B171:D171"/>
    <mergeCell ref="E171:N171"/>
    <mergeCell ref="E169:N169"/>
    <mergeCell ref="AE177:AO177"/>
    <mergeCell ref="O178:AD178"/>
    <mergeCell ref="AE178:AO178"/>
    <mergeCell ref="AE170:AO170"/>
    <mergeCell ref="AE168:AO168"/>
    <mergeCell ref="AE174:AO174"/>
    <mergeCell ref="O192:AD192"/>
    <mergeCell ref="AE192:AO192"/>
    <mergeCell ref="E172:N172"/>
    <mergeCell ref="E173:N173"/>
    <mergeCell ref="AE175:AO175"/>
    <mergeCell ref="E174:N174"/>
    <mergeCell ref="O172:AD172"/>
    <mergeCell ref="AE169:AO169"/>
    <mergeCell ref="AE171:AO171"/>
    <mergeCell ref="E192:N192"/>
    <mergeCell ref="B193:D193"/>
    <mergeCell ref="E193:N193"/>
    <mergeCell ref="O193:AD193"/>
    <mergeCell ref="AE193:AO193"/>
    <mergeCell ref="O186:AD186"/>
    <mergeCell ref="AE179:AO179"/>
    <mergeCell ref="AE181:AO181"/>
    <mergeCell ref="B179:D179"/>
    <mergeCell ref="B180:D180"/>
    <mergeCell ref="B181:D181"/>
    <mergeCell ref="O182:AD182"/>
    <mergeCell ref="AE182:AO182"/>
    <mergeCell ref="O179:AD179"/>
    <mergeCell ref="AE186:AO186"/>
    <mergeCell ref="B187:D187"/>
    <mergeCell ref="E187:N187"/>
    <mergeCell ref="O187:AD187"/>
    <mergeCell ref="AE187:AO187"/>
    <mergeCell ref="B188:D188"/>
    <mergeCell ref="E188:N188"/>
    <mergeCell ref="O188:AD188"/>
    <mergeCell ref="O180:AD180"/>
    <mergeCell ref="AE180:AO180"/>
    <mergeCell ref="O181:AD181"/>
    <mergeCell ref="B176:D176"/>
    <mergeCell ref="B177:D177"/>
    <mergeCell ref="B178:D178"/>
    <mergeCell ref="O175:AD175"/>
    <mergeCell ref="E176:N176"/>
    <mergeCell ref="E177:N177"/>
    <mergeCell ref="AE172:AO172"/>
    <mergeCell ref="O173:AD173"/>
    <mergeCell ref="B156:D156"/>
    <mergeCell ref="B157:D157"/>
    <mergeCell ref="B158:D158"/>
    <mergeCell ref="O171:AD171"/>
    <mergeCell ref="B166:D166"/>
    <mergeCell ref="O170:AD170"/>
    <mergeCell ref="E167:N167"/>
    <mergeCell ref="E168:N168"/>
    <mergeCell ref="B164:AP164"/>
    <mergeCell ref="O166:AD166"/>
    <mergeCell ref="AE166:AO166"/>
    <mergeCell ref="O167:AD167"/>
    <mergeCell ref="AE167:AO167"/>
    <mergeCell ref="O168:AD168"/>
    <mergeCell ref="E166:N166"/>
    <mergeCell ref="O169:AD169"/>
    <mergeCell ref="O198:AD198"/>
    <mergeCell ref="AE198:AO198"/>
    <mergeCell ref="B199:D199"/>
    <mergeCell ref="E199:N199"/>
    <mergeCell ref="O199:AD199"/>
    <mergeCell ref="AE199:AO199"/>
    <mergeCell ref="B200:D200"/>
    <mergeCell ref="E200:N200"/>
    <mergeCell ref="O200:AD200"/>
    <mergeCell ref="AE200:AO200"/>
    <mergeCell ref="B194:D194"/>
    <mergeCell ref="E194:N194"/>
    <mergeCell ref="O194:AD194"/>
    <mergeCell ref="B209:D209"/>
    <mergeCell ref="E209:N209"/>
    <mergeCell ref="O209:AD209"/>
    <mergeCell ref="AE209:AO209"/>
    <mergeCell ref="B210:D210"/>
    <mergeCell ref="E210:N210"/>
    <mergeCell ref="O210:AD210"/>
    <mergeCell ref="AE210:AO210"/>
    <mergeCell ref="B201:D201"/>
    <mergeCell ref="E201:N201"/>
    <mergeCell ref="O201:AD201"/>
    <mergeCell ref="AE201:AO201"/>
    <mergeCell ref="B202:D202"/>
    <mergeCell ref="E202:N202"/>
    <mergeCell ref="O202:AD202"/>
    <mergeCell ref="AE202:AO202"/>
    <mergeCell ref="B203:D203"/>
    <mergeCell ref="E203:N203"/>
    <mergeCell ref="O203:AD203"/>
    <mergeCell ref="AE203:AO203"/>
    <mergeCell ref="B204:D204"/>
    <mergeCell ref="E204:N204"/>
    <mergeCell ref="O204:AD204"/>
    <mergeCell ref="AE204:AO204"/>
    <mergeCell ref="B206:D206"/>
    <mergeCell ref="E206:N206"/>
    <mergeCell ref="O206:AD206"/>
    <mergeCell ref="AE206:AO206"/>
    <mergeCell ref="B207:D207"/>
    <mergeCell ref="E207:N207"/>
    <mergeCell ref="O207:AD207"/>
    <mergeCell ref="AE207:AO207"/>
    <mergeCell ref="B208:D208"/>
    <mergeCell ref="E208:N208"/>
    <mergeCell ref="O208:AD208"/>
    <mergeCell ref="AE208:AO208"/>
    <mergeCell ref="B236:D236"/>
    <mergeCell ref="E236:N236"/>
    <mergeCell ref="O236:AD236"/>
    <mergeCell ref="B213:D213"/>
    <mergeCell ref="E213:N213"/>
    <mergeCell ref="O213:AD213"/>
    <mergeCell ref="AE213:AO213"/>
    <mergeCell ref="B216:D216"/>
    <mergeCell ref="E216:N216"/>
    <mergeCell ref="O216:AD216"/>
    <mergeCell ref="AE216:AO216"/>
    <mergeCell ref="E230:N230"/>
    <mergeCell ref="O230:AD230"/>
    <mergeCell ref="AE230:AO230"/>
    <mergeCell ref="B229:D229"/>
    <mergeCell ref="E218:N218"/>
    <mergeCell ref="O218:AD218"/>
    <mergeCell ref="AE218:AO218"/>
    <mergeCell ref="AE227:AO227"/>
    <mergeCell ref="B214:D214"/>
    <mergeCell ref="B239:D239"/>
    <mergeCell ref="E239:N239"/>
    <mergeCell ref="O239:AD239"/>
    <mergeCell ref="AE239:AO239"/>
    <mergeCell ref="B238:D238"/>
    <mergeCell ref="E238:N238"/>
    <mergeCell ref="O238:AD238"/>
    <mergeCell ref="AE238:AO238"/>
    <mergeCell ref="B237:D237"/>
    <mergeCell ref="E237:N237"/>
    <mergeCell ref="O237:AD237"/>
    <mergeCell ref="AE237:AO237"/>
    <mergeCell ref="O212:AD212"/>
    <mergeCell ref="AE212:AO212"/>
    <mergeCell ref="AE223:AO223"/>
    <mergeCell ref="B219:D219"/>
    <mergeCell ref="E219:N219"/>
    <mergeCell ref="AE220:AO220"/>
    <mergeCell ref="B223:D223"/>
    <mergeCell ref="E223:N223"/>
    <mergeCell ref="O223:AD223"/>
    <mergeCell ref="B217:D217"/>
    <mergeCell ref="E217:N217"/>
    <mergeCell ref="O217:AD217"/>
    <mergeCell ref="AE217:AO217"/>
    <mergeCell ref="B218:D218"/>
    <mergeCell ref="E214:N214"/>
    <mergeCell ref="O214:AD214"/>
    <mergeCell ref="AE214:AO214"/>
    <mergeCell ref="B215:D215"/>
    <mergeCell ref="B221:D221"/>
    <mergeCell ref="E221:N221"/>
    <mergeCell ref="O221:AD221"/>
    <mergeCell ref="AE221:AO221"/>
    <mergeCell ref="B3:AP3"/>
    <mergeCell ref="B2:F2"/>
    <mergeCell ref="B233:D233"/>
    <mergeCell ref="E233:N233"/>
    <mergeCell ref="O233:AD233"/>
    <mergeCell ref="AE233:AO233"/>
    <mergeCell ref="B232:D232"/>
    <mergeCell ref="E232:N232"/>
    <mergeCell ref="O232:AD232"/>
    <mergeCell ref="AE232:AO232"/>
    <mergeCell ref="B226:D226"/>
    <mergeCell ref="E226:N226"/>
    <mergeCell ref="O226:AD226"/>
    <mergeCell ref="AE226:AO226"/>
    <mergeCell ref="B225:D225"/>
    <mergeCell ref="E225:N225"/>
    <mergeCell ref="O225:AD225"/>
    <mergeCell ref="AE225:AO225"/>
    <mergeCell ref="B211:D211"/>
    <mergeCell ref="E211:N211"/>
    <mergeCell ref="O211:AD211"/>
    <mergeCell ref="AE211:AO211"/>
    <mergeCell ref="B212:D212"/>
    <mergeCell ref="E212:N212"/>
    <mergeCell ref="E229:N229"/>
    <mergeCell ref="O229:AD229"/>
    <mergeCell ref="E215:N215"/>
    <mergeCell ref="O215:AD215"/>
    <mergeCell ref="AE215:AO215"/>
    <mergeCell ref="B227:D227"/>
    <mergeCell ref="E227:N227"/>
    <mergeCell ref="O227:AD227"/>
    <mergeCell ref="B224:D224"/>
    <mergeCell ref="E224:N224"/>
    <mergeCell ref="O224:AD224"/>
    <mergeCell ref="AE224:AO224"/>
    <mergeCell ref="AE229:AO229"/>
    <mergeCell ref="O228:AD228"/>
    <mergeCell ref="AE228:AO228"/>
  </mergeCells>
  <phoneticPr fontId="3"/>
  <conditionalFormatting sqref="B13:B155 U13:U149 G52:G54 I151:I155">
    <cfRule type="expression" dxfId="3" priority="1">
      <formula>$AM13="―"</formula>
    </cfRule>
  </conditionalFormatting>
  <printOptions horizontalCentered="1"/>
  <pageMargins left="0.70866141732283472" right="0.70866141732283472" top="0.74803149606299213" bottom="0.74803149606299213" header="0.31496062992125984" footer="0.31496062992125984"/>
  <pageSetup paperSize="9" scale="89" fitToHeight="0" orientation="portrait" r:id="rId1"/>
  <headerFooter alignWithMargins="0">
    <oddFooter xml:space="preserve">&amp;C
</oddFooter>
  </headerFooter>
  <rowBreaks count="3" manualBreakCount="3">
    <brk id="50" max="41" man="1"/>
    <brk id="98" max="41" man="1"/>
    <brk id="164" max="41" man="1"/>
  </rowBreaks>
  <colBreaks count="1" manualBreakCount="1">
    <brk id="42" max="227"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1958"/>
  <sheetViews>
    <sheetView zoomScale="70" zoomScaleNormal="70" workbookViewId="0"/>
  </sheetViews>
  <sheetFormatPr defaultColWidth="9" defaultRowHeight="14"/>
  <cols>
    <col min="1" max="1" width="9" style="3"/>
    <col min="2" max="2" width="11.453125" style="426" customWidth="1"/>
    <col min="3" max="3" width="27.36328125" style="426" customWidth="1"/>
    <col min="4" max="4" width="15.36328125" style="504" customWidth="1"/>
    <col min="5" max="5" width="15.36328125" style="107" bestFit="1" customWidth="1"/>
    <col min="6" max="6" width="15.36328125" style="107" customWidth="1"/>
    <col min="7" max="7" width="11.7265625" style="3" customWidth="1"/>
    <col min="8" max="8" width="9" style="376" customWidth="1"/>
    <col min="9" max="9" width="24.08984375" style="13" customWidth="1"/>
    <col min="10" max="10" width="5.6328125" style="377" customWidth="1"/>
    <col min="11" max="11" width="27.90625" style="13" customWidth="1"/>
    <col min="12" max="12" width="5.6328125" style="377" customWidth="1"/>
    <col min="13" max="13" width="22.7265625" style="13" customWidth="1"/>
    <col min="14" max="14" width="5.6328125" style="377" customWidth="1"/>
    <col min="15" max="15" width="16.08984375" style="330" bestFit="1" customWidth="1"/>
    <col min="16" max="16" width="5.6328125" style="13" customWidth="1"/>
    <col min="17" max="17" width="38.08984375" style="330" customWidth="1"/>
    <col min="18" max="28" width="9" style="13"/>
    <col min="29" max="16384" width="9" style="3"/>
  </cols>
  <sheetData>
    <row r="1" spans="2:28">
      <c r="B1" s="4"/>
      <c r="C1" s="4"/>
      <c r="D1" s="107"/>
      <c r="E1" s="107" t="s">
        <v>2432</v>
      </c>
      <c r="G1" s="6"/>
      <c r="H1" s="351"/>
      <c r="I1" s="352"/>
      <c r="J1" s="353"/>
      <c r="K1" s="354"/>
      <c r="L1" s="355"/>
      <c r="M1" s="356"/>
      <c r="N1" s="355"/>
      <c r="O1" s="352"/>
      <c r="V1" s="202"/>
      <c r="W1" s="202"/>
      <c r="X1" s="202"/>
    </row>
    <row r="2" spans="2:28">
      <c r="B2" s="4" t="s">
        <v>1702</v>
      </c>
      <c r="C2" s="4" t="s">
        <v>1702</v>
      </c>
      <c r="D2" s="491" t="s">
        <v>2423</v>
      </c>
      <c r="G2" s="6" t="s">
        <v>1404</v>
      </c>
      <c r="H2" s="351" t="s">
        <v>1392</v>
      </c>
      <c r="I2" s="352"/>
      <c r="J2" s="353"/>
      <c r="K2" s="354"/>
      <c r="L2" s="355"/>
      <c r="N2" s="356"/>
      <c r="O2" s="352"/>
      <c r="T2" s="13" t="s">
        <v>1405</v>
      </c>
      <c r="U2" s="202"/>
      <c r="V2" s="202"/>
      <c r="W2" s="202"/>
      <c r="X2" s="202"/>
    </row>
    <row r="3" spans="2:28">
      <c r="B3" s="4" t="s">
        <v>1703</v>
      </c>
      <c r="C3" s="4" t="s">
        <v>1703</v>
      </c>
      <c r="D3" s="107" t="s">
        <v>1703</v>
      </c>
      <c r="E3" s="578" t="s">
        <v>1703</v>
      </c>
      <c r="F3" s="578" t="s">
        <v>5611</v>
      </c>
      <c r="G3" s="24" t="s">
        <v>1704</v>
      </c>
      <c r="H3" s="563"/>
      <c r="I3" s="352"/>
      <c r="J3" s="353"/>
      <c r="K3" s="354"/>
      <c r="L3" s="355"/>
      <c r="M3" s="356"/>
      <c r="N3" s="355"/>
      <c r="O3" s="352"/>
      <c r="V3" s="202"/>
      <c r="W3" s="202"/>
      <c r="X3" s="202"/>
    </row>
    <row r="4" spans="2:28">
      <c r="B4" s="5"/>
      <c r="C4" s="5"/>
      <c r="D4" s="492" t="s">
        <v>1705</v>
      </c>
      <c r="E4" s="564" t="s">
        <v>1705</v>
      </c>
      <c r="F4" s="564" t="str">
        <f>SUBSTITUTE(E4,CHAR(10),"")</f>
        <v>●●●●</v>
      </c>
      <c r="G4" s="24" t="s">
        <v>1706</v>
      </c>
      <c r="H4" s="565" t="s">
        <v>1393</v>
      </c>
      <c r="I4" s="326" t="s">
        <v>1406</v>
      </c>
      <c r="J4" s="357"/>
      <c r="K4" s="322"/>
      <c r="L4" s="358"/>
      <c r="M4" s="325"/>
      <c r="N4" s="358"/>
      <c r="O4" s="326"/>
      <c r="P4" s="327"/>
      <c r="Q4" s="336"/>
      <c r="R4" s="203"/>
      <c r="S4" s="203"/>
      <c r="T4" s="13" t="str">
        <f>CONCATENATE(H4,I4,J4,K4,L4,M4,N4,O4,P4,Q4)</f>
        <v>0行政所管庁(初期値固定)</v>
      </c>
      <c r="V4" s="202"/>
      <c r="W4" s="202"/>
      <c r="X4" s="202"/>
    </row>
    <row r="5" spans="2:28">
      <c r="B5" s="5"/>
      <c r="C5" s="5"/>
      <c r="D5" s="492" t="str">
        <f>'1_入力シート【基本情報】'!$J$4</f>
        <v>令和</v>
      </c>
      <c r="E5" s="564" t="str">
        <f>'1_入力シート【基本情報】'!$J$4</f>
        <v>令和</v>
      </c>
      <c r="F5" s="564" t="str">
        <f t="shared" ref="F5:F68" si="0">SUBSTITUTE(E5,CHAR(10),"")</f>
        <v>令和</v>
      </c>
      <c r="G5" s="24"/>
      <c r="H5" s="565" t="s">
        <v>2403</v>
      </c>
      <c r="I5" s="326" t="s">
        <v>2405</v>
      </c>
      <c r="J5" s="384" t="s">
        <v>1407</v>
      </c>
      <c r="K5" s="322" t="s">
        <v>2406</v>
      </c>
      <c r="L5" s="358"/>
      <c r="M5" s="325"/>
      <c r="N5" s="358"/>
      <c r="O5" s="326"/>
      <c r="P5" s="327"/>
      <c r="Q5" s="336"/>
      <c r="R5" s="203"/>
      <c r="S5" s="203"/>
      <c r="T5" s="382" t="str">
        <f t="shared" ref="T5:T7" si="1">CONCATENATE(H5,I5,J5,K5,L5,M5,N5,O5,P5,Q5)</f>
        <v>0報告-和暦</v>
      </c>
      <c r="U5" s="382"/>
      <c r="V5" s="202"/>
      <c r="W5" s="202"/>
      <c r="X5" s="202"/>
      <c r="Y5" s="382"/>
      <c r="Z5" s="382"/>
      <c r="AA5" s="382"/>
      <c r="AB5" s="382"/>
    </row>
    <row r="6" spans="2:28" ht="19">
      <c r="B6" s="5"/>
      <c r="C6" s="493" t="str">
        <f>ASC($D6)</f>
        <v>0</v>
      </c>
      <c r="D6" s="492">
        <f>'1_入力シート【基本情報】'!$M$4</f>
        <v>0</v>
      </c>
      <c r="E6" s="7" t="str">
        <f>ASC($D6)</f>
        <v>0</v>
      </c>
      <c r="F6" s="7" t="str">
        <f t="shared" si="0"/>
        <v>0</v>
      </c>
      <c r="G6" s="24"/>
      <c r="H6" s="565" t="s">
        <v>2403</v>
      </c>
      <c r="I6" s="326" t="s">
        <v>2405</v>
      </c>
      <c r="J6" s="384" t="s">
        <v>1407</v>
      </c>
      <c r="K6" s="322" t="s">
        <v>2407</v>
      </c>
      <c r="L6" s="358"/>
      <c r="M6" s="325"/>
      <c r="N6" s="358"/>
      <c r="O6" s="326"/>
      <c r="P6" s="327"/>
      <c r="Q6" s="336"/>
      <c r="R6" s="203"/>
      <c r="S6" s="203"/>
      <c r="T6" s="382" t="str">
        <f t="shared" si="1"/>
        <v>0報告-年</v>
      </c>
      <c r="U6" s="382"/>
      <c r="V6" s="202"/>
      <c r="W6" s="202"/>
      <c r="X6" s="202"/>
      <c r="Y6" s="382"/>
      <c r="Z6" s="382"/>
      <c r="AA6" s="382"/>
      <c r="AB6" s="382"/>
    </row>
    <row r="7" spans="2:28">
      <c r="B7" s="5"/>
      <c r="C7" s="5"/>
      <c r="D7" s="492" t="str">
        <f>'1_入力シート【基本情報】'!$R$4</f>
        <v>建築</v>
      </c>
      <c r="E7" s="564" t="str">
        <f>'1_入力シート【基本情報】'!$R$4</f>
        <v>建築</v>
      </c>
      <c r="F7" s="564" t="str">
        <f t="shared" si="0"/>
        <v>建築</v>
      </c>
      <c r="G7" s="24"/>
      <c r="H7" s="565" t="s">
        <v>2403</v>
      </c>
      <c r="I7" s="326" t="s">
        <v>2405</v>
      </c>
      <c r="J7" s="384" t="s">
        <v>1407</v>
      </c>
      <c r="K7" s="322" t="s">
        <v>2408</v>
      </c>
      <c r="L7" s="358"/>
      <c r="M7" s="325"/>
      <c r="N7" s="358"/>
      <c r="O7" s="326"/>
      <c r="P7" s="327"/>
      <c r="Q7" s="336"/>
      <c r="R7" s="203"/>
      <c r="S7" s="203"/>
      <c r="T7" s="382" t="str">
        <f t="shared" si="1"/>
        <v>0報告-報告種別</v>
      </c>
      <c r="U7" s="382"/>
      <c r="V7" s="202"/>
      <c r="W7" s="202"/>
      <c r="X7" s="202"/>
      <c r="Y7" s="382"/>
      <c r="Z7" s="382"/>
      <c r="AA7" s="382"/>
      <c r="AB7" s="382"/>
    </row>
    <row r="8" spans="2:28">
      <c r="B8" s="4"/>
      <c r="C8" s="4"/>
      <c r="D8" s="107" t="str">
        <f>'1_入力シート【基本情報】'!$BC$4</f>
        <v>令和</v>
      </c>
      <c r="E8" s="564" t="str">
        <f>'1_入力シート【基本情報】'!$BC$4</f>
        <v>令和</v>
      </c>
      <c r="F8" s="564" t="str">
        <f t="shared" si="0"/>
        <v>令和</v>
      </c>
      <c r="G8" s="24" t="s">
        <v>1706</v>
      </c>
      <c r="H8" s="565" t="s">
        <v>1393</v>
      </c>
      <c r="I8" s="326" t="s">
        <v>1707</v>
      </c>
      <c r="J8" s="357" t="s">
        <v>1407</v>
      </c>
      <c r="K8" s="3254" t="s">
        <v>316</v>
      </c>
      <c r="L8" s="3254"/>
      <c r="M8" s="3254"/>
      <c r="N8" s="358"/>
      <c r="O8" s="326"/>
      <c r="P8" s="327"/>
      <c r="Q8" s="336"/>
      <c r="R8" s="203"/>
      <c r="S8" s="203"/>
      <c r="T8" s="13" t="str">
        <f t="shared" ref="T8:T74" si="2">CONCATENATE(H8,I8,J8,K8,L8,M8,N8,O8,P8,Q8)</f>
        <v>0報告日-令和</v>
      </c>
      <c r="V8" s="202"/>
      <c r="W8" s="202"/>
      <c r="X8" s="202"/>
    </row>
    <row r="9" spans="2:28" ht="19">
      <c r="B9" s="493"/>
      <c r="C9" s="493" t="str">
        <f t="shared" ref="C9:E11" si="3">ASC($D9)</f>
        <v>0</v>
      </c>
      <c r="D9" s="494">
        <f>'1_入力シート【基本情報】'!$BF$4</f>
        <v>0</v>
      </c>
      <c r="E9" s="7" t="str">
        <f t="shared" si="3"/>
        <v>0</v>
      </c>
      <c r="F9" s="7" t="str">
        <f t="shared" si="0"/>
        <v>0</v>
      </c>
      <c r="G9" s="566"/>
      <c r="H9" s="565" t="s">
        <v>1393</v>
      </c>
      <c r="I9" s="326" t="s">
        <v>1707</v>
      </c>
      <c r="J9" s="357" t="s">
        <v>1407</v>
      </c>
      <c r="K9" s="322" t="s">
        <v>12</v>
      </c>
      <c r="L9" s="358"/>
      <c r="M9" s="325"/>
      <c r="N9" s="358"/>
      <c r="O9" s="326"/>
      <c r="P9" s="327"/>
      <c r="Q9" s="336"/>
      <c r="R9" s="203"/>
      <c r="S9" s="203"/>
      <c r="T9" s="13" t="str">
        <f t="shared" si="2"/>
        <v>0報告日-年</v>
      </c>
      <c r="V9" s="202"/>
      <c r="W9" s="202"/>
      <c r="X9" s="202"/>
    </row>
    <row r="10" spans="2:28" ht="19">
      <c r="B10" s="5"/>
      <c r="C10" s="493" t="str">
        <f t="shared" si="3"/>
        <v>0</v>
      </c>
      <c r="D10" s="492">
        <f>'1_入力シート【基本情報】'!$BK$4</f>
        <v>0</v>
      </c>
      <c r="E10" s="7" t="str">
        <f t="shared" si="3"/>
        <v>0</v>
      </c>
      <c r="F10" s="7" t="str">
        <f t="shared" si="0"/>
        <v>0</v>
      </c>
      <c r="G10" s="567"/>
      <c r="H10" s="565" t="s">
        <v>1393</v>
      </c>
      <c r="I10" s="326" t="s">
        <v>1707</v>
      </c>
      <c r="J10" s="357" t="s">
        <v>1407</v>
      </c>
      <c r="K10" s="322" t="s">
        <v>383</v>
      </c>
      <c r="L10" s="358"/>
      <c r="M10" s="325"/>
      <c r="N10" s="358"/>
      <c r="O10" s="326"/>
      <c r="P10" s="327"/>
      <c r="Q10" s="336"/>
      <c r="R10" s="203"/>
      <c r="S10" s="203"/>
      <c r="T10" s="13" t="str">
        <f t="shared" si="2"/>
        <v>0報告日-月</v>
      </c>
      <c r="V10" s="202"/>
      <c r="W10" s="202"/>
      <c r="X10" s="202"/>
    </row>
    <row r="11" spans="2:28" ht="19">
      <c r="B11" s="5"/>
      <c r="C11" s="493" t="str">
        <f t="shared" si="3"/>
        <v>0</v>
      </c>
      <c r="D11" s="492">
        <f>'1_入力シート【基本情報】'!$BP$4</f>
        <v>0</v>
      </c>
      <c r="E11" s="7" t="str">
        <f t="shared" si="3"/>
        <v>0</v>
      </c>
      <c r="F11" s="7" t="str">
        <f t="shared" si="0"/>
        <v>0</v>
      </c>
      <c r="G11" s="567"/>
      <c r="H11" s="565" t="s">
        <v>1393</v>
      </c>
      <c r="I11" s="326" t="s">
        <v>1707</v>
      </c>
      <c r="J11" s="357" t="s">
        <v>1407</v>
      </c>
      <c r="K11" s="324" t="s">
        <v>171</v>
      </c>
      <c r="L11" s="358"/>
      <c r="M11" s="325"/>
      <c r="N11" s="358"/>
      <c r="O11" s="326"/>
      <c r="P11" s="327"/>
      <c r="Q11" s="336"/>
      <c r="R11" s="203"/>
      <c r="S11" s="203"/>
      <c r="T11" s="13" t="str">
        <f t="shared" si="2"/>
        <v>0報告日-日</v>
      </c>
      <c r="V11" s="202"/>
      <c r="W11" s="202"/>
      <c r="X11" s="202"/>
    </row>
    <row r="12" spans="2:28" ht="19">
      <c r="B12" s="493"/>
      <c r="C12" s="493"/>
      <c r="D12" s="495">
        <f>'1_入力シート【基本情報】'!$AB$7</f>
        <v>0</v>
      </c>
      <c r="E12" s="568">
        <f>'1_入力シート【基本情報】'!$AB$7</f>
        <v>0</v>
      </c>
      <c r="F12" s="568" t="str">
        <f t="shared" si="0"/>
        <v>0</v>
      </c>
      <c r="G12" s="566"/>
      <c r="H12" s="565">
        <v>1</v>
      </c>
      <c r="I12" s="326" t="s">
        <v>1709</v>
      </c>
      <c r="J12" s="357" t="s">
        <v>1407</v>
      </c>
      <c r="K12" s="322" t="s">
        <v>1710</v>
      </c>
      <c r="L12" s="358" t="s">
        <v>1407</v>
      </c>
      <c r="M12" s="325" t="s">
        <v>1394</v>
      </c>
      <c r="N12" s="358"/>
      <c r="O12" s="326"/>
      <c r="P12" s="327"/>
      <c r="Q12" s="336"/>
      <c r="R12" s="203"/>
      <c r="S12" s="203"/>
      <c r="T12" s="13" t="str">
        <f t="shared" si="2"/>
        <v>1報告対象建築物-ID-1</v>
      </c>
      <c r="V12" s="202"/>
      <c r="W12" s="202"/>
      <c r="X12" s="202"/>
    </row>
    <row r="13" spans="2:28">
      <c r="B13" s="5"/>
      <c r="C13" s="5"/>
      <c r="D13" s="497">
        <f>'1_入力シート【基本情報】'!$AK$7</f>
        <v>0</v>
      </c>
      <c r="E13" s="568">
        <f>'1_入力シート【基本情報】'!$AK$7</f>
        <v>0</v>
      </c>
      <c r="F13" s="568" t="str">
        <f t="shared" si="0"/>
        <v>0</v>
      </c>
      <c r="G13" s="567"/>
      <c r="H13" s="565">
        <v>1</v>
      </c>
      <c r="I13" s="326" t="s">
        <v>1709</v>
      </c>
      <c r="J13" s="357" t="s">
        <v>1407</v>
      </c>
      <c r="K13" s="322" t="s">
        <v>1710</v>
      </c>
      <c r="L13" s="358" t="s">
        <v>1407</v>
      </c>
      <c r="M13" s="325" t="s">
        <v>1395</v>
      </c>
      <c r="N13" s="358"/>
      <c r="O13" s="326"/>
      <c r="P13" s="327"/>
      <c r="Q13" s="336"/>
      <c r="R13" s="203"/>
      <c r="S13" s="203"/>
      <c r="T13" s="13" t="str">
        <f t="shared" si="2"/>
        <v>1報告対象建築物-ID-2</v>
      </c>
      <c r="V13" s="202"/>
      <c r="W13" s="202"/>
      <c r="X13" s="202"/>
    </row>
    <row r="14" spans="2:28">
      <c r="B14" s="5"/>
      <c r="C14" s="5"/>
      <c r="D14" s="497">
        <f>'1_入力シート【基本情報】'!$AT$7</f>
        <v>0</v>
      </c>
      <c r="E14" s="573" t="str">
        <f>TEXT(D14,"0000")</f>
        <v>0000</v>
      </c>
      <c r="F14" s="573" t="str">
        <f t="shared" si="0"/>
        <v>0000</v>
      </c>
      <c r="G14" s="567"/>
      <c r="H14" s="565">
        <v>1</v>
      </c>
      <c r="I14" s="326" t="s">
        <v>1709</v>
      </c>
      <c r="J14" s="357" t="s">
        <v>1407</v>
      </c>
      <c r="K14" s="322" t="s">
        <v>1710</v>
      </c>
      <c r="L14" s="358" t="s">
        <v>1407</v>
      </c>
      <c r="M14" s="325" t="s">
        <v>1396</v>
      </c>
      <c r="N14" s="358"/>
      <c r="O14" s="326"/>
      <c r="P14" s="327"/>
      <c r="Q14" s="336"/>
      <c r="R14" s="203"/>
      <c r="S14" s="203"/>
      <c r="T14" s="13" t="str">
        <f t="shared" si="2"/>
        <v>1報告対象建築物-ID-3</v>
      </c>
      <c r="V14" s="202"/>
      <c r="W14" s="202"/>
      <c r="X14" s="202"/>
    </row>
    <row r="15" spans="2:28">
      <c r="B15" s="4"/>
      <c r="C15" s="4"/>
      <c r="D15" s="107">
        <f>'1_入力シート【基本情報】'!$AB$8</f>
        <v>0</v>
      </c>
      <c r="E15" s="564">
        <f>'1_入力シート【基本情報】'!$AB$8</f>
        <v>0</v>
      </c>
      <c r="F15" s="564" t="str">
        <f t="shared" si="0"/>
        <v>0</v>
      </c>
      <c r="G15" s="24"/>
      <c r="H15" s="565">
        <v>1</v>
      </c>
      <c r="I15" s="326" t="s">
        <v>1709</v>
      </c>
      <c r="J15" s="357" t="s">
        <v>1407</v>
      </c>
      <c r="K15" s="322" t="s">
        <v>1714</v>
      </c>
      <c r="L15" s="358" t="s">
        <v>1407</v>
      </c>
      <c r="M15" s="325" t="s">
        <v>697</v>
      </c>
      <c r="N15" s="358"/>
      <c r="O15" s="326"/>
      <c r="P15" s="327"/>
      <c r="Q15" s="336"/>
      <c r="R15" s="203"/>
      <c r="S15" s="203"/>
      <c r="T15" s="13" t="str">
        <f t="shared" si="2"/>
        <v>1報告対象建築物-建築名称-フリガナ</v>
      </c>
      <c r="V15" s="202"/>
      <c r="W15" s="202"/>
      <c r="X15" s="202"/>
    </row>
    <row r="16" spans="2:28">
      <c r="B16" s="4"/>
      <c r="C16" s="4"/>
      <c r="D16" s="107">
        <f>'1_入力シート【基本情報】'!$AB$9</f>
        <v>0</v>
      </c>
      <c r="E16" s="564">
        <f>'1_入力シート【基本情報】'!$AB$9</f>
        <v>0</v>
      </c>
      <c r="F16" s="564" t="str">
        <f t="shared" si="0"/>
        <v>0</v>
      </c>
      <c r="G16" s="24"/>
      <c r="H16" s="565">
        <v>1</v>
      </c>
      <c r="I16" s="326" t="s">
        <v>1709</v>
      </c>
      <c r="J16" s="357" t="s">
        <v>1407</v>
      </c>
      <c r="K16" s="322" t="s">
        <v>1714</v>
      </c>
      <c r="L16" s="358" t="s">
        <v>1407</v>
      </c>
      <c r="M16" s="325" t="s">
        <v>1714</v>
      </c>
      <c r="N16" s="358"/>
      <c r="O16" s="326"/>
      <c r="P16" s="327"/>
      <c r="Q16" s="336"/>
      <c r="R16" s="203"/>
      <c r="S16" s="203"/>
      <c r="T16" s="13" t="str">
        <f t="shared" si="2"/>
        <v>1報告対象建築物-建築名称-建築名称</v>
      </c>
      <c r="V16" s="202"/>
      <c r="W16" s="202"/>
      <c r="X16" s="202"/>
    </row>
    <row r="17" spans="1:28">
      <c r="B17" s="5"/>
      <c r="C17" s="5"/>
      <c r="D17" s="497">
        <f>'1_入力シート【基本情報】'!$AB$10</f>
        <v>0</v>
      </c>
      <c r="E17" s="568">
        <f>'1_入力シート【基本情報】'!$AB$10</f>
        <v>0</v>
      </c>
      <c r="F17" s="568" t="str">
        <f t="shared" si="0"/>
        <v>0</v>
      </c>
      <c r="G17" s="567"/>
      <c r="H17" s="565">
        <v>1</v>
      </c>
      <c r="I17" s="326" t="s">
        <v>1709</v>
      </c>
      <c r="J17" s="357" t="s">
        <v>1407</v>
      </c>
      <c r="K17" s="322" t="s">
        <v>1717</v>
      </c>
      <c r="L17" s="358" t="s">
        <v>1407</v>
      </c>
      <c r="M17" s="325" t="s">
        <v>1162</v>
      </c>
      <c r="N17" s="358"/>
      <c r="O17" s="326"/>
      <c r="P17" s="327"/>
      <c r="Q17" s="336"/>
      <c r="R17" s="203"/>
      <c r="S17" s="203"/>
      <c r="T17" s="13" t="str">
        <f t="shared" si="2"/>
        <v>1報告対象建築物-建物所在地-都道府県</v>
      </c>
      <c r="V17" s="202"/>
      <c r="W17" s="202"/>
      <c r="X17" s="202"/>
    </row>
    <row r="18" spans="1:28">
      <c r="B18" s="4"/>
      <c r="C18" s="4"/>
      <c r="D18" s="496" t="str">
        <f>'1_入力シート【基本情報】'!$AB$11</f>
        <v>京都市</v>
      </c>
      <c r="E18" s="568" t="str">
        <f>'1_入力シート【基本情報】'!$AB$11</f>
        <v>京都市</v>
      </c>
      <c r="F18" s="568" t="str">
        <f t="shared" si="0"/>
        <v>京都市</v>
      </c>
      <c r="G18" s="24"/>
      <c r="H18" s="565">
        <v>1</v>
      </c>
      <c r="I18" s="326" t="s">
        <v>1709</v>
      </c>
      <c r="J18" s="357" t="s">
        <v>1407</v>
      </c>
      <c r="K18" s="322" t="s">
        <v>1717</v>
      </c>
      <c r="L18" s="358" t="s">
        <v>1407</v>
      </c>
      <c r="M18" s="325" t="s">
        <v>1163</v>
      </c>
      <c r="N18" s="358"/>
      <c r="O18" s="326"/>
      <c r="P18" s="327"/>
      <c r="Q18" s="336"/>
      <c r="R18" s="203"/>
      <c r="S18" s="203"/>
      <c r="T18" s="13" t="str">
        <f t="shared" si="2"/>
        <v>1報告対象建築物-建物所在地-市郡</v>
      </c>
      <c r="V18" s="202"/>
      <c r="W18" s="202"/>
      <c r="X18" s="202"/>
    </row>
    <row r="19" spans="1:28" ht="19">
      <c r="B19" s="493"/>
      <c r="C19" s="493"/>
      <c r="D19" s="495">
        <f>'1_入力シート【基本情報】'!$AB$12</f>
        <v>0</v>
      </c>
      <c r="E19" s="568">
        <f>'1_入力シート【基本情報】'!$AB$12</f>
        <v>0</v>
      </c>
      <c r="F19" s="568" t="str">
        <f t="shared" si="0"/>
        <v>0</v>
      </c>
      <c r="G19" s="566"/>
      <c r="H19" s="565">
        <v>1</v>
      </c>
      <c r="I19" s="326" t="s">
        <v>1709</v>
      </c>
      <c r="J19" s="357" t="s">
        <v>1407</v>
      </c>
      <c r="K19" s="322" t="s">
        <v>1717</v>
      </c>
      <c r="L19" s="358" t="s">
        <v>1407</v>
      </c>
      <c r="M19" s="325" t="s">
        <v>1720</v>
      </c>
      <c r="N19" s="358"/>
      <c r="O19" s="326"/>
      <c r="P19" s="327"/>
      <c r="Q19" s="336"/>
      <c r="R19" s="203"/>
      <c r="S19" s="203"/>
      <c r="T19" s="13" t="str">
        <f t="shared" si="2"/>
        <v>1報告対象建築物-建物所在地-区町村</v>
      </c>
      <c r="V19" s="202"/>
      <c r="W19" s="202"/>
      <c r="X19" s="202"/>
    </row>
    <row r="20" spans="1:28">
      <c r="B20" s="5"/>
      <c r="C20" s="5"/>
      <c r="D20" s="497">
        <f>'1_入力シート【基本情報】'!$AB$13</f>
        <v>0</v>
      </c>
      <c r="E20" s="568">
        <f>'1_入力シート【基本情報】'!$AB$13</f>
        <v>0</v>
      </c>
      <c r="F20" s="568" t="str">
        <f t="shared" si="0"/>
        <v>0</v>
      </c>
      <c r="G20" s="567"/>
      <c r="H20" s="565">
        <v>1</v>
      </c>
      <c r="I20" s="326" t="s">
        <v>1709</v>
      </c>
      <c r="J20" s="357" t="s">
        <v>1407</v>
      </c>
      <c r="K20" s="322" t="s">
        <v>1717</v>
      </c>
      <c r="L20" s="358" t="s">
        <v>1407</v>
      </c>
      <c r="M20" s="325" t="s">
        <v>335</v>
      </c>
      <c r="N20" s="358"/>
      <c r="O20" s="326"/>
      <c r="P20" s="327"/>
      <c r="Q20" s="336"/>
      <c r="R20" s="203"/>
      <c r="S20" s="203"/>
      <c r="T20" s="13" t="str">
        <f t="shared" si="2"/>
        <v>1報告対象建築物-建物所在地-大字・町名</v>
      </c>
      <c r="V20" s="202"/>
      <c r="W20" s="202"/>
      <c r="X20" s="202"/>
    </row>
    <row r="21" spans="1:28">
      <c r="B21" s="5"/>
      <c r="C21" s="5"/>
      <c r="D21" s="497">
        <f>'1_入力シート【基本情報】'!$AB$14</f>
        <v>0</v>
      </c>
      <c r="E21" s="568">
        <f>'1_入力シート【基本情報】'!$AB$14</f>
        <v>0</v>
      </c>
      <c r="F21" s="568" t="str">
        <f t="shared" si="0"/>
        <v>0</v>
      </c>
      <c r="G21" s="567"/>
      <c r="H21" s="565">
        <v>1</v>
      </c>
      <c r="I21" s="326" t="s">
        <v>1709</v>
      </c>
      <c r="J21" s="357" t="s">
        <v>1407</v>
      </c>
      <c r="K21" s="322" t="s">
        <v>1717</v>
      </c>
      <c r="L21" s="358" t="s">
        <v>1407</v>
      </c>
      <c r="M21" s="325" t="s">
        <v>698</v>
      </c>
      <c r="N21" s="358"/>
      <c r="O21" s="326"/>
      <c r="P21" s="327"/>
      <c r="Q21" s="336"/>
      <c r="R21" s="203"/>
      <c r="S21" s="203"/>
      <c r="T21" s="13" t="str">
        <f t="shared" si="2"/>
        <v>1報告対象建築物-建物所在地-番地など</v>
      </c>
      <c r="V21" s="202"/>
      <c r="W21" s="202"/>
      <c r="X21" s="202"/>
    </row>
    <row r="22" spans="1:28">
      <c r="A22" s="426"/>
      <c r="B22" s="5"/>
      <c r="C22" s="5"/>
      <c r="D22" s="497"/>
      <c r="E22" s="691" t="b">
        <f>'1_入力シート【基本情報】'!$DS$16</f>
        <v>0</v>
      </c>
      <c r="F22" s="691" t="str">
        <f t="shared" si="0"/>
        <v>FALSE</v>
      </c>
      <c r="G22" s="692"/>
      <c r="H22" s="693" t="s">
        <v>2756</v>
      </c>
      <c r="I22" s="694" t="s">
        <v>1724</v>
      </c>
      <c r="J22" s="695" t="s">
        <v>1879</v>
      </c>
      <c r="K22" s="696" t="s">
        <v>3371</v>
      </c>
      <c r="L22" s="697" t="s">
        <v>1879</v>
      </c>
      <c r="M22" s="698"/>
      <c r="N22" s="697"/>
      <c r="O22" s="694"/>
      <c r="P22" s="699"/>
      <c r="Q22" s="700"/>
      <c r="R22" s="701"/>
      <c r="S22" s="701"/>
      <c r="T22" s="690" t="str">
        <f t="shared" si="2"/>
        <v>2報告内容に関する問合せ先-代表となる調査者と同一チェック-</v>
      </c>
      <c r="U22" s="382"/>
      <c r="V22" s="202"/>
      <c r="W22" s="202"/>
      <c r="X22" s="202"/>
      <c r="Y22" s="382"/>
      <c r="Z22" s="382"/>
      <c r="AA22" s="382"/>
      <c r="AB22" s="382"/>
    </row>
    <row r="23" spans="1:28">
      <c r="A23" s="426"/>
      <c r="B23" s="5"/>
      <c r="C23" s="5"/>
      <c r="D23" s="497"/>
      <c r="E23" s="691" t="b">
        <f>'1_入力シート【基本情報】'!DT16</f>
        <v>0</v>
      </c>
      <c r="F23" s="691" t="str">
        <f t="shared" si="0"/>
        <v>FALSE</v>
      </c>
      <c r="G23" s="692"/>
      <c r="H23" s="693" t="s">
        <v>2756</v>
      </c>
      <c r="I23" s="694" t="s">
        <v>1724</v>
      </c>
      <c r="J23" s="695" t="s">
        <v>1879</v>
      </c>
      <c r="K23" s="696" t="s">
        <v>3372</v>
      </c>
      <c r="L23" s="697" t="s">
        <v>1879</v>
      </c>
      <c r="M23" s="698"/>
      <c r="N23" s="697"/>
      <c r="O23" s="694"/>
      <c r="P23" s="699"/>
      <c r="Q23" s="700"/>
      <c r="R23" s="701"/>
      <c r="S23" s="701"/>
      <c r="T23" s="690" t="str">
        <f t="shared" si="2"/>
        <v>2報告内容に関する問合せ先-代表となる調査者と勤務先が同一チェック-</v>
      </c>
      <c r="U23" s="382"/>
      <c r="V23" s="202"/>
      <c r="W23" s="202"/>
      <c r="X23" s="202"/>
      <c r="Y23" s="382"/>
      <c r="Z23" s="382"/>
      <c r="AA23" s="382"/>
      <c r="AB23" s="382"/>
    </row>
    <row r="24" spans="1:28">
      <c r="B24" s="5"/>
      <c r="C24" s="5"/>
      <c r="D24" s="492">
        <f>'1_入力シート【基本情報】'!$AB$17</f>
        <v>0</v>
      </c>
      <c r="E24" s="564">
        <f>'1_入力シート【基本情報】'!$AB$17</f>
        <v>0</v>
      </c>
      <c r="F24" s="564" t="str">
        <f t="shared" si="0"/>
        <v>0</v>
      </c>
      <c r="G24" s="567"/>
      <c r="H24" s="565" t="s">
        <v>1395</v>
      </c>
      <c r="I24" s="326" t="s">
        <v>1724</v>
      </c>
      <c r="J24" s="357" t="s">
        <v>1407</v>
      </c>
      <c r="K24" s="322" t="s">
        <v>1725</v>
      </c>
      <c r="L24" s="358" t="s">
        <v>1407</v>
      </c>
      <c r="M24" s="329" t="s">
        <v>697</v>
      </c>
      <c r="N24" s="359"/>
      <c r="O24" s="334"/>
      <c r="P24" s="327"/>
      <c r="Q24" s="336"/>
      <c r="R24" s="203"/>
      <c r="S24" s="203"/>
      <c r="T24" s="13" t="str">
        <f t="shared" si="2"/>
        <v>2報告内容に関する問合せ先-法人名-フリガナ</v>
      </c>
      <c r="V24" s="202"/>
      <c r="W24" s="202"/>
      <c r="X24" s="202"/>
    </row>
    <row r="25" spans="1:28">
      <c r="B25" s="5"/>
      <c r="C25" s="5"/>
      <c r="D25" s="492">
        <f>'1_入力シート【基本情報】'!$AB$18</f>
        <v>0</v>
      </c>
      <c r="E25" s="564">
        <f>'1_入力シート【基本情報】'!$AB$18</f>
        <v>0</v>
      </c>
      <c r="F25" s="564" t="str">
        <f t="shared" si="0"/>
        <v>0</v>
      </c>
      <c r="G25" s="567"/>
      <c r="H25" s="565" t="s">
        <v>1395</v>
      </c>
      <c r="I25" s="326" t="s">
        <v>1724</v>
      </c>
      <c r="J25" s="357" t="s">
        <v>1407</v>
      </c>
      <c r="K25" s="322" t="s">
        <v>1725</v>
      </c>
      <c r="L25" s="358" t="s">
        <v>1407</v>
      </c>
      <c r="M25" s="329" t="s">
        <v>337</v>
      </c>
      <c r="N25" s="359"/>
      <c r="O25" s="334"/>
      <c r="P25" s="327"/>
      <c r="Q25" s="336"/>
      <c r="R25" s="203"/>
      <c r="S25" s="203"/>
      <c r="T25" s="13" t="str">
        <f t="shared" si="2"/>
        <v>2報告内容に関する問合せ先-法人名-法人名</v>
      </c>
      <c r="V25" s="202"/>
      <c r="W25" s="202"/>
      <c r="X25" s="202"/>
    </row>
    <row r="26" spans="1:28">
      <c r="B26" s="5"/>
      <c r="C26" s="5"/>
      <c r="D26" s="492">
        <f>'1_入力シート【基本情報】'!$AB$19</f>
        <v>0</v>
      </c>
      <c r="E26" s="564">
        <f>'1_入力シート【基本情報】'!$AB$19</f>
        <v>0</v>
      </c>
      <c r="F26" s="564" t="str">
        <f t="shared" si="0"/>
        <v>0</v>
      </c>
      <c r="G26" s="567"/>
      <c r="H26" s="565" t="s">
        <v>1395</v>
      </c>
      <c r="I26" s="326" t="s">
        <v>1724</v>
      </c>
      <c r="J26" s="357" t="s">
        <v>1407</v>
      </c>
      <c r="K26" s="322" t="s">
        <v>1728</v>
      </c>
      <c r="L26" s="358" t="s">
        <v>1407</v>
      </c>
      <c r="M26" s="329" t="s">
        <v>697</v>
      </c>
      <c r="N26" s="359"/>
      <c r="O26" s="334"/>
      <c r="P26" s="327"/>
      <c r="Q26" s="336"/>
      <c r="R26" s="203"/>
      <c r="S26" s="203"/>
      <c r="T26" s="13" t="str">
        <f t="shared" si="2"/>
        <v>2報告内容に関する問合せ先-肩書-フリガナ</v>
      </c>
      <c r="V26" s="202"/>
      <c r="W26" s="202"/>
      <c r="X26" s="202"/>
    </row>
    <row r="27" spans="1:28">
      <c r="B27" s="5"/>
      <c r="C27" s="5"/>
      <c r="D27" s="492">
        <f>'1_入力シート【基本情報】'!$AB$20</f>
        <v>0</v>
      </c>
      <c r="E27" s="564">
        <f>'1_入力シート【基本情報】'!$AB$20</f>
        <v>0</v>
      </c>
      <c r="F27" s="564" t="str">
        <f t="shared" si="0"/>
        <v>0</v>
      </c>
      <c r="G27" s="567"/>
      <c r="H27" s="565" t="s">
        <v>1395</v>
      </c>
      <c r="I27" s="326" t="s">
        <v>1724</v>
      </c>
      <c r="J27" s="357" t="s">
        <v>1407</v>
      </c>
      <c r="K27" s="322" t="s">
        <v>1728</v>
      </c>
      <c r="L27" s="358" t="s">
        <v>1407</v>
      </c>
      <c r="M27" s="329" t="s">
        <v>339</v>
      </c>
      <c r="N27" s="359"/>
      <c r="O27" s="334"/>
      <c r="P27" s="327"/>
      <c r="Q27" s="336"/>
      <c r="R27" s="203"/>
      <c r="S27" s="203"/>
      <c r="T27" s="13" t="str">
        <f t="shared" si="2"/>
        <v>2報告内容に関する問合せ先-肩書-肩書</v>
      </c>
      <c r="V27" s="202"/>
      <c r="W27" s="202"/>
      <c r="X27" s="202"/>
    </row>
    <row r="28" spans="1:28">
      <c r="B28" s="5"/>
      <c r="C28" s="5"/>
      <c r="D28" s="492">
        <f>'1_入力シート【基本情報】'!$AB$21</f>
        <v>0</v>
      </c>
      <c r="E28" s="564">
        <f>'1_入力シート【基本情報】'!$AB$21</f>
        <v>0</v>
      </c>
      <c r="F28" s="564" t="str">
        <f t="shared" si="0"/>
        <v>0</v>
      </c>
      <c r="G28" s="567"/>
      <c r="H28" s="565" t="s">
        <v>1395</v>
      </c>
      <c r="I28" s="326" t="s">
        <v>1724</v>
      </c>
      <c r="J28" s="357" t="s">
        <v>1407</v>
      </c>
      <c r="K28" s="322" t="s">
        <v>1731</v>
      </c>
      <c r="L28" s="358" t="s">
        <v>1407</v>
      </c>
      <c r="M28" s="329" t="s">
        <v>697</v>
      </c>
      <c r="N28" s="359"/>
      <c r="O28" s="334"/>
      <c r="P28" s="327"/>
      <c r="Q28" s="336"/>
      <c r="R28" s="203"/>
      <c r="S28" s="203"/>
      <c r="T28" s="13" t="str">
        <f t="shared" si="2"/>
        <v>2報告内容に関する問合せ先-氏名-フリガナ</v>
      </c>
      <c r="V28" s="202"/>
      <c r="W28" s="202"/>
      <c r="X28" s="202"/>
    </row>
    <row r="29" spans="1:28">
      <c r="B29" s="5"/>
      <c r="C29" s="5"/>
      <c r="D29" s="492">
        <f>'1_入力シート【基本情報】'!$AB$22</f>
        <v>0</v>
      </c>
      <c r="E29" s="564">
        <f>'1_入力シート【基本情報】'!$AB$22</f>
        <v>0</v>
      </c>
      <c r="F29" s="564" t="str">
        <f t="shared" si="0"/>
        <v>0</v>
      </c>
      <c r="G29" s="567"/>
      <c r="H29" s="565" t="s">
        <v>1395</v>
      </c>
      <c r="I29" s="326" t="s">
        <v>1724</v>
      </c>
      <c r="J29" s="357" t="s">
        <v>1407</v>
      </c>
      <c r="K29" s="322" t="s">
        <v>1731</v>
      </c>
      <c r="L29" s="358" t="s">
        <v>1407</v>
      </c>
      <c r="M29" s="329" t="s">
        <v>340</v>
      </c>
      <c r="N29" s="359"/>
      <c r="O29" s="334"/>
      <c r="P29" s="327"/>
      <c r="Q29" s="336"/>
      <c r="R29" s="203"/>
      <c r="S29" s="203"/>
      <c r="T29" s="13" t="str">
        <f t="shared" si="2"/>
        <v>2報告内容に関する問合せ先-氏名-氏名</v>
      </c>
      <c r="V29" s="202"/>
      <c r="W29" s="202"/>
      <c r="X29" s="202"/>
    </row>
    <row r="30" spans="1:28">
      <c r="B30" s="5" t="str">
        <f>CONCATENATE('1_入力シート【基本情報】'!AB23,"-",'1_入力シート【基本情報】'!AK23)</f>
        <v>-</v>
      </c>
      <c r="C30" s="5" t="str">
        <f>ASC(B30)</f>
        <v>-</v>
      </c>
      <c r="D30" s="492" t="str">
        <f>$C$30</f>
        <v>-</v>
      </c>
      <c r="E30" s="564" t="str">
        <f>$C$30</f>
        <v>-</v>
      </c>
      <c r="F30" s="564" t="str">
        <f t="shared" si="0"/>
        <v>-</v>
      </c>
      <c r="G30" s="569"/>
      <c r="H30" s="565" t="s">
        <v>1395</v>
      </c>
      <c r="I30" s="326" t="s">
        <v>1724</v>
      </c>
      <c r="J30" s="357" t="s">
        <v>1407</v>
      </c>
      <c r="K30" s="324" t="s">
        <v>1734</v>
      </c>
      <c r="L30" s="358"/>
      <c r="M30" s="329"/>
      <c r="N30" s="359"/>
      <c r="O30" s="333"/>
      <c r="P30" s="327"/>
      <c r="Q30" s="336"/>
      <c r="R30" s="203"/>
      <c r="S30" s="203"/>
      <c r="T30" s="13" t="str">
        <f t="shared" si="2"/>
        <v>2報告内容に関する問合せ先-郵便番号</v>
      </c>
      <c r="V30" s="202"/>
      <c r="W30" s="202"/>
      <c r="X30" s="202"/>
    </row>
    <row r="31" spans="1:28">
      <c r="B31" s="4"/>
      <c r="C31" s="4"/>
      <c r="D31" s="107">
        <f>'1_入力シート【基本情報】'!$AB$24</f>
        <v>0</v>
      </c>
      <c r="E31" s="564">
        <f>'1_入力シート【基本情報】'!$AB$24</f>
        <v>0</v>
      </c>
      <c r="F31" s="564" t="str">
        <f t="shared" si="0"/>
        <v>0</v>
      </c>
      <c r="G31" s="570"/>
      <c r="H31" s="565" t="s">
        <v>1395</v>
      </c>
      <c r="I31" s="326" t="s">
        <v>1724</v>
      </c>
      <c r="J31" s="357" t="s">
        <v>1407</v>
      </c>
      <c r="K31" s="324" t="s">
        <v>243</v>
      </c>
      <c r="L31" s="358"/>
      <c r="M31" s="329"/>
      <c r="N31" s="359"/>
      <c r="O31" s="333"/>
      <c r="P31" s="327"/>
      <c r="Q31" s="336"/>
      <c r="R31" s="203"/>
      <c r="S31" s="203"/>
      <c r="T31" s="13" t="str">
        <f t="shared" si="2"/>
        <v>2報告内容に関する問合せ先-住所</v>
      </c>
      <c r="V31" s="202"/>
      <c r="W31" s="202"/>
      <c r="X31" s="202"/>
    </row>
    <row r="32" spans="1:28">
      <c r="B32" s="4" t="str">
        <f>CONCATENATE('1_入力シート【基本情報】'!AB25,"-",'1_入力シート【基本情報】'!AK25,"-",'1_入力シート【基本情報】'!AT25)</f>
        <v>--</v>
      </c>
      <c r="C32" s="4" t="str">
        <f>ASC(B32)</f>
        <v>--</v>
      </c>
      <c r="D32" s="107" t="str">
        <f>$C$32</f>
        <v>--</v>
      </c>
      <c r="E32" s="564" t="str">
        <f>$C$32</f>
        <v>--</v>
      </c>
      <c r="F32" s="564" t="str">
        <f t="shared" si="0"/>
        <v>--</v>
      </c>
      <c r="G32" s="570"/>
      <c r="H32" s="565" t="s">
        <v>1395</v>
      </c>
      <c r="I32" s="326" t="s">
        <v>1724</v>
      </c>
      <c r="J32" s="357" t="s">
        <v>1407</v>
      </c>
      <c r="K32" s="324" t="s">
        <v>1737</v>
      </c>
      <c r="L32" s="358"/>
      <c r="M32" s="329"/>
      <c r="N32" s="359"/>
      <c r="O32" s="333"/>
      <c r="P32" s="327"/>
      <c r="Q32" s="336"/>
      <c r="R32" s="203"/>
      <c r="S32" s="203"/>
      <c r="T32" s="13" t="str">
        <f t="shared" si="2"/>
        <v>2報告内容に関する問合せ先-電話番号</v>
      </c>
      <c r="V32" s="202"/>
      <c r="W32" s="202"/>
      <c r="X32" s="202"/>
    </row>
    <row r="33" spans="2:24">
      <c r="B33" s="4" t="str">
        <f>CONCATENATE('1_入力シート【基本情報】'!AB26,"-",'1_入力シート【基本情報】'!AK26,"-",'1_入力シート【基本情報】'!AT26)</f>
        <v>--</v>
      </c>
      <c r="C33" s="4" t="str">
        <f>ASC(B33)</f>
        <v>--</v>
      </c>
      <c r="D33" s="107" t="str">
        <f>$C$33</f>
        <v>--</v>
      </c>
      <c r="E33" s="564" t="str">
        <f>$C$33</f>
        <v>--</v>
      </c>
      <c r="F33" s="564" t="str">
        <f t="shared" si="0"/>
        <v>--</v>
      </c>
      <c r="G33" s="24"/>
      <c r="H33" s="565" t="s">
        <v>1395</v>
      </c>
      <c r="I33" s="326" t="s">
        <v>1724</v>
      </c>
      <c r="J33" s="357" t="s">
        <v>1407</v>
      </c>
      <c r="K33" s="324" t="s">
        <v>703</v>
      </c>
      <c r="L33" s="358"/>
      <c r="M33" s="329"/>
      <c r="N33" s="359"/>
      <c r="O33" s="333"/>
      <c r="P33" s="327"/>
      <c r="Q33" s="336"/>
      <c r="R33" s="203"/>
      <c r="S33" s="203"/>
      <c r="T33" s="13" t="str">
        <f t="shared" si="2"/>
        <v>2報告内容に関する問合せ先-FAX番号</v>
      </c>
      <c r="V33" s="202"/>
      <c r="W33" s="202"/>
      <c r="X33" s="202"/>
    </row>
    <row r="34" spans="2:24">
      <c r="B34" s="4"/>
      <c r="C34" s="4"/>
      <c r="D34" s="107">
        <f>'1_入力シート【基本情報】'!$AB$27</f>
        <v>0</v>
      </c>
      <c r="E34" s="564">
        <f>'1_入力シート【基本情報】'!$AB$27</f>
        <v>0</v>
      </c>
      <c r="F34" s="564" t="str">
        <f t="shared" si="0"/>
        <v>0</v>
      </c>
      <c r="G34" s="24"/>
      <c r="H34" s="565" t="s">
        <v>1395</v>
      </c>
      <c r="I34" s="326" t="s">
        <v>1724</v>
      </c>
      <c r="J34" s="357" t="s">
        <v>1407</v>
      </c>
      <c r="K34" s="324" t="s">
        <v>1026</v>
      </c>
      <c r="L34" s="358"/>
      <c r="M34" s="329"/>
      <c r="N34" s="359"/>
      <c r="O34" s="333"/>
      <c r="P34" s="327"/>
      <c r="Q34" s="336"/>
      <c r="R34" s="203"/>
      <c r="S34" s="203"/>
      <c r="T34" s="13" t="str">
        <f t="shared" si="2"/>
        <v>2報告内容に関する問合せ先-メールアドレス（半角）</v>
      </c>
      <c r="V34" s="202"/>
      <c r="W34" s="202"/>
      <c r="X34" s="202"/>
    </row>
    <row r="35" spans="2:24">
      <c r="B35" s="4"/>
      <c r="C35" s="4"/>
      <c r="D35" s="107">
        <f>'1_入力シート【基本情報】'!$AB$33</f>
        <v>0</v>
      </c>
      <c r="E35" s="564">
        <f>'1_入力シート【基本情報】'!$AB$33</f>
        <v>0</v>
      </c>
      <c r="F35" s="564" t="str">
        <f t="shared" si="0"/>
        <v>0</v>
      </c>
      <c r="G35" s="24"/>
      <c r="H35" s="565" t="s">
        <v>1396</v>
      </c>
      <c r="I35" s="326" t="s">
        <v>1741</v>
      </c>
      <c r="J35" s="357" t="s">
        <v>1407</v>
      </c>
      <c r="K35" s="324" t="s">
        <v>715</v>
      </c>
      <c r="L35" s="358" t="s">
        <v>1407</v>
      </c>
      <c r="M35" s="331" t="s">
        <v>2454</v>
      </c>
      <c r="N35" s="360"/>
      <c r="O35" s="334"/>
      <c r="P35" s="327"/>
      <c r="Q35" s="336"/>
      <c r="R35" s="203"/>
      <c r="S35" s="203"/>
      <c r="T35" s="13" t="str">
        <f t="shared" si="2"/>
        <v>3所有者-所有者氏名-法人名フリガナ</v>
      </c>
      <c r="V35" s="202"/>
      <c r="W35" s="202"/>
      <c r="X35" s="202"/>
    </row>
    <row r="36" spans="2:24">
      <c r="B36" s="4"/>
      <c r="C36" s="4"/>
      <c r="D36" s="107">
        <f>'1_入力シート【基本情報】'!$AB$34</f>
        <v>0</v>
      </c>
      <c r="E36" s="564">
        <f>'1_入力シート【基本情報】'!$AB$34</f>
        <v>0</v>
      </c>
      <c r="F36" s="564" t="str">
        <f t="shared" si="0"/>
        <v>0</v>
      </c>
      <c r="G36" s="24"/>
      <c r="H36" s="565" t="s">
        <v>1396</v>
      </c>
      <c r="I36" s="326" t="s">
        <v>1741</v>
      </c>
      <c r="J36" s="357" t="s">
        <v>1407</v>
      </c>
      <c r="K36" s="324" t="s">
        <v>715</v>
      </c>
      <c r="L36" s="358" t="s">
        <v>1407</v>
      </c>
      <c r="M36" s="331" t="s">
        <v>1725</v>
      </c>
      <c r="N36" s="360"/>
      <c r="O36" s="334"/>
      <c r="P36" s="327"/>
      <c r="Q36" s="336"/>
      <c r="R36" s="203"/>
      <c r="S36" s="203"/>
      <c r="T36" s="13" t="str">
        <f t="shared" si="2"/>
        <v>3所有者-所有者氏名-法人名</v>
      </c>
      <c r="V36" s="202"/>
      <c r="W36" s="202"/>
      <c r="X36" s="202"/>
    </row>
    <row r="37" spans="2:24" ht="19">
      <c r="B37" s="493"/>
      <c r="C37" s="493"/>
      <c r="D37" s="494">
        <f>'1_入力シート【基本情報】'!$AB$35</f>
        <v>0</v>
      </c>
      <c r="E37" s="564">
        <f>'1_入力シート【基本情報】'!$AB$35</f>
        <v>0</v>
      </c>
      <c r="F37" s="564" t="str">
        <f t="shared" si="0"/>
        <v>0</v>
      </c>
      <c r="G37" s="566"/>
      <c r="H37" s="565" t="s">
        <v>1396</v>
      </c>
      <c r="I37" s="326" t="s">
        <v>1741</v>
      </c>
      <c r="J37" s="357" t="s">
        <v>1407</v>
      </c>
      <c r="K37" s="324" t="s">
        <v>715</v>
      </c>
      <c r="L37" s="358" t="s">
        <v>1407</v>
      </c>
      <c r="M37" s="325" t="s">
        <v>2455</v>
      </c>
      <c r="N37" s="358"/>
      <c r="O37" s="326"/>
      <c r="P37" s="327"/>
      <c r="Q37" s="336"/>
      <c r="R37" s="203"/>
      <c r="S37" s="203"/>
      <c r="T37" s="13" t="str">
        <f t="shared" si="2"/>
        <v>3所有者-所有者氏名-肩書フリガナ</v>
      </c>
      <c r="V37" s="202"/>
      <c r="W37" s="202"/>
      <c r="X37" s="202"/>
    </row>
    <row r="38" spans="2:24">
      <c r="B38" s="4"/>
      <c r="C38" s="4"/>
      <c r="D38" s="107">
        <f>'1_入力シート【基本情報】'!$AB$36</f>
        <v>0</v>
      </c>
      <c r="E38" s="564">
        <f>'1_入力シート【基本情報】'!$AB$36</f>
        <v>0</v>
      </c>
      <c r="F38" s="564" t="str">
        <f t="shared" si="0"/>
        <v>0</v>
      </c>
      <c r="G38" s="24"/>
      <c r="H38" s="565" t="s">
        <v>1396</v>
      </c>
      <c r="I38" s="326" t="s">
        <v>1741</v>
      </c>
      <c r="J38" s="357" t="s">
        <v>1407</v>
      </c>
      <c r="K38" s="324" t="s">
        <v>715</v>
      </c>
      <c r="L38" s="358" t="s">
        <v>1407</v>
      </c>
      <c r="M38" s="325" t="s">
        <v>1728</v>
      </c>
      <c r="N38" s="358"/>
      <c r="O38" s="326"/>
      <c r="P38" s="327"/>
      <c r="Q38" s="336"/>
      <c r="R38" s="203"/>
      <c r="S38" s="203"/>
      <c r="T38" s="13" t="str">
        <f t="shared" si="2"/>
        <v>3所有者-所有者氏名-肩書</v>
      </c>
      <c r="V38" s="202"/>
      <c r="W38" s="202"/>
      <c r="X38" s="202"/>
    </row>
    <row r="39" spans="2:24">
      <c r="B39" s="4"/>
      <c r="C39" s="4"/>
      <c r="D39" s="107">
        <f>'1_入力シート【基本情報】'!$AB$37</f>
        <v>0</v>
      </c>
      <c r="E39" s="564">
        <f>'1_入力シート【基本情報】'!$AB$37</f>
        <v>0</v>
      </c>
      <c r="F39" s="564" t="str">
        <f t="shared" si="0"/>
        <v>0</v>
      </c>
      <c r="G39" s="24"/>
      <c r="H39" s="565" t="s">
        <v>1396</v>
      </c>
      <c r="I39" s="326" t="s">
        <v>1741</v>
      </c>
      <c r="J39" s="357" t="s">
        <v>1407</v>
      </c>
      <c r="K39" s="324" t="s">
        <v>715</v>
      </c>
      <c r="L39" s="358" t="s">
        <v>1407</v>
      </c>
      <c r="M39" s="329" t="s">
        <v>2456</v>
      </c>
      <c r="N39" s="359"/>
      <c r="O39" s="334"/>
      <c r="P39" s="327"/>
      <c r="Q39" s="336"/>
      <c r="R39" s="203"/>
      <c r="S39" s="203"/>
      <c r="T39" s="13" t="str">
        <f t="shared" si="2"/>
        <v>3所有者-所有者氏名-氏名フリガナ</v>
      </c>
      <c r="V39" s="202"/>
      <c r="W39" s="202"/>
      <c r="X39" s="202"/>
    </row>
    <row r="40" spans="2:24">
      <c r="B40" s="4"/>
      <c r="C40" s="4"/>
      <c r="D40" s="107">
        <f>'1_入力シート【基本情報】'!$AB$38</f>
        <v>0</v>
      </c>
      <c r="E40" s="564">
        <f>'1_入力シート【基本情報】'!$AB$38</f>
        <v>0</v>
      </c>
      <c r="F40" s="564" t="str">
        <f t="shared" si="0"/>
        <v>0</v>
      </c>
      <c r="G40" s="24"/>
      <c r="H40" s="565" t="s">
        <v>1396</v>
      </c>
      <c r="I40" s="326" t="s">
        <v>1741</v>
      </c>
      <c r="J40" s="357" t="s">
        <v>1407</v>
      </c>
      <c r="K40" s="324" t="s">
        <v>715</v>
      </c>
      <c r="L40" s="358" t="s">
        <v>1407</v>
      </c>
      <c r="M40" s="329" t="s">
        <v>1731</v>
      </c>
      <c r="N40" s="359"/>
      <c r="O40" s="334"/>
      <c r="P40" s="327"/>
      <c r="Q40" s="336"/>
      <c r="R40" s="203"/>
      <c r="S40" s="203"/>
      <c r="T40" s="13" t="str">
        <f t="shared" si="2"/>
        <v>3所有者-所有者氏名-氏名</v>
      </c>
      <c r="V40" s="202"/>
      <c r="W40" s="202"/>
      <c r="X40" s="202"/>
    </row>
    <row r="41" spans="2:24">
      <c r="B41" s="4" t="str">
        <f>CONCATENATE('1_入力シート【基本情報】'!AB39,"-",'1_入力シート【基本情報】'!AK39)</f>
        <v>-</v>
      </c>
      <c r="C41" s="4" t="str">
        <f>ASC(B41)</f>
        <v>-</v>
      </c>
      <c r="D41" s="107" t="str">
        <f>$C$41</f>
        <v>-</v>
      </c>
      <c r="E41" s="564" t="str">
        <f>$C$41</f>
        <v>-</v>
      </c>
      <c r="F41" s="564" t="str">
        <f t="shared" si="0"/>
        <v>-</v>
      </c>
      <c r="G41" s="24"/>
      <c r="H41" s="565" t="s">
        <v>1396</v>
      </c>
      <c r="I41" s="326" t="s">
        <v>1741</v>
      </c>
      <c r="J41" s="357" t="s">
        <v>1407</v>
      </c>
      <c r="K41" s="324" t="s">
        <v>1734</v>
      </c>
      <c r="L41" s="358"/>
      <c r="M41" s="329"/>
      <c r="N41" s="359"/>
      <c r="O41" s="334"/>
      <c r="P41" s="327"/>
      <c r="Q41" s="336"/>
      <c r="R41" s="203"/>
      <c r="S41" s="203"/>
      <c r="T41" s="13" t="str">
        <f t="shared" si="2"/>
        <v>3所有者-郵便番号</v>
      </c>
      <c r="V41" s="202"/>
      <c r="W41" s="202"/>
      <c r="X41" s="202"/>
    </row>
    <row r="42" spans="2:24">
      <c r="B42" s="4"/>
      <c r="C42" s="4"/>
      <c r="D42" s="107">
        <f>'1_入力シート【基本情報】'!$AB$40</f>
        <v>0</v>
      </c>
      <c r="E42" s="564">
        <f>'1_入力シート【基本情報】'!$AB$40</f>
        <v>0</v>
      </c>
      <c r="F42" s="564" t="str">
        <f t="shared" si="0"/>
        <v>0</v>
      </c>
      <c r="G42" s="24"/>
      <c r="H42" s="565" t="s">
        <v>1396</v>
      </c>
      <c r="I42" s="326" t="s">
        <v>1741</v>
      </c>
      <c r="J42" s="357" t="s">
        <v>1407</v>
      </c>
      <c r="K42" s="324" t="s">
        <v>243</v>
      </c>
      <c r="L42" s="358"/>
      <c r="M42" s="329"/>
      <c r="N42" s="359"/>
      <c r="O42" s="334"/>
      <c r="P42" s="327"/>
      <c r="Q42" s="336"/>
      <c r="R42" s="203"/>
      <c r="S42" s="203"/>
      <c r="T42" s="13" t="str">
        <f t="shared" si="2"/>
        <v>3所有者-住所</v>
      </c>
      <c r="V42" s="202"/>
      <c r="W42" s="202"/>
      <c r="X42" s="202"/>
    </row>
    <row r="43" spans="2:24">
      <c r="B43" s="4" t="str">
        <f>CONCATENATE('1_入力シート【基本情報】'!AB41,"-",'1_入力シート【基本情報】'!AK41,"-",'1_入力シート【基本情報】'!AT41)</f>
        <v>--</v>
      </c>
      <c r="C43" s="4" t="str">
        <f>ASC(B43)</f>
        <v>--</v>
      </c>
      <c r="D43" s="107" t="str">
        <f>$C$43</f>
        <v>--</v>
      </c>
      <c r="E43" s="564" t="str">
        <f>$C$43</f>
        <v>--</v>
      </c>
      <c r="F43" s="564" t="str">
        <f t="shared" si="0"/>
        <v>--</v>
      </c>
      <c r="G43" s="24"/>
      <c r="H43" s="565" t="s">
        <v>1396</v>
      </c>
      <c r="I43" s="326" t="s">
        <v>1741</v>
      </c>
      <c r="J43" s="357" t="s">
        <v>1407</v>
      </c>
      <c r="K43" s="322" t="s">
        <v>1737</v>
      </c>
      <c r="L43" s="358"/>
      <c r="M43" s="329"/>
      <c r="N43" s="359"/>
      <c r="O43" s="334"/>
      <c r="P43" s="327"/>
      <c r="Q43" s="336"/>
      <c r="R43" s="203"/>
      <c r="S43" s="203"/>
      <c r="T43" s="13" t="str">
        <f t="shared" si="2"/>
        <v>3所有者-電話番号</v>
      </c>
      <c r="V43" s="202"/>
      <c r="W43" s="202"/>
      <c r="X43" s="202"/>
    </row>
    <row r="44" spans="2:24">
      <c r="B44" s="4"/>
      <c r="C44" s="4"/>
      <c r="D44" s="107" t="b">
        <f>'1_入力シート【基本情報】'!$DS$46</f>
        <v>0</v>
      </c>
      <c r="E44" s="564" t="b">
        <f>'1_入力シート【基本情報】'!$DS$46</f>
        <v>0</v>
      </c>
      <c r="F44" s="564" t="str">
        <f t="shared" si="0"/>
        <v>FALSE</v>
      </c>
      <c r="G44" s="24"/>
      <c r="H44" s="565" t="s">
        <v>1398</v>
      </c>
      <c r="I44" s="326" t="s">
        <v>1748</v>
      </c>
      <c r="J44" s="357" t="s">
        <v>1407</v>
      </c>
      <c r="K44" s="322" t="s">
        <v>1412</v>
      </c>
      <c r="L44" s="358"/>
      <c r="M44" s="329"/>
      <c r="N44" s="359"/>
      <c r="O44" s="334"/>
      <c r="P44" s="327"/>
      <c r="Q44" s="336"/>
      <c r="R44" s="203"/>
      <c r="S44" s="203"/>
      <c r="T44" s="13" t="str">
        <f t="shared" si="2"/>
        <v>4管理者-所有者同一と同一チェック</v>
      </c>
      <c r="V44" s="202"/>
      <c r="W44" s="202"/>
      <c r="X44" s="202"/>
    </row>
    <row r="45" spans="2:24">
      <c r="B45" s="4"/>
      <c r="C45" s="4"/>
      <c r="D45" s="107">
        <f>'1_入力シート【基本情報】'!$AB$47</f>
        <v>0</v>
      </c>
      <c r="E45" s="564">
        <f>'1_入力シート【基本情報】'!$AB$47</f>
        <v>0</v>
      </c>
      <c r="F45" s="564" t="str">
        <f t="shared" si="0"/>
        <v>0</v>
      </c>
      <c r="G45" s="24"/>
      <c r="H45" s="565" t="s">
        <v>1398</v>
      </c>
      <c r="I45" s="326" t="s">
        <v>1748</v>
      </c>
      <c r="J45" s="357" t="s">
        <v>1407</v>
      </c>
      <c r="K45" s="324" t="s">
        <v>345</v>
      </c>
      <c r="L45" s="359" t="s">
        <v>1407</v>
      </c>
      <c r="M45" s="329" t="s">
        <v>2454</v>
      </c>
      <c r="N45" s="359"/>
      <c r="O45" s="333"/>
      <c r="P45" s="327"/>
      <c r="Q45" s="336"/>
      <c r="R45" s="203"/>
      <c r="S45" s="203"/>
      <c r="T45" s="13" t="str">
        <f t="shared" si="2"/>
        <v>4管理者-管理者氏名-法人名フリガナ</v>
      </c>
      <c r="V45" s="202"/>
      <c r="W45" s="202"/>
      <c r="X45" s="202"/>
    </row>
    <row r="46" spans="2:24">
      <c r="B46" s="4"/>
      <c r="C46" s="4"/>
      <c r="D46" s="107">
        <f>'1_入力シート【基本情報】'!$AB$48</f>
        <v>0</v>
      </c>
      <c r="E46" s="564">
        <f>'1_入力シート【基本情報】'!$AB$48</f>
        <v>0</v>
      </c>
      <c r="F46" s="564" t="str">
        <f t="shared" si="0"/>
        <v>0</v>
      </c>
      <c r="G46" s="24"/>
      <c r="H46" s="565" t="s">
        <v>1398</v>
      </c>
      <c r="I46" s="326" t="s">
        <v>1748</v>
      </c>
      <c r="J46" s="357" t="s">
        <v>1407</v>
      </c>
      <c r="K46" s="324" t="s">
        <v>345</v>
      </c>
      <c r="L46" s="359" t="s">
        <v>1407</v>
      </c>
      <c r="M46" s="329" t="s">
        <v>1725</v>
      </c>
      <c r="N46" s="359"/>
      <c r="O46" s="333"/>
      <c r="P46" s="327"/>
      <c r="Q46" s="336"/>
      <c r="R46" s="203"/>
      <c r="S46" s="203"/>
      <c r="T46" s="13" t="str">
        <f t="shared" si="2"/>
        <v>4管理者-管理者氏名-法人名</v>
      </c>
      <c r="V46" s="202"/>
      <c r="W46" s="202"/>
      <c r="X46" s="202"/>
    </row>
    <row r="47" spans="2:24">
      <c r="B47" s="4"/>
      <c r="C47" s="4"/>
      <c r="D47" s="107">
        <f>'1_入力シート【基本情報】'!$AB$49</f>
        <v>0</v>
      </c>
      <c r="E47" s="564">
        <f>'1_入力シート【基本情報】'!$AB$49</f>
        <v>0</v>
      </c>
      <c r="F47" s="564" t="str">
        <f t="shared" si="0"/>
        <v>0</v>
      </c>
      <c r="G47" s="24"/>
      <c r="H47" s="565" t="s">
        <v>1398</v>
      </c>
      <c r="I47" s="326" t="s">
        <v>1748</v>
      </c>
      <c r="J47" s="357" t="s">
        <v>1407</v>
      </c>
      <c r="K47" s="324" t="s">
        <v>345</v>
      </c>
      <c r="L47" s="359" t="s">
        <v>1407</v>
      </c>
      <c r="M47" s="329" t="s">
        <v>2455</v>
      </c>
      <c r="N47" s="359"/>
      <c r="O47" s="326"/>
      <c r="P47" s="327"/>
      <c r="Q47" s="336"/>
      <c r="R47" s="203"/>
      <c r="S47" s="203"/>
      <c r="T47" s="13" t="str">
        <f t="shared" si="2"/>
        <v>4管理者-管理者氏名-肩書フリガナ</v>
      </c>
      <c r="V47" s="202"/>
      <c r="W47" s="202"/>
      <c r="X47" s="202"/>
    </row>
    <row r="48" spans="2:24">
      <c r="B48" s="4"/>
      <c r="C48" s="4"/>
      <c r="D48" s="107">
        <f>'1_入力シート【基本情報】'!$AB$50</f>
        <v>0</v>
      </c>
      <c r="E48" s="564">
        <f>'1_入力シート【基本情報】'!$AB$50</f>
        <v>0</v>
      </c>
      <c r="F48" s="564" t="str">
        <f t="shared" si="0"/>
        <v>0</v>
      </c>
      <c r="G48" s="24"/>
      <c r="H48" s="565" t="s">
        <v>1398</v>
      </c>
      <c r="I48" s="326" t="s">
        <v>1748</v>
      </c>
      <c r="J48" s="357" t="s">
        <v>1407</v>
      </c>
      <c r="K48" s="324" t="s">
        <v>345</v>
      </c>
      <c r="L48" s="359" t="s">
        <v>1407</v>
      </c>
      <c r="M48" s="325" t="s">
        <v>1728</v>
      </c>
      <c r="N48" s="358"/>
      <c r="O48" s="326"/>
      <c r="P48" s="327"/>
      <c r="Q48" s="336"/>
      <c r="R48" s="203"/>
      <c r="S48" s="203"/>
      <c r="T48" s="13" t="str">
        <f t="shared" si="2"/>
        <v>4管理者-管理者氏名-肩書</v>
      </c>
      <c r="V48" s="202"/>
      <c r="W48" s="202"/>
      <c r="X48" s="202"/>
    </row>
    <row r="49" spans="2:28">
      <c r="B49" s="4"/>
      <c r="C49" s="4"/>
      <c r="D49" s="107">
        <f>'1_入力シート【基本情報】'!$AB$51</f>
        <v>0</v>
      </c>
      <c r="E49" s="564">
        <f>'1_入力シート【基本情報】'!$AB$51</f>
        <v>0</v>
      </c>
      <c r="F49" s="564" t="str">
        <f t="shared" si="0"/>
        <v>0</v>
      </c>
      <c r="G49" s="24"/>
      <c r="H49" s="565" t="s">
        <v>1398</v>
      </c>
      <c r="I49" s="326" t="s">
        <v>1748</v>
      </c>
      <c r="J49" s="357" t="s">
        <v>1407</v>
      </c>
      <c r="K49" s="324" t="s">
        <v>345</v>
      </c>
      <c r="L49" s="359" t="s">
        <v>1407</v>
      </c>
      <c r="M49" s="325" t="s">
        <v>2456</v>
      </c>
      <c r="N49" s="358"/>
      <c r="O49" s="326"/>
      <c r="P49" s="327"/>
      <c r="Q49" s="336"/>
      <c r="R49" s="203"/>
      <c r="S49" s="203"/>
      <c r="T49" s="13" t="str">
        <f t="shared" si="2"/>
        <v>4管理者-管理者氏名-氏名フリガナ</v>
      </c>
      <c r="V49" s="202"/>
      <c r="W49" s="202"/>
      <c r="X49" s="202"/>
    </row>
    <row r="50" spans="2:28">
      <c r="B50" s="4"/>
      <c r="C50" s="4"/>
      <c r="D50" s="107">
        <f>'1_入力シート【基本情報】'!$AB$52</f>
        <v>0</v>
      </c>
      <c r="E50" s="564">
        <f>'1_入力シート【基本情報】'!$AB$52</f>
        <v>0</v>
      </c>
      <c r="F50" s="564" t="str">
        <f t="shared" si="0"/>
        <v>0</v>
      </c>
      <c r="G50" s="24"/>
      <c r="H50" s="565" t="s">
        <v>1398</v>
      </c>
      <c r="I50" s="326" t="s">
        <v>1748</v>
      </c>
      <c r="J50" s="357" t="s">
        <v>1407</v>
      </c>
      <c r="K50" s="324" t="s">
        <v>345</v>
      </c>
      <c r="L50" s="359" t="s">
        <v>1407</v>
      </c>
      <c r="M50" s="325" t="s">
        <v>1731</v>
      </c>
      <c r="N50" s="358"/>
      <c r="O50" s="326"/>
      <c r="P50" s="327"/>
      <c r="Q50" s="336"/>
      <c r="R50" s="203"/>
      <c r="S50" s="203"/>
      <c r="T50" s="13" t="str">
        <f t="shared" si="2"/>
        <v>4管理者-管理者氏名-氏名</v>
      </c>
      <c r="V50" s="202"/>
      <c r="W50" s="202"/>
      <c r="X50" s="202"/>
    </row>
    <row r="51" spans="2:28" ht="19">
      <c r="B51" s="493" t="str">
        <f>CONCATENATE('1_入力シート【基本情報】'!AB53,"-",'1_入力シート【基本情報】'!AK53)</f>
        <v>-</v>
      </c>
      <c r="C51" s="493" t="str">
        <f>ASC(B51)</f>
        <v>-</v>
      </c>
      <c r="D51" s="494" t="str">
        <f>$C$51</f>
        <v>-</v>
      </c>
      <c r="E51" s="564" t="str">
        <f>$C$51</f>
        <v>-</v>
      </c>
      <c r="F51" s="564" t="str">
        <f t="shared" si="0"/>
        <v>-</v>
      </c>
      <c r="G51" s="566"/>
      <c r="H51" s="565" t="s">
        <v>1398</v>
      </c>
      <c r="I51" s="326" t="s">
        <v>1748</v>
      </c>
      <c r="J51" s="357" t="s">
        <v>1407</v>
      </c>
      <c r="K51" s="322" t="s">
        <v>1734</v>
      </c>
      <c r="L51" s="358"/>
      <c r="M51" s="325"/>
      <c r="N51" s="358"/>
      <c r="O51" s="326"/>
      <c r="P51" s="327"/>
      <c r="Q51" s="336"/>
      <c r="R51" s="203"/>
      <c r="S51" s="203"/>
      <c r="T51" s="13" t="str">
        <f t="shared" si="2"/>
        <v>4管理者-郵便番号</v>
      </c>
      <c r="V51" s="202"/>
      <c r="W51" s="202"/>
      <c r="X51" s="202"/>
    </row>
    <row r="52" spans="2:28">
      <c r="B52" s="498"/>
      <c r="C52" s="498"/>
      <c r="D52" s="499">
        <f>'1_入力シート【基本情報】'!$AB$54</f>
        <v>0</v>
      </c>
      <c r="E52" s="564">
        <f>'1_入力シート【基本情報】'!$AB$54</f>
        <v>0</v>
      </c>
      <c r="F52" s="564" t="str">
        <f t="shared" si="0"/>
        <v>0</v>
      </c>
      <c r="G52" s="571"/>
      <c r="H52" s="565" t="s">
        <v>1398</v>
      </c>
      <c r="I52" s="326" t="s">
        <v>1748</v>
      </c>
      <c r="J52" s="357" t="s">
        <v>1407</v>
      </c>
      <c r="K52" s="322" t="s">
        <v>243</v>
      </c>
      <c r="L52" s="358"/>
      <c r="M52" s="325"/>
      <c r="N52" s="358"/>
      <c r="O52" s="326"/>
      <c r="P52" s="327"/>
      <c r="Q52" s="336"/>
      <c r="R52" s="203"/>
      <c r="S52" s="203"/>
      <c r="T52" s="13" t="str">
        <f t="shared" si="2"/>
        <v>4管理者-住所</v>
      </c>
      <c r="V52" s="202"/>
      <c r="W52" s="202"/>
      <c r="X52" s="202"/>
    </row>
    <row r="53" spans="2:28">
      <c r="B53" s="498" t="str">
        <f>CONCATENATE('1_入力シート【基本情報】'!AB55,"-",'1_入力シート【基本情報】'!AK55,"-",'1_入力シート【基本情報】'!AT55)</f>
        <v>--</v>
      </c>
      <c r="C53" s="498" t="str">
        <f>ASC(B53)</f>
        <v>--</v>
      </c>
      <c r="D53" s="499" t="str">
        <f>$C$53</f>
        <v>--</v>
      </c>
      <c r="E53" s="564" t="str">
        <f>$C$53</f>
        <v>--</v>
      </c>
      <c r="F53" s="564" t="str">
        <f t="shared" si="0"/>
        <v>--</v>
      </c>
      <c r="G53" s="571"/>
      <c r="H53" s="565" t="s">
        <v>1398</v>
      </c>
      <c r="I53" s="326" t="s">
        <v>1748</v>
      </c>
      <c r="J53" s="357" t="s">
        <v>1407</v>
      </c>
      <c r="K53" s="322" t="s">
        <v>1737</v>
      </c>
      <c r="L53" s="358"/>
      <c r="M53" s="325"/>
      <c r="N53" s="358"/>
      <c r="O53" s="326"/>
      <c r="P53" s="327"/>
      <c r="Q53" s="336"/>
      <c r="R53" s="203"/>
      <c r="S53" s="203"/>
      <c r="T53" s="382" t="str">
        <f t="shared" si="2"/>
        <v>4管理者-電話番号</v>
      </c>
      <c r="V53" s="202"/>
      <c r="W53" s="202"/>
      <c r="X53" s="202"/>
    </row>
    <row r="54" spans="2:28">
      <c r="B54" s="498"/>
      <c r="C54" s="498"/>
      <c r="D54" s="499"/>
      <c r="E54" s="789">
        <f>'1_入力シート【基本情報】'!$AB$56</f>
        <v>0</v>
      </c>
      <c r="F54" s="789" t="str">
        <f t="shared" si="0"/>
        <v>0</v>
      </c>
      <c r="G54" s="801"/>
      <c r="H54" s="693" t="s">
        <v>3369</v>
      </c>
      <c r="I54" s="694" t="s">
        <v>1748</v>
      </c>
      <c r="J54" s="695" t="s">
        <v>1879</v>
      </c>
      <c r="K54" s="696" t="s">
        <v>3370</v>
      </c>
      <c r="L54" s="697"/>
      <c r="M54" s="698"/>
      <c r="N54" s="697"/>
      <c r="O54" s="694"/>
      <c r="P54" s="699"/>
      <c r="Q54" s="700"/>
      <c r="R54" s="701"/>
      <c r="S54" s="701"/>
      <c r="T54" s="382" t="str">
        <f t="shared" si="2"/>
        <v>4管理者-メールアドレス（半角）</v>
      </c>
      <c r="U54" s="382"/>
      <c r="V54" s="202"/>
      <c r="W54" s="202"/>
      <c r="X54" s="202"/>
      <c r="Y54" s="382"/>
      <c r="Z54" s="382"/>
      <c r="AA54" s="382"/>
      <c r="AB54" s="382"/>
    </row>
    <row r="55" spans="2:28">
      <c r="B55" s="498"/>
      <c r="C55" s="498"/>
      <c r="D55" s="499">
        <f>'1_入力シート【基本情報】'!$AB$61</f>
        <v>0</v>
      </c>
      <c r="E55" s="564">
        <f>'1_入力シート【基本情報】'!$AB$61</f>
        <v>0</v>
      </c>
      <c r="F55" s="564" t="str">
        <f t="shared" si="0"/>
        <v>0</v>
      </c>
      <c r="G55" s="571"/>
      <c r="H55" s="565" t="s">
        <v>1756</v>
      </c>
      <c r="I55" s="326" t="s">
        <v>1757</v>
      </c>
      <c r="J55" s="357" t="s">
        <v>1407</v>
      </c>
      <c r="K55" s="322" t="s">
        <v>926</v>
      </c>
      <c r="L55" s="358" t="s">
        <v>1407</v>
      </c>
      <c r="M55" s="325" t="s">
        <v>1087</v>
      </c>
      <c r="N55" s="358"/>
      <c r="O55" s="326"/>
      <c r="P55" s="327"/>
      <c r="Q55" s="336"/>
      <c r="R55" s="203"/>
      <c r="S55" s="203"/>
      <c r="T55" s="382" t="str">
        <f t="shared" si="2"/>
        <v>5代表となる調査者-資格-資格名称</v>
      </c>
      <c r="V55" s="202"/>
      <c r="W55" s="202"/>
      <c r="X55" s="202"/>
    </row>
    <row r="56" spans="2:28">
      <c r="B56" s="498"/>
      <c r="C56" s="498"/>
      <c r="D56" s="499">
        <f>'1_入力シート【基本情報】'!$AB$62</f>
        <v>0</v>
      </c>
      <c r="E56" s="564">
        <f>'1_入力シート【基本情報】'!$AB$62</f>
        <v>0</v>
      </c>
      <c r="F56" s="564" t="str">
        <f t="shared" si="0"/>
        <v>0</v>
      </c>
      <c r="G56" s="571"/>
      <c r="H56" s="565" t="s">
        <v>1756</v>
      </c>
      <c r="I56" s="326" t="s">
        <v>1757</v>
      </c>
      <c r="J56" s="357" t="s">
        <v>1407</v>
      </c>
      <c r="K56" s="322" t="s">
        <v>926</v>
      </c>
      <c r="L56" s="358" t="s">
        <v>1407</v>
      </c>
      <c r="M56" s="325" t="s">
        <v>701</v>
      </c>
      <c r="N56" s="358" t="s">
        <v>1407</v>
      </c>
      <c r="O56" s="326" t="s">
        <v>1397</v>
      </c>
      <c r="P56" s="327"/>
      <c r="Q56" s="336"/>
      <c r="R56" s="203"/>
      <c r="S56" s="203"/>
      <c r="T56" s="382" t="str">
        <f t="shared" si="2"/>
        <v>5代表となる調査者-資格-建築士-登録</v>
      </c>
      <c r="V56" s="202"/>
      <c r="W56" s="202"/>
      <c r="X56" s="202"/>
    </row>
    <row r="57" spans="2:28">
      <c r="B57" s="498"/>
      <c r="C57" s="498"/>
      <c r="D57" s="500">
        <f>'1_入力シート【基本情報】'!$AB$63</f>
        <v>0</v>
      </c>
      <c r="E57" s="568">
        <f>'1_入力シート【基本情報】'!$AB$63</f>
        <v>0</v>
      </c>
      <c r="F57" s="568" t="str">
        <f t="shared" si="0"/>
        <v>0</v>
      </c>
      <c r="G57" s="571"/>
      <c r="H57" s="565" t="s">
        <v>1756</v>
      </c>
      <c r="I57" s="326" t="s">
        <v>1757</v>
      </c>
      <c r="J57" s="357" t="s">
        <v>1407</v>
      </c>
      <c r="K57" s="322" t="s">
        <v>926</v>
      </c>
      <c r="L57" s="358" t="s">
        <v>1407</v>
      </c>
      <c r="M57" s="325" t="s">
        <v>701</v>
      </c>
      <c r="N57" s="358" t="s">
        <v>1407</v>
      </c>
      <c r="O57" s="326" t="s">
        <v>4</v>
      </c>
      <c r="P57" s="327"/>
      <c r="Q57" s="336"/>
      <c r="R57" s="203"/>
      <c r="S57" s="203"/>
      <c r="T57" s="382" t="str">
        <f t="shared" si="2"/>
        <v>5代表となる調査者-資格-建築士-号</v>
      </c>
      <c r="V57" s="202"/>
      <c r="W57" s="202"/>
      <c r="X57" s="202"/>
    </row>
    <row r="58" spans="2:28">
      <c r="B58" s="498"/>
      <c r="C58" s="498"/>
      <c r="D58" s="500">
        <f>'1_入力シート【基本情報】'!$AB$64</f>
        <v>0</v>
      </c>
      <c r="E58" s="568">
        <f>'1_入力シート【基本情報】'!$AB$64</f>
        <v>0</v>
      </c>
      <c r="F58" s="568" t="str">
        <f t="shared" si="0"/>
        <v>0</v>
      </c>
      <c r="G58" s="571"/>
      <c r="H58" s="565" t="s">
        <v>1756</v>
      </c>
      <c r="I58" s="326" t="s">
        <v>1757</v>
      </c>
      <c r="J58" s="357" t="s">
        <v>1407</v>
      </c>
      <c r="K58" s="322" t="s">
        <v>926</v>
      </c>
      <c r="L58" s="358" t="s">
        <v>1407</v>
      </c>
      <c r="M58" s="325" t="s">
        <v>1167</v>
      </c>
      <c r="N58" s="358" t="s">
        <v>1407</v>
      </c>
      <c r="O58" s="326" t="s">
        <v>4</v>
      </c>
      <c r="P58" s="327"/>
      <c r="Q58" s="336"/>
      <c r="R58" s="203"/>
      <c r="S58" s="203"/>
      <c r="T58" s="382" t="str">
        <f t="shared" si="2"/>
        <v>5代表となる調査者-資格-特定建築物調査員-号</v>
      </c>
      <c r="V58" s="202"/>
      <c r="W58" s="202"/>
      <c r="X58" s="202"/>
    </row>
    <row r="59" spans="2:28">
      <c r="B59" s="498"/>
      <c r="C59" s="498"/>
      <c r="D59" s="499">
        <f>'1_入力シート【基本情報】'!$AB$65</f>
        <v>0</v>
      </c>
      <c r="E59" s="564">
        <f>'1_入力シート【基本情報】'!$AB$65</f>
        <v>0</v>
      </c>
      <c r="F59" s="564" t="str">
        <f t="shared" si="0"/>
        <v>0</v>
      </c>
      <c r="G59" s="571"/>
      <c r="H59" s="565" t="s">
        <v>1756</v>
      </c>
      <c r="I59" s="326" t="s">
        <v>1757</v>
      </c>
      <c r="J59" s="357" t="s">
        <v>1407</v>
      </c>
      <c r="K59" s="322" t="s">
        <v>1731</v>
      </c>
      <c r="L59" s="358" t="s">
        <v>1407</v>
      </c>
      <c r="M59" s="325" t="s">
        <v>697</v>
      </c>
      <c r="N59" s="358"/>
      <c r="O59" s="326"/>
      <c r="P59" s="327"/>
      <c r="Q59" s="336"/>
      <c r="R59" s="203"/>
      <c r="S59" s="203"/>
      <c r="T59" s="382" t="str">
        <f t="shared" si="2"/>
        <v>5代表となる調査者-氏名-フリガナ</v>
      </c>
      <c r="V59" s="202"/>
      <c r="W59" s="202"/>
      <c r="X59" s="202"/>
    </row>
    <row r="60" spans="2:28">
      <c r="B60" s="498"/>
      <c r="C60" s="498"/>
      <c r="D60" s="499">
        <f>'1_入力シート【基本情報】'!$AB$66</f>
        <v>0</v>
      </c>
      <c r="E60" s="564">
        <f>'1_入力シート【基本情報】'!$AB$66</f>
        <v>0</v>
      </c>
      <c r="F60" s="564" t="str">
        <f t="shared" si="0"/>
        <v>0</v>
      </c>
      <c r="G60" s="571"/>
      <c r="H60" s="565" t="s">
        <v>1756</v>
      </c>
      <c r="I60" s="326" t="s">
        <v>1757</v>
      </c>
      <c r="J60" s="357" t="s">
        <v>1407</v>
      </c>
      <c r="K60" s="322" t="s">
        <v>1731</v>
      </c>
      <c r="L60" s="359" t="s">
        <v>1407</v>
      </c>
      <c r="M60" s="325" t="s">
        <v>1731</v>
      </c>
      <c r="N60" s="358"/>
      <c r="O60" s="326"/>
      <c r="P60" s="327"/>
      <c r="Q60" s="336"/>
      <c r="R60" s="203"/>
      <c r="S60" s="203"/>
      <c r="T60" s="13" t="str">
        <f t="shared" si="2"/>
        <v>5代表となる調査者-氏名-氏名</v>
      </c>
      <c r="V60" s="202"/>
      <c r="W60" s="202"/>
      <c r="X60" s="202"/>
    </row>
    <row r="61" spans="2:28">
      <c r="B61" s="498"/>
      <c r="C61" s="498"/>
      <c r="D61" s="499">
        <f>'1_入力シート【基本情報】'!$AB$67</f>
        <v>0</v>
      </c>
      <c r="E61" s="564">
        <f>'1_入力シート【基本情報】'!$AB$67</f>
        <v>0</v>
      </c>
      <c r="F61" s="564" t="str">
        <f t="shared" si="0"/>
        <v>0</v>
      </c>
      <c r="G61" s="571"/>
      <c r="H61" s="565" t="s">
        <v>1756</v>
      </c>
      <c r="I61" s="326" t="s">
        <v>1757</v>
      </c>
      <c r="J61" s="357" t="s">
        <v>1407</v>
      </c>
      <c r="K61" s="324" t="s">
        <v>244</v>
      </c>
      <c r="L61" s="359" t="s">
        <v>1407</v>
      </c>
      <c r="M61" s="325" t="s">
        <v>702</v>
      </c>
      <c r="N61" s="358"/>
      <c r="O61" s="326"/>
      <c r="P61" s="327"/>
      <c r="Q61" s="336"/>
      <c r="R61" s="203"/>
      <c r="S61" s="203"/>
      <c r="T61" s="13" t="str">
        <f t="shared" si="2"/>
        <v>5代表となる調査者-勤務先-名称</v>
      </c>
      <c r="V61" s="202"/>
      <c r="W61" s="202"/>
      <c r="X61" s="202"/>
    </row>
    <row r="62" spans="2:28">
      <c r="B62" s="4"/>
      <c r="C62" s="4"/>
      <c r="D62" s="107">
        <f>'1_入力シート【基本情報】'!$AB$68</f>
        <v>0</v>
      </c>
      <c r="E62" s="564">
        <f>'1_入力シート【基本情報】'!$AB$68</f>
        <v>0</v>
      </c>
      <c r="F62" s="564" t="str">
        <f t="shared" si="0"/>
        <v>0</v>
      </c>
      <c r="G62" s="24"/>
      <c r="H62" s="565" t="s">
        <v>1756</v>
      </c>
      <c r="I62" s="326" t="s">
        <v>1757</v>
      </c>
      <c r="J62" s="357" t="s">
        <v>1407</v>
      </c>
      <c r="K62" s="324" t="s">
        <v>244</v>
      </c>
      <c r="L62" s="359" t="s">
        <v>1407</v>
      </c>
      <c r="M62" s="325" t="s">
        <v>1765</v>
      </c>
      <c r="N62" s="358" t="s">
        <v>1407</v>
      </c>
      <c r="O62" s="326" t="s">
        <v>1766</v>
      </c>
      <c r="P62" s="327"/>
      <c r="Q62" s="336"/>
      <c r="R62" s="203"/>
      <c r="S62" s="203"/>
      <c r="T62" s="13" t="str">
        <f t="shared" si="2"/>
        <v>5代表となる調査者-勤務先-事務所登録-建築士事務所</v>
      </c>
      <c r="V62" s="202"/>
      <c r="W62" s="202"/>
      <c r="X62" s="202"/>
    </row>
    <row r="63" spans="2:28">
      <c r="B63" s="4"/>
      <c r="C63" s="4"/>
      <c r="D63" s="107">
        <f>'1_入力シート【基本情報】'!$AB$69</f>
        <v>0</v>
      </c>
      <c r="E63" s="564">
        <f>'1_入力シート【基本情報】'!$AB$69</f>
        <v>0</v>
      </c>
      <c r="F63" s="564" t="str">
        <f t="shared" si="0"/>
        <v>0</v>
      </c>
      <c r="G63" s="24"/>
      <c r="H63" s="565" t="s">
        <v>1756</v>
      </c>
      <c r="I63" s="326" t="s">
        <v>1757</v>
      </c>
      <c r="J63" s="357" t="s">
        <v>1407</v>
      </c>
      <c r="K63" s="324" t="s">
        <v>244</v>
      </c>
      <c r="L63" s="359" t="s">
        <v>1407</v>
      </c>
      <c r="M63" s="325" t="s">
        <v>1765</v>
      </c>
      <c r="N63" s="358" t="s">
        <v>1407</v>
      </c>
      <c r="O63" s="326" t="s">
        <v>686</v>
      </c>
      <c r="P63" s="327"/>
      <c r="Q63" s="336"/>
      <c r="R63" s="203"/>
      <c r="S63" s="203"/>
      <c r="T63" s="13" t="str">
        <f t="shared" si="2"/>
        <v>5代表となる調査者-勤務先-事務所登録-知事登録</v>
      </c>
      <c r="V63" s="202"/>
      <c r="W63" s="202"/>
      <c r="X63" s="202"/>
    </row>
    <row r="64" spans="2:28">
      <c r="B64" s="4"/>
      <c r="C64" s="4"/>
      <c r="D64" s="496">
        <f>'1_入力シート【基本情報】'!$AB$70</f>
        <v>0</v>
      </c>
      <c r="E64" s="568">
        <f>'1_入力シート【基本情報】'!$AB$70</f>
        <v>0</v>
      </c>
      <c r="F64" s="568" t="str">
        <f t="shared" si="0"/>
        <v>0</v>
      </c>
      <c r="G64" s="24"/>
      <c r="H64" s="565" t="s">
        <v>1756</v>
      </c>
      <c r="I64" s="326" t="s">
        <v>1757</v>
      </c>
      <c r="J64" s="357" t="s">
        <v>1407</v>
      </c>
      <c r="K64" s="324" t="s">
        <v>244</v>
      </c>
      <c r="L64" s="359" t="s">
        <v>1407</v>
      </c>
      <c r="M64" s="325" t="s">
        <v>1765</v>
      </c>
      <c r="N64" s="358" t="s">
        <v>1407</v>
      </c>
      <c r="O64" s="326" t="s">
        <v>4</v>
      </c>
      <c r="P64" s="327"/>
      <c r="Q64" s="336"/>
      <c r="R64" s="203"/>
      <c r="S64" s="203"/>
      <c r="T64" s="13" t="str">
        <f t="shared" si="2"/>
        <v>5代表となる調査者-勤務先-事務所登録-号</v>
      </c>
      <c r="V64" s="202"/>
      <c r="W64" s="202"/>
      <c r="X64" s="202"/>
    </row>
    <row r="65" spans="2:28">
      <c r="B65" s="4" t="str">
        <f>CONCATENATE('1_入力シート【基本情報】'!AB71,"-",'1_入力シート【基本情報】'!AK71)</f>
        <v>-</v>
      </c>
      <c r="C65" s="4" t="str">
        <f>ASC(B65)</f>
        <v>-</v>
      </c>
      <c r="D65" s="107" t="str">
        <f>$C$65</f>
        <v>-</v>
      </c>
      <c r="E65" s="564" t="str">
        <f>$C$65</f>
        <v>-</v>
      </c>
      <c r="F65" s="564" t="str">
        <f t="shared" si="0"/>
        <v>-</v>
      </c>
      <c r="G65" s="24"/>
      <c r="H65" s="565" t="s">
        <v>1756</v>
      </c>
      <c r="I65" s="326" t="s">
        <v>1757</v>
      </c>
      <c r="J65" s="357" t="s">
        <v>1407</v>
      </c>
      <c r="K65" s="324" t="s">
        <v>244</v>
      </c>
      <c r="L65" s="358"/>
      <c r="M65" s="325" t="s">
        <v>1770</v>
      </c>
      <c r="N65" s="358"/>
      <c r="O65" s="326"/>
      <c r="P65" s="327"/>
      <c r="Q65" s="336"/>
      <c r="R65" s="203"/>
      <c r="S65" s="203"/>
      <c r="T65" s="13" t="str">
        <f t="shared" si="2"/>
        <v>5代表となる調査者-勤務先郵便番号</v>
      </c>
      <c r="V65" s="202"/>
      <c r="W65" s="202"/>
      <c r="X65" s="202"/>
    </row>
    <row r="66" spans="2:28">
      <c r="B66" s="5"/>
      <c r="C66" s="5"/>
      <c r="D66" s="492">
        <f>'1_入力シート【基本情報】'!$AB$72</f>
        <v>0</v>
      </c>
      <c r="E66" s="564">
        <f>'1_入力シート【基本情報】'!$AB$72</f>
        <v>0</v>
      </c>
      <c r="F66" s="564" t="str">
        <f t="shared" si="0"/>
        <v>0</v>
      </c>
      <c r="G66" s="567"/>
      <c r="H66" s="565" t="s">
        <v>1756</v>
      </c>
      <c r="I66" s="326" t="s">
        <v>1757</v>
      </c>
      <c r="J66" s="357" t="s">
        <v>1407</v>
      </c>
      <c r="K66" s="324" t="s">
        <v>244</v>
      </c>
      <c r="L66" s="358" t="s">
        <v>1407</v>
      </c>
      <c r="M66" s="325" t="s">
        <v>245</v>
      </c>
      <c r="N66" s="358"/>
      <c r="O66" s="326"/>
      <c r="P66" s="327"/>
      <c r="Q66" s="336"/>
      <c r="R66" s="203"/>
      <c r="S66" s="203"/>
      <c r="T66" s="13" t="str">
        <f t="shared" si="2"/>
        <v>5代表となる調査者-勤務先-所在地</v>
      </c>
      <c r="V66" s="202"/>
      <c r="W66" s="202"/>
      <c r="X66" s="202"/>
    </row>
    <row r="67" spans="2:28">
      <c r="B67" s="37" t="str">
        <f>CONCATENATE('1_入力シート【基本情報】'!AB73,"-",'1_入力シート【基本情報】'!AK73,"-",'1_入力シート【基本情報】'!AT73)</f>
        <v>--</v>
      </c>
      <c r="C67" s="37" t="str">
        <f>ASC(B67)</f>
        <v>--</v>
      </c>
      <c r="D67" s="107" t="str">
        <f>$C$67</f>
        <v>--</v>
      </c>
      <c r="E67" s="564" t="str">
        <f>$C$67</f>
        <v>--</v>
      </c>
      <c r="F67" s="564" t="str">
        <f t="shared" si="0"/>
        <v>--</v>
      </c>
      <c r="G67" s="572"/>
      <c r="H67" s="565" t="s">
        <v>1756</v>
      </c>
      <c r="I67" s="326" t="s">
        <v>1757</v>
      </c>
      <c r="J67" s="357" t="s">
        <v>1407</v>
      </c>
      <c r="K67" s="324" t="s">
        <v>244</v>
      </c>
      <c r="L67" s="358" t="s">
        <v>1407</v>
      </c>
      <c r="M67" s="325" t="s">
        <v>1737</v>
      </c>
      <c r="N67" s="360"/>
      <c r="O67" s="326"/>
      <c r="P67" s="327"/>
      <c r="Q67" s="336"/>
      <c r="R67" s="203"/>
      <c r="S67" s="203"/>
      <c r="T67" s="13" t="str">
        <f t="shared" si="2"/>
        <v>5代表となる調査者-勤務先-電話番号</v>
      </c>
      <c r="V67" s="340"/>
      <c r="W67" s="340"/>
      <c r="X67" s="340"/>
      <c r="Y67" s="341"/>
      <c r="Z67" s="341"/>
      <c r="AA67" s="341"/>
      <c r="AB67" s="341"/>
    </row>
    <row r="68" spans="2:28">
      <c r="B68" s="37"/>
      <c r="C68" s="37"/>
      <c r="D68" s="496" t="b">
        <f>'1_入力シート【基本情報】'!$DS$78</f>
        <v>0</v>
      </c>
      <c r="E68" s="568" t="b">
        <f>'1_入力シート【基本情報】'!$DS$78</f>
        <v>0</v>
      </c>
      <c r="F68" s="568" t="str">
        <f t="shared" si="0"/>
        <v>FALSE</v>
      </c>
      <c r="G68" s="572"/>
      <c r="H68" s="565" t="s">
        <v>1774</v>
      </c>
      <c r="I68" s="326" t="s">
        <v>1775</v>
      </c>
      <c r="J68" s="357" t="s">
        <v>1407</v>
      </c>
      <c r="K68" s="322" t="s">
        <v>1776</v>
      </c>
      <c r="L68" s="358" t="s">
        <v>1407</v>
      </c>
      <c r="M68" s="325"/>
      <c r="N68" s="360"/>
      <c r="O68" s="326"/>
      <c r="P68" s="327"/>
      <c r="Q68" s="336"/>
      <c r="R68" s="361"/>
      <c r="S68" s="361"/>
      <c r="T68" s="13" t="str">
        <f t="shared" si="2"/>
        <v>6その他の調査者1-代表となる調査者と勤務先が同じ1-</v>
      </c>
      <c r="V68" s="340"/>
      <c r="W68" s="340"/>
      <c r="X68" s="340"/>
      <c r="Y68" s="341"/>
      <c r="Z68" s="341"/>
      <c r="AA68" s="341"/>
      <c r="AB68" s="341"/>
    </row>
    <row r="69" spans="2:28">
      <c r="B69" s="37"/>
      <c r="C69" s="37"/>
      <c r="D69" s="496">
        <f>'1_入力シート【基本情報】'!$AB$79</f>
        <v>0</v>
      </c>
      <c r="E69" s="568">
        <f>'1_入力シート【基本情報】'!$AB$79</f>
        <v>0</v>
      </c>
      <c r="F69" s="568" t="str">
        <f t="shared" ref="F69:F132" si="4">SUBSTITUTE(E69,CHAR(10),"")</f>
        <v>0</v>
      </c>
      <c r="G69" s="572"/>
      <c r="H69" s="565" t="s">
        <v>1774</v>
      </c>
      <c r="I69" s="326" t="s">
        <v>1775</v>
      </c>
      <c r="J69" s="357" t="s">
        <v>1407</v>
      </c>
      <c r="K69" s="322" t="s">
        <v>926</v>
      </c>
      <c r="L69" s="358" t="s">
        <v>1407</v>
      </c>
      <c r="M69" s="325" t="s">
        <v>1087</v>
      </c>
      <c r="N69" s="360"/>
      <c r="O69" s="326"/>
      <c r="P69" s="323"/>
      <c r="Q69" s="336"/>
      <c r="R69" s="361"/>
      <c r="S69" s="361"/>
      <c r="T69" s="13" t="str">
        <f t="shared" si="2"/>
        <v>6その他の調査者1-資格-資格名称</v>
      </c>
      <c r="V69" s="340"/>
      <c r="W69" s="340"/>
      <c r="X69" s="340"/>
      <c r="Y69" s="341"/>
      <c r="Z69" s="341"/>
      <c r="AA69" s="341"/>
      <c r="AB69" s="341"/>
    </row>
    <row r="70" spans="2:28">
      <c r="B70" s="5"/>
      <c r="C70" s="5"/>
      <c r="D70" s="492">
        <f>'1_入力シート【基本情報】'!$AB$80</f>
        <v>0</v>
      </c>
      <c r="E70" s="564">
        <f>'1_入力シート【基本情報】'!$AB$80</f>
        <v>0</v>
      </c>
      <c r="F70" s="564" t="str">
        <f t="shared" si="4"/>
        <v>0</v>
      </c>
      <c r="G70" s="567"/>
      <c r="H70" s="565" t="s">
        <v>1774</v>
      </c>
      <c r="I70" s="326" t="s">
        <v>1775</v>
      </c>
      <c r="J70" s="357" t="s">
        <v>1407</v>
      </c>
      <c r="K70" s="322" t="s">
        <v>926</v>
      </c>
      <c r="L70" s="358" t="s">
        <v>1407</v>
      </c>
      <c r="M70" s="329" t="s">
        <v>701</v>
      </c>
      <c r="N70" s="360" t="s">
        <v>1407</v>
      </c>
      <c r="O70" s="334" t="s">
        <v>1397</v>
      </c>
      <c r="P70" s="323"/>
      <c r="Q70" s="336"/>
      <c r="R70" s="361"/>
      <c r="S70" s="361"/>
      <c r="T70" s="13" t="str">
        <f t="shared" si="2"/>
        <v>6その他の調査者1-資格-建築士-登録</v>
      </c>
      <c r="V70" s="202"/>
      <c r="W70" s="202"/>
      <c r="X70" s="202"/>
    </row>
    <row r="71" spans="2:28">
      <c r="B71" s="5"/>
      <c r="C71" s="5"/>
      <c r="D71" s="497">
        <f>'1_入力シート【基本情報】'!$AB$81</f>
        <v>0</v>
      </c>
      <c r="E71" s="568">
        <f>'1_入力シート【基本情報】'!$AB$81</f>
        <v>0</v>
      </c>
      <c r="F71" s="568" t="str">
        <f t="shared" si="4"/>
        <v>0</v>
      </c>
      <c r="G71" s="567"/>
      <c r="H71" s="565" t="s">
        <v>1774</v>
      </c>
      <c r="I71" s="326" t="s">
        <v>1775</v>
      </c>
      <c r="J71" s="357" t="s">
        <v>1407</v>
      </c>
      <c r="K71" s="322" t="s">
        <v>926</v>
      </c>
      <c r="L71" s="358" t="s">
        <v>1407</v>
      </c>
      <c r="M71" s="329" t="s">
        <v>701</v>
      </c>
      <c r="N71" s="360" t="s">
        <v>1407</v>
      </c>
      <c r="O71" s="334" t="s">
        <v>4</v>
      </c>
      <c r="P71" s="323"/>
      <c r="Q71" s="336"/>
      <c r="R71" s="203"/>
      <c r="S71" s="203"/>
      <c r="T71" s="13" t="str">
        <f t="shared" si="2"/>
        <v>6その他の調査者1-資格-建築士-号</v>
      </c>
      <c r="V71" s="202"/>
      <c r="W71" s="202"/>
      <c r="X71" s="202"/>
    </row>
    <row r="72" spans="2:28">
      <c r="B72" s="5"/>
      <c r="C72" s="5"/>
      <c r="D72" s="497">
        <f>'1_入力シート【基本情報】'!$AB$82</f>
        <v>0</v>
      </c>
      <c r="E72" s="568">
        <f>'1_入力シート【基本情報】'!$AB$82</f>
        <v>0</v>
      </c>
      <c r="F72" s="568" t="str">
        <f t="shared" si="4"/>
        <v>0</v>
      </c>
      <c r="G72" s="567"/>
      <c r="H72" s="565" t="s">
        <v>1774</v>
      </c>
      <c r="I72" s="326" t="s">
        <v>1775</v>
      </c>
      <c r="J72" s="357" t="s">
        <v>1407</v>
      </c>
      <c r="K72" s="322" t="s">
        <v>926</v>
      </c>
      <c r="L72" s="358" t="s">
        <v>1407</v>
      </c>
      <c r="M72" s="325" t="s">
        <v>264</v>
      </c>
      <c r="N72" s="358"/>
      <c r="O72" s="326"/>
      <c r="P72" s="327"/>
      <c r="Q72" s="336"/>
      <c r="R72" s="203"/>
      <c r="S72" s="203"/>
      <c r="T72" s="13" t="str">
        <f t="shared" si="2"/>
        <v>6その他の調査者1-資格-特定建築物調査員</v>
      </c>
      <c r="V72" s="202"/>
      <c r="W72" s="202"/>
      <c r="X72" s="202"/>
    </row>
    <row r="73" spans="2:28">
      <c r="B73" s="5"/>
      <c r="C73" s="5"/>
      <c r="D73" s="492">
        <f>'1_入力シート【基本情報】'!$AB$83</f>
        <v>0</v>
      </c>
      <c r="E73" s="564">
        <f>'1_入力シート【基本情報】'!$AB$83</f>
        <v>0</v>
      </c>
      <c r="F73" s="564" t="str">
        <f t="shared" si="4"/>
        <v>0</v>
      </c>
      <c r="G73" s="567"/>
      <c r="H73" s="565" t="s">
        <v>1774</v>
      </c>
      <c r="I73" s="326" t="s">
        <v>1775</v>
      </c>
      <c r="J73" s="357" t="s">
        <v>1407</v>
      </c>
      <c r="K73" s="322" t="s">
        <v>1731</v>
      </c>
      <c r="L73" s="358" t="s">
        <v>1407</v>
      </c>
      <c r="M73" s="325" t="s">
        <v>697</v>
      </c>
      <c r="N73" s="360"/>
      <c r="O73" s="333"/>
      <c r="P73" s="327"/>
      <c r="Q73" s="336"/>
      <c r="R73" s="203"/>
      <c r="S73" s="203"/>
      <c r="T73" s="13" t="str">
        <f t="shared" si="2"/>
        <v>6その他の調査者1-氏名-フリガナ</v>
      </c>
      <c r="V73" s="202"/>
      <c r="W73" s="202"/>
      <c r="X73" s="202"/>
    </row>
    <row r="74" spans="2:28">
      <c r="B74" s="37"/>
      <c r="C74" s="37"/>
      <c r="D74" s="107">
        <f>'1_入力シート【基本情報】'!$AB$84</f>
        <v>0</v>
      </c>
      <c r="E74" s="564">
        <f>'1_入力シート【基本情報】'!$AB$84</f>
        <v>0</v>
      </c>
      <c r="F74" s="564" t="str">
        <f t="shared" si="4"/>
        <v>0</v>
      </c>
      <c r="G74" s="572"/>
      <c r="H74" s="565" t="s">
        <v>1774</v>
      </c>
      <c r="I74" s="326" t="s">
        <v>1775</v>
      </c>
      <c r="J74" s="357" t="s">
        <v>1407</v>
      </c>
      <c r="K74" s="322" t="s">
        <v>1731</v>
      </c>
      <c r="L74" s="358" t="s">
        <v>1407</v>
      </c>
      <c r="M74" s="325" t="s">
        <v>1731</v>
      </c>
      <c r="N74" s="360"/>
      <c r="O74" s="333"/>
      <c r="P74" s="327"/>
      <c r="Q74" s="336"/>
      <c r="R74" s="203"/>
      <c r="S74" s="203"/>
      <c r="T74" s="13" t="str">
        <f t="shared" si="2"/>
        <v>6その他の調査者1-氏名-氏名</v>
      </c>
      <c r="V74" s="340"/>
      <c r="W74" s="340"/>
      <c r="X74" s="340"/>
      <c r="Y74" s="341"/>
      <c r="Z74" s="341"/>
      <c r="AA74" s="341"/>
      <c r="AB74" s="341"/>
    </row>
    <row r="75" spans="2:28">
      <c r="B75" s="37"/>
      <c r="C75" s="37"/>
      <c r="D75" s="496">
        <f>'1_入力シート【基本情報】'!$AB$85</f>
        <v>0</v>
      </c>
      <c r="E75" s="568">
        <f>'1_入力シート【基本情報】'!$AB$85</f>
        <v>0</v>
      </c>
      <c r="F75" s="568" t="str">
        <f t="shared" si="4"/>
        <v>0</v>
      </c>
      <c r="G75" s="572"/>
      <c r="H75" s="565" t="s">
        <v>1774</v>
      </c>
      <c r="I75" s="326" t="s">
        <v>1775</v>
      </c>
      <c r="J75" s="357" t="s">
        <v>1407</v>
      </c>
      <c r="K75" s="322" t="s">
        <v>244</v>
      </c>
      <c r="L75" s="358" t="s">
        <v>1407</v>
      </c>
      <c r="M75" s="325" t="s">
        <v>702</v>
      </c>
      <c r="N75" s="360"/>
      <c r="O75" s="333"/>
      <c r="P75" s="327"/>
      <c r="Q75" s="336"/>
      <c r="R75" s="361"/>
      <c r="S75" s="361"/>
      <c r="T75" s="13" t="str">
        <f t="shared" ref="T75:T138" si="5">CONCATENATE(H75,I75,J75,K75,L75,M75,N75,O75,P75,Q75)</f>
        <v>6その他の調査者1-勤務先-名称</v>
      </c>
      <c r="V75" s="340"/>
      <c r="W75" s="340"/>
      <c r="X75" s="340"/>
      <c r="Y75" s="341"/>
      <c r="Z75" s="341"/>
      <c r="AA75" s="341"/>
      <c r="AB75" s="341"/>
    </row>
    <row r="76" spans="2:28">
      <c r="B76" s="5"/>
      <c r="C76" s="5"/>
      <c r="D76" s="492">
        <f>'1_入力シート【基本情報】'!$AB$86</f>
        <v>0</v>
      </c>
      <c r="E76" s="564">
        <f>'1_入力シート【基本情報】'!$AB$86</f>
        <v>0</v>
      </c>
      <c r="F76" s="564" t="str">
        <f t="shared" si="4"/>
        <v>0</v>
      </c>
      <c r="G76" s="567"/>
      <c r="H76" s="565" t="s">
        <v>1774</v>
      </c>
      <c r="I76" s="326" t="s">
        <v>1775</v>
      </c>
      <c r="J76" s="357" t="s">
        <v>1407</v>
      </c>
      <c r="K76" s="322" t="s">
        <v>244</v>
      </c>
      <c r="L76" s="358" t="s">
        <v>1407</v>
      </c>
      <c r="M76" s="325" t="s">
        <v>1765</v>
      </c>
      <c r="N76" s="358" t="s">
        <v>1407</v>
      </c>
      <c r="O76" s="326" t="s">
        <v>1766</v>
      </c>
      <c r="P76" s="323"/>
      <c r="Q76" s="336"/>
      <c r="R76" s="361"/>
      <c r="S76" s="361"/>
      <c r="T76" s="13" t="str">
        <f t="shared" si="5"/>
        <v>6その他の調査者1-勤務先-事務所登録-建築士事務所</v>
      </c>
      <c r="V76" s="202"/>
      <c r="W76" s="202"/>
      <c r="X76" s="202"/>
    </row>
    <row r="77" spans="2:28">
      <c r="B77" s="5"/>
      <c r="C77" s="5"/>
      <c r="D77" s="492">
        <f>'1_入力シート【基本情報】'!$AB$87</f>
        <v>0</v>
      </c>
      <c r="E77" s="564">
        <f>'1_入力シート【基本情報】'!$AB$87</f>
        <v>0</v>
      </c>
      <c r="F77" s="564" t="str">
        <f t="shared" si="4"/>
        <v>0</v>
      </c>
      <c r="G77" s="567"/>
      <c r="H77" s="565" t="s">
        <v>1774</v>
      </c>
      <c r="I77" s="326" t="s">
        <v>1775</v>
      </c>
      <c r="J77" s="357" t="s">
        <v>1407</v>
      </c>
      <c r="K77" s="322" t="s">
        <v>244</v>
      </c>
      <c r="L77" s="358" t="s">
        <v>1407</v>
      </c>
      <c r="M77" s="325" t="s">
        <v>1765</v>
      </c>
      <c r="N77" s="358" t="s">
        <v>1407</v>
      </c>
      <c r="O77" s="326" t="s">
        <v>686</v>
      </c>
      <c r="P77" s="323"/>
      <c r="Q77" s="336"/>
      <c r="R77" s="203"/>
      <c r="S77" s="203"/>
      <c r="T77" s="13" t="str">
        <f t="shared" si="5"/>
        <v>6その他の調査者1-勤務先-事務所登録-知事登録</v>
      </c>
      <c r="V77" s="202"/>
      <c r="W77" s="202"/>
      <c r="X77" s="202"/>
    </row>
    <row r="78" spans="2:28">
      <c r="B78" s="5"/>
      <c r="C78" s="5"/>
      <c r="D78" s="497">
        <f>'1_入力シート【基本情報】'!$AB$88</f>
        <v>0</v>
      </c>
      <c r="E78" s="568">
        <f>'1_入力シート【基本情報】'!$AB$88</f>
        <v>0</v>
      </c>
      <c r="F78" s="568" t="str">
        <f t="shared" si="4"/>
        <v>0</v>
      </c>
      <c r="G78" s="567"/>
      <c r="H78" s="565" t="s">
        <v>1774</v>
      </c>
      <c r="I78" s="326" t="s">
        <v>1775</v>
      </c>
      <c r="J78" s="357" t="s">
        <v>1407</v>
      </c>
      <c r="K78" s="322" t="s">
        <v>244</v>
      </c>
      <c r="L78" s="358" t="s">
        <v>1407</v>
      </c>
      <c r="M78" s="325" t="s">
        <v>1765</v>
      </c>
      <c r="N78" s="358" t="s">
        <v>1407</v>
      </c>
      <c r="O78" s="326" t="s">
        <v>4</v>
      </c>
      <c r="P78" s="327"/>
      <c r="Q78" s="336"/>
      <c r="R78" s="203"/>
      <c r="S78" s="203"/>
      <c r="T78" s="13" t="str">
        <f t="shared" si="5"/>
        <v>6その他の調査者1-勤務先-事務所登録-号</v>
      </c>
      <c r="V78" s="202"/>
      <c r="W78" s="202"/>
      <c r="X78" s="202"/>
    </row>
    <row r="79" spans="2:28">
      <c r="B79" s="4" t="str">
        <f>CONCATENATE('1_入力シート【基本情報】'!AB89,"-",'1_入力シート【基本情報】'!AK89)</f>
        <v>-</v>
      </c>
      <c r="C79" s="4" t="str">
        <f>ASC(B79)</f>
        <v>-</v>
      </c>
      <c r="D79" s="107" t="str">
        <f>$C$79</f>
        <v>-</v>
      </c>
      <c r="E79" s="564" t="str">
        <f>$C$79</f>
        <v>-</v>
      </c>
      <c r="F79" s="564" t="str">
        <f t="shared" si="4"/>
        <v>-</v>
      </c>
      <c r="G79" s="24"/>
      <c r="H79" s="565" t="s">
        <v>1774</v>
      </c>
      <c r="I79" s="326" t="s">
        <v>1775</v>
      </c>
      <c r="J79" s="357" t="s">
        <v>1407</v>
      </c>
      <c r="K79" s="322" t="s">
        <v>244</v>
      </c>
      <c r="L79" s="358" t="s">
        <v>1407</v>
      </c>
      <c r="M79" s="333" t="s">
        <v>1770</v>
      </c>
      <c r="N79" s="303"/>
      <c r="O79" s="334"/>
      <c r="P79" s="327"/>
      <c r="Q79" s="336"/>
      <c r="R79" s="203"/>
      <c r="S79" s="203"/>
      <c r="T79" s="13" t="str">
        <f t="shared" si="5"/>
        <v>6その他の調査者1-勤務先-郵便番号</v>
      </c>
      <c r="V79" s="202"/>
      <c r="W79" s="202"/>
      <c r="X79" s="202"/>
    </row>
    <row r="80" spans="2:28">
      <c r="B80" s="4"/>
      <c r="C80" s="4"/>
      <c r="D80" s="107">
        <f>'1_入力シート【基本情報】'!$AB$90</f>
        <v>0</v>
      </c>
      <c r="E80" s="564">
        <f>'1_入力シート【基本情報】'!$AB$90</f>
        <v>0</v>
      </c>
      <c r="F80" s="564" t="str">
        <f t="shared" si="4"/>
        <v>0</v>
      </c>
      <c r="G80" s="24"/>
      <c r="H80" s="565" t="s">
        <v>1774</v>
      </c>
      <c r="I80" s="326" t="s">
        <v>1775</v>
      </c>
      <c r="J80" s="357" t="s">
        <v>1407</v>
      </c>
      <c r="K80" s="322" t="s">
        <v>244</v>
      </c>
      <c r="L80" s="358" t="s">
        <v>1407</v>
      </c>
      <c r="M80" s="325" t="s">
        <v>245</v>
      </c>
      <c r="N80" s="358"/>
      <c r="O80" s="326"/>
      <c r="P80" s="327"/>
      <c r="Q80" s="336"/>
      <c r="R80" s="203"/>
      <c r="S80" s="203"/>
      <c r="T80" s="13" t="str">
        <f t="shared" si="5"/>
        <v>6その他の調査者1-勤務先-所在地</v>
      </c>
      <c r="V80" s="202"/>
      <c r="W80" s="202"/>
      <c r="X80" s="202"/>
    </row>
    <row r="81" spans="2:24">
      <c r="B81" s="4" t="str">
        <f>CONCATENATE('1_入力シート【基本情報】'!AB91,"-",'1_入力シート【基本情報】'!AK91,"-",'1_入力シート【基本情報】'!AT91)</f>
        <v>--</v>
      </c>
      <c r="C81" s="4" t="str">
        <f>ASC(B81)</f>
        <v>--</v>
      </c>
      <c r="D81" s="107" t="str">
        <f>$C$81</f>
        <v>--</v>
      </c>
      <c r="E81" s="564" t="str">
        <f>$C$81</f>
        <v>--</v>
      </c>
      <c r="F81" s="564" t="str">
        <f t="shared" si="4"/>
        <v>--</v>
      </c>
      <c r="G81" s="24"/>
      <c r="H81" s="565" t="s">
        <v>1774</v>
      </c>
      <c r="I81" s="326" t="s">
        <v>1775</v>
      </c>
      <c r="J81" s="357" t="s">
        <v>1407</v>
      </c>
      <c r="K81" s="322" t="s">
        <v>244</v>
      </c>
      <c r="L81" s="358" t="s">
        <v>1407</v>
      </c>
      <c r="M81" s="325" t="s">
        <v>1790</v>
      </c>
      <c r="N81" s="358"/>
      <c r="O81" s="326"/>
      <c r="P81" s="327"/>
      <c r="Q81" s="336"/>
      <c r="R81" s="203"/>
      <c r="S81" s="203"/>
      <c r="T81" s="13" t="str">
        <f t="shared" si="5"/>
        <v>6その他の調査者1-勤務先-電話番号</v>
      </c>
      <c r="V81" s="202"/>
      <c r="W81" s="202"/>
      <c r="X81" s="202"/>
    </row>
    <row r="82" spans="2:24">
      <c r="B82" s="4"/>
      <c r="C82" s="4"/>
      <c r="D82" s="107" t="b">
        <f>'1_入力シート【基本情報】'!$DS$96</f>
        <v>0</v>
      </c>
      <c r="E82" s="564" t="b">
        <f>'1_入力シート【基本情報】'!$DS$96</f>
        <v>0</v>
      </c>
      <c r="F82" s="564" t="str">
        <f t="shared" si="4"/>
        <v>FALSE</v>
      </c>
      <c r="G82" s="24"/>
      <c r="H82" s="565" t="s">
        <v>1792</v>
      </c>
      <c r="I82" s="326" t="s">
        <v>1793</v>
      </c>
      <c r="J82" s="357" t="s">
        <v>1407</v>
      </c>
      <c r="K82" s="322" t="s">
        <v>1794</v>
      </c>
      <c r="L82" s="358"/>
      <c r="M82" s="325"/>
      <c r="N82" s="358"/>
      <c r="O82" s="326"/>
      <c r="P82" s="327"/>
      <c r="Q82" s="336"/>
      <c r="R82" s="203"/>
      <c r="S82" s="203"/>
      <c r="T82" s="13" t="str">
        <f t="shared" si="5"/>
        <v>7その他の調査者2-代表となる調査者と勤務先が同じ</v>
      </c>
      <c r="V82" s="202"/>
      <c r="W82" s="202"/>
      <c r="X82" s="202"/>
    </row>
    <row r="83" spans="2:24">
      <c r="B83" s="4"/>
      <c r="C83" s="4"/>
      <c r="D83" s="107">
        <f>'1_入力シート【基本情報】'!$AB$97</f>
        <v>0</v>
      </c>
      <c r="E83" s="564">
        <f>'1_入力シート【基本情報】'!$AB$97</f>
        <v>0</v>
      </c>
      <c r="F83" s="564" t="str">
        <f t="shared" si="4"/>
        <v>0</v>
      </c>
      <c r="G83" s="24"/>
      <c r="H83" s="565" t="s">
        <v>1792</v>
      </c>
      <c r="I83" s="326" t="s">
        <v>1793</v>
      </c>
      <c r="J83" s="357" t="s">
        <v>1407</v>
      </c>
      <c r="K83" s="322" t="s">
        <v>926</v>
      </c>
      <c r="L83" s="358" t="s">
        <v>1407</v>
      </c>
      <c r="M83" s="325" t="s">
        <v>1087</v>
      </c>
      <c r="N83" s="358"/>
      <c r="O83" s="326"/>
      <c r="P83" s="327"/>
      <c r="Q83" s="336"/>
      <c r="R83" s="203"/>
      <c r="S83" s="203"/>
      <c r="T83" s="13" t="str">
        <f t="shared" si="5"/>
        <v>7その他の調査者2-資格-資格名称</v>
      </c>
      <c r="V83" s="202"/>
      <c r="W83" s="202"/>
      <c r="X83" s="202"/>
    </row>
    <row r="84" spans="2:24">
      <c r="B84" s="5"/>
      <c r="C84" s="5"/>
      <c r="D84" s="492">
        <f>'1_入力シート【基本情報】'!$AB$98</f>
        <v>0</v>
      </c>
      <c r="E84" s="564">
        <f>'1_入力シート【基本情報】'!$AB$98</f>
        <v>0</v>
      </c>
      <c r="F84" s="564" t="str">
        <f t="shared" si="4"/>
        <v>0</v>
      </c>
      <c r="G84" s="567"/>
      <c r="H84" s="565" t="s">
        <v>1792</v>
      </c>
      <c r="I84" s="326" t="s">
        <v>1793</v>
      </c>
      <c r="J84" s="357" t="s">
        <v>1407</v>
      </c>
      <c r="K84" s="322" t="s">
        <v>926</v>
      </c>
      <c r="L84" s="358" t="s">
        <v>1407</v>
      </c>
      <c r="M84" s="325" t="s">
        <v>701</v>
      </c>
      <c r="N84" s="358" t="s">
        <v>1407</v>
      </c>
      <c r="O84" s="326" t="s">
        <v>1397</v>
      </c>
      <c r="P84" s="327"/>
      <c r="Q84" s="336"/>
      <c r="R84" s="203"/>
      <c r="S84" s="203"/>
      <c r="T84" s="13" t="str">
        <f t="shared" si="5"/>
        <v>7その他の調査者2-資格-建築士-登録</v>
      </c>
      <c r="V84" s="202"/>
      <c r="W84" s="202"/>
      <c r="X84" s="202"/>
    </row>
    <row r="85" spans="2:24">
      <c r="B85" s="4"/>
      <c r="C85" s="4"/>
      <c r="D85" s="496">
        <f>'1_入力シート【基本情報】'!$AB$99</f>
        <v>0</v>
      </c>
      <c r="E85" s="568">
        <f>'1_入力シート【基本情報】'!$AB$99</f>
        <v>0</v>
      </c>
      <c r="F85" s="568" t="str">
        <f t="shared" si="4"/>
        <v>0</v>
      </c>
      <c r="G85" s="24"/>
      <c r="H85" s="565" t="s">
        <v>1792</v>
      </c>
      <c r="I85" s="326" t="s">
        <v>1793</v>
      </c>
      <c r="J85" s="357" t="s">
        <v>1407</v>
      </c>
      <c r="K85" s="322" t="s">
        <v>926</v>
      </c>
      <c r="L85" s="358" t="s">
        <v>1407</v>
      </c>
      <c r="M85" s="325" t="s">
        <v>701</v>
      </c>
      <c r="N85" s="358" t="s">
        <v>1407</v>
      </c>
      <c r="O85" s="326" t="s">
        <v>4</v>
      </c>
      <c r="P85" s="327"/>
      <c r="Q85" s="336"/>
      <c r="R85" s="203"/>
      <c r="S85" s="203"/>
      <c r="T85" s="13" t="str">
        <f t="shared" si="5"/>
        <v>7その他の調査者2-資格-建築士-号</v>
      </c>
      <c r="V85" s="202"/>
      <c r="W85" s="202"/>
      <c r="X85" s="202"/>
    </row>
    <row r="86" spans="2:24">
      <c r="B86" s="4"/>
      <c r="C86" s="4"/>
      <c r="D86" s="496">
        <f>'1_入力シート【基本情報】'!$AB$100</f>
        <v>0</v>
      </c>
      <c r="E86" s="568">
        <f>'1_入力シート【基本情報】'!$AB$100</f>
        <v>0</v>
      </c>
      <c r="F86" s="568" t="str">
        <f t="shared" si="4"/>
        <v>0</v>
      </c>
      <c r="G86" s="24"/>
      <c r="H86" s="565" t="s">
        <v>1792</v>
      </c>
      <c r="I86" s="326" t="s">
        <v>1793</v>
      </c>
      <c r="J86" s="357" t="s">
        <v>1407</v>
      </c>
      <c r="K86" s="322" t="s">
        <v>926</v>
      </c>
      <c r="L86" s="358" t="s">
        <v>1407</v>
      </c>
      <c r="M86" s="325" t="s">
        <v>1167</v>
      </c>
      <c r="N86" s="360" t="s">
        <v>1407</v>
      </c>
      <c r="O86" s="326" t="s">
        <v>4</v>
      </c>
      <c r="P86" s="327"/>
      <c r="Q86" s="336"/>
      <c r="R86" s="203"/>
      <c r="S86" s="203"/>
      <c r="T86" s="13" t="str">
        <f t="shared" si="5"/>
        <v>7その他の調査者2-資格-特定建築物調査員-号</v>
      </c>
      <c r="V86" s="202"/>
      <c r="W86" s="202"/>
      <c r="X86" s="202"/>
    </row>
    <row r="87" spans="2:24">
      <c r="B87" s="5"/>
      <c r="C87" s="5"/>
      <c r="D87" s="497">
        <f>'1_入力シート【基本情報】'!$AB$101</f>
        <v>0</v>
      </c>
      <c r="E87" s="568">
        <f>'1_入力シート【基本情報】'!$AB$101</f>
        <v>0</v>
      </c>
      <c r="F87" s="568" t="str">
        <f t="shared" si="4"/>
        <v>0</v>
      </c>
      <c r="G87" s="567"/>
      <c r="H87" s="565" t="s">
        <v>1792</v>
      </c>
      <c r="I87" s="326" t="s">
        <v>1793</v>
      </c>
      <c r="J87" s="357" t="s">
        <v>1407</v>
      </c>
      <c r="K87" s="322" t="s">
        <v>1731</v>
      </c>
      <c r="L87" s="358" t="s">
        <v>1407</v>
      </c>
      <c r="M87" s="325" t="s">
        <v>697</v>
      </c>
      <c r="N87" s="360"/>
      <c r="O87" s="326"/>
      <c r="P87" s="327"/>
      <c r="Q87" s="336"/>
      <c r="R87" s="203"/>
      <c r="S87" s="203"/>
      <c r="T87" s="13" t="str">
        <f t="shared" si="5"/>
        <v>7その他の調査者2-氏名-フリガナ</v>
      </c>
      <c r="V87" s="202"/>
      <c r="W87" s="202"/>
      <c r="X87" s="202"/>
    </row>
    <row r="88" spans="2:24">
      <c r="B88" s="5"/>
      <c r="C88" s="5"/>
      <c r="D88" s="497">
        <f>'1_入力シート【基本情報】'!$AB$102</f>
        <v>0</v>
      </c>
      <c r="E88" s="568">
        <f>'1_入力シート【基本情報】'!$AB$102</f>
        <v>0</v>
      </c>
      <c r="F88" s="568" t="str">
        <f t="shared" si="4"/>
        <v>0</v>
      </c>
      <c r="G88" s="567"/>
      <c r="H88" s="565" t="s">
        <v>1792</v>
      </c>
      <c r="I88" s="326" t="s">
        <v>1793</v>
      </c>
      <c r="J88" s="357" t="s">
        <v>1407</v>
      </c>
      <c r="K88" s="322" t="s">
        <v>1731</v>
      </c>
      <c r="L88" s="358" t="s">
        <v>1407</v>
      </c>
      <c r="M88" s="325" t="s">
        <v>1731</v>
      </c>
      <c r="N88" s="358"/>
      <c r="O88" s="326"/>
      <c r="P88" s="327"/>
      <c r="Q88" s="336"/>
      <c r="R88" s="203"/>
      <c r="S88" s="203"/>
      <c r="T88" s="13" t="str">
        <f t="shared" si="5"/>
        <v>7その他の調査者2-氏名-氏名</v>
      </c>
      <c r="V88" s="202"/>
      <c r="W88" s="202"/>
      <c r="X88" s="202"/>
    </row>
    <row r="89" spans="2:24">
      <c r="B89" s="5"/>
      <c r="C89" s="5"/>
      <c r="D89" s="492">
        <f>'1_入力シート【基本情報】'!$AB$103</f>
        <v>0</v>
      </c>
      <c r="E89" s="564">
        <f>'1_入力シート【基本情報】'!$AB$103</f>
        <v>0</v>
      </c>
      <c r="F89" s="564" t="str">
        <f t="shared" si="4"/>
        <v>0</v>
      </c>
      <c r="G89" s="567"/>
      <c r="H89" s="565" t="s">
        <v>1792</v>
      </c>
      <c r="I89" s="326" t="s">
        <v>1793</v>
      </c>
      <c r="J89" s="357" t="s">
        <v>1407</v>
      </c>
      <c r="K89" s="322" t="s">
        <v>244</v>
      </c>
      <c r="L89" s="358" t="s">
        <v>1407</v>
      </c>
      <c r="M89" s="325" t="s">
        <v>702</v>
      </c>
      <c r="N89" s="360"/>
      <c r="O89" s="333"/>
      <c r="P89" s="327"/>
      <c r="Q89" s="336"/>
      <c r="R89" s="203"/>
      <c r="S89" s="203"/>
      <c r="T89" s="13" t="str">
        <f t="shared" si="5"/>
        <v>7その他の調査者2-勤務先-名称</v>
      </c>
      <c r="V89" s="202"/>
      <c r="W89" s="202"/>
      <c r="X89" s="202"/>
    </row>
    <row r="90" spans="2:24">
      <c r="B90" s="5"/>
      <c r="C90" s="5"/>
      <c r="D90" s="492">
        <f>'1_入力シート【基本情報】'!$AB$104</f>
        <v>0</v>
      </c>
      <c r="E90" s="564">
        <f>'1_入力シート【基本情報】'!$AB$104</f>
        <v>0</v>
      </c>
      <c r="F90" s="564" t="str">
        <f t="shared" si="4"/>
        <v>0</v>
      </c>
      <c r="G90" s="567"/>
      <c r="H90" s="565" t="s">
        <v>1792</v>
      </c>
      <c r="I90" s="326" t="s">
        <v>1793</v>
      </c>
      <c r="J90" s="357" t="s">
        <v>1407</v>
      </c>
      <c r="K90" s="322" t="s">
        <v>244</v>
      </c>
      <c r="L90" s="358" t="s">
        <v>1407</v>
      </c>
      <c r="M90" s="325" t="s">
        <v>1765</v>
      </c>
      <c r="N90" s="358" t="s">
        <v>1407</v>
      </c>
      <c r="O90" s="326" t="s">
        <v>1766</v>
      </c>
      <c r="P90" s="327"/>
      <c r="Q90" s="336"/>
      <c r="R90" s="203"/>
      <c r="S90" s="203"/>
      <c r="T90" s="13" t="str">
        <f t="shared" si="5"/>
        <v>7その他の調査者2-勤務先-事務所登録-建築士事務所</v>
      </c>
      <c r="V90" s="202"/>
      <c r="W90" s="202"/>
      <c r="X90" s="202"/>
    </row>
    <row r="91" spans="2:24">
      <c r="B91" s="4"/>
      <c r="C91" s="4"/>
      <c r="D91" s="107">
        <f>'1_入力シート【基本情報】'!$AB$105</f>
        <v>0</v>
      </c>
      <c r="E91" s="564">
        <f>'1_入力シート【基本情報】'!$AB$105</f>
        <v>0</v>
      </c>
      <c r="F91" s="564" t="str">
        <f t="shared" si="4"/>
        <v>0</v>
      </c>
      <c r="G91" s="24"/>
      <c r="H91" s="565" t="s">
        <v>1792</v>
      </c>
      <c r="I91" s="326" t="s">
        <v>1793</v>
      </c>
      <c r="J91" s="357" t="s">
        <v>1407</v>
      </c>
      <c r="K91" s="322" t="s">
        <v>244</v>
      </c>
      <c r="L91" s="358" t="s">
        <v>1407</v>
      </c>
      <c r="M91" s="325" t="s">
        <v>1765</v>
      </c>
      <c r="N91" s="358" t="s">
        <v>1407</v>
      </c>
      <c r="O91" s="326" t="s">
        <v>686</v>
      </c>
      <c r="P91" s="327"/>
      <c r="Q91" s="336"/>
      <c r="R91" s="203"/>
      <c r="S91" s="203"/>
      <c r="T91" s="13" t="str">
        <f t="shared" si="5"/>
        <v>7その他の調査者2-勤務先-事務所登録-知事登録</v>
      </c>
      <c r="V91" s="202"/>
      <c r="W91" s="202"/>
      <c r="X91" s="202"/>
    </row>
    <row r="92" spans="2:24">
      <c r="B92" s="4"/>
      <c r="C92" s="4"/>
      <c r="D92" s="496">
        <f>'1_入力シート【基本情報】'!$AB$106</f>
        <v>0</v>
      </c>
      <c r="E92" s="568">
        <f>'1_入力シート【基本情報】'!$AB$106</f>
        <v>0</v>
      </c>
      <c r="F92" s="568" t="str">
        <f t="shared" si="4"/>
        <v>0</v>
      </c>
      <c r="G92" s="24"/>
      <c r="H92" s="565" t="s">
        <v>1792</v>
      </c>
      <c r="I92" s="326" t="s">
        <v>1793</v>
      </c>
      <c r="J92" s="357" t="s">
        <v>1407</v>
      </c>
      <c r="K92" s="322" t="s">
        <v>244</v>
      </c>
      <c r="L92" s="358" t="s">
        <v>1407</v>
      </c>
      <c r="M92" s="325" t="s">
        <v>1765</v>
      </c>
      <c r="N92" s="358" t="s">
        <v>1407</v>
      </c>
      <c r="O92" s="326" t="s">
        <v>4</v>
      </c>
      <c r="P92" s="327"/>
      <c r="Q92" s="336"/>
      <c r="R92" s="203"/>
      <c r="S92" s="203"/>
      <c r="T92" s="13" t="str">
        <f t="shared" si="5"/>
        <v>7その他の調査者2-勤務先-事務所登録-号</v>
      </c>
      <c r="V92" s="202"/>
      <c r="W92" s="202"/>
      <c r="X92" s="202"/>
    </row>
    <row r="93" spans="2:24">
      <c r="B93" s="5" t="str">
        <f>CONCATENATE('1_入力シート【基本情報】'!AB107,"-",'1_入力シート【基本情報】'!AK107)</f>
        <v>-</v>
      </c>
      <c r="C93" s="5" t="str">
        <f>ASC(B93)</f>
        <v>-</v>
      </c>
      <c r="D93" s="492" t="str">
        <f>$C$93</f>
        <v>-</v>
      </c>
      <c r="E93" s="564" t="str">
        <f>$C$93</f>
        <v>-</v>
      </c>
      <c r="F93" s="564" t="str">
        <f t="shared" si="4"/>
        <v>-</v>
      </c>
      <c r="G93" s="567"/>
      <c r="H93" s="565" t="s">
        <v>1792</v>
      </c>
      <c r="I93" s="326" t="s">
        <v>1793</v>
      </c>
      <c r="J93" s="357" t="s">
        <v>1407</v>
      </c>
      <c r="K93" s="322" t="s">
        <v>244</v>
      </c>
      <c r="L93" s="358" t="s">
        <v>1407</v>
      </c>
      <c r="M93" s="333" t="s">
        <v>1770</v>
      </c>
      <c r="N93" s="303"/>
      <c r="O93" s="334"/>
      <c r="P93" s="327"/>
      <c r="Q93" s="336"/>
      <c r="R93" s="203"/>
      <c r="S93" s="203"/>
      <c r="T93" s="13" t="str">
        <f t="shared" si="5"/>
        <v>7その他の調査者2-勤務先-郵便番号</v>
      </c>
      <c r="V93" s="202"/>
      <c r="W93" s="202"/>
      <c r="X93" s="202"/>
    </row>
    <row r="94" spans="2:24">
      <c r="B94" s="5"/>
      <c r="C94" s="5"/>
      <c r="D94" s="497">
        <f>'1_入力シート【基本情報】'!$AB$108</f>
        <v>0</v>
      </c>
      <c r="E94" s="568">
        <f>'1_入力シート【基本情報】'!$AB$108</f>
        <v>0</v>
      </c>
      <c r="F94" s="568" t="str">
        <f t="shared" si="4"/>
        <v>0</v>
      </c>
      <c r="G94" s="567"/>
      <c r="H94" s="565" t="s">
        <v>1792</v>
      </c>
      <c r="I94" s="326" t="s">
        <v>1793</v>
      </c>
      <c r="J94" s="357" t="s">
        <v>1407</v>
      </c>
      <c r="K94" s="322" t="s">
        <v>244</v>
      </c>
      <c r="L94" s="358" t="s">
        <v>1407</v>
      </c>
      <c r="M94" s="325" t="s">
        <v>245</v>
      </c>
      <c r="N94" s="358"/>
      <c r="O94" s="326"/>
      <c r="P94" s="327"/>
      <c r="Q94" s="336"/>
      <c r="R94" s="203"/>
      <c r="S94" s="203"/>
      <c r="T94" s="13" t="str">
        <f t="shared" si="5"/>
        <v>7その他の調査者2-勤務先-所在地</v>
      </c>
      <c r="V94" s="202"/>
      <c r="W94" s="202"/>
      <c r="X94" s="202"/>
    </row>
    <row r="95" spans="2:24">
      <c r="B95" s="5" t="str">
        <f>CONCATENATE('1_入力シート【基本情報】'!AB109,"-",'1_入力シート【基本情報】'!AK109,"-",'1_入力シート【基本情報】'!AT109)</f>
        <v>--</v>
      </c>
      <c r="C95" s="5" t="str">
        <f>ASC(B95)</f>
        <v>--</v>
      </c>
      <c r="D95" s="492" t="str">
        <f>$C$95</f>
        <v>--</v>
      </c>
      <c r="E95" s="564" t="str">
        <f>$C$95</f>
        <v>--</v>
      </c>
      <c r="F95" s="564" t="str">
        <f t="shared" si="4"/>
        <v>--</v>
      </c>
      <c r="G95" s="567"/>
      <c r="H95" s="565" t="s">
        <v>1792</v>
      </c>
      <c r="I95" s="326" t="s">
        <v>1793</v>
      </c>
      <c r="J95" s="357" t="s">
        <v>1407</v>
      </c>
      <c r="K95" s="322" t="s">
        <v>244</v>
      </c>
      <c r="L95" s="358" t="s">
        <v>1407</v>
      </c>
      <c r="M95" s="325" t="s">
        <v>1790</v>
      </c>
      <c r="N95" s="358"/>
      <c r="O95" s="326"/>
      <c r="P95" s="327"/>
      <c r="Q95" s="336"/>
      <c r="R95" s="203"/>
      <c r="S95" s="203"/>
      <c r="T95" s="13" t="str">
        <f t="shared" si="5"/>
        <v>7その他の調査者2-勤務先-電話番号</v>
      </c>
      <c r="V95" s="202"/>
      <c r="W95" s="202"/>
      <c r="X95" s="202"/>
    </row>
    <row r="96" spans="2:24">
      <c r="B96" s="5"/>
      <c r="C96" s="5"/>
      <c r="D96" s="492">
        <f>'1_入力シート【基本情報】'!$AB$115</f>
        <v>0</v>
      </c>
      <c r="E96" s="564">
        <f>'1_入力シート【基本情報】'!$AB$115</f>
        <v>0</v>
      </c>
      <c r="F96" s="564" t="str">
        <f t="shared" si="4"/>
        <v>0</v>
      </c>
      <c r="G96" s="567"/>
      <c r="H96" s="565" t="s">
        <v>1701</v>
      </c>
      <c r="I96" s="326" t="s">
        <v>266</v>
      </c>
      <c r="J96" s="357" t="s">
        <v>1407</v>
      </c>
      <c r="K96" s="322" t="s">
        <v>1802</v>
      </c>
      <c r="L96" s="358" t="s">
        <v>1407</v>
      </c>
      <c r="M96" s="325" t="s">
        <v>1803</v>
      </c>
      <c r="N96" s="358"/>
      <c r="O96" s="326"/>
      <c r="P96" s="327"/>
      <c r="Q96" s="336"/>
      <c r="R96" s="203"/>
      <c r="S96" s="203"/>
      <c r="T96" s="13" t="str">
        <f t="shared" si="5"/>
        <v>8敷地の位置-防火地域等-防火地域等 1</v>
      </c>
      <c r="V96" s="202"/>
      <c r="W96" s="202"/>
      <c r="X96" s="202"/>
    </row>
    <row r="97" spans="2:24">
      <c r="B97" s="4"/>
      <c r="C97" s="4"/>
      <c r="D97" s="107">
        <f>'1_入力シート【基本情報】'!$AB$116</f>
        <v>0</v>
      </c>
      <c r="E97" s="564">
        <f>'1_入力シート【基本情報】'!$AB$116</f>
        <v>0</v>
      </c>
      <c r="F97" s="564" t="str">
        <f t="shared" si="4"/>
        <v>0</v>
      </c>
      <c r="G97" s="24"/>
      <c r="H97" s="565" t="s">
        <v>1701</v>
      </c>
      <c r="I97" s="326" t="s">
        <v>266</v>
      </c>
      <c r="J97" s="357" t="s">
        <v>1407</v>
      </c>
      <c r="K97" s="322" t="s">
        <v>1802</v>
      </c>
      <c r="L97" s="358" t="s">
        <v>1407</v>
      </c>
      <c r="M97" s="325" t="s">
        <v>1805</v>
      </c>
      <c r="N97" s="358"/>
      <c r="O97" s="326"/>
      <c r="P97" s="327"/>
      <c r="Q97" s="336"/>
      <c r="R97" s="203"/>
      <c r="S97" s="203"/>
      <c r="T97" s="13" t="str">
        <f t="shared" si="5"/>
        <v>8敷地の位置-防火地域等-防火地域等 2</v>
      </c>
      <c r="V97" s="202"/>
      <c r="W97" s="202"/>
      <c r="X97" s="202"/>
    </row>
    <row r="98" spans="2:24">
      <c r="B98" s="4"/>
      <c r="C98" s="4"/>
      <c r="D98" s="107">
        <f>'1_入力シート【基本情報】'!$AB$117</f>
        <v>0</v>
      </c>
      <c r="E98" s="564">
        <f>'1_入力シート【基本情報】'!$AB$117</f>
        <v>0</v>
      </c>
      <c r="F98" s="564" t="str">
        <f t="shared" si="4"/>
        <v>0</v>
      </c>
      <c r="G98" s="24"/>
      <c r="H98" s="565" t="s">
        <v>1701</v>
      </c>
      <c r="I98" s="326" t="s">
        <v>266</v>
      </c>
      <c r="J98" s="357" t="s">
        <v>1407</v>
      </c>
      <c r="K98" s="322" t="s">
        <v>1802</v>
      </c>
      <c r="L98" s="358" t="s">
        <v>1407</v>
      </c>
      <c r="M98" s="325" t="s">
        <v>1807</v>
      </c>
      <c r="N98" s="358"/>
      <c r="O98" s="326"/>
      <c r="P98" s="327"/>
      <c r="Q98" s="336"/>
      <c r="R98" s="203"/>
      <c r="S98" s="203"/>
      <c r="T98" s="13" t="str">
        <f t="shared" si="5"/>
        <v>8敷地の位置-防火地域等-防火地域等 3</v>
      </c>
      <c r="V98" s="202"/>
      <c r="W98" s="202"/>
      <c r="X98" s="202"/>
    </row>
    <row r="99" spans="2:24">
      <c r="B99" s="4"/>
      <c r="C99" s="4"/>
      <c r="D99" s="107">
        <f>'1_入力シート【基本情報】'!$AB$118</f>
        <v>0</v>
      </c>
      <c r="E99" s="564">
        <f>'1_入力シート【基本情報】'!$AB$118</f>
        <v>0</v>
      </c>
      <c r="F99" s="564" t="str">
        <f t="shared" si="4"/>
        <v>0</v>
      </c>
      <c r="G99" s="24"/>
      <c r="H99" s="565" t="s">
        <v>1701</v>
      </c>
      <c r="I99" s="326" t="s">
        <v>266</v>
      </c>
      <c r="J99" s="357" t="s">
        <v>1407</v>
      </c>
      <c r="K99" s="322" t="s">
        <v>1802</v>
      </c>
      <c r="L99" s="358" t="s">
        <v>1407</v>
      </c>
      <c r="M99" s="333" t="s">
        <v>144</v>
      </c>
      <c r="N99" s="303"/>
      <c r="O99" s="334"/>
      <c r="P99" s="327"/>
      <c r="Q99" s="336"/>
      <c r="R99" s="203"/>
      <c r="S99" s="203"/>
      <c r="T99" s="13" t="str">
        <f t="shared" si="5"/>
        <v>8敷地の位置-防火地域等-その他</v>
      </c>
      <c r="V99" s="202"/>
      <c r="W99" s="202"/>
      <c r="X99" s="202"/>
    </row>
    <row r="100" spans="2:24">
      <c r="B100" s="4"/>
      <c r="C100" s="4"/>
      <c r="D100" s="107">
        <f>'1_入力シート【基本情報】'!$AB$119</f>
        <v>0</v>
      </c>
      <c r="E100" s="564">
        <f>'1_入力シート【基本情報】'!$AB$119</f>
        <v>0</v>
      </c>
      <c r="F100" s="564" t="str">
        <f t="shared" si="4"/>
        <v>0</v>
      </c>
      <c r="G100" s="24"/>
      <c r="H100" s="565" t="s">
        <v>1701</v>
      </c>
      <c r="I100" s="326" t="s">
        <v>266</v>
      </c>
      <c r="J100" s="357" t="s">
        <v>1407</v>
      </c>
      <c r="K100" s="322" t="s">
        <v>710</v>
      </c>
      <c r="L100" s="358" t="s">
        <v>1407</v>
      </c>
      <c r="M100" s="322" t="s">
        <v>1810</v>
      </c>
      <c r="N100" s="358"/>
      <c r="O100" s="326"/>
      <c r="P100" s="327"/>
      <c r="Q100" s="336"/>
      <c r="R100" s="203"/>
      <c r="S100" s="203"/>
      <c r="T100" s="13" t="str">
        <f t="shared" si="5"/>
        <v>8敷地の位置-用途地域-用途地域 1</v>
      </c>
      <c r="V100" s="202"/>
      <c r="W100" s="202"/>
      <c r="X100" s="202"/>
    </row>
    <row r="101" spans="2:24">
      <c r="B101" s="4"/>
      <c r="C101" s="4"/>
      <c r="D101" s="107">
        <f>'1_入力シート【基本情報】'!$AB$120</f>
        <v>0</v>
      </c>
      <c r="E101" s="564">
        <f>'1_入力シート【基本情報】'!$AB$120</f>
        <v>0</v>
      </c>
      <c r="F101" s="564" t="str">
        <f t="shared" si="4"/>
        <v>0</v>
      </c>
      <c r="G101" s="24"/>
      <c r="H101" s="565" t="s">
        <v>1701</v>
      </c>
      <c r="I101" s="326" t="s">
        <v>266</v>
      </c>
      <c r="J101" s="357" t="s">
        <v>1407</v>
      </c>
      <c r="K101" s="322" t="s">
        <v>710</v>
      </c>
      <c r="L101" s="358" t="s">
        <v>1407</v>
      </c>
      <c r="M101" s="322" t="s">
        <v>1812</v>
      </c>
      <c r="N101" s="358"/>
      <c r="O101" s="326"/>
      <c r="P101" s="327"/>
      <c r="Q101" s="336"/>
      <c r="R101" s="203"/>
      <c r="S101" s="203"/>
      <c r="T101" s="13" t="str">
        <f t="shared" si="5"/>
        <v>8敷地の位置-用途地域-用途地域 2</v>
      </c>
      <c r="V101" s="202"/>
      <c r="W101" s="202"/>
      <c r="X101" s="202"/>
    </row>
    <row r="102" spans="2:24">
      <c r="B102" s="5"/>
      <c r="C102" s="5"/>
      <c r="D102" s="492">
        <f>'1_入力シート【基本情報】'!$AB$121</f>
        <v>0</v>
      </c>
      <c r="E102" s="564">
        <f>'1_入力シート【基本情報】'!$AB$121</f>
        <v>0</v>
      </c>
      <c r="F102" s="564" t="str">
        <f t="shared" si="4"/>
        <v>0</v>
      </c>
      <c r="G102" s="567"/>
      <c r="H102" s="565" t="s">
        <v>1701</v>
      </c>
      <c r="I102" s="326" t="s">
        <v>266</v>
      </c>
      <c r="J102" s="357" t="s">
        <v>1407</v>
      </c>
      <c r="K102" s="322" t="s">
        <v>710</v>
      </c>
      <c r="L102" s="358" t="s">
        <v>1407</v>
      </c>
      <c r="M102" s="322" t="s">
        <v>1814</v>
      </c>
      <c r="N102" s="358"/>
      <c r="O102" s="326"/>
      <c r="P102" s="327"/>
      <c r="Q102" s="336"/>
      <c r="R102" s="203"/>
      <c r="S102" s="203"/>
      <c r="T102" s="13" t="str">
        <f t="shared" si="5"/>
        <v>8敷地の位置-用途地域-用途地域 3</v>
      </c>
      <c r="V102" s="202"/>
      <c r="W102" s="202"/>
      <c r="X102" s="202"/>
    </row>
    <row r="103" spans="2:24">
      <c r="B103" s="4"/>
      <c r="C103" s="4"/>
      <c r="D103" s="107">
        <f>'1_入力シート【基本情報】'!$AB$127</f>
        <v>0</v>
      </c>
      <c r="E103" s="564">
        <f>'1_入力シート【基本情報】'!$AB$127</f>
        <v>0</v>
      </c>
      <c r="F103" s="564" t="str">
        <f t="shared" si="4"/>
        <v>0</v>
      </c>
      <c r="G103" s="24"/>
      <c r="H103" s="565" t="s">
        <v>1816</v>
      </c>
      <c r="I103" s="326" t="s">
        <v>1817</v>
      </c>
      <c r="J103" s="357" t="s">
        <v>1407</v>
      </c>
      <c r="K103" s="322" t="s">
        <v>247</v>
      </c>
      <c r="L103" s="358" t="s">
        <v>1407</v>
      </c>
      <c r="M103" s="325" t="s">
        <v>1818</v>
      </c>
      <c r="N103" s="358"/>
      <c r="O103" s="326"/>
      <c r="P103" s="327"/>
      <c r="Q103" s="336"/>
      <c r="R103" s="203"/>
      <c r="S103" s="203"/>
      <c r="T103" s="13" t="str">
        <f t="shared" si="5"/>
        <v>9建物及びその敷地の概要-構造-構造 1</v>
      </c>
      <c r="V103" s="202"/>
      <c r="W103" s="202"/>
      <c r="X103" s="202"/>
    </row>
    <row r="104" spans="2:24">
      <c r="B104" s="4"/>
      <c r="C104" s="4"/>
      <c r="D104" s="107">
        <f>'1_入力シート【基本情報】'!$AB$128</f>
        <v>0</v>
      </c>
      <c r="E104" s="564">
        <f>'1_入力シート【基本情報】'!$AB$128</f>
        <v>0</v>
      </c>
      <c r="F104" s="564" t="str">
        <f t="shared" si="4"/>
        <v>0</v>
      </c>
      <c r="G104" s="24"/>
      <c r="H104" s="565" t="s">
        <v>1816</v>
      </c>
      <c r="I104" s="326" t="s">
        <v>1817</v>
      </c>
      <c r="J104" s="357" t="s">
        <v>1407</v>
      </c>
      <c r="K104" s="322" t="s">
        <v>247</v>
      </c>
      <c r="L104" s="358" t="s">
        <v>1407</v>
      </c>
      <c r="M104" s="325" t="s">
        <v>1820</v>
      </c>
      <c r="N104" s="360"/>
      <c r="O104" s="326"/>
      <c r="P104" s="327"/>
      <c r="Q104" s="336"/>
      <c r="R104" s="203"/>
      <c r="S104" s="203"/>
      <c r="T104" s="13" t="str">
        <f t="shared" si="5"/>
        <v>9建物及びその敷地の概要-構造-構造 2</v>
      </c>
      <c r="V104" s="202"/>
      <c r="W104" s="202"/>
      <c r="X104" s="202"/>
    </row>
    <row r="105" spans="2:24">
      <c r="B105" s="5"/>
      <c r="C105" s="5"/>
      <c r="D105" s="497">
        <f>'1_入力シート【基本情報】'!$AB$129</f>
        <v>0</v>
      </c>
      <c r="E105" s="568">
        <f>'1_入力シート【基本情報】'!$AB$129</f>
        <v>0</v>
      </c>
      <c r="F105" s="568" t="str">
        <f t="shared" si="4"/>
        <v>0</v>
      </c>
      <c r="G105" s="567"/>
      <c r="H105" s="565" t="s">
        <v>1816</v>
      </c>
      <c r="I105" s="326" t="s">
        <v>1817</v>
      </c>
      <c r="J105" s="357" t="s">
        <v>1407</v>
      </c>
      <c r="K105" s="322" t="s">
        <v>247</v>
      </c>
      <c r="L105" s="358" t="s">
        <v>1407</v>
      </c>
      <c r="M105" s="325" t="s">
        <v>1822</v>
      </c>
      <c r="N105" s="360"/>
      <c r="O105" s="326"/>
      <c r="P105" s="327"/>
      <c r="Q105" s="336"/>
      <c r="R105" s="203"/>
      <c r="S105" s="203"/>
      <c r="T105" s="13" t="str">
        <f t="shared" si="5"/>
        <v>9建物及びその敷地の概要-構造-構造 3</v>
      </c>
      <c r="V105" s="202"/>
      <c r="W105" s="202"/>
      <c r="X105" s="202"/>
    </row>
    <row r="106" spans="2:24">
      <c r="B106" s="5"/>
      <c r="C106" s="5"/>
      <c r="D106" s="497">
        <f>'1_入力シート【基本情報】'!$AB$130</f>
        <v>0</v>
      </c>
      <c r="E106" s="568">
        <f>'1_入力シート【基本情報】'!$AB$130</f>
        <v>0</v>
      </c>
      <c r="F106" s="568" t="str">
        <f t="shared" si="4"/>
        <v>0</v>
      </c>
      <c r="G106" s="567"/>
      <c r="H106" s="565" t="s">
        <v>1816</v>
      </c>
      <c r="I106" s="326" t="s">
        <v>1817</v>
      </c>
      <c r="J106" s="357" t="s">
        <v>1407</v>
      </c>
      <c r="K106" s="322" t="s">
        <v>247</v>
      </c>
      <c r="L106" s="358" t="s">
        <v>1407</v>
      </c>
      <c r="M106" s="325" t="s">
        <v>144</v>
      </c>
      <c r="N106" s="360"/>
      <c r="O106" s="326"/>
      <c r="P106" s="327"/>
      <c r="Q106" s="336"/>
      <c r="R106" s="203"/>
      <c r="S106" s="203"/>
      <c r="T106" s="13" t="str">
        <f t="shared" si="5"/>
        <v>9建物及びその敷地の概要-構造-その他</v>
      </c>
      <c r="V106" s="202"/>
      <c r="W106" s="202"/>
      <c r="X106" s="202"/>
    </row>
    <row r="107" spans="2:24">
      <c r="B107" s="5"/>
      <c r="C107" s="5"/>
      <c r="D107" s="492">
        <f>'1_入力シート【基本情報】'!$AB$131</f>
        <v>0</v>
      </c>
      <c r="E107" s="564">
        <f>'1_入力シート【基本情報】'!$AB$131</f>
        <v>0</v>
      </c>
      <c r="F107" s="564" t="str">
        <f t="shared" si="4"/>
        <v>0</v>
      </c>
      <c r="G107" s="567"/>
      <c r="H107" s="565" t="s">
        <v>1816</v>
      </c>
      <c r="I107" s="326" t="s">
        <v>1817</v>
      </c>
      <c r="J107" s="357" t="s">
        <v>1407</v>
      </c>
      <c r="K107" s="322" t="s">
        <v>248</v>
      </c>
      <c r="L107" s="358" t="s">
        <v>1407</v>
      </c>
      <c r="M107" s="329" t="s">
        <v>283</v>
      </c>
      <c r="N107" s="359" t="s">
        <v>1407</v>
      </c>
      <c r="O107" s="334" t="s">
        <v>17</v>
      </c>
      <c r="P107" s="327"/>
      <c r="Q107" s="336"/>
      <c r="R107" s="203"/>
      <c r="S107" s="203"/>
      <c r="T107" s="13" t="str">
        <f t="shared" si="5"/>
        <v>9建物及びその敷地の概要-階数-地上-階</v>
      </c>
      <c r="V107" s="202"/>
      <c r="W107" s="202"/>
      <c r="X107" s="202"/>
    </row>
    <row r="108" spans="2:24">
      <c r="B108" s="5"/>
      <c r="C108" s="5"/>
      <c r="D108" s="492">
        <f>'1_入力シート【基本情報】'!$AB$132</f>
        <v>0</v>
      </c>
      <c r="E108" s="564">
        <f>'1_入力シート【基本情報】'!$AB$132</f>
        <v>0</v>
      </c>
      <c r="F108" s="564" t="str">
        <f t="shared" si="4"/>
        <v>0</v>
      </c>
      <c r="G108" s="567"/>
      <c r="H108" s="565" t="s">
        <v>1816</v>
      </c>
      <c r="I108" s="326" t="s">
        <v>1817</v>
      </c>
      <c r="J108" s="357" t="s">
        <v>1407</v>
      </c>
      <c r="K108" s="322" t="s">
        <v>1826</v>
      </c>
      <c r="L108" s="358" t="s">
        <v>1407</v>
      </c>
      <c r="M108" s="329" t="s">
        <v>284</v>
      </c>
      <c r="N108" s="359" t="s">
        <v>1407</v>
      </c>
      <c r="O108" s="334" t="s">
        <v>17</v>
      </c>
      <c r="P108" s="327"/>
      <c r="Q108" s="336"/>
      <c r="R108" s="203"/>
      <c r="S108" s="203"/>
      <c r="T108" s="13" t="str">
        <f t="shared" si="5"/>
        <v>9建物及びその敷地の概要-階数-地下-階</v>
      </c>
      <c r="V108" s="202"/>
      <c r="W108" s="202"/>
      <c r="X108" s="202"/>
    </row>
    <row r="109" spans="2:24">
      <c r="B109" s="4"/>
      <c r="C109" s="4"/>
      <c r="D109" s="107">
        <f>'1_入力シート【基本情報】'!$AB$133</f>
        <v>0</v>
      </c>
      <c r="E109" s="564">
        <f>'1_入力シート【基本情報】'!$AB$133</f>
        <v>0</v>
      </c>
      <c r="F109" s="564" t="str">
        <f t="shared" si="4"/>
        <v>0</v>
      </c>
      <c r="G109" s="24"/>
      <c r="H109" s="565" t="s">
        <v>1816</v>
      </c>
      <c r="I109" s="326" t="s">
        <v>1817</v>
      </c>
      <c r="J109" s="357" t="s">
        <v>1407</v>
      </c>
      <c r="K109" s="322" t="s">
        <v>249</v>
      </c>
      <c r="L109" s="358"/>
      <c r="M109" s="325"/>
      <c r="N109" s="359" t="s">
        <v>1407</v>
      </c>
      <c r="O109" s="326" t="s">
        <v>28</v>
      </c>
      <c r="P109" s="327"/>
      <c r="Q109" s="336"/>
      <c r="R109" s="203"/>
      <c r="S109" s="203"/>
      <c r="T109" s="13" t="str">
        <f t="shared" si="5"/>
        <v>9建物及びその敷地の概要-敷地面積-㎡</v>
      </c>
      <c r="V109" s="202"/>
      <c r="W109" s="202"/>
      <c r="X109" s="202"/>
    </row>
    <row r="110" spans="2:24">
      <c r="B110" s="4"/>
      <c r="C110" s="4"/>
      <c r="D110" s="107">
        <f>'1_入力シート【基本情報】'!$AB$134</f>
        <v>0</v>
      </c>
      <c r="E110" s="564">
        <f>'1_入力シート【基本情報】'!$AB$134</f>
        <v>0</v>
      </c>
      <c r="F110" s="564" t="str">
        <f t="shared" si="4"/>
        <v>0</v>
      </c>
      <c r="G110" s="24"/>
      <c r="H110" s="565" t="s">
        <v>1816</v>
      </c>
      <c r="I110" s="326" t="s">
        <v>1817</v>
      </c>
      <c r="J110" s="357" t="s">
        <v>1407</v>
      </c>
      <c r="K110" s="322" t="s">
        <v>1829</v>
      </c>
      <c r="L110" s="358"/>
      <c r="M110" s="325"/>
      <c r="N110" s="359" t="s">
        <v>1407</v>
      </c>
      <c r="O110" s="326" t="s">
        <v>28</v>
      </c>
      <c r="P110" s="327"/>
      <c r="Q110" s="336"/>
      <c r="R110" s="203"/>
      <c r="S110" s="203"/>
      <c r="T110" s="13" t="str">
        <f t="shared" si="5"/>
        <v>9建物及びその敷地の概要-建築面積-㎡</v>
      </c>
      <c r="V110" s="202"/>
      <c r="W110" s="202"/>
      <c r="X110" s="202"/>
    </row>
    <row r="111" spans="2:24">
      <c r="B111" s="5"/>
      <c r="C111" s="5"/>
      <c r="D111" s="492">
        <f>'1_入力シート【基本情報】'!$AB$140</f>
        <v>0</v>
      </c>
      <c r="E111" s="564">
        <f>'1_入力シート【基本情報】'!$AB$140</f>
        <v>0</v>
      </c>
      <c r="F111" s="564" t="str">
        <f t="shared" si="4"/>
        <v>0</v>
      </c>
      <c r="G111" s="567"/>
      <c r="H111" s="565" t="s">
        <v>1831</v>
      </c>
      <c r="I111" s="326" t="s">
        <v>1832</v>
      </c>
      <c r="J111" s="357" t="s">
        <v>1407</v>
      </c>
      <c r="K111" s="322" t="s">
        <v>285</v>
      </c>
      <c r="L111" s="358"/>
      <c r="M111" s="325"/>
      <c r="N111" s="360"/>
      <c r="O111" s="333"/>
      <c r="P111" s="327"/>
      <c r="Q111" s="336"/>
      <c r="R111" s="203"/>
      <c r="S111" s="203"/>
      <c r="T111" s="13" t="str">
        <f t="shared" si="5"/>
        <v>10性能検証法等の適用-耐火性能検証法</v>
      </c>
      <c r="V111" s="202"/>
      <c r="W111" s="202"/>
      <c r="X111" s="202"/>
    </row>
    <row r="112" spans="2:24">
      <c r="B112" s="5"/>
      <c r="C112" s="5"/>
      <c r="D112" s="497">
        <f>'1_入力シート【基本情報】'!$AB$141</f>
        <v>0</v>
      </c>
      <c r="E112" s="568">
        <f>'1_入力シート【基本情報】'!$AB$141</f>
        <v>0</v>
      </c>
      <c r="F112" s="568" t="str">
        <f t="shared" si="4"/>
        <v>0</v>
      </c>
      <c r="G112" s="567"/>
      <c r="H112" s="565" t="s">
        <v>1831</v>
      </c>
      <c r="I112" s="326" t="s">
        <v>1832</v>
      </c>
      <c r="J112" s="357" t="s">
        <v>1407</v>
      </c>
      <c r="K112" s="322" t="s">
        <v>286</v>
      </c>
      <c r="L112" s="358"/>
      <c r="M112" s="325"/>
      <c r="N112" s="360"/>
      <c r="O112" s="333"/>
      <c r="P112" s="327"/>
      <c r="Q112" s="336"/>
      <c r="R112" s="203"/>
      <c r="S112" s="203"/>
      <c r="T112" s="13" t="str">
        <f t="shared" si="5"/>
        <v>10性能検証法等の適用-防火区画検証法</v>
      </c>
      <c r="V112" s="202"/>
      <c r="W112" s="202"/>
      <c r="X112" s="202"/>
    </row>
    <row r="113" spans="2:24">
      <c r="B113" s="5"/>
      <c r="C113" s="5"/>
      <c r="D113" s="492">
        <f>'1_入力シート【基本情報】'!$AB$142</f>
        <v>0</v>
      </c>
      <c r="E113" s="564">
        <f>'1_入力シート【基本情報】'!$AB$142</f>
        <v>0</v>
      </c>
      <c r="F113" s="564" t="str">
        <f t="shared" si="4"/>
        <v>0</v>
      </c>
      <c r="G113" s="567"/>
      <c r="H113" s="565" t="s">
        <v>1831</v>
      </c>
      <c r="I113" s="326" t="s">
        <v>1832</v>
      </c>
      <c r="J113" s="357" t="s">
        <v>1407</v>
      </c>
      <c r="K113" s="322" t="s">
        <v>287</v>
      </c>
      <c r="L113" s="358"/>
      <c r="M113" s="329"/>
      <c r="N113" s="360"/>
      <c r="O113" s="334"/>
      <c r="P113" s="327"/>
      <c r="Q113" s="336"/>
      <c r="R113" s="203"/>
      <c r="S113" s="203"/>
      <c r="T113" s="13" t="str">
        <f t="shared" si="5"/>
        <v>10性能検証法等の適用-区画避難安全検証法</v>
      </c>
      <c r="V113" s="202"/>
      <c r="W113" s="202"/>
      <c r="X113" s="202"/>
    </row>
    <row r="114" spans="2:24">
      <c r="B114" s="5"/>
      <c r="C114" s="5"/>
      <c r="D114" s="492">
        <f>'1_入力シート【基本情報】'!$AF$142</f>
        <v>0</v>
      </c>
      <c r="E114" s="564">
        <f>'1_入力シート【基本情報】'!$AF$142</f>
        <v>0</v>
      </c>
      <c r="F114" s="564" t="str">
        <f t="shared" si="4"/>
        <v>0</v>
      </c>
      <c r="G114" s="567"/>
      <c r="H114" s="565" t="s">
        <v>1831</v>
      </c>
      <c r="I114" s="326" t="s">
        <v>1832</v>
      </c>
      <c r="J114" s="357" t="s">
        <v>1407</v>
      </c>
      <c r="K114" s="322" t="s">
        <v>287</v>
      </c>
      <c r="L114" s="358" t="s">
        <v>1407</v>
      </c>
      <c r="M114" s="333" t="s">
        <v>17</v>
      </c>
      <c r="N114" s="362"/>
      <c r="O114" s="334"/>
      <c r="P114" s="332"/>
      <c r="Q114" s="363"/>
      <c r="R114" s="364"/>
      <c r="S114" s="364"/>
      <c r="T114" s="13" t="str">
        <f t="shared" si="5"/>
        <v>10性能検証法等の適用-区画避難安全検証法-階</v>
      </c>
      <c r="V114" s="349"/>
      <c r="W114" s="349"/>
      <c r="X114" s="202"/>
    </row>
    <row r="115" spans="2:24">
      <c r="B115" s="4"/>
      <c r="C115" s="4"/>
      <c r="D115" s="107">
        <f>'1_入力シート【基本情報】'!$AB$143</f>
        <v>0</v>
      </c>
      <c r="E115" s="564">
        <f>'1_入力シート【基本情報】'!$AB$143</f>
        <v>0</v>
      </c>
      <c r="F115" s="564" t="str">
        <f t="shared" si="4"/>
        <v>0</v>
      </c>
      <c r="G115" s="24"/>
      <c r="H115" s="565" t="s">
        <v>1831</v>
      </c>
      <c r="I115" s="326" t="s">
        <v>1832</v>
      </c>
      <c r="J115" s="357" t="s">
        <v>1407</v>
      </c>
      <c r="K115" s="322" t="s">
        <v>288</v>
      </c>
      <c r="L115" s="358"/>
      <c r="M115" s="325"/>
      <c r="N115" s="358"/>
      <c r="O115" s="326"/>
      <c r="P115" s="363"/>
      <c r="Q115" s="363"/>
      <c r="R115" s="365"/>
      <c r="S115" s="365"/>
      <c r="T115" s="13" t="str">
        <f t="shared" si="5"/>
        <v>10性能検証法等の適用-階避難安全検証法</v>
      </c>
      <c r="V115" s="366"/>
      <c r="W115" s="366"/>
      <c r="X115" s="202"/>
    </row>
    <row r="116" spans="2:24">
      <c r="B116" s="4"/>
      <c r="C116" s="4"/>
      <c r="D116" s="107">
        <f>'1_入力シート【基本情報】'!$AF$143</f>
        <v>0</v>
      </c>
      <c r="E116" s="564">
        <f>'1_入力シート【基本情報】'!$AF$143</f>
        <v>0</v>
      </c>
      <c r="F116" s="564" t="str">
        <f t="shared" si="4"/>
        <v>0</v>
      </c>
      <c r="G116" s="24"/>
      <c r="H116" s="565" t="s">
        <v>1831</v>
      </c>
      <c r="I116" s="326" t="s">
        <v>1832</v>
      </c>
      <c r="J116" s="357" t="s">
        <v>1407</v>
      </c>
      <c r="K116" s="322" t="s">
        <v>288</v>
      </c>
      <c r="L116" s="358" t="s">
        <v>1407</v>
      </c>
      <c r="M116" s="325" t="s">
        <v>17</v>
      </c>
      <c r="N116" s="358"/>
      <c r="O116" s="326"/>
      <c r="P116" s="327"/>
      <c r="Q116" s="336"/>
      <c r="R116" s="203"/>
      <c r="S116" s="203"/>
      <c r="T116" s="13" t="str">
        <f t="shared" si="5"/>
        <v>10性能検証法等の適用-階避難安全検証法-階</v>
      </c>
      <c r="V116" s="202"/>
      <c r="W116" s="202"/>
      <c r="X116" s="202"/>
    </row>
    <row r="117" spans="2:24">
      <c r="B117" s="4"/>
      <c r="C117" s="4"/>
      <c r="D117" s="107">
        <f>'1_入力シート【基本情報】'!$AB$144</f>
        <v>0</v>
      </c>
      <c r="E117" s="564">
        <f>'1_入力シート【基本情報】'!$AB$144</f>
        <v>0</v>
      </c>
      <c r="F117" s="564" t="str">
        <f t="shared" si="4"/>
        <v>0</v>
      </c>
      <c r="G117" s="24"/>
      <c r="H117" s="565" t="s">
        <v>1831</v>
      </c>
      <c r="I117" s="326" t="s">
        <v>1832</v>
      </c>
      <c r="J117" s="357" t="s">
        <v>1407</v>
      </c>
      <c r="K117" s="322" t="s">
        <v>1839</v>
      </c>
      <c r="L117" s="358"/>
      <c r="M117" s="333"/>
      <c r="N117" s="303"/>
      <c r="O117" s="334"/>
      <c r="P117" s="327"/>
      <c r="Q117" s="336"/>
      <c r="R117" s="203"/>
      <c r="S117" s="203"/>
      <c r="T117" s="13" t="str">
        <f t="shared" si="5"/>
        <v>10性能検証法等の適用-全館避難安全検証法</v>
      </c>
      <c r="V117" s="202"/>
      <c r="W117" s="202"/>
      <c r="X117" s="202"/>
    </row>
    <row r="118" spans="2:24">
      <c r="B118" s="4"/>
      <c r="C118" s="4"/>
      <c r="D118" s="107">
        <f>'1_入力シート【基本情報】'!$AB$145</f>
        <v>0</v>
      </c>
      <c r="E118" s="564">
        <f>'1_入力シート【基本情報】'!$AB$145</f>
        <v>0</v>
      </c>
      <c r="F118" s="564" t="str">
        <f t="shared" si="4"/>
        <v>0</v>
      </c>
      <c r="G118" s="24"/>
      <c r="H118" s="565" t="s">
        <v>1831</v>
      </c>
      <c r="I118" s="326" t="s">
        <v>1832</v>
      </c>
      <c r="J118" s="357" t="s">
        <v>1407</v>
      </c>
      <c r="K118" s="322" t="s">
        <v>144</v>
      </c>
      <c r="L118" s="358"/>
      <c r="M118" s="325"/>
      <c r="N118" s="358"/>
      <c r="O118" s="326"/>
      <c r="P118" s="327"/>
      <c r="Q118" s="336"/>
      <c r="R118" s="203"/>
      <c r="S118" s="203"/>
      <c r="T118" s="13" t="str">
        <f t="shared" si="5"/>
        <v>10性能検証法等の適用-その他</v>
      </c>
      <c r="V118" s="202"/>
      <c r="W118" s="202"/>
      <c r="X118" s="202"/>
    </row>
    <row r="119" spans="2:24" ht="19">
      <c r="B119" s="493"/>
      <c r="C119" s="493"/>
      <c r="D119" s="494">
        <f>'1_入力シート【基本情報】'!$AF$145</f>
        <v>0</v>
      </c>
      <c r="E119" s="564">
        <f>'1_入力シート【基本情報】'!$AF$145</f>
        <v>0</v>
      </c>
      <c r="F119" s="564" t="str">
        <f t="shared" si="4"/>
        <v>0</v>
      </c>
      <c r="G119" s="566"/>
      <c r="H119" s="565" t="s">
        <v>1831</v>
      </c>
      <c r="I119" s="326" t="s">
        <v>1832</v>
      </c>
      <c r="J119" s="357" t="s">
        <v>1407</v>
      </c>
      <c r="K119" s="322" t="s">
        <v>144</v>
      </c>
      <c r="L119" s="358" t="s">
        <v>2457</v>
      </c>
      <c r="M119" s="325" t="s">
        <v>2458</v>
      </c>
      <c r="N119" s="358"/>
      <c r="O119" s="326"/>
      <c r="P119" s="327"/>
      <c r="Q119" s="336"/>
      <c r="R119" s="203"/>
      <c r="S119" s="203"/>
      <c r="T119" s="13" t="str">
        <f t="shared" si="5"/>
        <v>10性能検証法等の適用-その他-詳細</v>
      </c>
      <c r="V119" s="202"/>
      <c r="W119" s="202"/>
      <c r="X119" s="202"/>
    </row>
    <row r="120" spans="2:24">
      <c r="B120" s="5"/>
      <c r="C120" s="5"/>
      <c r="D120" s="492">
        <f>'1_入力シート【基本情報】'!$AB$151</f>
        <v>0</v>
      </c>
      <c r="E120" s="564">
        <f>'1_入力シート【基本情報】'!$AB$151</f>
        <v>0</v>
      </c>
      <c r="F120" s="564" t="str">
        <f t="shared" si="4"/>
        <v>0</v>
      </c>
      <c r="G120" s="567"/>
      <c r="H120" s="565" t="s">
        <v>1842</v>
      </c>
      <c r="I120" s="326" t="s">
        <v>1843</v>
      </c>
      <c r="J120" s="357" t="s">
        <v>1407</v>
      </c>
      <c r="K120" s="322" t="s">
        <v>744</v>
      </c>
      <c r="L120" s="358" t="s">
        <v>1407</v>
      </c>
      <c r="M120" s="335" t="s">
        <v>1174</v>
      </c>
      <c r="N120" s="367" t="s">
        <v>1411</v>
      </c>
      <c r="O120" s="334">
        <v>1</v>
      </c>
      <c r="P120" s="327"/>
      <c r="Q120" s="336"/>
      <c r="R120" s="203"/>
      <c r="S120" s="203"/>
      <c r="T120" s="13" t="str">
        <f t="shared" si="5"/>
        <v>11増築、改築、用途変更等の経過-年月日-元号_1</v>
      </c>
      <c r="V120" s="202"/>
      <c r="W120" s="202"/>
      <c r="X120" s="202"/>
    </row>
    <row r="121" spans="2:24" ht="19">
      <c r="B121" s="5"/>
      <c r="C121" s="493" t="str">
        <f t="shared" ref="C121:E123" si="6">ASC($D121)</f>
        <v>0</v>
      </c>
      <c r="D121" s="492">
        <f>'1_入力シート【基本情報】'!$AE$151</f>
        <v>0</v>
      </c>
      <c r="E121" s="7" t="str">
        <f t="shared" si="6"/>
        <v>0</v>
      </c>
      <c r="F121" s="7" t="str">
        <f t="shared" si="4"/>
        <v>0</v>
      </c>
      <c r="G121" s="567"/>
      <c r="H121" s="565" t="s">
        <v>1842</v>
      </c>
      <c r="I121" s="326" t="s">
        <v>1843</v>
      </c>
      <c r="J121" s="357" t="s">
        <v>1407</v>
      </c>
      <c r="K121" s="322" t="s">
        <v>744</v>
      </c>
      <c r="L121" s="358" t="s">
        <v>1407</v>
      </c>
      <c r="M121" s="335" t="s">
        <v>12</v>
      </c>
      <c r="N121" s="367"/>
      <c r="O121" s="334">
        <v>1</v>
      </c>
      <c r="P121" s="327"/>
      <c r="Q121" s="336"/>
      <c r="R121" s="203"/>
      <c r="S121" s="203"/>
      <c r="T121" s="13" t="str">
        <f t="shared" si="5"/>
        <v>11増築、改築、用途変更等の経過-年月日-年1</v>
      </c>
      <c r="V121" s="202"/>
      <c r="W121" s="202"/>
      <c r="X121" s="202"/>
    </row>
    <row r="122" spans="2:24" ht="19">
      <c r="B122" s="5"/>
      <c r="C122" s="493" t="str">
        <f t="shared" si="6"/>
        <v>0</v>
      </c>
      <c r="D122" s="492">
        <f>'1_入力シート【基本情報】'!$AJ$151</f>
        <v>0</v>
      </c>
      <c r="E122" s="7" t="str">
        <f t="shared" si="6"/>
        <v>0</v>
      </c>
      <c r="F122" s="7" t="str">
        <f t="shared" si="4"/>
        <v>0</v>
      </c>
      <c r="G122" s="567"/>
      <c r="H122" s="565" t="s">
        <v>1842</v>
      </c>
      <c r="I122" s="326" t="s">
        <v>1843</v>
      </c>
      <c r="J122" s="357" t="s">
        <v>1407</v>
      </c>
      <c r="K122" s="322" t="s">
        <v>744</v>
      </c>
      <c r="L122" s="358" t="s">
        <v>1407</v>
      </c>
      <c r="M122" s="335" t="s">
        <v>383</v>
      </c>
      <c r="N122" s="367"/>
      <c r="O122" s="334">
        <v>1</v>
      </c>
      <c r="P122" s="327"/>
      <c r="Q122" s="336"/>
      <c r="R122" s="203"/>
      <c r="S122" s="203"/>
      <c r="T122" s="13" t="str">
        <f t="shared" si="5"/>
        <v>11増築、改築、用途変更等の経過-年月日-月1</v>
      </c>
      <c r="V122" s="202"/>
      <c r="W122" s="202"/>
      <c r="X122" s="202"/>
    </row>
    <row r="123" spans="2:24" ht="19">
      <c r="B123" s="4"/>
      <c r="C123" s="493" t="str">
        <f t="shared" si="6"/>
        <v>0</v>
      </c>
      <c r="D123" s="107">
        <f>'1_入力シート【基本情報】'!$AO$151</f>
        <v>0</v>
      </c>
      <c r="E123" s="7" t="str">
        <f t="shared" si="6"/>
        <v>0</v>
      </c>
      <c r="F123" s="7" t="str">
        <f t="shared" si="4"/>
        <v>0</v>
      </c>
      <c r="G123" s="24"/>
      <c r="H123" s="565" t="s">
        <v>1842</v>
      </c>
      <c r="I123" s="326" t="s">
        <v>1843</v>
      </c>
      <c r="J123" s="357" t="s">
        <v>1407</v>
      </c>
      <c r="K123" s="322" t="s">
        <v>744</v>
      </c>
      <c r="L123" s="358" t="s">
        <v>1407</v>
      </c>
      <c r="M123" s="329" t="s">
        <v>399</v>
      </c>
      <c r="N123" s="359"/>
      <c r="O123" s="334">
        <v>1</v>
      </c>
      <c r="P123" s="327"/>
      <c r="Q123" s="336"/>
      <c r="R123" s="203"/>
      <c r="S123" s="203"/>
      <c r="T123" s="13" t="str">
        <f t="shared" si="5"/>
        <v>11増築、改築、用途変更等の経過-年月日-日1</v>
      </c>
      <c r="V123" s="202"/>
      <c r="W123" s="202"/>
      <c r="X123" s="202"/>
    </row>
    <row r="124" spans="2:24">
      <c r="B124" s="5"/>
      <c r="C124" s="5"/>
      <c r="D124" s="492">
        <f>'1_入力シート【基本情報】'!$AB$152</f>
        <v>0</v>
      </c>
      <c r="E124" s="564">
        <f>'1_入力シート【基本情報】'!$AB$152</f>
        <v>0</v>
      </c>
      <c r="F124" s="564" t="str">
        <f t="shared" si="4"/>
        <v>0</v>
      </c>
      <c r="G124" s="567"/>
      <c r="H124" s="565" t="s">
        <v>1842</v>
      </c>
      <c r="I124" s="326" t="s">
        <v>1843</v>
      </c>
      <c r="J124" s="357" t="s">
        <v>1407</v>
      </c>
      <c r="K124" s="322" t="s">
        <v>1089</v>
      </c>
      <c r="L124" s="358"/>
      <c r="M124" s="335">
        <v>1</v>
      </c>
      <c r="N124" s="359"/>
      <c r="O124" s="334"/>
      <c r="P124" s="327"/>
      <c r="Q124" s="336"/>
      <c r="R124" s="203"/>
      <c r="S124" s="203"/>
      <c r="T124" s="13" t="str">
        <f t="shared" si="5"/>
        <v>11増築、改築、用途変更等の経過-工事種別1</v>
      </c>
      <c r="V124" s="202"/>
      <c r="W124" s="202"/>
      <c r="X124" s="202"/>
    </row>
    <row r="125" spans="2:24">
      <c r="B125" s="5"/>
      <c r="C125" s="5"/>
      <c r="D125" s="492">
        <f>'1_入力シート【基本情報】'!$AB$153</f>
        <v>0</v>
      </c>
      <c r="E125" s="564">
        <f>'1_入力シート【基本情報】'!$AB$153</f>
        <v>0</v>
      </c>
      <c r="F125" s="564" t="str">
        <f t="shared" si="4"/>
        <v>0</v>
      </c>
      <c r="G125" s="567"/>
      <c r="H125" s="565" t="s">
        <v>1842</v>
      </c>
      <c r="I125" s="326" t="s">
        <v>1843</v>
      </c>
      <c r="J125" s="357" t="s">
        <v>1407</v>
      </c>
      <c r="K125" s="322" t="s">
        <v>745</v>
      </c>
      <c r="L125" s="358"/>
      <c r="M125" s="335">
        <v>1</v>
      </c>
      <c r="N125" s="359"/>
      <c r="O125" s="334"/>
      <c r="P125" s="327"/>
      <c r="Q125" s="336"/>
      <c r="R125" s="203"/>
      <c r="S125" s="203"/>
      <c r="T125" s="13" t="str">
        <f t="shared" si="5"/>
        <v>11増築、改築、用途変更等の経過-概要1</v>
      </c>
      <c r="V125" s="202"/>
      <c r="W125" s="202"/>
      <c r="X125" s="202"/>
    </row>
    <row r="126" spans="2:24">
      <c r="B126" s="4"/>
      <c r="C126" s="4"/>
      <c r="D126" s="107">
        <f>'1_入力シート【基本情報】'!$AB$154</f>
        <v>0</v>
      </c>
      <c r="E126" s="564">
        <f>'1_入力シート【基本情報】'!$AB$154</f>
        <v>0</v>
      </c>
      <c r="F126" s="564" t="str">
        <f t="shared" si="4"/>
        <v>0</v>
      </c>
      <c r="G126" s="24"/>
      <c r="H126" s="565" t="s">
        <v>1842</v>
      </c>
      <c r="I126" s="326" t="s">
        <v>1843</v>
      </c>
      <c r="J126" s="357" t="s">
        <v>1407</v>
      </c>
      <c r="K126" s="322" t="s">
        <v>744</v>
      </c>
      <c r="L126" s="358" t="s">
        <v>1407</v>
      </c>
      <c r="M126" s="335" t="s">
        <v>1174</v>
      </c>
      <c r="N126" s="367" t="s">
        <v>1411</v>
      </c>
      <c r="O126" s="334">
        <v>2</v>
      </c>
      <c r="P126" s="327"/>
      <c r="Q126" s="336"/>
      <c r="R126" s="203"/>
      <c r="S126" s="203"/>
      <c r="T126" s="13" t="str">
        <f t="shared" si="5"/>
        <v>11増築、改築、用途変更等の経過-年月日-元号_2</v>
      </c>
      <c r="V126" s="202"/>
      <c r="W126" s="202"/>
      <c r="X126" s="202"/>
    </row>
    <row r="127" spans="2:24" ht="19">
      <c r="B127" s="4"/>
      <c r="C127" s="493" t="str">
        <f t="shared" ref="C127:E129" si="7">ASC($D127)</f>
        <v>0</v>
      </c>
      <c r="D127" s="107">
        <f>'1_入力シート【基本情報】'!$AE$154</f>
        <v>0</v>
      </c>
      <c r="E127" s="7" t="str">
        <f t="shared" si="7"/>
        <v>0</v>
      </c>
      <c r="F127" s="7" t="str">
        <f t="shared" si="4"/>
        <v>0</v>
      </c>
      <c r="G127" s="24"/>
      <c r="H127" s="565" t="s">
        <v>1842</v>
      </c>
      <c r="I127" s="326" t="s">
        <v>1843</v>
      </c>
      <c r="J127" s="357" t="s">
        <v>1407</v>
      </c>
      <c r="K127" s="322" t="s">
        <v>744</v>
      </c>
      <c r="L127" s="358" t="s">
        <v>1407</v>
      </c>
      <c r="M127" s="335" t="s">
        <v>12</v>
      </c>
      <c r="N127" s="367"/>
      <c r="O127" s="334">
        <v>2</v>
      </c>
      <c r="P127" s="327"/>
      <c r="Q127" s="336"/>
      <c r="R127" s="203"/>
      <c r="S127" s="203"/>
      <c r="T127" s="13" t="str">
        <f t="shared" si="5"/>
        <v>11増築、改築、用途変更等の経過-年月日-年2</v>
      </c>
      <c r="V127" s="202"/>
      <c r="W127" s="202"/>
      <c r="X127" s="202"/>
    </row>
    <row r="128" spans="2:24" ht="19">
      <c r="B128" s="4"/>
      <c r="C128" s="493" t="str">
        <f t="shared" si="7"/>
        <v>0</v>
      </c>
      <c r="D128" s="107">
        <f>'1_入力シート【基本情報】'!$AJ$154</f>
        <v>0</v>
      </c>
      <c r="E128" s="7" t="str">
        <f t="shared" si="7"/>
        <v>0</v>
      </c>
      <c r="F128" s="7" t="str">
        <f t="shared" si="4"/>
        <v>0</v>
      </c>
      <c r="G128" s="24"/>
      <c r="H128" s="565" t="s">
        <v>1842</v>
      </c>
      <c r="I128" s="326" t="s">
        <v>1843</v>
      </c>
      <c r="J128" s="357" t="s">
        <v>1407</v>
      </c>
      <c r="K128" s="322" t="s">
        <v>744</v>
      </c>
      <c r="L128" s="358" t="s">
        <v>1407</v>
      </c>
      <c r="M128" s="335" t="s">
        <v>383</v>
      </c>
      <c r="N128" s="367"/>
      <c r="O128" s="334">
        <v>2</v>
      </c>
      <c r="P128" s="327"/>
      <c r="Q128" s="336"/>
      <c r="R128" s="203"/>
      <c r="S128" s="203"/>
      <c r="T128" s="13" t="str">
        <f t="shared" si="5"/>
        <v>11増築、改築、用途変更等の経過-年月日-月2</v>
      </c>
      <c r="V128" s="202"/>
      <c r="W128" s="202"/>
      <c r="X128" s="202"/>
    </row>
    <row r="129" spans="2:24" ht="19">
      <c r="B129" s="4"/>
      <c r="C129" s="493" t="str">
        <f t="shared" si="7"/>
        <v>0</v>
      </c>
      <c r="D129" s="107">
        <f>'1_入力シート【基本情報】'!$AO$154</f>
        <v>0</v>
      </c>
      <c r="E129" s="7" t="str">
        <f t="shared" si="7"/>
        <v>0</v>
      </c>
      <c r="F129" s="7" t="str">
        <f t="shared" si="4"/>
        <v>0</v>
      </c>
      <c r="G129" s="24"/>
      <c r="H129" s="565" t="s">
        <v>1842</v>
      </c>
      <c r="I129" s="326" t="s">
        <v>1843</v>
      </c>
      <c r="J129" s="357" t="s">
        <v>1407</v>
      </c>
      <c r="K129" s="322" t="s">
        <v>744</v>
      </c>
      <c r="L129" s="358" t="s">
        <v>1407</v>
      </c>
      <c r="M129" s="329" t="s">
        <v>399</v>
      </c>
      <c r="N129" s="359"/>
      <c r="O129" s="334">
        <v>2</v>
      </c>
      <c r="P129" s="327"/>
      <c r="Q129" s="336"/>
      <c r="R129" s="203"/>
      <c r="S129" s="203"/>
      <c r="T129" s="13" t="str">
        <f t="shared" si="5"/>
        <v>11増築、改築、用途変更等の経過-年月日-日2</v>
      </c>
      <c r="V129" s="202"/>
      <c r="W129" s="202"/>
      <c r="X129" s="202"/>
    </row>
    <row r="130" spans="2:24">
      <c r="B130" s="4"/>
      <c r="C130" s="4"/>
      <c r="D130" s="107">
        <f>'1_入力シート【基本情報】'!$AB$155</f>
        <v>0</v>
      </c>
      <c r="E130" s="564">
        <f>'1_入力シート【基本情報】'!$AB$155</f>
        <v>0</v>
      </c>
      <c r="F130" s="564" t="str">
        <f t="shared" si="4"/>
        <v>0</v>
      </c>
      <c r="G130" s="24"/>
      <c r="H130" s="565" t="s">
        <v>1842</v>
      </c>
      <c r="I130" s="326" t="s">
        <v>1843</v>
      </c>
      <c r="J130" s="357" t="s">
        <v>1407</v>
      </c>
      <c r="K130" s="322" t="s">
        <v>1089</v>
      </c>
      <c r="L130" s="358"/>
      <c r="M130" s="335">
        <v>2</v>
      </c>
      <c r="N130" s="359"/>
      <c r="O130" s="334"/>
      <c r="P130" s="327"/>
      <c r="Q130" s="336"/>
      <c r="R130" s="203"/>
      <c r="S130" s="203"/>
      <c r="T130" s="13" t="str">
        <f t="shared" si="5"/>
        <v>11増築、改築、用途変更等の経過-工事種別2</v>
      </c>
      <c r="V130" s="202"/>
      <c r="W130" s="202"/>
      <c r="X130" s="202"/>
    </row>
    <row r="131" spans="2:24">
      <c r="B131" s="4"/>
      <c r="C131" s="4"/>
      <c r="D131" s="107">
        <f>'1_入力シート【基本情報】'!$AB$156</f>
        <v>0</v>
      </c>
      <c r="E131" s="564">
        <f>'1_入力シート【基本情報】'!$AB$156</f>
        <v>0</v>
      </c>
      <c r="F131" s="564" t="str">
        <f t="shared" si="4"/>
        <v>0</v>
      </c>
      <c r="G131" s="24"/>
      <c r="H131" s="565" t="s">
        <v>1842</v>
      </c>
      <c r="I131" s="326" t="s">
        <v>1843</v>
      </c>
      <c r="J131" s="357" t="s">
        <v>1407</v>
      </c>
      <c r="K131" s="322" t="s">
        <v>745</v>
      </c>
      <c r="L131" s="358"/>
      <c r="M131" s="335">
        <v>2</v>
      </c>
      <c r="N131" s="359"/>
      <c r="O131" s="334"/>
      <c r="P131" s="327"/>
      <c r="Q131" s="336"/>
      <c r="R131" s="203"/>
      <c r="S131" s="203"/>
      <c r="T131" s="13" t="str">
        <f t="shared" si="5"/>
        <v>11増築、改築、用途変更等の経過-概要2</v>
      </c>
      <c r="V131" s="202"/>
      <c r="W131" s="202"/>
      <c r="X131" s="202"/>
    </row>
    <row r="132" spans="2:24">
      <c r="B132" s="5"/>
      <c r="C132" s="5"/>
      <c r="D132" s="492">
        <f>'1_入力シート【基本情報】'!$AB$157</f>
        <v>0</v>
      </c>
      <c r="E132" s="564">
        <f>'1_入力シート【基本情報】'!$AB$157</f>
        <v>0</v>
      </c>
      <c r="F132" s="564" t="str">
        <f t="shared" si="4"/>
        <v>0</v>
      </c>
      <c r="G132" s="567"/>
      <c r="H132" s="565" t="s">
        <v>1842</v>
      </c>
      <c r="I132" s="326" t="s">
        <v>1843</v>
      </c>
      <c r="J132" s="357" t="s">
        <v>1407</v>
      </c>
      <c r="K132" s="322" t="s">
        <v>744</v>
      </c>
      <c r="L132" s="358" t="s">
        <v>1407</v>
      </c>
      <c r="M132" s="335" t="s">
        <v>1174</v>
      </c>
      <c r="N132" s="367" t="s">
        <v>1411</v>
      </c>
      <c r="O132" s="334">
        <v>3</v>
      </c>
      <c r="P132" s="327"/>
      <c r="Q132" s="336"/>
      <c r="R132" s="203"/>
      <c r="S132" s="203"/>
      <c r="T132" s="13" t="str">
        <f t="shared" si="5"/>
        <v>11増築、改築、用途変更等の経過-年月日-元号_3</v>
      </c>
      <c r="V132" s="202"/>
      <c r="W132" s="202"/>
      <c r="X132" s="202"/>
    </row>
    <row r="133" spans="2:24" ht="19">
      <c r="B133" s="5"/>
      <c r="C133" s="493" t="str">
        <f t="shared" ref="C133:E135" si="8">ASC($D133)</f>
        <v>0</v>
      </c>
      <c r="D133" s="492">
        <f>'1_入力シート【基本情報】'!$AE$157</f>
        <v>0</v>
      </c>
      <c r="E133" s="7" t="str">
        <f t="shared" si="8"/>
        <v>0</v>
      </c>
      <c r="F133" s="7" t="str">
        <f t="shared" ref="F133:F196" si="9">SUBSTITUTE(E133,CHAR(10),"")</f>
        <v>0</v>
      </c>
      <c r="G133" s="567"/>
      <c r="H133" s="565" t="s">
        <v>1842</v>
      </c>
      <c r="I133" s="326" t="s">
        <v>1843</v>
      </c>
      <c r="J133" s="357" t="s">
        <v>1407</v>
      </c>
      <c r="K133" s="322" t="s">
        <v>744</v>
      </c>
      <c r="L133" s="358" t="s">
        <v>1407</v>
      </c>
      <c r="M133" s="335" t="s">
        <v>12</v>
      </c>
      <c r="N133" s="367"/>
      <c r="O133" s="334">
        <v>3</v>
      </c>
      <c r="P133" s="327"/>
      <c r="Q133" s="336"/>
      <c r="R133" s="203"/>
      <c r="S133" s="203"/>
      <c r="T133" s="13" t="str">
        <f t="shared" si="5"/>
        <v>11増築、改築、用途変更等の経過-年月日-年3</v>
      </c>
      <c r="V133" s="202"/>
      <c r="W133" s="202"/>
      <c r="X133" s="202"/>
    </row>
    <row r="134" spans="2:24" ht="19">
      <c r="B134" s="5"/>
      <c r="C134" s="493" t="str">
        <f t="shared" si="8"/>
        <v>0</v>
      </c>
      <c r="D134" s="492">
        <f>'1_入力シート【基本情報】'!$AJ$157</f>
        <v>0</v>
      </c>
      <c r="E134" s="7" t="str">
        <f t="shared" si="8"/>
        <v>0</v>
      </c>
      <c r="F134" s="7" t="str">
        <f t="shared" si="9"/>
        <v>0</v>
      </c>
      <c r="G134" s="567"/>
      <c r="H134" s="565" t="s">
        <v>1842</v>
      </c>
      <c r="I134" s="326" t="s">
        <v>1843</v>
      </c>
      <c r="J134" s="357" t="s">
        <v>1407</v>
      </c>
      <c r="K134" s="322" t="s">
        <v>744</v>
      </c>
      <c r="L134" s="358" t="s">
        <v>1407</v>
      </c>
      <c r="M134" s="335" t="s">
        <v>383</v>
      </c>
      <c r="N134" s="367"/>
      <c r="O134" s="334">
        <v>3</v>
      </c>
      <c r="P134" s="327"/>
      <c r="Q134" s="336"/>
      <c r="R134" s="203"/>
      <c r="S134" s="203"/>
      <c r="T134" s="13" t="str">
        <f t="shared" si="5"/>
        <v>11増築、改築、用途変更等の経過-年月日-月3</v>
      </c>
      <c r="V134" s="202"/>
      <c r="W134" s="202"/>
      <c r="X134" s="202"/>
    </row>
    <row r="135" spans="2:24" ht="19">
      <c r="B135" s="4"/>
      <c r="C135" s="493" t="str">
        <f t="shared" si="8"/>
        <v>0</v>
      </c>
      <c r="D135" s="107">
        <f>'1_入力シート【基本情報】'!$AO$157</f>
        <v>0</v>
      </c>
      <c r="E135" s="7" t="str">
        <f t="shared" si="8"/>
        <v>0</v>
      </c>
      <c r="F135" s="7" t="str">
        <f t="shared" si="9"/>
        <v>0</v>
      </c>
      <c r="G135" s="24"/>
      <c r="H135" s="565" t="s">
        <v>1842</v>
      </c>
      <c r="I135" s="326" t="s">
        <v>1843</v>
      </c>
      <c r="J135" s="357" t="s">
        <v>1407</v>
      </c>
      <c r="K135" s="322" t="s">
        <v>744</v>
      </c>
      <c r="L135" s="358" t="s">
        <v>1407</v>
      </c>
      <c r="M135" s="329" t="s">
        <v>399</v>
      </c>
      <c r="N135" s="359"/>
      <c r="O135" s="334">
        <v>3</v>
      </c>
      <c r="P135" s="327"/>
      <c r="Q135" s="336"/>
      <c r="R135" s="203"/>
      <c r="S135" s="203"/>
      <c r="T135" s="13" t="str">
        <f t="shared" si="5"/>
        <v>11増築、改築、用途変更等の経過-年月日-日3</v>
      </c>
      <c r="V135" s="202"/>
      <c r="W135" s="202"/>
      <c r="X135" s="202"/>
    </row>
    <row r="136" spans="2:24">
      <c r="B136" s="5"/>
      <c r="C136" s="5"/>
      <c r="D136" s="501">
        <f>'1_入力シート【基本情報】'!$AB$158</f>
        <v>0</v>
      </c>
      <c r="E136" s="573">
        <f>'1_入力シート【基本情報】'!$AB$158</f>
        <v>0</v>
      </c>
      <c r="F136" s="573" t="str">
        <f t="shared" si="9"/>
        <v>0</v>
      </c>
      <c r="G136" s="567"/>
      <c r="H136" s="565" t="s">
        <v>1842</v>
      </c>
      <c r="I136" s="326" t="s">
        <v>1843</v>
      </c>
      <c r="J136" s="357" t="s">
        <v>1407</v>
      </c>
      <c r="K136" s="322" t="s">
        <v>1089</v>
      </c>
      <c r="L136" s="358"/>
      <c r="M136" s="335">
        <v>3</v>
      </c>
      <c r="N136" s="359"/>
      <c r="O136" s="334"/>
      <c r="P136" s="327"/>
      <c r="Q136" s="336"/>
      <c r="R136" s="203"/>
      <c r="S136" s="203"/>
      <c r="T136" s="13" t="str">
        <f t="shared" si="5"/>
        <v>11増築、改築、用途変更等の経過-工事種別3</v>
      </c>
      <c r="V136" s="202"/>
      <c r="W136" s="202"/>
      <c r="X136" s="202"/>
    </row>
    <row r="137" spans="2:24">
      <c r="B137" s="5"/>
      <c r="C137" s="5"/>
      <c r="D137" s="501">
        <f>'1_入力シート【基本情報】'!$AB$159</f>
        <v>0</v>
      </c>
      <c r="E137" s="573">
        <f>'1_入力シート【基本情報】'!$AB$159</f>
        <v>0</v>
      </c>
      <c r="F137" s="573" t="str">
        <f t="shared" si="9"/>
        <v>0</v>
      </c>
      <c r="G137" s="567"/>
      <c r="H137" s="565" t="s">
        <v>1842</v>
      </c>
      <c r="I137" s="326" t="s">
        <v>1843</v>
      </c>
      <c r="J137" s="357" t="s">
        <v>1407</v>
      </c>
      <c r="K137" s="322" t="s">
        <v>745</v>
      </c>
      <c r="L137" s="358"/>
      <c r="M137" s="335">
        <v>3</v>
      </c>
      <c r="N137" s="359"/>
      <c r="O137" s="334"/>
      <c r="P137" s="327"/>
      <c r="Q137" s="336"/>
      <c r="R137" s="203"/>
      <c r="S137" s="203"/>
      <c r="T137" s="13" t="str">
        <f t="shared" si="5"/>
        <v>11増築、改築、用途変更等の経過-概要3</v>
      </c>
      <c r="V137" s="202"/>
      <c r="W137" s="202"/>
      <c r="X137" s="202"/>
    </row>
    <row r="138" spans="2:24">
      <c r="B138" s="5"/>
      <c r="C138" s="5"/>
      <c r="D138" s="501">
        <f>'1_入力シート【基本情報】'!$AB$160</f>
        <v>0</v>
      </c>
      <c r="E138" s="573">
        <f>'1_入力シート【基本情報】'!$AB$160</f>
        <v>0</v>
      </c>
      <c r="F138" s="573" t="str">
        <f t="shared" si="9"/>
        <v>0</v>
      </c>
      <c r="G138" s="567"/>
      <c r="H138" s="565" t="s">
        <v>1842</v>
      </c>
      <c r="I138" s="326" t="s">
        <v>1843</v>
      </c>
      <c r="J138" s="357" t="s">
        <v>1407</v>
      </c>
      <c r="K138" s="322" t="s">
        <v>744</v>
      </c>
      <c r="L138" s="358" t="s">
        <v>1407</v>
      </c>
      <c r="M138" s="335" t="s">
        <v>1174</v>
      </c>
      <c r="N138" s="367" t="s">
        <v>1411</v>
      </c>
      <c r="O138" s="334">
        <v>4</v>
      </c>
      <c r="P138" s="327"/>
      <c r="Q138" s="336"/>
      <c r="R138" s="203"/>
      <c r="S138" s="203"/>
      <c r="T138" s="13" t="str">
        <f t="shared" si="5"/>
        <v>11増築、改築、用途変更等の経過-年月日-元号_4</v>
      </c>
      <c r="V138" s="202"/>
      <c r="W138" s="202"/>
      <c r="X138" s="202"/>
    </row>
    <row r="139" spans="2:24" ht="19">
      <c r="B139" s="5"/>
      <c r="C139" s="493" t="str">
        <f t="shared" ref="C139:E141" si="10">ASC($D139)</f>
        <v>0</v>
      </c>
      <c r="D139" s="492">
        <f>'1_入力シート【基本情報】'!$AE$160</f>
        <v>0</v>
      </c>
      <c r="E139" s="7" t="str">
        <f t="shared" si="10"/>
        <v>0</v>
      </c>
      <c r="F139" s="7" t="str">
        <f t="shared" si="9"/>
        <v>0</v>
      </c>
      <c r="G139" s="567"/>
      <c r="H139" s="565" t="s">
        <v>1842</v>
      </c>
      <c r="I139" s="326" t="s">
        <v>1843</v>
      </c>
      <c r="J139" s="357" t="s">
        <v>1407</v>
      </c>
      <c r="K139" s="322" t="s">
        <v>744</v>
      </c>
      <c r="L139" s="358" t="s">
        <v>1407</v>
      </c>
      <c r="M139" s="335" t="s">
        <v>12</v>
      </c>
      <c r="N139" s="367"/>
      <c r="O139" s="334">
        <v>4</v>
      </c>
      <c r="P139" s="327"/>
      <c r="Q139" s="336"/>
      <c r="R139" s="203"/>
      <c r="S139" s="203"/>
      <c r="T139" s="13" t="str">
        <f t="shared" ref="T139:T202" si="11">CONCATENATE(H139,I139,J139,K139,L139,M139,N139,O139,P139,Q139)</f>
        <v>11増築、改築、用途変更等の経過-年月日-年4</v>
      </c>
      <c r="V139" s="202"/>
      <c r="W139" s="202"/>
      <c r="X139" s="202"/>
    </row>
    <row r="140" spans="2:24" ht="19">
      <c r="B140" s="4"/>
      <c r="C140" s="493" t="str">
        <f t="shared" si="10"/>
        <v>0</v>
      </c>
      <c r="D140" s="107">
        <f>'1_入力シート【基本情報】'!$AJ$160</f>
        <v>0</v>
      </c>
      <c r="E140" s="7" t="str">
        <f t="shared" si="10"/>
        <v>0</v>
      </c>
      <c r="F140" s="7" t="str">
        <f t="shared" si="9"/>
        <v>0</v>
      </c>
      <c r="G140" s="24"/>
      <c r="H140" s="565" t="s">
        <v>1842</v>
      </c>
      <c r="I140" s="326" t="s">
        <v>1843</v>
      </c>
      <c r="J140" s="357" t="s">
        <v>1407</v>
      </c>
      <c r="K140" s="322" t="s">
        <v>744</v>
      </c>
      <c r="L140" s="358" t="s">
        <v>1407</v>
      </c>
      <c r="M140" s="335" t="s">
        <v>383</v>
      </c>
      <c r="N140" s="367"/>
      <c r="O140" s="334">
        <v>4</v>
      </c>
      <c r="P140" s="327"/>
      <c r="Q140" s="336"/>
      <c r="R140" s="203"/>
      <c r="S140" s="203"/>
      <c r="T140" s="13" t="str">
        <f t="shared" si="11"/>
        <v>11増築、改築、用途変更等の経過-年月日-月4</v>
      </c>
      <c r="V140" s="202"/>
      <c r="W140" s="202"/>
      <c r="X140" s="202"/>
    </row>
    <row r="141" spans="2:24" ht="19">
      <c r="B141" s="4"/>
      <c r="C141" s="493" t="str">
        <f t="shared" si="10"/>
        <v>0</v>
      </c>
      <c r="D141" s="107">
        <f>'1_入力シート【基本情報】'!$AO$160</f>
        <v>0</v>
      </c>
      <c r="E141" s="7" t="str">
        <f t="shared" si="10"/>
        <v>0</v>
      </c>
      <c r="F141" s="7" t="str">
        <f t="shared" si="9"/>
        <v>0</v>
      </c>
      <c r="G141" s="24"/>
      <c r="H141" s="565" t="s">
        <v>1842</v>
      </c>
      <c r="I141" s="326" t="s">
        <v>1843</v>
      </c>
      <c r="J141" s="357" t="s">
        <v>1407</v>
      </c>
      <c r="K141" s="322" t="s">
        <v>744</v>
      </c>
      <c r="L141" s="358" t="s">
        <v>1407</v>
      </c>
      <c r="M141" s="329" t="s">
        <v>399</v>
      </c>
      <c r="N141" s="359"/>
      <c r="O141" s="334">
        <v>4</v>
      </c>
      <c r="P141" s="327"/>
      <c r="Q141" s="336"/>
      <c r="R141" s="203"/>
      <c r="S141" s="203"/>
      <c r="T141" s="13" t="str">
        <f t="shared" si="11"/>
        <v>11増築、改築、用途変更等の経過-年月日-日4</v>
      </c>
      <c r="V141" s="202"/>
      <c r="W141" s="202"/>
      <c r="X141" s="202"/>
    </row>
    <row r="142" spans="2:24">
      <c r="B142" s="4"/>
      <c r="C142" s="4"/>
      <c r="D142" s="107">
        <f>'1_入力シート【基本情報】'!$AB$161</f>
        <v>0</v>
      </c>
      <c r="E142" s="564">
        <f>'1_入力シート【基本情報】'!$AB$161</f>
        <v>0</v>
      </c>
      <c r="F142" s="564" t="str">
        <f t="shared" si="9"/>
        <v>0</v>
      </c>
      <c r="G142" s="24"/>
      <c r="H142" s="565" t="s">
        <v>1842</v>
      </c>
      <c r="I142" s="326" t="s">
        <v>1843</v>
      </c>
      <c r="J142" s="357" t="s">
        <v>1407</v>
      </c>
      <c r="K142" s="322" t="s">
        <v>1089</v>
      </c>
      <c r="L142" s="358"/>
      <c r="M142" s="335">
        <v>4</v>
      </c>
      <c r="N142" s="359"/>
      <c r="O142" s="334"/>
      <c r="P142" s="327"/>
      <c r="Q142" s="336"/>
      <c r="R142" s="203"/>
      <c r="S142" s="203"/>
      <c r="T142" s="13" t="str">
        <f t="shared" si="11"/>
        <v>11増築、改築、用途変更等の経過-工事種別4</v>
      </c>
      <c r="V142" s="202"/>
      <c r="W142" s="202"/>
      <c r="X142" s="202"/>
    </row>
    <row r="143" spans="2:24">
      <c r="B143" s="4"/>
      <c r="C143" s="4"/>
      <c r="D143" s="107">
        <f>'1_入力シート【基本情報】'!$AB$162</f>
        <v>0</v>
      </c>
      <c r="E143" s="564">
        <f>'1_入力シート【基本情報】'!$AB$162</f>
        <v>0</v>
      </c>
      <c r="F143" s="564" t="str">
        <f t="shared" si="9"/>
        <v>0</v>
      </c>
      <c r="G143" s="24"/>
      <c r="H143" s="565" t="s">
        <v>1842</v>
      </c>
      <c r="I143" s="326" t="s">
        <v>1843</v>
      </c>
      <c r="J143" s="357" t="s">
        <v>1407</v>
      </c>
      <c r="K143" s="322" t="s">
        <v>745</v>
      </c>
      <c r="L143" s="358"/>
      <c r="M143" s="335">
        <v>4</v>
      </c>
      <c r="N143" s="359"/>
      <c r="O143" s="334"/>
      <c r="P143" s="327"/>
      <c r="Q143" s="336"/>
      <c r="R143" s="203"/>
      <c r="S143" s="203"/>
      <c r="T143" s="13" t="str">
        <f t="shared" si="11"/>
        <v>11増築、改築、用途変更等の経過-概要4</v>
      </c>
      <c r="V143" s="202"/>
      <c r="W143" s="202"/>
      <c r="X143" s="202"/>
    </row>
    <row r="144" spans="2:24">
      <c r="B144" s="4"/>
      <c r="C144" s="4"/>
      <c r="D144" s="107">
        <f>'1_入力シート【基本情報】'!$AB$169</f>
        <v>0</v>
      </c>
      <c r="E144" s="564">
        <f>'1_入力シート【基本情報】'!$AB$169</f>
        <v>0</v>
      </c>
      <c r="F144" s="564" t="str">
        <f t="shared" si="9"/>
        <v>0</v>
      </c>
      <c r="G144" s="24"/>
      <c r="H144" s="565" t="s">
        <v>1848</v>
      </c>
      <c r="I144" s="334" t="s">
        <v>1849</v>
      </c>
      <c r="J144" s="357" t="s">
        <v>1407</v>
      </c>
      <c r="K144" s="322" t="s">
        <v>1850</v>
      </c>
      <c r="L144" s="358" t="s">
        <v>1407</v>
      </c>
      <c r="M144" s="325" t="s">
        <v>716</v>
      </c>
      <c r="N144" s="358"/>
      <c r="O144" s="326"/>
      <c r="P144" s="327"/>
      <c r="Q144" s="336"/>
      <c r="R144" s="203"/>
      <c r="S144" s="203"/>
      <c r="T144" s="13" t="str">
        <f t="shared" si="11"/>
        <v>12関連図書の整備-直近の確認申請-確認に要した図書</v>
      </c>
      <c r="V144" s="202"/>
      <c r="W144" s="202"/>
      <c r="X144" s="202"/>
    </row>
    <row r="145" spans="2:26">
      <c r="B145" s="5"/>
      <c r="C145" s="5"/>
      <c r="D145" s="492">
        <f>'1_入力シート【基本情報】'!$AB$170</f>
        <v>0</v>
      </c>
      <c r="E145" s="564">
        <f>'1_入力シート【基本情報】'!$AB$170</f>
        <v>0</v>
      </c>
      <c r="F145" s="564" t="str">
        <f t="shared" si="9"/>
        <v>0</v>
      </c>
      <c r="G145" s="567"/>
      <c r="H145" s="565" t="s">
        <v>1848</v>
      </c>
      <c r="I145" s="334" t="s">
        <v>1849</v>
      </c>
      <c r="J145" s="357" t="s">
        <v>1407</v>
      </c>
      <c r="K145" s="322" t="s">
        <v>1850</v>
      </c>
      <c r="L145" s="358" t="s">
        <v>1407</v>
      </c>
      <c r="M145" s="325" t="s">
        <v>1031</v>
      </c>
      <c r="N145" s="358" t="s">
        <v>1407</v>
      </c>
      <c r="O145" s="326" t="s">
        <v>1032</v>
      </c>
      <c r="P145" s="327"/>
      <c r="Q145" s="336"/>
      <c r="R145" s="203"/>
      <c r="S145" s="203"/>
      <c r="T145" s="13" t="str">
        <f t="shared" si="11"/>
        <v>12関連図書の整備-直近の確認申請-確認-確認済証の有無</v>
      </c>
      <c r="V145" s="202"/>
      <c r="W145" s="202"/>
      <c r="X145" s="202"/>
    </row>
    <row r="146" spans="2:26">
      <c r="B146" s="5"/>
      <c r="C146" s="5"/>
      <c r="D146" s="492">
        <f>'1_入力シート【基本情報】'!$AB$171</f>
        <v>0</v>
      </c>
      <c r="E146" s="564">
        <f>'1_入力シート【基本情報】'!$AB$171</f>
        <v>0</v>
      </c>
      <c r="F146" s="564" t="str">
        <f t="shared" si="9"/>
        <v>0</v>
      </c>
      <c r="G146" s="567"/>
      <c r="H146" s="565" t="s">
        <v>1848</v>
      </c>
      <c r="I146" s="334" t="s">
        <v>1849</v>
      </c>
      <c r="J146" s="357" t="s">
        <v>1407</v>
      </c>
      <c r="K146" s="322" t="s">
        <v>1850</v>
      </c>
      <c r="L146" s="358" t="s">
        <v>1407</v>
      </c>
      <c r="M146" s="325" t="s">
        <v>1031</v>
      </c>
      <c r="N146" s="358" t="s">
        <v>1407</v>
      </c>
      <c r="O146" s="326" t="s">
        <v>1089</v>
      </c>
      <c r="P146" s="327"/>
      <c r="Q146" s="336"/>
      <c r="R146" s="203"/>
      <c r="S146" s="203"/>
      <c r="T146" s="13" t="str">
        <f t="shared" si="11"/>
        <v>12関連図書の整備-直近の確認申請-確認-工事種別</v>
      </c>
      <c r="V146" s="202"/>
      <c r="W146" s="202"/>
      <c r="X146" s="202"/>
    </row>
    <row r="147" spans="2:26">
      <c r="B147" s="5"/>
      <c r="C147" s="5"/>
      <c r="D147" s="492">
        <f>'1_入力シート【基本情報】'!$AB$172</f>
        <v>0</v>
      </c>
      <c r="E147" s="564">
        <f>'1_入力シート【基本情報】'!$AB$172</f>
        <v>0</v>
      </c>
      <c r="F147" s="564" t="str">
        <f t="shared" si="9"/>
        <v>0</v>
      </c>
      <c r="G147" s="567"/>
      <c r="H147" s="565" t="s">
        <v>1848</v>
      </c>
      <c r="I147" s="334" t="s">
        <v>1849</v>
      </c>
      <c r="J147" s="357" t="s">
        <v>1407</v>
      </c>
      <c r="K147" s="322" t="s">
        <v>1850</v>
      </c>
      <c r="L147" s="358" t="s">
        <v>1407</v>
      </c>
      <c r="M147" s="325" t="s">
        <v>1031</v>
      </c>
      <c r="N147" s="358" t="s">
        <v>1407</v>
      </c>
      <c r="O147" s="326" t="s">
        <v>1399</v>
      </c>
      <c r="P147" s="360" t="s">
        <v>1407</v>
      </c>
      <c r="Q147" s="336" t="s">
        <v>1174</v>
      </c>
      <c r="R147" s="203"/>
      <c r="S147" s="203"/>
      <c r="T147" s="13" t="str">
        <f t="shared" si="11"/>
        <v>12関連図書の整備-直近の確認申請-確認-交付年月日-元号</v>
      </c>
      <c r="V147" s="202"/>
      <c r="W147" s="202"/>
      <c r="X147" s="202"/>
    </row>
    <row r="148" spans="2:26" ht="19">
      <c r="B148" s="5"/>
      <c r="C148" s="493" t="str">
        <f t="shared" ref="C148:E151" si="12">ASC($D148)</f>
        <v>0</v>
      </c>
      <c r="D148" s="492">
        <f>'1_入力シート【基本情報】'!$AE$172</f>
        <v>0</v>
      </c>
      <c r="E148" s="7" t="str">
        <f t="shared" si="12"/>
        <v>0</v>
      </c>
      <c r="F148" s="7" t="str">
        <f t="shared" si="9"/>
        <v>0</v>
      </c>
      <c r="G148" s="567"/>
      <c r="H148" s="565" t="s">
        <v>1848</v>
      </c>
      <c r="I148" s="334" t="s">
        <v>1849</v>
      </c>
      <c r="J148" s="357" t="s">
        <v>1407</v>
      </c>
      <c r="K148" s="322" t="s">
        <v>1850</v>
      </c>
      <c r="L148" s="358" t="s">
        <v>1407</v>
      </c>
      <c r="M148" s="325" t="s">
        <v>1031</v>
      </c>
      <c r="N148" s="358" t="s">
        <v>1407</v>
      </c>
      <c r="O148" s="326" t="s">
        <v>1399</v>
      </c>
      <c r="P148" s="360" t="s">
        <v>1407</v>
      </c>
      <c r="Q148" s="336" t="s">
        <v>12</v>
      </c>
      <c r="R148" s="203"/>
      <c r="S148" s="203"/>
      <c r="T148" s="13" t="str">
        <f t="shared" si="11"/>
        <v>12関連図書の整備-直近の確認申請-確認-交付年月日-年</v>
      </c>
      <c r="V148" s="202"/>
      <c r="W148" s="202"/>
      <c r="X148" s="202"/>
    </row>
    <row r="149" spans="2:26" ht="19">
      <c r="B149" s="5"/>
      <c r="C149" s="493" t="str">
        <f t="shared" si="12"/>
        <v>0</v>
      </c>
      <c r="D149" s="492">
        <f>'1_入力シート【基本情報】'!$AJ$172</f>
        <v>0</v>
      </c>
      <c r="E149" s="7" t="str">
        <f t="shared" si="12"/>
        <v>0</v>
      </c>
      <c r="F149" s="7" t="str">
        <f t="shared" si="9"/>
        <v>0</v>
      </c>
      <c r="G149" s="567"/>
      <c r="H149" s="565" t="s">
        <v>1848</v>
      </c>
      <c r="I149" s="334" t="s">
        <v>1849</v>
      </c>
      <c r="J149" s="357" t="s">
        <v>1407</v>
      </c>
      <c r="K149" s="322" t="s">
        <v>1850</v>
      </c>
      <c r="L149" s="358" t="s">
        <v>1407</v>
      </c>
      <c r="M149" s="325" t="s">
        <v>1031</v>
      </c>
      <c r="N149" s="358" t="s">
        <v>1407</v>
      </c>
      <c r="O149" s="326" t="s">
        <v>1399</v>
      </c>
      <c r="P149" s="360" t="s">
        <v>1407</v>
      </c>
      <c r="Q149" s="336" t="s">
        <v>383</v>
      </c>
      <c r="R149" s="203"/>
      <c r="S149" s="203"/>
      <c r="T149" s="13" t="str">
        <f t="shared" si="11"/>
        <v>12関連図書の整備-直近の確認申請-確認-交付年月日-月</v>
      </c>
      <c r="V149" s="202"/>
      <c r="W149" s="202"/>
      <c r="X149" s="202"/>
    </row>
    <row r="150" spans="2:26" ht="19">
      <c r="B150" s="5"/>
      <c r="C150" s="493" t="str">
        <f t="shared" si="12"/>
        <v>0</v>
      </c>
      <c r="D150" s="492">
        <f>'1_入力シート【基本情報】'!$AO$172</f>
        <v>0</v>
      </c>
      <c r="E150" s="7" t="str">
        <f t="shared" si="12"/>
        <v>0</v>
      </c>
      <c r="F150" s="7" t="str">
        <f t="shared" si="9"/>
        <v>0</v>
      </c>
      <c r="G150" s="567"/>
      <c r="H150" s="565" t="s">
        <v>1848</v>
      </c>
      <c r="I150" s="334" t="s">
        <v>1849</v>
      </c>
      <c r="J150" s="357" t="s">
        <v>1407</v>
      </c>
      <c r="K150" s="322" t="s">
        <v>1850</v>
      </c>
      <c r="L150" s="358" t="s">
        <v>1407</v>
      </c>
      <c r="M150" s="325" t="s">
        <v>1031</v>
      </c>
      <c r="N150" s="358" t="s">
        <v>1407</v>
      </c>
      <c r="O150" s="326" t="s">
        <v>1399</v>
      </c>
      <c r="P150" s="360" t="s">
        <v>1407</v>
      </c>
      <c r="Q150" s="336" t="s">
        <v>399</v>
      </c>
      <c r="R150" s="203"/>
      <c r="S150" s="203"/>
      <c r="T150" s="13" t="str">
        <f t="shared" si="11"/>
        <v>12関連図書の整備-直近の確認申請-確認-交付年月日-日</v>
      </c>
      <c r="V150" s="202"/>
      <c r="W150" s="202"/>
      <c r="X150" s="202"/>
    </row>
    <row r="151" spans="2:26" ht="19">
      <c r="B151" s="4"/>
      <c r="C151" s="493" t="str">
        <f t="shared" si="12"/>
        <v>0</v>
      </c>
      <c r="D151" s="107">
        <f>'1_入力シート【基本情報】'!$AB$173</f>
        <v>0</v>
      </c>
      <c r="E151" s="7" t="str">
        <f t="shared" si="12"/>
        <v>0</v>
      </c>
      <c r="F151" s="7" t="str">
        <f t="shared" si="9"/>
        <v>0</v>
      </c>
      <c r="G151" s="24"/>
      <c r="H151" s="565" t="s">
        <v>1848</v>
      </c>
      <c r="I151" s="334" t="s">
        <v>1849</v>
      </c>
      <c r="J151" s="357" t="s">
        <v>1407</v>
      </c>
      <c r="K151" s="322" t="s">
        <v>1850</v>
      </c>
      <c r="L151" s="358" t="s">
        <v>1407</v>
      </c>
      <c r="M151" s="325" t="s">
        <v>1031</v>
      </c>
      <c r="N151" s="358" t="s">
        <v>1407</v>
      </c>
      <c r="O151" s="326" t="s">
        <v>250</v>
      </c>
      <c r="P151" s="360" t="s">
        <v>1407</v>
      </c>
      <c r="Q151" s="336" t="s">
        <v>4</v>
      </c>
      <c r="R151" s="203"/>
      <c r="S151" s="203"/>
      <c r="T151" s="13" t="str">
        <f t="shared" si="11"/>
        <v>12関連図書の整備-直近の確認申請-確認-交付番号-号</v>
      </c>
      <c r="V151" s="202"/>
      <c r="W151" s="202"/>
      <c r="X151" s="202"/>
    </row>
    <row r="152" spans="2:26">
      <c r="B152" s="4"/>
      <c r="C152" s="4"/>
      <c r="D152" s="107">
        <f>'1_入力シート【基本情報】'!$AB$174</f>
        <v>0</v>
      </c>
      <c r="E152" s="564">
        <f>'1_入力シート【基本情報】'!$AB$174</f>
        <v>0</v>
      </c>
      <c r="F152" s="564" t="str">
        <f t="shared" si="9"/>
        <v>0</v>
      </c>
      <c r="G152" s="24"/>
      <c r="H152" s="565" t="s">
        <v>1848</v>
      </c>
      <c r="I152" s="334" t="s">
        <v>1849</v>
      </c>
      <c r="J152" s="357" t="s">
        <v>1407</v>
      </c>
      <c r="K152" s="322" t="s">
        <v>1850</v>
      </c>
      <c r="L152" s="358" t="s">
        <v>1407</v>
      </c>
      <c r="M152" s="325" t="s">
        <v>1031</v>
      </c>
      <c r="N152" s="358" t="s">
        <v>1407</v>
      </c>
      <c r="O152" s="326" t="s">
        <v>1859</v>
      </c>
      <c r="P152" s="327"/>
      <c r="Q152" s="336"/>
      <c r="R152" s="203"/>
      <c r="S152" s="203"/>
      <c r="T152" s="13" t="str">
        <f t="shared" si="11"/>
        <v>12関連図書の整備-直近の確認申請-確認-交付者</v>
      </c>
      <c r="V152" s="202"/>
      <c r="W152" s="202"/>
      <c r="X152" s="202"/>
    </row>
    <row r="153" spans="2:26">
      <c r="B153" s="4"/>
      <c r="C153" s="4"/>
      <c r="D153" s="107">
        <f>'1_入力シート【基本情報】'!$AB$175</f>
        <v>0</v>
      </c>
      <c r="E153" s="564">
        <f>'1_入力シート【基本情報】'!$AB$175</f>
        <v>0</v>
      </c>
      <c r="F153" s="564" t="str">
        <f t="shared" si="9"/>
        <v>0</v>
      </c>
      <c r="G153" s="24"/>
      <c r="H153" s="565" t="s">
        <v>1848</v>
      </c>
      <c r="I153" s="334" t="s">
        <v>1849</v>
      </c>
      <c r="J153" s="357" t="s">
        <v>1407</v>
      </c>
      <c r="K153" s="322" t="s">
        <v>1850</v>
      </c>
      <c r="L153" s="358" t="s">
        <v>1407</v>
      </c>
      <c r="M153" s="325" t="s">
        <v>1031</v>
      </c>
      <c r="N153" s="358" t="s">
        <v>1407</v>
      </c>
      <c r="O153" s="326" t="s">
        <v>1861</v>
      </c>
      <c r="P153" s="327"/>
      <c r="Q153" s="336"/>
      <c r="R153" s="203"/>
      <c r="S153" s="203"/>
      <c r="T153" s="13" t="str">
        <f t="shared" si="11"/>
        <v>12関連図書の整備-直近の確認申請-確認-検査機関</v>
      </c>
      <c r="V153" s="202"/>
      <c r="W153" s="202"/>
      <c r="X153" s="202"/>
    </row>
    <row r="154" spans="2:26">
      <c r="B154" s="4"/>
      <c r="C154" s="4"/>
      <c r="D154" s="107">
        <f>'1_入力シート【基本情報】'!$AB$176</f>
        <v>0</v>
      </c>
      <c r="E154" s="564">
        <f>'1_入力シート【基本情報】'!$AB$176</f>
        <v>0</v>
      </c>
      <c r="F154" s="564" t="str">
        <f t="shared" si="9"/>
        <v>0</v>
      </c>
      <c r="G154" s="24"/>
      <c r="H154" s="565" t="s">
        <v>1848</v>
      </c>
      <c r="I154" s="334" t="s">
        <v>1849</v>
      </c>
      <c r="J154" s="357" t="s">
        <v>1407</v>
      </c>
      <c r="K154" s="322" t="s">
        <v>1850</v>
      </c>
      <c r="L154" s="358" t="s">
        <v>1407</v>
      </c>
      <c r="M154" s="325" t="s">
        <v>717</v>
      </c>
      <c r="N154" s="358"/>
      <c r="O154" s="326"/>
      <c r="P154" s="327"/>
      <c r="Q154" s="336"/>
      <c r="R154" s="203"/>
      <c r="S154" s="203"/>
      <c r="T154" s="13" t="str">
        <f t="shared" si="11"/>
        <v>12関連図書の整備-直近の確認申請-完了検査に要した図書</v>
      </c>
      <c r="V154" s="202"/>
      <c r="W154" s="202"/>
      <c r="X154" s="202"/>
    </row>
    <row r="155" spans="2:26">
      <c r="B155" s="4"/>
      <c r="C155" s="4"/>
      <c r="D155" s="107">
        <f>'1_入力シート【基本情報】'!$AB$177</f>
        <v>0</v>
      </c>
      <c r="E155" s="564">
        <f>'1_入力シート【基本情報】'!$AB$177</f>
        <v>0</v>
      </c>
      <c r="F155" s="564" t="str">
        <f t="shared" si="9"/>
        <v>0</v>
      </c>
      <c r="G155" s="24"/>
      <c r="H155" s="565" t="s">
        <v>1848</v>
      </c>
      <c r="I155" s="334" t="s">
        <v>1849</v>
      </c>
      <c r="J155" s="357" t="s">
        <v>1407</v>
      </c>
      <c r="K155" s="322" t="s">
        <v>1850</v>
      </c>
      <c r="L155" s="358" t="s">
        <v>1407</v>
      </c>
      <c r="M155" s="337" t="s">
        <v>1034</v>
      </c>
      <c r="N155" s="358" t="s">
        <v>1407</v>
      </c>
      <c r="O155" s="326" t="s">
        <v>1864</v>
      </c>
      <c r="P155" s="327"/>
      <c r="Q155" s="336"/>
      <c r="R155" s="361"/>
      <c r="S155" s="361"/>
      <c r="T155" s="13" t="str">
        <f t="shared" si="11"/>
        <v>12関連図書の整備-直近の確認申請-完了-検査済証の有無</v>
      </c>
      <c r="V155" s="340"/>
      <c r="W155" s="340"/>
      <c r="X155" s="340"/>
      <c r="Y155" s="341"/>
      <c r="Z155" s="341"/>
    </row>
    <row r="156" spans="2:26">
      <c r="B156" s="5"/>
      <c r="C156" s="5"/>
      <c r="D156" s="492">
        <f>'1_入力シート【基本情報】'!$AB$178</f>
        <v>0</v>
      </c>
      <c r="E156" s="564">
        <f>'1_入力シート【基本情報】'!$AB$178</f>
        <v>0</v>
      </c>
      <c r="F156" s="564" t="str">
        <f t="shared" si="9"/>
        <v>0</v>
      </c>
      <c r="G156" s="567"/>
      <c r="H156" s="565" t="s">
        <v>1848</v>
      </c>
      <c r="I156" s="334" t="s">
        <v>1849</v>
      </c>
      <c r="J156" s="357" t="s">
        <v>1407</v>
      </c>
      <c r="K156" s="322" t="s">
        <v>1850</v>
      </c>
      <c r="L156" s="358" t="s">
        <v>1407</v>
      </c>
      <c r="M156" s="337" t="s">
        <v>1034</v>
      </c>
      <c r="N156" s="358" t="s">
        <v>1407</v>
      </c>
      <c r="O156" s="326" t="s">
        <v>1399</v>
      </c>
      <c r="P156" s="360" t="s">
        <v>1407</v>
      </c>
      <c r="Q156" s="336" t="s">
        <v>1174</v>
      </c>
      <c r="R156" s="368"/>
      <c r="S156" s="368"/>
      <c r="T156" s="13" t="str">
        <f t="shared" si="11"/>
        <v>12関連図書の整備-直近の確認申請-完了-交付年月日-元号</v>
      </c>
      <c r="V156" s="339"/>
      <c r="W156" s="339"/>
      <c r="X156" s="339"/>
      <c r="Y156" s="350"/>
      <c r="Z156" s="350"/>
    </row>
    <row r="157" spans="2:26" ht="19">
      <c r="B157" s="4"/>
      <c r="C157" s="493" t="str">
        <f t="shared" ref="C157:E160" si="13">ASC($D157)</f>
        <v>0</v>
      </c>
      <c r="D157" s="107">
        <f>'1_入力シート【基本情報】'!$AE$178</f>
        <v>0</v>
      </c>
      <c r="E157" s="7" t="str">
        <f t="shared" si="13"/>
        <v>0</v>
      </c>
      <c r="F157" s="7" t="str">
        <f t="shared" si="9"/>
        <v>0</v>
      </c>
      <c r="G157" s="24"/>
      <c r="H157" s="565" t="s">
        <v>1848</v>
      </c>
      <c r="I157" s="334" t="s">
        <v>1849</v>
      </c>
      <c r="J157" s="357" t="s">
        <v>1407</v>
      </c>
      <c r="K157" s="322" t="s">
        <v>1850</v>
      </c>
      <c r="L157" s="358" t="s">
        <v>1407</v>
      </c>
      <c r="M157" s="337" t="s">
        <v>1034</v>
      </c>
      <c r="N157" s="358" t="s">
        <v>1407</v>
      </c>
      <c r="O157" s="326" t="s">
        <v>1399</v>
      </c>
      <c r="P157" s="360" t="s">
        <v>1407</v>
      </c>
      <c r="Q157" s="336" t="s">
        <v>12</v>
      </c>
      <c r="R157" s="368"/>
      <c r="S157" s="368"/>
      <c r="T157" s="13" t="str">
        <f t="shared" si="11"/>
        <v>12関連図書の整備-直近の確認申請-完了-交付年月日-年</v>
      </c>
      <c r="V157" s="339"/>
      <c r="W157" s="339"/>
      <c r="X157" s="339"/>
      <c r="Y157" s="350"/>
      <c r="Z157" s="350"/>
    </row>
    <row r="158" spans="2:26" ht="19">
      <c r="B158" s="5"/>
      <c r="C158" s="493" t="str">
        <f t="shared" si="13"/>
        <v>0</v>
      </c>
      <c r="D158" s="492">
        <f>'1_入力シート【基本情報】'!$AJ$178</f>
        <v>0</v>
      </c>
      <c r="E158" s="7" t="str">
        <f t="shared" si="13"/>
        <v>0</v>
      </c>
      <c r="F158" s="7" t="str">
        <f t="shared" si="9"/>
        <v>0</v>
      </c>
      <c r="G158" s="567"/>
      <c r="H158" s="565" t="s">
        <v>1848</v>
      </c>
      <c r="I158" s="334" t="s">
        <v>1849</v>
      </c>
      <c r="J158" s="357" t="s">
        <v>1407</v>
      </c>
      <c r="K158" s="322" t="s">
        <v>1850</v>
      </c>
      <c r="L158" s="358" t="s">
        <v>1407</v>
      </c>
      <c r="M158" s="337" t="s">
        <v>1034</v>
      </c>
      <c r="N158" s="358" t="s">
        <v>1407</v>
      </c>
      <c r="O158" s="326" t="s">
        <v>1399</v>
      </c>
      <c r="P158" s="360" t="s">
        <v>1407</v>
      </c>
      <c r="Q158" s="336" t="s">
        <v>383</v>
      </c>
      <c r="R158" s="361"/>
      <c r="S158" s="361"/>
      <c r="T158" s="13" t="str">
        <f t="shared" si="11"/>
        <v>12関連図書の整備-直近の確認申請-完了-交付年月日-月</v>
      </c>
      <c r="V158" s="340"/>
      <c r="W158" s="340"/>
      <c r="X158" s="340"/>
      <c r="Y158" s="341"/>
      <c r="Z158" s="341"/>
    </row>
    <row r="159" spans="2:26" ht="19">
      <c r="B159" s="5"/>
      <c r="C159" s="493" t="str">
        <f t="shared" si="13"/>
        <v>0</v>
      </c>
      <c r="D159" s="492">
        <f>'1_入力シート【基本情報】'!$AO$178</f>
        <v>0</v>
      </c>
      <c r="E159" s="7" t="str">
        <f t="shared" si="13"/>
        <v>0</v>
      </c>
      <c r="F159" s="7" t="str">
        <f t="shared" si="9"/>
        <v>0</v>
      </c>
      <c r="G159" s="567"/>
      <c r="H159" s="565" t="s">
        <v>1848</v>
      </c>
      <c r="I159" s="334" t="s">
        <v>1849</v>
      </c>
      <c r="J159" s="357" t="s">
        <v>1407</v>
      </c>
      <c r="K159" s="322" t="s">
        <v>1850</v>
      </c>
      <c r="L159" s="358" t="s">
        <v>1407</v>
      </c>
      <c r="M159" s="337" t="s">
        <v>1034</v>
      </c>
      <c r="N159" s="358" t="s">
        <v>1407</v>
      </c>
      <c r="O159" s="326" t="s">
        <v>1399</v>
      </c>
      <c r="P159" s="360" t="s">
        <v>1407</v>
      </c>
      <c r="Q159" s="336" t="s">
        <v>399</v>
      </c>
      <c r="R159" s="361"/>
      <c r="S159" s="361"/>
      <c r="T159" s="13" t="str">
        <f t="shared" si="11"/>
        <v>12関連図書の整備-直近の確認申請-完了-交付年月日-日</v>
      </c>
      <c r="V159" s="340"/>
      <c r="W159" s="340"/>
      <c r="X159" s="340"/>
      <c r="Y159" s="341"/>
      <c r="Z159" s="341"/>
    </row>
    <row r="160" spans="2:26" ht="19">
      <c r="B160" s="4"/>
      <c r="C160" s="493" t="str">
        <f t="shared" si="13"/>
        <v>0</v>
      </c>
      <c r="D160" s="107">
        <f>'1_入力シート【基本情報】'!$AB$179</f>
        <v>0</v>
      </c>
      <c r="E160" s="7" t="str">
        <f t="shared" si="13"/>
        <v>0</v>
      </c>
      <c r="F160" s="7" t="str">
        <f t="shared" si="9"/>
        <v>0</v>
      </c>
      <c r="G160" s="24"/>
      <c r="H160" s="565" t="s">
        <v>1848</v>
      </c>
      <c r="I160" s="334" t="s">
        <v>1849</v>
      </c>
      <c r="J160" s="357" t="s">
        <v>1407</v>
      </c>
      <c r="K160" s="322" t="s">
        <v>1850</v>
      </c>
      <c r="L160" s="358" t="s">
        <v>1407</v>
      </c>
      <c r="M160" s="337" t="s">
        <v>1034</v>
      </c>
      <c r="N160" s="358" t="s">
        <v>1407</v>
      </c>
      <c r="O160" s="326" t="s">
        <v>250</v>
      </c>
      <c r="P160" s="360" t="s">
        <v>1407</v>
      </c>
      <c r="Q160" s="336" t="s">
        <v>4</v>
      </c>
      <c r="R160" s="361"/>
      <c r="S160" s="361"/>
      <c r="T160" s="13" t="str">
        <f t="shared" si="11"/>
        <v>12関連図書の整備-直近の確認申請-完了-交付番号-号</v>
      </c>
      <c r="V160" s="340"/>
      <c r="W160" s="340"/>
      <c r="X160" s="340"/>
      <c r="Y160" s="341"/>
      <c r="Z160" s="341"/>
    </row>
    <row r="161" spans="2:26">
      <c r="B161" s="5"/>
      <c r="C161" s="5"/>
      <c r="D161" s="492">
        <f>'1_入力シート【基本情報】'!$AB$180</f>
        <v>0</v>
      </c>
      <c r="E161" s="564">
        <f>'1_入力シート【基本情報】'!$AB$180</f>
        <v>0</v>
      </c>
      <c r="F161" s="564" t="str">
        <f t="shared" si="9"/>
        <v>0</v>
      </c>
      <c r="G161" s="567"/>
      <c r="H161" s="565" t="s">
        <v>1848</v>
      </c>
      <c r="I161" s="334" t="s">
        <v>1849</v>
      </c>
      <c r="J161" s="357" t="s">
        <v>1407</v>
      </c>
      <c r="K161" s="322" t="s">
        <v>1850</v>
      </c>
      <c r="L161" s="358" t="s">
        <v>1407</v>
      </c>
      <c r="M161" s="337" t="s">
        <v>1034</v>
      </c>
      <c r="N161" s="358" t="s">
        <v>1407</v>
      </c>
      <c r="O161" s="326" t="s">
        <v>1859</v>
      </c>
      <c r="P161" s="327"/>
      <c r="Q161" s="336"/>
      <c r="R161" s="361"/>
      <c r="S161" s="361"/>
      <c r="T161" s="13" t="str">
        <f t="shared" si="11"/>
        <v>12関連図書の整備-直近の確認申請-完了-交付者</v>
      </c>
      <c r="V161" s="340"/>
      <c r="W161" s="340"/>
      <c r="X161" s="340"/>
      <c r="Y161" s="341"/>
      <c r="Z161" s="341"/>
    </row>
    <row r="162" spans="2:26">
      <c r="B162" s="5"/>
      <c r="C162" s="5"/>
      <c r="D162" s="492">
        <f>'1_入力シート【基本情報】'!$AB$181</f>
        <v>0</v>
      </c>
      <c r="E162" s="564">
        <f>'1_入力シート【基本情報】'!$AB$181</f>
        <v>0</v>
      </c>
      <c r="F162" s="564" t="str">
        <f t="shared" si="9"/>
        <v>0</v>
      </c>
      <c r="G162" s="567"/>
      <c r="H162" s="565" t="s">
        <v>1848</v>
      </c>
      <c r="I162" s="334" t="s">
        <v>1849</v>
      </c>
      <c r="J162" s="357" t="s">
        <v>1407</v>
      </c>
      <c r="K162" s="322" t="s">
        <v>1850</v>
      </c>
      <c r="L162" s="358" t="s">
        <v>1407</v>
      </c>
      <c r="M162" s="337" t="s">
        <v>1034</v>
      </c>
      <c r="N162" s="358" t="s">
        <v>1407</v>
      </c>
      <c r="O162" s="326" t="s">
        <v>1861</v>
      </c>
      <c r="P162" s="327"/>
      <c r="Q162" s="336"/>
      <c r="R162" s="361"/>
      <c r="S162" s="361"/>
      <c r="T162" s="13" t="str">
        <f t="shared" si="11"/>
        <v>12関連図書の整備-直近の確認申請-完了-検査機関</v>
      </c>
      <c r="V162" s="340"/>
      <c r="W162" s="340"/>
      <c r="X162" s="340"/>
      <c r="Y162" s="341"/>
      <c r="Z162" s="341"/>
    </row>
    <row r="163" spans="2:26" ht="28">
      <c r="B163" s="4"/>
      <c r="C163" s="4"/>
      <c r="D163" s="107" t="b">
        <f>'1_入力シート【基本情報】'!$DN$182</f>
        <v>0</v>
      </c>
      <c r="E163" s="564" t="b">
        <f>'1_入力シート【基本情報】'!$DN$182</f>
        <v>0</v>
      </c>
      <c r="F163" s="564" t="str">
        <f t="shared" si="9"/>
        <v>FALSE</v>
      </c>
      <c r="G163" s="24"/>
      <c r="H163" s="565" t="s">
        <v>1848</v>
      </c>
      <c r="I163" s="334" t="s">
        <v>1849</v>
      </c>
      <c r="J163" s="357" t="s">
        <v>1407</v>
      </c>
      <c r="K163" s="322" t="s">
        <v>1873</v>
      </c>
      <c r="L163" s="358" t="s">
        <v>1407</v>
      </c>
      <c r="M163" s="337" t="s">
        <v>1874</v>
      </c>
      <c r="N163" s="358" t="s">
        <v>1407</v>
      </c>
      <c r="O163" s="326"/>
      <c r="P163" s="323"/>
      <c r="Q163" s="336"/>
      <c r="R163" s="361"/>
      <c r="S163" s="361"/>
      <c r="T163" s="13" t="str">
        <f t="shared" si="11"/>
        <v>12関連図書の整備-新築時の確認申請-直近と記載の確認と同一-</v>
      </c>
      <c r="V163" s="340"/>
      <c r="W163" s="340"/>
      <c r="X163" s="340"/>
      <c r="Y163" s="341"/>
      <c r="Z163" s="341"/>
    </row>
    <row r="164" spans="2:26">
      <c r="B164" s="5"/>
      <c r="C164" s="5"/>
      <c r="D164" s="492">
        <f>'1_入力シート【基本情報】'!$AB$183</f>
        <v>0</v>
      </c>
      <c r="E164" s="564">
        <f>'1_入力シート【基本情報】'!$AB$183</f>
        <v>0</v>
      </c>
      <c r="F164" s="564" t="str">
        <f t="shared" si="9"/>
        <v>0</v>
      </c>
      <c r="G164" s="567"/>
      <c r="H164" s="565" t="s">
        <v>1848</v>
      </c>
      <c r="I164" s="334" t="s">
        <v>1849</v>
      </c>
      <c r="J164" s="357" t="s">
        <v>1407</v>
      </c>
      <c r="K164" s="322" t="s">
        <v>1873</v>
      </c>
      <c r="L164" s="358" t="s">
        <v>1407</v>
      </c>
      <c r="M164" s="325" t="s">
        <v>716</v>
      </c>
      <c r="N164" s="358" t="s">
        <v>1407</v>
      </c>
      <c r="O164" s="326"/>
      <c r="P164" s="323"/>
      <c r="Q164" s="336"/>
      <c r="R164" s="361"/>
      <c r="S164" s="361"/>
      <c r="T164" s="13" t="str">
        <f t="shared" si="11"/>
        <v>12関連図書の整備-新築時の確認申請-確認に要した図書-</v>
      </c>
      <c r="V164" s="340"/>
      <c r="W164" s="340"/>
      <c r="X164" s="340"/>
      <c r="Y164" s="341"/>
      <c r="Z164" s="341"/>
    </row>
    <row r="165" spans="2:26">
      <c r="B165" s="5"/>
      <c r="C165" s="5"/>
      <c r="D165" s="492">
        <f>'1_入力シート【基本情報】'!$AB$184</f>
        <v>0</v>
      </c>
      <c r="E165" s="564">
        <f>'1_入力シート【基本情報】'!$AB$184</f>
        <v>0</v>
      </c>
      <c r="F165" s="564" t="str">
        <f t="shared" si="9"/>
        <v>0</v>
      </c>
      <c r="G165" s="567"/>
      <c r="H165" s="565" t="s">
        <v>1848</v>
      </c>
      <c r="I165" s="334" t="s">
        <v>1849</v>
      </c>
      <c r="J165" s="357" t="s">
        <v>1407</v>
      </c>
      <c r="K165" s="322" t="s">
        <v>1873</v>
      </c>
      <c r="L165" s="358" t="s">
        <v>1407</v>
      </c>
      <c r="M165" s="337" t="s">
        <v>1031</v>
      </c>
      <c r="N165" s="358" t="s">
        <v>1407</v>
      </c>
      <c r="O165" s="334" t="s">
        <v>1032</v>
      </c>
      <c r="P165" s="338"/>
      <c r="Q165" s="363"/>
      <c r="R165" s="361"/>
      <c r="S165" s="361"/>
      <c r="T165" s="13" t="str">
        <f t="shared" si="11"/>
        <v>12関連図書の整備-新築時の確認申請-確認-確認済証の有無</v>
      </c>
      <c r="V165" s="340"/>
      <c r="W165" s="340"/>
      <c r="X165" s="340"/>
      <c r="Y165" s="341"/>
      <c r="Z165" s="341"/>
    </row>
    <row r="166" spans="2:26">
      <c r="B166" s="4"/>
      <c r="C166" s="4"/>
      <c r="D166" s="107">
        <f>'1_入力シート【基本情報】'!$AB$185</f>
        <v>0</v>
      </c>
      <c r="E166" s="564">
        <f>'1_入力シート【基本情報】'!$AB$185</f>
        <v>0</v>
      </c>
      <c r="F166" s="564" t="str">
        <f t="shared" si="9"/>
        <v>0</v>
      </c>
      <c r="G166" s="24"/>
      <c r="H166" s="565" t="s">
        <v>1848</v>
      </c>
      <c r="I166" s="334" t="s">
        <v>1849</v>
      </c>
      <c r="J166" s="357" t="s">
        <v>1407</v>
      </c>
      <c r="K166" s="322" t="s">
        <v>1873</v>
      </c>
      <c r="L166" s="358" t="s">
        <v>1407</v>
      </c>
      <c r="M166" s="337" t="s">
        <v>1031</v>
      </c>
      <c r="N166" s="358" t="s">
        <v>1407</v>
      </c>
      <c r="O166" s="334" t="s">
        <v>1089</v>
      </c>
      <c r="P166" s="338"/>
      <c r="Q166" s="363"/>
      <c r="R166" s="368"/>
      <c r="S166" s="368"/>
      <c r="T166" s="13" t="str">
        <f t="shared" si="11"/>
        <v>12関連図書の整備-新築時の確認申請-確認-工事種別</v>
      </c>
      <c r="V166" s="339"/>
      <c r="W166" s="339"/>
      <c r="X166" s="339"/>
      <c r="Y166" s="350"/>
      <c r="Z166" s="350"/>
    </row>
    <row r="167" spans="2:26">
      <c r="B167" s="5"/>
      <c r="C167" s="5"/>
      <c r="D167" s="492">
        <f>'1_入力シート【基本情報】'!$AB$186</f>
        <v>0</v>
      </c>
      <c r="E167" s="564">
        <f>'1_入力シート【基本情報】'!$AB$186</f>
        <v>0</v>
      </c>
      <c r="F167" s="564" t="str">
        <f t="shared" si="9"/>
        <v>0</v>
      </c>
      <c r="G167" s="567"/>
      <c r="H167" s="565" t="s">
        <v>1848</v>
      </c>
      <c r="I167" s="334" t="s">
        <v>1849</v>
      </c>
      <c r="J167" s="357" t="s">
        <v>1407</v>
      </c>
      <c r="K167" s="322" t="s">
        <v>1873</v>
      </c>
      <c r="L167" s="358" t="s">
        <v>1407</v>
      </c>
      <c r="M167" s="337" t="s">
        <v>1031</v>
      </c>
      <c r="N167" s="358" t="s">
        <v>1407</v>
      </c>
      <c r="O167" s="326" t="s">
        <v>1399</v>
      </c>
      <c r="P167" s="323" t="s">
        <v>1879</v>
      </c>
      <c r="Q167" s="336" t="s">
        <v>1174</v>
      </c>
      <c r="R167" s="368"/>
      <c r="S167" s="368"/>
      <c r="T167" s="13" t="str">
        <f t="shared" si="11"/>
        <v>12関連図書の整備-新築時の確認申請-確認-交付年月日-元号</v>
      </c>
      <c r="V167" s="339"/>
      <c r="W167" s="339"/>
      <c r="X167" s="339"/>
      <c r="Y167" s="350"/>
      <c r="Z167" s="350"/>
    </row>
    <row r="168" spans="2:26" ht="19">
      <c r="B168" s="4"/>
      <c r="C168" s="493" t="str">
        <f t="shared" ref="C168:E171" si="14">ASC($D168)</f>
        <v>0</v>
      </c>
      <c r="D168" s="107">
        <f>'1_入力シート【基本情報】'!$AE$186</f>
        <v>0</v>
      </c>
      <c r="E168" s="7" t="str">
        <f t="shared" si="14"/>
        <v>0</v>
      </c>
      <c r="F168" s="7" t="str">
        <f t="shared" si="9"/>
        <v>0</v>
      </c>
      <c r="G168" s="24"/>
      <c r="H168" s="565" t="s">
        <v>1848</v>
      </c>
      <c r="I168" s="334" t="s">
        <v>1849</v>
      </c>
      <c r="J168" s="357" t="s">
        <v>1407</v>
      </c>
      <c r="K168" s="322" t="s">
        <v>1873</v>
      </c>
      <c r="L168" s="358" t="s">
        <v>1407</v>
      </c>
      <c r="M168" s="337" t="s">
        <v>1031</v>
      </c>
      <c r="N168" s="358" t="s">
        <v>1407</v>
      </c>
      <c r="O168" s="326" t="s">
        <v>1399</v>
      </c>
      <c r="P168" s="323" t="s">
        <v>1879</v>
      </c>
      <c r="Q168" s="336" t="s">
        <v>12</v>
      </c>
      <c r="R168" s="361"/>
      <c r="S168" s="361"/>
      <c r="T168" s="13" t="str">
        <f t="shared" si="11"/>
        <v>12関連図書の整備-新築時の確認申請-確認-交付年月日-年</v>
      </c>
      <c r="V168" s="340"/>
      <c r="W168" s="340"/>
      <c r="X168" s="340"/>
      <c r="Y168" s="341"/>
      <c r="Z168" s="341"/>
    </row>
    <row r="169" spans="2:26" ht="19">
      <c r="B169" s="4"/>
      <c r="C169" s="493" t="str">
        <f t="shared" si="14"/>
        <v>0</v>
      </c>
      <c r="D169" s="107">
        <f>'1_入力シート【基本情報】'!$AJ$186</f>
        <v>0</v>
      </c>
      <c r="E169" s="7" t="str">
        <f t="shared" si="14"/>
        <v>0</v>
      </c>
      <c r="F169" s="7" t="str">
        <f t="shared" si="9"/>
        <v>0</v>
      </c>
      <c r="G169" s="24"/>
      <c r="H169" s="565" t="s">
        <v>1848</v>
      </c>
      <c r="I169" s="334" t="s">
        <v>1849</v>
      </c>
      <c r="J169" s="357" t="s">
        <v>1407</v>
      </c>
      <c r="K169" s="322" t="s">
        <v>1873</v>
      </c>
      <c r="L169" s="358" t="s">
        <v>1407</v>
      </c>
      <c r="M169" s="337" t="s">
        <v>1031</v>
      </c>
      <c r="N169" s="358" t="s">
        <v>1407</v>
      </c>
      <c r="O169" s="326" t="s">
        <v>1399</v>
      </c>
      <c r="P169" s="323" t="s">
        <v>1879</v>
      </c>
      <c r="Q169" s="336" t="s">
        <v>383</v>
      </c>
      <c r="R169" s="361"/>
      <c r="S169" s="361"/>
      <c r="T169" s="13" t="str">
        <f t="shared" si="11"/>
        <v>12関連図書の整備-新築時の確認申請-確認-交付年月日-月</v>
      </c>
      <c r="V169" s="340"/>
      <c r="W169" s="340"/>
      <c r="X169" s="340"/>
      <c r="Y169" s="341"/>
      <c r="Z169" s="341"/>
    </row>
    <row r="170" spans="2:26" ht="19">
      <c r="B170" s="4"/>
      <c r="C170" s="493" t="str">
        <f t="shared" si="14"/>
        <v>0</v>
      </c>
      <c r="D170" s="107">
        <f>'1_入力シート【基本情報】'!$AO$186</f>
        <v>0</v>
      </c>
      <c r="E170" s="7" t="str">
        <f t="shared" si="14"/>
        <v>0</v>
      </c>
      <c r="F170" s="7" t="str">
        <f t="shared" si="9"/>
        <v>0</v>
      </c>
      <c r="G170" s="24"/>
      <c r="H170" s="565" t="s">
        <v>1848</v>
      </c>
      <c r="I170" s="334" t="s">
        <v>1849</v>
      </c>
      <c r="J170" s="357" t="s">
        <v>1407</v>
      </c>
      <c r="K170" s="322" t="s">
        <v>1873</v>
      </c>
      <c r="L170" s="358" t="s">
        <v>1407</v>
      </c>
      <c r="M170" s="337" t="s">
        <v>1031</v>
      </c>
      <c r="N170" s="358" t="s">
        <v>1407</v>
      </c>
      <c r="O170" s="326" t="s">
        <v>1399</v>
      </c>
      <c r="P170" s="323" t="s">
        <v>1879</v>
      </c>
      <c r="Q170" s="336" t="s">
        <v>399</v>
      </c>
      <c r="R170" s="361"/>
      <c r="S170" s="361"/>
      <c r="T170" s="13" t="str">
        <f t="shared" si="11"/>
        <v>12関連図書の整備-新築時の確認申請-確認-交付年月日-日</v>
      </c>
      <c r="V170" s="340"/>
      <c r="W170" s="340"/>
      <c r="X170" s="340"/>
      <c r="Y170" s="341"/>
      <c r="Z170" s="341"/>
    </row>
    <row r="171" spans="2:26" ht="19">
      <c r="B171" s="4"/>
      <c r="C171" s="493" t="str">
        <f t="shared" si="14"/>
        <v>0</v>
      </c>
      <c r="D171" s="107">
        <f>'1_入力シート【基本情報】'!$AB$187</f>
        <v>0</v>
      </c>
      <c r="E171" s="7" t="str">
        <f t="shared" si="14"/>
        <v>0</v>
      </c>
      <c r="F171" s="7" t="str">
        <f t="shared" si="9"/>
        <v>0</v>
      </c>
      <c r="G171" s="24"/>
      <c r="H171" s="565" t="s">
        <v>1848</v>
      </c>
      <c r="I171" s="334" t="s">
        <v>1849</v>
      </c>
      <c r="J171" s="357" t="s">
        <v>1407</v>
      </c>
      <c r="K171" s="322" t="s">
        <v>1873</v>
      </c>
      <c r="L171" s="358" t="s">
        <v>1407</v>
      </c>
      <c r="M171" s="337" t="s">
        <v>1031</v>
      </c>
      <c r="N171" s="358" t="s">
        <v>1407</v>
      </c>
      <c r="O171" s="326" t="s">
        <v>250</v>
      </c>
      <c r="P171" s="323" t="s">
        <v>1879</v>
      </c>
      <c r="Q171" s="336" t="s">
        <v>4</v>
      </c>
      <c r="R171" s="361"/>
      <c r="S171" s="361"/>
      <c r="T171" s="13" t="str">
        <f t="shared" si="11"/>
        <v>12関連図書の整備-新築時の確認申請-確認-交付番号-号</v>
      </c>
      <c r="V171" s="340"/>
      <c r="W171" s="340"/>
      <c r="X171" s="340"/>
      <c r="Y171" s="341"/>
      <c r="Z171" s="341"/>
    </row>
    <row r="172" spans="2:26">
      <c r="B172" s="4"/>
      <c r="C172" s="4"/>
      <c r="D172" s="107">
        <f>'1_入力シート【基本情報】'!$AB$188</f>
        <v>0</v>
      </c>
      <c r="E172" s="564">
        <f>'1_入力シート【基本情報】'!$AB$188</f>
        <v>0</v>
      </c>
      <c r="F172" s="564" t="str">
        <f t="shared" si="9"/>
        <v>0</v>
      </c>
      <c r="G172" s="24"/>
      <c r="H172" s="565" t="s">
        <v>1848</v>
      </c>
      <c r="I172" s="334" t="s">
        <v>1849</v>
      </c>
      <c r="J172" s="357" t="s">
        <v>1407</v>
      </c>
      <c r="K172" s="322" t="s">
        <v>1873</v>
      </c>
      <c r="L172" s="358" t="s">
        <v>1407</v>
      </c>
      <c r="M172" s="337" t="s">
        <v>1031</v>
      </c>
      <c r="N172" s="358" t="s">
        <v>1407</v>
      </c>
      <c r="O172" s="326" t="s">
        <v>1859</v>
      </c>
      <c r="P172" s="323"/>
      <c r="Q172" s="336"/>
      <c r="R172" s="361"/>
      <c r="S172" s="361"/>
      <c r="T172" s="13" t="str">
        <f t="shared" si="11"/>
        <v>12関連図書の整備-新築時の確認申請-確認-交付者</v>
      </c>
      <c r="V172" s="340"/>
      <c r="W172" s="340"/>
      <c r="X172" s="340"/>
      <c r="Y172" s="341"/>
      <c r="Z172" s="341"/>
    </row>
    <row r="173" spans="2:26">
      <c r="B173" s="4"/>
      <c r="C173" s="4"/>
      <c r="D173" s="107">
        <f>'1_入力シート【基本情報】'!$AB$189</f>
        <v>0</v>
      </c>
      <c r="E173" s="564">
        <f>'1_入力シート【基本情報】'!$AB$189</f>
        <v>0</v>
      </c>
      <c r="F173" s="564" t="str">
        <f t="shared" si="9"/>
        <v>0</v>
      </c>
      <c r="G173" s="24"/>
      <c r="H173" s="565" t="s">
        <v>1848</v>
      </c>
      <c r="I173" s="334" t="s">
        <v>1849</v>
      </c>
      <c r="J173" s="357" t="s">
        <v>1407</v>
      </c>
      <c r="K173" s="322" t="s">
        <v>1873</v>
      </c>
      <c r="L173" s="358" t="s">
        <v>1407</v>
      </c>
      <c r="M173" s="337" t="s">
        <v>1031</v>
      </c>
      <c r="N173" s="358" t="s">
        <v>1407</v>
      </c>
      <c r="O173" s="326" t="s">
        <v>1861</v>
      </c>
      <c r="P173" s="323"/>
      <c r="Q173" s="336"/>
      <c r="R173" s="361"/>
      <c r="S173" s="361"/>
      <c r="T173" s="13" t="str">
        <f t="shared" si="11"/>
        <v>12関連図書の整備-新築時の確認申請-確認-検査機関</v>
      </c>
      <c r="V173" s="340"/>
      <c r="W173" s="340"/>
      <c r="X173" s="340"/>
      <c r="Y173" s="341"/>
      <c r="Z173" s="341"/>
    </row>
    <row r="174" spans="2:26">
      <c r="B174" s="5"/>
      <c r="C174" s="5"/>
      <c r="D174" s="492">
        <f>'1_入力シート【基本情報】'!$AB$190</f>
        <v>0</v>
      </c>
      <c r="E174" s="564">
        <f>'1_入力シート【基本情報】'!$AB$190</f>
        <v>0</v>
      </c>
      <c r="F174" s="564" t="str">
        <f t="shared" si="9"/>
        <v>0</v>
      </c>
      <c r="G174" s="567"/>
      <c r="H174" s="565" t="s">
        <v>1848</v>
      </c>
      <c r="I174" s="334" t="s">
        <v>1849</v>
      </c>
      <c r="J174" s="357" t="s">
        <v>1407</v>
      </c>
      <c r="K174" s="322" t="s">
        <v>1873</v>
      </c>
      <c r="L174" s="358" t="s">
        <v>1407</v>
      </c>
      <c r="M174" s="325" t="s">
        <v>717</v>
      </c>
      <c r="N174" s="358" t="s">
        <v>1407</v>
      </c>
      <c r="O174" s="326"/>
      <c r="P174" s="323"/>
      <c r="Q174" s="336"/>
      <c r="R174" s="361"/>
      <c r="S174" s="361"/>
      <c r="T174" s="13" t="str">
        <f t="shared" si="11"/>
        <v>12関連図書の整備-新築時の確認申請-完了検査に要した図書-</v>
      </c>
      <c r="V174" s="340"/>
      <c r="W174" s="340"/>
      <c r="X174" s="340"/>
      <c r="Y174" s="341"/>
      <c r="Z174" s="341"/>
    </row>
    <row r="175" spans="2:26">
      <c r="B175" s="5"/>
      <c r="C175" s="5"/>
      <c r="D175" s="492">
        <f>'1_入力シート【基本情報】'!$AB$191</f>
        <v>0</v>
      </c>
      <c r="E175" s="564">
        <f>'1_入力シート【基本情報】'!$AB$191</f>
        <v>0</v>
      </c>
      <c r="F175" s="564" t="str">
        <f t="shared" si="9"/>
        <v>0</v>
      </c>
      <c r="G175" s="567"/>
      <c r="H175" s="565" t="s">
        <v>1848</v>
      </c>
      <c r="I175" s="334" t="s">
        <v>1849</v>
      </c>
      <c r="J175" s="357" t="s">
        <v>1407</v>
      </c>
      <c r="K175" s="322" t="s">
        <v>1873</v>
      </c>
      <c r="L175" s="358" t="s">
        <v>1407</v>
      </c>
      <c r="M175" s="337" t="s">
        <v>1034</v>
      </c>
      <c r="N175" s="358" t="s">
        <v>1879</v>
      </c>
      <c r="O175" s="326" t="s">
        <v>1864</v>
      </c>
      <c r="P175" s="323"/>
      <c r="Q175" s="336"/>
      <c r="R175" s="361"/>
      <c r="S175" s="361"/>
      <c r="T175" s="13" t="str">
        <f t="shared" si="11"/>
        <v>12関連図書の整備-新築時の確認申請-完了-検査済証の有無</v>
      </c>
      <c r="V175" s="340"/>
      <c r="W175" s="340"/>
      <c r="X175" s="340"/>
      <c r="Y175" s="341"/>
      <c r="Z175" s="341"/>
    </row>
    <row r="176" spans="2:26">
      <c r="B176" s="5"/>
      <c r="C176" s="5"/>
      <c r="D176" s="492">
        <f>'1_入力シート【基本情報】'!$AB$192</f>
        <v>0</v>
      </c>
      <c r="E176" s="564">
        <f>'1_入力シート【基本情報】'!$AB$192</f>
        <v>0</v>
      </c>
      <c r="F176" s="564" t="str">
        <f t="shared" si="9"/>
        <v>0</v>
      </c>
      <c r="G176" s="567"/>
      <c r="H176" s="565" t="s">
        <v>1848</v>
      </c>
      <c r="I176" s="334" t="s">
        <v>1849</v>
      </c>
      <c r="J176" s="357" t="s">
        <v>1407</v>
      </c>
      <c r="K176" s="322" t="s">
        <v>1873</v>
      </c>
      <c r="L176" s="358" t="s">
        <v>1407</v>
      </c>
      <c r="M176" s="337" t="s">
        <v>1034</v>
      </c>
      <c r="N176" s="358" t="s">
        <v>1879</v>
      </c>
      <c r="O176" s="326" t="s">
        <v>1399</v>
      </c>
      <c r="P176" s="323" t="s">
        <v>1879</v>
      </c>
      <c r="Q176" s="336" t="s">
        <v>1174</v>
      </c>
      <c r="R176" s="361"/>
      <c r="S176" s="361"/>
      <c r="T176" s="13" t="str">
        <f t="shared" si="11"/>
        <v>12関連図書の整備-新築時の確認申請-完了-交付年月日-元号</v>
      </c>
      <c r="V176" s="340"/>
      <c r="W176" s="340"/>
      <c r="X176" s="340"/>
      <c r="Y176" s="341"/>
      <c r="Z176" s="341"/>
    </row>
    <row r="177" spans="2:28" ht="19">
      <c r="B177" s="5"/>
      <c r="C177" s="493" t="str">
        <f t="shared" ref="C177:E180" si="15">ASC($D177)</f>
        <v>0</v>
      </c>
      <c r="D177" s="492">
        <f>'1_入力シート【基本情報】'!$AE$192</f>
        <v>0</v>
      </c>
      <c r="E177" s="7" t="str">
        <f t="shared" si="15"/>
        <v>0</v>
      </c>
      <c r="F177" s="7" t="str">
        <f t="shared" si="9"/>
        <v>0</v>
      </c>
      <c r="G177" s="567"/>
      <c r="H177" s="565" t="s">
        <v>1848</v>
      </c>
      <c r="I177" s="334" t="s">
        <v>1849</v>
      </c>
      <c r="J177" s="357" t="s">
        <v>1407</v>
      </c>
      <c r="K177" s="322" t="s">
        <v>1873</v>
      </c>
      <c r="L177" s="358" t="s">
        <v>1407</v>
      </c>
      <c r="M177" s="337" t="s">
        <v>1034</v>
      </c>
      <c r="N177" s="358" t="s">
        <v>1879</v>
      </c>
      <c r="O177" s="326" t="s">
        <v>1399</v>
      </c>
      <c r="P177" s="323" t="s">
        <v>1879</v>
      </c>
      <c r="Q177" s="336" t="s">
        <v>12</v>
      </c>
      <c r="R177" s="361"/>
      <c r="S177" s="361"/>
      <c r="T177" s="13" t="str">
        <f t="shared" si="11"/>
        <v>12関連図書の整備-新築時の確認申請-完了-交付年月日-年</v>
      </c>
      <c r="V177" s="340"/>
      <c r="W177" s="340"/>
      <c r="X177" s="340"/>
      <c r="Y177" s="341"/>
      <c r="Z177" s="341"/>
    </row>
    <row r="178" spans="2:28" ht="19">
      <c r="B178" s="5"/>
      <c r="C178" s="493" t="str">
        <f t="shared" si="15"/>
        <v>0</v>
      </c>
      <c r="D178" s="492">
        <f>'1_入力シート【基本情報】'!$AJ$192</f>
        <v>0</v>
      </c>
      <c r="E178" s="7" t="str">
        <f t="shared" si="15"/>
        <v>0</v>
      </c>
      <c r="F178" s="7" t="str">
        <f t="shared" si="9"/>
        <v>0</v>
      </c>
      <c r="G178" s="567"/>
      <c r="H178" s="565" t="s">
        <v>1848</v>
      </c>
      <c r="I178" s="334" t="s">
        <v>1849</v>
      </c>
      <c r="J178" s="357" t="s">
        <v>1407</v>
      </c>
      <c r="K178" s="322" t="s">
        <v>1873</v>
      </c>
      <c r="L178" s="358" t="s">
        <v>1407</v>
      </c>
      <c r="M178" s="325" t="s">
        <v>1034</v>
      </c>
      <c r="N178" s="358" t="s">
        <v>1879</v>
      </c>
      <c r="O178" s="326" t="s">
        <v>1399</v>
      </c>
      <c r="P178" s="327" t="s">
        <v>1879</v>
      </c>
      <c r="Q178" s="336" t="s">
        <v>383</v>
      </c>
      <c r="R178" s="361"/>
      <c r="S178" s="361"/>
      <c r="T178" s="13" t="str">
        <f t="shared" si="11"/>
        <v>12関連図書の整備-新築時の確認申請-完了-交付年月日-月</v>
      </c>
      <c r="V178" s="340"/>
      <c r="W178" s="340"/>
      <c r="X178" s="340"/>
      <c r="Y178" s="341"/>
      <c r="Z178" s="341"/>
    </row>
    <row r="179" spans="2:28" ht="19">
      <c r="B179" s="48"/>
      <c r="C179" s="493" t="str">
        <f t="shared" si="15"/>
        <v>0</v>
      </c>
      <c r="D179" s="121">
        <f>'1_入力シート【基本情報】'!$AO$192</f>
        <v>0</v>
      </c>
      <c r="E179" s="7" t="str">
        <f t="shared" si="15"/>
        <v>0</v>
      </c>
      <c r="F179" s="7" t="str">
        <f t="shared" si="9"/>
        <v>0</v>
      </c>
      <c r="G179" s="574"/>
      <c r="H179" s="565" t="s">
        <v>1848</v>
      </c>
      <c r="I179" s="334" t="s">
        <v>1849</v>
      </c>
      <c r="J179" s="357" t="s">
        <v>1407</v>
      </c>
      <c r="K179" s="322" t="s">
        <v>1873</v>
      </c>
      <c r="L179" s="358" t="s">
        <v>1407</v>
      </c>
      <c r="M179" s="325" t="s">
        <v>1034</v>
      </c>
      <c r="N179" s="358" t="s">
        <v>1879</v>
      </c>
      <c r="O179" s="326" t="s">
        <v>1399</v>
      </c>
      <c r="P179" s="327" t="s">
        <v>1879</v>
      </c>
      <c r="Q179" s="336" t="s">
        <v>399</v>
      </c>
      <c r="R179" s="203"/>
      <c r="S179" s="203"/>
      <c r="T179" s="13" t="str">
        <f t="shared" si="11"/>
        <v>12関連図書の整備-新築時の確認申請-完了-交付年月日-日</v>
      </c>
      <c r="V179" s="361"/>
      <c r="W179" s="361"/>
      <c r="X179" s="361"/>
      <c r="Y179" s="361"/>
      <c r="Z179" s="361"/>
      <c r="AA179" s="361"/>
      <c r="AB179" s="361"/>
    </row>
    <row r="180" spans="2:28" ht="19">
      <c r="B180" s="4"/>
      <c r="C180" s="493" t="str">
        <f t="shared" si="15"/>
        <v>0</v>
      </c>
      <c r="D180" s="107">
        <f>'1_入力シート【基本情報】'!$AB$193</f>
        <v>0</v>
      </c>
      <c r="E180" s="7" t="str">
        <f t="shared" si="15"/>
        <v>0</v>
      </c>
      <c r="F180" s="7" t="str">
        <f t="shared" si="9"/>
        <v>0</v>
      </c>
      <c r="G180" s="24"/>
      <c r="H180" s="565" t="s">
        <v>1848</v>
      </c>
      <c r="I180" s="334" t="s">
        <v>1849</v>
      </c>
      <c r="J180" s="357" t="s">
        <v>1407</v>
      </c>
      <c r="K180" s="322" t="s">
        <v>1873</v>
      </c>
      <c r="L180" s="358" t="s">
        <v>1407</v>
      </c>
      <c r="M180" s="325" t="s">
        <v>1034</v>
      </c>
      <c r="N180" s="358" t="s">
        <v>1879</v>
      </c>
      <c r="O180" s="333" t="s">
        <v>250</v>
      </c>
      <c r="P180" s="327" t="s">
        <v>1879</v>
      </c>
      <c r="Q180" s="336" t="s">
        <v>4</v>
      </c>
      <c r="R180" s="361"/>
      <c r="S180" s="361"/>
      <c r="T180" s="13" t="str">
        <f t="shared" si="11"/>
        <v>12関連図書の整備-新築時の確認申請-完了-交付番号-号</v>
      </c>
      <c r="V180" s="202"/>
      <c r="W180" s="202"/>
      <c r="X180" s="202"/>
    </row>
    <row r="181" spans="2:28">
      <c r="B181" s="5"/>
      <c r="C181" s="5"/>
      <c r="D181" s="492">
        <f>'1_入力シート【基本情報】'!$AB$194</f>
        <v>0</v>
      </c>
      <c r="E181" s="564">
        <f>'1_入力シート【基本情報】'!$AB$194</f>
        <v>0</v>
      </c>
      <c r="F181" s="564" t="str">
        <f t="shared" si="9"/>
        <v>0</v>
      </c>
      <c r="G181" s="567"/>
      <c r="H181" s="565" t="s">
        <v>1848</v>
      </c>
      <c r="I181" s="334" t="s">
        <v>1849</v>
      </c>
      <c r="J181" s="357" t="s">
        <v>1407</v>
      </c>
      <c r="K181" s="322" t="s">
        <v>1873</v>
      </c>
      <c r="L181" s="358" t="s">
        <v>1407</v>
      </c>
      <c r="M181" s="325" t="s">
        <v>1034</v>
      </c>
      <c r="N181" s="367" t="s">
        <v>1879</v>
      </c>
      <c r="O181" s="333" t="s">
        <v>1859</v>
      </c>
      <c r="P181" s="327"/>
      <c r="Q181" s="336"/>
      <c r="R181" s="203"/>
      <c r="S181" s="203"/>
      <c r="T181" s="13" t="str">
        <f t="shared" si="11"/>
        <v>12関連図書の整備-新築時の確認申請-完了-交付者</v>
      </c>
      <c r="V181" s="202"/>
      <c r="W181" s="202"/>
      <c r="X181" s="202"/>
    </row>
    <row r="182" spans="2:28">
      <c r="B182" s="5"/>
      <c r="C182" s="5"/>
      <c r="D182" s="492">
        <f>'1_入力シート【基本情報】'!$AB$195</f>
        <v>0</v>
      </c>
      <c r="E182" s="564">
        <f>'1_入力シート【基本情報】'!$AB$195</f>
        <v>0</v>
      </c>
      <c r="F182" s="564" t="str">
        <f t="shared" si="9"/>
        <v>0</v>
      </c>
      <c r="G182" s="567"/>
      <c r="H182" s="565" t="s">
        <v>1848</v>
      </c>
      <c r="I182" s="334" t="s">
        <v>1849</v>
      </c>
      <c r="J182" s="357" t="s">
        <v>1407</v>
      </c>
      <c r="K182" s="322" t="s">
        <v>1873</v>
      </c>
      <c r="L182" s="358" t="s">
        <v>1407</v>
      </c>
      <c r="M182" s="335" t="s">
        <v>1034</v>
      </c>
      <c r="N182" s="367" t="s">
        <v>1879</v>
      </c>
      <c r="O182" s="333" t="s">
        <v>1861</v>
      </c>
      <c r="P182" s="327"/>
      <c r="Q182" s="336"/>
      <c r="R182" s="203"/>
      <c r="S182" s="203"/>
      <c r="T182" s="13" t="str">
        <f t="shared" si="11"/>
        <v>12関連図書の整備-新築時の確認申請-完了-検査機関</v>
      </c>
      <c r="V182" s="202"/>
      <c r="W182" s="202"/>
      <c r="X182" s="202"/>
    </row>
    <row r="183" spans="2:28">
      <c r="B183" s="5"/>
      <c r="C183" s="5"/>
      <c r="D183" s="492">
        <f>'1_入力シート【基本情報】'!$AB$196</f>
        <v>0</v>
      </c>
      <c r="E183" s="564">
        <f>'1_入力シート【基本情報】'!$AB$196</f>
        <v>0</v>
      </c>
      <c r="F183" s="564" t="str">
        <f t="shared" si="9"/>
        <v>0</v>
      </c>
      <c r="G183" s="567"/>
      <c r="H183" s="565" t="s">
        <v>1848</v>
      </c>
      <c r="I183" s="334" t="s">
        <v>1849</v>
      </c>
      <c r="J183" s="357" t="s">
        <v>1407</v>
      </c>
      <c r="K183" s="326" t="s">
        <v>1896</v>
      </c>
      <c r="L183" s="358"/>
      <c r="M183" s="335"/>
      <c r="N183" s="367"/>
      <c r="O183" s="333"/>
      <c r="P183" s="323"/>
      <c r="Q183" s="336"/>
      <c r="R183" s="203"/>
      <c r="S183" s="203"/>
      <c r="T183" s="13" t="str">
        <f t="shared" si="11"/>
        <v>12関連図書の整備-維持管理保全に関する準則又は計画</v>
      </c>
      <c r="V183" s="202"/>
      <c r="W183" s="202"/>
      <c r="X183" s="202"/>
    </row>
    <row r="184" spans="2:28">
      <c r="B184" s="5"/>
      <c r="C184" s="5"/>
      <c r="D184" s="492">
        <f>'1_入力シート【基本情報】'!$AB$197</f>
        <v>0</v>
      </c>
      <c r="E184" s="564">
        <f>'1_入力シート【基本情報】'!$AB$197</f>
        <v>0</v>
      </c>
      <c r="F184" s="564" t="str">
        <f t="shared" si="9"/>
        <v>0</v>
      </c>
      <c r="G184" s="567"/>
      <c r="H184" s="565" t="s">
        <v>1848</v>
      </c>
      <c r="I184" s="334" t="s">
        <v>1849</v>
      </c>
      <c r="J184" s="357" t="s">
        <v>1407</v>
      </c>
      <c r="K184" s="326" t="s">
        <v>294</v>
      </c>
      <c r="L184" s="358"/>
      <c r="M184" s="335"/>
      <c r="N184" s="367"/>
      <c r="O184" s="333"/>
      <c r="P184" s="335"/>
      <c r="Q184" s="336"/>
      <c r="R184" s="203"/>
      <c r="S184" s="203"/>
      <c r="T184" s="13" t="str">
        <f t="shared" si="11"/>
        <v>12関連図書の整備-前回の調査に関する書類の写し</v>
      </c>
      <c r="V184" s="202"/>
      <c r="W184" s="202"/>
      <c r="X184" s="202"/>
    </row>
    <row r="185" spans="2:28">
      <c r="B185" s="4"/>
      <c r="C185" s="4"/>
      <c r="D185" s="107">
        <f>'1_入力シート【基本情報】'!$AB$200</f>
        <v>0</v>
      </c>
      <c r="E185" s="564">
        <f>'1_入力シート【基本情報】'!$AB$200</f>
        <v>0</v>
      </c>
      <c r="F185" s="564" t="str">
        <f t="shared" si="9"/>
        <v>0</v>
      </c>
      <c r="G185" s="24"/>
      <c r="H185" s="565" t="s">
        <v>1899</v>
      </c>
      <c r="I185" s="326" t="s">
        <v>1900</v>
      </c>
      <c r="J185" s="357" t="s">
        <v>1407</v>
      </c>
      <c r="K185" s="326" t="s">
        <v>1901</v>
      </c>
      <c r="L185" s="358"/>
      <c r="M185" s="335"/>
      <c r="N185" s="367"/>
      <c r="O185" s="333"/>
      <c r="P185" s="335"/>
      <c r="Q185" s="324"/>
      <c r="R185" s="203"/>
      <c r="S185" s="203"/>
      <c r="T185" s="13" t="str">
        <f t="shared" si="11"/>
        <v>13備考-備考（第二面）</v>
      </c>
      <c r="V185" s="202"/>
      <c r="W185" s="202"/>
      <c r="X185" s="202"/>
    </row>
    <row r="186" spans="2:28">
      <c r="B186" s="4"/>
      <c r="C186" s="4"/>
      <c r="D186" s="107" t="str">
        <f>'1_入力シート【基本情報】'!$AB$209</f>
        <v>令和</v>
      </c>
      <c r="E186" s="564" t="str">
        <f>'1_入力シート【基本情報】'!$AB$209</f>
        <v>令和</v>
      </c>
      <c r="F186" s="564" t="str">
        <f t="shared" si="9"/>
        <v>令和</v>
      </c>
      <c r="G186" s="24"/>
      <c r="H186" s="565" t="s">
        <v>1903</v>
      </c>
      <c r="I186" s="326" t="s">
        <v>1904</v>
      </c>
      <c r="J186" s="357" t="s">
        <v>1407</v>
      </c>
      <c r="K186" s="326" t="s">
        <v>1905</v>
      </c>
      <c r="L186" s="358" t="s">
        <v>1407</v>
      </c>
      <c r="M186" s="335" t="s">
        <v>316</v>
      </c>
      <c r="N186" s="367"/>
      <c r="O186" s="333"/>
      <c r="P186" s="335"/>
      <c r="Q186" s="324"/>
      <c r="R186" s="369"/>
      <c r="S186" s="369"/>
      <c r="T186" s="13" t="str">
        <f t="shared" si="11"/>
        <v>14調査及び検査の状況-今回の調査　実施日-令和</v>
      </c>
      <c r="V186" s="202"/>
      <c r="W186" s="202"/>
      <c r="X186" s="202"/>
    </row>
    <row r="187" spans="2:28" ht="19">
      <c r="B187" s="4"/>
      <c r="C187" s="493" t="str">
        <f t="shared" ref="C187:E189" si="16">ASC($D187)</f>
        <v>0</v>
      </c>
      <c r="D187" s="107">
        <f>'1_入力シート【基本情報】'!$AE$209</f>
        <v>0</v>
      </c>
      <c r="E187" s="7" t="str">
        <f t="shared" si="16"/>
        <v>0</v>
      </c>
      <c r="F187" s="7" t="str">
        <f t="shared" si="9"/>
        <v>0</v>
      </c>
      <c r="G187" s="24"/>
      <c r="H187" s="565" t="s">
        <v>1903</v>
      </c>
      <c r="I187" s="326" t="s">
        <v>1904</v>
      </c>
      <c r="J187" s="357" t="s">
        <v>1407</v>
      </c>
      <c r="K187" s="326" t="s">
        <v>1905</v>
      </c>
      <c r="L187" s="358" t="s">
        <v>1407</v>
      </c>
      <c r="M187" s="335" t="s">
        <v>12</v>
      </c>
      <c r="N187" s="367"/>
      <c r="O187" s="333"/>
      <c r="P187" s="335"/>
      <c r="Q187" s="324"/>
      <c r="R187" s="369"/>
      <c r="S187" s="369"/>
      <c r="T187" s="13" t="str">
        <f t="shared" si="11"/>
        <v>14調査及び検査の状況-今回の調査　実施日-年</v>
      </c>
      <c r="V187" s="202"/>
      <c r="W187" s="202"/>
      <c r="X187" s="202"/>
    </row>
    <row r="188" spans="2:28" ht="19">
      <c r="B188" s="5"/>
      <c r="C188" s="493" t="str">
        <f t="shared" si="16"/>
        <v>0</v>
      </c>
      <c r="D188" s="492">
        <f>'1_入力シート【基本情報】'!$AJ$209</f>
        <v>0</v>
      </c>
      <c r="E188" s="7" t="str">
        <f t="shared" si="16"/>
        <v>0</v>
      </c>
      <c r="F188" s="7" t="str">
        <f t="shared" si="9"/>
        <v>0</v>
      </c>
      <c r="G188" s="567"/>
      <c r="H188" s="565" t="s">
        <v>1903</v>
      </c>
      <c r="I188" s="326" t="s">
        <v>1904</v>
      </c>
      <c r="J188" s="357" t="s">
        <v>1407</v>
      </c>
      <c r="K188" s="326" t="s">
        <v>1905</v>
      </c>
      <c r="L188" s="358" t="s">
        <v>1407</v>
      </c>
      <c r="M188" s="335" t="s">
        <v>383</v>
      </c>
      <c r="N188" s="367"/>
      <c r="O188" s="333"/>
      <c r="P188" s="327"/>
      <c r="Q188" s="336"/>
      <c r="R188" s="369"/>
      <c r="S188" s="369"/>
      <c r="T188" s="13" t="str">
        <f t="shared" si="11"/>
        <v>14調査及び検査の状況-今回の調査　実施日-月</v>
      </c>
      <c r="V188" s="202"/>
      <c r="W188" s="202"/>
      <c r="X188" s="202"/>
    </row>
    <row r="189" spans="2:28" ht="19">
      <c r="B189" s="5"/>
      <c r="C189" s="493" t="str">
        <f t="shared" si="16"/>
        <v>0</v>
      </c>
      <c r="D189" s="492">
        <f>'1_入力シート【基本情報】'!$AO$209</f>
        <v>0</v>
      </c>
      <c r="E189" s="7" t="str">
        <f t="shared" si="16"/>
        <v>0</v>
      </c>
      <c r="F189" s="7" t="str">
        <f t="shared" si="9"/>
        <v>0</v>
      </c>
      <c r="G189" s="567"/>
      <c r="H189" s="565" t="s">
        <v>1903</v>
      </c>
      <c r="I189" s="326" t="s">
        <v>1904</v>
      </c>
      <c r="J189" s="357" t="s">
        <v>1407</v>
      </c>
      <c r="K189" s="326" t="s">
        <v>1905</v>
      </c>
      <c r="L189" s="358" t="s">
        <v>1407</v>
      </c>
      <c r="M189" s="335" t="s">
        <v>399</v>
      </c>
      <c r="N189" s="367"/>
      <c r="O189" s="333"/>
      <c r="P189" s="327"/>
      <c r="Q189" s="336"/>
      <c r="R189" s="203"/>
      <c r="S189" s="203"/>
      <c r="T189" s="13" t="str">
        <f t="shared" si="11"/>
        <v>14調査及び検査の状況-今回の調査　実施日-日</v>
      </c>
      <c r="V189" s="202"/>
      <c r="W189" s="202"/>
      <c r="X189" s="202"/>
    </row>
    <row r="190" spans="2:28">
      <c r="B190" s="5"/>
      <c r="C190" s="5"/>
      <c r="D190" s="492">
        <f>'1_入力シート【基本情報】'!$AB$210</f>
        <v>0</v>
      </c>
      <c r="E190" s="564">
        <f>'1_入力シート【基本情報】'!$AB$210</f>
        <v>0</v>
      </c>
      <c r="F190" s="564" t="str">
        <f t="shared" si="9"/>
        <v>0</v>
      </c>
      <c r="G190" s="567"/>
      <c r="H190" s="565" t="s">
        <v>1903</v>
      </c>
      <c r="I190" s="326" t="s">
        <v>1904</v>
      </c>
      <c r="J190" s="357" t="s">
        <v>1407</v>
      </c>
      <c r="K190" s="326" t="s">
        <v>295</v>
      </c>
      <c r="L190" s="358" t="s">
        <v>1407</v>
      </c>
      <c r="M190" s="335" t="s">
        <v>720</v>
      </c>
      <c r="N190" s="367"/>
      <c r="O190" s="326"/>
      <c r="P190" s="327"/>
      <c r="Q190" s="336"/>
      <c r="R190" s="203"/>
      <c r="S190" s="203"/>
      <c r="T190" s="13" t="str">
        <f t="shared" si="11"/>
        <v>14調査及び検査の状況-前回の調査-有無</v>
      </c>
      <c r="V190" s="202"/>
      <c r="W190" s="202"/>
      <c r="X190" s="202"/>
    </row>
    <row r="191" spans="2:28">
      <c r="B191" s="5"/>
      <c r="C191" s="5"/>
      <c r="D191" s="492">
        <f>'1_入力シート【基本情報】'!$AB$211</f>
        <v>0</v>
      </c>
      <c r="E191" s="564">
        <f>'1_入力シート【基本情報】'!$AB$211</f>
        <v>0</v>
      </c>
      <c r="F191" s="564" t="str">
        <f t="shared" si="9"/>
        <v>0</v>
      </c>
      <c r="G191" s="567"/>
      <c r="H191" s="565" t="s">
        <v>1903</v>
      </c>
      <c r="I191" s="326" t="s">
        <v>1904</v>
      </c>
      <c r="J191" s="357" t="s">
        <v>1407</v>
      </c>
      <c r="K191" s="326" t="s">
        <v>295</v>
      </c>
      <c r="L191" s="358" t="s">
        <v>1407</v>
      </c>
      <c r="M191" s="325" t="s">
        <v>334</v>
      </c>
      <c r="N191" s="358" t="s">
        <v>1407</v>
      </c>
      <c r="O191" s="326" t="s">
        <v>1174</v>
      </c>
      <c r="P191" s="327"/>
      <c r="Q191" s="336"/>
      <c r="R191" s="203"/>
      <c r="S191" s="203"/>
      <c r="T191" s="13" t="str">
        <f t="shared" si="11"/>
        <v>14調査及び検査の状況-前回の調査-実施日-元号</v>
      </c>
      <c r="V191" s="202"/>
      <c r="W191" s="202"/>
      <c r="X191" s="202"/>
    </row>
    <row r="192" spans="2:28" ht="19">
      <c r="B192" s="4"/>
      <c r="C192" s="493" t="str">
        <f t="shared" ref="C192:E194" si="17">ASC($D192)</f>
        <v>0</v>
      </c>
      <c r="D192" s="107">
        <f>'1_入力シート【基本情報】'!$AE$211</f>
        <v>0</v>
      </c>
      <c r="E192" s="7" t="str">
        <f t="shared" si="17"/>
        <v>0</v>
      </c>
      <c r="F192" s="7" t="str">
        <f t="shared" si="9"/>
        <v>0</v>
      </c>
      <c r="G192" s="24"/>
      <c r="H192" s="565" t="s">
        <v>1903</v>
      </c>
      <c r="I192" s="326" t="s">
        <v>1904</v>
      </c>
      <c r="J192" s="357" t="s">
        <v>1407</v>
      </c>
      <c r="K192" s="326" t="s">
        <v>295</v>
      </c>
      <c r="L192" s="358" t="s">
        <v>1407</v>
      </c>
      <c r="M192" s="325" t="s">
        <v>334</v>
      </c>
      <c r="N192" s="367" t="s">
        <v>1407</v>
      </c>
      <c r="O192" s="326" t="s">
        <v>12</v>
      </c>
      <c r="P192" s="335"/>
      <c r="Q192" s="336"/>
      <c r="R192" s="203"/>
      <c r="S192" s="203"/>
      <c r="T192" s="13" t="str">
        <f t="shared" si="11"/>
        <v>14調査及び検査の状況-前回の調査-実施日-年</v>
      </c>
      <c r="V192" s="202"/>
      <c r="W192" s="202"/>
      <c r="X192" s="202"/>
    </row>
    <row r="193" spans="2:24" ht="19">
      <c r="B193" s="5"/>
      <c r="C193" s="493" t="str">
        <f t="shared" si="17"/>
        <v>0</v>
      </c>
      <c r="D193" s="492">
        <f>'1_入力シート【基本情報】'!$AJ$211</f>
        <v>0</v>
      </c>
      <c r="E193" s="7" t="str">
        <f t="shared" si="17"/>
        <v>0</v>
      </c>
      <c r="F193" s="7" t="str">
        <f t="shared" si="9"/>
        <v>0</v>
      </c>
      <c r="G193" s="567"/>
      <c r="H193" s="565" t="s">
        <v>1903</v>
      </c>
      <c r="I193" s="326" t="s">
        <v>1904</v>
      </c>
      <c r="J193" s="357" t="s">
        <v>1407</v>
      </c>
      <c r="K193" s="326" t="s">
        <v>295</v>
      </c>
      <c r="L193" s="358" t="s">
        <v>1407</v>
      </c>
      <c r="M193" s="325" t="s">
        <v>334</v>
      </c>
      <c r="N193" s="367" t="s">
        <v>1407</v>
      </c>
      <c r="O193" s="326" t="s">
        <v>383</v>
      </c>
      <c r="P193" s="335"/>
      <c r="Q193" s="336"/>
      <c r="R193" s="203"/>
      <c r="S193" s="203"/>
      <c r="T193" s="13" t="str">
        <f t="shared" si="11"/>
        <v>14調査及び検査の状況-前回の調査-実施日-月</v>
      </c>
      <c r="V193" s="202"/>
      <c r="W193" s="202"/>
      <c r="X193" s="202"/>
    </row>
    <row r="194" spans="2:24" ht="19">
      <c r="B194" s="5"/>
      <c r="C194" s="493" t="str">
        <f t="shared" si="17"/>
        <v>0</v>
      </c>
      <c r="D194" s="492">
        <f>'1_入力シート【基本情報】'!$AO$211</f>
        <v>0</v>
      </c>
      <c r="E194" s="7" t="str">
        <f t="shared" si="17"/>
        <v>0</v>
      </c>
      <c r="F194" s="7" t="str">
        <f t="shared" si="9"/>
        <v>0</v>
      </c>
      <c r="G194" s="567"/>
      <c r="H194" s="565" t="s">
        <v>1903</v>
      </c>
      <c r="I194" s="326" t="s">
        <v>1904</v>
      </c>
      <c r="J194" s="357" t="s">
        <v>1407</v>
      </c>
      <c r="K194" s="326" t="s">
        <v>295</v>
      </c>
      <c r="L194" s="358" t="s">
        <v>1407</v>
      </c>
      <c r="M194" s="325" t="s">
        <v>334</v>
      </c>
      <c r="N194" s="367" t="s">
        <v>1407</v>
      </c>
      <c r="O194" s="326" t="s">
        <v>399</v>
      </c>
      <c r="P194" s="335"/>
      <c r="Q194" s="336"/>
      <c r="R194" s="203"/>
      <c r="S194" s="203"/>
      <c r="T194" s="13" t="str">
        <f t="shared" si="11"/>
        <v>14調査及び検査の状況-前回の調査-実施日-日</v>
      </c>
      <c r="V194" s="202"/>
      <c r="W194" s="202"/>
      <c r="X194" s="202"/>
    </row>
    <row r="195" spans="2:24">
      <c r="B195" s="5"/>
      <c r="C195" s="5"/>
      <c r="D195" s="492">
        <f>'1_入力シート【基本情報】'!$AB$212</f>
        <v>0</v>
      </c>
      <c r="E195" s="564">
        <f>'1_入力シート【基本情報】'!$AB$212</f>
        <v>0</v>
      </c>
      <c r="F195" s="564" t="str">
        <f t="shared" si="9"/>
        <v>0</v>
      </c>
      <c r="G195" s="567"/>
      <c r="H195" s="565" t="s">
        <v>1903</v>
      </c>
      <c r="I195" s="326" t="s">
        <v>1904</v>
      </c>
      <c r="J195" s="357" t="s">
        <v>1407</v>
      </c>
      <c r="K195" s="326" t="s">
        <v>296</v>
      </c>
      <c r="L195" s="358" t="s">
        <v>1407</v>
      </c>
      <c r="M195" s="325" t="s">
        <v>720</v>
      </c>
      <c r="N195" s="367"/>
      <c r="O195" s="326"/>
      <c r="P195" s="335"/>
      <c r="Q195" s="336"/>
      <c r="R195" s="203"/>
      <c r="S195" s="203"/>
      <c r="T195" s="13" t="str">
        <f t="shared" si="11"/>
        <v>14調査及び検査の状況-建築設備の検査-有無</v>
      </c>
      <c r="V195" s="202"/>
      <c r="W195" s="202"/>
      <c r="X195" s="202"/>
    </row>
    <row r="196" spans="2:24">
      <c r="B196" s="5"/>
      <c r="C196" s="5"/>
      <c r="D196" s="492">
        <f>'1_入力シート【基本情報】'!$AB$213</f>
        <v>0</v>
      </c>
      <c r="E196" s="564">
        <f>'1_入力シート【基本情報】'!$AB$213</f>
        <v>0</v>
      </c>
      <c r="F196" s="564" t="str">
        <f t="shared" si="9"/>
        <v>0</v>
      </c>
      <c r="G196" s="567"/>
      <c r="H196" s="565" t="s">
        <v>1903</v>
      </c>
      <c r="I196" s="326" t="s">
        <v>1904</v>
      </c>
      <c r="J196" s="357" t="s">
        <v>1407</v>
      </c>
      <c r="K196" s="326" t="s">
        <v>296</v>
      </c>
      <c r="L196" s="358" t="s">
        <v>1407</v>
      </c>
      <c r="M196" s="325" t="s">
        <v>334</v>
      </c>
      <c r="N196" s="367" t="s">
        <v>1407</v>
      </c>
      <c r="O196" s="326" t="s">
        <v>1174</v>
      </c>
      <c r="P196" s="327"/>
      <c r="Q196" s="336"/>
      <c r="R196" s="203"/>
      <c r="S196" s="203"/>
      <c r="T196" s="13" t="str">
        <f t="shared" si="11"/>
        <v>14調査及び検査の状況-建築設備の検査-実施日-元号</v>
      </c>
      <c r="V196" s="202"/>
      <c r="W196" s="202"/>
      <c r="X196" s="202"/>
    </row>
    <row r="197" spans="2:24" ht="19">
      <c r="B197" s="5"/>
      <c r="C197" s="493" t="str">
        <f t="shared" ref="C197:E199" si="18">ASC($D197)</f>
        <v>0</v>
      </c>
      <c r="D197" s="492">
        <f>'1_入力シート【基本情報】'!$AE$213</f>
        <v>0</v>
      </c>
      <c r="E197" s="7" t="str">
        <f t="shared" si="18"/>
        <v>0</v>
      </c>
      <c r="F197" s="7" t="str">
        <f t="shared" ref="F197:F260" si="19">SUBSTITUTE(E197,CHAR(10),"")</f>
        <v>0</v>
      </c>
      <c r="G197" s="567"/>
      <c r="H197" s="565" t="s">
        <v>1903</v>
      </c>
      <c r="I197" s="326" t="s">
        <v>1904</v>
      </c>
      <c r="J197" s="357" t="s">
        <v>1407</v>
      </c>
      <c r="K197" s="326" t="s">
        <v>296</v>
      </c>
      <c r="L197" s="358" t="s">
        <v>1407</v>
      </c>
      <c r="M197" s="325" t="s">
        <v>334</v>
      </c>
      <c r="N197" s="367" t="s">
        <v>1407</v>
      </c>
      <c r="O197" s="326" t="s">
        <v>12</v>
      </c>
      <c r="P197" s="327"/>
      <c r="Q197" s="336"/>
      <c r="R197" s="203"/>
      <c r="S197" s="203"/>
      <c r="T197" s="13" t="str">
        <f t="shared" si="11"/>
        <v>14調査及び検査の状況-建築設備の検査-実施日-年</v>
      </c>
      <c r="V197" s="202"/>
      <c r="W197" s="202"/>
      <c r="X197" s="202"/>
    </row>
    <row r="198" spans="2:24" ht="19">
      <c r="B198" s="5"/>
      <c r="C198" s="493" t="str">
        <f t="shared" si="18"/>
        <v>0</v>
      </c>
      <c r="D198" s="492">
        <f>'1_入力シート【基本情報】'!$AJ$213</f>
        <v>0</v>
      </c>
      <c r="E198" s="7" t="str">
        <f t="shared" si="18"/>
        <v>0</v>
      </c>
      <c r="F198" s="7" t="str">
        <f t="shared" si="19"/>
        <v>0</v>
      </c>
      <c r="G198" s="567"/>
      <c r="H198" s="565" t="s">
        <v>1903</v>
      </c>
      <c r="I198" s="326" t="s">
        <v>1904</v>
      </c>
      <c r="J198" s="357" t="s">
        <v>1407</v>
      </c>
      <c r="K198" s="326" t="s">
        <v>296</v>
      </c>
      <c r="L198" s="358" t="s">
        <v>1407</v>
      </c>
      <c r="M198" s="325" t="s">
        <v>334</v>
      </c>
      <c r="N198" s="367" t="s">
        <v>1407</v>
      </c>
      <c r="O198" s="326" t="s">
        <v>383</v>
      </c>
      <c r="P198" s="327"/>
      <c r="Q198" s="336"/>
      <c r="R198" s="203"/>
      <c r="S198" s="203"/>
      <c r="T198" s="13" t="str">
        <f t="shared" si="11"/>
        <v>14調査及び検査の状況-建築設備の検査-実施日-月</v>
      </c>
      <c r="V198" s="202"/>
      <c r="W198" s="202"/>
      <c r="X198" s="202"/>
    </row>
    <row r="199" spans="2:24" ht="19">
      <c r="B199" s="4"/>
      <c r="C199" s="493" t="str">
        <f t="shared" si="18"/>
        <v>0</v>
      </c>
      <c r="D199" s="107">
        <f>'1_入力シート【基本情報】'!$AO$213</f>
        <v>0</v>
      </c>
      <c r="E199" s="7" t="str">
        <f t="shared" si="18"/>
        <v>0</v>
      </c>
      <c r="F199" s="7" t="str">
        <f t="shared" si="19"/>
        <v>0</v>
      </c>
      <c r="G199" s="24"/>
      <c r="H199" s="565" t="s">
        <v>1903</v>
      </c>
      <c r="I199" s="326" t="s">
        <v>1904</v>
      </c>
      <c r="J199" s="357" t="s">
        <v>1407</v>
      </c>
      <c r="K199" s="326" t="s">
        <v>296</v>
      </c>
      <c r="L199" s="358" t="s">
        <v>1407</v>
      </c>
      <c r="M199" s="325" t="s">
        <v>334</v>
      </c>
      <c r="N199" s="367" t="s">
        <v>1407</v>
      </c>
      <c r="O199" s="326" t="s">
        <v>399</v>
      </c>
      <c r="P199" s="327"/>
      <c r="Q199" s="336"/>
      <c r="R199" s="203"/>
      <c r="S199" s="203"/>
      <c r="T199" s="13" t="str">
        <f t="shared" si="11"/>
        <v>14調査及び検査の状況-建築設備の検査-実施日-日</v>
      </c>
      <c r="V199" s="202"/>
      <c r="W199" s="202"/>
      <c r="X199" s="202"/>
    </row>
    <row r="200" spans="2:24">
      <c r="B200" s="4"/>
      <c r="C200" s="4"/>
      <c r="D200" s="107">
        <f>'1_入力シート【基本情報】'!$AB$214</f>
        <v>0</v>
      </c>
      <c r="E200" s="564">
        <f>'1_入力シート【基本情報】'!$AB$214</f>
        <v>0</v>
      </c>
      <c r="F200" s="564" t="str">
        <f t="shared" si="19"/>
        <v>0</v>
      </c>
      <c r="G200" s="24"/>
      <c r="H200" s="565" t="s">
        <v>1903</v>
      </c>
      <c r="I200" s="326" t="s">
        <v>1904</v>
      </c>
      <c r="J200" s="357" t="s">
        <v>1407</v>
      </c>
      <c r="K200" s="326" t="s">
        <v>1920</v>
      </c>
      <c r="L200" s="358" t="s">
        <v>1407</v>
      </c>
      <c r="M200" s="325" t="s">
        <v>720</v>
      </c>
      <c r="N200" s="367"/>
      <c r="O200" s="326"/>
      <c r="P200" s="327"/>
      <c r="Q200" s="336"/>
      <c r="R200" s="203"/>
      <c r="S200" s="203"/>
      <c r="T200" s="13" t="str">
        <f t="shared" si="11"/>
        <v>14調査及び検査の状況-昇降機等の検査-有無</v>
      </c>
      <c r="V200" s="202"/>
      <c r="W200" s="202"/>
      <c r="X200" s="202"/>
    </row>
    <row r="201" spans="2:24">
      <c r="B201" s="5"/>
      <c r="C201" s="5"/>
      <c r="D201" s="492">
        <f>'1_入力シート【基本情報】'!$AB$215</f>
        <v>0</v>
      </c>
      <c r="E201" s="564">
        <f>'1_入力シート【基本情報】'!$AB$215</f>
        <v>0</v>
      </c>
      <c r="F201" s="564" t="str">
        <f t="shared" si="19"/>
        <v>0</v>
      </c>
      <c r="G201" s="567"/>
      <c r="H201" s="565" t="s">
        <v>1903</v>
      </c>
      <c r="I201" s="326" t="s">
        <v>1904</v>
      </c>
      <c r="J201" s="357" t="s">
        <v>1407</v>
      </c>
      <c r="K201" s="326" t="s">
        <v>1920</v>
      </c>
      <c r="L201" s="358" t="s">
        <v>1407</v>
      </c>
      <c r="M201" s="325" t="s">
        <v>334</v>
      </c>
      <c r="N201" s="367" t="s">
        <v>1407</v>
      </c>
      <c r="O201" s="326" t="s">
        <v>1174</v>
      </c>
      <c r="P201" s="327"/>
      <c r="Q201" s="336"/>
      <c r="R201" s="203"/>
      <c r="S201" s="203"/>
      <c r="T201" s="13" t="str">
        <f t="shared" si="11"/>
        <v>14調査及び検査の状況-昇降機等の検査-実施日-元号</v>
      </c>
      <c r="V201" s="202"/>
      <c r="W201" s="202"/>
      <c r="X201" s="202"/>
    </row>
    <row r="202" spans="2:24" ht="19">
      <c r="B202" s="5"/>
      <c r="C202" s="493" t="str">
        <f t="shared" ref="C202:E204" si="20">ASC($D202)</f>
        <v>0</v>
      </c>
      <c r="D202" s="492">
        <f>'1_入力シート【基本情報】'!$AE$215</f>
        <v>0</v>
      </c>
      <c r="E202" s="7" t="str">
        <f t="shared" si="20"/>
        <v>0</v>
      </c>
      <c r="F202" s="7" t="str">
        <f t="shared" si="19"/>
        <v>0</v>
      </c>
      <c r="G202" s="567"/>
      <c r="H202" s="565" t="s">
        <v>1903</v>
      </c>
      <c r="I202" s="326" t="s">
        <v>1904</v>
      </c>
      <c r="J202" s="357" t="s">
        <v>1407</v>
      </c>
      <c r="K202" s="326" t="s">
        <v>1920</v>
      </c>
      <c r="L202" s="358" t="s">
        <v>1407</v>
      </c>
      <c r="M202" s="325" t="s">
        <v>334</v>
      </c>
      <c r="N202" s="367" t="s">
        <v>1407</v>
      </c>
      <c r="O202" s="326" t="s">
        <v>12</v>
      </c>
      <c r="P202" s="327"/>
      <c r="Q202" s="336"/>
      <c r="R202" s="203"/>
      <c r="S202" s="203"/>
      <c r="T202" s="13" t="str">
        <f t="shared" si="11"/>
        <v>14調査及び検査の状況-昇降機等の検査-実施日-年</v>
      </c>
      <c r="V202" s="202"/>
      <c r="W202" s="202"/>
      <c r="X202" s="202"/>
    </row>
    <row r="203" spans="2:24" ht="19">
      <c r="B203" s="4"/>
      <c r="C203" s="493" t="str">
        <f t="shared" si="20"/>
        <v>0</v>
      </c>
      <c r="D203" s="107">
        <f>'1_入力シート【基本情報】'!$AJ$215</f>
        <v>0</v>
      </c>
      <c r="E203" s="7" t="str">
        <f t="shared" si="20"/>
        <v>0</v>
      </c>
      <c r="F203" s="7" t="str">
        <f t="shared" si="19"/>
        <v>0</v>
      </c>
      <c r="G203" s="24"/>
      <c r="H203" s="565" t="s">
        <v>1903</v>
      </c>
      <c r="I203" s="326" t="s">
        <v>1904</v>
      </c>
      <c r="J203" s="357" t="s">
        <v>1407</v>
      </c>
      <c r="K203" s="326" t="s">
        <v>1920</v>
      </c>
      <c r="L203" s="358" t="s">
        <v>1407</v>
      </c>
      <c r="M203" s="325" t="s">
        <v>334</v>
      </c>
      <c r="N203" s="367" t="s">
        <v>1407</v>
      </c>
      <c r="O203" s="326" t="s">
        <v>383</v>
      </c>
      <c r="P203" s="335"/>
      <c r="Q203" s="336"/>
      <c r="R203" s="203"/>
      <c r="S203" s="203"/>
      <c r="T203" s="13" t="str">
        <f t="shared" ref="T203:T266" si="21">CONCATENATE(H203,I203,J203,K203,L203,M203,N203,O203,P203,Q203)</f>
        <v>14調査及び検査の状況-昇降機等の検査-実施日-月</v>
      </c>
      <c r="V203" s="202"/>
      <c r="W203" s="202"/>
      <c r="X203" s="202"/>
    </row>
    <row r="204" spans="2:24" ht="19">
      <c r="B204" s="4"/>
      <c r="C204" s="493" t="str">
        <f t="shared" si="20"/>
        <v>0</v>
      </c>
      <c r="D204" s="107">
        <f>'1_入力シート【基本情報】'!$AO$215</f>
        <v>0</v>
      </c>
      <c r="E204" s="7" t="str">
        <f t="shared" si="20"/>
        <v>0</v>
      </c>
      <c r="F204" s="7" t="str">
        <f t="shared" si="19"/>
        <v>0</v>
      </c>
      <c r="G204" s="24"/>
      <c r="H204" s="565" t="s">
        <v>1903</v>
      </c>
      <c r="I204" s="326" t="s">
        <v>1904</v>
      </c>
      <c r="J204" s="357" t="s">
        <v>1407</v>
      </c>
      <c r="K204" s="326" t="s">
        <v>1920</v>
      </c>
      <c r="L204" s="358" t="s">
        <v>1407</v>
      </c>
      <c r="M204" s="325" t="s">
        <v>334</v>
      </c>
      <c r="N204" s="367" t="s">
        <v>1407</v>
      </c>
      <c r="O204" s="326" t="s">
        <v>399</v>
      </c>
      <c r="P204" s="335"/>
      <c r="Q204" s="336"/>
      <c r="R204" s="203"/>
      <c r="S204" s="203"/>
      <c r="T204" s="13" t="str">
        <f t="shared" si="21"/>
        <v>14調査及び検査の状況-昇降機等の検査-実施日-日</v>
      </c>
      <c r="V204" s="202"/>
      <c r="W204" s="202"/>
      <c r="X204" s="202"/>
    </row>
    <row r="205" spans="2:24">
      <c r="B205" s="5"/>
      <c r="C205" s="5"/>
      <c r="D205" s="492">
        <f>'1_入力シート【基本情報】'!$AB$216</f>
        <v>0</v>
      </c>
      <c r="E205" s="564">
        <f>'1_入力シート【基本情報】'!$AB$216</f>
        <v>0</v>
      </c>
      <c r="F205" s="564" t="str">
        <f t="shared" si="19"/>
        <v>0</v>
      </c>
      <c r="G205" s="567"/>
      <c r="H205" s="565" t="s">
        <v>1903</v>
      </c>
      <c r="I205" s="326" t="s">
        <v>1904</v>
      </c>
      <c r="J205" s="357" t="s">
        <v>1407</v>
      </c>
      <c r="K205" s="326" t="s">
        <v>1926</v>
      </c>
      <c r="L205" s="358" t="s">
        <v>1407</v>
      </c>
      <c r="M205" s="325" t="s">
        <v>720</v>
      </c>
      <c r="N205" s="367"/>
      <c r="O205" s="326"/>
      <c r="P205" s="335"/>
      <c r="Q205" s="336"/>
      <c r="R205" s="203"/>
      <c r="S205" s="203"/>
      <c r="T205" s="13" t="str">
        <f t="shared" si="21"/>
        <v>14調査及び検査の状況-防火設備の検査-有無</v>
      </c>
      <c r="V205" s="202"/>
      <c r="W205" s="202"/>
      <c r="X205" s="202"/>
    </row>
    <row r="206" spans="2:24">
      <c r="B206" s="5"/>
      <c r="C206" s="5"/>
      <c r="D206" s="492">
        <f>'1_入力シート【基本情報】'!$AB$217</f>
        <v>0</v>
      </c>
      <c r="E206" s="564">
        <f>'1_入力シート【基本情報】'!$AB$217</f>
        <v>0</v>
      </c>
      <c r="F206" s="564" t="str">
        <f t="shared" si="19"/>
        <v>0</v>
      </c>
      <c r="G206" s="567"/>
      <c r="H206" s="565" t="s">
        <v>1903</v>
      </c>
      <c r="I206" s="326" t="s">
        <v>1904</v>
      </c>
      <c r="J206" s="357" t="s">
        <v>1407</v>
      </c>
      <c r="K206" s="326" t="s">
        <v>1926</v>
      </c>
      <c r="L206" s="358" t="s">
        <v>1407</v>
      </c>
      <c r="M206" s="325" t="s">
        <v>334</v>
      </c>
      <c r="N206" s="367" t="s">
        <v>1407</v>
      </c>
      <c r="O206" s="326" t="s">
        <v>1174</v>
      </c>
      <c r="P206" s="335"/>
      <c r="Q206" s="336"/>
      <c r="R206" s="203"/>
      <c r="S206" s="203"/>
      <c r="T206" s="13" t="str">
        <f t="shared" si="21"/>
        <v>14調査及び検査の状況-防火設備の検査-実施日-元号</v>
      </c>
      <c r="V206" s="202"/>
      <c r="W206" s="202"/>
      <c r="X206" s="202"/>
    </row>
    <row r="207" spans="2:24" ht="19">
      <c r="B207" s="5"/>
      <c r="C207" s="493" t="str">
        <f t="shared" ref="C207:E209" si="22">ASC($D207)</f>
        <v>0</v>
      </c>
      <c r="D207" s="492">
        <f>'1_入力シート【基本情報】'!$AE$217</f>
        <v>0</v>
      </c>
      <c r="E207" s="7" t="str">
        <f t="shared" si="22"/>
        <v>0</v>
      </c>
      <c r="F207" s="7" t="str">
        <f t="shared" si="19"/>
        <v>0</v>
      </c>
      <c r="G207" s="567"/>
      <c r="H207" s="565" t="s">
        <v>1903</v>
      </c>
      <c r="I207" s="326" t="s">
        <v>1904</v>
      </c>
      <c r="J207" s="357" t="s">
        <v>1407</v>
      </c>
      <c r="K207" s="326" t="s">
        <v>1926</v>
      </c>
      <c r="L207" s="358" t="s">
        <v>1407</v>
      </c>
      <c r="M207" s="325" t="s">
        <v>334</v>
      </c>
      <c r="N207" s="367" t="s">
        <v>1407</v>
      </c>
      <c r="O207" s="326" t="s">
        <v>12</v>
      </c>
      <c r="P207" s="327"/>
      <c r="Q207" s="336"/>
      <c r="R207" s="203"/>
      <c r="S207" s="203"/>
      <c r="T207" s="13" t="str">
        <f t="shared" si="21"/>
        <v>14調査及び検査の状況-防火設備の検査-実施日-年</v>
      </c>
      <c r="V207" s="202"/>
      <c r="W207" s="202"/>
      <c r="X207" s="202"/>
    </row>
    <row r="208" spans="2:24" ht="19">
      <c r="B208" s="5"/>
      <c r="C208" s="493" t="str">
        <f t="shared" si="22"/>
        <v>0</v>
      </c>
      <c r="D208" s="492">
        <f>'1_入力シート【基本情報】'!$AJ$217</f>
        <v>0</v>
      </c>
      <c r="E208" s="7" t="str">
        <f t="shared" si="22"/>
        <v>0</v>
      </c>
      <c r="F208" s="7" t="str">
        <f t="shared" si="19"/>
        <v>0</v>
      </c>
      <c r="G208" s="567"/>
      <c r="H208" s="565" t="s">
        <v>1903</v>
      </c>
      <c r="I208" s="326" t="s">
        <v>1904</v>
      </c>
      <c r="J208" s="357" t="s">
        <v>1407</v>
      </c>
      <c r="K208" s="326" t="s">
        <v>1926</v>
      </c>
      <c r="L208" s="358" t="s">
        <v>1407</v>
      </c>
      <c r="M208" s="325" t="s">
        <v>334</v>
      </c>
      <c r="N208" s="367" t="s">
        <v>1407</v>
      </c>
      <c r="O208" s="326" t="s">
        <v>383</v>
      </c>
      <c r="P208" s="327"/>
      <c r="Q208" s="336"/>
      <c r="R208" s="203"/>
      <c r="S208" s="203"/>
      <c r="T208" s="13" t="str">
        <f t="shared" si="21"/>
        <v>14調査及び検査の状況-防火設備の検査-実施日-月</v>
      </c>
      <c r="V208" s="202"/>
      <c r="W208" s="202"/>
      <c r="X208" s="202"/>
    </row>
    <row r="209" spans="2:24" ht="19">
      <c r="B209" s="4"/>
      <c r="C209" s="493" t="str">
        <f t="shared" si="22"/>
        <v>0</v>
      </c>
      <c r="D209" s="107">
        <f>'1_入力シート【基本情報】'!$AO$217</f>
        <v>0</v>
      </c>
      <c r="E209" s="7" t="str">
        <f t="shared" si="22"/>
        <v>0</v>
      </c>
      <c r="F209" s="7" t="str">
        <f t="shared" si="19"/>
        <v>0</v>
      </c>
      <c r="G209" s="24"/>
      <c r="H209" s="565" t="s">
        <v>1903</v>
      </c>
      <c r="I209" s="326" t="s">
        <v>1904</v>
      </c>
      <c r="J209" s="357" t="s">
        <v>1407</v>
      </c>
      <c r="K209" s="326" t="s">
        <v>1926</v>
      </c>
      <c r="L209" s="358" t="s">
        <v>1407</v>
      </c>
      <c r="M209" s="325" t="s">
        <v>334</v>
      </c>
      <c r="N209" s="367" t="s">
        <v>1407</v>
      </c>
      <c r="O209" s="326" t="s">
        <v>399</v>
      </c>
      <c r="P209" s="327"/>
      <c r="Q209" s="336"/>
      <c r="R209" s="203"/>
      <c r="S209" s="203"/>
      <c r="T209" s="13" t="str">
        <f t="shared" si="21"/>
        <v>14調査及び検査の状況-防火設備の検査-実施日-日</v>
      </c>
      <c r="V209" s="202"/>
      <c r="W209" s="202"/>
      <c r="X209" s="202"/>
    </row>
    <row r="210" spans="2:24">
      <c r="B210" s="4"/>
      <c r="C210" s="4"/>
      <c r="D210" s="107">
        <f>'1_入力シート【基本情報】'!$AB$223</f>
        <v>0</v>
      </c>
      <c r="E210" s="564">
        <f>'1_入力シート【基本情報】'!$AB$223</f>
        <v>0</v>
      </c>
      <c r="F210" s="564" t="str">
        <f t="shared" si="19"/>
        <v>0</v>
      </c>
      <c r="G210" s="24"/>
      <c r="H210" s="565" t="s">
        <v>1932</v>
      </c>
      <c r="I210" s="326" t="s">
        <v>1933</v>
      </c>
      <c r="J210" s="357" t="s">
        <v>1407</v>
      </c>
      <c r="K210" s="326" t="s">
        <v>739</v>
      </c>
      <c r="L210" s="358" t="s">
        <v>1407</v>
      </c>
      <c r="M210" s="325" t="s">
        <v>720</v>
      </c>
      <c r="N210" s="358"/>
      <c r="O210" s="326"/>
      <c r="P210" s="327"/>
      <c r="Q210" s="336"/>
      <c r="R210" s="203"/>
      <c r="S210" s="203"/>
      <c r="T210" s="13" t="str">
        <f t="shared" si="21"/>
        <v>15石綿を添加した建築材料の調査状況-該当建築材料-有無</v>
      </c>
      <c r="V210" s="202"/>
      <c r="W210" s="202"/>
      <c r="X210" s="202"/>
    </row>
    <row r="211" spans="2:24">
      <c r="B211" s="4"/>
      <c r="C211" s="4"/>
      <c r="D211" s="107">
        <f>'1_入力シート【基本情報】'!$AB$224</f>
        <v>0</v>
      </c>
      <c r="E211" s="564">
        <f>'1_入力シート【基本情報】'!$AB$224</f>
        <v>0</v>
      </c>
      <c r="F211" s="564" t="str">
        <f t="shared" si="19"/>
        <v>0</v>
      </c>
      <c r="G211" s="24"/>
      <c r="H211" s="565" t="s">
        <v>1932</v>
      </c>
      <c r="I211" s="326" t="s">
        <v>1933</v>
      </c>
      <c r="J211" s="357" t="s">
        <v>1407</v>
      </c>
      <c r="K211" s="326" t="s">
        <v>739</v>
      </c>
      <c r="L211" s="358" t="s">
        <v>1407</v>
      </c>
      <c r="M211" s="325" t="s">
        <v>298</v>
      </c>
      <c r="N211" s="358"/>
      <c r="O211" s="326"/>
      <c r="P211" s="327"/>
      <c r="Q211" s="336"/>
      <c r="R211" s="203"/>
      <c r="S211" s="203"/>
      <c r="T211" s="13" t="str">
        <f t="shared" si="21"/>
        <v>15石綿を添加した建築材料の調査状況-該当建築材料-該当する室</v>
      </c>
      <c r="V211" s="202"/>
      <c r="W211" s="202"/>
      <c r="X211" s="202"/>
    </row>
    <row r="212" spans="2:24">
      <c r="B212" s="4"/>
      <c r="C212" s="4"/>
      <c r="D212" s="107">
        <f>'1_入力シート【基本情報】'!$AB$225</f>
        <v>0</v>
      </c>
      <c r="E212" s="564">
        <f>'1_入力シート【基本情報】'!$AB$225</f>
        <v>0</v>
      </c>
      <c r="F212" s="564" t="str">
        <f t="shared" si="19"/>
        <v>0</v>
      </c>
      <c r="G212" s="24"/>
      <c r="H212" s="565" t="s">
        <v>1932</v>
      </c>
      <c r="I212" s="326" t="s">
        <v>1933</v>
      </c>
      <c r="J212" s="357" t="s">
        <v>1407</v>
      </c>
      <c r="K212" s="326" t="s">
        <v>741</v>
      </c>
      <c r="L212" s="358" t="s">
        <v>1407</v>
      </c>
      <c r="M212" s="325" t="s">
        <v>720</v>
      </c>
      <c r="N212" s="358"/>
      <c r="O212" s="326"/>
      <c r="P212" s="327"/>
      <c r="Q212" s="336"/>
      <c r="R212" s="203"/>
      <c r="S212" s="203"/>
      <c r="T212" s="13" t="str">
        <f t="shared" si="21"/>
        <v>15石綿を添加した建築材料の調査状況-措置予定-有無</v>
      </c>
      <c r="V212" s="202"/>
      <c r="W212" s="202"/>
      <c r="X212" s="202"/>
    </row>
    <row r="213" spans="2:24">
      <c r="B213" s="4"/>
      <c r="C213" s="4"/>
      <c r="D213" s="107" t="str">
        <f>'1_入力シート【基本情報】'!$AB$226</f>
        <v>令和</v>
      </c>
      <c r="E213" s="564" t="str">
        <f>'1_入力シート【基本情報】'!$AB$226</f>
        <v>令和</v>
      </c>
      <c r="F213" s="564" t="str">
        <f t="shared" si="19"/>
        <v>令和</v>
      </c>
      <c r="G213" s="24"/>
      <c r="H213" s="565" t="s">
        <v>1932</v>
      </c>
      <c r="I213" s="326" t="s">
        <v>1933</v>
      </c>
      <c r="J213" s="357" t="s">
        <v>1407</v>
      </c>
      <c r="K213" s="326" t="s">
        <v>741</v>
      </c>
      <c r="L213" s="358" t="s">
        <v>1407</v>
      </c>
      <c r="M213" s="325" t="s">
        <v>1937</v>
      </c>
      <c r="N213" s="358" t="s">
        <v>1407</v>
      </c>
      <c r="O213" s="326" t="s">
        <v>316</v>
      </c>
      <c r="P213" s="327"/>
      <c r="Q213" s="336"/>
      <c r="R213" s="203"/>
      <c r="S213" s="203"/>
      <c r="T213" s="13" t="str">
        <f t="shared" si="21"/>
        <v>15石綿を添加した建築材料の調査状況-措置予定-改善予定年月-令和</v>
      </c>
      <c r="V213" s="202"/>
      <c r="W213" s="202"/>
      <c r="X213" s="202"/>
    </row>
    <row r="214" spans="2:24" ht="19">
      <c r="B214" s="5"/>
      <c r="C214" s="493" t="str">
        <f t="shared" ref="C214:E215" si="23">ASC($D214)</f>
        <v>0</v>
      </c>
      <c r="D214" s="492">
        <f>'1_入力シート【基本情報】'!$AE$226</f>
        <v>0</v>
      </c>
      <c r="E214" s="7" t="str">
        <f t="shared" si="23"/>
        <v>0</v>
      </c>
      <c r="F214" s="7" t="str">
        <f t="shared" si="19"/>
        <v>0</v>
      </c>
      <c r="G214" s="567"/>
      <c r="H214" s="565" t="s">
        <v>1932</v>
      </c>
      <c r="I214" s="326" t="s">
        <v>1933</v>
      </c>
      <c r="J214" s="357" t="s">
        <v>1407</v>
      </c>
      <c r="K214" s="326" t="s">
        <v>741</v>
      </c>
      <c r="L214" s="358" t="s">
        <v>1407</v>
      </c>
      <c r="M214" s="325" t="s">
        <v>1937</v>
      </c>
      <c r="N214" s="367" t="s">
        <v>1407</v>
      </c>
      <c r="O214" s="326" t="s">
        <v>12</v>
      </c>
      <c r="P214" s="327"/>
      <c r="Q214" s="336"/>
      <c r="R214" s="203"/>
      <c r="S214" s="203"/>
      <c r="T214" s="13" t="str">
        <f t="shared" si="21"/>
        <v>15石綿を添加した建築材料の調査状況-措置予定-改善予定年月-年</v>
      </c>
      <c r="V214" s="202"/>
      <c r="W214" s="202"/>
      <c r="X214" s="202"/>
    </row>
    <row r="215" spans="2:24" ht="19">
      <c r="B215" s="5"/>
      <c r="C215" s="493" t="str">
        <f t="shared" si="23"/>
        <v>0</v>
      </c>
      <c r="D215" s="492">
        <f>'1_入力シート【基本情報】'!$AJ$226</f>
        <v>0</v>
      </c>
      <c r="E215" s="7" t="str">
        <f t="shared" si="23"/>
        <v>0</v>
      </c>
      <c r="F215" s="7" t="str">
        <f t="shared" si="19"/>
        <v>0</v>
      </c>
      <c r="G215" s="567"/>
      <c r="H215" s="565" t="s">
        <v>1932</v>
      </c>
      <c r="I215" s="326" t="s">
        <v>1933</v>
      </c>
      <c r="J215" s="357" t="s">
        <v>1407</v>
      </c>
      <c r="K215" s="326" t="s">
        <v>741</v>
      </c>
      <c r="L215" s="358" t="s">
        <v>1407</v>
      </c>
      <c r="M215" s="325" t="s">
        <v>1937</v>
      </c>
      <c r="N215" s="367" t="s">
        <v>1407</v>
      </c>
      <c r="O215" s="326" t="s">
        <v>1940</v>
      </c>
      <c r="P215" s="327"/>
      <c r="Q215" s="336"/>
      <c r="R215" s="203"/>
      <c r="S215" s="203"/>
      <c r="T215" s="13" t="str">
        <f t="shared" si="21"/>
        <v>15石綿を添加した建築材料の調査状況-措置予定-改善予定年月-月実施予定</v>
      </c>
      <c r="V215" s="202"/>
      <c r="W215" s="202"/>
      <c r="X215" s="202"/>
    </row>
    <row r="216" spans="2:24">
      <c r="B216" s="4"/>
      <c r="C216" s="4"/>
      <c r="D216" s="107">
        <f>'1_入力シート【基本情報】'!$AB$232</f>
        <v>0</v>
      </c>
      <c r="E216" s="564">
        <f>'1_入力シート【基本情報】'!$AB$232</f>
        <v>0</v>
      </c>
      <c r="F216" s="564" t="str">
        <f t="shared" si="19"/>
        <v>0</v>
      </c>
      <c r="G216" s="24"/>
      <c r="H216" s="565" t="s">
        <v>1942</v>
      </c>
      <c r="I216" s="326" t="s">
        <v>1943</v>
      </c>
      <c r="J216" s="357" t="s">
        <v>1407</v>
      </c>
      <c r="K216" s="326" t="s">
        <v>299</v>
      </c>
      <c r="L216" s="358" t="s">
        <v>1407</v>
      </c>
      <c r="M216" s="325" t="s">
        <v>720</v>
      </c>
      <c r="N216" s="358"/>
      <c r="O216" s="326"/>
      <c r="P216" s="327"/>
      <c r="Q216" s="336"/>
      <c r="R216" s="203"/>
      <c r="S216" s="203"/>
      <c r="T216" s="13" t="str">
        <f t="shared" si="21"/>
        <v>16耐震診断及び耐震改修の調査状況-耐震診断-有無</v>
      </c>
      <c r="V216" s="202"/>
      <c r="W216" s="202"/>
      <c r="X216" s="202"/>
    </row>
    <row r="217" spans="2:24">
      <c r="B217" s="5"/>
      <c r="C217" s="5"/>
      <c r="D217" s="492">
        <f>'1_入力シート【基本情報】'!$AB$233</f>
        <v>0</v>
      </c>
      <c r="E217" s="564">
        <f>'1_入力シート【基本情報】'!$AB$233</f>
        <v>0</v>
      </c>
      <c r="F217" s="564" t="str">
        <f t="shared" si="19"/>
        <v>0</v>
      </c>
      <c r="G217" s="567"/>
      <c r="H217" s="565" t="s">
        <v>1942</v>
      </c>
      <c r="I217" s="326" t="s">
        <v>1943</v>
      </c>
      <c r="J217" s="357" t="s">
        <v>1407</v>
      </c>
      <c r="K217" s="326" t="s">
        <v>299</v>
      </c>
      <c r="L217" s="358" t="s">
        <v>1407</v>
      </c>
      <c r="M217" s="325" t="s">
        <v>1945</v>
      </c>
      <c r="N217" s="367" t="s">
        <v>1407</v>
      </c>
      <c r="O217" s="326" t="s">
        <v>316</v>
      </c>
      <c r="P217" s="335"/>
      <c r="Q217" s="336"/>
      <c r="R217" s="203"/>
      <c r="S217" s="203"/>
      <c r="T217" s="13" t="str">
        <f t="shared" si="21"/>
        <v>16耐震診断及び耐震改修の調査状況-耐震診断-実施予定年月-令和</v>
      </c>
      <c r="V217" s="202"/>
      <c r="W217" s="202"/>
      <c r="X217" s="202"/>
    </row>
    <row r="218" spans="2:24" ht="19">
      <c r="B218" s="4"/>
      <c r="C218" s="493" t="str">
        <f t="shared" ref="C218:E219" si="24">ASC($D218)</f>
        <v>0</v>
      </c>
      <c r="D218" s="107">
        <f>'1_入力シート【基本情報】'!$AE$233</f>
        <v>0</v>
      </c>
      <c r="E218" s="7" t="str">
        <f t="shared" si="24"/>
        <v>0</v>
      </c>
      <c r="F218" s="7" t="str">
        <f t="shared" si="19"/>
        <v>0</v>
      </c>
      <c r="G218" s="24"/>
      <c r="H218" s="565" t="s">
        <v>1942</v>
      </c>
      <c r="I218" s="326" t="s">
        <v>1943</v>
      </c>
      <c r="J218" s="357" t="s">
        <v>1407</v>
      </c>
      <c r="K218" s="326" t="s">
        <v>299</v>
      </c>
      <c r="L218" s="358" t="s">
        <v>1407</v>
      </c>
      <c r="M218" s="325" t="s">
        <v>1945</v>
      </c>
      <c r="N218" s="367" t="s">
        <v>1407</v>
      </c>
      <c r="O218" s="326" t="s">
        <v>12</v>
      </c>
      <c r="P218" s="335"/>
      <c r="Q218" s="336"/>
      <c r="R218" s="203"/>
      <c r="S218" s="203"/>
      <c r="T218" s="13" t="str">
        <f t="shared" si="21"/>
        <v>16耐震診断及び耐震改修の調査状況-耐震診断-実施予定年月-年</v>
      </c>
      <c r="V218" s="202"/>
      <c r="W218" s="202"/>
      <c r="X218" s="202"/>
    </row>
    <row r="219" spans="2:24" ht="19">
      <c r="B219" s="5"/>
      <c r="C219" s="493" t="str">
        <f t="shared" si="24"/>
        <v>0</v>
      </c>
      <c r="D219" s="492">
        <f>'1_入力シート【基本情報】'!$AJ$233</f>
        <v>0</v>
      </c>
      <c r="E219" s="7" t="str">
        <f t="shared" si="24"/>
        <v>0</v>
      </c>
      <c r="F219" s="7" t="str">
        <f t="shared" si="19"/>
        <v>0</v>
      </c>
      <c r="G219" s="567"/>
      <c r="H219" s="565" t="s">
        <v>1942</v>
      </c>
      <c r="I219" s="326" t="s">
        <v>1943</v>
      </c>
      <c r="J219" s="357" t="s">
        <v>1407</v>
      </c>
      <c r="K219" s="326" t="s">
        <v>299</v>
      </c>
      <c r="L219" s="358" t="s">
        <v>1407</v>
      </c>
      <c r="M219" s="325" t="s">
        <v>1945</v>
      </c>
      <c r="N219" s="367" t="s">
        <v>1407</v>
      </c>
      <c r="O219" s="326" t="s">
        <v>1940</v>
      </c>
      <c r="P219" s="335"/>
      <c r="Q219" s="336"/>
      <c r="R219" s="203"/>
      <c r="S219" s="203"/>
      <c r="T219" s="13" t="str">
        <f t="shared" si="21"/>
        <v>16耐震診断及び耐震改修の調査状況-耐震診断-実施予定年月-月実施予定</v>
      </c>
      <c r="V219" s="202"/>
      <c r="W219" s="202"/>
      <c r="X219" s="202"/>
    </row>
    <row r="220" spans="2:24">
      <c r="B220" s="4"/>
      <c r="C220" s="4"/>
      <c r="D220" s="107">
        <f>'1_入力シート【基本情報】'!$AB$234</f>
        <v>0</v>
      </c>
      <c r="E220" s="564">
        <f>'1_入力シート【基本情報】'!$AB$234</f>
        <v>0</v>
      </c>
      <c r="F220" s="564" t="str">
        <f t="shared" si="19"/>
        <v>0</v>
      </c>
      <c r="G220" s="24"/>
      <c r="H220" s="565" t="s">
        <v>1942</v>
      </c>
      <c r="I220" s="326" t="s">
        <v>1943</v>
      </c>
      <c r="J220" s="357" t="s">
        <v>1407</v>
      </c>
      <c r="K220" s="326" t="s">
        <v>300</v>
      </c>
      <c r="L220" s="358" t="s">
        <v>1407</v>
      </c>
      <c r="M220" s="325" t="s">
        <v>720</v>
      </c>
      <c r="N220" s="358"/>
      <c r="O220" s="326"/>
      <c r="P220" s="335"/>
      <c r="Q220" s="336"/>
      <c r="R220" s="203"/>
      <c r="S220" s="203"/>
      <c r="T220" s="13" t="str">
        <f t="shared" si="21"/>
        <v>16耐震診断及び耐震改修の調査状況-耐震改修-有無</v>
      </c>
      <c r="V220" s="202"/>
      <c r="W220" s="202"/>
      <c r="X220" s="202"/>
    </row>
    <row r="221" spans="2:24">
      <c r="B221" s="5"/>
      <c r="C221" s="5"/>
      <c r="D221" s="492">
        <f>'1_入力シート【基本情報】'!$AB$235</f>
        <v>0</v>
      </c>
      <c r="E221" s="564">
        <f>'1_入力シート【基本情報】'!$AB$235</f>
        <v>0</v>
      </c>
      <c r="F221" s="564" t="str">
        <f t="shared" si="19"/>
        <v>0</v>
      </c>
      <c r="G221" s="567"/>
      <c r="H221" s="565" t="s">
        <v>1942</v>
      </c>
      <c r="I221" s="326" t="s">
        <v>1943</v>
      </c>
      <c r="J221" s="357" t="s">
        <v>1407</v>
      </c>
      <c r="K221" s="326" t="s">
        <v>300</v>
      </c>
      <c r="L221" s="358" t="s">
        <v>1407</v>
      </c>
      <c r="M221" s="325" t="s">
        <v>1945</v>
      </c>
      <c r="N221" s="367" t="s">
        <v>1407</v>
      </c>
      <c r="O221" s="326" t="s">
        <v>316</v>
      </c>
      <c r="P221" s="327"/>
      <c r="Q221" s="336"/>
      <c r="R221" s="203"/>
      <c r="S221" s="203"/>
      <c r="T221" s="13" t="str">
        <f t="shared" si="21"/>
        <v>16耐震診断及び耐震改修の調査状況-耐震改修-実施予定年月-令和</v>
      </c>
      <c r="V221" s="202"/>
      <c r="W221" s="202"/>
      <c r="X221" s="202"/>
    </row>
    <row r="222" spans="2:24" ht="19">
      <c r="B222" s="4"/>
      <c r="C222" s="493" t="str">
        <f t="shared" ref="C222:E223" si="25">ASC($D222)</f>
        <v>0</v>
      </c>
      <c r="D222" s="107">
        <f>'1_入力シート【基本情報】'!$AE$235</f>
        <v>0</v>
      </c>
      <c r="E222" s="7" t="str">
        <f t="shared" si="25"/>
        <v>0</v>
      </c>
      <c r="F222" s="7" t="str">
        <f t="shared" si="19"/>
        <v>0</v>
      </c>
      <c r="G222" s="24"/>
      <c r="H222" s="565" t="s">
        <v>1942</v>
      </c>
      <c r="I222" s="326" t="s">
        <v>1943</v>
      </c>
      <c r="J222" s="357" t="s">
        <v>1407</v>
      </c>
      <c r="K222" s="326" t="s">
        <v>300</v>
      </c>
      <c r="L222" s="358" t="s">
        <v>1407</v>
      </c>
      <c r="M222" s="325" t="s">
        <v>1945</v>
      </c>
      <c r="N222" s="367" t="s">
        <v>1407</v>
      </c>
      <c r="O222" s="326" t="s">
        <v>12</v>
      </c>
      <c r="P222" s="327"/>
      <c r="Q222" s="336"/>
      <c r="R222" s="203"/>
      <c r="S222" s="203"/>
      <c r="T222" s="13" t="str">
        <f t="shared" si="21"/>
        <v>16耐震診断及び耐震改修の調査状況-耐震改修-実施予定年月-年</v>
      </c>
      <c r="V222" s="202"/>
      <c r="W222" s="202"/>
      <c r="X222" s="202"/>
    </row>
    <row r="223" spans="2:24" ht="19">
      <c r="B223" s="4"/>
      <c r="C223" s="493" t="str">
        <f t="shared" si="25"/>
        <v>0</v>
      </c>
      <c r="D223" s="107">
        <f>'1_入力シート【基本情報】'!$AJ$235</f>
        <v>0</v>
      </c>
      <c r="E223" s="7" t="str">
        <f t="shared" si="25"/>
        <v>0</v>
      </c>
      <c r="F223" s="7" t="str">
        <f t="shared" si="19"/>
        <v>0</v>
      </c>
      <c r="G223" s="24"/>
      <c r="H223" s="565" t="s">
        <v>1942</v>
      </c>
      <c r="I223" s="326" t="s">
        <v>1943</v>
      </c>
      <c r="J223" s="357" t="s">
        <v>1407</v>
      </c>
      <c r="K223" s="326" t="s">
        <v>300</v>
      </c>
      <c r="L223" s="358" t="s">
        <v>1407</v>
      </c>
      <c r="M223" s="325" t="s">
        <v>1945</v>
      </c>
      <c r="N223" s="367" t="s">
        <v>1407</v>
      </c>
      <c r="O223" s="326" t="s">
        <v>1940</v>
      </c>
      <c r="P223" s="327"/>
      <c r="Q223" s="336"/>
      <c r="R223" s="203"/>
      <c r="S223" s="203"/>
      <c r="T223" s="13" t="str">
        <f t="shared" si="21"/>
        <v>16耐震診断及び耐震改修の調査状況-耐震改修-実施予定年月-月実施予定</v>
      </c>
      <c r="V223" s="202"/>
      <c r="W223" s="202"/>
      <c r="X223" s="202"/>
    </row>
    <row r="224" spans="2:24">
      <c r="B224" s="4"/>
      <c r="C224" s="4"/>
      <c r="D224" s="107">
        <f>'1_入力シート【基本情報】'!$AB$241</f>
        <v>0</v>
      </c>
      <c r="E224" s="564">
        <f>'1_入力シート【基本情報】'!$AB$241</f>
        <v>0</v>
      </c>
      <c r="F224" s="564" t="str">
        <f t="shared" si="19"/>
        <v>0</v>
      </c>
      <c r="G224" s="24"/>
      <c r="H224" s="565" t="s">
        <v>1953</v>
      </c>
      <c r="I224" s="326" t="s">
        <v>1954</v>
      </c>
      <c r="J224" s="357" t="s">
        <v>1407</v>
      </c>
      <c r="K224" s="326" t="s">
        <v>1955</v>
      </c>
      <c r="L224" s="358"/>
      <c r="M224" s="325"/>
      <c r="N224" s="358"/>
      <c r="O224" s="326"/>
      <c r="P224" s="327"/>
      <c r="Q224" s="336"/>
      <c r="R224" s="203"/>
      <c r="S224" s="203"/>
      <c r="T224" s="13" t="str">
        <f t="shared" si="21"/>
        <v>17建築物等に係る不具合等の状況-不具合等</v>
      </c>
      <c r="V224" s="202"/>
      <c r="W224" s="202"/>
      <c r="X224" s="202"/>
    </row>
    <row r="225" spans="2:24">
      <c r="B225" s="4"/>
      <c r="C225" s="4"/>
      <c r="D225" s="107">
        <f>'1_入力シート【基本情報】'!$AB$242</f>
        <v>0</v>
      </c>
      <c r="E225" s="564">
        <f>'1_入力シート【基本情報】'!$AB$242</f>
        <v>0</v>
      </c>
      <c r="F225" s="564" t="str">
        <f t="shared" si="19"/>
        <v>0</v>
      </c>
      <c r="G225" s="24"/>
      <c r="H225" s="565" t="s">
        <v>1953</v>
      </c>
      <c r="I225" s="326" t="s">
        <v>1954</v>
      </c>
      <c r="J225" s="357" t="s">
        <v>1407</v>
      </c>
      <c r="K225" s="326" t="s">
        <v>1957</v>
      </c>
      <c r="L225" s="358"/>
      <c r="M225" s="325"/>
      <c r="N225" s="358"/>
      <c r="O225" s="326"/>
      <c r="P225" s="327"/>
      <c r="Q225" s="336"/>
      <c r="R225" s="203"/>
      <c r="S225" s="203"/>
      <c r="T225" s="13" t="str">
        <f t="shared" si="21"/>
        <v>17建築物等に係る不具合等の状況-不具合等の記録</v>
      </c>
      <c r="V225" s="202"/>
      <c r="W225" s="202"/>
      <c r="X225" s="202"/>
    </row>
    <row r="226" spans="2:24">
      <c r="B226" s="4"/>
      <c r="C226" s="4"/>
      <c r="D226" s="107">
        <f>'1_入力シート【基本情報】'!$M$245</f>
        <v>0</v>
      </c>
      <c r="E226" s="564">
        <f>'1_入力シート【基本情報】'!$M$245</f>
        <v>0</v>
      </c>
      <c r="F226" s="564" t="str">
        <f t="shared" si="19"/>
        <v>0</v>
      </c>
      <c r="G226" s="24"/>
      <c r="H226" s="565" t="s">
        <v>1953</v>
      </c>
      <c r="I226" s="326" t="s">
        <v>1954</v>
      </c>
      <c r="J226" s="357" t="s">
        <v>1407</v>
      </c>
      <c r="K226" s="326" t="s">
        <v>1959</v>
      </c>
      <c r="L226" s="358" t="s">
        <v>1407</v>
      </c>
      <c r="M226" s="325" t="s">
        <v>1174</v>
      </c>
      <c r="N226" s="358" t="s">
        <v>1411</v>
      </c>
      <c r="O226" s="334">
        <v>1</v>
      </c>
      <c r="P226" s="327"/>
      <c r="Q226" s="336"/>
      <c r="R226" s="203"/>
      <c r="S226" s="203"/>
      <c r="T226" s="13" t="str">
        <f t="shared" si="21"/>
        <v>17建築物等に係る不具合等の状況-不具合等を把握した年月-元号_1</v>
      </c>
      <c r="V226" s="202"/>
      <c r="W226" s="202"/>
      <c r="X226" s="202"/>
    </row>
    <row r="227" spans="2:24" ht="19">
      <c r="B227" s="4"/>
      <c r="C227" s="493" t="str">
        <f t="shared" ref="C227:E228" si="26">ASC($D227)</f>
        <v>0</v>
      </c>
      <c r="D227" s="107">
        <f>'1_入力シート【基本情報】'!$P$245</f>
        <v>0</v>
      </c>
      <c r="E227" s="7" t="str">
        <f t="shared" si="26"/>
        <v>0</v>
      </c>
      <c r="F227" s="7" t="str">
        <f t="shared" si="19"/>
        <v>0</v>
      </c>
      <c r="G227" s="24"/>
      <c r="H227" s="565" t="s">
        <v>1953</v>
      </c>
      <c r="I227" s="326" t="s">
        <v>1954</v>
      </c>
      <c r="J227" s="357" t="s">
        <v>1407</v>
      </c>
      <c r="K227" s="326" t="s">
        <v>1959</v>
      </c>
      <c r="L227" s="358" t="s">
        <v>1407</v>
      </c>
      <c r="M227" s="325" t="s">
        <v>12</v>
      </c>
      <c r="N227" s="358" t="s">
        <v>1411</v>
      </c>
      <c r="O227" s="334">
        <v>1</v>
      </c>
      <c r="P227" s="327"/>
      <c r="Q227" s="336"/>
      <c r="R227" s="203"/>
      <c r="S227" s="203"/>
      <c r="T227" s="13" t="str">
        <f t="shared" si="21"/>
        <v>17建築物等に係る不具合等の状況-不具合等を把握した年月-年_1</v>
      </c>
      <c r="V227" s="202"/>
      <c r="W227" s="202"/>
      <c r="X227" s="202"/>
    </row>
    <row r="228" spans="2:24" ht="19">
      <c r="B228" s="5"/>
      <c r="C228" s="493" t="str">
        <f t="shared" si="26"/>
        <v>0</v>
      </c>
      <c r="D228" s="492">
        <f>'1_入力シート【基本情報】'!$S$245</f>
        <v>0</v>
      </c>
      <c r="E228" s="7" t="str">
        <f t="shared" si="26"/>
        <v>0</v>
      </c>
      <c r="F228" s="7" t="str">
        <f t="shared" si="19"/>
        <v>0</v>
      </c>
      <c r="G228" s="567"/>
      <c r="H228" s="565" t="s">
        <v>1953</v>
      </c>
      <c r="I228" s="326" t="s">
        <v>1954</v>
      </c>
      <c r="J228" s="357" t="s">
        <v>1407</v>
      </c>
      <c r="K228" s="326" t="s">
        <v>1959</v>
      </c>
      <c r="L228" s="358" t="s">
        <v>1407</v>
      </c>
      <c r="M228" s="325" t="s">
        <v>383</v>
      </c>
      <c r="N228" s="358" t="s">
        <v>1411</v>
      </c>
      <c r="O228" s="334">
        <v>1</v>
      </c>
      <c r="P228" s="327"/>
      <c r="Q228" s="336"/>
      <c r="R228" s="203"/>
      <c r="S228" s="203"/>
      <c r="T228" s="13" t="str">
        <f t="shared" si="21"/>
        <v>17建築物等に係る不具合等の状況-不具合等を把握した年月-月_1</v>
      </c>
      <c r="V228" s="202"/>
      <c r="W228" s="202"/>
      <c r="X228" s="202"/>
    </row>
    <row r="229" spans="2:24">
      <c r="B229" s="4"/>
      <c r="C229" s="4"/>
      <c r="D229" s="107">
        <f>'1_入力シート【基本情報】'!$V$245</f>
        <v>0</v>
      </c>
      <c r="E229" s="564">
        <f>'1_入力シート【基本情報】'!$V$245</f>
        <v>0</v>
      </c>
      <c r="F229" s="564" t="str">
        <f t="shared" si="19"/>
        <v>0</v>
      </c>
      <c r="G229" s="24"/>
      <c r="H229" s="565" t="s">
        <v>1953</v>
      </c>
      <c r="I229" s="326" t="s">
        <v>1954</v>
      </c>
      <c r="J229" s="357" t="s">
        <v>1407</v>
      </c>
      <c r="K229" s="326" t="s">
        <v>386</v>
      </c>
      <c r="L229" s="358" t="s">
        <v>1411</v>
      </c>
      <c r="M229" s="331">
        <v>1</v>
      </c>
      <c r="N229" s="367"/>
      <c r="O229" s="326"/>
      <c r="P229" s="327"/>
      <c r="Q229" s="336"/>
      <c r="R229" s="203"/>
      <c r="S229" s="203"/>
      <c r="T229" s="13" t="str">
        <f t="shared" si="21"/>
        <v>17建築物等に係る不具合等の状況-不具合等の概要_1</v>
      </c>
      <c r="V229" s="202"/>
      <c r="W229" s="202"/>
      <c r="X229" s="202"/>
    </row>
    <row r="230" spans="2:24">
      <c r="B230" s="5"/>
      <c r="C230" s="5"/>
      <c r="D230" s="492">
        <f>'1_入力シート【基本情報】'!$AH$245</f>
        <v>0</v>
      </c>
      <c r="E230" s="564">
        <f>'1_入力シート【基本情報】'!$AH$245</f>
        <v>0</v>
      </c>
      <c r="F230" s="564" t="str">
        <f t="shared" si="19"/>
        <v>0</v>
      </c>
      <c r="G230" s="567"/>
      <c r="H230" s="565" t="s">
        <v>1953</v>
      </c>
      <c r="I230" s="326" t="s">
        <v>1954</v>
      </c>
      <c r="J230" s="357" t="s">
        <v>1407</v>
      </c>
      <c r="K230" s="326" t="s">
        <v>1326</v>
      </c>
      <c r="L230" s="358" t="s">
        <v>1411</v>
      </c>
      <c r="M230" s="331">
        <v>1</v>
      </c>
      <c r="N230" s="367"/>
      <c r="O230" s="326"/>
      <c r="P230" s="327"/>
      <c r="Q230" s="336"/>
      <c r="R230" s="203"/>
      <c r="S230" s="203"/>
      <c r="T230" s="13" t="str">
        <f t="shared" si="21"/>
        <v>17建築物等に係る不具合等の状況-考えられる要因_1</v>
      </c>
      <c r="V230" s="202"/>
      <c r="W230" s="202"/>
      <c r="X230" s="202"/>
    </row>
    <row r="231" spans="2:24">
      <c r="B231" s="4"/>
      <c r="C231" s="4"/>
      <c r="D231" s="107">
        <f>'1_入力シート【基本情報】'!$AT$245</f>
        <v>0</v>
      </c>
      <c r="E231" s="564">
        <f>'1_入力シート【基本情報】'!$AT$245</f>
        <v>0</v>
      </c>
      <c r="F231" s="564" t="str">
        <f t="shared" si="19"/>
        <v>0</v>
      </c>
      <c r="G231" s="24"/>
      <c r="H231" s="565" t="s">
        <v>1953</v>
      </c>
      <c r="I231" s="326" t="s">
        <v>1954</v>
      </c>
      <c r="J231" s="357" t="s">
        <v>1407</v>
      </c>
      <c r="K231" s="326" t="s">
        <v>917</v>
      </c>
      <c r="L231" s="358" t="s">
        <v>1411</v>
      </c>
      <c r="M231" s="331">
        <v>1</v>
      </c>
      <c r="N231" s="358"/>
      <c r="O231" s="326"/>
      <c r="P231" s="327"/>
      <c r="Q231" s="336"/>
      <c r="R231" s="203"/>
      <c r="S231" s="203"/>
      <c r="T231" s="13" t="str">
        <f t="shared" si="21"/>
        <v>17建築物等に係る不具合等の状況-改善の状況_1</v>
      </c>
      <c r="V231" s="202"/>
      <c r="W231" s="202"/>
      <c r="X231" s="202"/>
    </row>
    <row r="232" spans="2:24" ht="19">
      <c r="B232" s="4"/>
      <c r="C232" s="493" t="str">
        <f t="shared" ref="C232:E233" si="27">ASC($D232)</f>
        <v>0</v>
      </c>
      <c r="D232" s="107">
        <f>'1_入力シート【基本情報】'!$AZ$245</f>
        <v>0</v>
      </c>
      <c r="E232" s="7" t="str">
        <f t="shared" si="27"/>
        <v>0</v>
      </c>
      <c r="F232" s="7" t="str">
        <f t="shared" si="19"/>
        <v>0</v>
      </c>
      <c r="G232" s="24"/>
      <c r="H232" s="565" t="s">
        <v>1953</v>
      </c>
      <c r="I232" s="326" t="s">
        <v>1954</v>
      </c>
      <c r="J232" s="357" t="s">
        <v>1407</v>
      </c>
      <c r="K232" s="326" t="s">
        <v>387</v>
      </c>
      <c r="L232" s="358" t="s">
        <v>1407</v>
      </c>
      <c r="M232" s="326" t="s">
        <v>1966</v>
      </c>
      <c r="N232" s="358" t="s">
        <v>1411</v>
      </c>
      <c r="O232" s="334">
        <v>1</v>
      </c>
      <c r="P232" s="327"/>
      <c r="Q232" s="336"/>
      <c r="R232" s="203"/>
      <c r="S232" s="203"/>
      <c r="T232" s="13" t="str">
        <f t="shared" si="21"/>
        <v>17建築物等に係る不具合等の状況-改善（予定）年月-年（令和）_1</v>
      </c>
      <c r="V232" s="202"/>
      <c r="W232" s="202"/>
      <c r="X232" s="202"/>
    </row>
    <row r="233" spans="2:24" ht="19">
      <c r="B233" s="4"/>
      <c r="C233" s="493" t="str">
        <f t="shared" si="27"/>
        <v>0</v>
      </c>
      <c r="D233" s="107">
        <f>'1_入力シート【基本情報】'!$BC$245</f>
        <v>0</v>
      </c>
      <c r="E233" s="7" t="str">
        <f t="shared" si="27"/>
        <v>0</v>
      </c>
      <c r="F233" s="7" t="str">
        <f t="shared" si="19"/>
        <v>0</v>
      </c>
      <c r="G233" s="24"/>
      <c r="H233" s="565" t="s">
        <v>1953</v>
      </c>
      <c r="I233" s="326" t="s">
        <v>1954</v>
      </c>
      <c r="J233" s="357" t="s">
        <v>1407</v>
      </c>
      <c r="K233" s="326" t="s">
        <v>387</v>
      </c>
      <c r="L233" s="358" t="s">
        <v>1407</v>
      </c>
      <c r="M233" s="325" t="s">
        <v>383</v>
      </c>
      <c r="N233" s="358" t="s">
        <v>1411</v>
      </c>
      <c r="O233" s="334">
        <v>1</v>
      </c>
      <c r="P233" s="327"/>
      <c r="Q233" s="336"/>
      <c r="R233" s="203"/>
      <c r="S233" s="203"/>
      <c r="T233" s="13" t="str">
        <f t="shared" si="21"/>
        <v>17建築物等に係る不具合等の状況-改善（予定）年月-月_1</v>
      </c>
      <c r="V233" s="202"/>
      <c r="W233" s="202"/>
      <c r="X233" s="202"/>
    </row>
    <row r="234" spans="2:24">
      <c r="B234" s="4"/>
      <c r="C234" s="4"/>
      <c r="D234" s="107">
        <f>'1_入力シート【基本情報】'!$BF$245</f>
        <v>0</v>
      </c>
      <c r="E234" s="564">
        <f>'1_入力シート【基本情報】'!$BF$245</f>
        <v>0</v>
      </c>
      <c r="F234" s="564" t="str">
        <f t="shared" si="19"/>
        <v>0</v>
      </c>
      <c r="G234" s="24"/>
      <c r="H234" s="565" t="s">
        <v>1953</v>
      </c>
      <c r="I234" s="326" t="s">
        <v>1954</v>
      </c>
      <c r="J234" s="357" t="s">
        <v>1407</v>
      </c>
      <c r="K234" s="322" t="s">
        <v>1969</v>
      </c>
      <c r="L234" s="358" t="s">
        <v>1411</v>
      </c>
      <c r="M234" s="331">
        <v>1</v>
      </c>
      <c r="N234" s="358"/>
      <c r="O234" s="326"/>
      <c r="P234" s="327"/>
      <c r="Q234" s="336"/>
      <c r="R234" s="203"/>
      <c r="S234" s="203"/>
      <c r="T234" s="13" t="str">
        <f t="shared" si="21"/>
        <v>17建築物等に係る不具合等の状況-改善措置の概要等又は改善の予定がない場合は理由_1</v>
      </c>
      <c r="V234" s="202"/>
      <c r="W234" s="202"/>
      <c r="X234" s="202"/>
    </row>
    <row r="235" spans="2:24">
      <c r="B235" s="4"/>
      <c r="C235" s="4"/>
      <c r="D235" s="107">
        <f>'1_入力シート【基本情報】'!$M$246</f>
        <v>0</v>
      </c>
      <c r="E235" s="564">
        <f>'1_入力シート【基本情報】'!$M$246</f>
        <v>0</v>
      </c>
      <c r="F235" s="564" t="str">
        <f t="shared" si="19"/>
        <v>0</v>
      </c>
      <c r="G235" s="24"/>
      <c r="H235" s="565" t="s">
        <v>1953</v>
      </c>
      <c r="I235" s="326" t="s">
        <v>1954</v>
      </c>
      <c r="J235" s="357" t="s">
        <v>1407</v>
      </c>
      <c r="K235" s="326" t="s">
        <v>1959</v>
      </c>
      <c r="L235" s="358" t="s">
        <v>1407</v>
      </c>
      <c r="M235" s="325" t="s">
        <v>1174</v>
      </c>
      <c r="N235" s="358" t="s">
        <v>1411</v>
      </c>
      <c r="O235" s="334">
        <v>2</v>
      </c>
      <c r="P235" s="327"/>
      <c r="Q235" s="336"/>
      <c r="R235" s="203"/>
      <c r="S235" s="203"/>
      <c r="T235" s="13" t="str">
        <f t="shared" si="21"/>
        <v>17建築物等に係る不具合等の状況-不具合等を把握した年月-元号_2</v>
      </c>
      <c r="V235" s="202"/>
      <c r="W235" s="202"/>
      <c r="X235" s="202"/>
    </row>
    <row r="236" spans="2:24" ht="19">
      <c r="B236" s="4"/>
      <c r="C236" s="493" t="str">
        <f t="shared" ref="C236:E237" si="28">ASC($D236)</f>
        <v>0</v>
      </c>
      <c r="D236" s="107">
        <f>'1_入力シート【基本情報】'!$P$246</f>
        <v>0</v>
      </c>
      <c r="E236" s="7" t="str">
        <f t="shared" si="28"/>
        <v>0</v>
      </c>
      <c r="F236" s="7" t="str">
        <f t="shared" si="19"/>
        <v>0</v>
      </c>
      <c r="G236" s="24"/>
      <c r="H236" s="565" t="s">
        <v>1953</v>
      </c>
      <c r="I236" s="326" t="s">
        <v>1954</v>
      </c>
      <c r="J236" s="357" t="s">
        <v>1407</v>
      </c>
      <c r="K236" s="326" t="s">
        <v>1959</v>
      </c>
      <c r="L236" s="358" t="s">
        <v>1407</v>
      </c>
      <c r="M236" s="325" t="s">
        <v>12</v>
      </c>
      <c r="N236" s="358" t="s">
        <v>1411</v>
      </c>
      <c r="O236" s="334">
        <v>2</v>
      </c>
      <c r="P236" s="327"/>
      <c r="Q236" s="336"/>
      <c r="R236" s="203"/>
      <c r="S236" s="203"/>
      <c r="T236" s="13" t="str">
        <f t="shared" si="21"/>
        <v>17建築物等に係る不具合等の状況-不具合等を把握した年月-年_2</v>
      </c>
      <c r="V236" s="202"/>
      <c r="W236" s="202"/>
      <c r="X236" s="202"/>
    </row>
    <row r="237" spans="2:24" ht="19">
      <c r="B237" s="5"/>
      <c r="C237" s="493" t="str">
        <f t="shared" si="28"/>
        <v>0</v>
      </c>
      <c r="D237" s="492">
        <f>'1_入力シート【基本情報】'!$S$246</f>
        <v>0</v>
      </c>
      <c r="E237" s="7" t="str">
        <f t="shared" si="28"/>
        <v>0</v>
      </c>
      <c r="F237" s="7" t="str">
        <f t="shared" si="19"/>
        <v>0</v>
      </c>
      <c r="G237" s="567"/>
      <c r="H237" s="565" t="s">
        <v>1953</v>
      </c>
      <c r="I237" s="326" t="s">
        <v>1954</v>
      </c>
      <c r="J237" s="357" t="s">
        <v>1407</v>
      </c>
      <c r="K237" s="326" t="s">
        <v>1959</v>
      </c>
      <c r="L237" s="358" t="s">
        <v>1407</v>
      </c>
      <c r="M237" s="325" t="s">
        <v>383</v>
      </c>
      <c r="N237" s="358" t="s">
        <v>1411</v>
      </c>
      <c r="O237" s="334">
        <v>2</v>
      </c>
      <c r="P237" s="327"/>
      <c r="Q237" s="336"/>
      <c r="R237" s="203"/>
      <c r="S237" s="203"/>
      <c r="T237" s="13" t="str">
        <f t="shared" si="21"/>
        <v>17建築物等に係る不具合等の状況-不具合等を把握した年月-月_2</v>
      </c>
      <c r="V237" s="202"/>
      <c r="W237" s="202"/>
      <c r="X237" s="202"/>
    </row>
    <row r="238" spans="2:24">
      <c r="B238" s="4"/>
      <c r="C238" s="4"/>
      <c r="D238" s="107">
        <f>'1_入力シート【基本情報】'!$V$246</f>
        <v>0</v>
      </c>
      <c r="E238" s="564">
        <f>'1_入力シート【基本情報】'!$V$246</f>
        <v>0</v>
      </c>
      <c r="F238" s="564" t="str">
        <f t="shared" si="19"/>
        <v>0</v>
      </c>
      <c r="G238" s="24"/>
      <c r="H238" s="565" t="s">
        <v>1953</v>
      </c>
      <c r="I238" s="326" t="s">
        <v>1954</v>
      </c>
      <c r="J238" s="357" t="s">
        <v>1407</v>
      </c>
      <c r="K238" s="326" t="s">
        <v>386</v>
      </c>
      <c r="L238" s="358" t="s">
        <v>1411</v>
      </c>
      <c r="M238" s="331">
        <v>2</v>
      </c>
      <c r="N238" s="367"/>
      <c r="O238" s="326"/>
      <c r="P238" s="327"/>
      <c r="Q238" s="336"/>
      <c r="R238" s="203"/>
      <c r="S238" s="203"/>
      <c r="T238" s="13" t="str">
        <f t="shared" si="21"/>
        <v>17建築物等に係る不具合等の状況-不具合等の概要_2</v>
      </c>
      <c r="V238" s="202"/>
      <c r="W238" s="202"/>
      <c r="X238" s="202"/>
    </row>
    <row r="239" spans="2:24">
      <c r="B239" s="5"/>
      <c r="C239" s="5"/>
      <c r="D239" s="492">
        <f>'1_入力シート【基本情報】'!$AH$246</f>
        <v>0</v>
      </c>
      <c r="E239" s="564">
        <f>'1_入力シート【基本情報】'!$AH$246</f>
        <v>0</v>
      </c>
      <c r="F239" s="564" t="str">
        <f t="shared" si="19"/>
        <v>0</v>
      </c>
      <c r="G239" s="567"/>
      <c r="H239" s="565" t="s">
        <v>1953</v>
      </c>
      <c r="I239" s="326" t="s">
        <v>1954</v>
      </c>
      <c r="J239" s="357" t="s">
        <v>1407</v>
      </c>
      <c r="K239" s="326" t="s">
        <v>1326</v>
      </c>
      <c r="L239" s="358" t="s">
        <v>1411</v>
      </c>
      <c r="M239" s="331">
        <v>2</v>
      </c>
      <c r="N239" s="367"/>
      <c r="O239" s="326"/>
      <c r="P239" s="327"/>
      <c r="Q239" s="336"/>
      <c r="R239" s="203"/>
      <c r="S239" s="203"/>
      <c r="T239" s="13" t="str">
        <f t="shared" si="21"/>
        <v>17建築物等に係る不具合等の状況-考えられる要因_2</v>
      </c>
      <c r="V239" s="202"/>
      <c r="W239" s="202"/>
      <c r="X239" s="202"/>
    </row>
    <row r="240" spans="2:24">
      <c r="B240" s="4"/>
      <c r="C240" s="4"/>
      <c r="D240" s="107">
        <f>'1_入力シート【基本情報】'!$AT$246</f>
        <v>0</v>
      </c>
      <c r="E240" s="564">
        <f>'1_入力シート【基本情報】'!$AT$246</f>
        <v>0</v>
      </c>
      <c r="F240" s="564" t="str">
        <f t="shared" si="19"/>
        <v>0</v>
      </c>
      <c r="G240" s="24"/>
      <c r="H240" s="565" t="s">
        <v>1953</v>
      </c>
      <c r="I240" s="326" t="s">
        <v>1954</v>
      </c>
      <c r="J240" s="357" t="s">
        <v>1407</v>
      </c>
      <c r="K240" s="326" t="s">
        <v>917</v>
      </c>
      <c r="L240" s="358" t="s">
        <v>1411</v>
      </c>
      <c r="M240" s="331">
        <v>2</v>
      </c>
      <c r="N240" s="358"/>
      <c r="O240" s="326"/>
      <c r="P240" s="327"/>
      <c r="Q240" s="336"/>
      <c r="R240" s="203"/>
      <c r="S240" s="203"/>
      <c r="T240" s="13" t="str">
        <f t="shared" si="21"/>
        <v>17建築物等に係る不具合等の状況-改善の状況_2</v>
      </c>
      <c r="V240" s="202"/>
      <c r="W240" s="202"/>
      <c r="X240" s="202"/>
    </row>
    <row r="241" spans="2:24" ht="19">
      <c r="B241" s="4"/>
      <c r="C241" s="493" t="str">
        <f t="shared" ref="C241:E242" si="29">ASC($D241)</f>
        <v>0</v>
      </c>
      <c r="D241" s="107">
        <f>'1_入力シート【基本情報】'!$AZ$246</f>
        <v>0</v>
      </c>
      <c r="E241" s="7" t="str">
        <f t="shared" si="29"/>
        <v>0</v>
      </c>
      <c r="F241" s="7" t="str">
        <f t="shared" si="19"/>
        <v>0</v>
      </c>
      <c r="G241" s="24"/>
      <c r="H241" s="565" t="s">
        <v>1953</v>
      </c>
      <c r="I241" s="326" t="s">
        <v>1954</v>
      </c>
      <c r="J241" s="357" t="s">
        <v>1407</v>
      </c>
      <c r="K241" s="326" t="s">
        <v>387</v>
      </c>
      <c r="L241" s="358" t="s">
        <v>1407</v>
      </c>
      <c r="M241" s="326" t="s">
        <v>1966</v>
      </c>
      <c r="N241" s="358" t="s">
        <v>1411</v>
      </c>
      <c r="O241" s="334">
        <v>2</v>
      </c>
      <c r="P241" s="327"/>
      <c r="Q241" s="336"/>
      <c r="R241" s="203"/>
      <c r="S241" s="203"/>
      <c r="T241" s="13" t="str">
        <f t="shared" si="21"/>
        <v>17建築物等に係る不具合等の状況-改善（予定）年月-年（令和）_2</v>
      </c>
      <c r="V241" s="202"/>
      <c r="W241" s="202"/>
      <c r="X241" s="202"/>
    </row>
    <row r="242" spans="2:24" ht="19">
      <c r="B242" s="4"/>
      <c r="C242" s="493" t="str">
        <f t="shared" si="29"/>
        <v>0</v>
      </c>
      <c r="D242" s="107">
        <f>'1_入力シート【基本情報】'!$BC$246</f>
        <v>0</v>
      </c>
      <c r="E242" s="7" t="str">
        <f t="shared" si="29"/>
        <v>0</v>
      </c>
      <c r="F242" s="7" t="str">
        <f t="shared" si="19"/>
        <v>0</v>
      </c>
      <c r="G242" s="24"/>
      <c r="H242" s="565" t="s">
        <v>1953</v>
      </c>
      <c r="I242" s="326" t="s">
        <v>1954</v>
      </c>
      <c r="J242" s="357" t="s">
        <v>1407</v>
      </c>
      <c r="K242" s="326" t="s">
        <v>387</v>
      </c>
      <c r="L242" s="358" t="s">
        <v>1407</v>
      </c>
      <c r="M242" s="325" t="s">
        <v>383</v>
      </c>
      <c r="N242" s="358" t="s">
        <v>1411</v>
      </c>
      <c r="O242" s="334">
        <v>2</v>
      </c>
      <c r="P242" s="327"/>
      <c r="Q242" s="336"/>
      <c r="R242" s="203"/>
      <c r="S242" s="203"/>
      <c r="T242" s="13" t="str">
        <f t="shared" si="21"/>
        <v>17建築物等に係る不具合等の状況-改善（予定）年月-月_2</v>
      </c>
      <c r="V242" s="202"/>
      <c r="W242" s="202"/>
      <c r="X242" s="202"/>
    </row>
    <row r="243" spans="2:24">
      <c r="B243" s="4"/>
      <c r="C243" s="4"/>
      <c r="D243" s="107">
        <f>'1_入力シート【基本情報】'!$BF$246</f>
        <v>0</v>
      </c>
      <c r="E243" s="564">
        <f>'1_入力シート【基本情報】'!$BF$246</f>
        <v>0</v>
      </c>
      <c r="F243" s="564" t="str">
        <f t="shared" si="19"/>
        <v>0</v>
      </c>
      <c r="G243" s="24"/>
      <c r="H243" s="565" t="s">
        <v>1953</v>
      </c>
      <c r="I243" s="326" t="s">
        <v>1954</v>
      </c>
      <c r="J243" s="357" t="s">
        <v>1407</v>
      </c>
      <c r="K243" s="322" t="s">
        <v>1969</v>
      </c>
      <c r="L243" s="358" t="s">
        <v>1411</v>
      </c>
      <c r="M243" s="331">
        <v>2</v>
      </c>
      <c r="N243" s="358"/>
      <c r="O243" s="326"/>
      <c r="P243" s="327"/>
      <c r="Q243" s="336"/>
      <c r="R243" s="203"/>
      <c r="S243" s="203"/>
      <c r="T243" s="13" t="str">
        <f t="shared" si="21"/>
        <v>17建築物等に係る不具合等の状況-改善措置の概要等又は改善の予定がない場合は理由_2</v>
      </c>
      <c r="V243" s="202"/>
      <c r="W243" s="202"/>
      <c r="X243" s="202"/>
    </row>
    <row r="244" spans="2:24">
      <c r="B244" s="4"/>
      <c r="C244" s="4"/>
      <c r="D244" s="107">
        <f>'1_入力シート【基本情報】'!$M$247</f>
        <v>0</v>
      </c>
      <c r="E244" s="564">
        <f>'1_入力シート【基本情報】'!$M$247</f>
        <v>0</v>
      </c>
      <c r="F244" s="564" t="str">
        <f t="shared" si="19"/>
        <v>0</v>
      </c>
      <c r="G244" s="24"/>
      <c r="H244" s="565" t="s">
        <v>1953</v>
      </c>
      <c r="I244" s="326" t="s">
        <v>1954</v>
      </c>
      <c r="J244" s="357" t="s">
        <v>1407</v>
      </c>
      <c r="K244" s="326" t="s">
        <v>1959</v>
      </c>
      <c r="L244" s="358" t="s">
        <v>1407</v>
      </c>
      <c r="M244" s="325" t="s">
        <v>1174</v>
      </c>
      <c r="N244" s="358" t="s">
        <v>1411</v>
      </c>
      <c r="O244" s="334">
        <v>3</v>
      </c>
      <c r="P244" s="327"/>
      <c r="Q244" s="336"/>
      <c r="R244" s="203"/>
      <c r="S244" s="203"/>
      <c r="T244" s="13" t="str">
        <f t="shared" si="21"/>
        <v>17建築物等に係る不具合等の状況-不具合等を把握した年月-元号_3</v>
      </c>
      <c r="V244" s="202"/>
      <c r="W244" s="202"/>
      <c r="X244" s="202"/>
    </row>
    <row r="245" spans="2:24" ht="19">
      <c r="B245" s="4"/>
      <c r="C245" s="493" t="str">
        <f t="shared" ref="C245:E246" si="30">ASC($D245)</f>
        <v>0</v>
      </c>
      <c r="D245" s="107">
        <f>'1_入力シート【基本情報】'!$P$247</f>
        <v>0</v>
      </c>
      <c r="E245" s="7" t="str">
        <f t="shared" si="30"/>
        <v>0</v>
      </c>
      <c r="F245" s="7" t="str">
        <f t="shared" si="19"/>
        <v>0</v>
      </c>
      <c r="G245" s="24"/>
      <c r="H245" s="565" t="s">
        <v>1953</v>
      </c>
      <c r="I245" s="326" t="s">
        <v>1954</v>
      </c>
      <c r="J245" s="357" t="s">
        <v>1407</v>
      </c>
      <c r="K245" s="326" t="s">
        <v>1959</v>
      </c>
      <c r="L245" s="358" t="s">
        <v>1407</v>
      </c>
      <c r="M245" s="325" t="s">
        <v>12</v>
      </c>
      <c r="N245" s="358" t="s">
        <v>1411</v>
      </c>
      <c r="O245" s="334">
        <v>3</v>
      </c>
      <c r="P245" s="327"/>
      <c r="Q245" s="336"/>
      <c r="R245" s="203"/>
      <c r="S245" s="203"/>
      <c r="T245" s="13" t="str">
        <f t="shared" si="21"/>
        <v>17建築物等に係る不具合等の状況-不具合等を把握した年月-年_3</v>
      </c>
      <c r="V245" s="202"/>
      <c r="W245" s="202"/>
      <c r="X245" s="202"/>
    </row>
    <row r="246" spans="2:24" ht="19">
      <c r="B246" s="5"/>
      <c r="C246" s="493" t="str">
        <f t="shared" si="30"/>
        <v>0</v>
      </c>
      <c r="D246" s="492">
        <f>'1_入力シート【基本情報】'!$S$247</f>
        <v>0</v>
      </c>
      <c r="E246" s="7" t="str">
        <f t="shared" si="30"/>
        <v>0</v>
      </c>
      <c r="F246" s="7" t="str">
        <f t="shared" si="19"/>
        <v>0</v>
      </c>
      <c r="G246" s="567"/>
      <c r="H246" s="565" t="s">
        <v>1953</v>
      </c>
      <c r="I246" s="326" t="s">
        <v>1954</v>
      </c>
      <c r="J246" s="357" t="s">
        <v>1407</v>
      </c>
      <c r="K246" s="326" t="s">
        <v>1959</v>
      </c>
      <c r="L246" s="358" t="s">
        <v>1407</v>
      </c>
      <c r="M246" s="325" t="s">
        <v>383</v>
      </c>
      <c r="N246" s="358" t="s">
        <v>1411</v>
      </c>
      <c r="O246" s="334">
        <v>3</v>
      </c>
      <c r="P246" s="327"/>
      <c r="Q246" s="336"/>
      <c r="R246" s="203"/>
      <c r="S246" s="203"/>
      <c r="T246" s="13" t="str">
        <f t="shared" si="21"/>
        <v>17建築物等に係る不具合等の状況-不具合等を把握した年月-月_3</v>
      </c>
      <c r="V246" s="202"/>
      <c r="W246" s="202"/>
      <c r="X246" s="202"/>
    </row>
    <row r="247" spans="2:24">
      <c r="B247" s="5"/>
      <c r="C247" s="5"/>
      <c r="D247" s="492">
        <f>'1_入力シート【基本情報】'!$V$247</f>
        <v>0</v>
      </c>
      <c r="E247" s="564">
        <f>'1_入力シート【基本情報】'!$V$247</f>
        <v>0</v>
      </c>
      <c r="F247" s="564" t="str">
        <f t="shared" si="19"/>
        <v>0</v>
      </c>
      <c r="G247" s="567"/>
      <c r="H247" s="565" t="s">
        <v>1953</v>
      </c>
      <c r="I247" s="326" t="s">
        <v>1954</v>
      </c>
      <c r="J247" s="357" t="s">
        <v>1407</v>
      </c>
      <c r="K247" s="326" t="s">
        <v>386</v>
      </c>
      <c r="L247" s="358" t="s">
        <v>1411</v>
      </c>
      <c r="M247" s="331">
        <v>3</v>
      </c>
      <c r="N247" s="367"/>
      <c r="O247" s="326"/>
      <c r="P247" s="327"/>
      <c r="Q247" s="336"/>
      <c r="R247" s="203"/>
      <c r="S247" s="203"/>
      <c r="T247" s="13" t="str">
        <f t="shared" si="21"/>
        <v>17建築物等に係る不具合等の状況-不具合等の概要_3</v>
      </c>
      <c r="V247" s="202"/>
      <c r="W247" s="202"/>
      <c r="X247" s="202"/>
    </row>
    <row r="248" spans="2:24">
      <c r="B248" s="5"/>
      <c r="C248" s="5"/>
      <c r="D248" s="492">
        <f>'1_入力シート【基本情報】'!$AH$247</f>
        <v>0</v>
      </c>
      <c r="E248" s="564">
        <f>'1_入力シート【基本情報】'!$AH$247</f>
        <v>0</v>
      </c>
      <c r="F248" s="564" t="str">
        <f t="shared" si="19"/>
        <v>0</v>
      </c>
      <c r="G248" s="567"/>
      <c r="H248" s="565" t="s">
        <v>1953</v>
      </c>
      <c r="I248" s="326" t="s">
        <v>1954</v>
      </c>
      <c r="J248" s="357" t="s">
        <v>1407</v>
      </c>
      <c r="K248" s="326" t="s">
        <v>1326</v>
      </c>
      <c r="L248" s="358" t="s">
        <v>1411</v>
      </c>
      <c r="M248" s="331">
        <v>3</v>
      </c>
      <c r="N248" s="367"/>
      <c r="O248" s="326"/>
      <c r="P248" s="327"/>
      <c r="Q248" s="336"/>
      <c r="R248" s="203"/>
      <c r="S248" s="203"/>
      <c r="T248" s="13" t="str">
        <f t="shared" si="21"/>
        <v>17建築物等に係る不具合等の状況-考えられる要因_3</v>
      </c>
      <c r="V248" s="202"/>
      <c r="W248" s="202"/>
      <c r="X248" s="202"/>
    </row>
    <row r="249" spans="2:24">
      <c r="B249" s="5"/>
      <c r="C249" s="5"/>
      <c r="D249" s="492">
        <f>'1_入力シート【基本情報】'!$AT$247</f>
        <v>0</v>
      </c>
      <c r="E249" s="564">
        <f>'1_入力シート【基本情報】'!$AT$247</f>
        <v>0</v>
      </c>
      <c r="F249" s="564" t="str">
        <f t="shared" si="19"/>
        <v>0</v>
      </c>
      <c r="G249" s="567"/>
      <c r="H249" s="565" t="s">
        <v>1953</v>
      </c>
      <c r="I249" s="326" t="s">
        <v>1954</v>
      </c>
      <c r="J249" s="357" t="s">
        <v>1407</v>
      </c>
      <c r="K249" s="326" t="s">
        <v>917</v>
      </c>
      <c r="L249" s="358" t="s">
        <v>1411</v>
      </c>
      <c r="M249" s="331">
        <v>3</v>
      </c>
      <c r="N249" s="358"/>
      <c r="O249" s="326"/>
      <c r="P249" s="327"/>
      <c r="Q249" s="336"/>
      <c r="R249" s="203"/>
      <c r="S249" s="203"/>
      <c r="T249" s="13" t="str">
        <f t="shared" si="21"/>
        <v>17建築物等に係る不具合等の状況-改善の状況_3</v>
      </c>
      <c r="V249" s="202"/>
      <c r="W249" s="202"/>
      <c r="X249" s="202"/>
    </row>
    <row r="250" spans="2:24" ht="19">
      <c r="B250" s="5"/>
      <c r="C250" s="493" t="str">
        <f t="shared" ref="C250:E251" si="31">ASC($D250)</f>
        <v>0</v>
      </c>
      <c r="D250" s="492">
        <f>'1_入力シート【基本情報】'!$AZ$247</f>
        <v>0</v>
      </c>
      <c r="E250" s="7" t="str">
        <f t="shared" si="31"/>
        <v>0</v>
      </c>
      <c r="F250" s="7" t="str">
        <f t="shared" si="19"/>
        <v>0</v>
      </c>
      <c r="G250" s="567"/>
      <c r="H250" s="565" t="s">
        <v>1953</v>
      </c>
      <c r="I250" s="326" t="s">
        <v>1954</v>
      </c>
      <c r="J250" s="357" t="s">
        <v>1407</v>
      </c>
      <c r="K250" s="326" t="s">
        <v>387</v>
      </c>
      <c r="L250" s="358" t="s">
        <v>1407</v>
      </c>
      <c r="M250" s="326" t="s">
        <v>1966</v>
      </c>
      <c r="N250" s="358" t="s">
        <v>1411</v>
      </c>
      <c r="O250" s="334">
        <v>3</v>
      </c>
      <c r="P250" s="327"/>
      <c r="Q250" s="336"/>
      <c r="R250" s="203"/>
      <c r="S250" s="203"/>
      <c r="T250" s="13" t="str">
        <f t="shared" si="21"/>
        <v>17建築物等に係る不具合等の状況-改善（予定）年月-年（令和）_3</v>
      </c>
      <c r="V250" s="202"/>
      <c r="W250" s="202"/>
      <c r="X250" s="202"/>
    </row>
    <row r="251" spans="2:24" ht="19">
      <c r="B251" s="5"/>
      <c r="C251" s="493" t="str">
        <f t="shared" si="31"/>
        <v>0</v>
      </c>
      <c r="D251" s="492">
        <f>'1_入力シート【基本情報】'!$BC$247</f>
        <v>0</v>
      </c>
      <c r="E251" s="7" t="str">
        <f t="shared" si="31"/>
        <v>0</v>
      </c>
      <c r="F251" s="7" t="str">
        <f t="shared" si="19"/>
        <v>0</v>
      </c>
      <c r="G251" s="567"/>
      <c r="H251" s="565" t="s">
        <v>1953</v>
      </c>
      <c r="I251" s="326" t="s">
        <v>1954</v>
      </c>
      <c r="J251" s="357" t="s">
        <v>1407</v>
      </c>
      <c r="K251" s="326" t="s">
        <v>387</v>
      </c>
      <c r="L251" s="358" t="s">
        <v>1407</v>
      </c>
      <c r="M251" s="325" t="s">
        <v>383</v>
      </c>
      <c r="N251" s="358" t="s">
        <v>1411</v>
      </c>
      <c r="O251" s="334">
        <v>3</v>
      </c>
      <c r="P251" s="327"/>
      <c r="Q251" s="336"/>
      <c r="R251" s="203"/>
      <c r="S251" s="203"/>
      <c r="T251" s="13" t="str">
        <f t="shared" si="21"/>
        <v>17建築物等に係る不具合等の状況-改善（予定）年月-月_3</v>
      </c>
      <c r="V251" s="202"/>
      <c r="W251" s="202"/>
      <c r="X251" s="202"/>
    </row>
    <row r="252" spans="2:24">
      <c r="B252" s="5"/>
      <c r="C252" s="5"/>
      <c r="D252" s="492">
        <f>'1_入力シート【基本情報】'!$BF$247</f>
        <v>0</v>
      </c>
      <c r="E252" s="564">
        <f>'1_入力シート【基本情報】'!$BF$247</f>
        <v>0</v>
      </c>
      <c r="F252" s="564" t="str">
        <f t="shared" si="19"/>
        <v>0</v>
      </c>
      <c r="G252" s="567"/>
      <c r="H252" s="565" t="s">
        <v>1953</v>
      </c>
      <c r="I252" s="326" t="s">
        <v>1954</v>
      </c>
      <c r="J252" s="357" t="s">
        <v>1407</v>
      </c>
      <c r="K252" s="322" t="s">
        <v>1969</v>
      </c>
      <c r="L252" s="358" t="s">
        <v>1411</v>
      </c>
      <c r="M252" s="331">
        <v>3</v>
      </c>
      <c r="N252" s="358"/>
      <c r="O252" s="326"/>
      <c r="P252" s="327"/>
      <c r="Q252" s="336"/>
      <c r="R252" s="203"/>
      <c r="S252" s="203"/>
      <c r="T252" s="13" t="str">
        <f t="shared" si="21"/>
        <v>17建築物等に係る不具合等の状況-改善措置の概要等又は改善の予定がない場合は理由_3</v>
      </c>
      <c r="V252" s="202"/>
      <c r="W252" s="202"/>
      <c r="X252" s="202"/>
    </row>
    <row r="253" spans="2:24">
      <c r="B253" s="5"/>
      <c r="C253" s="5"/>
      <c r="D253" s="492">
        <f>'1_入力シート【基本情報】'!$M$248</f>
        <v>0</v>
      </c>
      <c r="E253" s="564">
        <f>'1_入力シート【基本情報】'!$M$248</f>
        <v>0</v>
      </c>
      <c r="F253" s="564" t="str">
        <f t="shared" si="19"/>
        <v>0</v>
      </c>
      <c r="G253" s="567"/>
      <c r="H253" s="565" t="s">
        <v>1953</v>
      </c>
      <c r="I253" s="326" t="s">
        <v>1954</v>
      </c>
      <c r="J253" s="357" t="s">
        <v>1407</v>
      </c>
      <c r="K253" s="326" t="s">
        <v>1959</v>
      </c>
      <c r="L253" s="358" t="s">
        <v>1407</v>
      </c>
      <c r="M253" s="325" t="s">
        <v>1174</v>
      </c>
      <c r="N253" s="358" t="s">
        <v>1411</v>
      </c>
      <c r="O253" s="334">
        <v>4</v>
      </c>
      <c r="P253" s="327"/>
      <c r="Q253" s="336"/>
      <c r="R253" s="203"/>
      <c r="S253" s="203"/>
      <c r="T253" s="13" t="str">
        <f t="shared" si="21"/>
        <v>17建築物等に係る不具合等の状況-不具合等を把握した年月-元号_4</v>
      </c>
      <c r="V253" s="202"/>
      <c r="W253" s="202"/>
      <c r="X253" s="202"/>
    </row>
    <row r="254" spans="2:24" ht="19">
      <c r="B254" s="5"/>
      <c r="C254" s="493" t="str">
        <f t="shared" ref="C254:E255" si="32">ASC($D254)</f>
        <v>0</v>
      </c>
      <c r="D254" s="492">
        <f>'1_入力シート【基本情報】'!$P$248</f>
        <v>0</v>
      </c>
      <c r="E254" s="7" t="str">
        <f t="shared" si="32"/>
        <v>0</v>
      </c>
      <c r="F254" s="7" t="str">
        <f t="shared" si="19"/>
        <v>0</v>
      </c>
      <c r="G254" s="567"/>
      <c r="H254" s="565" t="s">
        <v>1953</v>
      </c>
      <c r="I254" s="326" t="s">
        <v>1954</v>
      </c>
      <c r="J254" s="357" t="s">
        <v>1407</v>
      </c>
      <c r="K254" s="326" t="s">
        <v>1959</v>
      </c>
      <c r="L254" s="358" t="s">
        <v>1407</v>
      </c>
      <c r="M254" s="325" t="s">
        <v>12</v>
      </c>
      <c r="N254" s="358" t="s">
        <v>1411</v>
      </c>
      <c r="O254" s="334">
        <v>4</v>
      </c>
      <c r="P254" s="327"/>
      <c r="Q254" s="336"/>
      <c r="R254" s="203"/>
      <c r="S254" s="203"/>
      <c r="T254" s="13" t="str">
        <f t="shared" si="21"/>
        <v>17建築物等に係る不具合等の状況-不具合等を把握した年月-年_4</v>
      </c>
      <c r="V254" s="202"/>
      <c r="W254" s="202"/>
      <c r="X254" s="202"/>
    </row>
    <row r="255" spans="2:24" ht="19">
      <c r="B255" s="4"/>
      <c r="C255" s="493" t="str">
        <f t="shared" si="32"/>
        <v>0</v>
      </c>
      <c r="D255" s="107">
        <f>'1_入力シート【基本情報】'!$S$248</f>
        <v>0</v>
      </c>
      <c r="E255" s="7" t="str">
        <f t="shared" si="32"/>
        <v>0</v>
      </c>
      <c r="F255" s="7" t="str">
        <f t="shared" si="19"/>
        <v>0</v>
      </c>
      <c r="G255" s="24"/>
      <c r="H255" s="565" t="s">
        <v>1953</v>
      </c>
      <c r="I255" s="326" t="s">
        <v>1954</v>
      </c>
      <c r="J255" s="357" t="s">
        <v>1407</v>
      </c>
      <c r="K255" s="326" t="s">
        <v>1959</v>
      </c>
      <c r="L255" s="358" t="s">
        <v>1407</v>
      </c>
      <c r="M255" s="325" t="s">
        <v>383</v>
      </c>
      <c r="N255" s="358" t="s">
        <v>1411</v>
      </c>
      <c r="O255" s="334">
        <v>4</v>
      </c>
      <c r="P255" s="327"/>
      <c r="Q255" s="336"/>
      <c r="R255" s="203"/>
      <c r="S255" s="203"/>
      <c r="T255" s="13" t="str">
        <f t="shared" si="21"/>
        <v>17建築物等に係る不具合等の状況-不具合等を把握した年月-月_4</v>
      </c>
      <c r="V255" s="202"/>
      <c r="W255" s="202"/>
      <c r="X255" s="202"/>
    </row>
    <row r="256" spans="2:24">
      <c r="B256" s="4"/>
      <c r="C256" s="4"/>
      <c r="D256" s="107">
        <f>'1_入力シート【基本情報】'!$V$248</f>
        <v>0</v>
      </c>
      <c r="E256" s="564">
        <f>'1_入力シート【基本情報】'!$V$248</f>
        <v>0</v>
      </c>
      <c r="F256" s="564" t="str">
        <f t="shared" si="19"/>
        <v>0</v>
      </c>
      <c r="G256" s="24"/>
      <c r="H256" s="565" t="s">
        <v>1953</v>
      </c>
      <c r="I256" s="326" t="s">
        <v>1954</v>
      </c>
      <c r="J256" s="357" t="s">
        <v>1407</v>
      </c>
      <c r="K256" s="326" t="s">
        <v>386</v>
      </c>
      <c r="L256" s="358" t="s">
        <v>1411</v>
      </c>
      <c r="M256" s="331">
        <v>4</v>
      </c>
      <c r="N256" s="367"/>
      <c r="O256" s="326"/>
      <c r="P256" s="327"/>
      <c r="Q256" s="336"/>
      <c r="R256" s="203"/>
      <c r="S256" s="203"/>
      <c r="T256" s="13" t="str">
        <f t="shared" si="21"/>
        <v>17建築物等に係る不具合等の状況-不具合等の概要_4</v>
      </c>
      <c r="V256" s="202"/>
      <c r="W256" s="202"/>
      <c r="X256" s="202"/>
    </row>
    <row r="257" spans="2:24">
      <c r="B257" s="4"/>
      <c r="C257" s="4"/>
      <c r="D257" s="107">
        <f>'1_入力シート【基本情報】'!$AH$248</f>
        <v>0</v>
      </c>
      <c r="E257" s="564">
        <f>'1_入力シート【基本情報】'!$AH$248</f>
        <v>0</v>
      </c>
      <c r="F257" s="564" t="str">
        <f t="shared" si="19"/>
        <v>0</v>
      </c>
      <c r="G257" s="24"/>
      <c r="H257" s="565" t="s">
        <v>1953</v>
      </c>
      <c r="I257" s="326" t="s">
        <v>1954</v>
      </c>
      <c r="J257" s="357" t="s">
        <v>1407</v>
      </c>
      <c r="K257" s="326" t="s">
        <v>1326</v>
      </c>
      <c r="L257" s="358" t="s">
        <v>1411</v>
      </c>
      <c r="M257" s="331">
        <v>4</v>
      </c>
      <c r="N257" s="367"/>
      <c r="O257" s="326"/>
      <c r="P257" s="327"/>
      <c r="Q257" s="336"/>
      <c r="R257" s="203"/>
      <c r="S257" s="203"/>
      <c r="T257" s="13" t="str">
        <f t="shared" si="21"/>
        <v>17建築物等に係る不具合等の状況-考えられる要因_4</v>
      </c>
      <c r="V257" s="202"/>
      <c r="W257" s="202"/>
      <c r="X257" s="202"/>
    </row>
    <row r="258" spans="2:24">
      <c r="B258" s="4"/>
      <c r="C258" s="4"/>
      <c r="D258" s="107">
        <f>'1_入力シート【基本情報】'!$AT$248</f>
        <v>0</v>
      </c>
      <c r="E258" s="564">
        <f>'1_入力シート【基本情報】'!$AT$248</f>
        <v>0</v>
      </c>
      <c r="F258" s="564" t="str">
        <f t="shared" si="19"/>
        <v>0</v>
      </c>
      <c r="G258" s="24"/>
      <c r="H258" s="565" t="s">
        <v>1953</v>
      </c>
      <c r="I258" s="326" t="s">
        <v>1954</v>
      </c>
      <c r="J258" s="357" t="s">
        <v>1407</v>
      </c>
      <c r="K258" s="326" t="s">
        <v>917</v>
      </c>
      <c r="L258" s="358" t="s">
        <v>1411</v>
      </c>
      <c r="M258" s="331">
        <v>4</v>
      </c>
      <c r="N258" s="358"/>
      <c r="O258" s="326"/>
      <c r="P258" s="327"/>
      <c r="Q258" s="336"/>
      <c r="R258" s="203"/>
      <c r="S258" s="203"/>
      <c r="T258" s="13" t="str">
        <f t="shared" si="21"/>
        <v>17建築物等に係る不具合等の状況-改善の状況_4</v>
      </c>
      <c r="V258" s="202"/>
      <c r="W258" s="202"/>
      <c r="X258" s="202"/>
    </row>
    <row r="259" spans="2:24" ht="19">
      <c r="B259" s="4"/>
      <c r="C259" s="493" t="str">
        <f t="shared" ref="C259:E260" si="33">ASC($D259)</f>
        <v>0</v>
      </c>
      <c r="D259" s="107">
        <f>'1_入力シート【基本情報】'!$AZ$248</f>
        <v>0</v>
      </c>
      <c r="E259" s="7" t="str">
        <f t="shared" si="33"/>
        <v>0</v>
      </c>
      <c r="F259" s="7" t="str">
        <f t="shared" si="19"/>
        <v>0</v>
      </c>
      <c r="G259" s="24"/>
      <c r="H259" s="565" t="s">
        <v>1953</v>
      </c>
      <c r="I259" s="326" t="s">
        <v>1954</v>
      </c>
      <c r="J259" s="357" t="s">
        <v>1407</v>
      </c>
      <c r="K259" s="326" t="s">
        <v>387</v>
      </c>
      <c r="L259" s="358" t="s">
        <v>1407</v>
      </c>
      <c r="M259" s="326" t="s">
        <v>1966</v>
      </c>
      <c r="N259" s="358" t="s">
        <v>1411</v>
      </c>
      <c r="O259" s="334">
        <v>4</v>
      </c>
      <c r="P259" s="327"/>
      <c r="Q259" s="336"/>
      <c r="R259" s="203"/>
      <c r="S259" s="203"/>
      <c r="T259" s="13" t="str">
        <f t="shared" si="21"/>
        <v>17建築物等に係る不具合等の状況-改善（予定）年月-年（令和）_4</v>
      </c>
      <c r="V259" s="202"/>
      <c r="W259" s="202"/>
      <c r="X259" s="202"/>
    </row>
    <row r="260" spans="2:24" ht="19">
      <c r="B260" s="5"/>
      <c r="C260" s="493" t="str">
        <f t="shared" si="33"/>
        <v>0</v>
      </c>
      <c r="D260" s="492">
        <f>'1_入力シート【基本情報】'!$BC$248</f>
        <v>0</v>
      </c>
      <c r="E260" s="7" t="str">
        <f t="shared" si="33"/>
        <v>0</v>
      </c>
      <c r="F260" s="7" t="str">
        <f t="shared" si="19"/>
        <v>0</v>
      </c>
      <c r="G260" s="567"/>
      <c r="H260" s="565" t="s">
        <v>1953</v>
      </c>
      <c r="I260" s="326" t="s">
        <v>1954</v>
      </c>
      <c r="J260" s="357" t="s">
        <v>1407</v>
      </c>
      <c r="K260" s="326" t="s">
        <v>387</v>
      </c>
      <c r="L260" s="358" t="s">
        <v>1407</v>
      </c>
      <c r="M260" s="325" t="s">
        <v>383</v>
      </c>
      <c r="N260" s="358" t="s">
        <v>1411</v>
      </c>
      <c r="O260" s="334">
        <v>4</v>
      </c>
      <c r="P260" s="327"/>
      <c r="Q260" s="336"/>
      <c r="R260" s="203"/>
      <c r="S260" s="203"/>
      <c r="T260" s="13" t="str">
        <f t="shared" si="21"/>
        <v>17建築物等に係る不具合等の状況-改善（予定）年月-月_4</v>
      </c>
      <c r="V260" s="202"/>
      <c r="W260" s="202"/>
      <c r="X260" s="202"/>
    </row>
    <row r="261" spans="2:24">
      <c r="B261" s="5"/>
      <c r="C261" s="5"/>
      <c r="D261" s="492">
        <f>'1_入力シート【基本情報】'!$BF$248</f>
        <v>0</v>
      </c>
      <c r="E261" s="564">
        <f>'1_入力シート【基本情報】'!$BF$248</f>
        <v>0</v>
      </c>
      <c r="F261" s="564" t="str">
        <f t="shared" ref="F261:F324" si="34">SUBSTITUTE(E261,CHAR(10),"")</f>
        <v>0</v>
      </c>
      <c r="G261" s="567"/>
      <c r="H261" s="565" t="s">
        <v>1953</v>
      </c>
      <c r="I261" s="326" t="s">
        <v>1954</v>
      </c>
      <c r="J261" s="357" t="s">
        <v>1407</v>
      </c>
      <c r="K261" s="322" t="s">
        <v>1969</v>
      </c>
      <c r="L261" s="358" t="s">
        <v>1411</v>
      </c>
      <c r="M261" s="331">
        <v>4</v>
      </c>
      <c r="N261" s="358"/>
      <c r="O261" s="326"/>
      <c r="P261" s="327"/>
      <c r="Q261" s="336"/>
      <c r="R261" s="203"/>
      <c r="S261" s="203"/>
      <c r="T261" s="13" t="str">
        <f t="shared" si="21"/>
        <v>17建築物等に係る不具合等の状況-改善措置の概要等又は改善の予定がない場合は理由_4</v>
      </c>
      <c r="V261" s="202"/>
      <c r="W261" s="202"/>
      <c r="X261" s="202"/>
    </row>
    <row r="262" spans="2:24">
      <c r="B262" s="5"/>
      <c r="C262" s="5"/>
      <c r="D262" s="492">
        <f>'1_入力シート【基本情報】'!$M$249</f>
        <v>0</v>
      </c>
      <c r="E262" s="564">
        <f>'1_入力シート【基本情報】'!$M$249</f>
        <v>0</v>
      </c>
      <c r="F262" s="564" t="str">
        <f t="shared" si="34"/>
        <v>0</v>
      </c>
      <c r="G262" s="567"/>
      <c r="H262" s="565" t="s">
        <v>1953</v>
      </c>
      <c r="I262" s="326" t="s">
        <v>1954</v>
      </c>
      <c r="J262" s="357" t="s">
        <v>1407</v>
      </c>
      <c r="K262" s="326" t="s">
        <v>1959</v>
      </c>
      <c r="L262" s="358" t="s">
        <v>1407</v>
      </c>
      <c r="M262" s="325" t="s">
        <v>1174</v>
      </c>
      <c r="N262" s="358" t="s">
        <v>1411</v>
      </c>
      <c r="O262" s="334">
        <v>5</v>
      </c>
      <c r="P262" s="327"/>
      <c r="Q262" s="336"/>
      <c r="R262" s="203"/>
      <c r="S262" s="203"/>
      <c r="T262" s="13" t="str">
        <f t="shared" si="21"/>
        <v>17建築物等に係る不具合等の状況-不具合等を把握した年月-元号_5</v>
      </c>
      <c r="V262" s="202"/>
      <c r="W262" s="202"/>
      <c r="X262" s="202"/>
    </row>
    <row r="263" spans="2:24" ht="19">
      <c r="B263" s="5"/>
      <c r="C263" s="493" t="str">
        <f t="shared" ref="C263:E264" si="35">ASC($D263)</f>
        <v>0</v>
      </c>
      <c r="D263" s="492">
        <f>'1_入力シート【基本情報】'!$P$249</f>
        <v>0</v>
      </c>
      <c r="E263" s="7" t="str">
        <f t="shared" si="35"/>
        <v>0</v>
      </c>
      <c r="F263" s="7" t="str">
        <f t="shared" si="34"/>
        <v>0</v>
      </c>
      <c r="G263" s="567"/>
      <c r="H263" s="565" t="s">
        <v>1953</v>
      </c>
      <c r="I263" s="326" t="s">
        <v>1954</v>
      </c>
      <c r="J263" s="357" t="s">
        <v>1407</v>
      </c>
      <c r="K263" s="326" t="s">
        <v>1959</v>
      </c>
      <c r="L263" s="358" t="s">
        <v>1407</v>
      </c>
      <c r="M263" s="325" t="s">
        <v>12</v>
      </c>
      <c r="N263" s="358" t="s">
        <v>1411</v>
      </c>
      <c r="O263" s="334">
        <v>5</v>
      </c>
      <c r="P263" s="327"/>
      <c r="Q263" s="336"/>
      <c r="R263" s="203"/>
      <c r="S263" s="203"/>
      <c r="T263" s="13" t="str">
        <f t="shared" si="21"/>
        <v>17建築物等に係る不具合等の状況-不具合等を把握した年月-年_5</v>
      </c>
      <c r="V263" s="202"/>
      <c r="W263" s="202"/>
      <c r="X263" s="202"/>
    </row>
    <row r="264" spans="2:24" ht="19">
      <c r="B264" s="4"/>
      <c r="C264" s="493" t="str">
        <f t="shared" si="35"/>
        <v>0</v>
      </c>
      <c r="D264" s="107">
        <f>'1_入力シート【基本情報】'!$S$249</f>
        <v>0</v>
      </c>
      <c r="E264" s="7" t="str">
        <f t="shared" si="35"/>
        <v>0</v>
      </c>
      <c r="F264" s="7" t="str">
        <f t="shared" si="34"/>
        <v>0</v>
      </c>
      <c r="G264" s="24"/>
      <c r="H264" s="565" t="s">
        <v>1953</v>
      </c>
      <c r="I264" s="326" t="s">
        <v>1954</v>
      </c>
      <c r="J264" s="357" t="s">
        <v>1407</v>
      </c>
      <c r="K264" s="326" t="s">
        <v>1959</v>
      </c>
      <c r="L264" s="358" t="s">
        <v>1407</v>
      </c>
      <c r="M264" s="325" t="s">
        <v>383</v>
      </c>
      <c r="N264" s="358" t="s">
        <v>1411</v>
      </c>
      <c r="O264" s="334">
        <v>5</v>
      </c>
      <c r="P264" s="327"/>
      <c r="Q264" s="336"/>
      <c r="R264" s="203"/>
      <c r="S264" s="203"/>
      <c r="T264" s="13" t="str">
        <f t="shared" si="21"/>
        <v>17建築物等に係る不具合等の状況-不具合等を把握した年月-月_5</v>
      </c>
      <c r="V264" s="202"/>
      <c r="W264" s="202"/>
      <c r="X264" s="202"/>
    </row>
    <row r="265" spans="2:24">
      <c r="B265" s="4"/>
      <c r="C265" s="4"/>
      <c r="D265" s="107">
        <f>'1_入力シート【基本情報】'!$V$249</f>
        <v>0</v>
      </c>
      <c r="E265" s="564">
        <f>'1_入力シート【基本情報】'!$V$249</f>
        <v>0</v>
      </c>
      <c r="F265" s="564" t="str">
        <f t="shared" si="34"/>
        <v>0</v>
      </c>
      <c r="G265" s="24"/>
      <c r="H265" s="565" t="s">
        <v>1953</v>
      </c>
      <c r="I265" s="326" t="s">
        <v>1954</v>
      </c>
      <c r="J265" s="357" t="s">
        <v>1407</v>
      </c>
      <c r="K265" s="326" t="s">
        <v>386</v>
      </c>
      <c r="L265" s="358" t="s">
        <v>1411</v>
      </c>
      <c r="M265" s="331">
        <v>5</v>
      </c>
      <c r="N265" s="367"/>
      <c r="O265" s="326"/>
      <c r="P265" s="327"/>
      <c r="Q265" s="336"/>
      <c r="R265" s="203"/>
      <c r="S265" s="203"/>
      <c r="T265" s="13" t="str">
        <f t="shared" si="21"/>
        <v>17建築物等に係る不具合等の状況-不具合等の概要_5</v>
      </c>
      <c r="V265" s="202"/>
      <c r="W265" s="202"/>
      <c r="X265" s="202"/>
    </row>
    <row r="266" spans="2:24">
      <c r="B266" s="5"/>
      <c r="C266" s="5"/>
      <c r="D266" s="492">
        <f>'1_入力シート【基本情報】'!$AH$249</f>
        <v>0</v>
      </c>
      <c r="E266" s="564">
        <f>'1_入力シート【基本情報】'!$AH$249</f>
        <v>0</v>
      </c>
      <c r="F266" s="564" t="str">
        <f t="shared" si="34"/>
        <v>0</v>
      </c>
      <c r="G266" s="567"/>
      <c r="H266" s="565" t="s">
        <v>1953</v>
      </c>
      <c r="I266" s="326" t="s">
        <v>1954</v>
      </c>
      <c r="J266" s="357" t="s">
        <v>1407</v>
      </c>
      <c r="K266" s="326" t="s">
        <v>1326</v>
      </c>
      <c r="L266" s="358" t="s">
        <v>1411</v>
      </c>
      <c r="M266" s="331">
        <v>5</v>
      </c>
      <c r="N266" s="367"/>
      <c r="O266" s="326"/>
      <c r="P266" s="327"/>
      <c r="Q266" s="336"/>
      <c r="R266" s="203"/>
      <c r="S266" s="203"/>
      <c r="T266" s="13" t="str">
        <f t="shared" si="21"/>
        <v>17建築物等に係る不具合等の状況-考えられる要因_5</v>
      </c>
      <c r="V266" s="202"/>
      <c r="W266" s="202"/>
      <c r="X266" s="202"/>
    </row>
    <row r="267" spans="2:24">
      <c r="B267" s="5"/>
      <c r="C267" s="5"/>
      <c r="D267" s="492">
        <f>'1_入力シート【基本情報】'!$AT$249</f>
        <v>0</v>
      </c>
      <c r="E267" s="564">
        <f>'1_入力シート【基本情報】'!$AT$249</f>
        <v>0</v>
      </c>
      <c r="F267" s="564" t="str">
        <f t="shared" si="34"/>
        <v>0</v>
      </c>
      <c r="G267" s="567"/>
      <c r="H267" s="565" t="s">
        <v>1953</v>
      </c>
      <c r="I267" s="326" t="s">
        <v>1954</v>
      </c>
      <c r="J267" s="357" t="s">
        <v>1407</v>
      </c>
      <c r="K267" s="326" t="s">
        <v>917</v>
      </c>
      <c r="L267" s="358" t="s">
        <v>1411</v>
      </c>
      <c r="M267" s="331">
        <v>5</v>
      </c>
      <c r="N267" s="358"/>
      <c r="O267" s="326"/>
      <c r="P267" s="327"/>
      <c r="Q267" s="336"/>
      <c r="R267" s="203"/>
      <c r="S267" s="203"/>
      <c r="T267" s="13" t="str">
        <f t="shared" ref="T267:T332" si="36">CONCATENATE(H267,I267,J267,K267,L267,M267,N267,O267,P267,Q267)</f>
        <v>17建築物等に係る不具合等の状況-改善の状況_5</v>
      </c>
      <c r="V267" s="202"/>
      <c r="W267" s="202"/>
      <c r="X267" s="202"/>
    </row>
    <row r="268" spans="2:24" ht="19">
      <c r="B268" s="5"/>
      <c r="C268" s="493" t="str">
        <f t="shared" ref="C268:E269" si="37">ASC($D268)</f>
        <v>0</v>
      </c>
      <c r="D268" s="492">
        <f>'1_入力シート【基本情報】'!$AZ$249</f>
        <v>0</v>
      </c>
      <c r="E268" s="7" t="str">
        <f t="shared" si="37"/>
        <v>0</v>
      </c>
      <c r="F268" s="7" t="str">
        <f t="shared" si="34"/>
        <v>0</v>
      </c>
      <c r="G268" s="567"/>
      <c r="H268" s="565" t="s">
        <v>1953</v>
      </c>
      <c r="I268" s="326" t="s">
        <v>1954</v>
      </c>
      <c r="J268" s="357" t="s">
        <v>1407</v>
      </c>
      <c r="K268" s="326" t="s">
        <v>387</v>
      </c>
      <c r="L268" s="358" t="s">
        <v>1407</v>
      </c>
      <c r="M268" s="326" t="s">
        <v>1966</v>
      </c>
      <c r="N268" s="358" t="s">
        <v>1411</v>
      </c>
      <c r="O268" s="334">
        <v>5</v>
      </c>
      <c r="P268" s="327"/>
      <c r="Q268" s="336"/>
      <c r="R268" s="203"/>
      <c r="S268" s="203"/>
      <c r="T268" s="13" t="str">
        <f t="shared" si="36"/>
        <v>17建築物等に係る不具合等の状況-改善（予定）年月-年（令和）_5</v>
      </c>
      <c r="V268" s="202"/>
      <c r="W268" s="202"/>
      <c r="X268" s="202"/>
    </row>
    <row r="269" spans="2:24" ht="19">
      <c r="B269" s="5"/>
      <c r="C269" s="493" t="str">
        <f t="shared" si="37"/>
        <v>0</v>
      </c>
      <c r="D269" s="492">
        <f>'1_入力シート【基本情報】'!$BC$249</f>
        <v>0</v>
      </c>
      <c r="E269" s="7" t="str">
        <f t="shared" si="37"/>
        <v>0</v>
      </c>
      <c r="F269" s="7" t="str">
        <f t="shared" si="34"/>
        <v>0</v>
      </c>
      <c r="G269" s="567"/>
      <c r="H269" s="565" t="s">
        <v>1953</v>
      </c>
      <c r="I269" s="326" t="s">
        <v>1954</v>
      </c>
      <c r="J269" s="357" t="s">
        <v>1407</v>
      </c>
      <c r="K269" s="326" t="s">
        <v>387</v>
      </c>
      <c r="L269" s="358" t="s">
        <v>1407</v>
      </c>
      <c r="M269" s="325" t="s">
        <v>383</v>
      </c>
      <c r="N269" s="358" t="s">
        <v>1411</v>
      </c>
      <c r="O269" s="334">
        <v>5</v>
      </c>
      <c r="P269" s="327"/>
      <c r="Q269" s="336"/>
      <c r="R269" s="203"/>
      <c r="S269" s="203"/>
      <c r="T269" s="13" t="str">
        <f t="shared" si="36"/>
        <v>17建築物等に係る不具合等の状況-改善（予定）年月-月_5</v>
      </c>
      <c r="V269" s="202"/>
      <c r="W269" s="202"/>
      <c r="X269" s="202"/>
    </row>
    <row r="270" spans="2:24">
      <c r="B270" s="4"/>
      <c r="C270" s="4"/>
      <c r="D270" s="107">
        <f>'1_入力シート【基本情報】'!$BF$249</f>
        <v>0</v>
      </c>
      <c r="E270" s="564">
        <f>'1_入力シート【基本情報】'!$BF$249</f>
        <v>0</v>
      </c>
      <c r="F270" s="564" t="str">
        <f t="shared" si="34"/>
        <v>0</v>
      </c>
      <c r="G270" s="24"/>
      <c r="H270" s="565" t="s">
        <v>1953</v>
      </c>
      <c r="I270" s="326" t="s">
        <v>1954</v>
      </c>
      <c r="J270" s="357" t="s">
        <v>1407</v>
      </c>
      <c r="K270" s="322" t="s">
        <v>1969</v>
      </c>
      <c r="L270" s="358" t="s">
        <v>1411</v>
      </c>
      <c r="M270" s="331">
        <v>5</v>
      </c>
      <c r="N270" s="358"/>
      <c r="O270" s="326"/>
      <c r="P270" s="327"/>
      <c r="Q270" s="336"/>
      <c r="R270" s="203"/>
      <c r="S270" s="203"/>
      <c r="T270" s="13" t="str">
        <f t="shared" si="36"/>
        <v>17建築物等に係る不具合等の状況-改善措置の概要等又は改善の予定がない場合は理由_5</v>
      </c>
      <c r="V270" s="202"/>
      <c r="W270" s="202"/>
      <c r="X270" s="202"/>
    </row>
    <row r="271" spans="2:24">
      <c r="B271" s="4"/>
      <c r="C271" s="4"/>
      <c r="D271" s="107">
        <f>'1_入力シート【基本情報】'!$AB$255</f>
        <v>0</v>
      </c>
      <c r="E271" s="564">
        <f>'1_入力シート【基本情報】'!$AB$255</f>
        <v>0</v>
      </c>
      <c r="F271" s="564" t="str">
        <f t="shared" si="34"/>
        <v>0</v>
      </c>
      <c r="G271" s="24"/>
      <c r="H271" s="565" t="s">
        <v>2007</v>
      </c>
      <c r="I271" s="334" t="s">
        <v>1900</v>
      </c>
      <c r="J271" s="357" t="s">
        <v>1407</v>
      </c>
      <c r="K271" s="322" t="s">
        <v>2008</v>
      </c>
      <c r="L271" s="358"/>
      <c r="M271" s="325"/>
      <c r="N271" s="358"/>
      <c r="O271" s="333"/>
      <c r="P271" s="327"/>
      <c r="Q271" s="336"/>
      <c r="R271" s="203"/>
      <c r="S271" s="203"/>
      <c r="T271" s="13" t="str">
        <f t="shared" si="36"/>
        <v>18備考-備考（3）</v>
      </c>
      <c r="V271" s="202"/>
      <c r="W271" s="202"/>
      <c r="X271" s="202"/>
    </row>
    <row r="272" spans="2:24">
      <c r="B272" s="4"/>
      <c r="C272" s="4"/>
      <c r="D272" s="107">
        <f>'1_入力シート【基本情報】'!$AB$261</f>
        <v>0</v>
      </c>
      <c r="E272" s="564">
        <f>'1_入力シート【基本情報】'!$AB$261</f>
        <v>0</v>
      </c>
      <c r="F272" s="564" t="str">
        <f t="shared" si="34"/>
        <v>0</v>
      </c>
      <c r="G272" s="24"/>
      <c r="H272" s="565" t="s">
        <v>2010</v>
      </c>
      <c r="I272" s="334" t="s">
        <v>2011</v>
      </c>
      <c r="J272" s="357" t="s">
        <v>1407</v>
      </c>
      <c r="K272" s="322" t="s">
        <v>4637</v>
      </c>
      <c r="L272" s="358"/>
      <c r="M272" s="325"/>
      <c r="N272" s="358"/>
      <c r="O272" s="333"/>
      <c r="P272" s="327"/>
      <c r="Q272" s="336"/>
      <c r="R272" s="203"/>
      <c r="S272" s="203"/>
      <c r="T272" s="13" t="str">
        <f t="shared" si="36"/>
        <v>19外装仕上げ材等について-外装仕上材のタイル・石貼り等、モルタル塗り等の使用</v>
      </c>
      <c r="V272" s="202"/>
      <c r="W272" s="202"/>
      <c r="X272" s="202"/>
    </row>
    <row r="273" spans="2:28">
      <c r="B273" s="4"/>
      <c r="C273" s="4"/>
      <c r="D273" s="107">
        <f>'1_入力シート【基本情報】'!$AB$262</f>
        <v>0</v>
      </c>
      <c r="E273" s="564">
        <f>'1_入力シート【基本情報】'!$AB$262</f>
        <v>0</v>
      </c>
      <c r="F273" s="564" t="str">
        <f t="shared" si="34"/>
        <v>0</v>
      </c>
      <c r="G273" s="24"/>
      <c r="H273" s="565" t="s">
        <v>2010</v>
      </c>
      <c r="I273" s="334" t="s">
        <v>2011</v>
      </c>
      <c r="J273" s="357"/>
      <c r="K273" s="322" t="s">
        <v>2560</v>
      </c>
      <c r="L273" s="358"/>
      <c r="M273" s="325"/>
      <c r="N273" s="358"/>
      <c r="O273" s="326"/>
      <c r="P273" s="327"/>
      <c r="Q273" s="336"/>
      <c r="R273" s="203"/>
      <c r="S273" s="203"/>
      <c r="T273" s="13" t="str">
        <f t="shared" si="36"/>
        <v>19外装仕上げ材等について全面打診等の実施状況</v>
      </c>
      <c r="V273" s="202"/>
      <c r="W273" s="202"/>
      <c r="X273" s="202"/>
    </row>
    <row r="274" spans="2:28">
      <c r="B274" s="4"/>
      <c r="C274" s="4"/>
      <c r="D274" s="107">
        <f>'1_入力シート【基本情報】'!$AH$263</f>
        <v>0</v>
      </c>
      <c r="E274" s="564">
        <f>'1_入力シート【基本情報】'!$AH$263</f>
        <v>0</v>
      </c>
      <c r="F274" s="564" t="str">
        <f t="shared" si="34"/>
        <v>0</v>
      </c>
      <c r="G274" s="24"/>
      <c r="H274" s="565" t="s">
        <v>2010</v>
      </c>
      <c r="I274" s="334" t="s">
        <v>2011</v>
      </c>
      <c r="J274" s="357" t="s">
        <v>1407</v>
      </c>
      <c r="K274" s="322" t="s">
        <v>2560</v>
      </c>
      <c r="L274" s="358" t="s">
        <v>1407</v>
      </c>
      <c r="M274" s="325" t="s">
        <v>2013</v>
      </c>
      <c r="N274" s="358" t="s">
        <v>1407</v>
      </c>
      <c r="O274" s="326" t="s">
        <v>1174</v>
      </c>
      <c r="P274" s="327"/>
      <c r="Q274" s="336"/>
      <c r="R274" s="203"/>
      <c r="S274" s="203"/>
      <c r="T274" s="13" t="str">
        <f t="shared" si="36"/>
        <v>19外装仕上げ材等について-全面打診等の実施状況-時期：-元号</v>
      </c>
      <c r="V274" s="202"/>
      <c r="W274" s="202"/>
      <c r="X274" s="202"/>
    </row>
    <row r="275" spans="2:28" ht="19">
      <c r="B275" s="4"/>
      <c r="C275" s="493" t="str">
        <f t="shared" ref="C275:E276" si="38">ASC($D275)</f>
        <v>0</v>
      </c>
      <c r="D275" s="107">
        <f>'1_入力シート【基本情報】'!$AK$263</f>
        <v>0</v>
      </c>
      <c r="E275" s="7" t="str">
        <f t="shared" si="38"/>
        <v>0</v>
      </c>
      <c r="F275" s="7" t="str">
        <f t="shared" si="34"/>
        <v>0</v>
      </c>
      <c r="G275" s="24"/>
      <c r="H275" s="565" t="s">
        <v>2010</v>
      </c>
      <c r="I275" s="334" t="s">
        <v>2011</v>
      </c>
      <c r="J275" s="357" t="s">
        <v>1407</v>
      </c>
      <c r="K275" s="322" t="s">
        <v>2560</v>
      </c>
      <c r="L275" s="358" t="s">
        <v>1407</v>
      </c>
      <c r="M275" s="325" t="s">
        <v>2013</v>
      </c>
      <c r="N275" s="367" t="s">
        <v>1407</v>
      </c>
      <c r="O275" s="326" t="s">
        <v>12</v>
      </c>
      <c r="P275" s="327"/>
      <c r="Q275" s="336"/>
      <c r="R275" s="203"/>
      <c r="S275" s="203"/>
      <c r="T275" s="13" t="str">
        <f t="shared" si="36"/>
        <v>19外装仕上げ材等について-全面打診等の実施状況-時期：-年</v>
      </c>
      <c r="V275" s="202"/>
      <c r="W275" s="202"/>
      <c r="X275" s="202"/>
    </row>
    <row r="276" spans="2:28" ht="19">
      <c r="B276" s="4"/>
      <c r="C276" s="493" t="str">
        <f t="shared" si="38"/>
        <v>0</v>
      </c>
      <c r="D276" s="107">
        <f>'1_入力シート【基本情報】'!$AP$263</f>
        <v>0</v>
      </c>
      <c r="E276" s="7" t="str">
        <f t="shared" si="38"/>
        <v>0</v>
      </c>
      <c r="F276" s="7" t="str">
        <f t="shared" si="34"/>
        <v>0</v>
      </c>
      <c r="G276" s="24"/>
      <c r="H276" s="565" t="s">
        <v>2010</v>
      </c>
      <c r="I276" s="334" t="s">
        <v>2011</v>
      </c>
      <c r="J276" s="357" t="s">
        <v>1407</v>
      </c>
      <c r="K276" s="322" t="s">
        <v>2560</v>
      </c>
      <c r="L276" s="358" t="s">
        <v>1407</v>
      </c>
      <c r="M276" s="325" t="s">
        <v>2013</v>
      </c>
      <c r="N276" s="367" t="s">
        <v>1407</v>
      </c>
      <c r="O276" s="326" t="s">
        <v>2014</v>
      </c>
      <c r="P276" s="327"/>
      <c r="Q276" s="336"/>
      <c r="R276" s="203"/>
      <c r="S276" s="203"/>
      <c r="T276" s="13" t="str">
        <f t="shared" si="36"/>
        <v>19外装仕上げ材等について-全面打診等の実施状況-時期：-月に</v>
      </c>
      <c r="V276" s="202"/>
      <c r="W276" s="202"/>
      <c r="X276" s="202"/>
    </row>
    <row r="277" spans="2:28">
      <c r="B277" s="4"/>
      <c r="C277" s="4"/>
      <c r="D277" s="107">
        <f>'1_入力シート【基本情報】'!$AH$264</f>
        <v>0</v>
      </c>
      <c r="E277" s="564">
        <f>'1_入力シート【基本情報】'!$AH$264</f>
        <v>0</v>
      </c>
      <c r="F277" s="564" t="str">
        <f t="shared" si="34"/>
        <v>0</v>
      </c>
      <c r="G277" s="24"/>
      <c r="H277" s="565" t="s">
        <v>2010</v>
      </c>
      <c r="I277" s="334" t="s">
        <v>2011</v>
      </c>
      <c r="J277" s="357" t="s">
        <v>1407</v>
      </c>
      <c r="K277" s="322" t="s">
        <v>2560</v>
      </c>
      <c r="L277" s="358" t="s">
        <v>1407</v>
      </c>
      <c r="M277" s="325" t="s">
        <v>2015</v>
      </c>
      <c r="N277" s="367"/>
      <c r="O277" s="326"/>
      <c r="P277" s="327"/>
      <c r="Q277" s="336"/>
      <c r="R277" s="203"/>
      <c r="S277" s="203"/>
      <c r="T277" s="13" t="str">
        <f t="shared" si="36"/>
        <v>19外装仕上げ材等について-全面打診等の実施状況-理由：</v>
      </c>
      <c r="V277" s="202"/>
      <c r="W277" s="202"/>
      <c r="X277" s="202"/>
    </row>
    <row r="278" spans="2:28">
      <c r="B278" s="4"/>
      <c r="C278" s="4"/>
      <c r="D278" s="107"/>
      <c r="E278" s="789">
        <f>'1_入力シート【基本情報】'!$AB$267</f>
        <v>0</v>
      </c>
      <c r="F278" s="789" t="str">
        <f t="shared" si="34"/>
        <v>0</v>
      </c>
      <c r="G278" s="790"/>
      <c r="H278" s="693" t="s">
        <v>3366</v>
      </c>
      <c r="I278" s="791" t="s">
        <v>3367</v>
      </c>
      <c r="J278" s="695" t="s">
        <v>1879</v>
      </c>
      <c r="K278" s="696" t="s">
        <v>3368</v>
      </c>
      <c r="L278" s="697"/>
      <c r="M278" s="698"/>
      <c r="N278" s="800"/>
      <c r="O278" s="694"/>
      <c r="P278" s="699"/>
      <c r="Q278" s="700"/>
      <c r="R278" s="701"/>
      <c r="S278" s="701"/>
      <c r="T278" s="382" t="str">
        <f t="shared" si="36"/>
        <v>20直通階段の数について-直通階段の数</v>
      </c>
      <c r="U278" s="382"/>
      <c r="V278" s="202"/>
      <c r="W278" s="202"/>
      <c r="X278" s="202"/>
      <c r="Y278" s="382"/>
      <c r="Z278" s="382"/>
      <c r="AA278" s="382"/>
      <c r="AB278" s="382"/>
    </row>
    <row r="279" spans="2:28">
      <c r="B279" s="4"/>
      <c r="C279" s="4"/>
      <c r="D279" s="107">
        <f>'1_入力シート【基本情報】'!$AB$270</f>
        <v>0</v>
      </c>
      <c r="E279" s="564">
        <f>'1_入力シート【基本情報】'!$AB$270</f>
        <v>0</v>
      </c>
      <c r="F279" s="564" t="str">
        <f t="shared" si="34"/>
        <v>0</v>
      </c>
      <c r="G279" s="24"/>
      <c r="H279" s="565">
        <v>21</v>
      </c>
      <c r="I279" s="334" t="s">
        <v>2016</v>
      </c>
      <c r="J279" s="357" t="s">
        <v>1407</v>
      </c>
      <c r="K279" s="322" t="s">
        <v>2017</v>
      </c>
      <c r="L279" s="358" t="s">
        <v>1407</v>
      </c>
      <c r="M279" s="325" t="s">
        <v>720</v>
      </c>
      <c r="N279" s="367" t="s">
        <v>1407</v>
      </c>
      <c r="O279" s="336" t="s">
        <v>2018</v>
      </c>
      <c r="P279" s="327"/>
      <c r="Q279" s="336"/>
      <c r="R279" s="203"/>
      <c r="S279" s="203"/>
      <c r="T279" s="13" t="str">
        <f t="shared" si="36"/>
        <v>21設備（法第12条第三項関係など）-建築設備-有無-機械換気設備</v>
      </c>
      <c r="V279" s="202"/>
      <c r="W279" s="202"/>
      <c r="X279" s="202"/>
    </row>
    <row r="280" spans="2:28">
      <c r="B280" s="4"/>
      <c r="C280" s="4"/>
      <c r="D280" s="107">
        <f>'1_入力シート【基本情報】'!$AB$271</f>
        <v>0</v>
      </c>
      <c r="E280" s="564">
        <f>'1_入力シート【基本情報】'!$AB$271</f>
        <v>0</v>
      </c>
      <c r="F280" s="564" t="str">
        <f t="shared" si="34"/>
        <v>0</v>
      </c>
      <c r="G280" s="24"/>
      <c r="H280" s="565">
        <v>21</v>
      </c>
      <c r="I280" s="334" t="s">
        <v>2016</v>
      </c>
      <c r="J280" s="357" t="s">
        <v>1407</v>
      </c>
      <c r="K280" s="322" t="s">
        <v>2017</v>
      </c>
      <c r="L280" s="358" t="s">
        <v>1407</v>
      </c>
      <c r="M280" s="325" t="s">
        <v>720</v>
      </c>
      <c r="N280" s="367" t="s">
        <v>1407</v>
      </c>
      <c r="O280" s="336" t="s">
        <v>2019</v>
      </c>
      <c r="P280" s="327"/>
      <c r="Q280" s="336"/>
      <c r="R280" s="203"/>
      <c r="S280" s="203"/>
      <c r="T280" s="13" t="str">
        <f t="shared" si="36"/>
        <v>21設備（法第12条第三項関係など）-建築設備-有無-機械排煙設備</v>
      </c>
      <c r="V280" s="202"/>
      <c r="W280" s="202"/>
      <c r="X280" s="202"/>
    </row>
    <row r="281" spans="2:28">
      <c r="B281" s="5"/>
      <c r="C281" s="5"/>
      <c r="D281" s="492">
        <f>'1_入力シート【基本情報】'!$AB$272</f>
        <v>0</v>
      </c>
      <c r="E281" s="564">
        <f>'1_入力シート【基本情報】'!$AB$272</f>
        <v>0</v>
      </c>
      <c r="F281" s="564" t="str">
        <f t="shared" si="34"/>
        <v>0</v>
      </c>
      <c r="G281" s="567"/>
      <c r="H281" s="565">
        <v>21</v>
      </c>
      <c r="I281" s="334" t="s">
        <v>2016</v>
      </c>
      <c r="J281" s="357" t="s">
        <v>1407</v>
      </c>
      <c r="K281" s="322" t="s">
        <v>2017</v>
      </c>
      <c r="L281" s="358" t="s">
        <v>1407</v>
      </c>
      <c r="M281" s="325" t="s">
        <v>720</v>
      </c>
      <c r="N281" s="367" t="s">
        <v>1407</v>
      </c>
      <c r="O281" s="326" t="s">
        <v>2020</v>
      </c>
      <c r="P281" s="327"/>
      <c r="Q281" s="336"/>
      <c r="R281" s="203"/>
      <c r="S281" s="203"/>
      <c r="T281" s="13" t="str">
        <f t="shared" si="36"/>
        <v>21設備（法第12条第三項関係など）-建築設備-有無-非常用の照明装置</v>
      </c>
      <c r="V281" s="202"/>
      <c r="W281" s="202"/>
      <c r="X281" s="202"/>
    </row>
    <row r="282" spans="2:28">
      <c r="B282" s="4"/>
      <c r="C282" s="4"/>
      <c r="D282" s="107">
        <f>'1_入力シート【基本情報】'!$AB$273</f>
        <v>0</v>
      </c>
      <c r="E282" s="564">
        <f>'1_入力シート【基本情報】'!$AB$273</f>
        <v>0</v>
      </c>
      <c r="F282" s="564" t="str">
        <f t="shared" si="34"/>
        <v>0</v>
      </c>
      <c r="G282" s="24"/>
      <c r="H282" s="565">
        <v>21</v>
      </c>
      <c r="I282" s="334" t="s">
        <v>2016</v>
      </c>
      <c r="J282" s="357" t="s">
        <v>1407</v>
      </c>
      <c r="K282" s="322" t="s">
        <v>2017</v>
      </c>
      <c r="L282" s="358" t="s">
        <v>1407</v>
      </c>
      <c r="M282" s="325" t="s">
        <v>720</v>
      </c>
      <c r="N282" s="367" t="s">
        <v>1407</v>
      </c>
      <c r="O282" s="326" t="s">
        <v>2021</v>
      </c>
      <c r="P282" s="327"/>
      <c r="Q282" s="336"/>
      <c r="R282" s="203"/>
      <c r="S282" s="203"/>
      <c r="T282" s="13" t="str">
        <f t="shared" si="36"/>
        <v>21設備（法第12条第三項関係など）-建築設備-有無-給水設備及び排水設備</v>
      </c>
      <c r="V282" s="202"/>
      <c r="W282" s="202"/>
      <c r="X282" s="202"/>
    </row>
    <row r="283" spans="2:28">
      <c r="B283" s="5"/>
      <c r="C283" s="5"/>
      <c r="D283" s="492">
        <f>'1_入力シート【基本情報】'!$AB$274</f>
        <v>0</v>
      </c>
      <c r="E283" s="564">
        <f>'1_入力シート【基本情報】'!$AB$274</f>
        <v>0</v>
      </c>
      <c r="F283" s="564" t="str">
        <f t="shared" si="34"/>
        <v>0</v>
      </c>
      <c r="G283" s="567"/>
      <c r="H283" s="565">
        <v>21</v>
      </c>
      <c r="I283" s="334" t="s">
        <v>2016</v>
      </c>
      <c r="J283" s="357" t="s">
        <v>1407</v>
      </c>
      <c r="K283" s="322" t="s">
        <v>2017</v>
      </c>
      <c r="L283" s="358" t="s">
        <v>1407</v>
      </c>
      <c r="M283" s="325" t="s">
        <v>735</v>
      </c>
      <c r="N283" s="358"/>
      <c r="O283" s="326"/>
      <c r="P283" s="327"/>
      <c r="Q283" s="336"/>
      <c r="R283" s="203"/>
      <c r="S283" s="203"/>
      <c r="T283" s="13" t="str">
        <f t="shared" si="36"/>
        <v>21設備（法第12条第三項関係など）-建築設備-定期報告対象</v>
      </c>
      <c r="V283" s="202"/>
      <c r="W283" s="202"/>
      <c r="X283" s="202"/>
    </row>
    <row r="284" spans="2:28">
      <c r="B284" s="5"/>
      <c r="C284" s="5"/>
      <c r="D284" s="492">
        <f>'1_入力シート【基本情報】'!$AB$275</f>
        <v>0</v>
      </c>
      <c r="E284" s="564">
        <f>'1_入力シート【基本情報】'!$AB$275</f>
        <v>0</v>
      </c>
      <c r="F284" s="564" t="str">
        <f t="shared" si="34"/>
        <v>0</v>
      </c>
      <c r="G284" s="567"/>
      <c r="H284" s="565">
        <v>21</v>
      </c>
      <c r="I284" s="334" t="s">
        <v>2016</v>
      </c>
      <c r="J284" s="357" t="s">
        <v>1407</v>
      </c>
      <c r="K284" s="326" t="s">
        <v>732</v>
      </c>
      <c r="L284" s="358" t="s">
        <v>1407</v>
      </c>
      <c r="M284" s="325" t="s">
        <v>720</v>
      </c>
      <c r="N284" s="358"/>
      <c r="O284" s="326"/>
      <c r="P284" s="327"/>
      <c r="Q284" s="336"/>
      <c r="R284" s="203"/>
      <c r="S284" s="203"/>
      <c r="T284" s="13" t="str">
        <f t="shared" si="36"/>
        <v>21設備（法第12条第三項関係など）-防火設備-有無</v>
      </c>
      <c r="V284" s="202"/>
      <c r="W284" s="202"/>
      <c r="X284" s="202"/>
    </row>
    <row r="285" spans="2:28">
      <c r="B285" s="4"/>
      <c r="C285" s="4"/>
      <c r="D285" s="107">
        <f>'1_入力シート【基本情報】'!$AB$276</f>
        <v>0</v>
      </c>
      <c r="E285" s="564">
        <f>'1_入力シート【基本情報】'!$AB$276</f>
        <v>0</v>
      </c>
      <c r="F285" s="564" t="str">
        <f t="shared" si="34"/>
        <v>0</v>
      </c>
      <c r="G285" s="24"/>
      <c r="H285" s="565">
        <v>21</v>
      </c>
      <c r="I285" s="334" t="s">
        <v>2016</v>
      </c>
      <c r="J285" s="357" t="s">
        <v>1407</v>
      </c>
      <c r="K285" s="326" t="s">
        <v>732</v>
      </c>
      <c r="L285" s="358" t="s">
        <v>1407</v>
      </c>
      <c r="M285" s="325" t="s">
        <v>2022</v>
      </c>
      <c r="N285" s="367" t="s">
        <v>1407</v>
      </c>
      <c r="O285" s="326" t="s">
        <v>17</v>
      </c>
      <c r="P285" s="327"/>
      <c r="Q285" s="336"/>
      <c r="R285" s="203"/>
      <c r="S285" s="203"/>
      <c r="T285" s="13" t="str">
        <f t="shared" si="36"/>
        <v>21設備（法第12条第三項関係など）-防火設備-設置されている階-階</v>
      </c>
      <c r="V285" s="202"/>
      <c r="W285" s="202"/>
      <c r="X285" s="202"/>
    </row>
    <row r="286" spans="2:28">
      <c r="B286" s="4"/>
      <c r="C286" s="4"/>
      <c r="D286" s="107">
        <f>'1_入力シート【基本情報】'!$AB$277</f>
        <v>0</v>
      </c>
      <c r="E286" s="564">
        <f>'1_入力シート【基本情報】'!$AB$277</f>
        <v>0</v>
      </c>
      <c r="F286" s="564" t="str">
        <f t="shared" si="34"/>
        <v>0</v>
      </c>
      <c r="G286" s="24"/>
      <c r="H286" s="565">
        <v>21</v>
      </c>
      <c r="I286" s="334" t="s">
        <v>2016</v>
      </c>
      <c r="J286" s="357" t="s">
        <v>1407</v>
      </c>
      <c r="K286" s="326" t="s">
        <v>732</v>
      </c>
      <c r="L286" s="358" t="s">
        <v>1407</v>
      </c>
      <c r="M286" s="325" t="s">
        <v>735</v>
      </c>
      <c r="N286" s="367"/>
      <c r="O286" s="326"/>
      <c r="P286" s="327"/>
      <c r="Q286" s="336"/>
      <c r="R286" s="203"/>
      <c r="S286" s="203"/>
      <c r="T286" s="13" t="str">
        <f t="shared" si="36"/>
        <v>21設備（法第12条第三項関係など）-防火設備-定期報告対象</v>
      </c>
      <c r="V286" s="202"/>
      <c r="W286" s="202"/>
      <c r="X286" s="202"/>
    </row>
    <row r="287" spans="2:28">
      <c r="B287" s="4"/>
      <c r="C287" s="4"/>
      <c r="D287" s="107">
        <f>'1_入力シート【基本情報】'!$AB$278</f>
        <v>0</v>
      </c>
      <c r="E287" s="564">
        <f>'1_入力シート【基本情報】'!$AB$278</f>
        <v>0</v>
      </c>
      <c r="F287" s="564" t="str">
        <f t="shared" si="34"/>
        <v>0</v>
      </c>
      <c r="G287" s="24"/>
      <c r="H287" s="565">
        <v>21</v>
      </c>
      <c r="I287" s="334" t="s">
        <v>2016</v>
      </c>
      <c r="J287" s="357" t="s">
        <v>1407</v>
      </c>
      <c r="K287" s="326" t="s">
        <v>2023</v>
      </c>
      <c r="L287" s="358" t="s">
        <v>1407</v>
      </c>
      <c r="M287" s="325" t="s">
        <v>720</v>
      </c>
      <c r="N287" s="367"/>
      <c r="O287" s="326"/>
      <c r="P287" s="327"/>
      <c r="Q287" s="336"/>
      <c r="R287" s="203"/>
      <c r="S287" s="203"/>
      <c r="T287" s="13" t="str">
        <f t="shared" si="36"/>
        <v>21設備（法第12条第三項関係など）-小荷物専用昇降機の有無-有無</v>
      </c>
      <c r="V287" s="202"/>
      <c r="W287" s="202"/>
      <c r="X287" s="202"/>
    </row>
    <row r="288" spans="2:28">
      <c r="B288" s="4"/>
      <c r="C288" s="4"/>
      <c r="D288" s="107">
        <f>'1_入力シート【基本情報】'!$AB$279</f>
        <v>0</v>
      </c>
      <c r="E288" s="564">
        <f>'1_入力シート【基本情報】'!$AB$279</f>
        <v>0</v>
      </c>
      <c r="F288" s="564" t="str">
        <f t="shared" si="34"/>
        <v>0</v>
      </c>
      <c r="G288" s="24"/>
      <c r="H288" s="565">
        <v>21</v>
      </c>
      <c r="I288" s="334" t="s">
        <v>2016</v>
      </c>
      <c r="J288" s="357" t="s">
        <v>1407</v>
      </c>
      <c r="K288" s="326" t="s">
        <v>2023</v>
      </c>
      <c r="L288" s="358" t="s">
        <v>1407</v>
      </c>
      <c r="M288" s="325" t="s">
        <v>735</v>
      </c>
      <c r="N288" s="358"/>
      <c r="O288" s="326"/>
      <c r="P288" s="327"/>
      <c r="Q288" s="336"/>
      <c r="R288" s="203"/>
      <c r="S288" s="203"/>
      <c r="T288" s="13" t="str">
        <f t="shared" si="36"/>
        <v>21設備（法第12条第三項関係など）-小荷物専用昇降機の有無-定期報告対象</v>
      </c>
      <c r="V288" s="202"/>
      <c r="W288" s="202"/>
      <c r="X288" s="202"/>
    </row>
    <row r="289" spans="2:28">
      <c r="B289" s="4"/>
      <c r="C289" s="4"/>
      <c r="D289" s="107">
        <f>'1_入力シート【基本情報】'!$AB$280</f>
        <v>0</v>
      </c>
      <c r="E289" s="564">
        <f>'1_入力シート【基本情報】'!$AB$280</f>
        <v>0</v>
      </c>
      <c r="F289" s="564" t="str">
        <f t="shared" si="34"/>
        <v>0</v>
      </c>
      <c r="G289" s="24"/>
      <c r="H289" s="565">
        <v>21</v>
      </c>
      <c r="I289" s="334" t="s">
        <v>2016</v>
      </c>
      <c r="J289" s="357" t="s">
        <v>1407</v>
      </c>
      <c r="K289" s="326" t="s">
        <v>2024</v>
      </c>
      <c r="L289" s="358" t="s">
        <v>1407</v>
      </c>
      <c r="M289" s="325" t="s">
        <v>720</v>
      </c>
      <c r="N289" s="358" t="s">
        <v>1407</v>
      </c>
      <c r="O289" s="326" t="s">
        <v>2024</v>
      </c>
      <c r="P289" s="327"/>
      <c r="Q289" s="336"/>
      <c r="R289" s="203"/>
      <c r="S289" s="203"/>
      <c r="T289" s="13" t="str">
        <f t="shared" si="36"/>
        <v>21設備（法第12条第三項関係など）-自動消火設備-有無-自動消火設備</v>
      </c>
      <c r="V289" s="202"/>
      <c r="W289" s="202"/>
      <c r="X289" s="202"/>
    </row>
    <row r="290" spans="2:28">
      <c r="B290" s="4"/>
      <c r="C290" s="4"/>
      <c r="D290" s="107">
        <f>'1_入力シート【基本情報】'!$AB$281</f>
        <v>0</v>
      </c>
      <c r="E290" s="564">
        <f>'1_入力シート【基本情報】'!$AB$281</f>
        <v>0</v>
      </c>
      <c r="F290" s="564" t="str">
        <f t="shared" si="34"/>
        <v>0</v>
      </c>
      <c r="G290" s="24"/>
      <c r="H290" s="565">
        <v>21</v>
      </c>
      <c r="I290" s="334" t="s">
        <v>2016</v>
      </c>
      <c r="J290" s="357" t="s">
        <v>1407</v>
      </c>
      <c r="K290" s="326" t="s">
        <v>2024</v>
      </c>
      <c r="L290" s="358" t="s">
        <v>1407</v>
      </c>
      <c r="M290" s="325" t="s">
        <v>2022</v>
      </c>
      <c r="N290" s="358" t="s">
        <v>1407</v>
      </c>
      <c r="O290" s="326" t="s">
        <v>17</v>
      </c>
      <c r="P290" s="327"/>
      <c r="Q290" s="336"/>
      <c r="R290" s="203"/>
      <c r="S290" s="203"/>
      <c r="T290" s="13" t="str">
        <f t="shared" si="36"/>
        <v>21設備（法第12条第三項関係など）-自動消火設備-設置されている階-階</v>
      </c>
      <c r="V290" s="202"/>
      <c r="W290" s="202"/>
      <c r="X290" s="202"/>
    </row>
    <row r="291" spans="2:28">
      <c r="B291" s="4"/>
      <c r="C291" s="4"/>
      <c r="D291" s="107">
        <f>'1_入力シート【基本情報】'!$AB$287</f>
        <v>0</v>
      </c>
      <c r="E291" s="564">
        <f>'1_入力シート【基本情報】'!$AB$287</f>
        <v>0</v>
      </c>
      <c r="F291" s="564" t="str">
        <f t="shared" si="34"/>
        <v>0</v>
      </c>
      <c r="G291" s="24"/>
      <c r="H291" s="565">
        <v>22</v>
      </c>
      <c r="I291" s="334" t="s">
        <v>2025</v>
      </c>
      <c r="J291" s="357" t="s">
        <v>2491</v>
      </c>
      <c r="K291" s="326" t="s">
        <v>2492</v>
      </c>
      <c r="L291" s="358"/>
      <c r="M291" s="325"/>
      <c r="N291" s="358"/>
      <c r="O291" s="326"/>
      <c r="P291" s="327"/>
      <c r="Q291" s="336"/>
      <c r="R291" s="203"/>
      <c r="S291" s="203"/>
      <c r="T291" s="13" t="str">
        <f t="shared" si="36"/>
        <v>22自由記入欄-自由記入欄</v>
      </c>
      <c r="V291" s="202"/>
      <c r="W291" s="202"/>
      <c r="X291" s="202"/>
    </row>
    <row r="292" spans="2:28">
      <c r="B292" s="4"/>
      <c r="C292" s="4"/>
      <c r="D292" s="107">
        <f>'1_入力シート【基本情報】'!AB290</f>
        <v>0</v>
      </c>
      <c r="E292" s="564">
        <f>'1_入力シート【基本情報】'!$AB$290</f>
        <v>0</v>
      </c>
      <c r="F292" s="564" t="str">
        <f t="shared" si="34"/>
        <v>0</v>
      </c>
      <c r="G292" s="24"/>
      <c r="H292" s="565">
        <v>22</v>
      </c>
      <c r="I292" s="334" t="s">
        <v>2025</v>
      </c>
      <c r="J292" s="384" t="s">
        <v>2491</v>
      </c>
      <c r="K292" s="326" t="s">
        <v>2490</v>
      </c>
      <c r="L292" s="358"/>
      <c r="M292" s="325"/>
      <c r="N292" s="358"/>
      <c r="O292" s="326"/>
      <c r="P292" s="327"/>
      <c r="Q292" s="336"/>
      <c r="R292" s="203"/>
      <c r="S292" s="203"/>
      <c r="T292" s="382" t="str">
        <f t="shared" si="36"/>
        <v>22自由記入欄-その他特記事項</v>
      </c>
      <c r="U292" s="382"/>
      <c r="V292" s="202"/>
      <c r="W292" s="202"/>
      <c r="X292" s="202"/>
      <c r="Y292" s="382"/>
      <c r="Z292" s="382"/>
      <c r="AA292" s="382"/>
      <c r="AB292" s="382"/>
    </row>
    <row r="293" spans="2:28">
      <c r="B293" s="107">
        <f>'1_入力シート【基本情報】'!$U$301</f>
        <v>0</v>
      </c>
      <c r="C293" s="4" t="str">
        <f>MID(B293,2,14)</f>
        <v/>
      </c>
      <c r="D293" s="107">
        <f>'1_入力シート【基本情報】'!$U$301</f>
        <v>0</v>
      </c>
      <c r="E293" s="564">
        <f>'1_入力シート【基本情報】'!$U$301</f>
        <v>0</v>
      </c>
      <c r="F293" s="564" t="str">
        <f t="shared" si="34"/>
        <v>0</v>
      </c>
      <c r="G293" s="24"/>
      <c r="H293" s="565">
        <v>23</v>
      </c>
      <c r="I293" s="334" t="s">
        <v>33</v>
      </c>
      <c r="J293" s="357" t="s">
        <v>1407</v>
      </c>
      <c r="K293" s="326" t="s">
        <v>2026</v>
      </c>
      <c r="L293" s="358" t="s">
        <v>1407</v>
      </c>
      <c r="M293" s="331">
        <v>1</v>
      </c>
      <c r="N293" s="358"/>
      <c r="O293" s="326"/>
      <c r="P293" s="327"/>
      <c r="Q293" s="336"/>
      <c r="R293" s="203"/>
      <c r="S293" s="203"/>
      <c r="T293" s="13" t="str">
        <f t="shared" si="36"/>
        <v>23調査結果-調査者番号-1</v>
      </c>
      <c r="V293" s="202"/>
      <c r="W293" s="202"/>
      <c r="X293" s="202"/>
    </row>
    <row r="294" spans="2:28">
      <c r="B294" s="107">
        <f>'1_入力シート【基本情報】'!$AW$301</f>
        <v>0</v>
      </c>
      <c r="C294" s="4" t="str">
        <f t="shared" ref="C294:C355" si="39">MID(B294,2,14)</f>
        <v/>
      </c>
      <c r="D294" s="107">
        <f>'1_入力シート【基本情報】'!$AW$301</f>
        <v>0</v>
      </c>
      <c r="E294" s="564">
        <f>'1_入力シート【基本情報】'!$AW$301</f>
        <v>0</v>
      </c>
      <c r="F294" s="564" t="str">
        <f t="shared" si="34"/>
        <v>0</v>
      </c>
      <c r="G294" s="24"/>
      <c r="H294" s="565">
        <v>23</v>
      </c>
      <c r="I294" s="334" t="s">
        <v>33</v>
      </c>
      <c r="J294" s="357" t="s">
        <v>1407</v>
      </c>
      <c r="K294" s="326" t="s">
        <v>2026</v>
      </c>
      <c r="L294" s="358" t="s">
        <v>1407</v>
      </c>
      <c r="M294" s="331">
        <v>2</v>
      </c>
      <c r="N294" s="358"/>
      <c r="O294" s="333"/>
      <c r="P294" s="327"/>
      <c r="Q294" s="336"/>
      <c r="R294" s="203"/>
      <c r="S294" s="203"/>
      <c r="T294" s="13" t="str">
        <f t="shared" si="36"/>
        <v>23調査結果-調査者番号-2</v>
      </c>
      <c r="V294" s="202"/>
      <c r="W294" s="202"/>
      <c r="X294" s="202"/>
    </row>
    <row r="295" spans="2:28">
      <c r="B295" s="107">
        <f>'1_入力シート【基本情報】'!$BY$301</f>
        <v>0</v>
      </c>
      <c r="C295" s="4" t="str">
        <f t="shared" si="39"/>
        <v/>
      </c>
      <c r="D295" s="107">
        <f>'1_入力シート【基本情報】'!$BY$301</f>
        <v>0</v>
      </c>
      <c r="E295" s="564">
        <f>'1_入力シート【基本情報】'!$BY$301</f>
        <v>0</v>
      </c>
      <c r="F295" s="564" t="str">
        <f t="shared" si="34"/>
        <v>0</v>
      </c>
      <c r="G295" s="24"/>
      <c r="H295" s="565">
        <v>23</v>
      </c>
      <c r="I295" s="334" t="s">
        <v>33</v>
      </c>
      <c r="J295" s="357" t="s">
        <v>1407</v>
      </c>
      <c r="K295" s="326" t="s">
        <v>2026</v>
      </c>
      <c r="L295" s="358" t="s">
        <v>1407</v>
      </c>
      <c r="M295" s="335">
        <v>3</v>
      </c>
      <c r="N295" s="358"/>
      <c r="O295" s="326"/>
      <c r="P295" s="327"/>
      <c r="Q295" s="336"/>
      <c r="R295" s="203"/>
      <c r="S295" s="203"/>
      <c r="T295" s="13" t="str">
        <f t="shared" si="36"/>
        <v>23調査結果-調査者番号-3</v>
      </c>
      <c r="V295" s="202"/>
      <c r="W295" s="202"/>
      <c r="X295" s="202"/>
    </row>
    <row r="296" spans="2:28">
      <c r="B296" s="107">
        <f>'1_入力シート【基本情報】'!$AF$307</f>
        <v>0</v>
      </c>
      <c r="C296" s="4" t="str">
        <f t="shared" si="39"/>
        <v/>
      </c>
      <c r="D296" s="107" t="str">
        <f>C296</f>
        <v/>
      </c>
      <c r="E296" s="564" t="str">
        <f>D296</f>
        <v/>
      </c>
      <c r="F296" s="564" t="str">
        <f t="shared" si="34"/>
        <v/>
      </c>
      <c r="G296" s="24"/>
      <c r="H296" s="565">
        <v>23</v>
      </c>
      <c r="I296" s="334" t="s">
        <v>33</v>
      </c>
      <c r="J296" s="357" t="s">
        <v>1407</v>
      </c>
      <c r="K296" s="322" t="s">
        <v>34</v>
      </c>
      <c r="L296" s="358" t="s">
        <v>1407</v>
      </c>
      <c r="M296" s="335" t="s">
        <v>2027</v>
      </c>
      <c r="N296" s="358" t="s">
        <v>1407</v>
      </c>
      <c r="O296" s="326" t="s">
        <v>33</v>
      </c>
      <c r="P296" s="327"/>
      <c r="Q296" s="336"/>
      <c r="R296" s="203"/>
      <c r="S296" s="203"/>
      <c r="T296" s="13" t="str">
        <f t="shared" si="36"/>
        <v>23調査結果-敷地及び地盤-1（1）-調査結果</v>
      </c>
      <c r="V296" s="202"/>
      <c r="W296" s="202"/>
      <c r="X296" s="202"/>
    </row>
    <row r="297" spans="2:28">
      <c r="B297" s="107">
        <f>'1_入力シート【基本情報】'!$AR$307</f>
        <v>0</v>
      </c>
      <c r="C297" s="4" t="str">
        <f t="shared" si="39"/>
        <v/>
      </c>
      <c r="D297" s="107">
        <f>'1_入力シート【基本情報】'!$AR$307</f>
        <v>0</v>
      </c>
      <c r="E297" s="564">
        <f>'1_入力シート【基本情報】'!$AR$307</f>
        <v>0</v>
      </c>
      <c r="F297" s="564" t="str">
        <f t="shared" si="34"/>
        <v>0</v>
      </c>
      <c r="G297" s="24"/>
      <c r="H297" s="565">
        <v>23</v>
      </c>
      <c r="I297" s="334" t="s">
        <v>33</v>
      </c>
      <c r="J297" s="357" t="s">
        <v>1407</v>
      </c>
      <c r="K297" s="322" t="s">
        <v>34</v>
      </c>
      <c r="L297" s="358" t="s">
        <v>1407</v>
      </c>
      <c r="M297" s="335" t="s">
        <v>2027</v>
      </c>
      <c r="N297" s="358" t="s">
        <v>1407</v>
      </c>
      <c r="O297" s="326" t="s">
        <v>30</v>
      </c>
      <c r="P297" s="327"/>
      <c r="Q297" s="336"/>
      <c r="R297" s="203"/>
      <c r="S297" s="203"/>
      <c r="T297" s="13" t="str">
        <f t="shared" si="36"/>
        <v>23調査結果-敷地及び地盤-1（1）-調査者番号</v>
      </c>
      <c r="V297" s="202"/>
      <c r="W297" s="202"/>
      <c r="X297" s="202"/>
    </row>
    <row r="298" spans="2:28">
      <c r="B298" s="107">
        <f>'1_入力シート【基本情報】'!$AT$307</f>
        <v>0</v>
      </c>
      <c r="C298" s="4" t="str">
        <f t="shared" si="39"/>
        <v/>
      </c>
      <c r="D298" s="107">
        <f>'1_入力シート【基本情報】'!$AT$307</f>
        <v>0</v>
      </c>
      <c r="E298" s="564">
        <f>'1_入力シート【基本情報】'!$AT$307</f>
        <v>0</v>
      </c>
      <c r="F298" s="564" t="str">
        <f t="shared" si="34"/>
        <v>0</v>
      </c>
      <c r="G298" s="24"/>
      <c r="H298" s="565">
        <v>23</v>
      </c>
      <c r="I298" s="334" t="s">
        <v>33</v>
      </c>
      <c r="J298" s="357" t="s">
        <v>1407</v>
      </c>
      <c r="K298" s="322" t="s">
        <v>34</v>
      </c>
      <c r="L298" s="358" t="s">
        <v>1407</v>
      </c>
      <c r="M298" s="335" t="s">
        <v>2027</v>
      </c>
      <c r="N298" s="358" t="s">
        <v>1407</v>
      </c>
      <c r="O298" s="326" t="s">
        <v>2028</v>
      </c>
      <c r="P298" s="327"/>
      <c r="Q298" s="336"/>
      <c r="R298" s="203"/>
      <c r="S298" s="203"/>
      <c r="T298" s="13" t="str">
        <f t="shared" si="36"/>
        <v>23調査結果-敷地及び地盤-1（1）-指摘の具体的内容等</v>
      </c>
      <c r="V298" s="202"/>
      <c r="W298" s="202"/>
      <c r="X298" s="202"/>
    </row>
    <row r="299" spans="2:28">
      <c r="B299" s="107">
        <f>'1_入力シート【基本情報】'!$BD$307</f>
        <v>0</v>
      </c>
      <c r="C299" s="4" t="str">
        <f t="shared" si="39"/>
        <v/>
      </c>
      <c r="D299" s="107">
        <f>'1_入力シート【基本情報】'!$BD$307</f>
        <v>0</v>
      </c>
      <c r="E299" s="564">
        <f>'1_入力シート【基本情報】'!$BD$307</f>
        <v>0</v>
      </c>
      <c r="F299" s="564" t="str">
        <f t="shared" si="34"/>
        <v>0</v>
      </c>
      <c r="G299" s="24"/>
      <c r="H299" s="565">
        <v>23</v>
      </c>
      <c r="I299" s="334" t="s">
        <v>33</v>
      </c>
      <c r="J299" s="357" t="s">
        <v>1407</v>
      </c>
      <c r="K299" s="322" t="s">
        <v>34</v>
      </c>
      <c r="L299" s="358" t="s">
        <v>1407</v>
      </c>
      <c r="M299" s="335" t="s">
        <v>2027</v>
      </c>
      <c r="N299" s="358" t="s">
        <v>1407</v>
      </c>
      <c r="O299" s="326" t="s">
        <v>2029</v>
      </c>
      <c r="P299" s="327"/>
      <c r="Q299" s="336"/>
      <c r="R299" s="203"/>
      <c r="S299" s="203"/>
      <c r="T299" s="13" t="str">
        <f t="shared" si="36"/>
        <v>23調査結果-敷地及び地盤-1（1）-改善策の具体的内容等</v>
      </c>
      <c r="V299" s="202"/>
      <c r="W299" s="202"/>
      <c r="X299" s="202"/>
    </row>
    <row r="300" spans="2:28" ht="19">
      <c r="B300" s="107">
        <f>'1_入力シート【基本情報】'!$BS$307</f>
        <v>0</v>
      </c>
      <c r="C300" s="493" t="str">
        <f t="shared" ref="C300:E301" si="40">ASC($D300)</f>
        <v>0</v>
      </c>
      <c r="D300" s="107">
        <f>'1_入力シート【基本情報】'!$BS$307</f>
        <v>0</v>
      </c>
      <c r="E300" s="7" t="str">
        <f t="shared" si="40"/>
        <v>0</v>
      </c>
      <c r="F300" s="7" t="str">
        <f t="shared" si="34"/>
        <v>0</v>
      </c>
      <c r="G300" s="24"/>
      <c r="H300" s="565">
        <v>23</v>
      </c>
      <c r="I300" s="334" t="s">
        <v>33</v>
      </c>
      <c r="J300" s="357" t="s">
        <v>1407</v>
      </c>
      <c r="K300" s="322" t="s">
        <v>34</v>
      </c>
      <c r="L300" s="358" t="s">
        <v>1407</v>
      </c>
      <c r="M300" s="335" t="s">
        <v>2027</v>
      </c>
      <c r="N300" s="358" t="s">
        <v>1407</v>
      </c>
      <c r="O300" s="326" t="s">
        <v>387</v>
      </c>
      <c r="P300" s="360" t="s">
        <v>1407</v>
      </c>
      <c r="Q300" s="336" t="s">
        <v>1966</v>
      </c>
      <c r="R300" s="203"/>
      <c r="S300" s="203"/>
      <c r="T300" s="13" t="str">
        <f t="shared" si="36"/>
        <v>23調査結果-敷地及び地盤-1（1）-改善（予定）年月-年（令和）</v>
      </c>
      <c r="V300" s="202"/>
      <c r="W300" s="202"/>
      <c r="X300" s="202"/>
    </row>
    <row r="301" spans="2:28" ht="19">
      <c r="B301" s="107">
        <f>'1_入力シート【基本情報】'!$BV$307</f>
        <v>0</v>
      </c>
      <c r="C301" s="493" t="str">
        <f t="shared" si="40"/>
        <v>0</v>
      </c>
      <c r="D301" s="107">
        <f>'1_入力シート【基本情報】'!$BV$307</f>
        <v>0</v>
      </c>
      <c r="E301" s="7" t="str">
        <f t="shared" si="40"/>
        <v>0</v>
      </c>
      <c r="F301" s="7" t="str">
        <f t="shared" si="34"/>
        <v>0</v>
      </c>
      <c r="G301" s="24"/>
      <c r="H301" s="565">
        <v>23</v>
      </c>
      <c r="I301" s="334" t="s">
        <v>33</v>
      </c>
      <c r="J301" s="357" t="s">
        <v>1407</v>
      </c>
      <c r="K301" s="322" t="s">
        <v>34</v>
      </c>
      <c r="L301" s="358" t="s">
        <v>1407</v>
      </c>
      <c r="M301" s="335" t="s">
        <v>2027</v>
      </c>
      <c r="N301" s="358" t="s">
        <v>1407</v>
      </c>
      <c r="O301" s="326" t="s">
        <v>387</v>
      </c>
      <c r="P301" s="360" t="s">
        <v>1407</v>
      </c>
      <c r="Q301" s="336" t="s">
        <v>383</v>
      </c>
      <c r="R301" s="203"/>
      <c r="S301" s="203"/>
      <c r="T301" s="13" t="str">
        <f t="shared" si="36"/>
        <v>23調査結果-敷地及び地盤-1（1）-改善（予定）年月-月</v>
      </c>
      <c r="V301" s="202"/>
      <c r="W301" s="202"/>
      <c r="X301" s="202"/>
    </row>
    <row r="302" spans="2:28">
      <c r="B302" s="107">
        <f>'1_入力シート【基本情報】'!$BY$307</f>
        <v>0</v>
      </c>
      <c r="C302" s="4" t="str">
        <f t="shared" si="39"/>
        <v/>
      </c>
      <c r="D302" s="107">
        <f>'1_入力シート【基本情報】'!$BY$307</f>
        <v>0</v>
      </c>
      <c r="E302" s="564">
        <f>'1_入力シート【基本情報】'!$BY$307</f>
        <v>0</v>
      </c>
      <c r="F302" s="564" t="str">
        <f t="shared" si="34"/>
        <v>0</v>
      </c>
      <c r="G302" s="24"/>
      <c r="H302" s="565">
        <v>23</v>
      </c>
      <c r="I302" s="334" t="s">
        <v>33</v>
      </c>
      <c r="J302" s="357" t="s">
        <v>1407</v>
      </c>
      <c r="K302" s="322" t="s">
        <v>34</v>
      </c>
      <c r="L302" s="358" t="s">
        <v>1407</v>
      </c>
      <c r="M302" s="335" t="s">
        <v>2030</v>
      </c>
      <c r="N302" s="358" t="s">
        <v>1407</v>
      </c>
      <c r="O302" s="326" t="s">
        <v>387</v>
      </c>
      <c r="P302" s="360" t="s">
        <v>1407</v>
      </c>
      <c r="Q302" s="336" t="s">
        <v>675</v>
      </c>
      <c r="R302" s="203"/>
      <c r="S302" s="203"/>
      <c r="T302" s="13" t="str">
        <f t="shared" si="36"/>
        <v>23調査結果-敷地及び地盤-1（1）-改善（予定）年月-未定</v>
      </c>
      <c r="V302" s="202"/>
      <c r="W302" s="202"/>
      <c r="X302" s="202"/>
    </row>
    <row r="303" spans="2:28">
      <c r="B303" s="107">
        <f>'1_入力シート【基本情報】'!$AF$308</f>
        <v>0</v>
      </c>
      <c r="C303" s="4" t="str">
        <f t="shared" si="39"/>
        <v/>
      </c>
      <c r="D303" s="107" t="str">
        <f>C303</f>
        <v/>
      </c>
      <c r="E303" s="564" t="str">
        <f>D303</f>
        <v/>
      </c>
      <c r="F303" s="564" t="str">
        <f t="shared" si="34"/>
        <v/>
      </c>
      <c r="G303" s="24"/>
      <c r="H303" s="565">
        <v>23</v>
      </c>
      <c r="I303" s="334" t="s">
        <v>33</v>
      </c>
      <c r="J303" s="357" t="s">
        <v>1407</v>
      </c>
      <c r="K303" s="322" t="s">
        <v>34</v>
      </c>
      <c r="L303" s="358" t="s">
        <v>1407</v>
      </c>
      <c r="M303" s="335" t="s">
        <v>2031</v>
      </c>
      <c r="N303" s="358" t="s">
        <v>1407</v>
      </c>
      <c r="O303" s="326" t="s">
        <v>33</v>
      </c>
      <c r="P303" s="360"/>
      <c r="Q303" s="336"/>
      <c r="R303" s="203"/>
      <c r="S303" s="203"/>
      <c r="T303" s="13" t="str">
        <f t="shared" si="36"/>
        <v>23調査結果-敷地及び地盤-1（2）-調査結果</v>
      </c>
      <c r="V303" s="202"/>
      <c r="W303" s="202"/>
      <c r="X303" s="202"/>
    </row>
    <row r="304" spans="2:28">
      <c r="B304" s="107">
        <f>'1_入力シート【基本情報】'!$AR$308</f>
        <v>0</v>
      </c>
      <c r="C304" s="4" t="str">
        <f t="shared" si="39"/>
        <v/>
      </c>
      <c r="D304" s="107">
        <f>'1_入力シート【基本情報】'!$AR$308</f>
        <v>0</v>
      </c>
      <c r="E304" s="564">
        <f>'1_入力シート【基本情報】'!$AR$308</f>
        <v>0</v>
      </c>
      <c r="F304" s="564" t="str">
        <f t="shared" si="34"/>
        <v>0</v>
      </c>
      <c r="G304" s="24"/>
      <c r="H304" s="565">
        <v>23</v>
      </c>
      <c r="I304" s="334" t="s">
        <v>33</v>
      </c>
      <c r="J304" s="357" t="s">
        <v>1407</v>
      </c>
      <c r="K304" s="322" t="s">
        <v>34</v>
      </c>
      <c r="L304" s="358" t="s">
        <v>1407</v>
      </c>
      <c r="M304" s="335" t="s">
        <v>2031</v>
      </c>
      <c r="N304" s="358" t="s">
        <v>1407</v>
      </c>
      <c r="O304" s="326" t="s">
        <v>30</v>
      </c>
      <c r="P304" s="360"/>
      <c r="Q304" s="336"/>
      <c r="R304" s="203"/>
      <c r="S304" s="203"/>
      <c r="T304" s="13" t="str">
        <f t="shared" si="36"/>
        <v>23調査結果-敷地及び地盤-1（2）-調査者番号</v>
      </c>
      <c r="V304" s="202"/>
      <c r="W304" s="202"/>
      <c r="X304" s="202"/>
    </row>
    <row r="305" spans="2:28">
      <c r="B305" s="107">
        <f>'1_入力シート【基本情報】'!$AT$308</f>
        <v>0</v>
      </c>
      <c r="C305" s="4" t="str">
        <f t="shared" si="39"/>
        <v/>
      </c>
      <c r="D305" s="107">
        <f>'1_入力シート【基本情報】'!$AT$308</f>
        <v>0</v>
      </c>
      <c r="E305" s="564">
        <f>'1_入力シート【基本情報】'!$AT$308</f>
        <v>0</v>
      </c>
      <c r="F305" s="564" t="str">
        <f t="shared" si="34"/>
        <v>0</v>
      </c>
      <c r="G305" s="24"/>
      <c r="H305" s="565">
        <v>23</v>
      </c>
      <c r="I305" s="334" t="s">
        <v>33</v>
      </c>
      <c r="J305" s="357" t="s">
        <v>1407</v>
      </c>
      <c r="K305" s="322" t="s">
        <v>34</v>
      </c>
      <c r="L305" s="358" t="s">
        <v>1407</v>
      </c>
      <c r="M305" s="335" t="s">
        <v>2031</v>
      </c>
      <c r="N305" s="358" t="s">
        <v>1407</v>
      </c>
      <c r="O305" s="326" t="s">
        <v>2028</v>
      </c>
      <c r="P305" s="360"/>
      <c r="Q305" s="336"/>
      <c r="R305" s="203"/>
      <c r="S305" s="203"/>
      <c r="T305" s="13" t="str">
        <f t="shared" si="36"/>
        <v>23調査結果-敷地及び地盤-1（2）-指摘の具体的内容等</v>
      </c>
      <c r="V305" s="202"/>
      <c r="W305" s="202"/>
      <c r="X305" s="202"/>
    </row>
    <row r="306" spans="2:28">
      <c r="B306" s="107">
        <f>'1_入力シート【基本情報】'!$BD$308</f>
        <v>0</v>
      </c>
      <c r="C306" s="4" t="str">
        <f t="shared" si="39"/>
        <v/>
      </c>
      <c r="D306" s="107">
        <f>'1_入力シート【基本情報】'!$BD$308</f>
        <v>0</v>
      </c>
      <c r="E306" s="564">
        <f>'1_入力シート【基本情報】'!$BD$308</f>
        <v>0</v>
      </c>
      <c r="F306" s="564" t="str">
        <f t="shared" si="34"/>
        <v>0</v>
      </c>
      <c r="G306" s="24"/>
      <c r="H306" s="565">
        <v>23</v>
      </c>
      <c r="I306" s="334" t="s">
        <v>33</v>
      </c>
      <c r="J306" s="357" t="s">
        <v>1407</v>
      </c>
      <c r="K306" s="322" t="s">
        <v>34</v>
      </c>
      <c r="L306" s="358" t="s">
        <v>1407</v>
      </c>
      <c r="M306" s="335" t="s">
        <v>2031</v>
      </c>
      <c r="N306" s="358" t="s">
        <v>1407</v>
      </c>
      <c r="O306" s="326" t="s">
        <v>2029</v>
      </c>
      <c r="P306" s="360"/>
      <c r="Q306" s="336"/>
      <c r="R306" s="203"/>
      <c r="S306" s="203"/>
      <c r="T306" s="13" t="str">
        <f t="shared" si="36"/>
        <v>23調査結果-敷地及び地盤-1（2）-改善策の具体的内容等</v>
      </c>
      <c r="V306" s="202"/>
      <c r="W306" s="202"/>
      <c r="X306" s="202"/>
    </row>
    <row r="307" spans="2:28" ht="19">
      <c r="B307" s="107">
        <f>'1_入力シート【基本情報】'!$BS$308</f>
        <v>0</v>
      </c>
      <c r="C307" s="493" t="str">
        <f t="shared" ref="C307:E308" si="41">ASC($D307)</f>
        <v>0</v>
      </c>
      <c r="D307" s="107">
        <f>'1_入力シート【基本情報】'!$BS$308</f>
        <v>0</v>
      </c>
      <c r="E307" s="7" t="str">
        <f t="shared" si="41"/>
        <v>0</v>
      </c>
      <c r="F307" s="7" t="str">
        <f t="shared" si="34"/>
        <v>0</v>
      </c>
      <c r="G307" s="24"/>
      <c r="H307" s="565">
        <v>23</v>
      </c>
      <c r="I307" s="334" t="s">
        <v>33</v>
      </c>
      <c r="J307" s="357" t="s">
        <v>1407</v>
      </c>
      <c r="K307" s="322" t="s">
        <v>34</v>
      </c>
      <c r="L307" s="358" t="s">
        <v>1407</v>
      </c>
      <c r="M307" s="335" t="s">
        <v>2031</v>
      </c>
      <c r="N307" s="358" t="s">
        <v>1407</v>
      </c>
      <c r="O307" s="326" t="s">
        <v>387</v>
      </c>
      <c r="P307" s="360" t="s">
        <v>1879</v>
      </c>
      <c r="Q307" s="336" t="s">
        <v>1966</v>
      </c>
      <c r="R307" s="203"/>
      <c r="S307" s="203"/>
      <c r="T307" s="13" t="str">
        <f t="shared" si="36"/>
        <v>23調査結果-敷地及び地盤-1（2）-改善（予定）年月-年（令和）</v>
      </c>
      <c r="V307" s="202"/>
      <c r="W307" s="202"/>
      <c r="X307" s="202"/>
    </row>
    <row r="308" spans="2:28" ht="19">
      <c r="B308" s="107">
        <f>'1_入力シート【基本情報】'!$BV$308</f>
        <v>0</v>
      </c>
      <c r="C308" s="493" t="str">
        <f t="shared" si="41"/>
        <v>0</v>
      </c>
      <c r="D308" s="107">
        <f>'1_入力シート【基本情報】'!$BV$308</f>
        <v>0</v>
      </c>
      <c r="E308" s="7" t="str">
        <f t="shared" si="41"/>
        <v>0</v>
      </c>
      <c r="F308" s="7" t="str">
        <f t="shared" si="34"/>
        <v>0</v>
      </c>
      <c r="G308" s="24"/>
      <c r="H308" s="565">
        <v>23</v>
      </c>
      <c r="I308" s="334" t="s">
        <v>33</v>
      </c>
      <c r="J308" s="357" t="s">
        <v>1407</v>
      </c>
      <c r="K308" s="322" t="s">
        <v>34</v>
      </c>
      <c r="L308" s="358" t="s">
        <v>1407</v>
      </c>
      <c r="M308" s="335" t="s">
        <v>2031</v>
      </c>
      <c r="N308" s="358" t="s">
        <v>1407</v>
      </c>
      <c r="O308" s="334" t="s">
        <v>387</v>
      </c>
      <c r="P308" s="360" t="s">
        <v>1879</v>
      </c>
      <c r="Q308" s="336" t="s">
        <v>383</v>
      </c>
      <c r="R308" s="203"/>
      <c r="S308" s="203"/>
      <c r="T308" s="13" t="str">
        <f t="shared" si="36"/>
        <v>23調査結果-敷地及び地盤-1（2）-改善（予定）年月-月</v>
      </c>
      <c r="V308" s="349"/>
      <c r="W308" s="349"/>
      <c r="X308" s="349"/>
      <c r="Y308" s="75"/>
      <c r="Z308" s="75"/>
      <c r="AA308" s="75"/>
      <c r="AB308" s="75"/>
    </row>
    <row r="309" spans="2:28">
      <c r="B309" s="107">
        <f>'1_入力シート【基本情報】'!$BY$308</f>
        <v>0</v>
      </c>
      <c r="C309" s="4" t="str">
        <f t="shared" si="39"/>
        <v/>
      </c>
      <c r="D309" s="107">
        <f>'1_入力シート【基本情報】'!$BY$308</f>
        <v>0</v>
      </c>
      <c r="E309" s="564">
        <f>'1_入力シート【基本情報】'!$BY$308</f>
        <v>0</v>
      </c>
      <c r="F309" s="564" t="str">
        <f t="shared" si="34"/>
        <v>0</v>
      </c>
      <c r="G309" s="24"/>
      <c r="H309" s="565">
        <v>23</v>
      </c>
      <c r="I309" s="334" t="s">
        <v>33</v>
      </c>
      <c r="J309" s="357" t="s">
        <v>1407</v>
      </c>
      <c r="K309" s="322" t="s">
        <v>34</v>
      </c>
      <c r="L309" s="358" t="s">
        <v>1407</v>
      </c>
      <c r="M309" s="335" t="s">
        <v>2031</v>
      </c>
      <c r="N309" s="358" t="s">
        <v>1407</v>
      </c>
      <c r="O309" s="334" t="s">
        <v>387</v>
      </c>
      <c r="P309" s="360" t="s">
        <v>1879</v>
      </c>
      <c r="Q309" s="336" t="s">
        <v>675</v>
      </c>
      <c r="R309" s="203"/>
      <c r="S309" s="203"/>
      <c r="T309" s="13" t="str">
        <f t="shared" si="36"/>
        <v>23調査結果-敷地及び地盤-1（2）-改善（予定）年月-未定</v>
      </c>
      <c r="V309" s="349"/>
      <c r="W309" s="349"/>
      <c r="X309" s="349"/>
      <c r="Y309" s="75"/>
      <c r="Z309" s="75"/>
      <c r="AA309" s="75"/>
      <c r="AB309" s="75"/>
    </row>
    <row r="310" spans="2:28">
      <c r="B310" s="107">
        <f>'1_入力シート【基本情報】'!$AF$309</f>
        <v>0</v>
      </c>
      <c r="C310" s="4" t="str">
        <f t="shared" si="39"/>
        <v/>
      </c>
      <c r="D310" s="107" t="str">
        <f>C310</f>
        <v/>
      </c>
      <c r="E310" s="564" t="str">
        <f>D310</f>
        <v/>
      </c>
      <c r="F310" s="564" t="str">
        <f t="shared" si="34"/>
        <v/>
      </c>
      <c r="G310" s="24"/>
      <c r="H310" s="565">
        <v>23</v>
      </c>
      <c r="I310" s="334" t="s">
        <v>33</v>
      </c>
      <c r="J310" s="357" t="s">
        <v>1407</v>
      </c>
      <c r="K310" s="322" t="s">
        <v>34</v>
      </c>
      <c r="L310" s="358" t="s">
        <v>1407</v>
      </c>
      <c r="M310" s="335" t="s">
        <v>2032</v>
      </c>
      <c r="N310" s="358" t="s">
        <v>1407</v>
      </c>
      <c r="O310" s="334" t="s">
        <v>33</v>
      </c>
      <c r="P310" s="360"/>
      <c r="Q310" s="336"/>
      <c r="R310" s="203"/>
      <c r="S310" s="203"/>
      <c r="T310" s="13" t="str">
        <f t="shared" si="36"/>
        <v>23調査結果-敷地及び地盤-1（3）-調査結果</v>
      </c>
      <c r="V310" s="349"/>
      <c r="W310" s="349"/>
      <c r="X310" s="349"/>
      <c r="Y310" s="75"/>
      <c r="Z310" s="75"/>
      <c r="AA310" s="75"/>
      <c r="AB310" s="75"/>
    </row>
    <row r="311" spans="2:28">
      <c r="B311" s="107">
        <f>'1_入力シート【基本情報】'!$AR$309</f>
        <v>0</v>
      </c>
      <c r="C311" s="4" t="str">
        <f t="shared" si="39"/>
        <v/>
      </c>
      <c r="D311" s="107">
        <f>'1_入力シート【基本情報】'!$AR$309</f>
        <v>0</v>
      </c>
      <c r="E311" s="564">
        <f>'1_入力シート【基本情報】'!$AR$309</f>
        <v>0</v>
      </c>
      <c r="F311" s="564" t="str">
        <f t="shared" si="34"/>
        <v>0</v>
      </c>
      <c r="G311" s="24"/>
      <c r="H311" s="565">
        <v>23</v>
      </c>
      <c r="I311" s="334" t="s">
        <v>33</v>
      </c>
      <c r="J311" s="357" t="s">
        <v>1407</v>
      </c>
      <c r="K311" s="322" t="s">
        <v>34</v>
      </c>
      <c r="L311" s="358" t="s">
        <v>1407</v>
      </c>
      <c r="M311" s="335" t="s">
        <v>2032</v>
      </c>
      <c r="N311" s="358" t="s">
        <v>1407</v>
      </c>
      <c r="O311" s="334" t="s">
        <v>30</v>
      </c>
      <c r="P311" s="360"/>
      <c r="Q311" s="336"/>
      <c r="R311" s="203"/>
      <c r="S311" s="203"/>
      <c r="T311" s="13" t="str">
        <f t="shared" si="36"/>
        <v>23調査結果-敷地及び地盤-1（3）-調査者番号</v>
      </c>
      <c r="V311" s="349"/>
      <c r="W311" s="349"/>
      <c r="X311" s="349"/>
      <c r="Y311" s="75"/>
      <c r="Z311" s="75"/>
      <c r="AA311" s="75"/>
      <c r="AB311" s="75"/>
    </row>
    <row r="312" spans="2:28">
      <c r="B312" s="107">
        <f>'1_入力シート【基本情報】'!$AT$309</f>
        <v>0</v>
      </c>
      <c r="C312" s="4" t="str">
        <f t="shared" si="39"/>
        <v/>
      </c>
      <c r="D312" s="107">
        <f>'1_入力シート【基本情報】'!$AT$309</f>
        <v>0</v>
      </c>
      <c r="E312" s="564">
        <f>'1_入力シート【基本情報】'!$AT$309</f>
        <v>0</v>
      </c>
      <c r="F312" s="564" t="str">
        <f t="shared" si="34"/>
        <v>0</v>
      </c>
      <c r="G312" s="24"/>
      <c r="H312" s="565">
        <v>23</v>
      </c>
      <c r="I312" s="334" t="s">
        <v>33</v>
      </c>
      <c r="J312" s="357" t="s">
        <v>1407</v>
      </c>
      <c r="K312" s="322" t="s">
        <v>34</v>
      </c>
      <c r="L312" s="358" t="s">
        <v>1407</v>
      </c>
      <c r="M312" s="335" t="s">
        <v>2032</v>
      </c>
      <c r="N312" s="358" t="s">
        <v>1407</v>
      </c>
      <c r="O312" s="334" t="s">
        <v>2028</v>
      </c>
      <c r="P312" s="327"/>
      <c r="Q312" s="336"/>
      <c r="R312" s="203"/>
      <c r="S312" s="203"/>
      <c r="T312" s="13" t="str">
        <f t="shared" si="36"/>
        <v>23調査結果-敷地及び地盤-1（3）-指摘の具体的内容等</v>
      </c>
      <c r="V312" s="349"/>
      <c r="W312" s="349"/>
      <c r="X312" s="349"/>
      <c r="Y312" s="75"/>
      <c r="Z312" s="75"/>
      <c r="AA312" s="75"/>
      <c r="AB312" s="75"/>
    </row>
    <row r="313" spans="2:28" ht="14.25" customHeight="1">
      <c r="B313" s="107">
        <f>'1_入力シート【基本情報】'!$BD$309</f>
        <v>0</v>
      </c>
      <c r="C313" s="4" t="str">
        <f t="shared" si="39"/>
        <v/>
      </c>
      <c r="D313" s="107">
        <f>'1_入力シート【基本情報】'!$BD$309</f>
        <v>0</v>
      </c>
      <c r="E313" s="564">
        <f>'1_入力シート【基本情報】'!$BD$309</f>
        <v>0</v>
      </c>
      <c r="F313" s="564" t="str">
        <f t="shared" si="34"/>
        <v>0</v>
      </c>
      <c r="G313" s="24"/>
      <c r="H313" s="565">
        <v>23</v>
      </c>
      <c r="I313" s="334" t="s">
        <v>33</v>
      </c>
      <c r="J313" s="357" t="s">
        <v>1407</v>
      </c>
      <c r="K313" s="322" t="s">
        <v>34</v>
      </c>
      <c r="L313" s="358" t="s">
        <v>1407</v>
      </c>
      <c r="M313" s="335" t="s">
        <v>2032</v>
      </c>
      <c r="N313" s="358" t="s">
        <v>1407</v>
      </c>
      <c r="O313" s="334" t="s">
        <v>2029</v>
      </c>
      <c r="P313" s="327"/>
      <c r="Q313" s="336"/>
      <c r="R313" s="203"/>
      <c r="S313" s="203"/>
      <c r="T313" s="13" t="str">
        <f t="shared" si="36"/>
        <v>23調査結果-敷地及び地盤-1（3）-改善策の具体的内容等</v>
      </c>
      <c r="V313" s="349"/>
      <c r="W313" s="349"/>
      <c r="X313" s="349"/>
      <c r="Y313" s="75"/>
      <c r="Z313" s="75"/>
      <c r="AA313" s="75"/>
      <c r="AB313" s="75"/>
    </row>
    <row r="314" spans="2:28" ht="19">
      <c r="B314" s="107">
        <f>'1_入力シート【基本情報】'!$BS$309</f>
        <v>0</v>
      </c>
      <c r="C314" s="493" t="str">
        <f t="shared" ref="C314:E315" si="42">ASC($D314)</f>
        <v>0</v>
      </c>
      <c r="D314" s="107">
        <f>'1_入力シート【基本情報】'!$BS$309</f>
        <v>0</v>
      </c>
      <c r="E314" s="7" t="str">
        <f t="shared" si="42"/>
        <v>0</v>
      </c>
      <c r="F314" s="7" t="str">
        <f t="shared" si="34"/>
        <v>0</v>
      </c>
      <c r="G314" s="24"/>
      <c r="H314" s="565">
        <v>23</v>
      </c>
      <c r="I314" s="334" t="s">
        <v>33</v>
      </c>
      <c r="J314" s="357" t="s">
        <v>1407</v>
      </c>
      <c r="K314" s="322" t="s">
        <v>34</v>
      </c>
      <c r="L314" s="358" t="s">
        <v>1407</v>
      </c>
      <c r="M314" s="335" t="s">
        <v>2032</v>
      </c>
      <c r="N314" s="358" t="s">
        <v>1407</v>
      </c>
      <c r="O314" s="334" t="s">
        <v>387</v>
      </c>
      <c r="P314" s="327" t="s">
        <v>1879</v>
      </c>
      <c r="Q314" s="336" t="s">
        <v>1966</v>
      </c>
      <c r="R314" s="203"/>
      <c r="S314" s="203"/>
      <c r="T314" s="13" t="str">
        <f t="shared" si="36"/>
        <v>23調査結果-敷地及び地盤-1（3）-改善（予定）年月-年（令和）</v>
      </c>
      <c r="V314" s="349"/>
      <c r="W314" s="349"/>
      <c r="X314" s="349"/>
      <c r="Y314" s="75"/>
      <c r="Z314" s="75"/>
      <c r="AA314" s="75"/>
      <c r="AB314" s="75"/>
    </row>
    <row r="315" spans="2:28" ht="19">
      <c r="B315" s="107">
        <f>'1_入力シート【基本情報】'!$BV$309</f>
        <v>0</v>
      </c>
      <c r="C315" s="493" t="str">
        <f t="shared" si="42"/>
        <v>0</v>
      </c>
      <c r="D315" s="107">
        <f>'1_入力シート【基本情報】'!$BV$309</f>
        <v>0</v>
      </c>
      <c r="E315" s="7" t="str">
        <f t="shared" si="42"/>
        <v>0</v>
      </c>
      <c r="F315" s="7" t="str">
        <f t="shared" si="34"/>
        <v>0</v>
      </c>
      <c r="G315" s="24"/>
      <c r="H315" s="565">
        <v>23</v>
      </c>
      <c r="I315" s="334" t="s">
        <v>33</v>
      </c>
      <c r="J315" s="357" t="s">
        <v>1407</v>
      </c>
      <c r="K315" s="322" t="s">
        <v>34</v>
      </c>
      <c r="L315" s="358" t="s">
        <v>1407</v>
      </c>
      <c r="M315" s="335" t="s">
        <v>2032</v>
      </c>
      <c r="N315" s="358" t="s">
        <v>1407</v>
      </c>
      <c r="O315" s="334" t="s">
        <v>387</v>
      </c>
      <c r="P315" s="327" t="s">
        <v>1879</v>
      </c>
      <c r="Q315" s="336" t="s">
        <v>383</v>
      </c>
      <c r="R315" s="203"/>
      <c r="S315" s="203"/>
      <c r="T315" s="13" t="str">
        <f t="shared" si="36"/>
        <v>23調査結果-敷地及び地盤-1（3）-改善（予定）年月-月</v>
      </c>
      <c r="V315" s="349"/>
      <c r="W315" s="349"/>
      <c r="X315" s="349"/>
      <c r="Y315" s="75"/>
      <c r="Z315" s="75"/>
      <c r="AA315" s="75"/>
      <c r="AB315" s="75"/>
    </row>
    <row r="316" spans="2:28">
      <c r="B316" s="107">
        <f>'1_入力シート【基本情報】'!$BY$309</f>
        <v>0</v>
      </c>
      <c r="C316" s="4" t="str">
        <f t="shared" si="39"/>
        <v/>
      </c>
      <c r="D316" s="107">
        <f>'1_入力シート【基本情報】'!$BY$309</f>
        <v>0</v>
      </c>
      <c r="E316" s="564">
        <f>'1_入力シート【基本情報】'!$BY$309</f>
        <v>0</v>
      </c>
      <c r="F316" s="564" t="str">
        <f t="shared" si="34"/>
        <v>0</v>
      </c>
      <c r="G316" s="24"/>
      <c r="H316" s="565">
        <v>23</v>
      </c>
      <c r="I316" s="334" t="s">
        <v>33</v>
      </c>
      <c r="J316" s="357" t="s">
        <v>1407</v>
      </c>
      <c r="K316" s="322" t="s">
        <v>34</v>
      </c>
      <c r="L316" s="358" t="s">
        <v>1407</v>
      </c>
      <c r="M316" s="335" t="s">
        <v>2032</v>
      </c>
      <c r="N316" s="358" t="s">
        <v>1407</v>
      </c>
      <c r="O316" s="326" t="s">
        <v>387</v>
      </c>
      <c r="P316" s="327" t="s">
        <v>1879</v>
      </c>
      <c r="Q316" s="336" t="s">
        <v>675</v>
      </c>
      <c r="R316" s="203"/>
      <c r="S316" s="203"/>
      <c r="T316" s="13" t="str">
        <f t="shared" si="36"/>
        <v>23調査結果-敷地及び地盤-1（3）-改善（予定）年月-未定</v>
      </c>
      <c r="V316" s="349"/>
      <c r="W316" s="349"/>
      <c r="X316" s="349"/>
      <c r="Y316" s="75"/>
      <c r="Z316" s="75"/>
      <c r="AA316" s="75"/>
      <c r="AB316" s="75"/>
    </row>
    <row r="317" spans="2:28">
      <c r="B317" s="107">
        <f>'1_入力シート【基本情報】'!$AF$310</f>
        <v>0</v>
      </c>
      <c r="C317" s="4" t="str">
        <f t="shared" si="39"/>
        <v/>
      </c>
      <c r="D317" s="107" t="str">
        <f>C317</f>
        <v/>
      </c>
      <c r="E317" s="564" t="str">
        <f>D317</f>
        <v/>
      </c>
      <c r="F317" s="564" t="str">
        <f t="shared" si="34"/>
        <v/>
      </c>
      <c r="G317" s="24"/>
      <c r="H317" s="565">
        <v>23</v>
      </c>
      <c r="I317" s="334" t="s">
        <v>33</v>
      </c>
      <c r="J317" s="357" t="s">
        <v>1407</v>
      </c>
      <c r="K317" s="322" t="s">
        <v>34</v>
      </c>
      <c r="L317" s="358" t="s">
        <v>1407</v>
      </c>
      <c r="M317" s="335" t="s">
        <v>2033</v>
      </c>
      <c r="N317" s="367" t="s">
        <v>1879</v>
      </c>
      <c r="O317" s="326" t="s">
        <v>33</v>
      </c>
      <c r="P317" s="327"/>
      <c r="Q317" s="336"/>
      <c r="R317" s="203"/>
      <c r="S317" s="203"/>
      <c r="T317" s="13" t="str">
        <f t="shared" si="36"/>
        <v>23調査結果-敷地及び地盤-1（4）-調査結果</v>
      </c>
      <c r="V317" s="349"/>
      <c r="W317" s="349"/>
      <c r="X317" s="349"/>
      <c r="Y317" s="75"/>
      <c r="Z317" s="75"/>
      <c r="AA317" s="75"/>
      <c r="AB317" s="75"/>
    </row>
    <row r="318" spans="2:28">
      <c r="B318" s="107">
        <f>'1_入力シート【基本情報】'!$AR$310</f>
        <v>0</v>
      </c>
      <c r="C318" s="4" t="str">
        <f t="shared" si="39"/>
        <v/>
      </c>
      <c r="D318" s="107">
        <f>'1_入力シート【基本情報】'!$AR$310</f>
        <v>0</v>
      </c>
      <c r="E318" s="564">
        <f>'1_入力シート【基本情報】'!$AR$310</f>
        <v>0</v>
      </c>
      <c r="F318" s="564" t="str">
        <f t="shared" si="34"/>
        <v>0</v>
      </c>
      <c r="G318" s="575"/>
      <c r="H318" s="565">
        <v>23</v>
      </c>
      <c r="I318" s="334" t="s">
        <v>33</v>
      </c>
      <c r="J318" s="357" t="s">
        <v>1407</v>
      </c>
      <c r="K318" s="322" t="s">
        <v>34</v>
      </c>
      <c r="L318" s="358" t="s">
        <v>1407</v>
      </c>
      <c r="M318" s="335" t="s">
        <v>2033</v>
      </c>
      <c r="N318" s="367" t="s">
        <v>1879</v>
      </c>
      <c r="O318" s="326" t="s">
        <v>30</v>
      </c>
      <c r="P318" s="327"/>
      <c r="Q318" s="336"/>
      <c r="R318" s="203"/>
      <c r="S318" s="203"/>
      <c r="T318" s="13" t="str">
        <f t="shared" si="36"/>
        <v>23調査結果-敷地及び地盤-1（4）-調査者番号</v>
      </c>
      <c r="V318" s="349"/>
      <c r="W318" s="349"/>
      <c r="X318" s="349"/>
      <c r="Y318" s="75"/>
      <c r="Z318" s="75"/>
      <c r="AA318" s="75"/>
      <c r="AB318" s="75"/>
    </row>
    <row r="319" spans="2:28">
      <c r="B319" s="107">
        <f>'1_入力シート【基本情報】'!$AT$310</f>
        <v>0</v>
      </c>
      <c r="C319" s="4" t="str">
        <f t="shared" si="39"/>
        <v/>
      </c>
      <c r="D319" s="107">
        <f>'1_入力シート【基本情報】'!$AT$310</f>
        <v>0</v>
      </c>
      <c r="E319" s="564">
        <f>'1_入力シート【基本情報】'!$AT$310</f>
        <v>0</v>
      </c>
      <c r="F319" s="564" t="str">
        <f t="shared" si="34"/>
        <v>0</v>
      </c>
      <c r="G319" s="575"/>
      <c r="H319" s="565">
        <v>23</v>
      </c>
      <c r="I319" s="334" t="s">
        <v>33</v>
      </c>
      <c r="J319" s="357" t="s">
        <v>1407</v>
      </c>
      <c r="K319" s="322" t="s">
        <v>34</v>
      </c>
      <c r="L319" s="358" t="s">
        <v>1407</v>
      </c>
      <c r="M319" s="335" t="s">
        <v>2033</v>
      </c>
      <c r="N319" s="367" t="s">
        <v>1879</v>
      </c>
      <c r="O319" s="326" t="s">
        <v>2028</v>
      </c>
      <c r="P319" s="327"/>
      <c r="Q319" s="336"/>
      <c r="R319" s="203"/>
      <c r="S319" s="203"/>
      <c r="T319" s="13" t="str">
        <f t="shared" si="36"/>
        <v>23調査結果-敷地及び地盤-1（4）-指摘の具体的内容等</v>
      </c>
      <c r="V319" s="349"/>
      <c r="W319" s="349"/>
      <c r="X319" s="349"/>
      <c r="Y319" s="75"/>
      <c r="Z319" s="75"/>
      <c r="AA319" s="75"/>
      <c r="AB319" s="75"/>
    </row>
    <row r="320" spans="2:28">
      <c r="B320" s="107">
        <f>'1_入力シート【基本情報】'!$BD$310</f>
        <v>0</v>
      </c>
      <c r="C320" s="4" t="str">
        <f t="shared" si="39"/>
        <v/>
      </c>
      <c r="D320" s="107">
        <f>'1_入力シート【基本情報】'!$BD$310</f>
        <v>0</v>
      </c>
      <c r="E320" s="564">
        <f>'1_入力シート【基本情報】'!$BD$310</f>
        <v>0</v>
      </c>
      <c r="F320" s="564" t="str">
        <f t="shared" si="34"/>
        <v>0</v>
      </c>
      <c r="G320" s="575"/>
      <c r="H320" s="565">
        <v>23</v>
      </c>
      <c r="I320" s="334" t="s">
        <v>33</v>
      </c>
      <c r="J320" s="357" t="s">
        <v>1407</v>
      </c>
      <c r="K320" s="322" t="s">
        <v>34</v>
      </c>
      <c r="L320" s="358" t="s">
        <v>1407</v>
      </c>
      <c r="M320" s="335" t="s">
        <v>2033</v>
      </c>
      <c r="N320" s="358" t="s">
        <v>1879</v>
      </c>
      <c r="O320" s="326" t="s">
        <v>2029</v>
      </c>
      <c r="P320" s="327"/>
      <c r="Q320" s="336"/>
      <c r="R320" s="203"/>
      <c r="S320" s="203"/>
      <c r="T320" s="13" t="str">
        <f t="shared" si="36"/>
        <v>23調査結果-敷地及び地盤-1（4）-改善策の具体的内容等</v>
      </c>
      <c r="V320" s="202"/>
      <c r="W320" s="202"/>
      <c r="X320" s="202"/>
    </row>
    <row r="321" spans="2:28" ht="19">
      <c r="B321" s="107">
        <f>'1_入力シート【基本情報】'!$BS$310</f>
        <v>0</v>
      </c>
      <c r="C321" s="493" t="str">
        <f t="shared" ref="C321:E322" si="43">ASC($D321)</f>
        <v>0</v>
      </c>
      <c r="D321" s="107">
        <f>'1_入力シート【基本情報】'!$BS$310</f>
        <v>0</v>
      </c>
      <c r="E321" s="7" t="str">
        <f t="shared" si="43"/>
        <v>0</v>
      </c>
      <c r="F321" s="7" t="str">
        <f t="shared" si="34"/>
        <v>0</v>
      </c>
      <c r="G321" s="575"/>
      <c r="H321" s="565">
        <v>23</v>
      </c>
      <c r="I321" s="334" t="s">
        <v>33</v>
      </c>
      <c r="J321" s="357" t="s">
        <v>1407</v>
      </c>
      <c r="K321" s="322" t="s">
        <v>34</v>
      </c>
      <c r="L321" s="358" t="s">
        <v>1407</v>
      </c>
      <c r="M321" s="335" t="s">
        <v>2033</v>
      </c>
      <c r="N321" s="358" t="s">
        <v>1879</v>
      </c>
      <c r="O321" s="326" t="s">
        <v>387</v>
      </c>
      <c r="P321" s="327" t="s">
        <v>1879</v>
      </c>
      <c r="Q321" s="336" t="s">
        <v>1966</v>
      </c>
      <c r="R321" s="203"/>
      <c r="S321" s="203"/>
      <c r="T321" s="13" t="str">
        <f t="shared" si="36"/>
        <v>23調査結果-敷地及び地盤-1（4）-改善（予定）年月-年（令和）</v>
      </c>
      <c r="V321" s="349"/>
      <c r="W321" s="349"/>
      <c r="X321" s="349"/>
      <c r="Y321" s="75"/>
      <c r="Z321" s="75"/>
      <c r="AA321" s="75"/>
      <c r="AB321" s="75"/>
    </row>
    <row r="322" spans="2:28" ht="19">
      <c r="B322" s="107">
        <f>'1_入力シート【基本情報】'!$BV$310</f>
        <v>0</v>
      </c>
      <c r="C322" s="493" t="str">
        <f t="shared" si="43"/>
        <v>0</v>
      </c>
      <c r="D322" s="107">
        <f>'1_入力シート【基本情報】'!$BV$310</f>
        <v>0</v>
      </c>
      <c r="E322" s="7" t="str">
        <f t="shared" si="43"/>
        <v>0</v>
      </c>
      <c r="F322" s="7" t="str">
        <f t="shared" si="34"/>
        <v>0</v>
      </c>
      <c r="G322" s="575"/>
      <c r="H322" s="565">
        <v>23</v>
      </c>
      <c r="I322" s="334" t="s">
        <v>33</v>
      </c>
      <c r="J322" s="357" t="s">
        <v>1407</v>
      </c>
      <c r="K322" s="322" t="s">
        <v>34</v>
      </c>
      <c r="L322" s="358" t="s">
        <v>1407</v>
      </c>
      <c r="M322" s="335" t="s">
        <v>2033</v>
      </c>
      <c r="N322" s="358" t="s">
        <v>1879</v>
      </c>
      <c r="O322" s="326" t="s">
        <v>387</v>
      </c>
      <c r="P322" s="360" t="s">
        <v>1879</v>
      </c>
      <c r="Q322" s="336" t="s">
        <v>383</v>
      </c>
      <c r="R322" s="203"/>
      <c r="S322" s="203"/>
      <c r="T322" s="13" t="str">
        <f t="shared" si="36"/>
        <v>23調査結果-敷地及び地盤-1（4）-改善（予定）年月-月</v>
      </c>
      <c r="V322" s="349"/>
      <c r="W322" s="349"/>
      <c r="X322" s="349"/>
      <c r="Y322" s="75"/>
      <c r="Z322" s="75"/>
      <c r="AA322" s="75"/>
      <c r="AB322" s="75"/>
    </row>
    <row r="323" spans="2:28">
      <c r="B323" s="107">
        <f>'1_入力シート【基本情報】'!$BY$310</f>
        <v>0</v>
      </c>
      <c r="C323" s="4" t="str">
        <f t="shared" si="39"/>
        <v/>
      </c>
      <c r="D323" s="107">
        <f>'1_入力シート【基本情報】'!$BY$310</f>
        <v>0</v>
      </c>
      <c r="E323" s="564">
        <f>'1_入力シート【基本情報】'!$BY$310</f>
        <v>0</v>
      </c>
      <c r="F323" s="564" t="str">
        <f t="shared" si="34"/>
        <v>0</v>
      </c>
      <c r="G323" s="575"/>
      <c r="H323" s="565">
        <v>23</v>
      </c>
      <c r="I323" s="334" t="s">
        <v>33</v>
      </c>
      <c r="J323" s="357" t="s">
        <v>1407</v>
      </c>
      <c r="K323" s="322" t="s">
        <v>34</v>
      </c>
      <c r="L323" s="358" t="s">
        <v>1407</v>
      </c>
      <c r="M323" s="335" t="s">
        <v>2033</v>
      </c>
      <c r="N323" s="358" t="s">
        <v>1879</v>
      </c>
      <c r="O323" s="326" t="s">
        <v>387</v>
      </c>
      <c r="P323" s="360" t="s">
        <v>1879</v>
      </c>
      <c r="Q323" s="336" t="s">
        <v>675</v>
      </c>
      <c r="R323" s="203"/>
      <c r="S323" s="203"/>
      <c r="T323" s="13" t="str">
        <f t="shared" si="36"/>
        <v>23調査結果-敷地及び地盤-1（4）-改善（予定）年月-未定</v>
      </c>
      <c r="V323" s="349"/>
      <c r="W323" s="349"/>
      <c r="X323" s="349"/>
      <c r="Y323" s="75"/>
      <c r="Z323" s="75"/>
      <c r="AA323" s="75"/>
      <c r="AB323" s="75"/>
    </row>
    <row r="324" spans="2:28">
      <c r="B324" s="107">
        <f>'1_入力シート【基本情報】'!$AF$311</f>
        <v>0</v>
      </c>
      <c r="C324" s="4" t="str">
        <f t="shared" si="39"/>
        <v/>
      </c>
      <c r="D324" s="107" t="str">
        <f>C324</f>
        <v/>
      </c>
      <c r="E324" s="564" t="str">
        <f>D324</f>
        <v/>
      </c>
      <c r="F324" s="564" t="str">
        <f t="shared" si="34"/>
        <v/>
      </c>
      <c r="G324" s="575"/>
      <c r="H324" s="565">
        <v>23</v>
      </c>
      <c r="I324" s="334" t="s">
        <v>33</v>
      </c>
      <c r="J324" s="357" t="s">
        <v>1407</v>
      </c>
      <c r="K324" s="322" t="s">
        <v>34</v>
      </c>
      <c r="L324" s="358" t="s">
        <v>1407</v>
      </c>
      <c r="M324" s="335" t="s">
        <v>2034</v>
      </c>
      <c r="N324" s="358" t="s">
        <v>1407</v>
      </c>
      <c r="O324" s="326" t="s">
        <v>33</v>
      </c>
      <c r="P324" s="360"/>
      <c r="Q324" s="336"/>
      <c r="R324" s="203"/>
      <c r="S324" s="203"/>
      <c r="T324" s="13" t="str">
        <f t="shared" si="36"/>
        <v>23調査結果-敷地及び地盤-1（5）-調査結果</v>
      </c>
      <c r="V324" s="349"/>
      <c r="W324" s="349"/>
      <c r="X324" s="349"/>
      <c r="Y324" s="75"/>
      <c r="Z324" s="75"/>
      <c r="AA324" s="75"/>
      <c r="AB324" s="75"/>
    </row>
    <row r="325" spans="2:28">
      <c r="B325" s="107">
        <f>'1_入力シート【基本情報】'!$AR$311</f>
        <v>0</v>
      </c>
      <c r="C325" s="4" t="str">
        <f t="shared" si="39"/>
        <v/>
      </c>
      <c r="D325" s="107">
        <f>'1_入力シート【基本情報】'!$AR$311</f>
        <v>0</v>
      </c>
      <c r="E325" s="564">
        <f>'1_入力シート【基本情報】'!$AR$311</f>
        <v>0</v>
      </c>
      <c r="F325" s="564" t="str">
        <f t="shared" ref="F325:F388" si="44">SUBSTITUTE(E325,CHAR(10),"")</f>
        <v>0</v>
      </c>
      <c r="G325" s="575"/>
      <c r="H325" s="565">
        <v>23</v>
      </c>
      <c r="I325" s="334" t="s">
        <v>33</v>
      </c>
      <c r="J325" s="357" t="s">
        <v>1407</v>
      </c>
      <c r="K325" s="322" t="s">
        <v>34</v>
      </c>
      <c r="L325" s="358" t="s">
        <v>1407</v>
      </c>
      <c r="M325" s="335" t="s">
        <v>2034</v>
      </c>
      <c r="N325" s="358" t="s">
        <v>1407</v>
      </c>
      <c r="O325" s="326" t="s">
        <v>30</v>
      </c>
      <c r="P325" s="360"/>
      <c r="Q325" s="336"/>
      <c r="R325" s="203"/>
      <c r="S325" s="203"/>
      <c r="T325" s="13" t="str">
        <f t="shared" si="36"/>
        <v>23調査結果-敷地及び地盤-1（5）-調査者番号</v>
      </c>
      <c r="V325" s="349"/>
      <c r="W325" s="349"/>
      <c r="X325" s="349"/>
      <c r="Y325" s="75"/>
      <c r="Z325" s="75"/>
      <c r="AA325" s="75"/>
      <c r="AB325" s="75"/>
    </row>
    <row r="326" spans="2:28">
      <c r="B326" s="503">
        <f>'1_入力シート【基本情報】'!$AT$311</f>
        <v>0</v>
      </c>
      <c r="C326" s="4" t="str">
        <f t="shared" si="39"/>
        <v/>
      </c>
      <c r="D326" s="503">
        <f>'1_入力シート【基本情報】'!$AT$311</f>
        <v>0</v>
      </c>
      <c r="E326" s="576">
        <f>'1_入力シート【基本情報】'!$AT$311</f>
        <v>0</v>
      </c>
      <c r="F326" s="576" t="str">
        <f t="shared" si="44"/>
        <v>0</v>
      </c>
      <c r="G326" s="575"/>
      <c r="H326" s="565">
        <v>23</v>
      </c>
      <c r="I326" s="334" t="s">
        <v>33</v>
      </c>
      <c r="J326" s="357" t="s">
        <v>1407</v>
      </c>
      <c r="K326" s="322" t="s">
        <v>34</v>
      </c>
      <c r="L326" s="358" t="s">
        <v>1407</v>
      </c>
      <c r="M326" s="335" t="s">
        <v>2034</v>
      </c>
      <c r="N326" s="358" t="s">
        <v>1407</v>
      </c>
      <c r="O326" s="326" t="s">
        <v>2028</v>
      </c>
      <c r="P326" s="360"/>
      <c r="Q326" s="336"/>
      <c r="R326" s="203"/>
      <c r="S326" s="203"/>
      <c r="T326" s="13" t="str">
        <f t="shared" si="36"/>
        <v>23調査結果-敷地及び地盤-1（5）-指摘の具体的内容等</v>
      </c>
      <c r="V326" s="349"/>
      <c r="W326" s="349"/>
      <c r="X326" s="349"/>
      <c r="Y326" s="75"/>
      <c r="Z326" s="75"/>
      <c r="AA326" s="75"/>
      <c r="AB326" s="75"/>
    </row>
    <row r="327" spans="2:28">
      <c r="B327" s="107">
        <f>'1_入力シート【基本情報】'!$BD$311</f>
        <v>0</v>
      </c>
      <c r="C327" s="4" t="str">
        <f t="shared" si="39"/>
        <v/>
      </c>
      <c r="D327" s="107">
        <f>'1_入力シート【基本情報】'!$BD$311</f>
        <v>0</v>
      </c>
      <c r="E327" s="564">
        <f>'1_入力シート【基本情報】'!$BD$311</f>
        <v>0</v>
      </c>
      <c r="F327" s="564" t="str">
        <f t="shared" si="44"/>
        <v>0</v>
      </c>
      <c r="G327" s="575"/>
      <c r="H327" s="565">
        <v>23</v>
      </c>
      <c r="I327" s="334" t="s">
        <v>33</v>
      </c>
      <c r="J327" s="357" t="s">
        <v>1407</v>
      </c>
      <c r="K327" s="322" t="s">
        <v>34</v>
      </c>
      <c r="L327" s="358" t="s">
        <v>1407</v>
      </c>
      <c r="M327" s="335" t="s">
        <v>2034</v>
      </c>
      <c r="N327" s="358" t="s">
        <v>1407</v>
      </c>
      <c r="O327" s="326" t="s">
        <v>2029</v>
      </c>
      <c r="P327" s="360"/>
      <c r="Q327" s="336"/>
      <c r="R327" s="203"/>
      <c r="S327" s="203"/>
      <c r="T327" s="13" t="str">
        <f t="shared" si="36"/>
        <v>23調査結果-敷地及び地盤-1（5）-改善策の具体的内容等</v>
      </c>
      <c r="V327" s="349"/>
      <c r="W327" s="349"/>
      <c r="X327" s="349"/>
      <c r="Y327" s="75"/>
      <c r="Z327" s="75"/>
      <c r="AA327" s="75"/>
      <c r="AB327" s="75"/>
    </row>
    <row r="328" spans="2:28" ht="19">
      <c r="B328" s="107">
        <f>'1_入力シート【基本情報】'!$BS$311</f>
        <v>0</v>
      </c>
      <c r="C328" s="493" t="str">
        <f t="shared" ref="C328:E329" si="45">ASC($D328)</f>
        <v>0</v>
      </c>
      <c r="D328" s="107">
        <f>'1_入力シート【基本情報】'!$BS$311</f>
        <v>0</v>
      </c>
      <c r="E328" s="7" t="str">
        <f t="shared" si="45"/>
        <v>0</v>
      </c>
      <c r="F328" s="7" t="str">
        <f t="shared" si="44"/>
        <v>0</v>
      </c>
      <c r="G328" s="575"/>
      <c r="H328" s="565">
        <v>23</v>
      </c>
      <c r="I328" s="334" t="s">
        <v>33</v>
      </c>
      <c r="J328" s="357" t="s">
        <v>1407</v>
      </c>
      <c r="K328" s="322" t="s">
        <v>34</v>
      </c>
      <c r="L328" s="358" t="s">
        <v>1407</v>
      </c>
      <c r="M328" s="335" t="s">
        <v>2034</v>
      </c>
      <c r="N328" s="358" t="s">
        <v>1407</v>
      </c>
      <c r="O328" s="326" t="s">
        <v>387</v>
      </c>
      <c r="P328" s="360" t="s">
        <v>1879</v>
      </c>
      <c r="Q328" s="336" t="s">
        <v>1966</v>
      </c>
      <c r="R328" s="203"/>
      <c r="S328" s="203"/>
      <c r="T328" s="13" t="str">
        <f t="shared" si="36"/>
        <v>23調査結果-敷地及び地盤-1（5）-改善（予定）年月-年（令和）</v>
      </c>
      <c r="V328" s="349"/>
      <c r="W328" s="349"/>
      <c r="X328" s="349"/>
      <c r="Y328" s="75"/>
      <c r="Z328" s="75"/>
      <c r="AA328" s="75"/>
      <c r="AB328" s="75"/>
    </row>
    <row r="329" spans="2:28" ht="19">
      <c r="B329" s="107">
        <f>'1_入力シート【基本情報】'!$BV$311</f>
        <v>0</v>
      </c>
      <c r="C329" s="493" t="str">
        <f t="shared" si="45"/>
        <v>0</v>
      </c>
      <c r="D329" s="107">
        <f>'1_入力シート【基本情報】'!$BV$311</f>
        <v>0</v>
      </c>
      <c r="E329" s="7" t="str">
        <f t="shared" si="45"/>
        <v>0</v>
      </c>
      <c r="F329" s="7" t="str">
        <f t="shared" si="44"/>
        <v>0</v>
      </c>
      <c r="G329" s="575"/>
      <c r="H329" s="565">
        <v>23</v>
      </c>
      <c r="I329" s="334" t="s">
        <v>33</v>
      </c>
      <c r="J329" s="357" t="s">
        <v>1407</v>
      </c>
      <c r="K329" s="322" t="s">
        <v>34</v>
      </c>
      <c r="L329" s="358" t="s">
        <v>1407</v>
      </c>
      <c r="M329" s="335" t="s">
        <v>2034</v>
      </c>
      <c r="N329" s="358" t="s">
        <v>1407</v>
      </c>
      <c r="O329" s="326" t="s">
        <v>387</v>
      </c>
      <c r="P329" s="360" t="s">
        <v>1879</v>
      </c>
      <c r="Q329" s="336" t="s">
        <v>383</v>
      </c>
      <c r="R329" s="203"/>
      <c r="S329" s="203"/>
      <c r="T329" s="13" t="str">
        <f t="shared" si="36"/>
        <v>23調査結果-敷地及び地盤-1（5）-改善（予定）年月-月</v>
      </c>
      <c r="V329" s="349"/>
      <c r="W329" s="349"/>
      <c r="X329" s="349"/>
      <c r="Y329" s="75"/>
      <c r="Z329" s="75"/>
      <c r="AA329" s="75"/>
      <c r="AB329" s="75"/>
    </row>
    <row r="330" spans="2:28">
      <c r="B330" s="107">
        <f>'1_入力シート【基本情報】'!$BY$311</f>
        <v>0</v>
      </c>
      <c r="C330" s="4"/>
      <c r="D330" s="107">
        <f>'1_入力シート【基本情報】'!$BY$311</f>
        <v>0</v>
      </c>
      <c r="E330" s="564">
        <f>'1_入力シート【基本情報】'!$BY$311</f>
        <v>0</v>
      </c>
      <c r="F330" s="564" t="str">
        <f t="shared" si="44"/>
        <v>0</v>
      </c>
      <c r="G330" s="24"/>
      <c r="H330" s="565">
        <v>23</v>
      </c>
      <c r="I330" s="334" t="s">
        <v>33</v>
      </c>
      <c r="J330" s="357" t="s">
        <v>1407</v>
      </c>
      <c r="K330" s="322" t="s">
        <v>34</v>
      </c>
      <c r="L330" s="358" t="s">
        <v>1407</v>
      </c>
      <c r="M330" s="335" t="s">
        <v>2034</v>
      </c>
      <c r="N330" s="358" t="s">
        <v>1407</v>
      </c>
      <c r="O330" s="326" t="s">
        <v>387</v>
      </c>
      <c r="P330" s="360" t="s">
        <v>1879</v>
      </c>
      <c r="Q330" s="336" t="s">
        <v>675</v>
      </c>
      <c r="R330" s="203"/>
      <c r="S330" s="203"/>
      <c r="T330" s="13" t="str">
        <f t="shared" si="36"/>
        <v>23調査結果-敷地及び地盤-1（5）-改善（予定）年月-未定</v>
      </c>
      <c r="V330" s="349"/>
      <c r="W330" s="349"/>
      <c r="X330" s="349"/>
      <c r="Y330" s="75"/>
      <c r="Z330" s="75"/>
      <c r="AA330" s="75"/>
      <c r="AB330" s="75"/>
    </row>
    <row r="331" spans="2:28">
      <c r="B331" s="107">
        <f>'1_入力シート【基本情報】'!$AF$312</f>
        <v>0</v>
      </c>
      <c r="C331" s="4" t="str">
        <f t="shared" si="39"/>
        <v/>
      </c>
      <c r="D331" s="107" t="str">
        <f>C331</f>
        <v/>
      </c>
      <c r="E331" s="564" t="str">
        <f>D331</f>
        <v/>
      </c>
      <c r="F331" s="564" t="str">
        <f t="shared" si="44"/>
        <v/>
      </c>
      <c r="G331" s="575"/>
      <c r="H331" s="565">
        <v>23</v>
      </c>
      <c r="I331" s="334" t="s">
        <v>33</v>
      </c>
      <c r="J331" s="357" t="s">
        <v>1407</v>
      </c>
      <c r="K331" s="322" t="s">
        <v>34</v>
      </c>
      <c r="L331" s="358" t="s">
        <v>1407</v>
      </c>
      <c r="M331" s="335" t="s">
        <v>2035</v>
      </c>
      <c r="N331" s="358" t="s">
        <v>1407</v>
      </c>
      <c r="O331" s="326" t="s">
        <v>33</v>
      </c>
      <c r="P331" s="360"/>
      <c r="Q331" s="336"/>
      <c r="R331" s="203"/>
      <c r="S331" s="203"/>
      <c r="T331" s="13" t="str">
        <f t="shared" si="36"/>
        <v>23調査結果-敷地及び地盤-1（6）-調査結果</v>
      </c>
      <c r="V331" s="349"/>
      <c r="W331" s="349"/>
      <c r="X331" s="349"/>
      <c r="Y331" s="75"/>
      <c r="Z331" s="75"/>
      <c r="AA331" s="75"/>
      <c r="AB331" s="75"/>
    </row>
    <row r="332" spans="2:28">
      <c r="B332" s="107">
        <f>'1_入力シート【基本情報】'!$AR$312</f>
        <v>0</v>
      </c>
      <c r="C332" s="4" t="str">
        <f t="shared" si="39"/>
        <v/>
      </c>
      <c r="D332" s="107">
        <f>'1_入力シート【基本情報】'!$AR$312</f>
        <v>0</v>
      </c>
      <c r="E332" s="564">
        <f>'1_入力シート【基本情報】'!$AR$312</f>
        <v>0</v>
      </c>
      <c r="F332" s="564" t="str">
        <f t="shared" si="44"/>
        <v>0</v>
      </c>
      <c r="G332" s="575"/>
      <c r="H332" s="565">
        <v>23</v>
      </c>
      <c r="I332" s="334" t="s">
        <v>33</v>
      </c>
      <c r="J332" s="357" t="s">
        <v>1407</v>
      </c>
      <c r="K332" s="322" t="s">
        <v>34</v>
      </c>
      <c r="L332" s="358" t="s">
        <v>1407</v>
      </c>
      <c r="M332" s="335" t="s">
        <v>2035</v>
      </c>
      <c r="N332" s="358" t="s">
        <v>1407</v>
      </c>
      <c r="O332" s="326" t="s">
        <v>30</v>
      </c>
      <c r="P332" s="360"/>
      <c r="Q332" s="336"/>
      <c r="R332" s="203"/>
      <c r="S332" s="203"/>
      <c r="T332" s="13" t="str">
        <f t="shared" si="36"/>
        <v>23調査結果-敷地及び地盤-1（6）-調査者番号</v>
      </c>
      <c r="V332" s="349"/>
      <c r="W332" s="349"/>
      <c r="X332" s="349"/>
      <c r="Y332" s="75"/>
      <c r="Z332" s="75"/>
      <c r="AA332" s="75"/>
      <c r="AB332" s="75"/>
    </row>
    <row r="333" spans="2:28">
      <c r="B333" s="503">
        <f>'1_入力シート【基本情報】'!$AT$312</f>
        <v>0</v>
      </c>
      <c r="C333" s="4" t="str">
        <f t="shared" si="39"/>
        <v/>
      </c>
      <c r="D333" s="503">
        <f>'1_入力シート【基本情報】'!$AT$312</f>
        <v>0</v>
      </c>
      <c r="E333" s="576">
        <f>'1_入力シート【基本情報】'!$AT$312</f>
        <v>0</v>
      </c>
      <c r="F333" s="576" t="str">
        <f t="shared" si="44"/>
        <v>0</v>
      </c>
      <c r="G333" s="575"/>
      <c r="H333" s="565">
        <v>23</v>
      </c>
      <c r="I333" s="334" t="s">
        <v>33</v>
      </c>
      <c r="J333" s="357" t="s">
        <v>1407</v>
      </c>
      <c r="K333" s="322" t="s">
        <v>34</v>
      </c>
      <c r="L333" s="358" t="s">
        <v>1407</v>
      </c>
      <c r="M333" s="335" t="s">
        <v>2035</v>
      </c>
      <c r="N333" s="358" t="s">
        <v>1407</v>
      </c>
      <c r="O333" s="326" t="s">
        <v>2028</v>
      </c>
      <c r="P333" s="360"/>
      <c r="Q333" s="336"/>
      <c r="R333" s="203"/>
      <c r="S333" s="203"/>
      <c r="T333" s="13" t="str">
        <f t="shared" ref="T333:T396" si="46">CONCATENATE(H333,I333,J333,K333,L333,M333,N333,O333,P333,Q333)</f>
        <v>23調査結果-敷地及び地盤-1（6）-指摘の具体的内容等</v>
      </c>
      <c r="V333" s="349"/>
      <c r="W333" s="349"/>
      <c r="X333" s="349"/>
      <c r="Y333" s="75"/>
      <c r="Z333" s="75"/>
      <c r="AA333" s="75"/>
      <c r="AB333" s="75"/>
    </row>
    <row r="334" spans="2:28">
      <c r="B334" s="107">
        <f>'1_入力シート【基本情報】'!$BD$312</f>
        <v>0</v>
      </c>
      <c r="C334" s="4" t="str">
        <f t="shared" si="39"/>
        <v/>
      </c>
      <c r="D334" s="107">
        <f>'1_入力シート【基本情報】'!$BD$312</f>
        <v>0</v>
      </c>
      <c r="E334" s="564">
        <f>'1_入力シート【基本情報】'!$BD$312</f>
        <v>0</v>
      </c>
      <c r="F334" s="564" t="str">
        <f t="shared" si="44"/>
        <v>0</v>
      </c>
      <c r="G334" s="575"/>
      <c r="H334" s="565">
        <v>23</v>
      </c>
      <c r="I334" s="334" t="s">
        <v>33</v>
      </c>
      <c r="J334" s="357" t="s">
        <v>1407</v>
      </c>
      <c r="K334" s="322" t="s">
        <v>34</v>
      </c>
      <c r="L334" s="358" t="s">
        <v>1407</v>
      </c>
      <c r="M334" s="335" t="s">
        <v>2035</v>
      </c>
      <c r="N334" s="358" t="s">
        <v>1407</v>
      </c>
      <c r="O334" s="326" t="s">
        <v>2029</v>
      </c>
      <c r="P334" s="360"/>
      <c r="Q334" s="336"/>
      <c r="R334" s="203"/>
      <c r="S334" s="203"/>
      <c r="T334" s="13" t="str">
        <f t="shared" si="46"/>
        <v>23調査結果-敷地及び地盤-1（6）-改善策の具体的内容等</v>
      </c>
      <c r="V334" s="349"/>
      <c r="W334" s="349"/>
      <c r="X334" s="349"/>
      <c r="Y334" s="75"/>
      <c r="Z334" s="75"/>
      <c r="AA334" s="75"/>
      <c r="AB334" s="75"/>
    </row>
    <row r="335" spans="2:28" ht="19">
      <c r="B335" s="107">
        <f>'1_入力シート【基本情報】'!$BS$312</f>
        <v>0</v>
      </c>
      <c r="C335" s="493" t="str">
        <f t="shared" ref="C335:E336" si="47">ASC($D335)</f>
        <v>0</v>
      </c>
      <c r="D335" s="107">
        <f>'1_入力シート【基本情報】'!$BS$312</f>
        <v>0</v>
      </c>
      <c r="E335" s="7" t="str">
        <f t="shared" si="47"/>
        <v>0</v>
      </c>
      <c r="F335" s="7" t="str">
        <f t="shared" si="44"/>
        <v>0</v>
      </c>
      <c r="G335" s="575"/>
      <c r="H335" s="565">
        <v>23</v>
      </c>
      <c r="I335" s="334" t="s">
        <v>33</v>
      </c>
      <c r="J335" s="357" t="s">
        <v>1407</v>
      </c>
      <c r="K335" s="322" t="s">
        <v>34</v>
      </c>
      <c r="L335" s="358" t="s">
        <v>1407</v>
      </c>
      <c r="M335" s="335" t="s">
        <v>2035</v>
      </c>
      <c r="N335" s="358" t="s">
        <v>1407</v>
      </c>
      <c r="O335" s="326" t="s">
        <v>387</v>
      </c>
      <c r="P335" s="360" t="s">
        <v>1879</v>
      </c>
      <c r="Q335" s="336" t="s">
        <v>1966</v>
      </c>
      <c r="R335" s="203"/>
      <c r="S335" s="203"/>
      <c r="T335" s="13" t="str">
        <f t="shared" si="46"/>
        <v>23調査結果-敷地及び地盤-1（6）-改善（予定）年月-年（令和）</v>
      </c>
      <c r="V335" s="349"/>
      <c r="W335" s="349"/>
      <c r="X335" s="349"/>
      <c r="Y335" s="75"/>
      <c r="Z335" s="75"/>
      <c r="AA335" s="75"/>
      <c r="AB335" s="75"/>
    </row>
    <row r="336" spans="2:28" ht="19">
      <c r="B336" s="107">
        <f>'1_入力シート【基本情報】'!$BV$312</f>
        <v>0</v>
      </c>
      <c r="C336" s="493" t="str">
        <f t="shared" si="47"/>
        <v>0</v>
      </c>
      <c r="D336" s="107">
        <f>'1_入力シート【基本情報】'!$BV$312</f>
        <v>0</v>
      </c>
      <c r="E336" s="7" t="str">
        <f t="shared" si="47"/>
        <v>0</v>
      </c>
      <c r="F336" s="7" t="str">
        <f t="shared" si="44"/>
        <v>0</v>
      </c>
      <c r="G336" s="575"/>
      <c r="H336" s="565">
        <v>23</v>
      </c>
      <c r="I336" s="334" t="s">
        <v>33</v>
      </c>
      <c r="J336" s="357" t="s">
        <v>1407</v>
      </c>
      <c r="K336" s="322" t="s">
        <v>34</v>
      </c>
      <c r="L336" s="358" t="s">
        <v>1407</v>
      </c>
      <c r="M336" s="335" t="s">
        <v>2035</v>
      </c>
      <c r="N336" s="358" t="s">
        <v>1407</v>
      </c>
      <c r="O336" s="326" t="s">
        <v>387</v>
      </c>
      <c r="P336" s="360" t="s">
        <v>1879</v>
      </c>
      <c r="Q336" s="336" t="s">
        <v>383</v>
      </c>
      <c r="R336" s="203"/>
      <c r="S336" s="203"/>
      <c r="T336" s="13" t="str">
        <f t="shared" si="46"/>
        <v>23調査結果-敷地及び地盤-1（6）-改善（予定）年月-月</v>
      </c>
      <c r="V336" s="349"/>
      <c r="W336" s="349"/>
      <c r="X336" s="349"/>
      <c r="Y336" s="75"/>
      <c r="Z336" s="75"/>
      <c r="AA336" s="75"/>
      <c r="AB336" s="75"/>
    </row>
    <row r="337" spans="2:28">
      <c r="B337" s="107">
        <f>'1_入力シート【基本情報】'!$BY$312</f>
        <v>0</v>
      </c>
      <c r="C337" s="4" t="str">
        <f t="shared" si="39"/>
        <v/>
      </c>
      <c r="D337" s="107">
        <f>'1_入力シート【基本情報】'!$BY$312</f>
        <v>0</v>
      </c>
      <c r="E337" s="564">
        <f>'1_入力シート【基本情報】'!$BY$312</f>
        <v>0</v>
      </c>
      <c r="F337" s="564" t="str">
        <f t="shared" si="44"/>
        <v>0</v>
      </c>
      <c r="G337" s="575"/>
      <c r="H337" s="565">
        <v>23</v>
      </c>
      <c r="I337" s="334" t="s">
        <v>33</v>
      </c>
      <c r="J337" s="357" t="s">
        <v>1407</v>
      </c>
      <c r="K337" s="322" t="s">
        <v>34</v>
      </c>
      <c r="L337" s="358" t="s">
        <v>1407</v>
      </c>
      <c r="M337" s="335" t="s">
        <v>2035</v>
      </c>
      <c r="N337" s="358" t="s">
        <v>1407</v>
      </c>
      <c r="O337" s="326" t="s">
        <v>387</v>
      </c>
      <c r="P337" s="360" t="s">
        <v>1879</v>
      </c>
      <c r="Q337" s="336" t="s">
        <v>675</v>
      </c>
      <c r="R337" s="203"/>
      <c r="S337" s="203"/>
      <c r="T337" s="13" t="str">
        <f t="shared" si="46"/>
        <v>23調査結果-敷地及び地盤-1（6）-改善（予定）年月-未定</v>
      </c>
      <c r="V337" s="349"/>
      <c r="W337" s="349"/>
      <c r="X337" s="349"/>
      <c r="Y337" s="75"/>
      <c r="Z337" s="75"/>
      <c r="AA337" s="75"/>
      <c r="AB337" s="75"/>
    </row>
    <row r="338" spans="2:28">
      <c r="B338" s="107">
        <f>'1_入力シート【基本情報】'!$AF$313</f>
        <v>0</v>
      </c>
      <c r="C338" s="4" t="str">
        <f t="shared" si="39"/>
        <v/>
      </c>
      <c r="D338" s="107" t="str">
        <f>C338</f>
        <v/>
      </c>
      <c r="E338" s="564" t="str">
        <f>D338</f>
        <v/>
      </c>
      <c r="F338" s="564" t="str">
        <f t="shared" si="44"/>
        <v/>
      </c>
      <c r="G338" s="575"/>
      <c r="H338" s="565">
        <v>23</v>
      </c>
      <c r="I338" s="334" t="s">
        <v>33</v>
      </c>
      <c r="J338" s="357" t="s">
        <v>1407</v>
      </c>
      <c r="K338" s="322" t="s">
        <v>34</v>
      </c>
      <c r="L338" s="358" t="s">
        <v>1407</v>
      </c>
      <c r="M338" s="335" t="s">
        <v>2036</v>
      </c>
      <c r="N338" s="358" t="s">
        <v>1407</v>
      </c>
      <c r="O338" s="326" t="s">
        <v>33</v>
      </c>
      <c r="P338" s="360"/>
      <c r="Q338" s="336"/>
      <c r="R338" s="203"/>
      <c r="S338" s="203"/>
      <c r="T338" s="13" t="str">
        <f t="shared" si="46"/>
        <v>23調査結果-敷地及び地盤-1（7）-調査結果</v>
      </c>
      <c r="V338" s="349"/>
      <c r="W338" s="349"/>
      <c r="X338" s="349"/>
      <c r="Y338" s="75"/>
      <c r="Z338" s="75"/>
      <c r="AA338" s="75"/>
      <c r="AB338" s="75"/>
    </row>
    <row r="339" spans="2:28">
      <c r="B339" s="107">
        <f>'1_入力シート【基本情報】'!$AR$313</f>
        <v>0</v>
      </c>
      <c r="C339" s="4" t="str">
        <f t="shared" si="39"/>
        <v/>
      </c>
      <c r="D339" s="107">
        <f>'1_入力シート【基本情報】'!$AR$313</f>
        <v>0</v>
      </c>
      <c r="E339" s="564">
        <f>'1_入力シート【基本情報】'!$AR$313</f>
        <v>0</v>
      </c>
      <c r="F339" s="564" t="str">
        <f t="shared" si="44"/>
        <v>0</v>
      </c>
      <c r="G339" s="575"/>
      <c r="H339" s="565">
        <v>23</v>
      </c>
      <c r="I339" s="334" t="s">
        <v>33</v>
      </c>
      <c r="J339" s="357" t="s">
        <v>1407</v>
      </c>
      <c r="K339" s="322" t="s">
        <v>34</v>
      </c>
      <c r="L339" s="358" t="s">
        <v>1407</v>
      </c>
      <c r="M339" s="335" t="s">
        <v>2036</v>
      </c>
      <c r="N339" s="358" t="s">
        <v>1407</v>
      </c>
      <c r="O339" s="326" t="s">
        <v>30</v>
      </c>
      <c r="P339" s="360"/>
      <c r="Q339" s="336"/>
      <c r="R339" s="203"/>
      <c r="S339" s="203"/>
      <c r="T339" s="13" t="str">
        <f t="shared" si="46"/>
        <v>23調査結果-敷地及び地盤-1（7）-調査者番号</v>
      </c>
      <c r="V339" s="349"/>
      <c r="W339" s="349"/>
      <c r="X339" s="349"/>
      <c r="Y339" s="75"/>
      <c r="Z339" s="75"/>
      <c r="AA339" s="75"/>
      <c r="AB339" s="75"/>
    </row>
    <row r="340" spans="2:28">
      <c r="B340" s="107">
        <f>'1_入力シート【基本情報】'!$AT$313</f>
        <v>0</v>
      </c>
      <c r="C340" s="4" t="str">
        <f t="shared" si="39"/>
        <v/>
      </c>
      <c r="D340" s="107">
        <f>'1_入力シート【基本情報】'!$AT$313</f>
        <v>0</v>
      </c>
      <c r="E340" s="564">
        <f>'1_入力シート【基本情報】'!$AT$313</f>
        <v>0</v>
      </c>
      <c r="F340" s="564" t="str">
        <f t="shared" si="44"/>
        <v>0</v>
      </c>
      <c r="G340" s="575"/>
      <c r="H340" s="565">
        <v>23</v>
      </c>
      <c r="I340" s="334" t="s">
        <v>33</v>
      </c>
      <c r="J340" s="357" t="s">
        <v>1407</v>
      </c>
      <c r="K340" s="322" t="s">
        <v>34</v>
      </c>
      <c r="L340" s="358" t="s">
        <v>1407</v>
      </c>
      <c r="M340" s="335" t="s">
        <v>2036</v>
      </c>
      <c r="N340" s="358" t="s">
        <v>1407</v>
      </c>
      <c r="O340" s="326" t="s">
        <v>2028</v>
      </c>
      <c r="P340" s="327"/>
      <c r="Q340" s="336"/>
      <c r="R340" s="203"/>
      <c r="S340" s="203"/>
      <c r="T340" s="13" t="str">
        <f t="shared" si="46"/>
        <v>23調査結果-敷地及び地盤-1（7）-指摘の具体的内容等</v>
      </c>
      <c r="V340" s="349"/>
      <c r="W340" s="349"/>
      <c r="X340" s="349"/>
      <c r="Y340" s="75"/>
      <c r="Z340" s="75"/>
      <c r="AA340" s="75"/>
      <c r="AB340" s="75"/>
    </row>
    <row r="341" spans="2:28">
      <c r="B341" s="107">
        <f>'1_入力シート【基本情報】'!$BD$313</f>
        <v>0</v>
      </c>
      <c r="C341" s="4" t="str">
        <f t="shared" si="39"/>
        <v/>
      </c>
      <c r="D341" s="107">
        <f>'1_入力シート【基本情報】'!$BD$313</f>
        <v>0</v>
      </c>
      <c r="E341" s="564">
        <f>'1_入力シート【基本情報】'!$BD$313</f>
        <v>0</v>
      </c>
      <c r="F341" s="564" t="str">
        <f t="shared" si="44"/>
        <v>0</v>
      </c>
      <c r="G341" s="575"/>
      <c r="H341" s="565">
        <v>23</v>
      </c>
      <c r="I341" s="334" t="s">
        <v>33</v>
      </c>
      <c r="J341" s="357" t="s">
        <v>1407</v>
      </c>
      <c r="K341" s="322" t="s">
        <v>34</v>
      </c>
      <c r="L341" s="358" t="s">
        <v>1407</v>
      </c>
      <c r="M341" s="335" t="s">
        <v>2036</v>
      </c>
      <c r="N341" s="358" t="s">
        <v>1407</v>
      </c>
      <c r="O341" s="326" t="s">
        <v>2029</v>
      </c>
      <c r="P341" s="327"/>
      <c r="Q341" s="336"/>
      <c r="R341" s="203"/>
      <c r="S341" s="203"/>
      <c r="T341" s="13" t="str">
        <f t="shared" si="46"/>
        <v>23調査結果-敷地及び地盤-1（7）-改善策の具体的内容等</v>
      </c>
      <c r="V341" s="349"/>
      <c r="W341" s="349"/>
      <c r="X341" s="349"/>
      <c r="Y341" s="75"/>
      <c r="Z341" s="75"/>
      <c r="AA341" s="75"/>
      <c r="AB341" s="75"/>
    </row>
    <row r="342" spans="2:28" ht="19">
      <c r="B342" s="107">
        <f>'1_入力シート【基本情報】'!$BS$313</f>
        <v>0</v>
      </c>
      <c r="C342" s="493" t="str">
        <f t="shared" ref="C342:E343" si="48">ASC($D342)</f>
        <v>0</v>
      </c>
      <c r="D342" s="107">
        <f>'1_入力シート【基本情報】'!$BS$313</f>
        <v>0</v>
      </c>
      <c r="E342" s="7" t="str">
        <f t="shared" si="48"/>
        <v>0</v>
      </c>
      <c r="F342" s="7" t="str">
        <f t="shared" si="44"/>
        <v>0</v>
      </c>
      <c r="G342" s="575"/>
      <c r="H342" s="565">
        <v>23</v>
      </c>
      <c r="I342" s="334" t="s">
        <v>33</v>
      </c>
      <c r="J342" s="357" t="s">
        <v>1407</v>
      </c>
      <c r="K342" s="322" t="s">
        <v>34</v>
      </c>
      <c r="L342" s="358" t="s">
        <v>1407</v>
      </c>
      <c r="M342" s="335" t="s">
        <v>2036</v>
      </c>
      <c r="N342" s="358" t="s">
        <v>1407</v>
      </c>
      <c r="O342" s="326" t="s">
        <v>387</v>
      </c>
      <c r="P342" s="327" t="s">
        <v>1879</v>
      </c>
      <c r="Q342" s="336" t="s">
        <v>1966</v>
      </c>
      <c r="R342" s="203"/>
      <c r="S342" s="203"/>
      <c r="T342" s="13" t="str">
        <f t="shared" si="46"/>
        <v>23調査結果-敷地及び地盤-1（7）-改善（予定）年月-年（令和）</v>
      </c>
      <c r="V342" s="202"/>
      <c r="W342" s="202"/>
      <c r="X342" s="202"/>
    </row>
    <row r="343" spans="2:28" ht="19">
      <c r="B343" s="107">
        <f>'1_入力シート【基本情報】'!$BV$313</f>
        <v>0</v>
      </c>
      <c r="C343" s="493" t="str">
        <f t="shared" si="48"/>
        <v>0</v>
      </c>
      <c r="D343" s="107">
        <f>'1_入力シート【基本情報】'!$BV$313</f>
        <v>0</v>
      </c>
      <c r="E343" s="7" t="str">
        <f t="shared" si="48"/>
        <v>0</v>
      </c>
      <c r="F343" s="7" t="str">
        <f t="shared" si="44"/>
        <v>0</v>
      </c>
      <c r="G343" s="575"/>
      <c r="H343" s="565">
        <v>23</v>
      </c>
      <c r="I343" s="334" t="s">
        <v>33</v>
      </c>
      <c r="J343" s="357" t="s">
        <v>1407</v>
      </c>
      <c r="K343" s="322" t="s">
        <v>34</v>
      </c>
      <c r="L343" s="358" t="s">
        <v>1407</v>
      </c>
      <c r="M343" s="335" t="s">
        <v>2036</v>
      </c>
      <c r="N343" s="358" t="s">
        <v>1407</v>
      </c>
      <c r="O343" s="326" t="s">
        <v>387</v>
      </c>
      <c r="P343" s="327" t="s">
        <v>1879</v>
      </c>
      <c r="Q343" s="336" t="s">
        <v>383</v>
      </c>
      <c r="R343" s="203"/>
      <c r="S343" s="203"/>
      <c r="T343" s="13" t="str">
        <f t="shared" si="46"/>
        <v>23調査結果-敷地及び地盤-1（7）-改善（予定）年月-月</v>
      </c>
      <c r="V343" s="349"/>
      <c r="W343" s="349"/>
      <c r="X343" s="349"/>
      <c r="Y343" s="75"/>
      <c r="Z343" s="75"/>
      <c r="AA343" s="75"/>
      <c r="AB343" s="75"/>
    </row>
    <row r="344" spans="2:28" ht="14.25" customHeight="1">
      <c r="B344" s="107">
        <f>'1_入力シート【基本情報】'!$BY$313</f>
        <v>0</v>
      </c>
      <c r="C344" s="4" t="str">
        <f t="shared" si="39"/>
        <v/>
      </c>
      <c r="D344" s="107">
        <f>'1_入力シート【基本情報】'!$BY$313</f>
        <v>0</v>
      </c>
      <c r="E344" s="564">
        <f>'1_入力シート【基本情報】'!$BY$313</f>
        <v>0</v>
      </c>
      <c r="F344" s="564" t="str">
        <f t="shared" si="44"/>
        <v>0</v>
      </c>
      <c r="G344" s="575"/>
      <c r="H344" s="565">
        <v>23</v>
      </c>
      <c r="I344" s="334" t="s">
        <v>33</v>
      </c>
      <c r="J344" s="357" t="s">
        <v>1407</v>
      </c>
      <c r="K344" s="322" t="s">
        <v>34</v>
      </c>
      <c r="L344" s="358" t="s">
        <v>1407</v>
      </c>
      <c r="M344" s="335" t="s">
        <v>2036</v>
      </c>
      <c r="N344" s="358" t="s">
        <v>1407</v>
      </c>
      <c r="O344" s="326" t="s">
        <v>387</v>
      </c>
      <c r="P344" s="327" t="s">
        <v>1879</v>
      </c>
      <c r="Q344" s="336" t="s">
        <v>675</v>
      </c>
      <c r="R344" s="203"/>
      <c r="S344" s="203"/>
      <c r="T344" s="13" t="str">
        <f t="shared" si="46"/>
        <v>23調査結果-敷地及び地盤-1（7）-改善（予定）年月-未定</v>
      </c>
      <c r="V344" s="349"/>
      <c r="W344" s="349"/>
      <c r="X344" s="349"/>
      <c r="Y344" s="75"/>
      <c r="Z344" s="75"/>
      <c r="AA344" s="75"/>
      <c r="AB344" s="75"/>
    </row>
    <row r="345" spans="2:28">
      <c r="B345" s="107">
        <f>'1_入力シート【基本情報】'!$AF$314</f>
        <v>0</v>
      </c>
      <c r="C345" s="4" t="str">
        <f t="shared" si="39"/>
        <v/>
      </c>
      <c r="D345" s="107" t="str">
        <f>C345</f>
        <v/>
      </c>
      <c r="E345" s="564" t="str">
        <f>D345</f>
        <v/>
      </c>
      <c r="F345" s="564" t="str">
        <f t="shared" si="44"/>
        <v/>
      </c>
      <c r="G345" s="575"/>
      <c r="H345" s="565">
        <v>23</v>
      </c>
      <c r="I345" s="334" t="s">
        <v>33</v>
      </c>
      <c r="J345" s="357" t="s">
        <v>1407</v>
      </c>
      <c r="K345" s="322" t="s">
        <v>34</v>
      </c>
      <c r="L345" s="358" t="s">
        <v>1407</v>
      </c>
      <c r="M345" s="335" t="s">
        <v>2037</v>
      </c>
      <c r="N345" s="358" t="s">
        <v>1879</v>
      </c>
      <c r="O345" s="326" t="s">
        <v>33</v>
      </c>
      <c r="P345" s="327"/>
      <c r="Q345" s="336"/>
      <c r="R345" s="203"/>
      <c r="S345" s="203"/>
      <c r="T345" s="13" t="str">
        <f t="shared" si="46"/>
        <v>23調査結果-敷地及び地盤-1（8）-調査結果</v>
      </c>
      <c r="V345" s="349"/>
      <c r="W345" s="349"/>
      <c r="X345" s="349"/>
      <c r="Y345" s="75"/>
      <c r="Z345" s="75"/>
      <c r="AA345" s="75"/>
      <c r="AB345" s="75"/>
    </row>
    <row r="346" spans="2:28">
      <c r="B346" s="107">
        <f>'1_入力シート【基本情報】'!$AR$314</f>
        <v>0</v>
      </c>
      <c r="C346" s="4" t="str">
        <f t="shared" si="39"/>
        <v/>
      </c>
      <c r="D346" s="107">
        <f>'1_入力シート【基本情報】'!$AR$314</f>
        <v>0</v>
      </c>
      <c r="E346" s="564">
        <f>'1_入力シート【基本情報】'!$AR$314</f>
        <v>0</v>
      </c>
      <c r="F346" s="564" t="str">
        <f t="shared" si="44"/>
        <v>0</v>
      </c>
      <c r="G346" s="575"/>
      <c r="H346" s="565">
        <v>23</v>
      </c>
      <c r="I346" s="334" t="s">
        <v>33</v>
      </c>
      <c r="J346" s="357" t="s">
        <v>1407</v>
      </c>
      <c r="K346" s="322" t="s">
        <v>34</v>
      </c>
      <c r="L346" s="358" t="s">
        <v>1407</v>
      </c>
      <c r="M346" s="335" t="s">
        <v>2037</v>
      </c>
      <c r="N346" s="358" t="s">
        <v>1879</v>
      </c>
      <c r="O346" s="326" t="s">
        <v>30</v>
      </c>
      <c r="P346" s="327"/>
      <c r="Q346" s="336"/>
      <c r="R346" s="203"/>
      <c r="S346" s="203"/>
      <c r="T346" s="13" t="str">
        <f t="shared" si="46"/>
        <v>23調査結果-敷地及び地盤-1（8）-調査者番号</v>
      </c>
      <c r="V346" s="349"/>
      <c r="W346" s="349"/>
      <c r="X346" s="349"/>
      <c r="Y346" s="75"/>
      <c r="Z346" s="75"/>
      <c r="AA346" s="75"/>
      <c r="AB346" s="75"/>
    </row>
    <row r="347" spans="2:28">
      <c r="B347" s="107">
        <f>'1_入力シート【基本情報】'!$AT$314</f>
        <v>0</v>
      </c>
      <c r="C347" s="4" t="str">
        <f t="shared" si="39"/>
        <v/>
      </c>
      <c r="D347" s="107">
        <f>'1_入力シート【基本情報】'!$AT$314</f>
        <v>0</v>
      </c>
      <c r="E347" s="564">
        <f>'1_入力シート【基本情報】'!$AT$314</f>
        <v>0</v>
      </c>
      <c r="F347" s="564" t="str">
        <f t="shared" si="44"/>
        <v>0</v>
      </c>
      <c r="G347" s="575"/>
      <c r="H347" s="565">
        <v>23</v>
      </c>
      <c r="I347" s="334" t="s">
        <v>33</v>
      </c>
      <c r="J347" s="357" t="s">
        <v>1407</v>
      </c>
      <c r="K347" s="322" t="s">
        <v>34</v>
      </c>
      <c r="L347" s="358" t="s">
        <v>1407</v>
      </c>
      <c r="M347" s="335" t="s">
        <v>2037</v>
      </c>
      <c r="N347" s="358" t="s">
        <v>1879</v>
      </c>
      <c r="O347" s="326" t="s">
        <v>2028</v>
      </c>
      <c r="P347" s="327"/>
      <c r="Q347" s="363"/>
      <c r="R347" s="203"/>
      <c r="S347" s="203"/>
      <c r="T347" s="13" t="str">
        <f t="shared" si="46"/>
        <v>23調査結果-敷地及び地盤-1（8）-指摘の具体的内容等</v>
      </c>
      <c r="V347" s="349"/>
      <c r="W347" s="349"/>
      <c r="X347" s="349"/>
      <c r="Y347" s="75"/>
      <c r="Z347" s="75"/>
      <c r="AA347" s="75"/>
      <c r="AB347" s="75"/>
    </row>
    <row r="348" spans="2:28">
      <c r="B348" s="107">
        <f>'1_入力シート【基本情報】'!$BD$314</f>
        <v>0</v>
      </c>
      <c r="C348" s="4" t="str">
        <f t="shared" si="39"/>
        <v/>
      </c>
      <c r="D348" s="107">
        <f>'1_入力シート【基本情報】'!$BD$314</f>
        <v>0</v>
      </c>
      <c r="E348" s="564">
        <f>'1_入力シート【基本情報】'!$BD$314</f>
        <v>0</v>
      </c>
      <c r="F348" s="564" t="str">
        <f t="shared" si="44"/>
        <v>0</v>
      </c>
      <c r="G348" s="575"/>
      <c r="H348" s="565">
        <v>23</v>
      </c>
      <c r="I348" s="334" t="s">
        <v>33</v>
      </c>
      <c r="J348" s="357" t="s">
        <v>1407</v>
      </c>
      <c r="K348" s="322" t="s">
        <v>34</v>
      </c>
      <c r="L348" s="358" t="s">
        <v>1407</v>
      </c>
      <c r="M348" s="335" t="s">
        <v>2037</v>
      </c>
      <c r="N348" s="358" t="s">
        <v>1879</v>
      </c>
      <c r="O348" s="326" t="s">
        <v>2029</v>
      </c>
      <c r="P348" s="327"/>
      <c r="Q348" s="363"/>
      <c r="R348" s="203"/>
      <c r="S348" s="203"/>
      <c r="T348" s="13" t="str">
        <f t="shared" si="46"/>
        <v>23調査結果-敷地及び地盤-1（8）-改善策の具体的内容等</v>
      </c>
      <c r="V348" s="349"/>
      <c r="W348" s="349"/>
      <c r="X348" s="349"/>
      <c r="Y348" s="75"/>
      <c r="Z348" s="75"/>
      <c r="AA348" s="75"/>
      <c r="AB348" s="75"/>
    </row>
    <row r="349" spans="2:28" ht="19">
      <c r="B349" s="107">
        <f>'1_入力シート【基本情報】'!$BS$314</f>
        <v>0</v>
      </c>
      <c r="C349" s="493" t="str">
        <f t="shared" ref="C349:E350" si="49">ASC($D349)</f>
        <v>0</v>
      </c>
      <c r="D349" s="107">
        <f>'1_入力シート【基本情報】'!$BS$314</f>
        <v>0</v>
      </c>
      <c r="E349" s="7" t="str">
        <f t="shared" si="49"/>
        <v>0</v>
      </c>
      <c r="F349" s="7" t="str">
        <f t="shared" si="44"/>
        <v>0</v>
      </c>
      <c r="G349" s="575"/>
      <c r="H349" s="565">
        <v>23</v>
      </c>
      <c r="I349" s="334" t="s">
        <v>33</v>
      </c>
      <c r="J349" s="357" t="s">
        <v>1407</v>
      </c>
      <c r="K349" s="322" t="s">
        <v>34</v>
      </c>
      <c r="L349" s="358" t="s">
        <v>1407</v>
      </c>
      <c r="M349" s="335" t="s">
        <v>2037</v>
      </c>
      <c r="N349" s="358" t="s">
        <v>1879</v>
      </c>
      <c r="O349" s="326" t="s">
        <v>387</v>
      </c>
      <c r="P349" s="327" t="s">
        <v>1879</v>
      </c>
      <c r="Q349" s="363" t="s">
        <v>1966</v>
      </c>
      <c r="R349" s="203"/>
      <c r="S349" s="203"/>
      <c r="T349" s="13" t="str">
        <f t="shared" si="46"/>
        <v>23調査結果-敷地及び地盤-1（8）-改善（予定）年月-年（令和）</v>
      </c>
      <c r="V349" s="349"/>
      <c r="W349" s="349"/>
      <c r="X349" s="349"/>
      <c r="Y349" s="75"/>
      <c r="Z349" s="75"/>
      <c r="AA349" s="75"/>
      <c r="AB349" s="75"/>
    </row>
    <row r="350" spans="2:28" ht="19">
      <c r="B350" s="107">
        <f>'1_入力シート【基本情報】'!$BV$314</f>
        <v>0</v>
      </c>
      <c r="C350" s="493" t="str">
        <f t="shared" si="49"/>
        <v>0</v>
      </c>
      <c r="D350" s="107">
        <f>'1_入力シート【基本情報】'!$BV$314</f>
        <v>0</v>
      </c>
      <c r="E350" s="7" t="str">
        <f t="shared" si="49"/>
        <v>0</v>
      </c>
      <c r="F350" s="7" t="str">
        <f t="shared" si="44"/>
        <v>0</v>
      </c>
      <c r="G350" s="575"/>
      <c r="H350" s="565">
        <v>23</v>
      </c>
      <c r="I350" s="334" t="s">
        <v>33</v>
      </c>
      <c r="J350" s="357" t="s">
        <v>1407</v>
      </c>
      <c r="K350" s="322" t="s">
        <v>34</v>
      </c>
      <c r="L350" s="358" t="s">
        <v>1407</v>
      </c>
      <c r="M350" s="335" t="s">
        <v>2037</v>
      </c>
      <c r="N350" s="358" t="s">
        <v>1879</v>
      </c>
      <c r="O350" s="326" t="s">
        <v>387</v>
      </c>
      <c r="P350" s="327" t="s">
        <v>1879</v>
      </c>
      <c r="Q350" s="363" t="s">
        <v>383</v>
      </c>
      <c r="R350" s="203"/>
      <c r="S350" s="203"/>
      <c r="T350" s="13" t="str">
        <f t="shared" si="46"/>
        <v>23調査結果-敷地及び地盤-1（8）-改善（予定）年月-月</v>
      </c>
      <c r="V350" s="349"/>
      <c r="W350" s="349"/>
      <c r="X350" s="349"/>
      <c r="Y350" s="75"/>
      <c r="Z350" s="75"/>
      <c r="AA350" s="75"/>
      <c r="AB350" s="75"/>
    </row>
    <row r="351" spans="2:28">
      <c r="B351" s="107">
        <f>'1_入力シート【基本情報】'!$BY$314</f>
        <v>0</v>
      </c>
      <c r="C351" s="4" t="str">
        <f t="shared" si="39"/>
        <v/>
      </c>
      <c r="D351" s="107">
        <f>'1_入力シート【基本情報】'!$BY$314</f>
        <v>0</v>
      </c>
      <c r="E351" s="564">
        <f>'1_入力シート【基本情報】'!$BY$314</f>
        <v>0</v>
      </c>
      <c r="F351" s="564" t="str">
        <f t="shared" si="44"/>
        <v>0</v>
      </c>
      <c r="G351" s="575"/>
      <c r="H351" s="565">
        <v>23</v>
      </c>
      <c r="I351" s="334" t="s">
        <v>33</v>
      </c>
      <c r="J351" s="357" t="s">
        <v>1407</v>
      </c>
      <c r="K351" s="322" t="s">
        <v>34</v>
      </c>
      <c r="L351" s="358" t="s">
        <v>1407</v>
      </c>
      <c r="M351" s="335" t="s">
        <v>2037</v>
      </c>
      <c r="N351" s="358" t="s">
        <v>1879</v>
      </c>
      <c r="O351" s="326" t="s">
        <v>387</v>
      </c>
      <c r="P351" s="332" t="s">
        <v>1879</v>
      </c>
      <c r="Q351" s="363" t="s">
        <v>675</v>
      </c>
      <c r="R351" s="203"/>
      <c r="S351" s="203"/>
      <c r="T351" s="13" t="str">
        <f t="shared" si="46"/>
        <v>23調査結果-敷地及び地盤-1（8）-改善（予定）年月-未定</v>
      </c>
      <c r="V351" s="349"/>
      <c r="W351" s="349"/>
      <c r="X351" s="349"/>
      <c r="Y351" s="75"/>
      <c r="Z351" s="75"/>
      <c r="AA351" s="75"/>
      <c r="AB351" s="75"/>
    </row>
    <row r="352" spans="2:28">
      <c r="B352" s="107">
        <f>'1_入力シート【基本情報】'!$AF$315</f>
        <v>0</v>
      </c>
      <c r="C352" s="4" t="str">
        <f t="shared" si="39"/>
        <v/>
      </c>
      <c r="D352" s="107" t="str">
        <f>C352</f>
        <v/>
      </c>
      <c r="E352" s="564" t="str">
        <f>D352</f>
        <v/>
      </c>
      <c r="F352" s="564" t="str">
        <f t="shared" si="44"/>
        <v/>
      </c>
      <c r="G352" s="24"/>
      <c r="H352" s="565">
        <v>23</v>
      </c>
      <c r="I352" s="334" t="s">
        <v>33</v>
      </c>
      <c r="J352" s="357" t="s">
        <v>1407</v>
      </c>
      <c r="K352" s="322" t="s">
        <v>34</v>
      </c>
      <c r="L352" s="358" t="s">
        <v>1407</v>
      </c>
      <c r="M352" s="335" t="s">
        <v>2038</v>
      </c>
      <c r="N352" s="358" t="s">
        <v>1407</v>
      </c>
      <c r="O352" s="326" t="s">
        <v>33</v>
      </c>
      <c r="P352" s="332"/>
      <c r="Q352" s="363"/>
      <c r="R352" s="203"/>
      <c r="S352" s="203"/>
      <c r="T352" s="13" t="str">
        <f t="shared" si="46"/>
        <v>23調査結果-敷地及び地盤-1（9）-調査結果</v>
      </c>
      <c r="V352" s="349"/>
      <c r="W352" s="349"/>
      <c r="X352" s="349"/>
      <c r="Y352" s="75"/>
      <c r="Z352" s="75"/>
      <c r="AA352" s="75"/>
      <c r="AB352" s="75"/>
    </row>
    <row r="353" spans="2:28">
      <c r="B353" s="107">
        <f>'1_入力シート【基本情報】'!$AR$315</f>
        <v>0</v>
      </c>
      <c r="C353" s="4" t="str">
        <f t="shared" si="39"/>
        <v/>
      </c>
      <c r="D353" s="107">
        <f>'1_入力シート【基本情報】'!$AR$315</f>
        <v>0</v>
      </c>
      <c r="E353" s="564">
        <f>'1_入力シート【基本情報】'!$AR$315</f>
        <v>0</v>
      </c>
      <c r="F353" s="564" t="str">
        <f t="shared" si="44"/>
        <v>0</v>
      </c>
      <c r="G353" s="575"/>
      <c r="H353" s="565">
        <v>23</v>
      </c>
      <c r="I353" s="334" t="s">
        <v>33</v>
      </c>
      <c r="J353" s="357" t="s">
        <v>1407</v>
      </c>
      <c r="K353" s="322" t="s">
        <v>34</v>
      </c>
      <c r="L353" s="358" t="s">
        <v>1407</v>
      </c>
      <c r="M353" s="335" t="s">
        <v>2038</v>
      </c>
      <c r="N353" s="358" t="s">
        <v>1407</v>
      </c>
      <c r="O353" s="326" t="s">
        <v>30</v>
      </c>
      <c r="P353" s="332"/>
      <c r="Q353" s="363"/>
      <c r="R353" s="203"/>
      <c r="S353" s="203"/>
      <c r="T353" s="13" t="str">
        <f t="shared" si="46"/>
        <v>23調査結果-敷地及び地盤-1（9）-調査者番号</v>
      </c>
      <c r="V353" s="349"/>
      <c r="W353" s="349"/>
      <c r="X353" s="349"/>
      <c r="Y353" s="75"/>
      <c r="Z353" s="75"/>
      <c r="AA353" s="75"/>
      <c r="AB353" s="75"/>
    </row>
    <row r="354" spans="2:28">
      <c r="B354" s="107">
        <f>'1_入力シート【基本情報】'!$AT$315</f>
        <v>0</v>
      </c>
      <c r="C354" s="4" t="str">
        <f t="shared" si="39"/>
        <v/>
      </c>
      <c r="D354" s="107">
        <f>'1_入力シート【基本情報】'!$AT$315</f>
        <v>0</v>
      </c>
      <c r="E354" s="564">
        <f>'1_入力シート【基本情報】'!$AT$315</f>
        <v>0</v>
      </c>
      <c r="F354" s="564" t="str">
        <f t="shared" si="44"/>
        <v>0</v>
      </c>
      <c r="G354" s="575"/>
      <c r="H354" s="565">
        <v>23</v>
      </c>
      <c r="I354" s="334" t="s">
        <v>33</v>
      </c>
      <c r="J354" s="357" t="s">
        <v>1407</v>
      </c>
      <c r="K354" s="322" t="s">
        <v>34</v>
      </c>
      <c r="L354" s="358" t="s">
        <v>1407</v>
      </c>
      <c r="M354" s="335" t="s">
        <v>2038</v>
      </c>
      <c r="N354" s="358" t="s">
        <v>1407</v>
      </c>
      <c r="O354" s="326" t="s">
        <v>2028</v>
      </c>
      <c r="P354" s="332"/>
      <c r="Q354" s="363"/>
      <c r="R354" s="203"/>
      <c r="S354" s="203"/>
      <c r="T354" s="13" t="str">
        <f t="shared" si="46"/>
        <v>23調査結果-敷地及び地盤-1（9）-指摘の具体的内容等</v>
      </c>
      <c r="V354" s="349"/>
      <c r="W354" s="349"/>
      <c r="X354" s="349"/>
      <c r="Y354" s="75"/>
      <c r="Z354" s="75"/>
      <c r="AA354" s="75"/>
      <c r="AB354" s="75"/>
    </row>
    <row r="355" spans="2:28">
      <c r="B355" s="107">
        <f>'1_入力シート【基本情報】'!$BD$315</f>
        <v>0</v>
      </c>
      <c r="C355" s="4" t="str">
        <f t="shared" si="39"/>
        <v/>
      </c>
      <c r="D355" s="107">
        <f>'1_入力シート【基本情報】'!$BD$315</f>
        <v>0</v>
      </c>
      <c r="E355" s="564">
        <f>'1_入力シート【基本情報】'!$BD$315</f>
        <v>0</v>
      </c>
      <c r="F355" s="564" t="str">
        <f t="shared" si="44"/>
        <v>0</v>
      </c>
      <c r="G355" s="575"/>
      <c r="H355" s="565">
        <v>23</v>
      </c>
      <c r="I355" s="334" t="s">
        <v>33</v>
      </c>
      <c r="J355" s="357" t="s">
        <v>1407</v>
      </c>
      <c r="K355" s="322" t="s">
        <v>34</v>
      </c>
      <c r="L355" s="358" t="s">
        <v>1407</v>
      </c>
      <c r="M355" s="335" t="s">
        <v>2038</v>
      </c>
      <c r="N355" s="358" t="s">
        <v>1407</v>
      </c>
      <c r="O355" s="326" t="s">
        <v>2029</v>
      </c>
      <c r="P355" s="332"/>
      <c r="Q355" s="363"/>
      <c r="R355" s="203"/>
      <c r="S355" s="203"/>
      <c r="T355" s="13" t="str">
        <f t="shared" si="46"/>
        <v>23調査結果-敷地及び地盤-1（9）-改善策の具体的内容等</v>
      </c>
      <c r="V355" s="202"/>
      <c r="W355" s="202"/>
      <c r="X355" s="202"/>
    </row>
    <row r="356" spans="2:28" ht="19">
      <c r="B356" s="107">
        <f>'1_入力シート【基本情報】'!$BS$315</f>
        <v>0</v>
      </c>
      <c r="C356" s="493" t="str">
        <f t="shared" ref="C356:E357" si="50">ASC($D356)</f>
        <v>0</v>
      </c>
      <c r="D356" s="107">
        <f>'1_入力シート【基本情報】'!$BS$315</f>
        <v>0</v>
      </c>
      <c r="E356" s="7" t="str">
        <f t="shared" si="50"/>
        <v>0</v>
      </c>
      <c r="F356" s="7" t="str">
        <f t="shared" si="44"/>
        <v>0</v>
      </c>
      <c r="G356" s="575"/>
      <c r="H356" s="565">
        <v>23</v>
      </c>
      <c r="I356" s="334" t="s">
        <v>33</v>
      </c>
      <c r="J356" s="357" t="s">
        <v>1407</v>
      </c>
      <c r="K356" s="322" t="s">
        <v>34</v>
      </c>
      <c r="L356" s="358" t="s">
        <v>1407</v>
      </c>
      <c r="M356" s="335" t="s">
        <v>2038</v>
      </c>
      <c r="N356" s="358" t="s">
        <v>1407</v>
      </c>
      <c r="O356" s="326" t="s">
        <v>387</v>
      </c>
      <c r="P356" s="332" t="s">
        <v>1879</v>
      </c>
      <c r="Q356" s="363" t="s">
        <v>1966</v>
      </c>
      <c r="R356" s="203"/>
      <c r="S356" s="203"/>
      <c r="T356" s="13" t="str">
        <f t="shared" si="46"/>
        <v>23調査結果-敷地及び地盤-1（9）-改善（予定）年月-年（令和）</v>
      </c>
      <c r="V356" s="349"/>
      <c r="W356" s="349"/>
      <c r="X356" s="349"/>
      <c r="Y356" s="75"/>
      <c r="Z356" s="75"/>
      <c r="AA356" s="75"/>
      <c r="AB356" s="75"/>
    </row>
    <row r="357" spans="2:28" ht="19">
      <c r="B357" s="107">
        <f>'1_入力シート【基本情報】'!$BV$315</f>
        <v>0</v>
      </c>
      <c r="C357" s="493" t="str">
        <f t="shared" si="50"/>
        <v>0</v>
      </c>
      <c r="D357" s="107">
        <f>'1_入力シート【基本情報】'!$BV$315</f>
        <v>0</v>
      </c>
      <c r="E357" s="7" t="str">
        <f t="shared" si="50"/>
        <v>0</v>
      </c>
      <c r="F357" s="7" t="str">
        <f t="shared" si="44"/>
        <v>0</v>
      </c>
      <c r="G357" s="575"/>
      <c r="H357" s="565">
        <v>23</v>
      </c>
      <c r="I357" s="334" t="s">
        <v>33</v>
      </c>
      <c r="J357" s="357" t="s">
        <v>1407</v>
      </c>
      <c r="K357" s="322" t="s">
        <v>34</v>
      </c>
      <c r="L357" s="358" t="s">
        <v>1407</v>
      </c>
      <c r="M357" s="335" t="s">
        <v>2038</v>
      </c>
      <c r="N357" s="358" t="s">
        <v>1407</v>
      </c>
      <c r="O357" s="326" t="s">
        <v>387</v>
      </c>
      <c r="P357" s="332" t="s">
        <v>1879</v>
      </c>
      <c r="Q357" s="363" t="s">
        <v>383</v>
      </c>
      <c r="R357" s="203"/>
      <c r="S357" s="203"/>
      <c r="T357" s="13" t="str">
        <f t="shared" si="46"/>
        <v>23調査結果-敷地及び地盤-1（9）-改善（予定）年月-月</v>
      </c>
      <c r="V357" s="349"/>
      <c r="W357" s="349"/>
      <c r="X357" s="349"/>
      <c r="Y357" s="75"/>
      <c r="Z357" s="75"/>
      <c r="AA357" s="75"/>
      <c r="AB357" s="75"/>
    </row>
    <row r="358" spans="2:28">
      <c r="B358" s="107">
        <f>'1_入力シート【基本情報】'!$BY$315</f>
        <v>0</v>
      </c>
      <c r="C358" s="4" t="str">
        <f t="shared" ref="C358:C421" si="51">MID(B358,2,14)</f>
        <v/>
      </c>
      <c r="D358" s="107">
        <f>'1_入力シート【基本情報】'!$BY$315</f>
        <v>0</v>
      </c>
      <c r="E358" s="564">
        <f>'1_入力シート【基本情報】'!$BY$315</f>
        <v>0</v>
      </c>
      <c r="F358" s="564" t="str">
        <f t="shared" si="44"/>
        <v>0</v>
      </c>
      <c r="G358" s="575"/>
      <c r="H358" s="565">
        <v>23</v>
      </c>
      <c r="I358" s="334" t="s">
        <v>33</v>
      </c>
      <c r="J358" s="357" t="s">
        <v>1407</v>
      </c>
      <c r="K358" s="322" t="s">
        <v>34</v>
      </c>
      <c r="L358" s="358" t="s">
        <v>1407</v>
      </c>
      <c r="M358" s="335" t="s">
        <v>2038</v>
      </c>
      <c r="N358" s="358" t="s">
        <v>1407</v>
      </c>
      <c r="O358" s="326" t="s">
        <v>387</v>
      </c>
      <c r="P358" s="332" t="s">
        <v>1879</v>
      </c>
      <c r="Q358" s="363" t="s">
        <v>675</v>
      </c>
      <c r="R358" s="364"/>
      <c r="S358" s="364"/>
      <c r="T358" s="13" t="str">
        <f t="shared" si="46"/>
        <v>23調査結果-敷地及び地盤-1（9）-改善（予定）年月-未定</v>
      </c>
      <c r="V358" s="349"/>
      <c r="W358" s="349"/>
      <c r="X358" s="349"/>
      <c r="Y358" s="75"/>
      <c r="Z358" s="75"/>
      <c r="AA358" s="75"/>
      <c r="AB358" s="75"/>
    </row>
    <row r="359" spans="2:28">
      <c r="B359" s="107">
        <f>'1_入力シート【基本情報】'!$AF$325</f>
        <v>0</v>
      </c>
      <c r="C359" s="4" t="str">
        <f t="shared" si="51"/>
        <v/>
      </c>
      <c r="D359" s="107" t="str">
        <f>C359</f>
        <v/>
      </c>
      <c r="E359" s="564" t="str">
        <f>D359</f>
        <v/>
      </c>
      <c r="F359" s="564" t="str">
        <f t="shared" si="44"/>
        <v/>
      </c>
      <c r="G359" s="575"/>
      <c r="H359" s="565">
        <v>23</v>
      </c>
      <c r="I359" s="334" t="s">
        <v>33</v>
      </c>
      <c r="J359" s="357" t="s">
        <v>1407</v>
      </c>
      <c r="K359" s="322" t="s">
        <v>49</v>
      </c>
      <c r="L359" s="358" t="s">
        <v>1407</v>
      </c>
      <c r="M359" s="335" t="s">
        <v>2039</v>
      </c>
      <c r="N359" s="358" t="s">
        <v>1407</v>
      </c>
      <c r="O359" s="326" t="s">
        <v>33</v>
      </c>
      <c r="P359" s="332"/>
      <c r="Q359" s="336"/>
      <c r="R359" s="364"/>
      <c r="S359" s="364"/>
      <c r="T359" s="13" t="str">
        <f t="shared" si="46"/>
        <v>23調査結果-建築物の外部-2（1）-調査結果</v>
      </c>
      <c r="V359" s="349"/>
      <c r="W359" s="349"/>
      <c r="X359" s="349"/>
      <c r="Y359" s="75"/>
      <c r="Z359" s="75"/>
      <c r="AA359" s="75"/>
      <c r="AB359" s="75"/>
    </row>
    <row r="360" spans="2:28">
      <c r="B360" s="107">
        <f>'1_入力シート【基本情報】'!$AR$325</f>
        <v>0</v>
      </c>
      <c r="C360" s="4" t="str">
        <f t="shared" si="51"/>
        <v/>
      </c>
      <c r="D360" s="107">
        <f>'1_入力シート【基本情報】'!$AR$325</f>
        <v>0</v>
      </c>
      <c r="E360" s="564">
        <f>'1_入力シート【基本情報】'!$AR$325</f>
        <v>0</v>
      </c>
      <c r="F360" s="564" t="str">
        <f t="shared" si="44"/>
        <v>0</v>
      </c>
      <c r="G360" s="575"/>
      <c r="H360" s="565">
        <v>23</v>
      </c>
      <c r="I360" s="334" t="s">
        <v>33</v>
      </c>
      <c r="J360" s="357" t="s">
        <v>1407</v>
      </c>
      <c r="K360" s="322" t="s">
        <v>49</v>
      </c>
      <c r="L360" s="358" t="s">
        <v>1407</v>
      </c>
      <c r="M360" s="335" t="s">
        <v>2039</v>
      </c>
      <c r="N360" s="358" t="s">
        <v>1407</v>
      </c>
      <c r="O360" s="326" t="s">
        <v>30</v>
      </c>
      <c r="P360" s="332"/>
      <c r="Q360" s="363"/>
      <c r="R360" s="364"/>
      <c r="S360" s="364"/>
      <c r="T360" s="13" t="str">
        <f t="shared" si="46"/>
        <v>23調査結果-建築物の外部-2（1）-調査者番号</v>
      </c>
      <c r="V360" s="349"/>
      <c r="W360" s="349"/>
      <c r="X360" s="349"/>
      <c r="Y360" s="75"/>
      <c r="Z360" s="75"/>
      <c r="AA360" s="75"/>
      <c r="AB360" s="75"/>
    </row>
    <row r="361" spans="2:28">
      <c r="B361" s="107">
        <f>'1_入力シート【基本情報】'!$AT$325</f>
        <v>0</v>
      </c>
      <c r="C361" s="4" t="str">
        <f t="shared" si="51"/>
        <v/>
      </c>
      <c r="D361" s="107">
        <f>'1_入力シート【基本情報】'!$AT$325</f>
        <v>0</v>
      </c>
      <c r="E361" s="564">
        <f>'1_入力シート【基本情報】'!$AT$325</f>
        <v>0</v>
      </c>
      <c r="F361" s="564" t="str">
        <f t="shared" si="44"/>
        <v>0</v>
      </c>
      <c r="G361" s="575"/>
      <c r="H361" s="565">
        <v>23</v>
      </c>
      <c r="I361" s="334" t="s">
        <v>33</v>
      </c>
      <c r="J361" s="357" t="s">
        <v>1407</v>
      </c>
      <c r="K361" s="322" t="s">
        <v>49</v>
      </c>
      <c r="L361" s="358" t="s">
        <v>1407</v>
      </c>
      <c r="M361" s="335" t="s">
        <v>2039</v>
      </c>
      <c r="N361" s="358" t="s">
        <v>1407</v>
      </c>
      <c r="O361" s="326" t="s">
        <v>2028</v>
      </c>
      <c r="P361" s="332"/>
      <c r="Q361" s="363"/>
      <c r="R361" s="364"/>
      <c r="S361" s="364"/>
      <c r="T361" s="13" t="str">
        <f t="shared" si="46"/>
        <v>23調査結果-建築物の外部-2（1）-指摘の具体的内容等</v>
      </c>
      <c r="V361" s="349"/>
      <c r="W361" s="349"/>
      <c r="X361" s="349"/>
      <c r="Y361" s="75"/>
      <c r="Z361" s="75"/>
      <c r="AA361" s="75"/>
      <c r="AB361" s="75"/>
    </row>
    <row r="362" spans="2:28">
      <c r="B362" s="107">
        <f>'1_入力シート【基本情報】'!$BD$325</f>
        <v>0</v>
      </c>
      <c r="C362" s="4" t="str">
        <f t="shared" si="51"/>
        <v/>
      </c>
      <c r="D362" s="107">
        <f>'1_入力シート【基本情報】'!$BD$325</f>
        <v>0</v>
      </c>
      <c r="E362" s="564">
        <f>'1_入力シート【基本情報】'!$BD$325</f>
        <v>0</v>
      </c>
      <c r="F362" s="564" t="str">
        <f t="shared" si="44"/>
        <v>0</v>
      </c>
      <c r="G362" s="575"/>
      <c r="H362" s="565">
        <v>23</v>
      </c>
      <c r="I362" s="334" t="s">
        <v>33</v>
      </c>
      <c r="J362" s="357" t="s">
        <v>1407</v>
      </c>
      <c r="K362" s="322" t="s">
        <v>49</v>
      </c>
      <c r="L362" s="358" t="s">
        <v>1407</v>
      </c>
      <c r="M362" s="335" t="s">
        <v>2039</v>
      </c>
      <c r="N362" s="358" t="s">
        <v>1407</v>
      </c>
      <c r="O362" s="326" t="s">
        <v>2029</v>
      </c>
      <c r="P362" s="332"/>
      <c r="Q362" s="363"/>
      <c r="R362" s="364"/>
      <c r="S362" s="364"/>
      <c r="T362" s="13" t="str">
        <f t="shared" si="46"/>
        <v>23調査結果-建築物の外部-2（1）-改善策の具体的内容等</v>
      </c>
      <c r="V362" s="349"/>
      <c r="W362" s="349"/>
      <c r="X362" s="349"/>
      <c r="Y362" s="75"/>
      <c r="Z362" s="75"/>
      <c r="AA362" s="75"/>
      <c r="AB362" s="75"/>
    </row>
    <row r="363" spans="2:28" ht="19">
      <c r="B363" s="107">
        <f>'1_入力シート【基本情報】'!$BS$325</f>
        <v>0</v>
      </c>
      <c r="C363" s="493" t="str">
        <f t="shared" ref="C363:E364" si="52">ASC($D363)</f>
        <v>0</v>
      </c>
      <c r="D363" s="107">
        <f>'1_入力シート【基本情報】'!$BS$325</f>
        <v>0</v>
      </c>
      <c r="E363" s="7" t="str">
        <f t="shared" si="52"/>
        <v>0</v>
      </c>
      <c r="F363" s="7" t="str">
        <f t="shared" si="44"/>
        <v>0</v>
      </c>
      <c r="G363" s="575"/>
      <c r="H363" s="565">
        <v>23</v>
      </c>
      <c r="I363" s="334" t="s">
        <v>33</v>
      </c>
      <c r="J363" s="357" t="s">
        <v>1407</v>
      </c>
      <c r="K363" s="322" t="s">
        <v>49</v>
      </c>
      <c r="L363" s="358" t="s">
        <v>1407</v>
      </c>
      <c r="M363" s="335" t="s">
        <v>2039</v>
      </c>
      <c r="N363" s="358" t="s">
        <v>1407</v>
      </c>
      <c r="O363" s="326" t="s">
        <v>387</v>
      </c>
      <c r="P363" s="332" t="s">
        <v>1879</v>
      </c>
      <c r="Q363" s="363" t="s">
        <v>1966</v>
      </c>
      <c r="R363" s="364"/>
      <c r="S363" s="364"/>
      <c r="T363" s="13" t="str">
        <f t="shared" si="46"/>
        <v>23調査結果-建築物の外部-2（1）-改善（予定）年月-年（令和）</v>
      </c>
      <c r="V363" s="349"/>
      <c r="W363" s="349"/>
      <c r="X363" s="349"/>
      <c r="Y363" s="75"/>
      <c r="Z363" s="75"/>
      <c r="AA363" s="75"/>
      <c r="AB363" s="75"/>
    </row>
    <row r="364" spans="2:28" ht="19">
      <c r="B364" s="107">
        <f>'1_入力シート【基本情報】'!$BV$325</f>
        <v>0</v>
      </c>
      <c r="C364" s="493" t="str">
        <f t="shared" si="52"/>
        <v>0</v>
      </c>
      <c r="D364" s="107">
        <f>'1_入力シート【基本情報】'!$BV$325</f>
        <v>0</v>
      </c>
      <c r="E364" s="7" t="str">
        <f t="shared" si="52"/>
        <v>0</v>
      </c>
      <c r="F364" s="7" t="str">
        <f t="shared" si="44"/>
        <v>0</v>
      </c>
      <c r="G364" s="575"/>
      <c r="H364" s="565">
        <v>23</v>
      </c>
      <c r="I364" s="334" t="s">
        <v>33</v>
      </c>
      <c r="J364" s="357" t="s">
        <v>1407</v>
      </c>
      <c r="K364" s="322" t="s">
        <v>49</v>
      </c>
      <c r="L364" s="358" t="s">
        <v>1407</v>
      </c>
      <c r="M364" s="335" t="s">
        <v>2039</v>
      </c>
      <c r="N364" s="358" t="s">
        <v>1407</v>
      </c>
      <c r="O364" s="326" t="s">
        <v>387</v>
      </c>
      <c r="P364" s="332" t="s">
        <v>1879</v>
      </c>
      <c r="Q364" s="363" t="s">
        <v>383</v>
      </c>
      <c r="R364" s="364"/>
      <c r="S364" s="364"/>
      <c r="T364" s="13" t="str">
        <f t="shared" si="46"/>
        <v>23調査結果-建築物の外部-2（1）-改善（予定）年月-月</v>
      </c>
      <c r="V364" s="349"/>
      <c r="W364" s="349"/>
      <c r="X364" s="349"/>
      <c r="Y364" s="75"/>
      <c r="Z364" s="75"/>
      <c r="AA364" s="75"/>
      <c r="AB364" s="75"/>
    </row>
    <row r="365" spans="2:28">
      <c r="B365" s="107">
        <f>'1_入力シート【基本情報】'!$BY$325</f>
        <v>0</v>
      </c>
      <c r="C365" s="4" t="str">
        <f t="shared" si="51"/>
        <v/>
      </c>
      <c r="D365" s="107">
        <f>'1_入力シート【基本情報】'!$BY$325</f>
        <v>0</v>
      </c>
      <c r="E365" s="564">
        <f>'1_入力シート【基本情報】'!$BY$325</f>
        <v>0</v>
      </c>
      <c r="F365" s="564" t="str">
        <f t="shared" si="44"/>
        <v>0</v>
      </c>
      <c r="G365" s="24"/>
      <c r="H365" s="565">
        <v>23</v>
      </c>
      <c r="I365" s="334" t="s">
        <v>33</v>
      </c>
      <c r="J365" s="357" t="s">
        <v>1407</v>
      </c>
      <c r="K365" s="322" t="s">
        <v>49</v>
      </c>
      <c r="L365" s="358" t="s">
        <v>1407</v>
      </c>
      <c r="M365" s="335" t="s">
        <v>2039</v>
      </c>
      <c r="N365" s="358" t="s">
        <v>1407</v>
      </c>
      <c r="O365" s="326" t="s">
        <v>387</v>
      </c>
      <c r="P365" s="332" t="s">
        <v>1879</v>
      </c>
      <c r="Q365" s="363" t="s">
        <v>675</v>
      </c>
      <c r="R365" s="364"/>
      <c r="S365" s="364"/>
      <c r="T365" s="13" t="str">
        <f t="shared" si="46"/>
        <v>23調査結果-建築物の外部-2（1）-改善（予定）年月-未定</v>
      </c>
      <c r="V365" s="349"/>
      <c r="W365" s="349"/>
      <c r="X365" s="349"/>
      <c r="Y365" s="75"/>
      <c r="Z365" s="75"/>
      <c r="AA365" s="75"/>
      <c r="AB365" s="75"/>
    </row>
    <row r="366" spans="2:28">
      <c r="B366" s="107">
        <f>'1_入力シート【基本情報】'!$AF$326</f>
        <v>0</v>
      </c>
      <c r="C366" s="4" t="str">
        <f t="shared" si="51"/>
        <v/>
      </c>
      <c r="D366" s="107" t="str">
        <f>C366</f>
        <v/>
      </c>
      <c r="E366" s="564" t="str">
        <f>D366</f>
        <v/>
      </c>
      <c r="F366" s="564" t="str">
        <f t="shared" si="44"/>
        <v/>
      </c>
      <c r="G366" s="575"/>
      <c r="H366" s="565">
        <v>23</v>
      </c>
      <c r="I366" s="334" t="s">
        <v>33</v>
      </c>
      <c r="J366" s="357" t="s">
        <v>1407</v>
      </c>
      <c r="K366" s="322" t="s">
        <v>49</v>
      </c>
      <c r="L366" s="358" t="s">
        <v>1407</v>
      </c>
      <c r="M366" s="335" t="s">
        <v>2040</v>
      </c>
      <c r="N366" s="358" t="s">
        <v>1407</v>
      </c>
      <c r="O366" s="326" t="s">
        <v>33</v>
      </c>
      <c r="P366" s="332"/>
      <c r="Q366" s="363"/>
      <c r="R366" s="364"/>
      <c r="S366" s="364"/>
      <c r="T366" s="13" t="str">
        <f t="shared" si="46"/>
        <v>23調査結果-建築物の外部-2（2）-調査結果</v>
      </c>
      <c r="V366" s="349"/>
      <c r="W366" s="349"/>
      <c r="X366" s="349"/>
      <c r="Y366" s="75"/>
      <c r="Z366" s="75"/>
      <c r="AA366" s="75"/>
      <c r="AB366" s="75"/>
    </row>
    <row r="367" spans="2:28">
      <c r="B367" s="107">
        <f>'1_入力シート【基本情報】'!$AR$326</f>
        <v>0</v>
      </c>
      <c r="C367" s="4" t="str">
        <f t="shared" si="51"/>
        <v/>
      </c>
      <c r="D367" s="107">
        <f>'1_入力シート【基本情報】'!$AR$326</f>
        <v>0</v>
      </c>
      <c r="E367" s="564">
        <f>'1_入力シート【基本情報】'!$AR$326</f>
        <v>0</v>
      </c>
      <c r="F367" s="564" t="str">
        <f t="shared" si="44"/>
        <v>0</v>
      </c>
      <c r="G367" s="575"/>
      <c r="H367" s="565">
        <v>23</v>
      </c>
      <c r="I367" s="334" t="s">
        <v>33</v>
      </c>
      <c r="J367" s="357" t="s">
        <v>1407</v>
      </c>
      <c r="K367" s="322" t="s">
        <v>49</v>
      </c>
      <c r="L367" s="358" t="s">
        <v>1407</v>
      </c>
      <c r="M367" s="335" t="s">
        <v>2040</v>
      </c>
      <c r="N367" s="358" t="s">
        <v>1407</v>
      </c>
      <c r="O367" s="326" t="s">
        <v>30</v>
      </c>
      <c r="P367" s="327"/>
      <c r="Q367" s="363"/>
      <c r="R367" s="364"/>
      <c r="S367" s="364"/>
      <c r="T367" s="13" t="str">
        <f t="shared" si="46"/>
        <v>23調査結果-建築物の外部-2（2）-調査者番号</v>
      </c>
      <c r="V367" s="349"/>
      <c r="W367" s="349"/>
      <c r="X367" s="349"/>
      <c r="Y367" s="75"/>
      <c r="Z367" s="75"/>
      <c r="AA367" s="75"/>
      <c r="AB367" s="75"/>
    </row>
    <row r="368" spans="2:28">
      <c r="B368" s="107">
        <f>'1_入力シート【基本情報】'!$AT$326</f>
        <v>0</v>
      </c>
      <c r="C368" s="4" t="str">
        <f t="shared" si="51"/>
        <v/>
      </c>
      <c r="D368" s="107">
        <f>'1_入力シート【基本情報】'!$AT$326</f>
        <v>0</v>
      </c>
      <c r="E368" s="564">
        <f>'1_入力シート【基本情報】'!$AT$326</f>
        <v>0</v>
      </c>
      <c r="F368" s="564" t="str">
        <f t="shared" si="44"/>
        <v>0</v>
      </c>
      <c r="G368" s="575"/>
      <c r="H368" s="565">
        <v>23</v>
      </c>
      <c r="I368" s="334" t="s">
        <v>33</v>
      </c>
      <c r="J368" s="357" t="s">
        <v>1407</v>
      </c>
      <c r="K368" s="322" t="s">
        <v>49</v>
      </c>
      <c r="L368" s="358" t="s">
        <v>1407</v>
      </c>
      <c r="M368" s="335" t="s">
        <v>2040</v>
      </c>
      <c r="N368" s="358" t="s">
        <v>1407</v>
      </c>
      <c r="O368" s="326" t="s">
        <v>2028</v>
      </c>
      <c r="P368" s="332"/>
      <c r="Q368" s="363"/>
      <c r="R368" s="364"/>
      <c r="S368" s="364"/>
      <c r="T368" s="13" t="str">
        <f t="shared" si="46"/>
        <v>23調査結果-建築物の外部-2（2）-指摘の具体的内容等</v>
      </c>
      <c r="V368" s="349"/>
      <c r="W368" s="349"/>
      <c r="X368" s="349"/>
      <c r="Y368" s="75"/>
      <c r="Z368" s="75"/>
      <c r="AA368" s="75"/>
      <c r="AB368" s="75"/>
    </row>
    <row r="369" spans="2:28">
      <c r="B369" s="107">
        <f>'1_入力シート【基本情報】'!$BD$326</f>
        <v>0</v>
      </c>
      <c r="C369" s="4" t="str">
        <f t="shared" si="51"/>
        <v/>
      </c>
      <c r="D369" s="107">
        <f>'1_入力シート【基本情報】'!$BD$326</f>
        <v>0</v>
      </c>
      <c r="E369" s="564">
        <f>'1_入力シート【基本情報】'!$BD$326</f>
        <v>0</v>
      </c>
      <c r="F369" s="564" t="str">
        <f t="shared" si="44"/>
        <v>0</v>
      </c>
      <c r="G369" s="575"/>
      <c r="H369" s="565">
        <v>23</v>
      </c>
      <c r="I369" s="334" t="s">
        <v>33</v>
      </c>
      <c r="J369" s="357" t="s">
        <v>1407</v>
      </c>
      <c r="K369" s="322" t="s">
        <v>49</v>
      </c>
      <c r="L369" s="358" t="s">
        <v>1407</v>
      </c>
      <c r="M369" s="335" t="s">
        <v>2040</v>
      </c>
      <c r="N369" s="358" t="s">
        <v>1407</v>
      </c>
      <c r="O369" s="326" t="s">
        <v>2029</v>
      </c>
      <c r="P369" s="332"/>
      <c r="Q369" s="363"/>
      <c r="R369" s="364"/>
      <c r="S369" s="364"/>
      <c r="T369" s="13" t="str">
        <f t="shared" si="46"/>
        <v>23調査結果-建築物の外部-2（2）-改善策の具体的内容等</v>
      </c>
      <c r="V369" s="349"/>
      <c r="W369" s="349"/>
      <c r="X369" s="349"/>
      <c r="Y369" s="75"/>
      <c r="Z369" s="75"/>
      <c r="AA369" s="75"/>
      <c r="AB369" s="75"/>
    </row>
    <row r="370" spans="2:28" ht="19">
      <c r="B370" s="107">
        <f>'1_入力シート【基本情報】'!$BS$326</f>
        <v>0</v>
      </c>
      <c r="C370" s="493" t="str">
        <f t="shared" ref="C370:E371" si="53">ASC($D370)</f>
        <v>0</v>
      </c>
      <c r="D370" s="107">
        <f>'1_入力シート【基本情報】'!$BS$326</f>
        <v>0</v>
      </c>
      <c r="E370" s="7" t="str">
        <f t="shared" si="53"/>
        <v>0</v>
      </c>
      <c r="F370" s="7" t="str">
        <f t="shared" si="44"/>
        <v>0</v>
      </c>
      <c r="G370" s="575"/>
      <c r="H370" s="565">
        <v>23</v>
      </c>
      <c r="I370" s="334" t="s">
        <v>33</v>
      </c>
      <c r="J370" s="357" t="s">
        <v>1407</v>
      </c>
      <c r="K370" s="322" t="s">
        <v>49</v>
      </c>
      <c r="L370" s="358" t="s">
        <v>1407</v>
      </c>
      <c r="M370" s="335" t="s">
        <v>2040</v>
      </c>
      <c r="N370" s="358" t="s">
        <v>1407</v>
      </c>
      <c r="O370" s="326" t="s">
        <v>387</v>
      </c>
      <c r="P370" s="332" t="s">
        <v>1879</v>
      </c>
      <c r="Q370" s="363" t="s">
        <v>1966</v>
      </c>
      <c r="R370" s="203"/>
      <c r="S370" s="203"/>
      <c r="T370" s="13" t="str">
        <f t="shared" si="46"/>
        <v>23調査結果-建築物の外部-2（2）-改善（予定）年月-年（令和）</v>
      </c>
      <c r="V370" s="349"/>
      <c r="W370" s="349"/>
      <c r="X370" s="349"/>
      <c r="Y370" s="75"/>
      <c r="Z370" s="75"/>
      <c r="AA370" s="75"/>
      <c r="AB370" s="75"/>
    </row>
    <row r="371" spans="2:28" ht="19">
      <c r="B371" s="107">
        <f>'1_入力シート【基本情報】'!$BV$326</f>
        <v>0</v>
      </c>
      <c r="C371" s="493" t="str">
        <f t="shared" si="53"/>
        <v>0</v>
      </c>
      <c r="D371" s="107">
        <f>'1_入力シート【基本情報】'!$BV$326</f>
        <v>0</v>
      </c>
      <c r="E371" s="7" t="str">
        <f t="shared" si="53"/>
        <v>0</v>
      </c>
      <c r="F371" s="7" t="str">
        <f t="shared" si="44"/>
        <v>0</v>
      </c>
      <c r="G371" s="575"/>
      <c r="H371" s="565">
        <v>23</v>
      </c>
      <c r="I371" s="334" t="s">
        <v>33</v>
      </c>
      <c r="J371" s="357" t="s">
        <v>1407</v>
      </c>
      <c r="K371" s="322" t="s">
        <v>49</v>
      </c>
      <c r="L371" s="358" t="s">
        <v>1407</v>
      </c>
      <c r="M371" s="335" t="s">
        <v>2040</v>
      </c>
      <c r="N371" s="358" t="s">
        <v>1407</v>
      </c>
      <c r="O371" s="326" t="s">
        <v>387</v>
      </c>
      <c r="P371" s="332" t="s">
        <v>1879</v>
      </c>
      <c r="Q371" s="363" t="s">
        <v>383</v>
      </c>
      <c r="R371" s="364"/>
      <c r="S371" s="364"/>
      <c r="T371" s="13" t="str">
        <f t="shared" si="46"/>
        <v>23調査結果-建築物の外部-2（2）-改善（予定）年月-月</v>
      </c>
      <c r="V371" s="349"/>
      <c r="W371" s="349"/>
      <c r="X371" s="349"/>
      <c r="Y371" s="75"/>
      <c r="Z371" s="75"/>
      <c r="AA371" s="75"/>
      <c r="AB371" s="75"/>
    </row>
    <row r="372" spans="2:28">
      <c r="B372" s="107">
        <f>'1_入力シート【基本情報】'!$BY$326</f>
        <v>0</v>
      </c>
      <c r="C372" s="4" t="str">
        <f t="shared" si="51"/>
        <v/>
      </c>
      <c r="D372" s="107">
        <f>'1_入力シート【基本情報】'!$BY$326</f>
        <v>0</v>
      </c>
      <c r="E372" s="564">
        <f>'1_入力シート【基本情報】'!$BY$326</f>
        <v>0</v>
      </c>
      <c r="F372" s="564" t="str">
        <f t="shared" si="44"/>
        <v>0</v>
      </c>
      <c r="G372" s="575"/>
      <c r="H372" s="565">
        <v>23</v>
      </c>
      <c r="I372" s="334" t="s">
        <v>33</v>
      </c>
      <c r="J372" s="357" t="s">
        <v>1407</v>
      </c>
      <c r="K372" s="322" t="s">
        <v>49</v>
      </c>
      <c r="L372" s="358" t="s">
        <v>1407</v>
      </c>
      <c r="M372" s="335" t="s">
        <v>2040</v>
      </c>
      <c r="N372" s="358" t="s">
        <v>1407</v>
      </c>
      <c r="O372" s="326" t="s">
        <v>387</v>
      </c>
      <c r="P372" s="332" t="s">
        <v>1879</v>
      </c>
      <c r="Q372" s="363" t="s">
        <v>675</v>
      </c>
      <c r="R372" s="364"/>
      <c r="S372" s="364"/>
      <c r="T372" s="13" t="str">
        <f t="shared" si="46"/>
        <v>23調査結果-建築物の外部-2（2）-改善（予定）年月-未定</v>
      </c>
      <c r="V372" s="349"/>
      <c r="W372" s="349"/>
      <c r="X372" s="349"/>
      <c r="Y372" s="75"/>
      <c r="Z372" s="75"/>
      <c r="AA372" s="75"/>
      <c r="AB372" s="75"/>
    </row>
    <row r="373" spans="2:28">
      <c r="B373" s="107">
        <f>'1_入力シート【基本情報】'!$AF$327</f>
        <v>0</v>
      </c>
      <c r="C373" s="4" t="str">
        <f t="shared" si="51"/>
        <v/>
      </c>
      <c r="D373" s="107" t="str">
        <f>C373</f>
        <v/>
      </c>
      <c r="E373" s="564" t="str">
        <f>D373</f>
        <v/>
      </c>
      <c r="F373" s="564" t="str">
        <f t="shared" si="44"/>
        <v/>
      </c>
      <c r="G373" s="575"/>
      <c r="H373" s="565">
        <v>23</v>
      </c>
      <c r="I373" s="334" t="s">
        <v>33</v>
      </c>
      <c r="J373" s="357" t="s">
        <v>1407</v>
      </c>
      <c r="K373" s="322" t="s">
        <v>49</v>
      </c>
      <c r="L373" s="358" t="s">
        <v>1407</v>
      </c>
      <c r="M373" s="335" t="s">
        <v>2041</v>
      </c>
      <c r="N373" s="358" t="s">
        <v>1407</v>
      </c>
      <c r="O373" s="326" t="s">
        <v>33</v>
      </c>
      <c r="P373" s="332"/>
      <c r="Q373" s="363"/>
      <c r="R373" s="364"/>
      <c r="S373" s="364"/>
      <c r="T373" s="13" t="str">
        <f t="shared" si="46"/>
        <v>23調査結果-建築物の外部-2（3）-調査結果</v>
      </c>
      <c r="V373" s="349"/>
      <c r="W373" s="349"/>
      <c r="X373" s="349"/>
      <c r="Y373" s="75"/>
      <c r="Z373" s="75"/>
      <c r="AA373" s="75"/>
      <c r="AB373" s="75"/>
    </row>
    <row r="374" spans="2:28">
      <c r="B374" s="107">
        <f>'1_入力シート【基本情報】'!$AR$327</f>
        <v>0</v>
      </c>
      <c r="C374" s="4" t="str">
        <f t="shared" si="51"/>
        <v/>
      </c>
      <c r="D374" s="107">
        <f>'1_入力シート【基本情報】'!$AR$327</f>
        <v>0</v>
      </c>
      <c r="E374" s="564">
        <f>'1_入力シート【基本情報】'!$AR$327</f>
        <v>0</v>
      </c>
      <c r="F374" s="564" t="str">
        <f t="shared" si="44"/>
        <v>0</v>
      </c>
      <c r="G374" s="575"/>
      <c r="H374" s="565">
        <v>23</v>
      </c>
      <c r="I374" s="334" t="s">
        <v>33</v>
      </c>
      <c r="J374" s="357" t="s">
        <v>1407</v>
      </c>
      <c r="K374" s="322" t="s">
        <v>49</v>
      </c>
      <c r="L374" s="358" t="s">
        <v>1407</v>
      </c>
      <c r="M374" s="335" t="s">
        <v>2041</v>
      </c>
      <c r="N374" s="358" t="s">
        <v>1407</v>
      </c>
      <c r="O374" s="334" t="s">
        <v>30</v>
      </c>
      <c r="P374" s="332"/>
      <c r="Q374" s="363"/>
      <c r="R374" s="364"/>
      <c r="S374" s="364"/>
      <c r="T374" s="13" t="str">
        <f t="shared" si="46"/>
        <v>23調査結果-建築物の外部-2（3）-調査者番号</v>
      </c>
      <c r="V374" s="349"/>
      <c r="W374" s="349"/>
      <c r="X374" s="349"/>
      <c r="Y374" s="75"/>
      <c r="Z374" s="75"/>
      <c r="AA374" s="75"/>
      <c r="AB374" s="75"/>
    </row>
    <row r="375" spans="2:28">
      <c r="B375" s="107">
        <f>'1_入力シート【基本情報】'!$AT$327</f>
        <v>0</v>
      </c>
      <c r="C375" s="4" t="str">
        <f t="shared" si="51"/>
        <v/>
      </c>
      <c r="D375" s="107">
        <f>'1_入力シート【基本情報】'!$AT$327</f>
        <v>0</v>
      </c>
      <c r="E375" s="564">
        <f>'1_入力シート【基本情報】'!$AT$327</f>
        <v>0</v>
      </c>
      <c r="F375" s="564" t="str">
        <f t="shared" si="44"/>
        <v>0</v>
      </c>
      <c r="G375" s="575"/>
      <c r="H375" s="565">
        <v>23</v>
      </c>
      <c r="I375" s="334" t="s">
        <v>33</v>
      </c>
      <c r="J375" s="357" t="s">
        <v>1407</v>
      </c>
      <c r="K375" s="322" t="s">
        <v>49</v>
      </c>
      <c r="L375" s="358" t="s">
        <v>1407</v>
      </c>
      <c r="M375" s="335" t="s">
        <v>2041</v>
      </c>
      <c r="N375" s="358" t="s">
        <v>1407</v>
      </c>
      <c r="O375" s="334" t="s">
        <v>2028</v>
      </c>
      <c r="P375" s="332"/>
      <c r="Q375" s="363"/>
      <c r="R375" s="364"/>
      <c r="S375" s="364"/>
      <c r="T375" s="13" t="str">
        <f t="shared" si="46"/>
        <v>23調査結果-建築物の外部-2（3）-指摘の具体的内容等</v>
      </c>
      <c r="V375" s="349"/>
      <c r="W375" s="349"/>
      <c r="X375" s="349"/>
      <c r="Y375" s="75"/>
      <c r="Z375" s="75"/>
      <c r="AA375" s="75"/>
      <c r="AB375" s="75"/>
    </row>
    <row r="376" spans="2:28">
      <c r="B376" s="107">
        <f>'1_入力シート【基本情報】'!$BD$327</f>
        <v>0</v>
      </c>
      <c r="C376" s="4" t="str">
        <f t="shared" si="51"/>
        <v/>
      </c>
      <c r="D376" s="107">
        <f>'1_入力シート【基本情報】'!$BD$327</f>
        <v>0</v>
      </c>
      <c r="E376" s="564">
        <f>'1_入力シート【基本情報】'!$BD$327</f>
        <v>0</v>
      </c>
      <c r="F376" s="564" t="str">
        <f t="shared" si="44"/>
        <v>0</v>
      </c>
      <c r="G376" s="575"/>
      <c r="H376" s="565">
        <v>23</v>
      </c>
      <c r="I376" s="334" t="s">
        <v>33</v>
      </c>
      <c r="J376" s="357" t="s">
        <v>1407</v>
      </c>
      <c r="K376" s="322" t="s">
        <v>49</v>
      </c>
      <c r="L376" s="358" t="s">
        <v>1407</v>
      </c>
      <c r="M376" s="335" t="s">
        <v>2041</v>
      </c>
      <c r="N376" s="358" t="s">
        <v>1407</v>
      </c>
      <c r="O376" s="334" t="s">
        <v>2029</v>
      </c>
      <c r="P376" s="332"/>
      <c r="Q376" s="363"/>
      <c r="R376" s="364"/>
      <c r="S376" s="364"/>
      <c r="T376" s="13" t="str">
        <f t="shared" si="46"/>
        <v>23調査結果-建築物の外部-2（3）-改善策の具体的内容等</v>
      </c>
      <c r="V376" s="349"/>
      <c r="W376" s="349"/>
      <c r="X376" s="349"/>
      <c r="Y376" s="75"/>
      <c r="Z376" s="75"/>
      <c r="AA376" s="75"/>
      <c r="AB376" s="75"/>
    </row>
    <row r="377" spans="2:28" ht="19">
      <c r="B377" s="107">
        <f>'1_入力シート【基本情報】'!$BS$327</f>
        <v>0</v>
      </c>
      <c r="C377" s="493" t="str">
        <f t="shared" ref="C377:E378" si="54">ASC($D377)</f>
        <v>0</v>
      </c>
      <c r="D377" s="107">
        <f>'1_入力シート【基本情報】'!$BS$327</f>
        <v>0</v>
      </c>
      <c r="E377" s="7" t="str">
        <f t="shared" si="54"/>
        <v>0</v>
      </c>
      <c r="F377" s="7" t="str">
        <f t="shared" si="44"/>
        <v>0</v>
      </c>
      <c r="G377" s="575"/>
      <c r="H377" s="565">
        <v>23</v>
      </c>
      <c r="I377" s="334" t="s">
        <v>33</v>
      </c>
      <c r="J377" s="357" t="s">
        <v>1407</v>
      </c>
      <c r="K377" s="322" t="s">
        <v>49</v>
      </c>
      <c r="L377" s="358" t="s">
        <v>1407</v>
      </c>
      <c r="M377" s="335" t="s">
        <v>2041</v>
      </c>
      <c r="N377" s="358" t="s">
        <v>1407</v>
      </c>
      <c r="O377" s="326" t="s">
        <v>387</v>
      </c>
      <c r="P377" s="332" t="s">
        <v>1879</v>
      </c>
      <c r="Q377" s="363" t="s">
        <v>1966</v>
      </c>
      <c r="R377" s="364"/>
      <c r="S377" s="364"/>
      <c r="T377" s="13" t="str">
        <f t="shared" si="46"/>
        <v>23調査結果-建築物の外部-2（3）-改善（予定）年月-年（令和）</v>
      </c>
      <c r="V377" s="349"/>
      <c r="W377" s="349"/>
      <c r="X377" s="349"/>
      <c r="Y377" s="75"/>
      <c r="Z377" s="75"/>
      <c r="AA377" s="75"/>
      <c r="AB377" s="75"/>
    </row>
    <row r="378" spans="2:28" ht="19">
      <c r="B378" s="107">
        <f>'1_入力シート【基本情報】'!$BV$327</f>
        <v>0</v>
      </c>
      <c r="C378" s="493" t="str">
        <f t="shared" si="54"/>
        <v>0</v>
      </c>
      <c r="D378" s="107">
        <f>'1_入力シート【基本情報】'!$BV$327</f>
        <v>0</v>
      </c>
      <c r="E378" s="7" t="str">
        <f t="shared" si="54"/>
        <v>0</v>
      </c>
      <c r="F378" s="7" t="str">
        <f t="shared" si="44"/>
        <v>0</v>
      </c>
      <c r="G378" s="575"/>
      <c r="H378" s="565">
        <v>23</v>
      </c>
      <c r="I378" s="334" t="s">
        <v>33</v>
      </c>
      <c r="J378" s="357" t="s">
        <v>1407</v>
      </c>
      <c r="K378" s="322" t="s">
        <v>49</v>
      </c>
      <c r="L378" s="358" t="s">
        <v>1407</v>
      </c>
      <c r="M378" s="335" t="s">
        <v>2041</v>
      </c>
      <c r="N378" s="358" t="s">
        <v>1407</v>
      </c>
      <c r="O378" s="326" t="s">
        <v>387</v>
      </c>
      <c r="P378" s="332" t="s">
        <v>1879</v>
      </c>
      <c r="Q378" s="363" t="s">
        <v>383</v>
      </c>
      <c r="R378" s="364"/>
      <c r="S378" s="364"/>
      <c r="T378" s="13" t="str">
        <f t="shared" si="46"/>
        <v>23調査結果-建築物の外部-2（3）-改善（予定）年月-月</v>
      </c>
      <c r="V378" s="349"/>
      <c r="W378" s="349"/>
      <c r="X378" s="349"/>
      <c r="Y378" s="75"/>
      <c r="Z378" s="75"/>
      <c r="AA378" s="75"/>
      <c r="AB378" s="75"/>
    </row>
    <row r="379" spans="2:28">
      <c r="B379" s="107">
        <f>'1_入力シート【基本情報】'!$BY$327</f>
        <v>0</v>
      </c>
      <c r="C379" s="4" t="str">
        <f t="shared" si="51"/>
        <v/>
      </c>
      <c r="D379" s="107">
        <f>'1_入力シート【基本情報】'!$BY$327</f>
        <v>0</v>
      </c>
      <c r="E379" s="564">
        <f>'1_入力シート【基本情報】'!$BY$327</f>
        <v>0</v>
      </c>
      <c r="F379" s="564" t="str">
        <f t="shared" si="44"/>
        <v>0</v>
      </c>
      <c r="G379" s="575"/>
      <c r="H379" s="565">
        <v>23</v>
      </c>
      <c r="I379" s="334" t="s">
        <v>33</v>
      </c>
      <c r="J379" s="357" t="s">
        <v>1407</v>
      </c>
      <c r="K379" s="322" t="s">
        <v>49</v>
      </c>
      <c r="L379" s="358" t="s">
        <v>1407</v>
      </c>
      <c r="M379" s="335" t="s">
        <v>2041</v>
      </c>
      <c r="N379" s="358" t="s">
        <v>1407</v>
      </c>
      <c r="O379" s="326" t="s">
        <v>387</v>
      </c>
      <c r="P379" s="332" t="s">
        <v>1879</v>
      </c>
      <c r="Q379" s="363" t="s">
        <v>675</v>
      </c>
      <c r="R379" s="364"/>
      <c r="S379" s="364"/>
      <c r="T379" s="13" t="str">
        <f t="shared" si="46"/>
        <v>23調査結果-建築物の外部-2（3）-改善（予定）年月-未定</v>
      </c>
      <c r="V379" s="349"/>
      <c r="W379" s="349"/>
      <c r="X379" s="349"/>
      <c r="Y379" s="75"/>
      <c r="Z379" s="75"/>
      <c r="AA379" s="75"/>
      <c r="AB379" s="75"/>
    </row>
    <row r="380" spans="2:28">
      <c r="B380" s="107">
        <f>'1_入力シート【基本情報】'!$AF$328</f>
        <v>0</v>
      </c>
      <c r="C380" s="4" t="str">
        <f t="shared" si="51"/>
        <v/>
      </c>
      <c r="D380" s="107" t="str">
        <f>C380</f>
        <v/>
      </c>
      <c r="E380" s="564" t="str">
        <f>D380</f>
        <v/>
      </c>
      <c r="F380" s="564" t="str">
        <f t="shared" si="44"/>
        <v/>
      </c>
      <c r="G380" s="575"/>
      <c r="H380" s="565">
        <v>23</v>
      </c>
      <c r="I380" s="334" t="s">
        <v>33</v>
      </c>
      <c r="J380" s="357" t="s">
        <v>1407</v>
      </c>
      <c r="K380" s="322" t="s">
        <v>49</v>
      </c>
      <c r="L380" s="358" t="s">
        <v>1407</v>
      </c>
      <c r="M380" s="335" t="s">
        <v>2042</v>
      </c>
      <c r="N380" s="358" t="s">
        <v>1407</v>
      </c>
      <c r="O380" s="326" t="s">
        <v>33</v>
      </c>
      <c r="P380" s="332"/>
      <c r="Q380" s="363"/>
      <c r="R380" s="364"/>
      <c r="S380" s="364"/>
      <c r="T380" s="13" t="str">
        <f t="shared" si="46"/>
        <v>23調査結果-建築物の外部-2（4）-調査結果</v>
      </c>
      <c r="V380" s="349"/>
      <c r="W380" s="349"/>
      <c r="X380" s="349"/>
      <c r="Y380" s="75"/>
      <c r="Z380" s="75"/>
      <c r="AA380" s="75"/>
      <c r="AB380" s="75"/>
    </row>
    <row r="381" spans="2:28">
      <c r="B381" s="107">
        <f>'1_入力シート【基本情報】'!$AR$328</f>
        <v>0</v>
      </c>
      <c r="C381" s="4" t="str">
        <f t="shared" si="51"/>
        <v/>
      </c>
      <c r="D381" s="107">
        <f>'1_入力シート【基本情報】'!$AR$328</f>
        <v>0</v>
      </c>
      <c r="E381" s="564">
        <f>'1_入力シート【基本情報】'!$AR$328</f>
        <v>0</v>
      </c>
      <c r="F381" s="564" t="str">
        <f t="shared" si="44"/>
        <v>0</v>
      </c>
      <c r="G381" s="575"/>
      <c r="H381" s="565">
        <v>23</v>
      </c>
      <c r="I381" s="334" t="s">
        <v>33</v>
      </c>
      <c r="J381" s="357" t="s">
        <v>1407</v>
      </c>
      <c r="K381" s="322" t="s">
        <v>49</v>
      </c>
      <c r="L381" s="358" t="s">
        <v>1407</v>
      </c>
      <c r="M381" s="335" t="s">
        <v>2042</v>
      </c>
      <c r="N381" s="358" t="s">
        <v>1407</v>
      </c>
      <c r="O381" s="334" t="s">
        <v>30</v>
      </c>
      <c r="P381" s="332"/>
      <c r="Q381" s="363"/>
      <c r="R381" s="364"/>
      <c r="S381" s="364"/>
      <c r="T381" s="13" t="str">
        <f t="shared" si="46"/>
        <v>23調査結果-建築物の外部-2（4）-調査者番号</v>
      </c>
      <c r="V381" s="349"/>
      <c r="W381" s="349"/>
      <c r="X381" s="349"/>
      <c r="Y381" s="75"/>
      <c r="Z381" s="75"/>
      <c r="AA381" s="75"/>
      <c r="AB381" s="75"/>
    </row>
    <row r="382" spans="2:28">
      <c r="B382" s="107">
        <f>'1_入力シート【基本情報】'!$AT$328</f>
        <v>0</v>
      </c>
      <c r="C382" s="4" t="str">
        <f t="shared" si="51"/>
        <v/>
      </c>
      <c r="D382" s="107">
        <f>'1_入力シート【基本情報】'!$AT$328</f>
        <v>0</v>
      </c>
      <c r="E382" s="564">
        <f>'1_入力シート【基本情報】'!$AT$328</f>
        <v>0</v>
      </c>
      <c r="F382" s="564" t="str">
        <f t="shared" si="44"/>
        <v>0</v>
      </c>
      <c r="G382" s="575"/>
      <c r="H382" s="565">
        <v>23</v>
      </c>
      <c r="I382" s="334" t="s">
        <v>33</v>
      </c>
      <c r="J382" s="357" t="s">
        <v>1407</v>
      </c>
      <c r="K382" s="322" t="s">
        <v>49</v>
      </c>
      <c r="L382" s="358" t="s">
        <v>1407</v>
      </c>
      <c r="M382" s="335" t="s">
        <v>2042</v>
      </c>
      <c r="N382" s="358" t="s">
        <v>1407</v>
      </c>
      <c r="O382" s="334" t="s">
        <v>2028</v>
      </c>
      <c r="P382" s="332"/>
      <c r="Q382" s="363"/>
      <c r="R382" s="364"/>
      <c r="S382" s="364"/>
      <c r="T382" s="13" t="str">
        <f t="shared" si="46"/>
        <v>23調査結果-建築物の外部-2（4）-指摘の具体的内容等</v>
      </c>
      <c r="V382" s="349"/>
      <c r="W382" s="349"/>
      <c r="X382" s="349"/>
      <c r="Y382" s="75"/>
      <c r="Z382" s="75"/>
      <c r="AA382" s="75"/>
      <c r="AB382" s="75"/>
    </row>
    <row r="383" spans="2:28">
      <c r="B383" s="107">
        <f>'1_入力シート【基本情報】'!$BD$328</f>
        <v>0</v>
      </c>
      <c r="C383" s="4" t="str">
        <f t="shared" si="51"/>
        <v/>
      </c>
      <c r="D383" s="107">
        <f>'1_入力シート【基本情報】'!$BD$328</f>
        <v>0</v>
      </c>
      <c r="E383" s="564">
        <f>'1_入力シート【基本情報】'!$BD$328</f>
        <v>0</v>
      </c>
      <c r="F383" s="564" t="str">
        <f t="shared" si="44"/>
        <v>0</v>
      </c>
      <c r="G383" s="575"/>
      <c r="H383" s="565">
        <v>23</v>
      </c>
      <c r="I383" s="334" t="s">
        <v>33</v>
      </c>
      <c r="J383" s="357" t="s">
        <v>1407</v>
      </c>
      <c r="K383" s="322" t="s">
        <v>49</v>
      </c>
      <c r="L383" s="358" t="s">
        <v>1407</v>
      </c>
      <c r="M383" s="335" t="s">
        <v>2042</v>
      </c>
      <c r="N383" s="358" t="s">
        <v>1407</v>
      </c>
      <c r="O383" s="334" t="s">
        <v>2029</v>
      </c>
      <c r="P383" s="332"/>
      <c r="Q383" s="363"/>
      <c r="R383" s="364"/>
      <c r="S383" s="364"/>
      <c r="T383" s="13" t="str">
        <f t="shared" si="46"/>
        <v>23調査結果-建築物の外部-2（4）-改善策の具体的内容等</v>
      </c>
      <c r="V383" s="349"/>
      <c r="W383" s="349"/>
      <c r="X383" s="349"/>
      <c r="Y383" s="75"/>
      <c r="Z383" s="75"/>
      <c r="AA383" s="75"/>
      <c r="AB383" s="75"/>
    </row>
    <row r="384" spans="2:28" ht="19">
      <c r="B384" s="107">
        <f>'1_入力シート【基本情報】'!$BS$328</f>
        <v>0</v>
      </c>
      <c r="C384" s="493" t="str">
        <f t="shared" ref="C384:E385" si="55">ASC($D384)</f>
        <v>0</v>
      </c>
      <c r="D384" s="107">
        <f>'1_入力シート【基本情報】'!$BS$328</f>
        <v>0</v>
      </c>
      <c r="E384" s="7" t="str">
        <f t="shared" si="55"/>
        <v>0</v>
      </c>
      <c r="F384" s="7" t="str">
        <f t="shared" si="44"/>
        <v>0</v>
      </c>
      <c r="G384" s="575"/>
      <c r="H384" s="565">
        <v>23</v>
      </c>
      <c r="I384" s="334" t="s">
        <v>33</v>
      </c>
      <c r="J384" s="357" t="s">
        <v>1407</v>
      </c>
      <c r="K384" s="322" t="s">
        <v>49</v>
      </c>
      <c r="L384" s="358" t="s">
        <v>1407</v>
      </c>
      <c r="M384" s="335" t="s">
        <v>2042</v>
      </c>
      <c r="N384" s="358" t="s">
        <v>1407</v>
      </c>
      <c r="O384" s="334" t="s">
        <v>387</v>
      </c>
      <c r="P384" s="332" t="s">
        <v>1879</v>
      </c>
      <c r="Q384" s="363" t="s">
        <v>1966</v>
      </c>
      <c r="R384" s="364"/>
      <c r="S384" s="364"/>
      <c r="T384" s="13" t="str">
        <f t="shared" si="46"/>
        <v>23調査結果-建築物の外部-2（4）-改善（予定）年月-年（令和）</v>
      </c>
      <c r="V384" s="349"/>
      <c r="W384" s="349"/>
      <c r="X384" s="349"/>
      <c r="Y384" s="75"/>
      <c r="Z384" s="75"/>
      <c r="AA384" s="75"/>
      <c r="AB384" s="75"/>
    </row>
    <row r="385" spans="2:28" ht="19">
      <c r="B385" s="107">
        <f>'1_入力シート【基本情報】'!$BV$328</f>
        <v>0</v>
      </c>
      <c r="C385" s="493" t="str">
        <f t="shared" si="55"/>
        <v>0</v>
      </c>
      <c r="D385" s="107">
        <f>'1_入力シート【基本情報】'!$BV$328</f>
        <v>0</v>
      </c>
      <c r="E385" s="7" t="str">
        <f t="shared" si="55"/>
        <v>0</v>
      </c>
      <c r="F385" s="7" t="str">
        <f t="shared" si="44"/>
        <v>0</v>
      </c>
      <c r="G385" s="575"/>
      <c r="H385" s="565">
        <v>23</v>
      </c>
      <c r="I385" s="334" t="s">
        <v>33</v>
      </c>
      <c r="J385" s="357" t="s">
        <v>1407</v>
      </c>
      <c r="K385" s="322" t="s">
        <v>49</v>
      </c>
      <c r="L385" s="358" t="s">
        <v>1407</v>
      </c>
      <c r="M385" s="335" t="s">
        <v>2042</v>
      </c>
      <c r="N385" s="358" t="s">
        <v>1407</v>
      </c>
      <c r="O385" s="326" t="s">
        <v>387</v>
      </c>
      <c r="P385" s="332" t="s">
        <v>1879</v>
      </c>
      <c r="Q385" s="363" t="s">
        <v>383</v>
      </c>
      <c r="R385" s="364"/>
      <c r="S385" s="364"/>
      <c r="T385" s="13" t="str">
        <f t="shared" si="46"/>
        <v>23調査結果-建築物の外部-2（4）-改善（予定）年月-月</v>
      </c>
      <c r="V385" s="349"/>
      <c r="W385" s="349"/>
      <c r="X385" s="349"/>
      <c r="Y385" s="75"/>
      <c r="Z385" s="75"/>
      <c r="AA385" s="75"/>
      <c r="AB385" s="75"/>
    </row>
    <row r="386" spans="2:28">
      <c r="B386" s="107">
        <f>'1_入力シート【基本情報】'!$BY$328</f>
        <v>0</v>
      </c>
      <c r="C386" s="4" t="str">
        <f t="shared" si="51"/>
        <v/>
      </c>
      <c r="D386" s="107">
        <f>'1_入力シート【基本情報】'!$BY$328</f>
        <v>0</v>
      </c>
      <c r="E386" s="564">
        <f>'1_入力シート【基本情報】'!$BY$328</f>
        <v>0</v>
      </c>
      <c r="F386" s="564" t="str">
        <f t="shared" si="44"/>
        <v>0</v>
      </c>
      <c r="G386" s="575"/>
      <c r="H386" s="565">
        <v>23</v>
      </c>
      <c r="I386" s="334" t="s">
        <v>33</v>
      </c>
      <c r="J386" s="357" t="s">
        <v>1407</v>
      </c>
      <c r="K386" s="322" t="s">
        <v>49</v>
      </c>
      <c r="L386" s="358" t="s">
        <v>1407</v>
      </c>
      <c r="M386" s="335" t="s">
        <v>2042</v>
      </c>
      <c r="N386" s="358" t="s">
        <v>1407</v>
      </c>
      <c r="O386" s="326" t="s">
        <v>387</v>
      </c>
      <c r="P386" s="332" t="s">
        <v>1879</v>
      </c>
      <c r="Q386" s="363" t="s">
        <v>675</v>
      </c>
      <c r="R386" s="364"/>
      <c r="S386" s="364"/>
      <c r="T386" s="13" t="str">
        <f t="shared" si="46"/>
        <v>23調査結果-建築物の外部-2（4）-改善（予定）年月-未定</v>
      </c>
      <c r="V386" s="349"/>
      <c r="W386" s="349"/>
      <c r="X386" s="349"/>
      <c r="Y386" s="75"/>
      <c r="Z386" s="75"/>
      <c r="AA386" s="75"/>
      <c r="AB386" s="75"/>
    </row>
    <row r="387" spans="2:28">
      <c r="B387" s="107">
        <f>'1_入力シート【基本情報】'!$AF$329</f>
        <v>0</v>
      </c>
      <c r="C387" s="4" t="str">
        <f t="shared" si="51"/>
        <v/>
      </c>
      <c r="D387" s="107" t="str">
        <f>C387</f>
        <v/>
      </c>
      <c r="E387" s="564" t="str">
        <f>D387</f>
        <v/>
      </c>
      <c r="F387" s="564" t="str">
        <f t="shared" si="44"/>
        <v/>
      </c>
      <c r="G387" s="575"/>
      <c r="H387" s="565">
        <v>23</v>
      </c>
      <c r="I387" s="334" t="s">
        <v>33</v>
      </c>
      <c r="J387" s="357" t="s">
        <v>1407</v>
      </c>
      <c r="K387" s="322" t="s">
        <v>49</v>
      </c>
      <c r="L387" s="358" t="s">
        <v>1407</v>
      </c>
      <c r="M387" s="335" t="s">
        <v>2043</v>
      </c>
      <c r="N387" s="358" t="s">
        <v>1407</v>
      </c>
      <c r="O387" s="326" t="s">
        <v>33</v>
      </c>
      <c r="P387" s="332"/>
      <c r="Q387" s="363"/>
      <c r="R387" s="364"/>
      <c r="S387" s="364"/>
      <c r="T387" s="13" t="str">
        <f t="shared" si="46"/>
        <v>23調査結果-建築物の外部-2（5）-調査結果</v>
      </c>
      <c r="V387" s="349"/>
      <c r="W387" s="349"/>
      <c r="X387" s="349"/>
      <c r="Y387" s="75"/>
      <c r="Z387" s="75"/>
      <c r="AA387" s="75"/>
      <c r="AB387" s="75"/>
    </row>
    <row r="388" spans="2:28">
      <c r="B388" s="107">
        <f>'1_入力シート【基本情報】'!$AR$329</f>
        <v>0</v>
      </c>
      <c r="C388" s="4" t="str">
        <f t="shared" si="51"/>
        <v/>
      </c>
      <c r="D388" s="107">
        <f>'1_入力シート【基本情報】'!$AR$329</f>
        <v>0</v>
      </c>
      <c r="E388" s="564">
        <f>'1_入力シート【基本情報】'!$AR$329</f>
        <v>0</v>
      </c>
      <c r="F388" s="564" t="str">
        <f t="shared" si="44"/>
        <v>0</v>
      </c>
      <c r="G388" s="575"/>
      <c r="H388" s="565">
        <v>23</v>
      </c>
      <c r="I388" s="334" t="s">
        <v>33</v>
      </c>
      <c r="J388" s="357" t="s">
        <v>1407</v>
      </c>
      <c r="K388" s="322" t="s">
        <v>49</v>
      </c>
      <c r="L388" s="358" t="s">
        <v>1407</v>
      </c>
      <c r="M388" s="335" t="s">
        <v>2043</v>
      </c>
      <c r="N388" s="358" t="s">
        <v>1407</v>
      </c>
      <c r="O388" s="326" t="s">
        <v>30</v>
      </c>
      <c r="P388" s="332"/>
      <c r="Q388" s="363"/>
      <c r="R388" s="364"/>
      <c r="S388" s="364"/>
      <c r="T388" s="13" t="str">
        <f t="shared" si="46"/>
        <v>23調査結果-建築物の外部-2（5）-調査者番号</v>
      </c>
      <c r="V388" s="349"/>
      <c r="W388" s="349"/>
      <c r="X388" s="349"/>
      <c r="Y388" s="75"/>
      <c r="Z388" s="75"/>
      <c r="AA388" s="75"/>
      <c r="AB388" s="75"/>
    </row>
    <row r="389" spans="2:28">
      <c r="B389" s="107">
        <f>'1_入力シート【基本情報】'!$AT$329</f>
        <v>0</v>
      </c>
      <c r="C389" s="4" t="str">
        <f t="shared" si="51"/>
        <v/>
      </c>
      <c r="D389" s="107">
        <f>'1_入力シート【基本情報】'!$AT$329</f>
        <v>0</v>
      </c>
      <c r="E389" s="564">
        <f>'1_入力シート【基本情報】'!$AT$329</f>
        <v>0</v>
      </c>
      <c r="F389" s="564" t="str">
        <f t="shared" ref="F389:F452" si="56">SUBSTITUTE(E389,CHAR(10),"")</f>
        <v>0</v>
      </c>
      <c r="G389" s="575"/>
      <c r="H389" s="565">
        <v>23</v>
      </c>
      <c r="I389" s="334" t="s">
        <v>33</v>
      </c>
      <c r="J389" s="357" t="s">
        <v>1407</v>
      </c>
      <c r="K389" s="322" t="s">
        <v>49</v>
      </c>
      <c r="L389" s="358" t="s">
        <v>1407</v>
      </c>
      <c r="M389" s="335" t="s">
        <v>2043</v>
      </c>
      <c r="N389" s="358" t="s">
        <v>1407</v>
      </c>
      <c r="O389" s="334" t="s">
        <v>2028</v>
      </c>
      <c r="P389" s="332"/>
      <c r="Q389" s="363"/>
      <c r="R389" s="364"/>
      <c r="S389" s="364"/>
      <c r="T389" s="13" t="str">
        <f t="shared" si="46"/>
        <v>23調査結果-建築物の外部-2（5）-指摘の具体的内容等</v>
      </c>
      <c r="V389" s="349"/>
      <c r="W389" s="349"/>
      <c r="X389" s="349"/>
      <c r="Y389" s="75"/>
      <c r="Z389" s="75"/>
      <c r="AA389" s="75"/>
      <c r="AB389" s="75"/>
    </row>
    <row r="390" spans="2:28">
      <c r="B390" s="107">
        <f>'1_入力シート【基本情報】'!$BD$329</f>
        <v>0</v>
      </c>
      <c r="C390" s="4" t="str">
        <f t="shared" si="51"/>
        <v/>
      </c>
      <c r="D390" s="107">
        <f>'1_入力シート【基本情報】'!$BD$329</f>
        <v>0</v>
      </c>
      <c r="E390" s="564">
        <f>'1_入力シート【基本情報】'!$BD$329</f>
        <v>0</v>
      </c>
      <c r="F390" s="564" t="str">
        <f t="shared" si="56"/>
        <v>0</v>
      </c>
      <c r="G390" s="575"/>
      <c r="H390" s="565">
        <v>23</v>
      </c>
      <c r="I390" s="334" t="s">
        <v>33</v>
      </c>
      <c r="J390" s="357" t="s">
        <v>1407</v>
      </c>
      <c r="K390" s="322" t="s">
        <v>49</v>
      </c>
      <c r="L390" s="358" t="s">
        <v>1407</v>
      </c>
      <c r="M390" s="335" t="s">
        <v>2043</v>
      </c>
      <c r="N390" s="358" t="s">
        <v>1407</v>
      </c>
      <c r="O390" s="334" t="s">
        <v>2029</v>
      </c>
      <c r="P390" s="332"/>
      <c r="Q390" s="363"/>
      <c r="R390" s="364"/>
      <c r="S390" s="364"/>
      <c r="T390" s="13" t="str">
        <f t="shared" si="46"/>
        <v>23調査結果-建築物の外部-2（5）-改善策の具体的内容等</v>
      </c>
      <c r="V390" s="349"/>
      <c r="W390" s="349"/>
      <c r="X390" s="349"/>
      <c r="Y390" s="75"/>
      <c r="Z390" s="75"/>
      <c r="AA390" s="75"/>
      <c r="AB390" s="75"/>
    </row>
    <row r="391" spans="2:28" ht="19">
      <c r="B391" s="107">
        <f>'1_入力シート【基本情報】'!$BS$329</f>
        <v>0</v>
      </c>
      <c r="C391" s="493" t="str">
        <f t="shared" ref="C391:E392" si="57">ASC($D391)</f>
        <v>0</v>
      </c>
      <c r="D391" s="107">
        <f>'1_入力シート【基本情報】'!$BS$329</f>
        <v>0</v>
      </c>
      <c r="E391" s="7" t="str">
        <f t="shared" si="57"/>
        <v>0</v>
      </c>
      <c r="F391" s="7" t="str">
        <f t="shared" si="56"/>
        <v>0</v>
      </c>
      <c r="G391" s="575"/>
      <c r="H391" s="565">
        <v>23</v>
      </c>
      <c r="I391" s="334" t="s">
        <v>33</v>
      </c>
      <c r="J391" s="357" t="s">
        <v>1407</v>
      </c>
      <c r="K391" s="322" t="s">
        <v>49</v>
      </c>
      <c r="L391" s="358" t="s">
        <v>1407</v>
      </c>
      <c r="M391" s="335" t="s">
        <v>2043</v>
      </c>
      <c r="N391" s="358" t="s">
        <v>1407</v>
      </c>
      <c r="O391" s="334" t="s">
        <v>387</v>
      </c>
      <c r="P391" s="332" t="s">
        <v>1879</v>
      </c>
      <c r="Q391" s="363" t="s">
        <v>1966</v>
      </c>
      <c r="R391" s="364"/>
      <c r="S391" s="364"/>
      <c r="T391" s="13" t="str">
        <f t="shared" si="46"/>
        <v>23調査結果-建築物の外部-2（5）-改善（予定）年月-年（令和）</v>
      </c>
      <c r="V391" s="349"/>
      <c r="W391" s="349"/>
      <c r="X391" s="349"/>
      <c r="Y391" s="75"/>
      <c r="Z391" s="75"/>
      <c r="AA391" s="75"/>
      <c r="AB391" s="75"/>
    </row>
    <row r="392" spans="2:28" ht="19">
      <c r="B392" s="107">
        <f>'1_入力シート【基本情報】'!$BV$329</f>
        <v>0</v>
      </c>
      <c r="C392" s="493" t="str">
        <f t="shared" si="57"/>
        <v>0</v>
      </c>
      <c r="D392" s="107">
        <f>'1_入力シート【基本情報】'!$BV$329</f>
        <v>0</v>
      </c>
      <c r="E392" s="7" t="str">
        <f t="shared" si="57"/>
        <v>0</v>
      </c>
      <c r="F392" s="7" t="str">
        <f t="shared" si="56"/>
        <v>0</v>
      </c>
      <c r="G392" s="575"/>
      <c r="H392" s="565">
        <v>23</v>
      </c>
      <c r="I392" s="334" t="s">
        <v>33</v>
      </c>
      <c r="J392" s="357" t="s">
        <v>1407</v>
      </c>
      <c r="K392" s="322" t="s">
        <v>49</v>
      </c>
      <c r="L392" s="358" t="s">
        <v>1407</v>
      </c>
      <c r="M392" s="335" t="s">
        <v>2043</v>
      </c>
      <c r="N392" s="358" t="s">
        <v>1407</v>
      </c>
      <c r="O392" s="334" t="s">
        <v>387</v>
      </c>
      <c r="P392" s="332" t="s">
        <v>1879</v>
      </c>
      <c r="Q392" s="363" t="s">
        <v>383</v>
      </c>
      <c r="R392" s="364"/>
      <c r="S392" s="364"/>
      <c r="T392" s="13" t="str">
        <f t="shared" si="46"/>
        <v>23調査結果-建築物の外部-2（5）-改善（予定）年月-月</v>
      </c>
      <c r="V392" s="349"/>
      <c r="W392" s="349"/>
      <c r="X392" s="349"/>
      <c r="Y392" s="75"/>
      <c r="Z392" s="75"/>
      <c r="AA392" s="75"/>
      <c r="AB392" s="75"/>
    </row>
    <row r="393" spans="2:28">
      <c r="B393" s="107">
        <f>'1_入力シート【基本情報】'!$BY$329</f>
        <v>0</v>
      </c>
      <c r="C393" s="4" t="str">
        <f t="shared" si="51"/>
        <v/>
      </c>
      <c r="D393" s="107">
        <f>'1_入力シート【基本情報】'!$BY$329</f>
        <v>0</v>
      </c>
      <c r="E393" s="564">
        <f>'1_入力シート【基本情報】'!$BY$329</f>
        <v>0</v>
      </c>
      <c r="F393" s="564" t="str">
        <f t="shared" si="56"/>
        <v>0</v>
      </c>
      <c r="G393" s="575"/>
      <c r="H393" s="565">
        <v>23</v>
      </c>
      <c r="I393" s="334" t="s">
        <v>33</v>
      </c>
      <c r="J393" s="357" t="s">
        <v>1407</v>
      </c>
      <c r="K393" s="322" t="s">
        <v>49</v>
      </c>
      <c r="L393" s="358" t="s">
        <v>1407</v>
      </c>
      <c r="M393" s="335" t="s">
        <v>2043</v>
      </c>
      <c r="N393" s="358" t="s">
        <v>1407</v>
      </c>
      <c r="O393" s="326" t="s">
        <v>387</v>
      </c>
      <c r="P393" s="332" t="s">
        <v>1879</v>
      </c>
      <c r="Q393" s="363" t="s">
        <v>675</v>
      </c>
      <c r="R393" s="364"/>
      <c r="S393" s="364"/>
      <c r="T393" s="13" t="str">
        <f t="shared" si="46"/>
        <v>23調査結果-建築物の外部-2（5）-改善（予定）年月-未定</v>
      </c>
      <c r="V393" s="349"/>
      <c r="W393" s="349"/>
      <c r="X393" s="349"/>
      <c r="Y393" s="75"/>
      <c r="Z393" s="75"/>
      <c r="AA393" s="75"/>
      <c r="AB393" s="75"/>
    </row>
    <row r="394" spans="2:28">
      <c r="B394" s="107">
        <f>'1_入力シート【基本情報】'!$AF$330</f>
        <v>0</v>
      </c>
      <c r="C394" s="4" t="str">
        <f t="shared" si="51"/>
        <v/>
      </c>
      <c r="D394" s="107" t="str">
        <f>C394</f>
        <v/>
      </c>
      <c r="E394" s="564" t="str">
        <f>D394</f>
        <v/>
      </c>
      <c r="F394" s="564" t="str">
        <f t="shared" si="56"/>
        <v/>
      </c>
      <c r="G394" s="575"/>
      <c r="H394" s="565">
        <v>23</v>
      </c>
      <c r="I394" s="334" t="s">
        <v>33</v>
      </c>
      <c r="J394" s="357" t="s">
        <v>1407</v>
      </c>
      <c r="K394" s="322" t="s">
        <v>49</v>
      </c>
      <c r="L394" s="358" t="s">
        <v>1407</v>
      </c>
      <c r="M394" s="335" t="s">
        <v>2044</v>
      </c>
      <c r="N394" s="358" t="s">
        <v>1407</v>
      </c>
      <c r="O394" s="326" t="s">
        <v>33</v>
      </c>
      <c r="P394" s="332"/>
      <c r="Q394" s="363"/>
      <c r="R394" s="364"/>
      <c r="S394" s="364"/>
      <c r="T394" s="13" t="str">
        <f t="shared" si="46"/>
        <v>23調査結果-建築物の外部-2（6）-調査結果</v>
      </c>
      <c r="V394" s="349"/>
      <c r="W394" s="349"/>
      <c r="X394" s="349"/>
      <c r="Y394" s="75"/>
      <c r="Z394" s="75"/>
      <c r="AA394" s="75"/>
      <c r="AB394" s="75"/>
    </row>
    <row r="395" spans="2:28">
      <c r="B395" s="107">
        <f>'1_入力シート【基本情報】'!$AR$330</f>
        <v>0</v>
      </c>
      <c r="C395" s="4" t="str">
        <f t="shared" si="51"/>
        <v/>
      </c>
      <c r="D395" s="107">
        <f>'1_入力シート【基本情報】'!$AR$330</f>
        <v>0</v>
      </c>
      <c r="E395" s="564">
        <f>'1_入力シート【基本情報】'!$AR$330</f>
        <v>0</v>
      </c>
      <c r="F395" s="564" t="str">
        <f t="shared" si="56"/>
        <v>0</v>
      </c>
      <c r="G395" s="575"/>
      <c r="H395" s="565">
        <v>23</v>
      </c>
      <c r="I395" s="334" t="s">
        <v>33</v>
      </c>
      <c r="J395" s="357" t="s">
        <v>1407</v>
      </c>
      <c r="K395" s="322" t="s">
        <v>49</v>
      </c>
      <c r="L395" s="358" t="s">
        <v>1407</v>
      </c>
      <c r="M395" s="335" t="s">
        <v>2044</v>
      </c>
      <c r="N395" s="358" t="s">
        <v>1407</v>
      </c>
      <c r="O395" s="326" t="s">
        <v>30</v>
      </c>
      <c r="P395" s="332"/>
      <c r="Q395" s="363"/>
      <c r="R395" s="364"/>
      <c r="S395" s="364"/>
      <c r="T395" s="13" t="str">
        <f t="shared" si="46"/>
        <v>23調査結果-建築物の外部-2（6）-調査者番号</v>
      </c>
      <c r="V395" s="349"/>
      <c r="W395" s="349"/>
      <c r="X395" s="349"/>
      <c r="Y395" s="75"/>
      <c r="Z395" s="75"/>
      <c r="AA395" s="75"/>
      <c r="AB395" s="75"/>
    </row>
    <row r="396" spans="2:28">
      <c r="B396" s="107">
        <f>'1_入力シート【基本情報】'!$AT$330</f>
        <v>0</v>
      </c>
      <c r="C396" s="4" t="str">
        <f t="shared" si="51"/>
        <v/>
      </c>
      <c r="D396" s="107">
        <f>'1_入力シート【基本情報】'!$AT$330</f>
        <v>0</v>
      </c>
      <c r="E396" s="564">
        <f>'1_入力シート【基本情報】'!$AT$330</f>
        <v>0</v>
      </c>
      <c r="F396" s="564" t="str">
        <f t="shared" si="56"/>
        <v>0</v>
      </c>
      <c r="G396" s="575"/>
      <c r="H396" s="565">
        <v>23</v>
      </c>
      <c r="I396" s="334" t="s">
        <v>33</v>
      </c>
      <c r="J396" s="357" t="s">
        <v>1407</v>
      </c>
      <c r="K396" s="322" t="s">
        <v>49</v>
      </c>
      <c r="L396" s="358" t="s">
        <v>1407</v>
      </c>
      <c r="M396" s="335" t="s">
        <v>2044</v>
      </c>
      <c r="N396" s="358" t="s">
        <v>1407</v>
      </c>
      <c r="O396" s="326" t="s">
        <v>2028</v>
      </c>
      <c r="P396" s="332"/>
      <c r="Q396" s="363"/>
      <c r="R396" s="364"/>
      <c r="S396" s="364"/>
      <c r="T396" s="13" t="str">
        <f t="shared" si="46"/>
        <v>23調査結果-建築物の外部-2（6）-指摘の具体的内容等</v>
      </c>
      <c r="V396" s="349"/>
      <c r="W396" s="349"/>
      <c r="X396" s="349"/>
      <c r="Y396" s="75"/>
      <c r="Z396" s="75"/>
      <c r="AA396" s="75"/>
      <c r="AB396" s="75"/>
    </row>
    <row r="397" spans="2:28">
      <c r="B397" s="107">
        <f>'1_入力シート【基本情報】'!$BD$330</f>
        <v>0</v>
      </c>
      <c r="C397" s="4" t="str">
        <f t="shared" si="51"/>
        <v/>
      </c>
      <c r="D397" s="107">
        <f>'1_入力シート【基本情報】'!$BD$330</f>
        <v>0</v>
      </c>
      <c r="E397" s="564">
        <f>'1_入力シート【基本情報】'!$BD$330</f>
        <v>0</v>
      </c>
      <c r="F397" s="564" t="str">
        <f t="shared" si="56"/>
        <v>0</v>
      </c>
      <c r="G397" s="575"/>
      <c r="H397" s="565">
        <v>23</v>
      </c>
      <c r="I397" s="334" t="s">
        <v>33</v>
      </c>
      <c r="J397" s="357" t="s">
        <v>1407</v>
      </c>
      <c r="K397" s="322" t="s">
        <v>49</v>
      </c>
      <c r="L397" s="358" t="s">
        <v>1407</v>
      </c>
      <c r="M397" s="335" t="s">
        <v>2044</v>
      </c>
      <c r="N397" s="358" t="s">
        <v>1407</v>
      </c>
      <c r="O397" s="334" t="s">
        <v>2029</v>
      </c>
      <c r="P397" s="332"/>
      <c r="Q397" s="363"/>
      <c r="R397" s="364"/>
      <c r="S397" s="364"/>
      <c r="T397" s="13" t="str">
        <f t="shared" ref="T397:T460" si="58">CONCATENATE(H397,I397,J397,K397,L397,M397,N397,O397,P397,Q397)</f>
        <v>23調査結果-建築物の外部-2（6）-改善策の具体的内容等</v>
      </c>
      <c r="V397" s="349"/>
      <c r="W397" s="349"/>
      <c r="X397" s="349"/>
      <c r="Y397" s="75"/>
      <c r="Z397" s="75"/>
      <c r="AA397" s="75"/>
      <c r="AB397" s="75"/>
    </row>
    <row r="398" spans="2:28" ht="19">
      <c r="B398" s="107">
        <f>'1_入力シート【基本情報】'!$BS$330</f>
        <v>0</v>
      </c>
      <c r="C398" s="493" t="str">
        <f t="shared" ref="C398:E399" si="59">ASC($D398)</f>
        <v>0</v>
      </c>
      <c r="D398" s="107">
        <f>'1_入力シート【基本情報】'!$BS$330</f>
        <v>0</v>
      </c>
      <c r="E398" s="7" t="str">
        <f t="shared" si="59"/>
        <v>0</v>
      </c>
      <c r="F398" s="7" t="str">
        <f t="shared" si="56"/>
        <v>0</v>
      </c>
      <c r="G398" s="575"/>
      <c r="H398" s="565">
        <v>23</v>
      </c>
      <c r="I398" s="334" t="s">
        <v>33</v>
      </c>
      <c r="J398" s="357" t="s">
        <v>1407</v>
      </c>
      <c r="K398" s="322" t="s">
        <v>49</v>
      </c>
      <c r="L398" s="358" t="s">
        <v>1407</v>
      </c>
      <c r="M398" s="335" t="s">
        <v>2044</v>
      </c>
      <c r="N398" s="358" t="s">
        <v>1407</v>
      </c>
      <c r="O398" s="334" t="s">
        <v>387</v>
      </c>
      <c r="P398" s="332" t="s">
        <v>1879</v>
      </c>
      <c r="Q398" s="363" t="s">
        <v>1966</v>
      </c>
      <c r="R398" s="364"/>
      <c r="S398" s="364"/>
      <c r="T398" s="13" t="str">
        <f t="shared" si="58"/>
        <v>23調査結果-建築物の外部-2（6）-改善（予定）年月-年（令和）</v>
      </c>
      <c r="V398" s="349"/>
      <c r="W398" s="349"/>
      <c r="X398" s="349"/>
      <c r="Y398" s="75"/>
      <c r="Z398" s="75"/>
      <c r="AA398" s="75"/>
      <c r="AB398" s="75"/>
    </row>
    <row r="399" spans="2:28" ht="19">
      <c r="B399" s="107">
        <f>'1_入力シート【基本情報】'!$BV$330</f>
        <v>0</v>
      </c>
      <c r="C399" s="493" t="str">
        <f t="shared" si="59"/>
        <v>0</v>
      </c>
      <c r="D399" s="107">
        <f>'1_入力シート【基本情報】'!$BV$330</f>
        <v>0</v>
      </c>
      <c r="E399" s="7" t="str">
        <f t="shared" si="59"/>
        <v>0</v>
      </c>
      <c r="F399" s="7" t="str">
        <f t="shared" si="56"/>
        <v>0</v>
      </c>
      <c r="G399" s="575"/>
      <c r="H399" s="565">
        <v>23</v>
      </c>
      <c r="I399" s="334" t="s">
        <v>33</v>
      </c>
      <c r="J399" s="357" t="s">
        <v>1407</v>
      </c>
      <c r="K399" s="322" t="s">
        <v>49</v>
      </c>
      <c r="L399" s="358" t="s">
        <v>1407</v>
      </c>
      <c r="M399" s="335" t="s">
        <v>2044</v>
      </c>
      <c r="N399" s="358" t="s">
        <v>1407</v>
      </c>
      <c r="O399" s="334" t="s">
        <v>387</v>
      </c>
      <c r="P399" s="332" t="s">
        <v>1879</v>
      </c>
      <c r="Q399" s="363" t="s">
        <v>383</v>
      </c>
      <c r="R399" s="364"/>
      <c r="S399" s="364"/>
      <c r="T399" s="13" t="str">
        <f t="shared" si="58"/>
        <v>23調査結果-建築物の外部-2（6）-改善（予定）年月-月</v>
      </c>
      <c r="V399" s="349"/>
      <c r="W399" s="349"/>
      <c r="X399" s="349"/>
      <c r="Y399" s="75"/>
      <c r="Z399" s="75"/>
      <c r="AA399" s="75"/>
      <c r="AB399" s="75"/>
    </row>
    <row r="400" spans="2:28">
      <c r="B400" s="107">
        <f>'1_入力シート【基本情報】'!$BY$330</f>
        <v>0</v>
      </c>
      <c r="C400" s="4" t="str">
        <f t="shared" si="51"/>
        <v/>
      </c>
      <c r="D400" s="107">
        <f>'1_入力シート【基本情報】'!$BY$330</f>
        <v>0</v>
      </c>
      <c r="E400" s="564">
        <f>'1_入力シート【基本情報】'!$BY$330</f>
        <v>0</v>
      </c>
      <c r="F400" s="564" t="str">
        <f t="shared" si="56"/>
        <v>0</v>
      </c>
      <c r="G400" s="575"/>
      <c r="H400" s="565">
        <v>23</v>
      </c>
      <c r="I400" s="334" t="s">
        <v>33</v>
      </c>
      <c r="J400" s="357" t="s">
        <v>1407</v>
      </c>
      <c r="K400" s="322" t="s">
        <v>49</v>
      </c>
      <c r="L400" s="358" t="s">
        <v>1407</v>
      </c>
      <c r="M400" s="335" t="s">
        <v>2044</v>
      </c>
      <c r="N400" s="358" t="s">
        <v>1407</v>
      </c>
      <c r="O400" s="334" t="s">
        <v>387</v>
      </c>
      <c r="P400" s="332" t="s">
        <v>1879</v>
      </c>
      <c r="Q400" s="363" t="s">
        <v>675</v>
      </c>
      <c r="R400" s="364"/>
      <c r="S400" s="364"/>
      <c r="T400" s="13" t="str">
        <f t="shared" si="58"/>
        <v>23調査結果-建築物の外部-2（6）-改善（予定）年月-未定</v>
      </c>
      <c r="V400" s="349"/>
      <c r="W400" s="349"/>
      <c r="X400" s="349"/>
      <c r="Y400" s="75"/>
      <c r="Z400" s="75"/>
      <c r="AA400" s="75"/>
      <c r="AB400" s="75"/>
    </row>
    <row r="401" spans="2:28">
      <c r="B401" s="107">
        <f>'1_入力シート【基本情報】'!$AF$331</f>
        <v>0</v>
      </c>
      <c r="C401" s="4" t="str">
        <f t="shared" si="51"/>
        <v/>
      </c>
      <c r="D401" s="107" t="str">
        <f>C401</f>
        <v/>
      </c>
      <c r="E401" s="564" t="str">
        <f>D401</f>
        <v/>
      </c>
      <c r="F401" s="564" t="str">
        <f t="shared" si="56"/>
        <v/>
      </c>
      <c r="G401" s="575"/>
      <c r="H401" s="565">
        <v>23</v>
      </c>
      <c r="I401" s="334" t="s">
        <v>33</v>
      </c>
      <c r="J401" s="357" t="s">
        <v>1407</v>
      </c>
      <c r="K401" s="322" t="s">
        <v>49</v>
      </c>
      <c r="L401" s="358" t="s">
        <v>1407</v>
      </c>
      <c r="M401" s="335" t="s">
        <v>2045</v>
      </c>
      <c r="N401" s="358" t="s">
        <v>1407</v>
      </c>
      <c r="O401" s="326" t="s">
        <v>33</v>
      </c>
      <c r="P401" s="332"/>
      <c r="Q401" s="363"/>
      <c r="R401" s="364"/>
      <c r="S401" s="364"/>
      <c r="T401" s="13" t="str">
        <f t="shared" si="58"/>
        <v>23調査結果-建築物の外部-2（7）-調査結果</v>
      </c>
      <c r="V401" s="349"/>
      <c r="W401" s="349"/>
      <c r="X401" s="349"/>
      <c r="Y401" s="75"/>
      <c r="Z401" s="75"/>
      <c r="AA401" s="75"/>
      <c r="AB401" s="75"/>
    </row>
    <row r="402" spans="2:28">
      <c r="B402" s="107">
        <f>'1_入力シート【基本情報】'!$AR$331</f>
        <v>0</v>
      </c>
      <c r="C402" s="4" t="str">
        <f t="shared" si="51"/>
        <v/>
      </c>
      <c r="D402" s="107">
        <f>'1_入力シート【基本情報】'!$AR$331</f>
        <v>0</v>
      </c>
      <c r="E402" s="564">
        <f>'1_入力シート【基本情報】'!$AR$331</f>
        <v>0</v>
      </c>
      <c r="F402" s="564" t="str">
        <f t="shared" si="56"/>
        <v>0</v>
      </c>
      <c r="G402" s="575"/>
      <c r="H402" s="565">
        <v>23</v>
      </c>
      <c r="I402" s="334" t="s">
        <v>33</v>
      </c>
      <c r="J402" s="357" t="s">
        <v>1407</v>
      </c>
      <c r="K402" s="322" t="s">
        <v>49</v>
      </c>
      <c r="L402" s="358" t="s">
        <v>1407</v>
      </c>
      <c r="M402" s="335" t="s">
        <v>2045</v>
      </c>
      <c r="N402" s="358" t="s">
        <v>1407</v>
      </c>
      <c r="O402" s="326" t="s">
        <v>30</v>
      </c>
      <c r="P402" s="332"/>
      <c r="Q402" s="363"/>
      <c r="R402" s="364"/>
      <c r="S402" s="364"/>
      <c r="T402" s="13" t="str">
        <f t="shared" si="58"/>
        <v>23調査結果-建築物の外部-2（7）-調査者番号</v>
      </c>
      <c r="V402" s="349"/>
      <c r="W402" s="349"/>
      <c r="X402" s="349"/>
      <c r="Y402" s="75"/>
      <c r="Z402" s="75"/>
      <c r="AA402" s="75"/>
      <c r="AB402" s="75"/>
    </row>
    <row r="403" spans="2:28">
      <c r="B403" s="107">
        <f>'1_入力シート【基本情報】'!$AT$331</f>
        <v>0</v>
      </c>
      <c r="C403" s="4" t="str">
        <f t="shared" si="51"/>
        <v/>
      </c>
      <c r="D403" s="107">
        <f>'1_入力シート【基本情報】'!$AT$331</f>
        <v>0</v>
      </c>
      <c r="E403" s="564">
        <f>'1_入力シート【基本情報】'!$AT$331</f>
        <v>0</v>
      </c>
      <c r="F403" s="564" t="str">
        <f t="shared" si="56"/>
        <v>0</v>
      </c>
      <c r="G403" s="575"/>
      <c r="H403" s="565">
        <v>23</v>
      </c>
      <c r="I403" s="334" t="s">
        <v>33</v>
      </c>
      <c r="J403" s="357" t="s">
        <v>1407</v>
      </c>
      <c r="K403" s="322" t="s">
        <v>49</v>
      </c>
      <c r="L403" s="358" t="s">
        <v>1407</v>
      </c>
      <c r="M403" s="335" t="s">
        <v>2045</v>
      </c>
      <c r="N403" s="358" t="s">
        <v>1407</v>
      </c>
      <c r="O403" s="326" t="s">
        <v>2028</v>
      </c>
      <c r="P403" s="332"/>
      <c r="Q403" s="363"/>
      <c r="R403" s="364"/>
      <c r="S403" s="364"/>
      <c r="T403" s="13" t="str">
        <f t="shared" si="58"/>
        <v>23調査結果-建築物の外部-2（7）-指摘の具体的内容等</v>
      </c>
      <c r="V403" s="349"/>
      <c r="W403" s="349"/>
      <c r="X403" s="349"/>
      <c r="Y403" s="75"/>
      <c r="Z403" s="75"/>
      <c r="AA403" s="75"/>
      <c r="AB403" s="75"/>
    </row>
    <row r="404" spans="2:28">
      <c r="B404" s="107">
        <f>'1_入力シート【基本情報】'!$BD$331</f>
        <v>0</v>
      </c>
      <c r="C404" s="4" t="str">
        <f t="shared" si="51"/>
        <v/>
      </c>
      <c r="D404" s="107">
        <f>'1_入力シート【基本情報】'!$BD$331</f>
        <v>0</v>
      </c>
      <c r="E404" s="564">
        <f>'1_入力シート【基本情報】'!$BD$331</f>
        <v>0</v>
      </c>
      <c r="F404" s="564" t="str">
        <f t="shared" si="56"/>
        <v>0</v>
      </c>
      <c r="G404" s="575"/>
      <c r="H404" s="565">
        <v>23</v>
      </c>
      <c r="I404" s="334" t="s">
        <v>33</v>
      </c>
      <c r="J404" s="357" t="s">
        <v>1407</v>
      </c>
      <c r="K404" s="322" t="s">
        <v>49</v>
      </c>
      <c r="L404" s="358" t="s">
        <v>1407</v>
      </c>
      <c r="M404" s="335" t="s">
        <v>2045</v>
      </c>
      <c r="N404" s="358" t="s">
        <v>1407</v>
      </c>
      <c r="O404" s="326" t="s">
        <v>2029</v>
      </c>
      <c r="P404" s="332"/>
      <c r="Q404" s="363"/>
      <c r="R404" s="364"/>
      <c r="S404" s="364"/>
      <c r="T404" s="13" t="str">
        <f t="shared" si="58"/>
        <v>23調査結果-建築物の外部-2（7）-改善策の具体的内容等</v>
      </c>
      <c r="V404" s="349"/>
      <c r="W404" s="349"/>
      <c r="X404" s="349"/>
      <c r="Y404" s="75"/>
      <c r="Z404" s="75"/>
      <c r="AA404" s="75"/>
      <c r="AB404" s="75"/>
    </row>
    <row r="405" spans="2:28" ht="19">
      <c r="B405" s="107">
        <f>'1_入力シート【基本情報】'!$BS$331</f>
        <v>0</v>
      </c>
      <c r="C405" s="493" t="str">
        <f t="shared" ref="C405:E406" si="60">ASC($D405)</f>
        <v>0</v>
      </c>
      <c r="D405" s="107">
        <f>'1_入力シート【基本情報】'!$BS$331</f>
        <v>0</v>
      </c>
      <c r="E405" s="7" t="str">
        <f t="shared" si="60"/>
        <v>0</v>
      </c>
      <c r="F405" s="7" t="str">
        <f t="shared" si="56"/>
        <v>0</v>
      </c>
      <c r="G405" s="575"/>
      <c r="H405" s="565">
        <v>23</v>
      </c>
      <c r="I405" s="334" t="s">
        <v>33</v>
      </c>
      <c r="J405" s="357" t="s">
        <v>1407</v>
      </c>
      <c r="K405" s="322" t="s">
        <v>49</v>
      </c>
      <c r="L405" s="358" t="s">
        <v>1407</v>
      </c>
      <c r="M405" s="335" t="s">
        <v>2045</v>
      </c>
      <c r="N405" s="358" t="s">
        <v>1407</v>
      </c>
      <c r="O405" s="334" t="s">
        <v>387</v>
      </c>
      <c r="P405" s="332" t="s">
        <v>1879</v>
      </c>
      <c r="Q405" s="363" t="s">
        <v>1966</v>
      </c>
      <c r="R405" s="364"/>
      <c r="S405" s="364"/>
      <c r="T405" s="13" t="str">
        <f t="shared" si="58"/>
        <v>23調査結果-建築物の外部-2（7）-改善（予定）年月-年（令和）</v>
      </c>
      <c r="V405" s="349"/>
      <c r="W405" s="349"/>
      <c r="X405" s="349"/>
      <c r="Y405" s="75"/>
      <c r="Z405" s="75"/>
      <c r="AA405" s="75"/>
      <c r="AB405" s="75"/>
    </row>
    <row r="406" spans="2:28" ht="19">
      <c r="B406" s="107">
        <f>'1_入力シート【基本情報】'!$BV$331</f>
        <v>0</v>
      </c>
      <c r="C406" s="493" t="str">
        <f t="shared" si="60"/>
        <v>0</v>
      </c>
      <c r="D406" s="107">
        <f>'1_入力シート【基本情報】'!$BV$331</f>
        <v>0</v>
      </c>
      <c r="E406" s="7" t="str">
        <f t="shared" si="60"/>
        <v>0</v>
      </c>
      <c r="F406" s="7" t="str">
        <f t="shared" si="56"/>
        <v>0</v>
      </c>
      <c r="G406" s="575"/>
      <c r="H406" s="565">
        <v>23</v>
      </c>
      <c r="I406" s="334" t="s">
        <v>33</v>
      </c>
      <c r="J406" s="357" t="s">
        <v>1407</v>
      </c>
      <c r="K406" s="322" t="s">
        <v>49</v>
      </c>
      <c r="L406" s="358" t="s">
        <v>1407</v>
      </c>
      <c r="M406" s="335" t="s">
        <v>2045</v>
      </c>
      <c r="N406" s="358" t="s">
        <v>1407</v>
      </c>
      <c r="O406" s="334" t="s">
        <v>387</v>
      </c>
      <c r="P406" s="332" t="s">
        <v>1879</v>
      </c>
      <c r="Q406" s="363" t="s">
        <v>383</v>
      </c>
      <c r="R406" s="364"/>
      <c r="S406" s="364"/>
      <c r="T406" s="13" t="str">
        <f t="shared" si="58"/>
        <v>23調査結果-建築物の外部-2（7）-改善（予定）年月-月</v>
      </c>
      <c r="V406" s="349"/>
      <c r="W406" s="349"/>
      <c r="X406" s="349"/>
    </row>
    <row r="407" spans="2:28">
      <c r="B407" s="107">
        <f>'1_入力シート【基本情報】'!$BY$331</f>
        <v>0</v>
      </c>
      <c r="C407" s="4" t="str">
        <f t="shared" si="51"/>
        <v/>
      </c>
      <c r="D407" s="107">
        <f>'1_入力シート【基本情報】'!$BY$331</f>
        <v>0</v>
      </c>
      <c r="E407" s="564">
        <f>'1_入力シート【基本情報】'!$BY$331</f>
        <v>0</v>
      </c>
      <c r="F407" s="564" t="str">
        <f t="shared" si="56"/>
        <v>0</v>
      </c>
      <c r="G407" s="575"/>
      <c r="H407" s="565">
        <v>23</v>
      </c>
      <c r="I407" s="334" t="s">
        <v>33</v>
      </c>
      <c r="J407" s="357" t="s">
        <v>1407</v>
      </c>
      <c r="K407" s="322" t="s">
        <v>49</v>
      </c>
      <c r="L407" s="358" t="s">
        <v>1407</v>
      </c>
      <c r="M407" s="335" t="s">
        <v>2045</v>
      </c>
      <c r="N407" s="358" t="s">
        <v>1407</v>
      </c>
      <c r="O407" s="334" t="s">
        <v>387</v>
      </c>
      <c r="P407" s="332" t="s">
        <v>1879</v>
      </c>
      <c r="Q407" s="363" t="s">
        <v>675</v>
      </c>
      <c r="R407" s="364"/>
      <c r="S407" s="364"/>
      <c r="T407" s="13" t="str">
        <f t="shared" si="58"/>
        <v>23調査結果-建築物の外部-2（7）-改善（予定）年月-未定</v>
      </c>
      <c r="V407" s="349"/>
      <c r="W407" s="349"/>
      <c r="X407" s="349"/>
      <c r="Y407" s="75"/>
      <c r="Z407" s="75"/>
      <c r="AA407" s="75"/>
      <c r="AB407" s="75"/>
    </row>
    <row r="408" spans="2:28">
      <c r="B408" s="107">
        <f>'1_入力シート【基本情報】'!$AF$332</f>
        <v>0</v>
      </c>
      <c r="C408" s="4" t="str">
        <f t="shared" si="51"/>
        <v/>
      </c>
      <c r="D408" s="107" t="str">
        <f>C408</f>
        <v/>
      </c>
      <c r="E408" s="564" t="str">
        <f>D408</f>
        <v/>
      </c>
      <c r="F408" s="564" t="str">
        <f t="shared" si="56"/>
        <v/>
      </c>
      <c r="G408" s="575"/>
      <c r="H408" s="565">
        <v>23</v>
      </c>
      <c r="I408" s="334" t="s">
        <v>33</v>
      </c>
      <c r="J408" s="357" t="s">
        <v>1407</v>
      </c>
      <c r="K408" s="322" t="s">
        <v>49</v>
      </c>
      <c r="L408" s="358" t="s">
        <v>1407</v>
      </c>
      <c r="M408" s="335" t="s">
        <v>2046</v>
      </c>
      <c r="N408" s="358" t="s">
        <v>1407</v>
      </c>
      <c r="O408" s="334" t="s">
        <v>33</v>
      </c>
      <c r="P408" s="332"/>
      <c r="Q408" s="363"/>
      <c r="R408" s="364"/>
      <c r="S408" s="364"/>
      <c r="T408" s="13" t="str">
        <f t="shared" si="58"/>
        <v>23調査結果-建築物の外部-2（8）-調査結果</v>
      </c>
      <c r="V408" s="349"/>
      <c r="W408" s="349"/>
      <c r="X408" s="349"/>
      <c r="Y408" s="75"/>
      <c r="Z408" s="75"/>
      <c r="AA408" s="75"/>
      <c r="AB408" s="75"/>
    </row>
    <row r="409" spans="2:28">
      <c r="B409" s="107">
        <f>'1_入力シート【基本情報】'!$AR$332</f>
        <v>0</v>
      </c>
      <c r="C409" s="4" t="str">
        <f t="shared" si="51"/>
        <v/>
      </c>
      <c r="D409" s="107">
        <f>'1_入力シート【基本情報】'!$AR$332</f>
        <v>0</v>
      </c>
      <c r="E409" s="564">
        <f>'1_入力シート【基本情報】'!$AR$332</f>
        <v>0</v>
      </c>
      <c r="F409" s="564" t="str">
        <f t="shared" si="56"/>
        <v>0</v>
      </c>
      <c r="G409" s="575"/>
      <c r="H409" s="565">
        <v>23</v>
      </c>
      <c r="I409" s="334" t="s">
        <v>33</v>
      </c>
      <c r="J409" s="357" t="s">
        <v>1407</v>
      </c>
      <c r="K409" s="322" t="s">
        <v>49</v>
      </c>
      <c r="L409" s="358" t="s">
        <v>1407</v>
      </c>
      <c r="M409" s="335" t="s">
        <v>2046</v>
      </c>
      <c r="N409" s="358" t="s">
        <v>1407</v>
      </c>
      <c r="O409" s="326" t="s">
        <v>30</v>
      </c>
      <c r="P409" s="332"/>
      <c r="Q409" s="363"/>
      <c r="R409" s="364"/>
      <c r="S409" s="364"/>
      <c r="T409" s="13" t="str">
        <f t="shared" si="58"/>
        <v>23調査結果-建築物の外部-2（8）-調査者番号</v>
      </c>
      <c r="V409" s="349"/>
      <c r="W409" s="349"/>
      <c r="X409" s="349"/>
      <c r="Y409" s="75"/>
      <c r="Z409" s="75"/>
      <c r="AA409" s="75"/>
      <c r="AB409" s="75"/>
    </row>
    <row r="410" spans="2:28">
      <c r="B410" s="107">
        <f>'1_入力シート【基本情報】'!$AT$332</f>
        <v>0</v>
      </c>
      <c r="C410" s="4" t="str">
        <f t="shared" si="51"/>
        <v/>
      </c>
      <c r="D410" s="107">
        <f>'1_入力シート【基本情報】'!$AT$332</f>
        <v>0</v>
      </c>
      <c r="E410" s="564">
        <f>'1_入力シート【基本情報】'!$AT$332</f>
        <v>0</v>
      </c>
      <c r="F410" s="564" t="str">
        <f t="shared" si="56"/>
        <v>0</v>
      </c>
      <c r="G410" s="575"/>
      <c r="H410" s="565">
        <v>23</v>
      </c>
      <c r="I410" s="334" t="s">
        <v>33</v>
      </c>
      <c r="J410" s="357" t="s">
        <v>1407</v>
      </c>
      <c r="K410" s="322" t="s">
        <v>49</v>
      </c>
      <c r="L410" s="358" t="s">
        <v>1407</v>
      </c>
      <c r="M410" s="335" t="s">
        <v>2046</v>
      </c>
      <c r="N410" s="358" t="s">
        <v>1407</v>
      </c>
      <c r="O410" s="326" t="s">
        <v>2028</v>
      </c>
      <c r="P410" s="332"/>
      <c r="Q410" s="363"/>
      <c r="R410" s="364"/>
      <c r="S410" s="364"/>
      <c r="T410" s="13" t="str">
        <f t="shared" si="58"/>
        <v>23調査結果-建築物の外部-2（8）-指摘の具体的内容等</v>
      </c>
      <c r="V410" s="202"/>
      <c r="W410" s="202"/>
      <c r="X410" s="349"/>
      <c r="Y410" s="75"/>
      <c r="Z410" s="75"/>
      <c r="AA410" s="75"/>
      <c r="AB410" s="75"/>
    </row>
    <row r="411" spans="2:28">
      <c r="B411" s="107">
        <f>'1_入力シート【基本情報】'!$BD$332</f>
        <v>0</v>
      </c>
      <c r="C411" s="4" t="str">
        <f t="shared" si="51"/>
        <v/>
      </c>
      <c r="D411" s="107">
        <f>'1_入力シート【基本情報】'!$BD$332</f>
        <v>0</v>
      </c>
      <c r="E411" s="564">
        <f>'1_入力シート【基本情報】'!$BD$332</f>
        <v>0</v>
      </c>
      <c r="F411" s="564" t="str">
        <f t="shared" si="56"/>
        <v>0</v>
      </c>
      <c r="G411" s="575"/>
      <c r="H411" s="565">
        <v>23</v>
      </c>
      <c r="I411" s="334" t="s">
        <v>33</v>
      </c>
      <c r="J411" s="357" t="s">
        <v>1407</v>
      </c>
      <c r="K411" s="322" t="s">
        <v>49</v>
      </c>
      <c r="L411" s="358" t="s">
        <v>1407</v>
      </c>
      <c r="M411" s="335" t="s">
        <v>2046</v>
      </c>
      <c r="N411" s="358" t="s">
        <v>1407</v>
      </c>
      <c r="O411" s="326" t="s">
        <v>2029</v>
      </c>
      <c r="P411" s="332"/>
      <c r="Q411" s="363"/>
      <c r="R411" s="364"/>
      <c r="S411" s="364"/>
      <c r="T411" s="13" t="str">
        <f t="shared" si="58"/>
        <v>23調査結果-建築物の外部-2（8）-改善策の具体的内容等</v>
      </c>
      <c r="V411" s="349"/>
      <c r="W411" s="349"/>
      <c r="X411" s="349"/>
      <c r="Y411" s="75"/>
      <c r="Z411" s="75"/>
      <c r="AA411" s="75"/>
      <c r="AB411" s="75"/>
    </row>
    <row r="412" spans="2:28" ht="19">
      <c r="B412" s="107">
        <f>'1_入力シート【基本情報】'!$BS$332</f>
        <v>0</v>
      </c>
      <c r="C412" s="493" t="str">
        <f t="shared" ref="C412:E413" si="61">ASC($D412)</f>
        <v>0</v>
      </c>
      <c r="D412" s="107">
        <f>'1_入力シート【基本情報】'!$BS$332</f>
        <v>0</v>
      </c>
      <c r="E412" s="7" t="str">
        <f t="shared" si="61"/>
        <v>0</v>
      </c>
      <c r="F412" s="7" t="str">
        <f t="shared" si="56"/>
        <v>0</v>
      </c>
      <c r="G412" s="575"/>
      <c r="H412" s="565">
        <v>23</v>
      </c>
      <c r="I412" s="334" t="s">
        <v>33</v>
      </c>
      <c r="J412" s="357" t="s">
        <v>1407</v>
      </c>
      <c r="K412" s="322" t="s">
        <v>49</v>
      </c>
      <c r="L412" s="358" t="s">
        <v>1407</v>
      </c>
      <c r="M412" s="335" t="s">
        <v>2046</v>
      </c>
      <c r="N412" s="358" t="s">
        <v>1407</v>
      </c>
      <c r="O412" s="326" t="s">
        <v>387</v>
      </c>
      <c r="P412" s="332" t="s">
        <v>1879</v>
      </c>
      <c r="Q412" s="363" t="s">
        <v>1966</v>
      </c>
      <c r="R412" s="364"/>
      <c r="S412" s="364"/>
      <c r="T412" s="13" t="str">
        <f t="shared" si="58"/>
        <v>23調査結果-建築物の外部-2（8）-改善（予定）年月-年（令和）</v>
      </c>
      <c r="V412" s="349"/>
      <c r="W412" s="349"/>
      <c r="X412" s="349"/>
      <c r="Y412" s="75"/>
      <c r="Z412" s="75"/>
      <c r="AA412" s="75"/>
      <c r="AB412" s="75"/>
    </row>
    <row r="413" spans="2:28" ht="19">
      <c r="B413" s="107">
        <f>'1_入力シート【基本情報】'!$BV$332</f>
        <v>0</v>
      </c>
      <c r="C413" s="493" t="str">
        <f t="shared" si="61"/>
        <v>0</v>
      </c>
      <c r="D413" s="107">
        <f>'1_入力シート【基本情報】'!$BV$332</f>
        <v>0</v>
      </c>
      <c r="E413" s="7" t="str">
        <f t="shared" si="61"/>
        <v>0</v>
      </c>
      <c r="F413" s="7" t="str">
        <f t="shared" si="56"/>
        <v>0</v>
      </c>
      <c r="G413" s="575"/>
      <c r="H413" s="565">
        <v>23</v>
      </c>
      <c r="I413" s="334" t="s">
        <v>33</v>
      </c>
      <c r="J413" s="357" t="s">
        <v>1407</v>
      </c>
      <c r="K413" s="322" t="s">
        <v>49</v>
      </c>
      <c r="L413" s="358" t="s">
        <v>1407</v>
      </c>
      <c r="M413" s="335" t="s">
        <v>2046</v>
      </c>
      <c r="N413" s="358" t="s">
        <v>1407</v>
      </c>
      <c r="O413" s="334" t="s">
        <v>387</v>
      </c>
      <c r="P413" s="332" t="s">
        <v>1879</v>
      </c>
      <c r="Q413" s="363" t="s">
        <v>383</v>
      </c>
      <c r="R413" s="364"/>
      <c r="S413" s="364"/>
      <c r="T413" s="13" t="str">
        <f t="shared" si="58"/>
        <v>23調査結果-建築物の外部-2（8）-改善（予定）年月-月</v>
      </c>
      <c r="V413" s="349"/>
      <c r="W413" s="349"/>
      <c r="X413" s="349"/>
      <c r="Y413" s="75"/>
      <c r="Z413" s="75"/>
      <c r="AA413" s="75"/>
      <c r="AB413" s="75"/>
    </row>
    <row r="414" spans="2:28">
      <c r="B414" s="107">
        <f>'1_入力シート【基本情報】'!$BY$332</f>
        <v>0</v>
      </c>
      <c r="C414" s="4" t="str">
        <f t="shared" si="51"/>
        <v/>
      </c>
      <c r="D414" s="107">
        <f>'1_入力シート【基本情報】'!$BY$332</f>
        <v>0</v>
      </c>
      <c r="E414" s="564">
        <f>'1_入力シート【基本情報】'!$BY$332</f>
        <v>0</v>
      </c>
      <c r="F414" s="564" t="str">
        <f t="shared" si="56"/>
        <v>0</v>
      </c>
      <c r="G414" s="575"/>
      <c r="H414" s="565">
        <v>23</v>
      </c>
      <c r="I414" s="334" t="s">
        <v>33</v>
      </c>
      <c r="J414" s="357" t="s">
        <v>1407</v>
      </c>
      <c r="K414" s="322" t="s">
        <v>49</v>
      </c>
      <c r="L414" s="358" t="s">
        <v>1407</v>
      </c>
      <c r="M414" s="335" t="s">
        <v>2046</v>
      </c>
      <c r="N414" s="358" t="s">
        <v>1407</v>
      </c>
      <c r="O414" s="334" t="s">
        <v>387</v>
      </c>
      <c r="P414" s="332" t="s">
        <v>1879</v>
      </c>
      <c r="Q414" s="363" t="s">
        <v>675</v>
      </c>
      <c r="R414" s="364"/>
      <c r="S414" s="364"/>
      <c r="T414" s="13" t="str">
        <f t="shared" si="58"/>
        <v>23調査結果-建築物の外部-2（8）-改善（予定）年月-未定</v>
      </c>
      <c r="V414" s="349"/>
      <c r="W414" s="349"/>
      <c r="X414" s="349"/>
      <c r="Y414" s="75"/>
      <c r="Z414" s="75"/>
      <c r="AA414" s="75"/>
      <c r="AB414" s="75"/>
    </row>
    <row r="415" spans="2:28">
      <c r="B415" s="107">
        <f>'1_入力シート【基本情報】'!$AF$333</f>
        <v>0</v>
      </c>
      <c r="C415" s="4" t="str">
        <f t="shared" si="51"/>
        <v/>
      </c>
      <c r="D415" s="107" t="str">
        <f>C415</f>
        <v/>
      </c>
      <c r="E415" s="564" t="str">
        <f>D415</f>
        <v/>
      </c>
      <c r="F415" s="564" t="str">
        <f t="shared" si="56"/>
        <v/>
      </c>
      <c r="G415" s="575"/>
      <c r="H415" s="565">
        <v>23</v>
      </c>
      <c r="I415" s="334" t="s">
        <v>33</v>
      </c>
      <c r="J415" s="357" t="s">
        <v>1407</v>
      </c>
      <c r="K415" s="322" t="s">
        <v>49</v>
      </c>
      <c r="L415" s="358" t="s">
        <v>1407</v>
      </c>
      <c r="M415" s="335" t="s">
        <v>2047</v>
      </c>
      <c r="N415" s="358" t="s">
        <v>1407</v>
      </c>
      <c r="O415" s="334" t="s">
        <v>33</v>
      </c>
      <c r="P415" s="332"/>
      <c r="Q415" s="363"/>
      <c r="R415" s="364"/>
      <c r="S415" s="364"/>
      <c r="T415" s="13" t="str">
        <f t="shared" si="58"/>
        <v>23調査結果-建築物の外部-2（9）-調査結果</v>
      </c>
      <c r="V415" s="349"/>
      <c r="W415" s="349"/>
      <c r="X415" s="349"/>
      <c r="Y415" s="75"/>
      <c r="Z415" s="75"/>
      <c r="AA415" s="75"/>
      <c r="AB415" s="75"/>
    </row>
    <row r="416" spans="2:28">
      <c r="B416" s="107">
        <f>'1_入力シート【基本情報】'!$AR$333</f>
        <v>0</v>
      </c>
      <c r="C416" s="4" t="str">
        <f t="shared" si="51"/>
        <v/>
      </c>
      <c r="D416" s="107">
        <f>'1_入力シート【基本情報】'!$AR$333</f>
        <v>0</v>
      </c>
      <c r="E416" s="564">
        <f>'1_入力シート【基本情報】'!$AR$333</f>
        <v>0</v>
      </c>
      <c r="F416" s="564" t="str">
        <f t="shared" si="56"/>
        <v>0</v>
      </c>
      <c r="G416" s="24"/>
      <c r="H416" s="565">
        <v>23</v>
      </c>
      <c r="I416" s="334" t="s">
        <v>33</v>
      </c>
      <c r="J416" s="357" t="s">
        <v>1407</v>
      </c>
      <c r="K416" s="322" t="s">
        <v>49</v>
      </c>
      <c r="L416" s="358" t="s">
        <v>1407</v>
      </c>
      <c r="M416" s="335" t="s">
        <v>2047</v>
      </c>
      <c r="N416" s="358" t="s">
        <v>1407</v>
      </c>
      <c r="O416" s="334" t="s">
        <v>30</v>
      </c>
      <c r="P416" s="332"/>
      <c r="Q416" s="363"/>
      <c r="R416" s="364"/>
      <c r="S416" s="364"/>
      <c r="T416" s="13" t="str">
        <f t="shared" si="58"/>
        <v>23調査結果-建築物の外部-2（9）-調査者番号</v>
      </c>
      <c r="V416" s="349"/>
      <c r="W416" s="349"/>
      <c r="X416" s="349"/>
      <c r="Y416" s="75"/>
      <c r="Z416" s="75"/>
      <c r="AA416" s="75"/>
      <c r="AB416" s="75"/>
    </row>
    <row r="417" spans="2:28">
      <c r="B417" s="107">
        <f>'1_入力シート【基本情報】'!$AT$333</f>
        <v>0</v>
      </c>
      <c r="C417" s="4" t="str">
        <f t="shared" si="51"/>
        <v/>
      </c>
      <c r="D417" s="107">
        <f>'1_入力シート【基本情報】'!$AT$333</f>
        <v>0</v>
      </c>
      <c r="E417" s="564">
        <f>'1_入力シート【基本情報】'!$AT$333</f>
        <v>0</v>
      </c>
      <c r="F417" s="564" t="str">
        <f t="shared" si="56"/>
        <v>0</v>
      </c>
      <c r="G417" s="575"/>
      <c r="H417" s="565">
        <v>23</v>
      </c>
      <c r="I417" s="334" t="s">
        <v>33</v>
      </c>
      <c r="J417" s="357" t="s">
        <v>1407</v>
      </c>
      <c r="K417" s="322" t="s">
        <v>49</v>
      </c>
      <c r="L417" s="358" t="s">
        <v>1407</v>
      </c>
      <c r="M417" s="335" t="s">
        <v>2047</v>
      </c>
      <c r="N417" s="358" t="s">
        <v>1407</v>
      </c>
      <c r="O417" s="326" t="s">
        <v>2028</v>
      </c>
      <c r="P417" s="332"/>
      <c r="Q417" s="363"/>
      <c r="R417" s="364"/>
      <c r="S417" s="364"/>
      <c r="T417" s="13" t="str">
        <f t="shared" si="58"/>
        <v>23調査結果-建築物の外部-2（9）-指摘の具体的内容等</v>
      </c>
      <c r="V417" s="349"/>
      <c r="W417" s="349"/>
      <c r="X417" s="349"/>
      <c r="Y417" s="75"/>
      <c r="Z417" s="75"/>
      <c r="AA417" s="75"/>
      <c r="AB417" s="75"/>
    </row>
    <row r="418" spans="2:28">
      <c r="B418" s="107">
        <f>'1_入力シート【基本情報】'!$BD$333</f>
        <v>0</v>
      </c>
      <c r="C418" s="4" t="str">
        <f t="shared" si="51"/>
        <v/>
      </c>
      <c r="D418" s="107">
        <f>'1_入力シート【基本情報】'!$BD$333</f>
        <v>0</v>
      </c>
      <c r="E418" s="564">
        <f>'1_入力シート【基本情報】'!$BD$333</f>
        <v>0</v>
      </c>
      <c r="F418" s="564" t="str">
        <f t="shared" si="56"/>
        <v>0</v>
      </c>
      <c r="G418" s="575"/>
      <c r="H418" s="565">
        <v>23</v>
      </c>
      <c r="I418" s="334" t="s">
        <v>33</v>
      </c>
      <c r="J418" s="357" t="s">
        <v>1407</v>
      </c>
      <c r="K418" s="322" t="s">
        <v>49</v>
      </c>
      <c r="L418" s="358" t="s">
        <v>1407</v>
      </c>
      <c r="M418" s="335" t="s">
        <v>2047</v>
      </c>
      <c r="N418" s="358" t="s">
        <v>1407</v>
      </c>
      <c r="O418" s="326" t="s">
        <v>2029</v>
      </c>
      <c r="P418" s="332"/>
      <c r="Q418" s="363"/>
      <c r="R418" s="364"/>
      <c r="S418" s="364"/>
      <c r="T418" s="13" t="str">
        <f t="shared" si="58"/>
        <v>23調査結果-建築物の外部-2（9）-改善策の具体的内容等</v>
      </c>
      <c r="V418" s="349"/>
      <c r="W418" s="349"/>
      <c r="X418" s="349"/>
      <c r="Y418" s="75"/>
      <c r="Z418" s="75"/>
      <c r="AA418" s="75"/>
      <c r="AB418" s="75"/>
    </row>
    <row r="419" spans="2:28" ht="19">
      <c r="B419" s="107">
        <f>'1_入力シート【基本情報】'!$BS$333</f>
        <v>0</v>
      </c>
      <c r="C419" s="493" t="str">
        <f t="shared" ref="C419:E420" si="62">ASC($D419)</f>
        <v>0</v>
      </c>
      <c r="D419" s="107">
        <f>'1_入力シート【基本情報】'!$BS$333</f>
        <v>0</v>
      </c>
      <c r="E419" s="7" t="str">
        <f t="shared" si="62"/>
        <v>0</v>
      </c>
      <c r="F419" s="7" t="str">
        <f t="shared" si="56"/>
        <v>0</v>
      </c>
      <c r="G419" s="575"/>
      <c r="H419" s="565">
        <v>23</v>
      </c>
      <c r="I419" s="334" t="s">
        <v>33</v>
      </c>
      <c r="J419" s="357" t="s">
        <v>1407</v>
      </c>
      <c r="K419" s="322" t="s">
        <v>49</v>
      </c>
      <c r="L419" s="358" t="s">
        <v>1407</v>
      </c>
      <c r="M419" s="335" t="s">
        <v>2047</v>
      </c>
      <c r="N419" s="358" t="s">
        <v>1407</v>
      </c>
      <c r="O419" s="326" t="s">
        <v>387</v>
      </c>
      <c r="P419" s="332" t="s">
        <v>1879</v>
      </c>
      <c r="Q419" s="363" t="s">
        <v>1966</v>
      </c>
      <c r="R419" s="364"/>
      <c r="S419" s="364"/>
      <c r="T419" s="13" t="str">
        <f t="shared" si="58"/>
        <v>23調査結果-建築物の外部-2（9）-改善（予定）年月-年（令和）</v>
      </c>
      <c r="V419" s="349"/>
      <c r="W419" s="349"/>
      <c r="X419" s="349"/>
      <c r="Y419" s="75"/>
      <c r="Z419" s="75"/>
      <c r="AA419" s="75"/>
      <c r="AB419" s="75"/>
    </row>
    <row r="420" spans="2:28" ht="19">
      <c r="B420" s="107">
        <f>'1_入力シート【基本情報】'!$BV$333</f>
        <v>0</v>
      </c>
      <c r="C420" s="493" t="str">
        <f t="shared" si="62"/>
        <v>0</v>
      </c>
      <c r="D420" s="107">
        <f>'1_入力シート【基本情報】'!$BV$333</f>
        <v>0</v>
      </c>
      <c r="E420" s="7" t="str">
        <f t="shared" si="62"/>
        <v>0</v>
      </c>
      <c r="F420" s="7" t="str">
        <f t="shared" si="56"/>
        <v>0</v>
      </c>
      <c r="G420" s="575"/>
      <c r="H420" s="565">
        <v>23</v>
      </c>
      <c r="I420" s="334" t="s">
        <v>33</v>
      </c>
      <c r="J420" s="357" t="s">
        <v>1407</v>
      </c>
      <c r="K420" s="322" t="s">
        <v>49</v>
      </c>
      <c r="L420" s="358" t="s">
        <v>1407</v>
      </c>
      <c r="M420" s="335" t="s">
        <v>2047</v>
      </c>
      <c r="N420" s="358" t="s">
        <v>1407</v>
      </c>
      <c r="O420" s="326" t="s">
        <v>387</v>
      </c>
      <c r="P420" s="332" t="s">
        <v>1879</v>
      </c>
      <c r="Q420" s="363" t="s">
        <v>383</v>
      </c>
      <c r="R420" s="364"/>
      <c r="S420" s="364"/>
      <c r="T420" s="13" t="str">
        <f t="shared" si="58"/>
        <v>23調査結果-建築物の外部-2（9）-改善（予定）年月-月</v>
      </c>
      <c r="V420" s="349"/>
      <c r="W420" s="349"/>
      <c r="X420" s="349"/>
      <c r="Y420" s="75"/>
      <c r="Z420" s="75"/>
      <c r="AA420" s="75"/>
      <c r="AB420" s="75"/>
    </row>
    <row r="421" spans="2:28">
      <c r="B421" s="107">
        <f>'1_入力シート【基本情報】'!$BY$333</f>
        <v>0</v>
      </c>
      <c r="C421" s="4" t="str">
        <f t="shared" si="51"/>
        <v/>
      </c>
      <c r="D421" s="107">
        <f>'1_入力シート【基本情報】'!$BY$333</f>
        <v>0</v>
      </c>
      <c r="E421" s="564">
        <f>'1_入力シート【基本情報】'!$BY$333</f>
        <v>0</v>
      </c>
      <c r="F421" s="564" t="str">
        <f t="shared" si="56"/>
        <v>0</v>
      </c>
      <c r="G421" s="575"/>
      <c r="H421" s="565">
        <v>23</v>
      </c>
      <c r="I421" s="334" t="s">
        <v>33</v>
      </c>
      <c r="J421" s="357" t="s">
        <v>1407</v>
      </c>
      <c r="K421" s="322" t="s">
        <v>49</v>
      </c>
      <c r="L421" s="358" t="s">
        <v>1407</v>
      </c>
      <c r="M421" s="335" t="s">
        <v>2047</v>
      </c>
      <c r="N421" s="358" t="s">
        <v>1407</v>
      </c>
      <c r="O421" s="334" t="s">
        <v>387</v>
      </c>
      <c r="P421" s="332" t="s">
        <v>1879</v>
      </c>
      <c r="Q421" s="363" t="s">
        <v>675</v>
      </c>
      <c r="R421" s="364"/>
      <c r="S421" s="364"/>
      <c r="T421" s="13" t="str">
        <f t="shared" si="58"/>
        <v>23調査結果-建築物の外部-2（9）-改善（予定）年月-未定</v>
      </c>
      <c r="V421" s="349"/>
      <c r="W421" s="349"/>
      <c r="X421" s="349"/>
      <c r="Y421" s="75"/>
      <c r="Z421" s="75"/>
      <c r="AA421" s="75"/>
      <c r="AB421" s="75"/>
    </row>
    <row r="422" spans="2:28">
      <c r="B422" s="107">
        <f>'1_入力シート【基本情報】'!$AF$334</f>
        <v>0</v>
      </c>
      <c r="C422" s="4" t="str">
        <f t="shared" ref="C422:C485" si="63">MID(B422,2,14)</f>
        <v/>
      </c>
      <c r="D422" s="107" t="str">
        <f>C422</f>
        <v/>
      </c>
      <c r="E422" s="564" t="str">
        <f>D422</f>
        <v/>
      </c>
      <c r="F422" s="564" t="str">
        <f t="shared" si="56"/>
        <v/>
      </c>
      <c r="G422" s="575"/>
      <c r="H422" s="565">
        <v>23</v>
      </c>
      <c r="I422" s="334" t="s">
        <v>33</v>
      </c>
      <c r="J422" s="357" t="s">
        <v>1407</v>
      </c>
      <c r="K422" s="322" t="s">
        <v>49</v>
      </c>
      <c r="L422" s="358" t="s">
        <v>1407</v>
      </c>
      <c r="M422" s="335" t="s">
        <v>2048</v>
      </c>
      <c r="N422" s="358" t="s">
        <v>1407</v>
      </c>
      <c r="O422" s="334" t="s">
        <v>33</v>
      </c>
      <c r="P422" s="332"/>
      <c r="Q422" s="363"/>
      <c r="R422" s="364"/>
      <c r="S422" s="364"/>
      <c r="T422" s="13" t="str">
        <f t="shared" si="58"/>
        <v>23調査結果-建築物の外部-2（10）-調査結果</v>
      </c>
      <c r="V422" s="349"/>
      <c r="W422" s="349"/>
      <c r="X422" s="349"/>
      <c r="Y422" s="75"/>
      <c r="Z422" s="75"/>
      <c r="AA422" s="75"/>
      <c r="AB422" s="75"/>
    </row>
    <row r="423" spans="2:28">
      <c r="B423" s="107">
        <f>'1_入力シート【基本情報】'!$AR$334</f>
        <v>0</v>
      </c>
      <c r="C423" s="4" t="str">
        <f t="shared" si="63"/>
        <v/>
      </c>
      <c r="D423" s="107">
        <f>'1_入力シート【基本情報】'!$AR$334</f>
        <v>0</v>
      </c>
      <c r="E423" s="564">
        <f>'1_入力シート【基本情報】'!$AR$334</f>
        <v>0</v>
      </c>
      <c r="F423" s="564" t="str">
        <f t="shared" si="56"/>
        <v>0</v>
      </c>
      <c r="G423" s="575"/>
      <c r="H423" s="565">
        <v>23</v>
      </c>
      <c r="I423" s="334" t="s">
        <v>33</v>
      </c>
      <c r="J423" s="357" t="s">
        <v>1407</v>
      </c>
      <c r="K423" s="322" t="s">
        <v>49</v>
      </c>
      <c r="L423" s="358" t="s">
        <v>1407</v>
      </c>
      <c r="M423" s="335" t="s">
        <v>2048</v>
      </c>
      <c r="N423" s="358" t="s">
        <v>1407</v>
      </c>
      <c r="O423" s="334" t="s">
        <v>30</v>
      </c>
      <c r="P423" s="332"/>
      <c r="Q423" s="363"/>
      <c r="R423" s="364"/>
      <c r="S423" s="364"/>
      <c r="T423" s="13" t="str">
        <f t="shared" si="58"/>
        <v>23調査結果-建築物の外部-2（10）-調査者番号</v>
      </c>
      <c r="V423" s="349"/>
      <c r="W423" s="349"/>
      <c r="X423" s="349"/>
      <c r="Y423" s="75"/>
      <c r="Z423" s="75"/>
      <c r="AA423" s="75"/>
      <c r="AB423" s="75"/>
    </row>
    <row r="424" spans="2:28">
      <c r="B424" s="107">
        <f>'1_入力シート【基本情報】'!$AT$334</f>
        <v>0</v>
      </c>
      <c r="C424" s="4" t="str">
        <f t="shared" si="63"/>
        <v/>
      </c>
      <c r="D424" s="107">
        <f>'1_入力シート【基本情報】'!$AT$334</f>
        <v>0</v>
      </c>
      <c r="E424" s="564">
        <f>'1_入力シート【基本情報】'!$AT$334</f>
        <v>0</v>
      </c>
      <c r="F424" s="564" t="str">
        <f t="shared" si="56"/>
        <v>0</v>
      </c>
      <c r="G424" s="575"/>
      <c r="H424" s="565">
        <v>23</v>
      </c>
      <c r="I424" s="334" t="s">
        <v>33</v>
      </c>
      <c r="J424" s="357" t="s">
        <v>1407</v>
      </c>
      <c r="K424" s="322" t="s">
        <v>49</v>
      </c>
      <c r="L424" s="358" t="s">
        <v>1407</v>
      </c>
      <c r="M424" s="335" t="s">
        <v>2048</v>
      </c>
      <c r="N424" s="358" t="s">
        <v>1407</v>
      </c>
      <c r="O424" s="334" t="s">
        <v>2028</v>
      </c>
      <c r="P424" s="332"/>
      <c r="Q424" s="363"/>
      <c r="R424" s="364"/>
      <c r="S424" s="364"/>
      <c r="T424" s="13" t="str">
        <f t="shared" si="58"/>
        <v>23調査結果-建築物の外部-2（10）-指摘の具体的内容等</v>
      </c>
      <c r="V424" s="349"/>
      <c r="W424" s="349"/>
      <c r="X424" s="349"/>
      <c r="Y424" s="75"/>
      <c r="Z424" s="75"/>
      <c r="AA424" s="75"/>
      <c r="AB424" s="75"/>
    </row>
    <row r="425" spans="2:28">
      <c r="B425" s="107">
        <f>'1_入力シート【基本情報】'!$BD$334</f>
        <v>0</v>
      </c>
      <c r="C425" s="4" t="str">
        <f t="shared" si="63"/>
        <v/>
      </c>
      <c r="D425" s="107">
        <f>'1_入力シート【基本情報】'!$BD$334</f>
        <v>0</v>
      </c>
      <c r="E425" s="564">
        <f>'1_入力シート【基本情報】'!$BD$334</f>
        <v>0</v>
      </c>
      <c r="F425" s="564" t="str">
        <f t="shared" si="56"/>
        <v>0</v>
      </c>
      <c r="G425" s="575"/>
      <c r="H425" s="565">
        <v>23</v>
      </c>
      <c r="I425" s="334" t="s">
        <v>33</v>
      </c>
      <c r="J425" s="357" t="s">
        <v>1407</v>
      </c>
      <c r="K425" s="322" t="s">
        <v>49</v>
      </c>
      <c r="L425" s="358" t="s">
        <v>1407</v>
      </c>
      <c r="M425" s="335" t="s">
        <v>2048</v>
      </c>
      <c r="N425" s="358" t="s">
        <v>1407</v>
      </c>
      <c r="O425" s="326" t="s">
        <v>2029</v>
      </c>
      <c r="P425" s="332"/>
      <c r="Q425" s="363"/>
      <c r="R425" s="364"/>
      <c r="S425" s="364"/>
      <c r="T425" s="13" t="str">
        <f t="shared" si="58"/>
        <v>23調査結果-建築物の外部-2（10）-改善策の具体的内容等</v>
      </c>
      <c r="V425" s="349"/>
      <c r="W425" s="349"/>
      <c r="X425" s="202"/>
      <c r="Y425" s="75"/>
      <c r="Z425" s="75"/>
      <c r="AA425" s="75"/>
      <c r="AB425" s="75"/>
    </row>
    <row r="426" spans="2:28" ht="19">
      <c r="B426" s="107">
        <f>'1_入力シート【基本情報】'!$BS$334</f>
        <v>0</v>
      </c>
      <c r="C426" s="493" t="str">
        <f t="shared" ref="C426:E427" si="64">ASC($D426)</f>
        <v>0</v>
      </c>
      <c r="D426" s="107">
        <f>'1_入力シート【基本情報】'!$BS$334</f>
        <v>0</v>
      </c>
      <c r="E426" s="7" t="str">
        <f t="shared" si="64"/>
        <v>0</v>
      </c>
      <c r="F426" s="7" t="str">
        <f t="shared" si="56"/>
        <v>0</v>
      </c>
      <c r="G426" s="575"/>
      <c r="H426" s="565">
        <v>23</v>
      </c>
      <c r="I426" s="334" t="s">
        <v>33</v>
      </c>
      <c r="J426" s="357" t="s">
        <v>1407</v>
      </c>
      <c r="K426" s="322" t="s">
        <v>49</v>
      </c>
      <c r="L426" s="358" t="s">
        <v>1407</v>
      </c>
      <c r="M426" s="335" t="s">
        <v>2048</v>
      </c>
      <c r="N426" s="358" t="s">
        <v>1407</v>
      </c>
      <c r="O426" s="326" t="s">
        <v>387</v>
      </c>
      <c r="P426" s="332" t="s">
        <v>1879</v>
      </c>
      <c r="Q426" s="363" t="s">
        <v>1966</v>
      </c>
      <c r="R426" s="364"/>
      <c r="S426" s="364"/>
      <c r="T426" s="13" t="str">
        <f t="shared" si="58"/>
        <v>23調査結果-建築物の外部-2（10）-改善（予定）年月-年（令和）</v>
      </c>
      <c r="V426" s="349"/>
      <c r="W426" s="349"/>
      <c r="X426" s="349"/>
      <c r="Y426" s="75"/>
      <c r="Z426" s="75"/>
      <c r="AA426" s="75"/>
      <c r="AB426" s="75"/>
    </row>
    <row r="427" spans="2:28" ht="19">
      <c r="B427" s="107">
        <f>'1_入力シート【基本情報】'!$BV$334</f>
        <v>0</v>
      </c>
      <c r="C427" s="493" t="str">
        <f t="shared" si="64"/>
        <v>0</v>
      </c>
      <c r="D427" s="107">
        <f>'1_入力シート【基本情報】'!$BV$334</f>
        <v>0</v>
      </c>
      <c r="E427" s="7" t="str">
        <f t="shared" si="64"/>
        <v>0</v>
      </c>
      <c r="F427" s="7" t="str">
        <f t="shared" si="56"/>
        <v>0</v>
      </c>
      <c r="G427" s="575"/>
      <c r="H427" s="565">
        <v>23</v>
      </c>
      <c r="I427" s="334" t="s">
        <v>33</v>
      </c>
      <c r="J427" s="357" t="s">
        <v>1407</v>
      </c>
      <c r="K427" s="322" t="s">
        <v>49</v>
      </c>
      <c r="L427" s="358" t="s">
        <v>1407</v>
      </c>
      <c r="M427" s="335" t="s">
        <v>2048</v>
      </c>
      <c r="N427" s="358" t="s">
        <v>1407</v>
      </c>
      <c r="O427" s="326" t="s">
        <v>387</v>
      </c>
      <c r="P427" s="332" t="s">
        <v>1879</v>
      </c>
      <c r="Q427" s="363" t="s">
        <v>383</v>
      </c>
      <c r="R427" s="364"/>
      <c r="S427" s="364"/>
      <c r="T427" s="13" t="str">
        <f t="shared" si="58"/>
        <v>23調査結果-建築物の外部-2（10）-改善（予定）年月-月</v>
      </c>
      <c r="V427" s="349"/>
      <c r="W427" s="349"/>
      <c r="X427" s="349"/>
      <c r="Y427" s="75"/>
      <c r="Z427" s="75"/>
      <c r="AA427" s="75"/>
      <c r="AB427" s="75"/>
    </row>
    <row r="428" spans="2:28">
      <c r="B428" s="107">
        <f>'1_入力シート【基本情報】'!$BY$334</f>
        <v>0</v>
      </c>
      <c r="C428" s="4" t="str">
        <f t="shared" si="63"/>
        <v/>
      </c>
      <c r="D428" s="107">
        <f>'1_入力シート【基本情報】'!$BY$334</f>
        <v>0</v>
      </c>
      <c r="E428" s="564">
        <f>'1_入力シート【基本情報】'!$BY$334</f>
        <v>0</v>
      </c>
      <c r="F428" s="564" t="str">
        <f t="shared" si="56"/>
        <v>0</v>
      </c>
      <c r="G428" s="575"/>
      <c r="H428" s="565">
        <v>23</v>
      </c>
      <c r="I428" s="334" t="s">
        <v>33</v>
      </c>
      <c r="J428" s="357" t="s">
        <v>1407</v>
      </c>
      <c r="K428" s="322" t="s">
        <v>49</v>
      </c>
      <c r="L428" s="358" t="s">
        <v>1407</v>
      </c>
      <c r="M428" s="335" t="s">
        <v>2048</v>
      </c>
      <c r="N428" s="358" t="s">
        <v>1407</v>
      </c>
      <c r="O428" s="326" t="s">
        <v>387</v>
      </c>
      <c r="P428" s="332" t="s">
        <v>1879</v>
      </c>
      <c r="Q428" s="363" t="s">
        <v>675</v>
      </c>
      <c r="R428" s="364"/>
      <c r="S428" s="364"/>
      <c r="T428" s="13" t="str">
        <f t="shared" si="58"/>
        <v>23調査結果-建築物の外部-2（10）-改善（予定）年月-未定</v>
      </c>
      <c r="V428" s="349"/>
      <c r="W428" s="349"/>
      <c r="X428" s="349"/>
      <c r="Y428" s="75"/>
      <c r="Z428" s="75"/>
      <c r="AA428" s="75"/>
      <c r="AB428" s="75"/>
    </row>
    <row r="429" spans="2:28">
      <c r="B429" s="107">
        <f>'1_入力シート【基本情報】'!$AF$335</f>
        <v>0</v>
      </c>
      <c r="C429" s="4" t="str">
        <f t="shared" si="63"/>
        <v/>
      </c>
      <c r="D429" s="107" t="str">
        <f>C429</f>
        <v/>
      </c>
      <c r="E429" s="564" t="str">
        <f>D429</f>
        <v/>
      </c>
      <c r="F429" s="564" t="str">
        <f t="shared" si="56"/>
        <v/>
      </c>
      <c r="G429" s="575"/>
      <c r="H429" s="565">
        <v>23</v>
      </c>
      <c r="I429" s="334" t="s">
        <v>33</v>
      </c>
      <c r="J429" s="357" t="s">
        <v>1407</v>
      </c>
      <c r="K429" s="322" t="s">
        <v>49</v>
      </c>
      <c r="L429" s="358" t="s">
        <v>1407</v>
      </c>
      <c r="M429" s="335" t="s">
        <v>2049</v>
      </c>
      <c r="N429" s="358" t="s">
        <v>1407</v>
      </c>
      <c r="O429" s="334" t="s">
        <v>33</v>
      </c>
      <c r="P429" s="332"/>
      <c r="Q429" s="363"/>
      <c r="R429" s="364"/>
      <c r="S429" s="364"/>
      <c r="T429" s="13" t="str">
        <f t="shared" si="58"/>
        <v>23調査結果-建築物の外部-2（11）-調査結果</v>
      </c>
      <c r="V429" s="349"/>
      <c r="W429" s="349"/>
      <c r="X429" s="349"/>
      <c r="Y429" s="75"/>
      <c r="Z429" s="75"/>
      <c r="AA429" s="75"/>
      <c r="AB429" s="75"/>
    </row>
    <row r="430" spans="2:28">
      <c r="B430" s="107">
        <f>'1_入力シート【基本情報】'!$AR$335</f>
        <v>0</v>
      </c>
      <c r="C430" s="4" t="str">
        <f t="shared" si="63"/>
        <v/>
      </c>
      <c r="D430" s="107">
        <f>'1_入力シート【基本情報】'!$AR$335</f>
        <v>0</v>
      </c>
      <c r="E430" s="564">
        <f>'1_入力シート【基本情報】'!$AR$335</f>
        <v>0</v>
      </c>
      <c r="F430" s="564" t="str">
        <f t="shared" si="56"/>
        <v>0</v>
      </c>
      <c r="G430" s="575"/>
      <c r="H430" s="565">
        <v>23</v>
      </c>
      <c r="I430" s="334" t="s">
        <v>33</v>
      </c>
      <c r="J430" s="357" t="s">
        <v>1407</v>
      </c>
      <c r="K430" s="322" t="s">
        <v>49</v>
      </c>
      <c r="L430" s="358" t="s">
        <v>1407</v>
      </c>
      <c r="M430" s="335" t="s">
        <v>2049</v>
      </c>
      <c r="N430" s="358" t="s">
        <v>1407</v>
      </c>
      <c r="O430" s="334" t="s">
        <v>30</v>
      </c>
      <c r="P430" s="332"/>
      <c r="Q430" s="363"/>
      <c r="R430" s="364"/>
      <c r="S430" s="364"/>
      <c r="T430" s="13" t="str">
        <f t="shared" si="58"/>
        <v>23調査結果-建築物の外部-2（11）-調査者番号</v>
      </c>
      <c r="V430" s="349"/>
      <c r="W430" s="349"/>
      <c r="X430" s="349"/>
      <c r="Y430" s="75"/>
      <c r="Z430" s="75"/>
      <c r="AA430" s="75"/>
      <c r="AB430" s="75"/>
    </row>
    <row r="431" spans="2:28">
      <c r="B431" s="107">
        <f>'1_入力シート【基本情報】'!$AT$335</f>
        <v>0</v>
      </c>
      <c r="C431" s="4" t="str">
        <f t="shared" si="63"/>
        <v/>
      </c>
      <c r="D431" s="107">
        <f>'1_入力シート【基本情報】'!$AT$335</f>
        <v>0</v>
      </c>
      <c r="E431" s="564">
        <f>'1_入力シート【基本情報】'!$AT$335</f>
        <v>0</v>
      </c>
      <c r="F431" s="564" t="str">
        <f t="shared" si="56"/>
        <v>0</v>
      </c>
      <c r="G431" s="575"/>
      <c r="H431" s="565">
        <v>23</v>
      </c>
      <c r="I431" s="334" t="s">
        <v>33</v>
      </c>
      <c r="J431" s="357" t="s">
        <v>1407</v>
      </c>
      <c r="K431" s="322" t="s">
        <v>49</v>
      </c>
      <c r="L431" s="358" t="s">
        <v>1407</v>
      </c>
      <c r="M431" s="335" t="s">
        <v>2049</v>
      </c>
      <c r="N431" s="358" t="s">
        <v>1407</v>
      </c>
      <c r="O431" s="334" t="s">
        <v>2028</v>
      </c>
      <c r="P431" s="332"/>
      <c r="Q431" s="363"/>
      <c r="R431" s="364"/>
      <c r="S431" s="364"/>
      <c r="T431" s="13" t="str">
        <f t="shared" si="58"/>
        <v>23調査結果-建築物の外部-2（11）-指摘の具体的内容等</v>
      </c>
      <c r="V431" s="349"/>
      <c r="W431" s="349"/>
      <c r="X431" s="349"/>
      <c r="Y431" s="75"/>
      <c r="Z431" s="75"/>
      <c r="AA431" s="75"/>
      <c r="AB431" s="75"/>
    </row>
    <row r="432" spans="2:28">
      <c r="B432" s="107">
        <f>'1_入力シート【基本情報】'!$BD$335</f>
        <v>0</v>
      </c>
      <c r="C432" s="4" t="str">
        <f t="shared" si="63"/>
        <v/>
      </c>
      <c r="D432" s="107">
        <f>'1_入力シート【基本情報】'!$BD$335</f>
        <v>0</v>
      </c>
      <c r="E432" s="564">
        <f>'1_入力シート【基本情報】'!$BD$335</f>
        <v>0</v>
      </c>
      <c r="F432" s="564" t="str">
        <f t="shared" si="56"/>
        <v>0</v>
      </c>
      <c r="G432" s="575"/>
      <c r="H432" s="565">
        <v>23</v>
      </c>
      <c r="I432" s="334" t="s">
        <v>33</v>
      </c>
      <c r="J432" s="357" t="s">
        <v>1407</v>
      </c>
      <c r="K432" s="322" t="s">
        <v>49</v>
      </c>
      <c r="L432" s="358" t="s">
        <v>1407</v>
      </c>
      <c r="M432" s="335" t="s">
        <v>2049</v>
      </c>
      <c r="N432" s="358" t="s">
        <v>1407</v>
      </c>
      <c r="O432" s="334" t="s">
        <v>2029</v>
      </c>
      <c r="P432" s="332"/>
      <c r="Q432" s="363"/>
      <c r="R432" s="364"/>
      <c r="S432" s="364"/>
      <c r="T432" s="13" t="str">
        <f t="shared" si="58"/>
        <v>23調査結果-建築物の外部-2（11）-改善策の具体的内容等</v>
      </c>
      <c r="V432" s="349"/>
      <c r="W432" s="349"/>
      <c r="X432" s="349"/>
      <c r="Y432" s="75"/>
      <c r="Z432" s="75"/>
      <c r="AA432" s="75"/>
      <c r="AB432" s="75"/>
    </row>
    <row r="433" spans="2:28" ht="19">
      <c r="B433" s="107">
        <f>'1_入力シート【基本情報】'!$BS$335</f>
        <v>0</v>
      </c>
      <c r="C433" s="493" t="str">
        <f t="shared" ref="C433:E434" si="65">ASC($D433)</f>
        <v>0</v>
      </c>
      <c r="D433" s="107">
        <f>'1_入力シート【基本情報】'!$BS$335</f>
        <v>0</v>
      </c>
      <c r="E433" s="7" t="str">
        <f t="shared" si="65"/>
        <v>0</v>
      </c>
      <c r="F433" s="7" t="str">
        <f t="shared" si="56"/>
        <v>0</v>
      </c>
      <c r="G433" s="575"/>
      <c r="H433" s="565">
        <v>23</v>
      </c>
      <c r="I433" s="334" t="s">
        <v>33</v>
      </c>
      <c r="J433" s="357" t="s">
        <v>1407</v>
      </c>
      <c r="K433" s="322" t="s">
        <v>49</v>
      </c>
      <c r="L433" s="358" t="s">
        <v>1407</v>
      </c>
      <c r="M433" s="335" t="s">
        <v>2049</v>
      </c>
      <c r="N433" s="358" t="s">
        <v>1407</v>
      </c>
      <c r="O433" s="326" t="s">
        <v>387</v>
      </c>
      <c r="P433" s="332" t="s">
        <v>1879</v>
      </c>
      <c r="Q433" s="363" t="s">
        <v>1966</v>
      </c>
      <c r="R433" s="364"/>
      <c r="S433" s="364"/>
      <c r="T433" s="13" t="str">
        <f t="shared" si="58"/>
        <v>23調査結果-建築物の外部-2（11）-改善（予定）年月-年（令和）</v>
      </c>
      <c r="V433" s="349"/>
      <c r="W433" s="349"/>
      <c r="X433" s="349"/>
      <c r="Y433" s="75"/>
      <c r="Z433" s="75"/>
      <c r="AA433" s="75"/>
      <c r="AB433" s="75"/>
    </row>
    <row r="434" spans="2:28" ht="19">
      <c r="B434" s="107">
        <f>'1_入力シート【基本情報】'!$BV$335</f>
        <v>0</v>
      </c>
      <c r="C434" s="493" t="str">
        <f t="shared" si="65"/>
        <v>0</v>
      </c>
      <c r="D434" s="107">
        <f>'1_入力シート【基本情報】'!$BV$335</f>
        <v>0</v>
      </c>
      <c r="E434" s="7" t="str">
        <f t="shared" si="65"/>
        <v>0</v>
      </c>
      <c r="F434" s="7" t="str">
        <f t="shared" si="56"/>
        <v>0</v>
      </c>
      <c r="G434" s="575"/>
      <c r="H434" s="565">
        <v>23</v>
      </c>
      <c r="I434" s="334" t="s">
        <v>33</v>
      </c>
      <c r="J434" s="357" t="s">
        <v>1407</v>
      </c>
      <c r="K434" s="322" t="s">
        <v>49</v>
      </c>
      <c r="L434" s="358" t="s">
        <v>1407</v>
      </c>
      <c r="M434" s="335" t="s">
        <v>2049</v>
      </c>
      <c r="N434" s="358" t="s">
        <v>1407</v>
      </c>
      <c r="O434" s="326" t="s">
        <v>387</v>
      </c>
      <c r="P434" s="332" t="s">
        <v>1879</v>
      </c>
      <c r="Q434" s="363" t="s">
        <v>383</v>
      </c>
      <c r="R434" s="364"/>
      <c r="S434" s="364"/>
      <c r="T434" s="13" t="str">
        <f t="shared" si="58"/>
        <v>23調査結果-建築物の外部-2（11）-改善（予定）年月-月</v>
      </c>
      <c r="V434" s="349"/>
      <c r="W434" s="349"/>
      <c r="X434" s="349"/>
      <c r="Y434" s="75"/>
      <c r="Z434" s="75"/>
      <c r="AA434" s="75"/>
      <c r="AB434" s="75"/>
    </row>
    <row r="435" spans="2:28">
      <c r="B435" s="107">
        <f>'1_入力シート【基本情報】'!$BY$335</f>
        <v>0</v>
      </c>
      <c r="C435" s="4" t="str">
        <f t="shared" si="63"/>
        <v/>
      </c>
      <c r="D435" s="107">
        <f>'1_入力シート【基本情報】'!$BY$335</f>
        <v>0</v>
      </c>
      <c r="E435" s="564">
        <f>'1_入力シート【基本情報】'!$BY$335</f>
        <v>0</v>
      </c>
      <c r="F435" s="564" t="str">
        <f t="shared" si="56"/>
        <v>0</v>
      </c>
      <c r="G435" s="575"/>
      <c r="H435" s="565">
        <v>23</v>
      </c>
      <c r="I435" s="334" t="s">
        <v>33</v>
      </c>
      <c r="J435" s="357" t="s">
        <v>1407</v>
      </c>
      <c r="K435" s="322" t="s">
        <v>49</v>
      </c>
      <c r="L435" s="358" t="s">
        <v>1407</v>
      </c>
      <c r="M435" s="335" t="s">
        <v>2049</v>
      </c>
      <c r="N435" s="358" t="s">
        <v>1407</v>
      </c>
      <c r="O435" s="326" t="s">
        <v>387</v>
      </c>
      <c r="P435" s="332" t="s">
        <v>1879</v>
      </c>
      <c r="Q435" s="363" t="s">
        <v>675</v>
      </c>
      <c r="R435" s="364"/>
      <c r="S435" s="364"/>
      <c r="T435" s="13" t="str">
        <f t="shared" si="58"/>
        <v>23調査結果-建築物の外部-2（11）-改善（予定）年月-未定</v>
      </c>
      <c r="V435" s="349"/>
      <c r="W435" s="349"/>
      <c r="X435" s="349"/>
      <c r="Y435" s="75"/>
      <c r="Z435" s="75"/>
      <c r="AA435" s="75"/>
      <c r="AB435" s="75"/>
    </row>
    <row r="436" spans="2:28">
      <c r="B436" s="107">
        <f>'1_入力シート【基本情報】'!$AF$336</f>
        <v>0</v>
      </c>
      <c r="C436" s="4" t="str">
        <f t="shared" si="63"/>
        <v/>
      </c>
      <c r="D436" s="107" t="str">
        <f>C436</f>
        <v/>
      </c>
      <c r="E436" s="564" t="str">
        <f>D436</f>
        <v/>
      </c>
      <c r="F436" s="564" t="str">
        <f t="shared" si="56"/>
        <v/>
      </c>
      <c r="G436" s="575"/>
      <c r="H436" s="565">
        <v>23</v>
      </c>
      <c r="I436" s="334" t="s">
        <v>33</v>
      </c>
      <c r="J436" s="357" t="s">
        <v>1407</v>
      </c>
      <c r="K436" s="322" t="s">
        <v>49</v>
      </c>
      <c r="L436" s="358" t="s">
        <v>1407</v>
      </c>
      <c r="M436" s="335" t="s">
        <v>2050</v>
      </c>
      <c r="N436" s="358" t="s">
        <v>1407</v>
      </c>
      <c r="O436" s="326" t="s">
        <v>33</v>
      </c>
      <c r="P436" s="332"/>
      <c r="Q436" s="363"/>
      <c r="R436" s="364"/>
      <c r="S436" s="364"/>
      <c r="T436" s="13" t="str">
        <f t="shared" si="58"/>
        <v>23調査結果-建築物の外部-2（12）-調査結果</v>
      </c>
      <c r="V436" s="349"/>
      <c r="W436" s="349"/>
      <c r="X436" s="349"/>
      <c r="Y436" s="75"/>
      <c r="Z436" s="75"/>
      <c r="AA436" s="75"/>
      <c r="AB436" s="75"/>
    </row>
    <row r="437" spans="2:28">
      <c r="B437" s="107">
        <f>'1_入力シート【基本情報】'!$AR$336</f>
        <v>0</v>
      </c>
      <c r="C437" s="4" t="str">
        <f t="shared" si="63"/>
        <v/>
      </c>
      <c r="D437" s="107">
        <f>'1_入力シート【基本情報】'!$AR$336</f>
        <v>0</v>
      </c>
      <c r="E437" s="564">
        <f>'1_入力シート【基本情報】'!$AR$336</f>
        <v>0</v>
      </c>
      <c r="F437" s="564" t="str">
        <f t="shared" si="56"/>
        <v>0</v>
      </c>
      <c r="G437" s="575"/>
      <c r="H437" s="565">
        <v>23</v>
      </c>
      <c r="I437" s="334" t="s">
        <v>33</v>
      </c>
      <c r="J437" s="357" t="s">
        <v>1407</v>
      </c>
      <c r="K437" s="322" t="s">
        <v>49</v>
      </c>
      <c r="L437" s="358" t="s">
        <v>1407</v>
      </c>
      <c r="M437" s="335" t="s">
        <v>2050</v>
      </c>
      <c r="N437" s="358" t="s">
        <v>1407</v>
      </c>
      <c r="O437" s="334" t="s">
        <v>30</v>
      </c>
      <c r="P437" s="332"/>
      <c r="Q437" s="363"/>
      <c r="R437" s="364"/>
      <c r="S437" s="364"/>
      <c r="T437" s="13" t="str">
        <f t="shared" si="58"/>
        <v>23調査結果-建築物の外部-2（12）-調査者番号</v>
      </c>
      <c r="V437" s="349"/>
      <c r="W437" s="349"/>
      <c r="X437" s="349"/>
      <c r="Y437" s="75"/>
      <c r="Z437" s="75"/>
      <c r="AA437" s="75"/>
      <c r="AB437" s="75"/>
    </row>
    <row r="438" spans="2:28">
      <c r="B438" s="107">
        <f>'1_入力シート【基本情報】'!$AT$336</f>
        <v>0</v>
      </c>
      <c r="C438" s="4" t="str">
        <f t="shared" si="63"/>
        <v/>
      </c>
      <c r="D438" s="107">
        <f>'1_入力シート【基本情報】'!$AT$336</f>
        <v>0</v>
      </c>
      <c r="E438" s="564">
        <f>'1_入力シート【基本情報】'!$AT$336</f>
        <v>0</v>
      </c>
      <c r="F438" s="564" t="str">
        <f t="shared" si="56"/>
        <v>0</v>
      </c>
      <c r="G438" s="575"/>
      <c r="H438" s="565">
        <v>23</v>
      </c>
      <c r="I438" s="334" t="s">
        <v>33</v>
      </c>
      <c r="J438" s="357" t="s">
        <v>1407</v>
      </c>
      <c r="K438" s="322" t="s">
        <v>49</v>
      </c>
      <c r="L438" s="358" t="s">
        <v>1407</v>
      </c>
      <c r="M438" s="335" t="s">
        <v>2050</v>
      </c>
      <c r="N438" s="358" t="s">
        <v>1407</v>
      </c>
      <c r="O438" s="334" t="s">
        <v>2028</v>
      </c>
      <c r="P438" s="332"/>
      <c r="Q438" s="363"/>
      <c r="R438" s="364"/>
      <c r="S438" s="364"/>
      <c r="T438" s="13" t="str">
        <f t="shared" si="58"/>
        <v>23調査結果-建築物の外部-2（12）-指摘の具体的内容等</v>
      </c>
      <c r="V438" s="349"/>
      <c r="W438" s="349"/>
      <c r="X438" s="349"/>
      <c r="Y438" s="75"/>
      <c r="Z438" s="75"/>
      <c r="AA438" s="75"/>
      <c r="AB438" s="75"/>
    </row>
    <row r="439" spans="2:28">
      <c r="B439" s="107">
        <f>'1_入力シート【基本情報】'!$BD$336</f>
        <v>0</v>
      </c>
      <c r="C439" s="4" t="str">
        <f t="shared" si="63"/>
        <v/>
      </c>
      <c r="D439" s="107">
        <f>'1_入力シート【基本情報】'!$BD$336</f>
        <v>0</v>
      </c>
      <c r="E439" s="564">
        <f>'1_入力シート【基本情報】'!$BD$336</f>
        <v>0</v>
      </c>
      <c r="F439" s="564" t="str">
        <f t="shared" si="56"/>
        <v>0</v>
      </c>
      <c r="G439" s="575"/>
      <c r="H439" s="565">
        <v>23</v>
      </c>
      <c r="I439" s="334" t="s">
        <v>33</v>
      </c>
      <c r="J439" s="357" t="s">
        <v>1407</v>
      </c>
      <c r="K439" s="322" t="s">
        <v>49</v>
      </c>
      <c r="L439" s="358" t="s">
        <v>1407</v>
      </c>
      <c r="M439" s="335" t="s">
        <v>2050</v>
      </c>
      <c r="N439" s="358" t="s">
        <v>1407</v>
      </c>
      <c r="O439" s="334" t="s">
        <v>2029</v>
      </c>
      <c r="P439" s="332"/>
      <c r="Q439" s="363"/>
      <c r="R439" s="364"/>
      <c r="S439" s="364"/>
      <c r="T439" s="13" t="str">
        <f t="shared" si="58"/>
        <v>23調査結果-建築物の外部-2（12）-改善策の具体的内容等</v>
      </c>
      <c r="V439" s="349"/>
      <c r="W439" s="349"/>
      <c r="X439" s="349"/>
      <c r="Y439" s="75"/>
      <c r="Z439" s="75"/>
      <c r="AA439" s="75"/>
      <c r="AB439" s="75"/>
    </row>
    <row r="440" spans="2:28" ht="19">
      <c r="B440" s="107">
        <f>'1_入力シート【基本情報】'!$BS$336</f>
        <v>0</v>
      </c>
      <c r="C440" s="493" t="str">
        <f t="shared" ref="C440:E441" si="66">ASC($D440)</f>
        <v>0</v>
      </c>
      <c r="D440" s="107">
        <f>'1_入力シート【基本情報】'!$BS$336</f>
        <v>0</v>
      </c>
      <c r="E440" s="7" t="str">
        <f t="shared" si="66"/>
        <v>0</v>
      </c>
      <c r="F440" s="7" t="str">
        <f t="shared" si="56"/>
        <v>0</v>
      </c>
      <c r="G440" s="575"/>
      <c r="H440" s="565">
        <v>23</v>
      </c>
      <c r="I440" s="334" t="s">
        <v>33</v>
      </c>
      <c r="J440" s="357" t="s">
        <v>1407</v>
      </c>
      <c r="K440" s="322" t="s">
        <v>49</v>
      </c>
      <c r="L440" s="358" t="s">
        <v>1407</v>
      </c>
      <c r="M440" s="335" t="s">
        <v>2050</v>
      </c>
      <c r="N440" s="358" t="s">
        <v>1407</v>
      </c>
      <c r="O440" s="334" t="s">
        <v>387</v>
      </c>
      <c r="P440" s="332" t="s">
        <v>1879</v>
      </c>
      <c r="Q440" s="336" t="s">
        <v>1966</v>
      </c>
      <c r="R440" s="364"/>
      <c r="S440" s="364"/>
      <c r="T440" s="13" t="str">
        <f t="shared" si="58"/>
        <v>23調査結果-建築物の外部-2（12）-改善（予定）年月-年（令和）</v>
      </c>
      <c r="V440" s="349"/>
      <c r="W440" s="349"/>
      <c r="X440" s="349"/>
      <c r="Y440" s="75"/>
      <c r="Z440" s="75"/>
      <c r="AA440" s="75"/>
      <c r="AB440" s="75"/>
    </row>
    <row r="441" spans="2:28" ht="19">
      <c r="B441" s="107">
        <f>'1_入力シート【基本情報】'!$BV$336</f>
        <v>0</v>
      </c>
      <c r="C441" s="493" t="str">
        <f t="shared" si="66"/>
        <v>0</v>
      </c>
      <c r="D441" s="107">
        <f>'1_入力シート【基本情報】'!$BV$336</f>
        <v>0</v>
      </c>
      <c r="E441" s="7" t="str">
        <f t="shared" si="66"/>
        <v>0</v>
      </c>
      <c r="F441" s="7" t="str">
        <f t="shared" si="56"/>
        <v>0</v>
      </c>
      <c r="G441" s="575"/>
      <c r="H441" s="565">
        <v>23</v>
      </c>
      <c r="I441" s="334" t="s">
        <v>33</v>
      </c>
      <c r="J441" s="357" t="s">
        <v>1407</v>
      </c>
      <c r="K441" s="322" t="s">
        <v>49</v>
      </c>
      <c r="L441" s="358" t="s">
        <v>1407</v>
      </c>
      <c r="M441" s="335" t="s">
        <v>2050</v>
      </c>
      <c r="N441" s="358" t="s">
        <v>1407</v>
      </c>
      <c r="O441" s="326" t="s">
        <v>387</v>
      </c>
      <c r="P441" s="332" t="s">
        <v>1879</v>
      </c>
      <c r="Q441" s="363" t="s">
        <v>383</v>
      </c>
      <c r="R441" s="364"/>
      <c r="S441" s="364"/>
      <c r="T441" s="13" t="str">
        <f t="shared" si="58"/>
        <v>23調査結果-建築物の外部-2（12）-改善（予定）年月-月</v>
      </c>
      <c r="V441" s="349"/>
      <c r="W441" s="349"/>
      <c r="X441" s="349"/>
      <c r="Y441" s="75"/>
      <c r="Z441" s="75"/>
      <c r="AA441" s="75"/>
      <c r="AB441" s="75"/>
    </row>
    <row r="442" spans="2:28">
      <c r="B442" s="107">
        <f>'1_入力シート【基本情報】'!$BY$336</f>
        <v>0</v>
      </c>
      <c r="C442" s="4" t="str">
        <f t="shared" si="63"/>
        <v/>
      </c>
      <c r="D442" s="107">
        <f>'1_入力シート【基本情報】'!$BY$336</f>
        <v>0</v>
      </c>
      <c r="E442" s="564">
        <f>'1_入力シート【基本情報】'!$BY$336</f>
        <v>0</v>
      </c>
      <c r="F442" s="564" t="str">
        <f t="shared" si="56"/>
        <v>0</v>
      </c>
      <c r="G442" s="575"/>
      <c r="H442" s="565">
        <v>23</v>
      </c>
      <c r="I442" s="334" t="s">
        <v>33</v>
      </c>
      <c r="J442" s="357" t="s">
        <v>1407</v>
      </c>
      <c r="K442" s="322" t="s">
        <v>49</v>
      </c>
      <c r="L442" s="358" t="s">
        <v>1407</v>
      </c>
      <c r="M442" s="335" t="s">
        <v>2050</v>
      </c>
      <c r="N442" s="358" t="s">
        <v>1407</v>
      </c>
      <c r="O442" s="326" t="s">
        <v>387</v>
      </c>
      <c r="P442" s="332" t="s">
        <v>1879</v>
      </c>
      <c r="Q442" s="363" t="s">
        <v>675</v>
      </c>
      <c r="R442" s="364"/>
      <c r="S442" s="364"/>
      <c r="T442" s="13" t="str">
        <f t="shared" si="58"/>
        <v>23調査結果-建築物の外部-2（12）-改善（予定）年月-未定</v>
      </c>
      <c r="V442" s="349"/>
      <c r="W442" s="349"/>
      <c r="X442" s="349"/>
      <c r="Y442" s="75"/>
      <c r="Z442" s="75"/>
      <c r="AA442" s="75"/>
      <c r="AB442" s="75"/>
    </row>
    <row r="443" spans="2:28">
      <c r="B443" s="107">
        <f>'1_入力シート【基本情報】'!$AF$337</f>
        <v>0</v>
      </c>
      <c r="C443" s="4" t="str">
        <f t="shared" si="63"/>
        <v/>
      </c>
      <c r="D443" s="107" t="str">
        <f>C443</f>
        <v/>
      </c>
      <c r="E443" s="564" t="str">
        <f>D443</f>
        <v/>
      </c>
      <c r="F443" s="564" t="str">
        <f t="shared" si="56"/>
        <v/>
      </c>
      <c r="G443" s="575"/>
      <c r="H443" s="565">
        <v>23</v>
      </c>
      <c r="I443" s="334" t="s">
        <v>33</v>
      </c>
      <c r="J443" s="357" t="s">
        <v>1407</v>
      </c>
      <c r="K443" s="322" t="s">
        <v>49</v>
      </c>
      <c r="L443" s="358" t="s">
        <v>1407</v>
      </c>
      <c r="M443" s="335" t="s">
        <v>2051</v>
      </c>
      <c r="N443" s="358" t="s">
        <v>1407</v>
      </c>
      <c r="O443" s="326" t="s">
        <v>33</v>
      </c>
      <c r="P443" s="332"/>
      <c r="Q443" s="363"/>
      <c r="R443" s="364"/>
      <c r="S443" s="364"/>
      <c r="T443" s="13" t="str">
        <f t="shared" si="58"/>
        <v>23調査結果-建築物の外部-2（13）-調査結果</v>
      </c>
      <c r="V443" s="349"/>
      <c r="W443" s="349"/>
      <c r="X443" s="349"/>
      <c r="Y443" s="75"/>
      <c r="Z443" s="75"/>
      <c r="AA443" s="75"/>
      <c r="AB443" s="75"/>
    </row>
    <row r="444" spans="2:28">
      <c r="B444" s="107">
        <f>'1_入力シート【基本情報】'!$AR$337</f>
        <v>0</v>
      </c>
      <c r="C444" s="4" t="str">
        <f t="shared" si="63"/>
        <v/>
      </c>
      <c r="D444" s="107">
        <f>'1_入力シート【基本情報】'!$AR$337</f>
        <v>0</v>
      </c>
      <c r="E444" s="564">
        <f>'1_入力シート【基本情報】'!$AR$337</f>
        <v>0</v>
      </c>
      <c r="F444" s="564" t="str">
        <f t="shared" si="56"/>
        <v>0</v>
      </c>
      <c r="G444" s="575"/>
      <c r="H444" s="565">
        <v>23</v>
      </c>
      <c r="I444" s="334" t="s">
        <v>33</v>
      </c>
      <c r="J444" s="357" t="s">
        <v>1407</v>
      </c>
      <c r="K444" s="322" t="s">
        <v>49</v>
      </c>
      <c r="L444" s="358" t="s">
        <v>1407</v>
      </c>
      <c r="M444" s="335" t="s">
        <v>2051</v>
      </c>
      <c r="N444" s="358" t="s">
        <v>1407</v>
      </c>
      <c r="O444" s="326" t="s">
        <v>30</v>
      </c>
      <c r="P444" s="332"/>
      <c r="Q444" s="363"/>
      <c r="R444" s="364"/>
      <c r="S444" s="364"/>
      <c r="T444" s="13" t="str">
        <f t="shared" si="58"/>
        <v>23調査結果-建築物の外部-2（13）-調査者番号</v>
      </c>
      <c r="V444" s="349"/>
      <c r="W444" s="349"/>
      <c r="X444" s="349"/>
      <c r="Y444" s="75"/>
      <c r="Z444" s="75"/>
      <c r="AA444" s="75"/>
      <c r="AB444" s="75"/>
    </row>
    <row r="445" spans="2:28">
      <c r="B445" s="107">
        <f>'1_入力シート【基本情報】'!$AT$337</f>
        <v>0</v>
      </c>
      <c r="C445" s="4" t="str">
        <f t="shared" si="63"/>
        <v/>
      </c>
      <c r="D445" s="107">
        <f>'1_入力シート【基本情報】'!$AT$337</f>
        <v>0</v>
      </c>
      <c r="E445" s="564">
        <f>'1_入力シート【基本情報】'!$AT$337</f>
        <v>0</v>
      </c>
      <c r="F445" s="564" t="str">
        <f t="shared" si="56"/>
        <v>0</v>
      </c>
      <c r="G445" s="575"/>
      <c r="H445" s="565">
        <v>23</v>
      </c>
      <c r="I445" s="334" t="s">
        <v>33</v>
      </c>
      <c r="J445" s="357" t="s">
        <v>1407</v>
      </c>
      <c r="K445" s="322" t="s">
        <v>49</v>
      </c>
      <c r="L445" s="358" t="s">
        <v>1407</v>
      </c>
      <c r="M445" s="335" t="s">
        <v>2051</v>
      </c>
      <c r="N445" s="358" t="s">
        <v>1407</v>
      </c>
      <c r="O445" s="334" t="s">
        <v>2028</v>
      </c>
      <c r="P445" s="332"/>
      <c r="Q445" s="363"/>
      <c r="R445" s="364"/>
      <c r="S445" s="364"/>
      <c r="T445" s="13" t="str">
        <f t="shared" si="58"/>
        <v>23調査結果-建築物の外部-2（13）-指摘の具体的内容等</v>
      </c>
      <c r="V445" s="349"/>
      <c r="W445" s="349"/>
      <c r="X445" s="349"/>
      <c r="Y445" s="75"/>
      <c r="Z445" s="75"/>
      <c r="AA445" s="75"/>
      <c r="AB445" s="75"/>
    </row>
    <row r="446" spans="2:28">
      <c r="B446" s="107">
        <f>'1_入力シート【基本情報】'!$BD$337</f>
        <v>0</v>
      </c>
      <c r="C446" s="4" t="str">
        <f t="shared" si="63"/>
        <v/>
      </c>
      <c r="D446" s="107">
        <f>'1_入力シート【基本情報】'!$BD$337</f>
        <v>0</v>
      </c>
      <c r="E446" s="564">
        <f>'1_入力シート【基本情報】'!$BD$337</f>
        <v>0</v>
      </c>
      <c r="F446" s="564" t="str">
        <f t="shared" si="56"/>
        <v>0</v>
      </c>
      <c r="G446" s="575"/>
      <c r="H446" s="565">
        <v>23</v>
      </c>
      <c r="I446" s="334" t="s">
        <v>33</v>
      </c>
      <c r="J446" s="357" t="s">
        <v>1407</v>
      </c>
      <c r="K446" s="322" t="s">
        <v>49</v>
      </c>
      <c r="L446" s="358" t="s">
        <v>1407</v>
      </c>
      <c r="M446" s="335" t="s">
        <v>2051</v>
      </c>
      <c r="N446" s="358" t="s">
        <v>1407</v>
      </c>
      <c r="O446" s="334" t="s">
        <v>2029</v>
      </c>
      <c r="P446" s="332"/>
      <c r="Q446" s="363"/>
      <c r="R446" s="364"/>
      <c r="S446" s="364"/>
      <c r="T446" s="13" t="str">
        <f t="shared" si="58"/>
        <v>23調査結果-建築物の外部-2（13）-改善策の具体的内容等</v>
      </c>
      <c r="V446" s="349"/>
      <c r="W446" s="349"/>
      <c r="X446" s="349"/>
      <c r="Y446" s="75"/>
      <c r="Z446" s="75"/>
      <c r="AA446" s="75"/>
      <c r="AB446" s="75"/>
    </row>
    <row r="447" spans="2:28" ht="19">
      <c r="B447" s="107">
        <f>'1_入力シート【基本情報】'!$BS$337</f>
        <v>0</v>
      </c>
      <c r="C447" s="493" t="str">
        <f t="shared" ref="C447:E448" si="67">ASC($D447)</f>
        <v>0</v>
      </c>
      <c r="D447" s="107">
        <f>'1_入力シート【基本情報】'!$BS$337</f>
        <v>0</v>
      </c>
      <c r="E447" s="7" t="str">
        <f t="shared" si="67"/>
        <v>0</v>
      </c>
      <c r="F447" s="7" t="str">
        <f t="shared" si="56"/>
        <v>0</v>
      </c>
      <c r="G447" s="575"/>
      <c r="H447" s="565">
        <v>23</v>
      </c>
      <c r="I447" s="334" t="s">
        <v>33</v>
      </c>
      <c r="J447" s="357" t="s">
        <v>1407</v>
      </c>
      <c r="K447" s="322" t="s">
        <v>49</v>
      </c>
      <c r="L447" s="358" t="s">
        <v>1407</v>
      </c>
      <c r="M447" s="335" t="s">
        <v>2051</v>
      </c>
      <c r="N447" s="358" t="s">
        <v>1407</v>
      </c>
      <c r="O447" s="334" t="s">
        <v>387</v>
      </c>
      <c r="P447" s="332" t="s">
        <v>1879</v>
      </c>
      <c r="Q447" s="363" t="s">
        <v>1966</v>
      </c>
      <c r="R447" s="364"/>
      <c r="S447" s="364"/>
      <c r="T447" s="13" t="str">
        <f t="shared" si="58"/>
        <v>23調査結果-建築物の外部-2（13）-改善（予定）年月-年（令和）</v>
      </c>
      <c r="V447" s="349"/>
      <c r="W447" s="349"/>
      <c r="X447" s="349"/>
      <c r="Y447" s="75"/>
      <c r="Z447" s="75"/>
      <c r="AA447" s="75"/>
      <c r="AB447" s="75"/>
    </row>
    <row r="448" spans="2:28" ht="19">
      <c r="B448" s="107">
        <f>'1_入力シート【基本情報】'!$BV$337</f>
        <v>0</v>
      </c>
      <c r="C448" s="493" t="str">
        <f t="shared" si="67"/>
        <v>0</v>
      </c>
      <c r="D448" s="107">
        <f>'1_入力シート【基本情報】'!$BV$337</f>
        <v>0</v>
      </c>
      <c r="E448" s="7" t="str">
        <f t="shared" si="67"/>
        <v>0</v>
      </c>
      <c r="F448" s="7" t="str">
        <f t="shared" si="56"/>
        <v>0</v>
      </c>
      <c r="G448" s="575"/>
      <c r="H448" s="565">
        <v>23</v>
      </c>
      <c r="I448" s="334" t="s">
        <v>33</v>
      </c>
      <c r="J448" s="357" t="s">
        <v>1407</v>
      </c>
      <c r="K448" s="322" t="s">
        <v>49</v>
      </c>
      <c r="L448" s="358" t="s">
        <v>1407</v>
      </c>
      <c r="M448" s="335" t="s">
        <v>2051</v>
      </c>
      <c r="N448" s="358" t="s">
        <v>1407</v>
      </c>
      <c r="O448" s="334" t="s">
        <v>387</v>
      </c>
      <c r="P448" s="332" t="s">
        <v>1879</v>
      </c>
      <c r="Q448" s="363" t="s">
        <v>383</v>
      </c>
      <c r="R448" s="364"/>
      <c r="S448" s="364"/>
      <c r="T448" s="13" t="str">
        <f t="shared" si="58"/>
        <v>23調査結果-建築物の外部-2（13）-改善（予定）年月-月</v>
      </c>
      <c r="V448" s="349"/>
      <c r="W448" s="349"/>
      <c r="X448" s="349"/>
      <c r="Y448" s="75"/>
      <c r="Z448" s="75"/>
      <c r="AA448" s="75"/>
      <c r="AB448" s="75"/>
    </row>
    <row r="449" spans="2:28">
      <c r="B449" s="107">
        <f>'1_入力シート【基本情報】'!$BY$337</f>
        <v>0</v>
      </c>
      <c r="C449" s="4" t="str">
        <f t="shared" si="63"/>
        <v/>
      </c>
      <c r="D449" s="107">
        <f>'1_入力シート【基本情報】'!$BY$337</f>
        <v>0</v>
      </c>
      <c r="E449" s="564">
        <f>'1_入力シート【基本情報】'!$BY$337</f>
        <v>0</v>
      </c>
      <c r="F449" s="564" t="str">
        <f t="shared" si="56"/>
        <v>0</v>
      </c>
      <c r="G449" s="575"/>
      <c r="H449" s="565">
        <v>23</v>
      </c>
      <c r="I449" s="334" t="s">
        <v>33</v>
      </c>
      <c r="J449" s="357" t="s">
        <v>1407</v>
      </c>
      <c r="K449" s="322" t="s">
        <v>49</v>
      </c>
      <c r="L449" s="358" t="s">
        <v>1407</v>
      </c>
      <c r="M449" s="335" t="s">
        <v>2051</v>
      </c>
      <c r="N449" s="358" t="s">
        <v>1407</v>
      </c>
      <c r="O449" s="326" t="s">
        <v>387</v>
      </c>
      <c r="P449" s="332" t="s">
        <v>1879</v>
      </c>
      <c r="Q449" s="363" t="s">
        <v>675</v>
      </c>
      <c r="R449" s="364"/>
      <c r="S449" s="364"/>
      <c r="T449" s="13" t="str">
        <f t="shared" si="58"/>
        <v>23調査結果-建築物の外部-2（13）-改善（予定）年月-未定</v>
      </c>
      <c r="V449" s="349"/>
      <c r="W449" s="349"/>
      <c r="X449" s="349"/>
      <c r="Y449" s="75"/>
      <c r="Z449" s="75"/>
      <c r="AA449" s="75"/>
      <c r="AB449" s="75"/>
    </row>
    <row r="450" spans="2:28">
      <c r="B450" s="107">
        <f>'1_入力シート【基本情報】'!$AF$338</f>
        <v>0</v>
      </c>
      <c r="C450" s="4" t="str">
        <f t="shared" si="63"/>
        <v/>
      </c>
      <c r="D450" s="107" t="str">
        <f>C450</f>
        <v/>
      </c>
      <c r="E450" s="564" t="str">
        <f>D450</f>
        <v/>
      </c>
      <c r="F450" s="564" t="str">
        <f t="shared" si="56"/>
        <v/>
      </c>
      <c r="G450" s="575"/>
      <c r="H450" s="565">
        <v>23</v>
      </c>
      <c r="I450" s="334" t="s">
        <v>33</v>
      </c>
      <c r="J450" s="357" t="s">
        <v>1407</v>
      </c>
      <c r="K450" s="322" t="s">
        <v>49</v>
      </c>
      <c r="L450" s="358" t="s">
        <v>1407</v>
      </c>
      <c r="M450" s="335" t="s">
        <v>2052</v>
      </c>
      <c r="N450" s="358" t="s">
        <v>1407</v>
      </c>
      <c r="O450" s="326" t="s">
        <v>33</v>
      </c>
      <c r="P450" s="332"/>
      <c r="Q450" s="363"/>
      <c r="R450" s="364"/>
      <c r="S450" s="364"/>
      <c r="T450" s="13" t="str">
        <f t="shared" si="58"/>
        <v>23調査結果-建築物の外部-2（14）-調査結果</v>
      </c>
      <c r="V450" s="349"/>
      <c r="W450" s="349"/>
      <c r="X450" s="349"/>
    </row>
    <row r="451" spans="2:28">
      <c r="B451" s="107">
        <f>'1_入力シート【基本情報】'!$AR$338</f>
        <v>0</v>
      </c>
      <c r="C451" s="4" t="str">
        <f t="shared" si="63"/>
        <v/>
      </c>
      <c r="D451" s="107">
        <f>'1_入力シート【基本情報】'!$AR$338</f>
        <v>0</v>
      </c>
      <c r="E451" s="564">
        <f>'1_入力シート【基本情報】'!$AR$338</f>
        <v>0</v>
      </c>
      <c r="F451" s="564" t="str">
        <f t="shared" si="56"/>
        <v>0</v>
      </c>
      <c r="G451" s="575"/>
      <c r="H451" s="565">
        <v>23</v>
      </c>
      <c r="I451" s="334" t="s">
        <v>33</v>
      </c>
      <c r="J451" s="357" t="s">
        <v>1407</v>
      </c>
      <c r="K451" s="322" t="s">
        <v>49</v>
      </c>
      <c r="L451" s="358" t="s">
        <v>1407</v>
      </c>
      <c r="M451" s="335" t="s">
        <v>2052</v>
      </c>
      <c r="N451" s="358" t="s">
        <v>1407</v>
      </c>
      <c r="O451" s="326" t="s">
        <v>30</v>
      </c>
      <c r="P451" s="332"/>
      <c r="Q451" s="363"/>
      <c r="R451" s="203"/>
      <c r="S451" s="203"/>
      <c r="T451" s="13" t="str">
        <f t="shared" si="58"/>
        <v>23調査結果-建築物の外部-2（14）-調査者番号</v>
      </c>
      <c r="V451" s="349"/>
      <c r="W451" s="349"/>
      <c r="X451" s="349"/>
      <c r="Y451" s="75"/>
      <c r="Z451" s="75"/>
      <c r="AA451" s="75"/>
      <c r="AB451" s="75"/>
    </row>
    <row r="452" spans="2:28">
      <c r="B452" s="107">
        <f>'1_入力シート【基本情報】'!$AT$338</f>
        <v>0</v>
      </c>
      <c r="C452" s="4" t="str">
        <f t="shared" si="63"/>
        <v/>
      </c>
      <c r="D452" s="107">
        <f>'1_入力シート【基本情報】'!$AT$338</f>
        <v>0</v>
      </c>
      <c r="E452" s="564">
        <f>'1_入力シート【基本情報】'!$AT$338</f>
        <v>0</v>
      </c>
      <c r="F452" s="564" t="str">
        <f t="shared" si="56"/>
        <v>0</v>
      </c>
      <c r="G452" s="575"/>
      <c r="H452" s="565">
        <v>23</v>
      </c>
      <c r="I452" s="334" t="s">
        <v>33</v>
      </c>
      <c r="J452" s="357" t="s">
        <v>1407</v>
      </c>
      <c r="K452" s="322" t="s">
        <v>49</v>
      </c>
      <c r="L452" s="358" t="s">
        <v>1407</v>
      </c>
      <c r="M452" s="335" t="s">
        <v>2052</v>
      </c>
      <c r="N452" s="358" t="s">
        <v>1407</v>
      </c>
      <c r="O452" s="326" t="s">
        <v>2028</v>
      </c>
      <c r="P452" s="332"/>
      <c r="Q452" s="363"/>
      <c r="R452" s="364"/>
      <c r="S452" s="364"/>
      <c r="T452" s="13" t="str">
        <f t="shared" si="58"/>
        <v>23調査結果-建築物の外部-2（14）-指摘の具体的内容等</v>
      </c>
      <c r="V452" s="349"/>
      <c r="W452" s="349"/>
      <c r="X452" s="349"/>
      <c r="Y452" s="75"/>
      <c r="Z452" s="75"/>
      <c r="AA452" s="75"/>
      <c r="AB452" s="75"/>
    </row>
    <row r="453" spans="2:28">
      <c r="B453" s="107">
        <f>'1_入力シート【基本情報】'!$BD$338</f>
        <v>0</v>
      </c>
      <c r="C453" s="4" t="str">
        <f t="shared" si="63"/>
        <v/>
      </c>
      <c r="D453" s="107">
        <f>'1_入力シート【基本情報】'!$BD$338</f>
        <v>0</v>
      </c>
      <c r="E453" s="564">
        <f>'1_入力シート【基本情報】'!$BD$338</f>
        <v>0</v>
      </c>
      <c r="F453" s="564" t="str">
        <f t="shared" ref="F453:F516" si="68">SUBSTITUTE(E453,CHAR(10),"")</f>
        <v>0</v>
      </c>
      <c r="G453" s="575"/>
      <c r="H453" s="565">
        <v>23</v>
      </c>
      <c r="I453" s="334" t="s">
        <v>33</v>
      </c>
      <c r="J453" s="357" t="s">
        <v>1407</v>
      </c>
      <c r="K453" s="322" t="s">
        <v>49</v>
      </c>
      <c r="L453" s="358" t="s">
        <v>1407</v>
      </c>
      <c r="M453" s="335" t="s">
        <v>2052</v>
      </c>
      <c r="N453" s="358" t="s">
        <v>1407</v>
      </c>
      <c r="O453" s="334" t="s">
        <v>2029</v>
      </c>
      <c r="P453" s="332"/>
      <c r="Q453" s="363"/>
      <c r="R453" s="364"/>
      <c r="S453" s="364"/>
      <c r="T453" s="13" t="str">
        <f t="shared" si="58"/>
        <v>23調査結果-建築物の外部-2（14）-改善策の具体的内容等</v>
      </c>
      <c r="V453" s="349"/>
      <c r="W453" s="349"/>
      <c r="X453" s="349"/>
      <c r="Y453" s="75"/>
      <c r="Z453" s="75"/>
      <c r="AA453" s="75"/>
      <c r="AB453" s="75"/>
    </row>
    <row r="454" spans="2:28" ht="19">
      <c r="B454" s="107">
        <f>'1_入力シート【基本情報】'!$BS$338</f>
        <v>0</v>
      </c>
      <c r="C454" s="493" t="str">
        <f t="shared" ref="C454:E455" si="69">ASC($D454)</f>
        <v>0</v>
      </c>
      <c r="D454" s="107">
        <f>'1_入力シート【基本情報】'!$BS$338</f>
        <v>0</v>
      </c>
      <c r="E454" s="7" t="str">
        <f t="shared" si="69"/>
        <v>0</v>
      </c>
      <c r="F454" s="7" t="str">
        <f t="shared" si="68"/>
        <v>0</v>
      </c>
      <c r="G454" s="575"/>
      <c r="H454" s="565">
        <v>23</v>
      </c>
      <c r="I454" s="334" t="s">
        <v>33</v>
      </c>
      <c r="J454" s="357" t="s">
        <v>1407</v>
      </c>
      <c r="K454" s="322" t="s">
        <v>49</v>
      </c>
      <c r="L454" s="358" t="s">
        <v>1407</v>
      </c>
      <c r="M454" s="335" t="s">
        <v>2052</v>
      </c>
      <c r="N454" s="358" t="s">
        <v>1407</v>
      </c>
      <c r="O454" s="334" t="s">
        <v>387</v>
      </c>
      <c r="P454" s="332" t="s">
        <v>1879</v>
      </c>
      <c r="Q454" s="363" t="s">
        <v>1966</v>
      </c>
      <c r="R454" s="364"/>
      <c r="S454" s="364"/>
      <c r="T454" s="13" t="str">
        <f t="shared" si="58"/>
        <v>23調査結果-建築物の外部-2（14）-改善（予定）年月-年（令和）</v>
      </c>
      <c r="V454" s="202"/>
      <c r="W454" s="202"/>
      <c r="X454" s="349"/>
      <c r="Y454" s="75"/>
      <c r="Z454" s="75"/>
      <c r="AA454" s="75"/>
      <c r="AB454" s="75"/>
    </row>
    <row r="455" spans="2:28" ht="19">
      <c r="B455" s="107">
        <f>'1_入力シート【基本情報】'!$BV$338</f>
        <v>0</v>
      </c>
      <c r="C455" s="493" t="str">
        <f t="shared" si="69"/>
        <v>0</v>
      </c>
      <c r="D455" s="107">
        <f>'1_入力シート【基本情報】'!$BV$338</f>
        <v>0</v>
      </c>
      <c r="E455" s="7" t="str">
        <f t="shared" si="69"/>
        <v>0</v>
      </c>
      <c r="F455" s="7" t="str">
        <f t="shared" si="68"/>
        <v>0</v>
      </c>
      <c r="G455" s="575"/>
      <c r="H455" s="565">
        <v>23</v>
      </c>
      <c r="I455" s="334" t="s">
        <v>33</v>
      </c>
      <c r="J455" s="357" t="s">
        <v>1407</v>
      </c>
      <c r="K455" s="322" t="s">
        <v>49</v>
      </c>
      <c r="L455" s="358" t="s">
        <v>1407</v>
      </c>
      <c r="M455" s="335" t="s">
        <v>2052</v>
      </c>
      <c r="N455" s="358" t="s">
        <v>1407</v>
      </c>
      <c r="O455" s="334" t="s">
        <v>387</v>
      </c>
      <c r="P455" s="332" t="s">
        <v>1879</v>
      </c>
      <c r="Q455" s="363" t="s">
        <v>383</v>
      </c>
      <c r="R455" s="364"/>
      <c r="S455" s="364"/>
      <c r="T455" s="13" t="str">
        <f t="shared" si="58"/>
        <v>23調査結果-建築物の外部-2（14）-改善（予定）年月-月</v>
      </c>
      <c r="V455" s="349"/>
      <c r="W455" s="349"/>
      <c r="X455" s="349"/>
      <c r="Y455" s="75"/>
      <c r="Z455" s="75"/>
      <c r="AA455" s="75"/>
      <c r="AB455" s="75"/>
    </row>
    <row r="456" spans="2:28">
      <c r="B456" s="107">
        <f>'1_入力シート【基本情報】'!$BY$338</f>
        <v>0</v>
      </c>
      <c r="C456" s="4" t="str">
        <f t="shared" si="63"/>
        <v/>
      </c>
      <c r="D456" s="107">
        <f>'1_入力シート【基本情報】'!$BY$338</f>
        <v>0</v>
      </c>
      <c r="E456" s="564">
        <f>'1_入力シート【基本情報】'!$BY$338</f>
        <v>0</v>
      </c>
      <c r="F456" s="564" t="str">
        <f t="shared" si="68"/>
        <v>0</v>
      </c>
      <c r="G456" s="575"/>
      <c r="H456" s="565">
        <v>23</v>
      </c>
      <c r="I456" s="334" t="s">
        <v>33</v>
      </c>
      <c r="J456" s="357" t="s">
        <v>1407</v>
      </c>
      <c r="K456" s="322" t="s">
        <v>49</v>
      </c>
      <c r="L456" s="358" t="s">
        <v>1407</v>
      </c>
      <c r="M456" s="335" t="s">
        <v>2052</v>
      </c>
      <c r="N456" s="358" t="s">
        <v>1407</v>
      </c>
      <c r="O456" s="334" t="s">
        <v>387</v>
      </c>
      <c r="P456" s="332" t="s">
        <v>1879</v>
      </c>
      <c r="Q456" s="363" t="s">
        <v>675</v>
      </c>
      <c r="R456" s="364"/>
      <c r="S456" s="364"/>
      <c r="T456" s="13" t="str">
        <f t="shared" si="58"/>
        <v>23調査結果-建築物の外部-2（14）-改善（予定）年月-未定</v>
      </c>
      <c r="V456" s="349"/>
      <c r="W456" s="349"/>
      <c r="X456" s="349"/>
      <c r="Y456" s="75"/>
      <c r="Z456" s="75"/>
      <c r="AA456" s="75"/>
      <c r="AB456" s="75"/>
    </row>
    <row r="457" spans="2:28">
      <c r="B457" s="107">
        <f>'1_入力シート【基本情報】'!$AF$339</f>
        <v>0</v>
      </c>
      <c r="C457" s="4" t="str">
        <f t="shared" si="63"/>
        <v/>
      </c>
      <c r="D457" s="107" t="str">
        <f>C457</f>
        <v/>
      </c>
      <c r="E457" s="564" t="str">
        <f>D457</f>
        <v/>
      </c>
      <c r="F457" s="564" t="str">
        <f t="shared" si="68"/>
        <v/>
      </c>
      <c r="G457" s="575"/>
      <c r="H457" s="565">
        <v>23</v>
      </c>
      <c r="I457" s="334" t="s">
        <v>33</v>
      </c>
      <c r="J457" s="357" t="s">
        <v>1407</v>
      </c>
      <c r="K457" s="322" t="s">
        <v>49</v>
      </c>
      <c r="L457" s="358" t="s">
        <v>1407</v>
      </c>
      <c r="M457" s="335" t="s">
        <v>2053</v>
      </c>
      <c r="N457" s="358" t="s">
        <v>1407</v>
      </c>
      <c r="O457" s="326" t="s">
        <v>33</v>
      </c>
      <c r="P457" s="332"/>
      <c r="Q457" s="363"/>
      <c r="R457" s="364"/>
      <c r="S457" s="364"/>
      <c r="T457" s="13" t="str">
        <f t="shared" si="58"/>
        <v>23調査結果-建築物の外部-2（15）-調査結果</v>
      </c>
      <c r="V457" s="349"/>
      <c r="W457" s="349"/>
      <c r="X457" s="349"/>
      <c r="Y457" s="75"/>
      <c r="Z457" s="75"/>
      <c r="AA457" s="75"/>
      <c r="AB457" s="75"/>
    </row>
    <row r="458" spans="2:28">
      <c r="B458" s="107">
        <f>'1_入力シート【基本情報】'!$AR$339</f>
        <v>0</v>
      </c>
      <c r="C458" s="4" t="str">
        <f t="shared" si="63"/>
        <v/>
      </c>
      <c r="D458" s="107">
        <f>'1_入力シート【基本情報】'!$AR$339</f>
        <v>0</v>
      </c>
      <c r="E458" s="564">
        <f>'1_入力シート【基本情報】'!$AR$339</f>
        <v>0</v>
      </c>
      <c r="F458" s="564" t="str">
        <f t="shared" si="68"/>
        <v>0</v>
      </c>
      <c r="G458" s="575"/>
      <c r="H458" s="565">
        <v>23</v>
      </c>
      <c r="I458" s="334" t="s">
        <v>33</v>
      </c>
      <c r="J458" s="357" t="s">
        <v>1407</v>
      </c>
      <c r="K458" s="322" t="s">
        <v>49</v>
      </c>
      <c r="L458" s="358" t="s">
        <v>1407</v>
      </c>
      <c r="M458" s="335" t="s">
        <v>2053</v>
      </c>
      <c r="N458" s="358" t="s">
        <v>1407</v>
      </c>
      <c r="O458" s="326" t="s">
        <v>30</v>
      </c>
      <c r="P458" s="332"/>
      <c r="Q458" s="363"/>
      <c r="R458" s="364"/>
      <c r="S458" s="364"/>
      <c r="T458" s="13" t="str">
        <f t="shared" si="58"/>
        <v>23調査結果-建築物の外部-2（15）-調査者番号</v>
      </c>
      <c r="V458" s="349"/>
      <c r="W458" s="349"/>
      <c r="X458" s="349"/>
      <c r="Y458" s="75"/>
      <c r="Z458" s="75"/>
      <c r="AA458" s="75"/>
      <c r="AB458" s="75"/>
    </row>
    <row r="459" spans="2:28">
      <c r="B459" s="107">
        <f>'1_入力シート【基本情報】'!$AT$339</f>
        <v>0</v>
      </c>
      <c r="C459" s="4" t="str">
        <f t="shared" si="63"/>
        <v/>
      </c>
      <c r="D459" s="107">
        <f>'1_入力シート【基本情報】'!$AT$339</f>
        <v>0</v>
      </c>
      <c r="E459" s="564">
        <f>'1_入力シート【基本情報】'!$AT$339</f>
        <v>0</v>
      </c>
      <c r="F459" s="564" t="str">
        <f t="shared" si="68"/>
        <v>0</v>
      </c>
      <c r="G459" s="575"/>
      <c r="H459" s="565">
        <v>23</v>
      </c>
      <c r="I459" s="334" t="s">
        <v>33</v>
      </c>
      <c r="J459" s="357" t="s">
        <v>1407</v>
      </c>
      <c r="K459" s="322" t="s">
        <v>49</v>
      </c>
      <c r="L459" s="358" t="s">
        <v>1407</v>
      </c>
      <c r="M459" s="335" t="s">
        <v>2053</v>
      </c>
      <c r="N459" s="358" t="s">
        <v>1407</v>
      </c>
      <c r="O459" s="326" t="s">
        <v>2028</v>
      </c>
      <c r="P459" s="332"/>
      <c r="Q459" s="363"/>
      <c r="R459" s="364"/>
      <c r="S459" s="364"/>
      <c r="T459" s="13" t="str">
        <f t="shared" si="58"/>
        <v>23調査結果-建築物の外部-2（15）-指摘の具体的内容等</v>
      </c>
      <c r="V459" s="349"/>
      <c r="W459" s="349"/>
      <c r="X459" s="349"/>
      <c r="Y459" s="75"/>
      <c r="Z459" s="75"/>
      <c r="AA459" s="75"/>
      <c r="AB459" s="75"/>
    </row>
    <row r="460" spans="2:28">
      <c r="B460" s="107">
        <f>'1_入力シート【基本情報】'!$BD$339</f>
        <v>0</v>
      </c>
      <c r="C460" s="4" t="str">
        <f t="shared" si="63"/>
        <v/>
      </c>
      <c r="D460" s="107">
        <f>'1_入力シート【基本情報】'!$BD$339</f>
        <v>0</v>
      </c>
      <c r="E460" s="564">
        <f>'1_入力シート【基本情報】'!$BD$339</f>
        <v>0</v>
      </c>
      <c r="F460" s="564" t="str">
        <f t="shared" si="68"/>
        <v>0</v>
      </c>
      <c r="G460" s="24"/>
      <c r="H460" s="565">
        <v>23</v>
      </c>
      <c r="I460" s="334" t="s">
        <v>33</v>
      </c>
      <c r="J460" s="357" t="s">
        <v>1407</v>
      </c>
      <c r="K460" s="322" t="s">
        <v>49</v>
      </c>
      <c r="L460" s="358" t="s">
        <v>1407</v>
      </c>
      <c r="M460" s="335" t="s">
        <v>2053</v>
      </c>
      <c r="N460" s="358" t="s">
        <v>1407</v>
      </c>
      <c r="O460" s="326" t="s">
        <v>2029</v>
      </c>
      <c r="P460" s="332"/>
      <c r="Q460" s="363"/>
      <c r="R460" s="364"/>
      <c r="S460" s="364"/>
      <c r="T460" s="13" t="str">
        <f t="shared" si="58"/>
        <v>23調査結果-建築物の外部-2（15）-改善策の具体的内容等</v>
      </c>
      <c r="V460" s="349"/>
      <c r="W460" s="349"/>
      <c r="X460" s="349"/>
      <c r="Y460" s="75"/>
      <c r="Z460" s="75"/>
      <c r="AA460" s="75"/>
      <c r="AB460" s="75"/>
    </row>
    <row r="461" spans="2:28" ht="19">
      <c r="B461" s="107">
        <f>'1_入力シート【基本情報】'!$BS$339</f>
        <v>0</v>
      </c>
      <c r="C461" s="493" t="str">
        <f t="shared" ref="C461:E462" si="70">ASC($D461)</f>
        <v>0</v>
      </c>
      <c r="D461" s="107">
        <f>'1_入力シート【基本情報】'!$BS$339</f>
        <v>0</v>
      </c>
      <c r="E461" s="7" t="str">
        <f t="shared" si="70"/>
        <v>0</v>
      </c>
      <c r="F461" s="7" t="str">
        <f t="shared" si="68"/>
        <v>0</v>
      </c>
      <c r="G461" s="575"/>
      <c r="H461" s="565">
        <v>23</v>
      </c>
      <c r="I461" s="334" t="s">
        <v>33</v>
      </c>
      <c r="J461" s="357" t="s">
        <v>1407</v>
      </c>
      <c r="K461" s="322" t="s">
        <v>49</v>
      </c>
      <c r="L461" s="358" t="s">
        <v>1407</v>
      </c>
      <c r="M461" s="335" t="s">
        <v>2053</v>
      </c>
      <c r="N461" s="358" t="s">
        <v>1407</v>
      </c>
      <c r="O461" s="334" t="s">
        <v>387</v>
      </c>
      <c r="P461" s="332" t="s">
        <v>1879</v>
      </c>
      <c r="Q461" s="363" t="s">
        <v>1966</v>
      </c>
      <c r="R461" s="364"/>
      <c r="S461" s="364"/>
      <c r="T461" s="13" t="str">
        <f t="shared" ref="T461:T587" si="71">CONCATENATE(H461,I461,J461,K461,L461,M461,N461,O461,P461,Q461)</f>
        <v>23調査結果-建築物の外部-2（15）-改善（予定）年月-年（令和）</v>
      </c>
      <c r="V461" s="349"/>
      <c r="W461" s="349"/>
      <c r="X461" s="349"/>
      <c r="Y461" s="75"/>
      <c r="Z461" s="75"/>
      <c r="AA461" s="75"/>
      <c r="AB461" s="75"/>
    </row>
    <row r="462" spans="2:28" ht="19">
      <c r="B462" s="107">
        <f>'1_入力シート【基本情報】'!$BV$339</f>
        <v>0</v>
      </c>
      <c r="C462" s="493" t="str">
        <f t="shared" si="70"/>
        <v>0</v>
      </c>
      <c r="D462" s="107">
        <f>'1_入力シート【基本情報】'!$BV$339</f>
        <v>0</v>
      </c>
      <c r="E462" s="7" t="str">
        <f t="shared" si="70"/>
        <v>0</v>
      </c>
      <c r="F462" s="7" t="str">
        <f t="shared" si="68"/>
        <v>0</v>
      </c>
      <c r="G462" s="575"/>
      <c r="H462" s="565">
        <v>23</v>
      </c>
      <c r="I462" s="334" t="s">
        <v>33</v>
      </c>
      <c r="J462" s="357" t="s">
        <v>1407</v>
      </c>
      <c r="K462" s="322" t="s">
        <v>49</v>
      </c>
      <c r="L462" s="358" t="s">
        <v>1407</v>
      </c>
      <c r="M462" s="335" t="s">
        <v>2053</v>
      </c>
      <c r="N462" s="358" t="s">
        <v>1407</v>
      </c>
      <c r="O462" s="334" t="s">
        <v>387</v>
      </c>
      <c r="P462" s="332" t="s">
        <v>1879</v>
      </c>
      <c r="Q462" s="363" t="s">
        <v>383</v>
      </c>
      <c r="R462" s="364"/>
      <c r="S462" s="364"/>
      <c r="T462" s="13" t="str">
        <f t="shared" si="71"/>
        <v>23調査結果-建築物の外部-2（15）-改善（予定）年月-月</v>
      </c>
      <c r="V462" s="349"/>
      <c r="W462" s="349"/>
      <c r="X462" s="349"/>
      <c r="Y462" s="75"/>
      <c r="Z462" s="75"/>
      <c r="AA462" s="75"/>
      <c r="AB462" s="75"/>
    </row>
    <row r="463" spans="2:28">
      <c r="B463" s="107">
        <f>'1_入力シート【基本情報】'!$BY$339</f>
        <v>0</v>
      </c>
      <c r="C463" s="4" t="str">
        <f t="shared" si="63"/>
        <v/>
      </c>
      <c r="D463" s="107">
        <f>'1_入力シート【基本情報】'!$BY$339</f>
        <v>0</v>
      </c>
      <c r="E463" s="564">
        <f>'1_入力シート【基本情報】'!$BY$339</f>
        <v>0</v>
      </c>
      <c r="F463" s="564" t="str">
        <f t="shared" si="68"/>
        <v>0</v>
      </c>
      <c r="G463" s="575"/>
      <c r="H463" s="565">
        <v>23</v>
      </c>
      <c r="I463" s="334" t="s">
        <v>33</v>
      </c>
      <c r="J463" s="357" t="s">
        <v>1407</v>
      </c>
      <c r="K463" s="322" t="s">
        <v>49</v>
      </c>
      <c r="L463" s="358" t="s">
        <v>1407</v>
      </c>
      <c r="M463" s="335" t="s">
        <v>2053</v>
      </c>
      <c r="N463" s="358" t="s">
        <v>1407</v>
      </c>
      <c r="O463" s="334" t="s">
        <v>387</v>
      </c>
      <c r="P463" s="332" t="s">
        <v>1879</v>
      </c>
      <c r="Q463" s="363" t="s">
        <v>675</v>
      </c>
      <c r="R463" s="364"/>
      <c r="S463" s="364"/>
      <c r="T463" s="13" t="str">
        <f t="shared" si="71"/>
        <v>23調査結果-建築物の外部-2（15）-改善（予定）年月-未定</v>
      </c>
      <c r="V463" s="349"/>
      <c r="W463" s="349"/>
      <c r="X463" s="349"/>
    </row>
    <row r="464" spans="2:28">
      <c r="B464" s="107">
        <f>'1_入力シート【基本情報】'!$AF$340</f>
        <v>0</v>
      </c>
      <c r="C464" s="4" t="str">
        <f t="shared" si="63"/>
        <v/>
      </c>
      <c r="D464" s="107" t="str">
        <f>C464</f>
        <v/>
      </c>
      <c r="E464" s="564" t="str">
        <f>D464</f>
        <v/>
      </c>
      <c r="F464" s="564" t="str">
        <f t="shared" si="68"/>
        <v/>
      </c>
      <c r="G464" s="575"/>
      <c r="H464" s="565">
        <v>23</v>
      </c>
      <c r="I464" s="334" t="s">
        <v>33</v>
      </c>
      <c r="J464" s="357" t="s">
        <v>1407</v>
      </c>
      <c r="K464" s="322" t="s">
        <v>49</v>
      </c>
      <c r="L464" s="358" t="s">
        <v>1407</v>
      </c>
      <c r="M464" s="335" t="s">
        <v>2054</v>
      </c>
      <c r="N464" s="358" t="s">
        <v>1407</v>
      </c>
      <c r="O464" s="334" t="s">
        <v>33</v>
      </c>
      <c r="P464" s="332"/>
      <c r="Q464" s="363"/>
      <c r="R464" s="364"/>
      <c r="S464" s="364"/>
      <c r="T464" s="13" t="str">
        <f t="shared" si="71"/>
        <v>23調査結果-建築物の外部-2（16）-調査結果</v>
      </c>
      <c r="V464" s="349"/>
      <c r="W464" s="349"/>
      <c r="X464" s="349"/>
      <c r="Y464" s="75"/>
      <c r="Z464" s="75"/>
      <c r="AA464" s="75"/>
      <c r="AB464" s="75"/>
    </row>
    <row r="465" spans="2:28">
      <c r="B465" s="107">
        <f>'1_入力シート【基本情報】'!$AR$340</f>
        <v>0</v>
      </c>
      <c r="C465" s="4" t="str">
        <f t="shared" si="63"/>
        <v/>
      </c>
      <c r="D465" s="107">
        <f>'1_入力シート【基本情報】'!$AR$340</f>
        <v>0</v>
      </c>
      <c r="E465" s="564">
        <f>'1_入力シート【基本情報】'!$AR$340</f>
        <v>0</v>
      </c>
      <c r="F465" s="564" t="str">
        <f t="shared" si="68"/>
        <v>0</v>
      </c>
      <c r="G465" s="575"/>
      <c r="H465" s="565">
        <v>23</v>
      </c>
      <c r="I465" s="334" t="s">
        <v>33</v>
      </c>
      <c r="J465" s="357" t="s">
        <v>1407</v>
      </c>
      <c r="K465" s="322" t="s">
        <v>49</v>
      </c>
      <c r="L465" s="358" t="s">
        <v>1407</v>
      </c>
      <c r="M465" s="335" t="s">
        <v>2054</v>
      </c>
      <c r="N465" s="358" t="s">
        <v>1407</v>
      </c>
      <c r="O465" s="326" t="s">
        <v>30</v>
      </c>
      <c r="P465" s="332"/>
      <c r="Q465" s="363"/>
      <c r="R465" s="364"/>
      <c r="S465" s="364"/>
      <c r="T465" s="13" t="str">
        <f t="shared" si="71"/>
        <v>23調査結果-建築物の外部-2（16）-調査者番号</v>
      </c>
      <c r="V465" s="349"/>
      <c r="W465" s="349"/>
      <c r="X465" s="349"/>
      <c r="Y465" s="75"/>
      <c r="Z465" s="75"/>
      <c r="AA465" s="75"/>
      <c r="AB465" s="75"/>
    </row>
    <row r="466" spans="2:28">
      <c r="B466" s="107">
        <f>'1_入力シート【基本情報】'!$AT$340</f>
        <v>0</v>
      </c>
      <c r="C466" s="4" t="str">
        <f t="shared" si="63"/>
        <v/>
      </c>
      <c r="D466" s="107">
        <f>'1_入力シート【基本情報】'!$AT$340</f>
        <v>0</v>
      </c>
      <c r="E466" s="564">
        <f>'1_入力シート【基本情報】'!$AT$340</f>
        <v>0</v>
      </c>
      <c r="F466" s="564" t="str">
        <f t="shared" si="68"/>
        <v>0</v>
      </c>
      <c r="G466" s="575"/>
      <c r="H466" s="565">
        <v>23</v>
      </c>
      <c r="I466" s="334" t="s">
        <v>33</v>
      </c>
      <c r="J466" s="357" t="s">
        <v>1407</v>
      </c>
      <c r="K466" s="322" t="s">
        <v>49</v>
      </c>
      <c r="L466" s="358" t="s">
        <v>1407</v>
      </c>
      <c r="M466" s="335" t="s">
        <v>2054</v>
      </c>
      <c r="N466" s="358" t="s">
        <v>1407</v>
      </c>
      <c r="O466" s="326" t="s">
        <v>2028</v>
      </c>
      <c r="P466" s="332"/>
      <c r="Q466" s="363"/>
      <c r="R466" s="364"/>
      <c r="S466" s="364"/>
      <c r="T466" s="13" t="str">
        <f t="shared" si="71"/>
        <v>23調査結果-建築物の外部-2（16）-指摘の具体的内容等</v>
      </c>
      <c r="V466" s="349"/>
      <c r="W466" s="349"/>
      <c r="X466" s="349"/>
      <c r="Y466" s="75"/>
      <c r="Z466" s="75"/>
      <c r="AA466" s="75"/>
      <c r="AB466" s="75"/>
    </row>
    <row r="467" spans="2:28">
      <c r="B467" s="107">
        <f>'1_入力シート【基本情報】'!$BD$340</f>
        <v>0</v>
      </c>
      <c r="C467" s="4" t="str">
        <f t="shared" si="63"/>
        <v/>
      </c>
      <c r="D467" s="107">
        <f>'1_入力シート【基本情報】'!$BD$340</f>
        <v>0</v>
      </c>
      <c r="E467" s="564">
        <f>'1_入力シート【基本情報】'!$BD$340</f>
        <v>0</v>
      </c>
      <c r="F467" s="564" t="str">
        <f t="shared" si="68"/>
        <v>0</v>
      </c>
      <c r="G467" s="575"/>
      <c r="H467" s="565">
        <v>23</v>
      </c>
      <c r="I467" s="334" t="s">
        <v>33</v>
      </c>
      <c r="J467" s="357" t="s">
        <v>1407</v>
      </c>
      <c r="K467" s="322" t="s">
        <v>49</v>
      </c>
      <c r="L467" s="358" t="s">
        <v>1407</v>
      </c>
      <c r="M467" s="335" t="s">
        <v>2054</v>
      </c>
      <c r="N467" s="358" t="s">
        <v>1407</v>
      </c>
      <c r="O467" s="326" t="s">
        <v>2029</v>
      </c>
      <c r="P467" s="332"/>
      <c r="Q467" s="363"/>
      <c r="R467" s="364"/>
      <c r="S467" s="364"/>
      <c r="T467" s="13" t="str">
        <f t="shared" si="71"/>
        <v>23調査結果-建築物の外部-2（16）-改善策の具体的内容等</v>
      </c>
      <c r="V467" s="202"/>
      <c r="W467" s="202"/>
      <c r="X467" s="349"/>
      <c r="Y467" s="75"/>
      <c r="Z467" s="75"/>
      <c r="AA467" s="75"/>
      <c r="AB467" s="75"/>
    </row>
    <row r="468" spans="2:28" ht="19">
      <c r="B468" s="107">
        <f>'1_入力シート【基本情報】'!$BS$340</f>
        <v>0</v>
      </c>
      <c r="C468" s="493" t="str">
        <f t="shared" ref="C468:E469" si="72">ASC($D468)</f>
        <v>0</v>
      </c>
      <c r="D468" s="107">
        <f>'1_入力シート【基本情報】'!$BS$340</f>
        <v>0</v>
      </c>
      <c r="E468" s="7" t="str">
        <f t="shared" si="72"/>
        <v>0</v>
      </c>
      <c r="F468" s="7" t="str">
        <f t="shared" si="68"/>
        <v>0</v>
      </c>
      <c r="G468" s="575"/>
      <c r="H468" s="565">
        <v>23</v>
      </c>
      <c r="I468" s="334" t="s">
        <v>33</v>
      </c>
      <c r="J468" s="357" t="s">
        <v>1407</v>
      </c>
      <c r="K468" s="322" t="s">
        <v>49</v>
      </c>
      <c r="L468" s="358" t="s">
        <v>1407</v>
      </c>
      <c r="M468" s="335" t="s">
        <v>2054</v>
      </c>
      <c r="N468" s="358" t="s">
        <v>1407</v>
      </c>
      <c r="O468" s="326" t="s">
        <v>387</v>
      </c>
      <c r="P468" s="332" t="s">
        <v>1879</v>
      </c>
      <c r="Q468" s="363" t="s">
        <v>1966</v>
      </c>
      <c r="R468" s="364"/>
      <c r="S468" s="364"/>
      <c r="T468" s="13" t="str">
        <f t="shared" si="71"/>
        <v>23調査結果-建築物の外部-2（16）-改善（予定）年月-年（令和）</v>
      </c>
      <c r="V468" s="349"/>
      <c r="W468" s="349"/>
      <c r="X468" s="349"/>
      <c r="Y468" s="75"/>
      <c r="Z468" s="75"/>
      <c r="AA468" s="75"/>
      <c r="AB468" s="75"/>
    </row>
    <row r="469" spans="2:28" ht="19">
      <c r="B469" s="107">
        <f>'1_入力シート【基本情報】'!$BV$340</f>
        <v>0</v>
      </c>
      <c r="C469" s="493" t="str">
        <f t="shared" si="72"/>
        <v>0</v>
      </c>
      <c r="D469" s="107">
        <f>'1_入力シート【基本情報】'!$BV$340</f>
        <v>0</v>
      </c>
      <c r="E469" s="7" t="str">
        <f t="shared" si="72"/>
        <v>0</v>
      </c>
      <c r="F469" s="7" t="str">
        <f t="shared" si="68"/>
        <v>0</v>
      </c>
      <c r="G469" s="575"/>
      <c r="H469" s="565">
        <v>23</v>
      </c>
      <c r="I469" s="334" t="s">
        <v>33</v>
      </c>
      <c r="J469" s="357" t="s">
        <v>1407</v>
      </c>
      <c r="K469" s="322" t="s">
        <v>49</v>
      </c>
      <c r="L469" s="358" t="s">
        <v>1407</v>
      </c>
      <c r="M469" s="335" t="s">
        <v>2054</v>
      </c>
      <c r="N469" s="358" t="s">
        <v>1407</v>
      </c>
      <c r="O469" s="334" t="s">
        <v>387</v>
      </c>
      <c r="P469" s="332" t="s">
        <v>1879</v>
      </c>
      <c r="Q469" s="363" t="s">
        <v>383</v>
      </c>
      <c r="R469" s="364"/>
      <c r="S469" s="364"/>
      <c r="T469" s="13" t="str">
        <f t="shared" si="71"/>
        <v>23調査結果-建築物の外部-2（16）-改善（予定）年月-月</v>
      </c>
      <c r="V469" s="349"/>
      <c r="W469" s="349"/>
      <c r="X469" s="202"/>
      <c r="Y469" s="75"/>
      <c r="Z469" s="75"/>
      <c r="AA469" s="75"/>
      <c r="AB469" s="75"/>
    </row>
    <row r="470" spans="2:28">
      <c r="B470" s="107">
        <f>'1_入力シート【基本情報】'!$BY$340</f>
        <v>0</v>
      </c>
      <c r="C470" s="4" t="str">
        <f t="shared" si="63"/>
        <v/>
      </c>
      <c r="D470" s="107">
        <f>'1_入力シート【基本情報】'!$BY$340</f>
        <v>0</v>
      </c>
      <c r="E470" s="564">
        <f>'1_入力シート【基本情報】'!$BY$340</f>
        <v>0</v>
      </c>
      <c r="F470" s="564" t="str">
        <f t="shared" si="68"/>
        <v>0</v>
      </c>
      <c r="G470" s="575"/>
      <c r="H470" s="565">
        <v>23</v>
      </c>
      <c r="I470" s="334" t="s">
        <v>33</v>
      </c>
      <c r="J470" s="357" t="s">
        <v>1407</v>
      </c>
      <c r="K470" s="322" t="s">
        <v>49</v>
      </c>
      <c r="L470" s="358" t="s">
        <v>1407</v>
      </c>
      <c r="M470" s="335" t="s">
        <v>2054</v>
      </c>
      <c r="N470" s="358" t="s">
        <v>1407</v>
      </c>
      <c r="O470" s="334" t="s">
        <v>387</v>
      </c>
      <c r="P470" s="332" t="s">
        <v>1879</v>
      </c>
      <c r="Q470" s="363" t="s">
        <v>675</v>
      </c>
      <c r="R470" s="364"/>
      <c r="S470" s="364"/>
      <c r="T470" s="13" t="str">
        <f t="shared" si="71"/>
        <v>23調査結果-建築物の外部-2（16）-改善（予定）年月-未定</v>
      </c>
      <c r="V470" s="349"/>
      <c r="W470" s="349"/>
      <c r="X470" s="349"/>
      <c r="Y470" s="75"/>
      <c r="Z470" s="75"/>
      <c r="AA470" s="75"/>
      <c r="AB470" s="75"/>
    </row>
    <row r="471" spans="2:28">
      <c r="B471" s="107">
        <f>'1_入力シート【基本情報】'!$AF$341</f>
        <v>0</v>
      </c>
      <c r="C471" s="4" t="str">
        <f t="shared" si="63"/>
        <v/>
      </c>
      <c r="D471" s="107" t="str">
        <f>C471</f>
        <v/>
      </c>
      <c r="E471" s="564" t="str">
        <f>D471</f>
        <v/>
      </c>
      <c r="F471" s="564" t="str">
        <f t="shared" si="68"/>
        <v/>
      </c>
      <c r="G471" s="575"/>
      <c r="H471" s="565">
        <v>23</v>
      </c>
      <c r="I471" s="334" t="s">
        <v>33</v>
      </c>
      <c r="J471" s="357" t="s">
        <v>1407</v>
      </c>
      <c r="K471" s="322" t="s">
        <v>49</v>
      </c>
      <c r="L471" s="358" t="s">
        <v>1407</v>
      </c>
      <c r="M471" s="335" t="s">
        <v>2055</v>
      </c>
      <c r="N471" s="358" t="s">
        <v>1407</v>
      </c>
      <c r="O471" s="334" t="s">
        <v>33</v>
      </c>
      <c r="P471" s="332"/>
      <c r="Q471" s="363"/>
      <c r="R471" s="364"/>
      <c r="S471" s="364"/>
      <c r="T471" s="13" t="str">
        <f t="shared" si="71"/>
        <v>23調査結果-建築物の外部-2（17）-調査結果</v>
      </c>
      <c r="V471" s="349"/>
      <c r="W471" s="349"/>
      <c r="X471" s="349"/>
      <c r="Y471" s="75"/>
      <c r="Z471" s="75"/>
      <c r="AA471" s="75"/>
      <c r="AB471" s="75"/>
    </row>
    <row r="472" spans="2:28">
      <c r="B472" s="107">
        <f>'1_入力シート【基本情報】'!$AR$341</f>
        <v>0</v>
      </c>
      <c r="C472" s="4" t="str">
        <f t="shared" si="63"/>
        <v/>
      </c>
      <c r="D472" s="107">
        <f>'1_入力シート【基本情報】'!$AR$341</f>
        <v>0</v>
      </c>
      <c r="E472" s="564">
        <f>'1_入力シート【基本情報】'!$AR$341</f>
        <v>0</v>
      </c>
      <c r="F472" s="564" t="str">
        <f t="shared" si="68"/>
        <v>0</v>
      </c>
      <c r="G472" s="575"/>
      <c r="H472" s="565">
        <v>23</v>
      </c>
      <c r="I472" s="334" t="s">
        <v>33</v>
      </c>
      <c r="J472" s="357" t="s">
        <v>1407</v>
      </c>
      <c r="K472" s="322" t="s">
        <v>49</v>
      </c>
      <c r="L472" s="358" t="s">
        <v>1407</v>
      </c>
      <c r="M472" s="335" t="s">
        <v>2055</v>
      </c>
      <c r="N472" s="358" t="s">
        <v>1407</v>
      </c>
      <c r="O472" s="334" t="s">
        <v>30</v>
      </c>
      <c r="P472" s="332"/>
      <c r="Q472" s="363"/>
      <c r="R472" s="364"/>
      <c r="S472" s="364"/>
      <c r="T472" s="13" t="str">
        <f t="shared" si="71"/>
        <v>23調査結果-建築物の外部-2（17）-調査者番号</v>
      </c>
      <c r="V472" s="349"/>
      <c r="W472" s="349"/>
      <c r="X472" s="349"/>
      <c r="Y472" s="75"/>
      <c r="Z472" s="75"/>
      <c r="AA472" s="75"/>
      <c r="AB472" s="75"/>
    </row>
    <row r="473" spans="2:28">
      <c r="B473" s="107">
        <f>'1_入力シート【基本情報】'!$AT$341</f>
        <v>0</v>
      </c>
      <c r="C473" s="4" t="str">
        <f t="shared" si="63"/>
        <v/>
      </c>
      <c r="D473" s="107">
        <f>'1_入力シート【基本情報】'!$AT$341</f>
        <v>0</v>
      </c>
      <c r="E473" s="564">
        <f>'1_入力シート【基本情報】'!$AT$341</f>
        <v>0</v>
      </c>
      <c r="F473" s="564" t="str">
        <f t="shared" si="68"/>
        <v>0</v>
      </c>
      <c r="G473" s="24"/>
      <c r="H473" s="565">
        <v>23</v>
      </c>
      <c r="I473" s="334" t="s">
        <v>33</v>
      </c>
      <c r="J473" s="357" t="s">
        <v>1407</v>
      </c>
      <c r="K473" s="322" t="s">
        <v>49</v>
      </c>
      <c r="L473" s="358" t="s">
        <v>1407</v>
      </c>
      <c r="M473" s="335" t="s">
        <v>2055</v>
      </c>
      <c r="N473" s="358" t="s">
        <v>1407</v>
      </c>
      <c r="O473" s="326" t="s">
        <v>2028</v>
      </c>
      <c r="P473" s="332"/>
      <c r="Q473" s="363"/>
      <c r="R473" s="364"/>
      <c r="S473" s="364"/>
      <c r="T473" s="13" t="str">
        <f t="shared" si="71"/>
        <v>23調査結果-建築物の外部-2（17）-指摘の具体的内容等</v>
      </c>
      <c r="V473" s="349"/>
      <c r="W473" s="349"/>
      <c r="X473" s="349"/>
      <c r="Y473" s="75"/>
      <c r="Z473" s="75"/>
      <c r="AA473" s="75"/>
      <c r="AB473" s="75"/>
    </row>
    <row r="474" spans="2:28">
      <c r="B474" s="107">
        <f>'1_入力シート【基本情報】'!$BD$341</f>
        <v>0</v>
      </c>
      <c r="C474" s="4" t="str">
        <f t="shared" si="63"/>
        <v/>
      </c>
      <c r="D474" s="107">
        <f>'1_入力シート【基本情報】'!$BD$341</f>
        <v>0</v>
      </c>
      <c r="E474" s="564">
        <f>'1_入力シート【基本情報】'!$BD$341</f>
        <v>0</v>
      </c>
      <c r="F474" s="564" t="str">
        <f t="shared" si="68"/>
        <v>0</v>
      </c>
      <c r="G474" s="575"/>
      <c r="H474" s="565">
        <v>23</v>
      </c>
      <c r="I474" s="334" t="s">
        <v>33</v>
      </c>
      <c r="J474" s="357" t="s">
        <v>1407</v>
      </c>
      <c r="K474" s="322" t="s">
        <v>49</v>
      </c>
      <c r="L474" s="358" t="s">
        <v>1407</v>
      </c>
      <c r="M474" s="335" t="s">
        <v>2055</v>
      </c>
      <c r="N474" s="358" t="s">
        <v>1407</v>
      </c>
      <c r="O474" s="326" t="s">
        <v>2029</v>
      </c>
      <c r="P474" s="332"/>
      <c r="Q474" s="363"/>
      <c r="R474" s="364"/>
      <c r="S474" s="364"/>
      <c r="T474" s="13" t="str">
        <f t="shared" si="71"/>
        <v>23調査結果-建築物の外部-2（17）-改善策の具体的内容等</v>
      </c>
      <c r="V474" s="349"/>
      <c r="W474" s="349"/>
      <c r="X474" s="349"/>
      <c r="Y474" s="75"/>
      <c r="Z474" s="75"/>
      <c r="AA474" s="75"/>
      <c r="AB474" s="75"/>
    </row>
    <row r="475" spans="2:28" ht="19">
      <c r="B475" s="107">
        <f>'1_入力シート【基本情報】'!$BS$341</f>
        <v>0</v>
      </c>
      <c r="C475" s="493" t="str">
        <f t="shared" ref="C475:E476" si="73">ASC($D475)</f>
        <v>0</v>
      </c>
      <c r="D475" s="107">
        <f>'1_入力シート【基本情報】'!$BS$341</f>
        <v>0</v>
      </c>
      <c r="E475" s="7" t="str">
        <f t="shared" si="73"/>
        <v>0</v>
      </c>
      <c r="F475" s="7" t="str">
        <f t="shared" si="68"/>
        <v>0</v>
      </c>
      <c r="G475" s="575"/>
      <c r="H475" s="565">
        <v>23</v>
      </c>
      <c r="I475" s="334" t="s">
        <v>33</v>
      </c>
      <c r="J475" s="357" t="s">
        <v>1407</v>
      </c>
      <c r="K475" s="322" t="s">
        <v>49</v>
      </c>
      <c r="L475" s="358" t="s">
        <v>1407</v>
      </c>
      <c r="M475" s="335" t="s">
        <v>2055</v>
      </c>
      <c r="N475" s="358" t="s">
        <v>1407</v>
      </c>
      <c r="O475" s="326" t="s">
        <v>387</v>
      </c>
      <c r="P475" s="332" t="s">
        <v>1879</v>
      </c>
      <c r="Q475" s="363" t="s">
        <v>1966</v>
      </c>
      <c r="R475" s="364"/>
      <c r="S475" s="364"/>
      <c r="T475" s="13" t="str">
        <f t="shared" si="71"/>
        <v>23調査結果-建築物の外部-2（17）-改善（予定）年月-年（令和）</v>
      </c>
      <c r="V475" s="349"/>
      <c r="W475" s="349"/>
      <c r="X475" s="349"/>
      <c r="Y475" s="75"/>
      <c r="Z475" s="75"/>
      <c r="AA475" s="75"/>
      <c r="AB475" s="75"/>
    </row>
    <row r="476" spans="2:28" ht="19">
      <c r="B476" s="107">
        <f>'1_入力シート【基本情報】'!$BV$341</f>
        <v>0</v>
      </c>
      <c r="C476" s="493" t="str">
        <f t="shared" si="73"/>
        <v>0</v>
      </c>
      <c r="D476" s="107">
        <f>'1_入力シート【基本情報】'!$BV$341</f>
        <v>0</v>
      </c>
      <c r="E476" s="7" t="str">
        <f t="shared" si="73"/>
        <v>0</v>
      </c>
      <c r="F476" s="7" t="str">
        <f t="shared" si="68"/>
        <v>0</v>
      </c>
      <c r="G476" s="575"/>
      <c r="H476" s="565">
        <v>23</v>
      </c>
      <c r="I476" s="334" t="s">
        <v>33</v>
      </c>
      <c r="J476" s="357" t="s">
        <v>1407</v>
      </c>
      <c r="K476" s="322" t="s">
        <v>49</v>
      </c>
      <c r="L476" s="358" t="s">
        <v>1407</v>
      </c>
      <c r="M476" s="335" t="s">
        <v>2055</v>
      </c>
      <c r="N476" s="358" t="s">
        <v>1407</v>
      </c>
      <c r="O476" s="326" t="s">
        <v>387</v>
      </c>
      <c r="P476" s="332" t="s">
        <v>1879</v>
      </c>
      <c r="Q476" s="363" t="s">
        <v>383</v>
      </c>
      <c r="R476" s="364"/>
      <c r="S476" s="364"/>
      <c r="T476" s="13" t="str">
        <f t="shared" si="71"/>
        <v>23調査結果-建築物の外部-2（17）-改善（予定）年月-月</v>
      </c>
      <c r="V476" s="349"/>
      <c r="W476" s="349"/>
      <c r="X476" s="349"/>
      <c r="Y476" s="75"/>
      <c r="Z476" s="75"/>
      <c r="AA476" s="75"/>
      <c r="AB476" s="75"/>
    </row>
    <row r="477" spans="2:28">
      <c r="B477" s="107">
        <f>'1_入力シート【基本情報】'!$BY$341</f>
        <v>0</v>
      </c>
      <c r="C477" s="4" t="str">
        <f t="shared" si="63"/>
        <v/>
      </c>
      <c r="D477" s="107">
        <f>'1_入力シート【基本情報】'!$BY$341</f>
        <v>0</v>
      </c>
      <c r="E477" s="564">
        <f>'1_入力シート【基本情報】'!$BY$341</f>
        <v>0</v>
      </c>
      <c r="F477" s="564" t="str">
        <f t="shared" si="68"/>
        <v>0</v>
      </c>
      <c r="G477" s="575"/>
      <c r="H477" s="565">
        <v>23</v>
      </c>
      <c r="I477" s="334" t="s">
        <v>33</v>
      </c>
      <c r="J477" s="357" t="s">
        <v>1407</v>
      </c>
      <c r="K477" s="322" t="s">
        <v>49</v>
      </c>
      <c r="L477" s="358" t="s">
        <v>1407</v>
      </c>
      <c r="M477" s="335" t="s">
        <v>2055</v>
      </c>
      <c r="N477" s="358" t="s">
        <v>1407</v>
      </c>
      <c r="O477" s="334" t="s">
        <v>387</v>
      </c>
      <c r="P477" s="332" t="s">
        <v>1879</v>
      </c>
      <c r="Q477" s="363" t="s">
        <v>675</v>
      </c>
      <c r="R477" s="364"/>
      <c r="S477" s="364"/>
      <c r="T477" s="13" t="str">
        <f t="shared" si="71"/>
        <v>23調査結果-建築物の外部-2（17）-改善（予定）年月-未定</v>
      </c>
      <c r="V477" s="349"/>
      <c r="W477" s="349"/>
      <c r="X477" s="349"/>
    </row>
    <row r="478" spans="2:28">
      <c r="B478" s="107">
        <f>'1_入力シート【基本情報】'!$AF$342</f>
        <v>0</v>
      </c>
      <c r="C478" s="4" t="str">
        <f t="shared" si="63"/>
        <v/>
      </c>
      <c r="D478" s="107" t="str">
        <f>C478</f>
        <v/>
      </c>
      <c r="E478" s="564" t="str">
        <f>D478</f>
        <v/>
      </c>
      <c r="F478" s="564" t="str">
        <f t="shared" si="68"/>
        <v/>
      </c>
      <c r="G478" s="575"/>
      <c r="H478" s="565">
        <v>23</v>
      </c>
      <c r="I478" s="334" t="s">
        <v>33</v>
      </c>
      <c r="J478" s="357" t="s">
        <v>1407</v>
      </c>
      <c r="K478" s="322" t="s">
        <v>49</v>
      </c>
      <c r="L478" s="358" t="s">
        <v>1407</v>
      </c>
      <c r="M478" s="335" t="s">
        <v>2056</v>
      </c>
      <c r="N478" s="358" t="s">
        <v>1407</v>
      </c>
      <c r="O478" s="334" t="s">
        <v>33</v>
      </c>
      <c r="P478" s="332"/>
      <c r="Q478" s="363"/>
      <c r="R478" s="364"/>
      <c r="S478" s="364"/>
      <c r="T478" s="13" t="str">
        <f t="shared" si="71"/>
        <v>23調査結果-建築物の外部-2（18）-調査結果</v>
      </c>
      <c r="V478" s="349"/>
      <c r="W478" s="349"/>
      <c r="X478" s="349"/>
      <c r="Y478" s="75"/>
      <c r="Z478" s="75"/>
      <c r="AA478" s="75"/>
      <c r="AB478" s="75"/>
    </row>
    <row r="479" spans="2:28">
      <c r="B479" s="107">
        <f>'1_入力シート【基本情報】'!$AR$342</f>
        <v>0</v>
      </c>
      <c r="C479" s="4" t="str">
        <f t="shared" si="63"/>
        <v/>
      </c>
      <c r="D479" s="107">
        <f>'1_入力シート【基本情報】'!$AR$342</f>
        <v>0</v>
      </c>
      <c r="E479" s="564">
        <f>'1_入力シート【基本情報】'!$AR$342</f>
        <v>0</v>
      </c>
      <c r="F479" s="564" t="str">
        <f t="shared" si="68"/>
        <v>0</v>
      </c>
      <c r="G479" s="575"/>
      <c r="H479" s="565">
        <v>23</v>
      </c>
      <c r="I479" s="334" t="s">
        <v>33</v>
      </c>
      <c r="J479" s="357" t="s">
        <v>1407</v>
      </c>
      <c r="K479" s="322" t="s">
        <v>49</v>
      </c>
      <c r="L479" s="358" t="s">
        <v>1407</v>
      </c>
      <c r="M479" s="335" t="s">
        <v>2056</v>
      </c>
      <c r="N479" s="358" t="s">
        <v>1407</v>
      </c>
      <c r="O479" s="334" t="s">
        <v>30</v>
      </c>
      <c r="P479" s="332"/>
      <c r="Q479" s="363"/>
      <c r="R479" s="364"/>
      <c r="S479" s="364"/>
      <c r="T479" s="13" t="str">
        <f t="shared" si="71"/>
        <v>23調査結果-建築物の外部-2（18）-調査者番号</v>
      </c>
      <c r="V479" s="349"/>
      <c r="W479" s="349"/>
      <c r="X479" s="349"/>
      <c r="Y479" s="75"/>
      <c r="Z479" s="75"/>
      <c r="AA479" s="75"/>
      <c r="AB479" s="75"/>
    </row>
    <row r="480" spans="2:28">
      <c r="B480" s="107">
        <f>'1_入力シート【基本情報】'!$AT$342</f>
        <v>0</v>
      </c>
      <c r="C480" s="4" t="str">
        <f t="shared" si="63"/>
        <v/>
      </c>
      <c r="D480" s="107">
        <f>'1_入力シート【基本情報】'!$AT$342</f>
        <v>0</v>
      </c>
      <c r="E480" s="564">
        <f>'1_入力シート【基本情報】'!$AT$342</f>
        <v>0</v>
      </c>
      <c r="F480" s="564" t="str">
        <f t="shared" si="68"/>
        <v>0</v>
      </c>
      <c r="G480" s="575"/>
      <c r="H480" s="565">
        <v>23</v>
      </c>
      <c r="I480" s="334" t="s">
        <v>33</v>
      </c>
      <c r="J480" s="357" t="s">
        <v>1407</v>
      </c>
      <c r="K480" s="322" t="s">
        <v>49</v>
      </c>
      <c r="L480" s="358" t="s">
        <v>1407</v>
      </c>
      <c r="M480" s="335" t="s">
        <v>2056</v>
      </c>
      <c r="N480" s="358" t="s">
        <v>1407</v>
      </c>
      <c r="O480" s="334" t="s">
        <v>2028</v>
      </c>
      <c r="P480" s="332"/>
      <c r="Q480" s="363"/>
      <c r="R480" s="364"/>
      <c r="S480" s="364"/>
      <c r="T480" s="13" t="str">
        <f t="shared" si="71"/>
        <v>23調査結果-建築物の外部-2（18）-指摘の具体的内容等</v>
      </c>
      <c r="V480" s="349"/>
      <c r="W480" s="349"/>
      <c r="X480" s="349"/>
      <c r="Y480" s="75"/>
      <c r="Z480" s="75"/>
      <c r="AA480" s="75"/>
      <c r="AB480" s="75"/>
    </row>
    <row r="481" spans="2:28">
      <c r="B481" s="107">
        <f>'1_入力シート【基本情報】'!$BD$342</f>
        <v>0</v>
      </c>
      <c r="C481" s="4" t="str">
        <f t="shared" si="63"/>
        <v/>
      </c>
      <c r="D481" s="107">
        <f>'1_入力シート【基本情報】'!$BD$342</f>
        <v>0</v>
      </c>
      <c r="E481" s="564">
        <f>'1_入力シート【基本情報】'!$BD$342</f>
        <v>0</v>
      </c>
      <c r="F481" s="564" t="str">
        <f t="shared" si="68"/>
        <v>0</v>
      </c>
      <c r="G481" s="575"/>
      <c r="H481" s="565">
        <v>23</v>
      </c>
      <c r="I481" s="334" t="s">
        <v>33</v>
      </c>
      <c r="J481" s="357" t="s">
        <v>1407</v>
      </c>
      <c r="K481" s="322" t="s">
        <v>49</v>
      </c>
      <c r="L481" s="358" t="s">
        <v>1407</v>
      </c>
      <c r="M481" s="335" t="s">
        <v>2056</v>
      </c>
      <c r="N481" s="358" t="s">
        <v>1407</v>
      </c>
      <c r="O481" s="326" t="s">
        <v>2029</v>
      </c>
      <c r="P481" s="332"/>
      <c r="Q481" s="363"/>
      <c r="R481" s="364"/>
      <c r="S481" s="364"/>
      <c r="T481" s="13" t="str">
        <f t="shared" si="71"/>
        <v>23調査結果-建築物の外部-2（18）-改善策の具体的内容等</v>
      </c>
      <c r="V481" s="202"/>
      <c r="W481" s="202"/>
      <c r="X481" s="349"/>
      <c r="Y481" s="75"/>
      <c r="Z481" s="75"/>
      <c r="AA481" s="75"/>
      <c r="AB481" s="75"/>
    </row>
    <row r="482" spans="2:28" ht="19">
      <c r="B482" s="107">
        <f>'1_入力シート【基本情報】'!$BS$342</f>
        <v>0</v>
      </c>
      <c r="C482" s="493" t="str">
        <f t="shared" ref="C482:E483" si="74">ASC($D482)</f>
        <v>0</v>
      </c>
      <c r="D482" s="107">
        <f>'1_入力シート【基本情報】'!$BS$342</f>
        <v>0</v>
      </c>
      <c r="E482" s="7" t="str">
        <f t="shared" si="74"/>
        <v>0</v>
      </c>
      <c r="F482" s="7" t="str">
        <f t="shared" si="68"/>
        <v>0</v>
      </c>
      <c r="G482" s="575"/>
      <c r="H482" s="565">
        <v>23</v>
      </c>
      <c r="I482" s="334" t="s">
        <v>33</v>
      </c>
      <c r="J482" s="357" t="s">
        <v>1407</v>
      </c>
      <c r="K482" s="322" t="s">
        <v>49</v>
      </c>
      <c r="L482" s="358" t="s">
        <v>1407</v>
      </c>
      <c r="M482" s="335" t="s">
        <v>2056</v>
      </c>
      <c r="N482" s="358" t="s">
        <v>1407</v>
      </c>
      <c r="O482" s="326" t="s">
        <v>387</v>
      </c>
      <c r="P482" s="332" t="s">
        <v>1879</v>
      </c>
      <c r="Q482" s="363" t="s">
        <v>1966</v>
      </c>
      <c r="R482" s="364"/>
      <c r="S482" s="364"/>
      <c r="T482" s="13" t="str">
        <f t="shared" si="71"/>
        <v>23調査結果-建築物の外部-2（18）-改善（予定）年月-年（令和）</v>
      </c>
      <c r="V482" s="349"/>
      <c r="W482" s="349"/>
      <c r="X482" s="202"/>
      <c r="Y482" s="75"/>
      <c r="Z482" s="75"/>
      <c r="AA482" s="75"/>
      <c r="AB482" s="75"/>
    </row>
    <row r="483" spans="2:28" ht="19">
      <c r="B483" s="107">
        <f>'1_入力シート【基本情報】'!$BV$342</f>
        <v>0</v>
      </c>
      <c r="C483" s="493" t="str">
        <f t="shared" si="74"/>
        <v>0</v>
      </c>
      <c r="D483" s="107">
        <f>'1_入力シート【基本情報】'!$BV$342</f>
        <v>0</v>
      </c>
      <c r="E483" s="7" t="str">
        <f t="shared" si="74"/>
        <v>0</v>
      </c>
      <c r="F483" s="7" t="str">
        <f t="shared" si="68"/>
        <v>0</v>
      </c>
      <c r="G483" s="575"/>
      <c r="H483" s="565">
        <v>23</v>
      </c>
      <c r="I483" s="334" t="s">
        <v>33</v>
      </c>
      <c r="J483" s="357" t="s">
        <v>1407</v>
      </c>
      <c r="K483" s="322" t="s">
        <v>49</v>
      </c>
      <c r="L483" s="358" t="s">
        <v>1407</v>
      </c>
      <c r="M483" s="335" t="s">
        <v>2056</v>
      </c>
      <c r="N483" s="358" t="s">
        <v>1407</v>
      </c>
      <c r="O483" s="326" t="s">
        <v>387</v>
      </c>
      <c r="P483" s="332" t="s">
        <v>1879</v>
      </c>
      <c r="Q483" s="363" t="s">
        <v>383</v>
      </c>
      <c r="R483" s="364"/>
      <c r="S483" s="364"/>
      <c r="T483" s="13" t="str">
        <f t="shared" si="71"/>
        <v>23調査結果-建築物の外部-2（18）-改善（予定）年月-月</v>
      </c>
      <c r="V483" s="349"/>
      <c r="W483" s="349"/>
      <c r="X483" s="349"/>
      <c r="Y483" s="75"/>
      <c r="Z483" s="75"/>
      <c r="AA483" s="75"/>
      <c r="AB483" s="75"/>
    </row>
    <row r="484" spans="2:28">
      <c r="B484" s="107">
        <f>'1_入力シート【基本情報】'!$BY$342</f>
        <v>0</v>
      </c>
      <c r="C484" s="4" t="str">
        <f t="shared" si="63"/>
        <v/>
      </c>
      <c r="D484" s="107">
        <f>'1_入力シート【基本情報】'!$BY$342</f>
        <v>0</v>
      </c>
      <c r="E484" s="564">
        <f>'1_入力シート【基本情報】'!$BY$342</f>
        <v>0</v>
      </c>
      <c r="F484" s="564" t="str">
        <f t="shared" si="68"/>
        <v>0</v>
      </c>
      <c r="G484" s="575"/>
      <c r="H484" s="565">
        <v>23</v>
      </c>
      <c r="I484" s="334" t="s">
        <v>33</v>
      </c>
      <c r="J484" s="357" t="s">
        <v>1407</v>
      </c>
      <c r="K484" s="322" t="s">
        <v>49</v>
      </c>
      <c r="L484" s="358" t="s">
        <v>1407</v>
      </c>
      <c r="M484" s="335" t="s">
        <v>2056</v>
      </c>
      <c r="N484" s="358" t="s">
        <v>1407</v>
      </c>
      <c r="O484" s="326" t="s">
        <v>387</v>
      </c>
      <c r="P484" s="332" t="s">
        <v>1879</v>
      </c>
      <c r="Q484" s="363" t="s">
        <v>675</v>
      </c>
      <c r="R484" s="364"/>
      <c r="S484" s="364"/>
      <c r="T484" s="13" t="str">
        <f t="shared" si="71"/>
        <v>23調査結果-建築物の外部-2（18）-改善（予定）年月-未定</v>
      </c>
      <c r="V484" s="349"/>
      <c r="W484" s="349"/>
      <c r="X484" s="349"/>
      <c r="Y484" s="75"/>
      <c r="Z484" s="75"/>
      <c r="AA484" s="75"/>
      <c r="AB484" s="75"/>
    </row>
    <row r="485" spans="2:28">
      <c r="B485" s="107">
        <f>'1_入力シート【基本情報】'!$AF$352</f>
        <v>0</v>
      </c>
      <c r="C485" s="4" t="str">
        <f t="shared" si="63"/>
        <v/>
      </c>
      <c r="D485" s="107" t="str">
        <f>C485</f>
        <v/>
      </c>
      <c r="E485" s="564" t="str">
        <f>D485</f>
        <v/>
      </c>
      <c r="F485" s="564" t="str">
        <f t="shared" si="68"/>
        <v/>
      </c>
      <c r="G485" s="575"/>
      <c r="H485" s="565">
        <v>23</v>
      </c>
      <c r="I485" s="334" t="s">
        <v>33</v>
      </c>
      <c r="J485" s="357" t="s">
        <v>1407</v>
      </c>
      <c r="K485" s="322" t="s">
        <v>72</v>
      </c>
      <c r="L485" s="358" t="s">
        <v>1407</v>
      </c>
      <c r="M485" s="335" t="s">
        <v>2057</v>
      </c>
      <c r="N485" s="358" t="s">
        <v>1407</v>
      </c>
      <c r="O485" s="334" t="s">
        <v>33</v>
      </c>
      <c r="P485" s="332"/>
      <c r="Q485" s="363"/>
      <c r="R485" s="364"/>
      <c r="S485" s="364"/>
      <c r="T485" s="13" t="str">
        <f t="shared" si="71"/>
        <v>23調査結果-屋上及び屋根-3（1）-調査結果</v>
      </c>
      <c r="V485" s="349"/>
      <c r="W485" s="349"/>
      <c r="X485" s="349"/>
      <c r="Y485" s="75"/>
      <c r="Z485" s="75"/>
      <c r="AA485" s="75"/>
      <c r="AB485" s="75"/>
    </row>
    <row r="486" spans="2:28">
      <c r="B486" s="107">
        <f>'1_入力シート【基本情報】'!$AR$352</f>
        <v>0</v>
      </c>
      <c r="C486" s="4" t="str">
        <f t="shared" ref="C486:C549" si="75">MID(B486,2,14)</f>
        <v/>
      </c>
      <c r="D486" s="107">
        <f>'1_入力シート【基本情報】'!$AR$352</f>
        <v>0</v>
      </c>
      <c r="E486" s="564">
        <f>'1_入力シート【基本情報】'!$AR$352</f>
        <v>0</v>
      </c>
      <c r="F486" s="564" t="str">
        <f t="shared" si="68"/>
        <v>0</v>
      </c>
      <c r="G486" s="575"/>
      <c r="H486" s="565">
        <v>23</v>
      </c>
      <c r="I486" s="334" t="s">
        <v>33</v>
      </c>
      <c r="J486" s="357" t="s">
        <v>1407</v>
      </c>
      <c r="K486" s="322" t="s">
        <v>72</v>
      </c>
      <c r="L486" s="358" t="s">
        <v>1407</v>
      </c>
      <c r="M486" s="335" t="s">
        <v>2057</v>
      </c>
      <c r="N486" s="358" t="s">
        <v>1407</v>
      </c>
      <c r="O486" s="326" t="s">
        <v>30</v>
      </c>
      <c r="P486" s="332"/>
      <c r="Q486" s="363"/>
      <c r="R486" s="364"/>
      <c r="S486" s="364"/>
      <c r="T486" s="13" t="str">
        <f t="shared" si="71"/>
        <v>23調査結果-屋上及び屋根-3（1）-調査者番号</v>
      </c>
      <c r="V486" s="349"/>
      <c r="W486" s="349"/>
      <c r="X486" s="349"/>
      <c r="Y486" s="75"/>
      <c r="Z486" s="75"/>
      <c r="AA486" s="75"/>
      <c r="AB486" s="75"/>
    </row>
    <row r="487" spans="2:28">
      <c r="B487" s="107">
        <f>'1_入力シート【基本情報】'!$AT$352</f>
        <v>0</v>
      </c>
      <c r="C487" s="4" t="str">
        <f t="shared" si="75"/>
        <v/>
      </c>
      <c r="D487" s="107">
        <f>'1_入力シート【基本情報】'!$AT$352</f>
        <v>0</v>
      </c>
      <c r="E487" s="564">
        <f>'1_入力シート【基本情報】'!$AT$352</f>
        <v>0</v>
      </c>
      <c r="F487" s="564" t="str">
        <f t="shared" si="68"/>
        <v>0</v>
      </c>
      <c r="G487" s="575"/>
      <c r="H487" s="565">
        <v>23</v>
      </c>
      <c r="I487" s="334" t="s">
        <v>33</v>
      </c>
      <c r="J487" s="357" t="s">
        <v>1407</v>
      </c>
      <c r="K487" s="322" t="s">
        <v>72</v>
      </c>
      <c r="L487" s="358" t="s">
        <v>1407</v>
      </c>
      <c r="M487" s="335" t="s">
        <v>2057</v>
      </c>
      <c r="N487" s="358" t="s">
        <v>1407</v>
      </c>
      <c r="O487" s="326" t="s">
        <v>2028</v>
      </c>
      <c r="P487" s="332"/>
      <c r="Q487" s="363"/>
      <c r="R487" s="364"/>
      <c r="S487" s="364"/>
      <c r="T487" s="13" t="str">
        <f t="shared" si="71"/>
        <v>23調査結果-屋上及び屋根-3（1）-指摘の具体的内容等</v>
      </c>
      <c r="V487" s="349"/>
      <c r="W487" s="349"/>
      <c r="X487" s="349"/>
      <c r="Y487" s="75"/>
      <c r="Z487" s="75"/>
      <c r="AA487" s="75"/>
      <c r="AB487" s="75"/>
    </row>
    <row r="488" spans="2:28">
      <c r="B488" s="107">
        <f>'1_入力シート【基本情報】'!$BD$352</f>
        <v>0</v>
      </c>
      <c r="C488" s="4" t="str">
        <f t="shared" si="75"/>
        <v/>
      </c>
      <c r="D488" s="107">
        <f>'1_入力シート【基本情報】'!$BD$352</f>
        <v>0</v>
      </c>
      <c r="E488" s="564">
        <f>'1_入力シート【基本情報】'!$BD$352</f>
        <v>0</v>
      </c>
      <c r="F488" s="564" t="str">
        <f t="shared" si="68"/>
        <v>0</v>
      </c>
      <c r="G488" s="575"/>
      <c r="H488" s="565">
        <v>23</v>
      </c>
      <c r="I488" s="334" t="s">
        <v>33</v>
      </c>
      <c r="J488" s="357" t="s">
        <v>1407</v>
      </c>
      <c r="K488" s="322" t="s">
        <v>72</v>
      </c>
      <c r="L488" s="358" t="s">
        <v>1407</v>
      </c>
      <c r="M488" s="335" t="s">
        <v>2057</v>
      </c>
      <c r="N488" s="358" t="s">
        <v>1407</v>
      </c>
      <c r="O488" s="326" t="s">
        <v>2029</v>
      </c>
      <c r="P488" s="332"/>
      <c r="Q488" s="363"/>
      <c r="R488" s="364"/>
      <c r="S488" s="364"/>
      <c r="T488" s="13" t="str">
        <f t="shared" si="71"/>
        <v>23調査結果-屋上及び屋根-3（1）-改善策の具体的内容等</v>
      </c>
      <c r="V488" s="349"/>
      <c r="W488" s="349"/>
      <c r="X488" s="349"/>
      <c r="Y488" s="75"/>
      <c r="Z488" s="75"/>
      <c r="AA488" s="75"/>
      <c r="AB488" s="75"/>
    </row>
    <row r="489" spans="2:28" ht="19">
      <c r="B489" s="107">
        <f>'1_入力シート【基本情報】'!$BS$352</f>
        <v>0</v>
      </c>
      <c r="C489" s="493" t="str">
        <f t="shared" ref="C489:E490" si="76">ASC($D489)</f>
        <v>0</v>
      </c>
      <c r="D489" s="107">
        <f>'1_入力シート【基本情報】'!$BS$352</f>
        <v>0</v>
      </c>
      <c r="E489" s="7" t="str">
        <f t="shared" si="76"/>
        <v>0</v>
      </c>
      <c r="F489" s="7" t="str">
        <f t="shared" si="68"/>
        <v>0</v>
      </c>
      <c r="G489" s="575"/>
      <c r="H489" s="565">
        <v>23</v>
      </c>
      <c r="I489" s="334" t="s">
        <v>33</v>
      </c>
      <c r="J489" s="357" t="s">
        <v>1407</v>
      </c>
      <c r="K489" s="322" t="s">
        <v>72</v>
      </c>
      <c r="L489" s="358" t="s">
        <v>1407</v>
      </c>
      <c r="M489" s="335" t="s">
        <v>2057</v>
      </c>
      <c r="N489" s="358" t="s">
        <v>1407</v>
      </c>
      <c r="O489" s="326" t="s">
        <v>387</v>
      </c>
      <c r="P489" s="332" t="s">
        <v>1879</v>
      </c>
      <c r="Q489" s="363" t="s">
        <v>1966</v>
      </c>
      <c r="R489" s="364"/>
      <c r="S489" s="364"/>
      <c r="T489" s="13" t="str">
        <f t="shared" si="71"/>
        <v>23調査結果-屋上及び屋根-3（1）-改善（予定）年月-年（令和）</v>
      </c>
      <c r="V489" s="349"/>
      <c r="W489" s="349"/>
      <c r="X489" s="349"/>
      <c r="Y489" s="75"/>
      <c r="Z489" s="75"/>
      <c r="AA489" s="75"/>
      <c r="AB489" s="75"/>
    </row>
    <row r="490" spans="2:28" ht="19">
      <c r="B490" s="107">
        <f>'1_入力シート【基本情報】'!$BV$352</f>
        <v>0</v>
      </c>
      <c r="C490" s="493" t="str">
        <f t="shared" si="76"/>
        <v>0</v>
      </c>
      <c r="D490" s="107">
        <f>'1_入力シート【基本情報】'!$BV$352</f>
        <v>0</v>
      </c>
      <c r="E490" s="7" t="str">
        <f t="shared" si="76"/>
        <v>0</v>
      </c>
      <c r="F490" s="7" t="str">
        <f t="shared" si="68"/>
        <v>0</v>
      </c>
      <c r="G490" s="575"/>
      <c r="H490" s="565">
        <v>23</v>
      </c>
      <c r="I490" s="334" t="s">
        <v>33</v>
      </c>
      <c r="J490" s="357" t="s">
        <v>1407</v>
      </c>
      <c r="K490" s="322" t="s">
        <v>72</v>
      </c>
      <c r="L490" s="358" t="s">
        <v>1407</v>
      </c>
      <c r="M490" s="335" t="s">
        <v>2057</v>
      </c>
      <c r="N490" s="358" t="s">
        <v>1407</v>
      </c>
      <c r="O490" s="334" t="s">
        <v>387</v>
      </c>
      <c r="P490" s="332" t="s">
        <v>1879</v>
      </c>
      <c r="Q490" s="363" t="s">
        <v>383</v>
      </c>
      <c r="R490" s="364"/>
      <c r="S490" s="364"/>
      <c r="T490" s="13" t="str">
        <f t="shared" si="71"/>
        <v>23調査結果-屋上及び屋根-3（1）-改善（予定）年月-月</v>
      </c>
      <c r="V490" s="349"/>
      <c r="W490" s="349"/>
      <c r="X490" s="349"/>
      <c r="Y490" s="75"/>
      <c r="Z490" s="75"/>
      <c r="AA490" s="75"/>
      <c r="AB490" s="75"/>
    </row>
    <row r="491" spans="2:28">
      <c r="B491" s="107">
        <f>'1_入力シート【基本情報】'!$BY$352</f>
        <v>0</v>
      </c>
      <c r="C491" s="4" t="str">
        <f t="shared" si="75"/>
        <v/>
      </c>
      <c r="D491" s="107">
        <f>'1_入力シート【基本情報】'!$BY$352</f>
        <v>0</v>
      </c>
      <c r="E491" s="564">
        <f>'1_入力シート【基本情報】'!$BY$352</f>
        <v>0</v>
      </c>
      <c r="F491" s="564" t="str">
        <f t="shared" si="68"/>
        <v>0</v>
      </c>
      <c r="G491" s="575"/>
      <c r="H491" s="565">
        <v>23</v>
      </c>
      <c r="I491" s="334" t="s">
        <v>33</v>
      </c>
      <c r="J491" s="357" t="s">
        <v>1407</v>
      </c>
      <c r="K491" s="322" t="s">
        <v>72</v>
      </c>
      <c r="L491" s="358" t="s">
        <v>1407</v>
      </c>
      <c r="M491" s="335" t="s">
        <v>2057</v>
      </c>
      <c r="N491" s="358" t="s">
        <v>1407</v>
      </c>
      <c r="O491" s="334" t="s">
        <v>387</v>
      </c>
      <c r="P491" s="332" t="s">
        <v>1879</v>
      </c>
      <c r="Q491" s="363" t="s">
        <v>675</v>
      </c>
      <c r="R491" s="364"/>
      <c r="S491" s="364"/>
      <c r="T491" s="13" t="str">
        <f t="shared" si="71"/>
        <v>23調査結果-屋上及び屋根-3（1）-改善（予定）年月-未定</v>
      </c>
      <c r="V491" s="349"/>
      <c r="W491" s="349"/>
      <c r="X491" s="349"/>
      <c r="Y491" s="75"/>
      <c r="Z491" s="75"/>
      <c r="AA491" s="75"/>
      <c r="AB491" s="75"/>
    </row>
    <row r="492" spans="2:28">
      <c r="B492" s="107">
        <f>'1_入力シート【基本情報】'!$AF$353</f>
        <v>0</v>
      </c>
      <c r="C492" s="4" t="str">
        <f t="shared" si="75"/>
        <v/>
      </c>
      <c r="D492" s="107" t="str">
        <f>C492</f>
        <v/>
      </c>
      <c r="E492" s="564" t="str">
        <f>D492</f>
        <v/>
      </c>
      <c r="F492" s="564" t="str">
        <f t="shared" si="68"/>
        <v/>
      </c>
      <c r="G492" s="575"/>
      <c r="H492" s="565">
        <v>23</v>
      </c>
      <c r="I492" s="334" t="s">
        <v>33</v>
      </c>
      <c r="J492" s="357" t="s">
        <v>1407</v>
      </c>
      <c r="K492" s="322" t="s">
        <v>72</v>
      </c>
      <c r="L492" s="358" t="s">
        <v>1407</v>
      </c>
      <c r="M492" s="335" t="s">
        <v>2058</v>
      </c>
      <c r="N492" s="358" t="s">
        <v>1407</v>
      </c>
      <c r="O492" s="334" t="s">
        <v>33</v>
      </c>
      <c r="P492" s="332"/>
      <c r="Q492" s="363"/>
      <c r="R492" s="364"/>
      <c r="S492" s="364"/>
      <c r="T492" s="13" t="str">
        <f t="shared" si="71"/>
        <v>23調査結果-屋上及び屋根-3（2）-調査結果</v>
      </c>
      <c r="V492" s="349"/>
      <c r="W492" s="349"/>
      <c r="X492" s="349"/>
      <c r="Y492" s="75"/>
      <c r="Z492" s="75"/>
      <c r="AA492" s="75"/>
      <c r="AB492" s="75"/>
    </row>
    <row r="493" spans="2:28">
      <c r="B493" s="107">
        <f>'1_入力シート【基本情報】'!$AR$353</f>
        <v>0</v>
      </c>
      <c r="C493" s="4" t="str">
        <f t="shared" si="75"/>
        <v/>
      </c>
      <c r="D493" s="107">
        <f>'1_入力シート【基本情報】'!$AR$353</f>
        <v>0</v>
      </c>
      <c r="E493" s="564">
        <f>'1_入力シート【基本情報】'!$AR$353</f>
        <v>0</v>
      </c>
      <c r="F493" s="564" t="str">
        <f t="shared" si="68"/>
        <v>0</v>
      </c>
      <c r="G493" s="575"/>
      <c r="H493" s="565">
        <v>23</v>
      </c>
      <c r="I493" s="334" t="s">
        <v>33</v>
      </c>
      <c r="J493" s="357" t="s">
        <v>1407</v>
      </c>
      <c r="K493" s="322" t="s">
        <v>72</v>
      </c>
      <c r="L493" s="358" t="s">
        <v>1407</v>
      </c>
      <c r="M493" s="335" t="s">
        <v>2058</v>
      </c>
      <c r="N493" s="358" t="s">
        <v>1407</v>
      </c>
      <c r="O493" s="334" t="s">
        <v>30</v>
      </c>
      <c r="P493" s="332"/>
      <c r="Q493" s="363"/>
      <c r="R493" s="364"/>
      <c r="S493" s="364"/>
      <c r="T493" s="13" t="str">
        <f t="shared" si="71"/>
        <v>23調査結果-屋上及び屋根-3（2）-調査者番号</v>
      </c>
      <c r="V493" s="349"/>
      <c r="W493" s="349"/>
      <c r="X493" s="349"/>
      <c r="Y493" s="75"/>
      <c r="Z493" s="75"/>
      <c r="AA493" s="75"/>
      <c r="AB493" s="75"/>
    </row>
    <row r="494" spans="2:28">
      <c r="B494" s="107">
        <f>'1_入力シート【基本情報】'!$AT$353</f>
        <v>0</v>
      </c>
      <c r="C494" s="4" t="str">
        <f t="shared" si="75"/>
        <v/>
      </c>
      <c r="D494" s="107">
        <f>'1_入力シート【基本情報】'!$AT$353</f>
        <v>0</v>
      </c>
      <c r="E494" s="564">
        <f>'1_入力シート【基本情報】'!$AT$353</f>
        <v>0</v>
      </c>
      <c r="F494" s="564" t="str">
        <f t="shared" si="68"/>
        <v>0</v>
      </c>
      <c r="G494" s="575"/>
      <c r="H494" s="565">
        <v>23</v>
      </c>
      <c r="I494" s="334" t="s">
        <v>33</v>
      </c>
      <c r="J494" s="357" t="s">
        <v>1407</v>
      </c>
      <c r="K494" s="322" t="s">
        <v>72</v>
      </c>
      <c r="L494" s="358" t="s">
        <v>1407</v>
      </c>
      <c r="M494" s="335" t="s">
        <v>2058</v>
      </c>
      <c r="N494" s="358" t="s">
        <v>1407</v>
      </c>
      <c r="O494" s="326" t="s">
        <v>2028</v>
      </c>
      <c r="P494" s="332"/>
      <c r="Q494" s="363"/>
      <c r="R494" s="364"/>
      <c r="S494" s="364"/>
      <c r="T494" s="13" t="str">
        <f t="shared" si="71"/>
        <v>23調査結果-屋上及び屋根-3（2）-指摘の具体的内容等</v>
      </c>
      <c r="V494" s="349"/>
      <c r="W494" s="349"/>
      <c r="X494" s="349"/>
      <c r="Y494" s="75"/>
      <c r="Z494" s="75"/>
      <c r="AA494" s="75"/>
      <c r="AB494" s="75"/>
    </row>
    <row r="495" spans="2:28">
      <c r="B495" s="107">
        <f>'1_入力シート【基本情報】'!$BD$353</f>
        <v>0</v>
      </c>
      <c r="C495" s="4" t="str">
        <f t="shared" si="75"/>
        <v/>
      </c>
      <c r="D495" s="107">
        <f>'1_入力シート【基本情報】'!$BD$353</f>
        <v>0</v>
      </c>
      <c r="E495" s="564">
        <f>'1_入力シート【基本情報】'!$BD$353</f>
        <v>0</v>
      </c>
      <c r="F495" s="564" t="str">
        <f t="shared" si="68"/>
        <v>0</v>
      </c>
      <c r="G495" s="575"/>
      <c r="H495" s="565">
        <v>23</v>
      </c>
      <c r="I495" s="334" t="s">
        <v>33</v>
      </c>
      <c r="J495" s="357" t="s">
        <v>1407</v>
      </c>
      <c r="K495" s="322" t="s">
        <v>72</v>
      </c>
      <c r="L495" s="358" t="s">
        <v>1407</v>
      </c>
      <c r="M495" s="335" t="s">
        <v>2058</v>
      </c>
      <c r="N495" s="358" t="s">
        <v>1407</v>
      </c>
      <c r="O495" s="326" t="s">
        <v>2029</v>
      </c>
      <c r="P495" s="332"/>
      <c r="Q495" s="363"/>
      <c r="R495" s="364"/>
      <c r="S495" s="364"/>
      <c r="T495" s="13" t="str">
        <f t="shared" si="71"/>
        <v>23調査結果-屋上及び屋根-3（2）-改善策の具体的内容等</v>
      </c>
      <c r="V495" s="349"/>
      <c r="W495" s="349"/>
      <c r="X495" s="349"/>
      <c r="Y495" s="75"/>
      <c r="Z495" s="75"/>
      <c r="AA495" s="75"/>
      <c r="AB495" s="75"/>
    </row>
    <row r="496" spans="2:28" ht="19">
      <c r="B496" s="107">
        <f>'1_入力シート【基本情報】'!$BS$353</f>
        <v>0</v>
      </c>
      <c r="C496" s="493" t="str">
        <f t="shared" ref="C496:E497" si="77">ASC($D496)</f>
        <v>0</v>
      </c>
      <c r="D496" s="107">
        <f>'1_入力シート【基本情報】'!$BS$353</f>
        <v>0</v>
      </c>
      <c r="E496" s="7" t="str">
        <f t="shared" si="77"/>
        <v>0</v>
      </c>
      <c r="F496" s="7" t="str">
        <f t="shared" si="68"/>
        <v>0</v>
      </c>
      <c r="G496" s="575"/>
      <c r="H496" s="565">
        <v>23</v>
      </c>
      <c r="I496" s="334" t="s">
        <v>33</v>
      </c>
      <c r="J496" s="357" t="s">
        <v>1407</v>
      </c>
      <c r="K496" s="322" t="s">
        <v>72</v>
      </c>
      <c r="L496" s="358" t="s">
        <v>1407</v>
      </c>
      <c r="M496" s="335" t="s">
        <v>2058</v>
      </c>
      <c r="N496" s="358" t="s">
        <v>1407</v>
      </c>
      <c r="O496" s="326" t="s">
        <v>387</v>
      </c>
      <c r="P496" s="332" t="s">
        <v>1879</v>
      </c>
      <c r="Q496" s="363" t="s">
        <v>1966</v>
      </c>
      <c r="R496" s="364"/>
      <c r="S496" s="364"/>
      <c r="T496" s="13" t="str">
        <f t="shared" si="71"/>
        <v>23調査結果-屋上及び屋根-3（2）-改善（予定）年月-年（令和）</v>
      </c>
      <c r="V496" s="349"/>
      <c r="W496" s="349"/>
      <c r="X496" s="349"/>
      <c r="Y496" s="75"/>
      <c r="Z496" s="75"/>
      <c r="AA496" s="75"/>
      <c r="AB496" s="75"/>
    </row>
    <row r="497" spans="2:28" ht="19">
      <c r="B497" s="107">
        <f>'1_入力シート【基本情報】'!$BV$353</f>
        <v>0</v>
      </c>
      <c r="C497" s="493" t="str">
        <f t="shared" si="77"/>
        <v>0</v>
      </c>
      <c r="D497" s="107">
        <f>'1_入力シート【基本情報】'!$BV$353</f>
        <v>0</v>
      </c>
      <c r="E497" s="7" t="str">
        <f t="shared" si="77"/>
        <v>0</v>
      </c>
      <c r="F497" s="7" t="str">
        <f t="shared" si="68"/>
        <v>0</v>
      </c>
      <c r="G497" s="575"/>
      <c r="H497" s="565">
        <v>23</v>
      </c>
      <c r="I497" s="334" t="s">
        <v>33</v>
      </c>
      <c r="J497" s="357" t="s">
        <v>1407</v>
      </c>
      <c r="K497" s="322" t="s">
        <v>72</v>
      </c>
      <c r="L497" s="358" t="s">
        <v>1407</v>
      </c>
      <c r="M497" s="335" t="s">
        <v>2058</v>
      </c>
      <c r="N497" s="358" t="s">
        <v>1407</v>
      </c>
      <c r="O497" s="326" t="s">
        <v>387</v>
      </c>
      <c r="P497" s="332" t="s">
        <v>1879</v>
      </c>
      <c r="Q497" s="363" t="s">
        <v>383</v>
      </c>
      <c r="R497" s="364"/>
      <c r="S497" s="364"/>
      <c r="T497" s="13" t="str">
        <f t="shared" si="71"/>
        <v>23調査結果-屋上及び屋根-3（2）-改善（予定）年月-月</v>
      </c>
      <c r="V497" s="349"/>
      <c r="W497" s="349"/>
      <c r="X497" s="349"/>
      <c r="Y497" s="75"/>
      <c r="Z497" s="75"/>
      <c r="AA497" s="75"/>
      <c r="AB497" s="75"/>
    </row>
    <row r="498" spans="2:28">
      <c r="B498" s="107">
        <f>'1_入力シート【基本情報】'!$BY$353</f>
        <v>0</v>
      </c>
      <c r="C498" s="4" t="str">
        <f t="shared" si="75"/>
        <v/>
      </c>
      <c r="D498" s="107">
        <f>'1_入力シート【基本情報】'!$BY$353</f>
        <v>0</v>
      </c>
      <c r="E498" s="564">
        <f>'1_入力シート【基本情報】'!$BY$353</f>
        <v>0</v>
      </c>
      <c r="F498" s="564" t="str">
        <f t="shared" si="68"/>
        <v>0</v>
      </c>
      <c r="G498" s="575"/>
      <c r="H498" s="565">
        <v>23</v>
      </c>
      <c r="I498" s="334" t="s">
        <v>33</v>
      </c>
      <c r="J498" s="357" t="s">
        <v>1407</v>
      </c>
      <c r="K498" s="322" t="s">
        <v>72</v>
      </c>
      <c r="L498" s="358" t="s">
        <v>1407</v>
      </c>
      <c r="M498" s="335" t="s">
        <v>2058</v>
      </c>
      <c r="N498" s="358" t="s">
        <v>1407</v>
      </c>
      <c r="O498" s="334" t="s">
        <v>387</v>
      </c>
      <c r="P498" s="332" t="s">
        <v>1879</v>
      </c>
      <c r="Q498" s="363" t="s">
        <v>675</v>
      </c>
      <c r="R498" s="364"/>
      <c r="S498" s="364"/>
      <c r="T498" s="13" t="str">
        <f t="shared" si="71"/>
        <v>23調査結果-屋上及び屋根-3（2）-改善（予定）年月-未定</v>
      </c>
      <c r="V498" s="349"/>
      <c r="W498" s="349"/>
      <c r="X498" s="349"/>
      <c r="Y498" s="75"/>
      <c r="Z498" s="75"/>
      <c r="AA498" s="75"/>
      <c r="AB498" s="75"/>
    </row>
    <row r="499" spans="2:28">
      <c r="B499" s="107">
        <f>'1_入力シート【基本情報】'!$AF$354</f>
        <v>0</v>
      </c>
      <c r="C499" s="4" t="str">
        <f t="shared" si="75"/>
        <v/>
      </c>
      <c r="D499" s="107" t="str">
        <f>C499</f>
        <v/>
      </c>
      <c r="E499" s="564" t="str">
        <f>D499</f>
        <v/>
      </c>
      <c r="F499" s="564" t="str">
        <f t="shared" si="68"/>
        <v/>
      </c>
      <c r="G499" s="575"/>
      <c r="H499" s="565">
        <v>23</v>
      </c>
      <c r="I499" s="334" t="s">
        <v>33</v>
      </c>
      <c r="J499" s="357" t="s">
        <v>1407</v>
      </c>
      <c r="K499" s="322" t="s">
        <v>72</v>
      </c>
      <c r="L499" s="358" t="s">
        <v>1407</v>
      </c>
      <c r="M499" s="335" t="s">
        <v>2059</v>
      </c>
      <c r="N499" s="358" t="s">
        <v>1407</v>
      </c>
      <c r="O499" s="334" t="s">
        <v>33</v>
      </c>
      <c r="P499" s="332"/>
      <c r="Q499" s="363"/>
      <c r="R499" s="364"/>
      <c r="S499" s="364"/>
      <c r="T499" s="13" t="str">
        <f t="shared" si="71"/>
        <v>23調査結果-屋上及び屋根-3（3）-調査結果</v>
      </c>
      <c r="V499" s="349"/>
      <c r="W499" s="349"/>
      <c r="X499" s="349"/>
      <c r="Y499" s="75"/>
      <c r="Z499" s="75"/>
      <c r="AA499" s="75"/>
      <c r="AB499" s="75"/>
    </row>
    <row r="500" spans="2:28">
      <c r="B500" s="107">
        <f>'1_入力シート【基本情報】'!$AR$354</f>
        <v>0</v>
      </c>
      <c r="C500" s="4" t="str">
        <f t="shared" si="75"/>
        <v/>
      </c>
      <c r="D500" s="107">
        <f>'1_入力シート【基本情報】'!$AR$354</f>
        <v>0</v>
      </c>
      <c r="E500" s="564">
        <f>'1_入力シート【基本情報】'!$AR$354</f>
        <v>0</v>
      </c>
      <c r="F500" s="564" t="str">
        <f t="shared" si="68"/>
        <v>0</v>
      </c>
      <c r="G500" s="575"/>
      <c r="H500" s="565">
        <v>23</v>
      </c>
      <c r="I500" s="334" t="s">
        <v>33</v>
      </c>
      <c r="J500" s="357" t="s">
        <v>1407</v>
      </c>
      <c r="K500" s="322" t="s">
        <v>72</v>
      </c>
      <c r="L500" s="358" t="s">
        <v>1407</v>
      </c>
      <c r="M500" s="335" t="s">
        <v>2059</v>
      </c>
      <c r="N500" s="358" t="s">
        <v>1407</v>
      </c>
      <c r="O500" s="334" t="s">
        <v>30</v>
      </c>
      <c r="P500" s="332"/>
      <c r="Q500" s="363"/>
      <c r="R500" s="364"/>
      <c r="S500" s="364"/>
      <c r="T500" s="13" t="str">
        <f t="shared" si="71"/>
        <v>23調査結果-屋上及び屋根-3（3）-調査者番号</v>
      </c>
      <c r="V500" s="349"/>
      <c r="W500" s="349"/>
      <c r="X500" s="349"/>
      <c r="Y500" s="75"/>
      <c r="Z500" s="75"/>
      <c r="AA500" s="75"/>
      <c r="AB500" s="75"/>
    </row>
    <row r="501" spans="2:28">
      <c r="B501" s="107">
        <f>'1_入力シート【基本情報】'!$AT$354</f>
        <v>0</v>
      </c>
      <c r="C501" s="4" t="str">
        <f t="shared" si="75"/>
        <v/>
      </c>
      <c r="D501" s="107">
        <f>'1_入力シート【基本情報】'!$AT$354</f>
        <v>0</v>
      </c>
      <c r="E501" s="564">
        <f>'1_入力シート【基本情報】'!$AT$354</f>
        <v>0</v>
      </c>
      <c r="F501" s="564" t="str">
        <f t="shared" si="68"/>
        <v>0</v>
      </c>
      <c r="G501" s="575"/>
      <c r="H501" s="565">
        <v>23</v>
      </c>
      <c r="I501" s="334" t="s">
        <v>33</v>
      </c>
      <c r="J501" s="357" t="s">
        <v>1407</v>
      </c>
      <c r="K501" s="322" t="s">
        <v>72</v>
      </c>
      <c r="L501" s="358" t="s">
        <v>1407</v>
      </c>
      <c r="M501" s="335" t="s">
        <v>2059</v>
      </c>
      <c r="N501" s="358" t="s">
        <v>1407</v>
      </c>
      <c r="O501" s="334" t="s">
        <v>2028</v>
      </c>
      <c r="P501" s="332"/>
      <c r="Q501" s="363"/>
      <c r="R501" s="364"/>
      <c r="S501" s="364"/>
      <c r="T501" s="13" t="str">
        <f t="shared" si="71"/>
        <v>23調査結果-屋上及び屋根-3（3）-指摘の具体的内容等</v>
      </c>
      <c r="V501" s="349"/>
      <c r="W501" s="349"/>
      <c r="X501" s="349"/>
      <c r="Y501" s="75"/>
      <c r="Z501" s="75"/>
      <c r="AA501" s="75"/>
      <c r="AB501" s="75"/>
    </row>
    <row r="502" spans="2:28">
      <c r="B502" s="107">
        <f>'1_入力シート【基本情報】'!$BD$354</f>
        <v>0</v>
      </c>
      <c r="C502" s="4" t="str">
        <f t="shared" si="75"/>
        <v/>
      </c>
      <c r="D502" s="107">
        <f>'1_入力シート【基本情報】'!$BD$354</f>
        <v>0</v>
      </c>
      <c r="E502" s="564">
        <f>'1_入力シート【基本情報】'!$BD$354</f>
        <v>0</v>
      </c>
      <c r="F502" s="564" t="str">
        <f t="shared" si="68"/>
        <v>0</v>
      </c>
      <c r="G502" s="575"/>
      <c r="H502" s="565">
        <v>23</v>
      </c>
      <c r="I502" s="334" t="s">
        <v>33</v>
      </c>
      <c r="J502" s="357" t="s">
        <v>1407</v>
      </c>
      <c r="K502" s="322" t="s">
        <v>72</v>
      </c>
      <c r="L502" s="358" t="s">
        <v>1407</v>
      </c>
      <c r="M502" s="335" t="s">
        <v>2059</v>
      </c>
      <c r="N502" s="358" t="s">
        <v>1407</v>
      </c>
      <c r="O502" s="326" t="s">
        <v>2029</v>
      </c>
      <c r="P502" s="332"/>
      <c r="Q502" s="363"/>
      <c r="R502" s="364"/>
      <c r="S502" s="364"/>
      <c r="T502" s="13" t="str">
        <f t="shared" si="71"/>
        <v>23調査結果-屋上及び屋根-3（3）-改善策の具体的内容等</v>
      </c>
      <c r="V502" s="349"/>
      <c r="W502" s="349"/>
      <c r="X502" s="349"/>
      <c r="Y502" s="75"/>
      <c r="Z502" s="75"/>
      <c r="AA502" s="75"/>
      <c r="AB502" s="75"/>
    </row>
    <row r="503" spans="2:28" ht="19">
      <c r="B503" s="107">
        <f>'1_入力シート【基本情報】'!$BS$354</f>
        <v>0</v>
      </c>
      <c r="C503" s="493" t="str">
        <f t="shared" ref="C503:E504" si="78">ASC($D503)</f>
        <v>0</v>
      </c>
      <c r="D503" s="107">
        <f>'1_入力シート【基本情報】'!$BS$354</f>
        <v>0</v>
      </c>
      <c r="E503" s="7" t="str">
        <f t="shared" si="78"/>
        <v>0</v>
      </c>
      <c r="F503" s="7" t="str">
        <f t="shared" si="68"/>
        <v>0</v>
      </c>
      <c r="G503" s="575"/>
      <c r="H503" s="565">
        <v>23</v>
      </c>
      <c r="I503" s="334" t="s">
        <v>33</v>
      </c>
      <c r="J503" s="357" t="s">
        <v>1407</v>
      </c>
      <c r="K503" s="322" t="s">
        <v>72</v>
      </c>
      <c r="L503" s="358" t="s">
        <v>1407</v>
      </c>
      <c r="M503" s="335" t="s">
        <v>2059</v>
      </c>
      <c r="N503" s="358" t="s">
        <v>1407</v>
      </c>
      <c r="O503" s="326" t="s">
        <v>387</v>
      </c>
      <c r="P503" s="332" t="s">
        <v>1879</v>
      </c>
      <c r="Q503" s="363" t="s">
        <v>1966</v>
      </c>
      <c r="R503" s="364"/>
      <c r="S503" s="364"/>
      <c r="T503" s="13" t="str">
        <f t="shared" si="71"/>
        <v>23調査結果-屋上及び屋根-3（3）-改善（予定）年月-年（令和）</v>
      </c>
      <c r="V503" s="349"/>
      <c r="W503" s="349"/>
      <c r="X503" s="349"/>
      <c r="Y503" s="75"/>
      <c r="Z503" s="75"/>
      <c r="AA503" s="75"/>
      <c r="AB503" s="75"/>
    </row>
    <row r="504" spans="2:28" ht="19">
      <c r="B504" s="107">
        <f>'1_入力シート【基本情報】'!$BV$354</f>
        <v>0</v>
      </c>
      <c r="C504" s="493" t="str">
        <f t="shared" si="78"/>
        <v>0</v>
      </c>
      <c r="D504" s="107">
        <f>'1_入力シート【基本情報】'!$BV$354</f>
        <v>0</v>
      </c>
      <c r="E504" s="7" t="str">
        <f t="shared" si="78"/>
        <v>0</v>
      </c>
      <c r="F504" s="7" t="str">
        <f t="shared" si="68"/>
        <v>0</v>
      </c>
      <c r="G504" s="575"/>
      <c r="H504" s="565">
        <v>23</v>
      </c>
      <c r="I504" s="334" t="s">
        <v>33</v>
      </c>
      <c r="J504" s="357" t="s">
        <v>1407</v>
      </c>
      <c r="K504" s="322" t="s">
        <v>72</v>
      </c>
      <c r="L504" s="358" t="s">
        <v>1407</v>
      </c>
      <c r="M504" s="335" t="s">
        <v>2059</v>
      </c>
      <c r="N504" s="358" t="s">
        <v>1407</v>
      </c>
      <c r="O504" s="326" t="s">
        <v>387</v>
      </c>
      <c r="P504" s="332" t="s">
        <v>1879</v>
      </c>
      <c r="Q504" s="363" t="s">
        <v>383</v>
      </c>
      <c r="R504" s="364"/>
      <c r="S504" s="364"/>
      <c r="T504" s="13" t="str">
        <f t="shared" si="71"/>
        <v>23調査結果-屋上及び屋根-3（3）-改善（予定）年月-月</v>
      </c>
      <c r="V504" s="349"/>
      <c r="W504" s="349"/>
      <c r="X504" s="349"/>
      <c r="Y504" s="75"/>
      <c r="Z504" s="75"/>
      <c r="AA504" s="75"/>
      <c r="AB504" s="75"/>
    </row>
    <row r="505" spans="2:28">
      <c r="B505" s="107">
        <f>'1_入力シート【基本情報】'!$BY$354</f>
        <v>0</v>
      </c>
      <c r="C505" s="4" t="str">
        <f t="shared" si="75"/>
        <v/>
      </c>
      <c r="D505" s="107">
        <f>'1_入力シート【基本情報】'!$BY$354</f>
        <v>0</v>
      </c>
      <c r="E505" s="564">
        <f>'1_入力シート【基本情報】'!$BY$354</f>
        <v>0</v>
      </c>
      <c r="F505" s="564" t="str">
        <f t="shared" si="68"/>
        <v>0</v>
      </c>
      <c r="G505" s="575"/>
      <c r="H505" s="565">
        <v>23</v>
      </c>
      <c r="I505" s="334" t="s">
        <v>33</v>
      </c>
      <c r="J505" s="357" t="s">
        <v>1407</v>
      </c>
      <c r="K505" s="322" t="s">
        <v>72</v>
      </c>
      <c r="L505" s="358" t="s">
        <v>1407</v>
      </c>
      <c r="M505" s="335" t="s">
        <v>2059</v>
      </c>
      <c r="N505" s="358" t="s">
        <v>1407</v>
      </c>
      <c r="O505" s="326" t="s">
        <v>387</v>
      </c>
      <c r="P505" s="332" t="s">
        <v>1879</v>
      </c>
      <c r="Q505" s="363" t="s">
        <v>675</v>
      </c>
      <c r="R505" s="364"/>
      <c r="S505" s="364"/>
      <c r="T505" s="13" t="str">
        <f t="shared" si="71"/>
        <v>23調査結果-屋上及び屋根-3（3）-改善（予定）年月-未定</v>
      </c>
      <c r="V505" s="349"/>
      <c r="W505" s="349"/>
      <c r="X505" s="349"/>
      <c r="Y505" s="75"/>
      <c r="Z505" s="75"/>
      <c r="AA505" s="75"/>
      <c r="AB505" s="75"/>
    </row>
    <row r="506" spans="2:28">
      <c r="B506" s="107">
        <f>'1_入力シート【基本情報】'!$AF$355</f>
        <v>0</v>
      </c>
      <c r="C506" s="4" t="str">
        <f t="shared" si="75"/>
        <v/>
      </c>
      <c r="D506" s="107" t="str">
        <f>C506</f>
        <v/>
      </c>
      <c r="E506" s="564" t="str">
        <f>D506</f>
        <v/>
      </c>
      <c r="F506" s="564" t="str">
        <f t="shared" si="68"/>
        <v/>
      </c>
      <c r="G506" s="575"/>
      <c r="H506" s="565">
        <v>23</v>
      </c>
      <c r="I506" s="334" t="s">
        <v>33</v>
      </c>
      <c r="J506" s="357" t="s">
        <v>1407</v>
      </c>
      <c r="K506" s="322" t="s">
        <v>72</v>
      </c>
      <c r="L506" s="358" t="s">
        <v>1407</v>
      </c>
      <c r="M506" s="335" t="s">
        <v>2060</v>
      </c>
      <c r="N506" s="358" t="s">
        <v>1407</v>
      </c>
      <c r="O506" s="334" t="s">
        <v>33</v>
      </c>
      <c r="P506" s="332"/>
      <c r="Q506" s="363"/>
      <c r="R506" s="364"/>
      <c r="S506" s="364"/>
      <c r="T506" s="13" t="str">
        <f t="shared" si="71"/>
        <v>23調査結果-屋上及び屋根-3（4）-調査結果</v>
      </c>
      <c r="V506" s="349"/>
      <c r="W506" s="349"/>
      <c r="X506" s="349"/>
      <c r="Y506" s="75"/>
      <c r="Z506" s="75"/>
      <c r="AA506" s="75"/>
      <c r="AB506" s="75"/>
    </row>
    <row r="507" spans="2:28">
      <c r="B507" s="107">
        <f>'1_入力シート【基本情報】'!$AR$355</f>
        <v>0</v>
      </c>
      <c r="C507" s="4" t="str">
        <f t="shared" si="75"/>
        <v/>
      </c>
      <c r="D507" s="107">
        <f>'1_入力シート【基本情報】'!$AR$355</f>
        <v>0</v>
      </c>
      <c r="E507" s="564">
        <f>'1_入力シート【基本情報】'!$AR$355</f>
        <v>0</v>
      </c>
      <c r="F507" s="564" t="str">
        <f t="shared" si="68"/>
        <v>0</v>
      </c>
      <c r="G507" s="575"/>
      <c r="H507" s="565">
        <v>23</v>
      </c>
      <c r="I507" s="334" t="s">
        <v>33</v>
      </c>
      <c r="J507" s="357" t="s">
        <v>1407</v>
      </c>
      <c r="K507" s="322" t="s">
        <v>72</v>
      </c>
      <c r="L507" s="358" t="s">
        <v>1407</v>
      </c>
      <c r="M507" s="335" t="s">
        <v>2060</v>
      </c>
      <c r="N507" s="358" t="s">
        <v>1407</v>
      </c>
      <c r="O507" s="326" t="s">
        <v>30</v>
      </c>
      <c r="P507" s="332"/>
      <c r="Q507" s="363"/>
      <c r="R507" s="364"/>
      <c r="S507" s="364"/>
      <c r="T507" s="13" t="str">
        <f t="shared" si="71"/>
        <v>23調査結果-屋上及び屋根-3（4）-調査者番号</v>
      </c>
      <c r="V507" s="349"/>
      <c r="W507" s="349"/>
      <c r="X507" s="349"/>
      <c r="Y507" s="75"/>
      <c r="Z507" s="75"/>
      <c r="AA507" s="75"/>
      <c r="AB507" s="75"/>
    </row>
    <row r="508" spans="2:28">
      <c r="B508" s="107">
        <f>'1_入力シート【基本情報】'!$AT$355</f>
        <v>0</v>
      </c>
      <c r="C508" s="4" t="str">
        <f t="shared" si="75"/>
        <v/>
      </c>
      <c r="D508" s="107">
        <f>'1_入力シート【基本情報】'!$AT$355</f>
        <v>0</v>
      </c>
      <c r="E508" s="564">
        <f>'1_入力シート【基本情報】'!$AT$355</f>
        <v>0</v>
      </c>
      <c r="F508" s="564" t="str">
        <f t="shared" si="68"/>
        <v>0</v>
      </c>
      <c r="G508" s="575"/>
      <c r="H508" s="565">
        <v>23</v>
      </c>
      <c r="I508" s="334" t="s">
        <v>33</v>
      </c>
      <c r="J508" s="357" t="s">
        <v>1407</v>
      </c>
      <c r="K508" s="322" t="s">
        <v>72</v>
      </c>
      <c r="L508" s="358" t="s">
        <v>1407</v>
      </c>
      <c r="M508" s="335" t="s">
        <v>2060</v>
      </c>
      <c r="N508" s="358" t="s">
        <v>1407</v>
      </c>
      <c r="O508" s="326" t="s">
        <v>2028</v>
      </c>
      <c r="P508" s="332"/>
      <c r="Q508" s="363"/>
      <c r="R508" s="364"/>
      <c r="S508" s="364"/>
      <c r="T508" s="13" t="str">
        <f t="shared" si="71"/>
        <v>23調査結果-屋上及び屋根-3（4）-指摘の具体的内容等</v>
      </c>
      <c r="V508" s="349"/>
      <c r="W508" s="349"/>
      <c r="X508" s="349"/>
      <c r="Y508" s="75"/>
      <c r="Z508" s="75"/>
      <c r="AA508" s="75"/>
      <c r="AB508" s="75"/>
    </row>
    <row r="509" spans="2:28">
      <c r="B509" s="107">
        <f>'1_入力シート【基本情報】'!$BD$355</f>
        <v>0</v>
      </c>
      <c r="C509" s="4" t="str">
        <f t="shared" si="75"/>
        <v/>
      </c>
      <c r="D509" s="107">
        <f>'1_入力シート【基本情報】'!$BD$355</f>
        <v>0</v>
      </c>
      <c r="E509" s="564">
        <f>'1_入力シート【基本情報】'!$BD$355</f>
        <v>0</v>
      </c>
      <c r="F509" s="564" t="str">
        <f t="shared" si="68"/>
        <v>0</v>
      </c>
      <c r="G509" s="575"/>
      <c r="H509" s="565">
        <v>23</v>
      </c>
      <c r="I509" s="334" t="s">
        <v>33</v>
      </c>
      <c r="J509" s="357" t="s">
        <v>1407</v>
      </c>
      <c r="K509" s="322" t="s">
        <v>72</v>
      </c>
      <c r="L509" s="358" t="s">
        <v>1407</v>
      </c>
      <c r="M509" s="335" t="s">
        <v>2060</v>
      </c>
      <c r="N509" s="358" t="s">
        <v>1407</v>
      </c>
      <c r="O509" s="326" t="s">
        <v>2029</v>
      </c>
      <c r="P509" s="332"/>
      <c r="Q509" s="363"/>
      <c r="R509" s="364"/>
      <c r="S509" s="364"/>
      <c r="T509" s="13" t="str">
        <f t="shared" si="71"/>
        <v>23調査結果-屋上及び屋根-3（4）-改善策の具体的内容等</v>
      </c>
      <c r="V509" s="349"/>
      <c r="W509" s="349"/>
      <c r="X509" s="349"/>
      <c r="Y509" s="75"/>
      <c r="Z509" s="75"/>
      <c r="AA509" s="75"/>
      <c r="AB509" s="75"/>
    </row>
    <row r="510" spans="2:28" ht="19">
      <c r="B510" s="107">
        <f>'1_入力シート【基本情報】'!$BS$355</f>
        <v>0</v>
      </c>
      <c r="C510" s="493" t="str">
        <f t="shared" ref="C510:E511" si="79">ASC($D510)</f>
        <v>0</v>
      </c>
      <c r="D510" s="107">
        <f>'1_入力シート【基本情報】'!$BS$355</f>
        <v>0</v>
      </c>
      <c r="E510" s="7" t="str">
        <f t="shared" si="79"/>
        <v>0</v>
      </c>
      <c r="F510" s="7" t="str">
        <f t="shared" si="68"/>
        <v>0</v>
      </c>
      <c r="G510" s="575"/>
      <c r="H510" s="565">
        <v>23</v>
      </c>
      <c r="I510" s="334" t="s">
        <v>33</v>
      </c>
      <c r="J510" s="357" t="s">
        <v>1407</v>
      </c>
      <c r="K510" s="322" t="s">
        <v>72</v>
      </c>
      <c r="L510" s="358" t="s">
        <v>1407</v>
      </c>
      <c r="M510" s="335" t="s">
        <v>2060</v>
      </c>
      <c r="N510" s="358" t="s">
        <v>1407</v>
      </c>
      <c r="O510" s="326" t="s">
        <v>387</v>
      </c>
      <c r="P510" s="332" t="s">
        <v>1879</v>
      </c>
      <c r="Q510" s="363" t="s">
        <v>1966</v>
      </c>
      <c r="R510" s="364"/>
      <c r="S510" s="364"/>
      <c r="T510" s="13" t="str">
        <f t="shared" si="71"/>
        <v>23調査結果-屋上及び屋根-3（4）-改善（予定）年月-年（令和）</v>
      </c>
      <c r="V510" s="349"/>
      <c r="W510" s="349"/>
      <c r="X510" s="349"/>
      <c r="Y510" s="75"/>
      <c r="Z510" s="75"/>
      <c r="AA510" s="75"/>
      <c r="AB510" s="75"/>
    </row>
    <row r="511" spans="2:28" ht="19">
      <c r="B511" s="107">
        <f>'1_入力シート【基本情報】'!$BV$355</f>
        <v>0</v>
      </c>
      <c r="C511" s="493" t="str">
        <f t="shared" si="79"/>
        <v>0</v>
      </c>
      <c r="D511" s="107">
        <f>'1_入力シート【基本情報】'!$BV$355</f>
        <v>0</v>
      </c>
      <c r="E511" s="7" t="str">
        <f t="shared" si="79"/>
        <v>0</v>
      </c>
      <c r="F511" s="7" t="str">
        <f t="shared" si="68"/>
        <v>0</v>
      </c>
      <c r="G511" s="575"/>
      <c r="H511" s="565">
        <v>23</v>
      </c>
      <c r="I511" s="334" t="s">
        <v>33</v>
      </c>
      <c r="J511" s="357" t="s">
        <v>1407</v>
      </c>
      <c r="K511" s="322" t="s">
        <v>72</v>
      </c>
      <c r="L511" s="358" t="s">
        <v>1407</v>
      </c>
      <c r="M511" s="335" t="s">
        <v>2060</v>
      </c>
      <c r="N511" s="358" t="s">
        <v>1407</v>
      </c>
      <c r="O511" s="334" t="s">
        <v>387</v>
      </c>
      <c r="P511" s="332" t="s">
        <v>1879</v>
      </c>
      <c r="Q511" s="363" t="s">
        <v>383</v>
      </c>
      <c r="R511" s="364"/>
      <c r="S511" s="364"/>
      <c r="T511" s="13" t="str">
        <f t="shared" si="71"/>
        <v>23調査結果-屋上及び屋根-3（4）-改善（予定）年月-月</v>
      </c>
      <c r="V511" s="349"/>
      <c r="W511" s="349"/>
      <c r="X511" s="349"/>
      <c r="Y511" s="75"/>
      <c r="Z511" s="75"/>
      <c r="AA511" s="75"/>
      <c r="AB511" s="75"/>
    </row>
    <row r="512" spans="2:28">
      <c r="B512" s="107">
        <f>'1_入力シート【基本情報】'!$BY$355</f>
        <v>0</v>
      </c>
      <c r="C512" s="4" t="str">
        <f t="shared" si="75"/>
        <v/>
      </c>
      <c r="D512" s="107">
        <f>'1_入力シート【基本情報】'!$BY$355</f>
        <v>0</v>
      </c>
      <c r="E512" s="564">
        <f>'1_入力シート【基本情報】'!$BY$355</f>
        <v>0</v>
      </c>
      <c r="F512" s="564" t="str">
        <f t="shared" si="68"/>
        <v>0</v>
      </c>
      <c r="G512" s="575"/>
      <c r="H512" s="565">
        <v>23</v>
      </c>
      <c r="I512" s="334" t="s">
        <v>33</v>
      </c>
      <c r="J512" s="357" t="s">
        <v>1407</v>
      </c>
      <c r="K512" s="322" t="s">
        <v>72</v>
      </c>
      <c r="L512" s="358" t="s">
        <v>1407</v>
      </c>
      <c r="M512" s="335" t="s">
        <v>2060</v>
      </c>
      <c r="N512" s="358" t="s">
        <v>1407</v>
      </c>
      <c r="O512" s="334" t="s">
        <v>387</v>
      </c>
      <c r="P512" s="332" t="s">
        <v>1879</v>
      </c>
      <c r="Q512" s="363" t="s">
        <v>675</v>
      </c>
      <c r="R512" s="364"/>
      <c r="S512" s="364"/>
      <c r="T512" s="13" t="str">
        <f t="shared" si="71"/>
        <v>23調査結果-屋上及び屋根-3（4）-改善（予定）年月-未定</v>
      </c>
      <c r="V512" s="349"/>
      <c r="W512" s="349"/>
      <c r="X512" s="349"/>
      <c r="Y512" s="75"/>
      <c r="Z512" s="75"/>
      <c r="AA512" s="75"/>
      <c r="AB512" s="75"/>
    </row>
    <row r="513" spans="2:28">
      <c r="B513" s="107">
        <f>'1_入力シート【基本情報】'!$AF$356</f>
        <v>0</v>
      </c>
      <c r="C513" s="4" t="str">
        <f t="shared" si="75"/>
        <v/>
      </c>
      <c r="D513" s="107" t="str">
        <f>C513</f>
        <v/>
      </c>
      <c r="E513" s="564" t="str">
        <f>D513</f>
        <v/>
      </c>
      <c r="F513" s="564" t="str">
        <f t="shared" si="68"/>
        <v/>
      </c>
      <c r="G513" s="575"/>
      <c r="H513" s="565">
        <v>23</v>
      </c>
      <c r="I513" s="334" t="s">
        <v>33</v>
      </c>
      <c r="J513" s="357" t="s">
        <v>1407</v>
      </c>
      <c r="K513" s="322" t="s">
        <v>72</v>
      </c>
      <c r="L513" s="358" t="s">
        <v>1407</v>
      </c>
      <c r="M513" s="335" t="s">
        <v>2061</v>
      </c>
      <c r="N513" s="358" t="s">
        <v>1407</v>
      </c>
      <c r="O513" s="334" t="s">
        <v>33</v>
      </c>
      <c r="P513" s="332"/>
      <c r="Q513" s="363"/>
      <c r="R513" s="364"/>
      <c r="S513" s="364"/>
      <c r="T513" s="13" t="str">
        <f t="shared" si="71"/>
        <v>23調査結果-屋上及び屋根-3（5）-調査結果</v>
      </c>
      <c r="V513" s="349"/>
      <c r="W513" s="349"/>
      <c r="X513" s="349"/>
      <c r="Y513" s="75"/>
      <c r="Z513" s="75"/>
      <c r="AA513" s="75"/>
      <c r="AB513" s="75"/>
    </row>
    <row r="514" spans="2:28">
      <c r="B514" s="107">
        <f>'1_入力シート【基本情報】'!$AR$356</f>
        <v>0</v>
      </c>
      <c r="C514" s="4" t="str">
        <f t="shared" si="75"/>
        <v/>
      </c>
      <c r="D514" s="107">
        <f>'1_入力シート【基本情報】'!$AR$356</f>
        <v>0</v>
      </c>
      <c r="E514" s="564">
        <f>'1_入力シート【基本情報】'!$AR$356</f>
        <v>0</v>
      </c>
      <c r="F514" s="564" t="str">
        <f t="shared" si="68"/>
        <v>0</v>
      </c>
      <c r="G514" s="575"/>
      <c r="H514" s="565">
        <v>23</v>
      </c>
      <c r="I514" s="334" t="s">
        <v>33</v>
      </c>
      <c r="J514" s="357" t="s">
        <v>1407</v>
      </c>
      <c r="K514" s="322" t="s">
        <v>72</v>
      </c>
      <c r="L514" s="358" t="s">
        <v>1407</v>
      </c>
      <c r="M514" s="335" t="s">
        <v>2061</v>
      </c>
      <c r="N514" s="358" t="s">
        <v>1407</v>
      </c>
      <c r="O514" s="334" t="s">
        <v>30</v>
      </c>
      <c r="P514" s="332"/>
      <c r="Q514" s="363"/>
      <c r="R514" s="364"/>
      <c r="S514" s="364"/>
      <c r="T514" s="13" t="str">
        <f t="shared" si="71"/>
        <v>23調査結果-屋上及び屋根-3（5）-調査者番号</v>
      </c>
      <c r="V514" s="349"/>
      <c r="W514" s="349"/>
      <c r="X514" s="349"/>
      <c r="Y514" s="75"/>
      <c r="Z514" s="75"/>
      <c r="AA514" s="75"/>
      <c r="AB514" s="75"/>
    </row>
    <row r="515" spans="2:28">
      <c r="B515" s="107">
        <f>'1_入力シート【基本情報】'!$AT$356</f>
        <v>0</v>
      </c>
      <c r="C515" s="4" t="str">
        <f t="shared" si="75"/>
        <v/>
      </c>
      <c r="D515" s="107">
        <f>'1_入力シート【基本情報】'!$AT$356</f>
        <v>0</v>
      </c>
      <c r="E515" s="564">
        <f>'1_入力シート【基本情報】'!$AT$356</f>
        <v>0</v>
      </c>
      <c r="F515" s="564" t="str">
        <f t="shared" si="68"/>
        <v>0</v>
      </c>
      <c r="G515" s="575"/>
      <c r="H515" s="565">
        <v>23</v>
      </c>
      <c r="I515" s="334" t="s">
        <v>33</v>
      </c>
      <c r="J515" s="357" t="s">
        <v>1407</v>
      </c>
      <c r="K515" s="322" t="s">
        <v>72</v>
      </c>
      <c r="L515" s="358" t="s">
        <v>1407</v>
      </c>
      <c r="M515" s="335" t="s">
        <v>2061</v>
      </c>
      <c r="N515" s="358" t="s">
        <v>1407</v>
      </c>
      <c r="O515" s="326" t="s">
        <v>2028</v>
      </c>
      <c r="P515" s="332"/>
      <c r="Q515" s="363"/>
      <c r="R515" s="364"/>
      <c r="S515" s="364"/>
      <c r="T515" s="13" t="str">
        <f t="shared" si="71"/>
        <v>23調査結果-屋上及び屋根-3（5）-指摘の具体的内容等</v>
      </c>
      <c r="V515" s="349"/>
      <c r="W515" s="349"/>
      <c r="X515" s="349"/>
      <c r="Y515" s="75"/>
      <c r="Z515" s="75"/>
      <c r="AA515" s="75"/>
      <c r="AB515" s="75"/>
    </row>
    <row r="516" spans="2:28">
      <c r="B516" s="107">
        <f>'1_入力シート【基本情報】'!$BD$356</f>
        <v>0</v>
      </c>
      <c r="C516" s="4" t="str">
        <f t="shared" si="75"/>
        <v/>
      </c>
      <c r="D516" s="107">
        <f>'1_入力シート【基本情報】'!$BD$356</f>
        <v>0</v>
      </c>
      <c r="E516" s="564">
        <f>'1_入力シート【基本情報】'!$BD$356</f>
        <v>0</v>
      </c>
      <c r="F516" s="564" t="str">
        <f t="shared" si="68"/>
        <v>0</v>
      </c>
      <c r="G516" s="575"/>
      <c r="H516" s="565">
        <v>23</v>
      </c>
      <c r="I516" s="334" t="s">
        <v>33</v>
      </c>
      <c r="J516" s="357" t="s">
        <v>1407</v>
      </c>
      <c r="K516" s="322" t="s">
        <v>72</v>
      </c>
      <c r="L516" s="358" t="s">
        <v>1407</v>
      </c>
      <c r="M516" s="335" t="s">
        <v>2061</v>
      </c>
      <c r="N516" s="358" t="s">
        <v>1407</v>
      </c>
      <c r="O516" s="326" t="s">
        <v>2029</v>
      </c>
      <c r="P516" s="332"/>
      <c r="Q516" s="363"/>
      <c r="R516" s="364"/>
      <c r="S516" s="364"/>
      <c r="T516" s="13" t="str">
        <f t="shared" si="71"/>
        <v>23調査結果-屋上及び屋根-3（5）-改善策の具体的内容等</v>
      </c>
      <c r="V516" s="349"/>
      <c r="W516" s="349"/>
      <c r="X516" s="349"/>
      <c r="Y516" s="75"/>
      <c r="Z516" s="75"/>
      <c r="AA516" s="75"/>
      <c r="AB516" s="75"/>
    </row>
    <row r="517" spans="2:28" ht="19">
      <c r="B517" s="107">
        <f>'1_入力シート【基本情報】'!$BS$356</f>
        <v>0</v>
      </c>
      <c r="C517" s="493" t="str">
        <f t="shared" ref="C517:E518" si="80">ASC($D517)</f>
        <v>0</v>
      </c>
      <c r="D517" s="107">
        <f>'1_入力シート【基本情報】'!$BS$356</f>
        <v>0</v>
      </c>
      <c r="E517" s="7" t="str">
        <f t="shared" si="80"/>
        <v>0</v>
      </c>
      <c r="F517" s="7" t="str">
        <f t="shared" ref="F517:F580" si="81">SUBSTITUTE(E517,CHAR(10),"")</f>
        <v>0</v>
      </c>
      <c r="G517" s="575"/>
      <c r="H517" s="565">
        <v>23</v>
      </c>
      <c r="I517" s="334" t="s">
        <v>33</v>
      </c>
      <c r="J517" s="357" t="s">
        <v>1407</v>
      </c>
      <c r="K517" s="322" t="s">
        <v>72</v>
      </c>
      <c r="L517" s="358" t="s">
        <v>1407</v>
      </c>
      <c r="M517" s="335" t="s">
        <v>2061</v>
      </c>
      <c r="N517" s="358" t="s">
        <v>1407</v>
      </c>
      <c r="O517" s="326" t="s">
        <v>387</v>
      </c>
      <c r="P517" s="332" t="s">
        <v>1879</v>
      </c>
      <c r="Q517" s="363" t="s">
        <v>1966</v>
      </c>
      <c r="R517" s="364"/>
      <c r="S517" s="364"/>
      <c r="T517" s="13" t="str">
        <f t="shared" si="71"/>
        <v>23調査結果-屋上及び屋根-3（5）-改善（予定）年月-年（令和）</v>
      </c>
      <c r="V517" s="349"/>
      <c r="W517" s="349"/>
      <c r="X517" s="349"/>
      <c r="Y517" s="75"/>
      <c r="Z517" s="75"/>
      <c r="AA517" s="75"/>
      <c r="AB517" s="75"/>
    </row>
    <row r="518" spans="2:28" ht="19">
      <c r="B518" s="107">
        <f>'1_入力シート【基本情報】'!$BV$356</f>
        <v>0</v>
      </c>
      <c r="C518" s="493" t="str">
        <f t="shared" si="80"/>
        <v>0</v>
      </c>
      <c r="D518" s="107">
        <f>'1_入力シート【基本情報】'!$BV$356</f>
        <v>0</v>
      </c>
      <c r="E518" s="7" t="str">
        <f t="shared" si="80"/>
        <v>0</v>
      </c>
      <c r="F518" s="7" t="str">
        <f t="shared" si="81"/>
        <v>0</v>
      </c>
      <c r="G518" s="575"/>
      <c r="H518" s="565">
        <v>23</v>
      </c>
      <c r="I518" s="334" t="s">
        <v>33</v>
      </c>
      <c r="J518" s="357" t="s">
        <v>1407</v>
      </c>
      <c r="K518" s="322" t="s">
        <v>72</v>
      </c>
      <c r="L518" s="358" t="s">
        <v>1407</v>
      </c>
      <c r="M518" s="335" t="s">
        <v>2061</v>
      </c>
      <c r="N518" s="358" t="s">
        <v>1407</v>
      </c>
      <c r="O518" s="326" t="s">
        <v>387</v>
      </c>
      <c r="P518" s="332" t="s">
        <v>1879</v>
      </c>
      <c r="Q518" s="363" t="s">
        <v>383</v>
      </c>
      <c r="R518" s="364"/>
      <c r="S518" s="364"/>
      <c r="T518" s="13" t="str">
        <f t="shared" si="71"/>
        <v>23調査結果-屋上及び屋根-3（5）-改善（予定）年月-月</v>
      </c>
      <c r="V518" s="349"/>
      <c r="W518" s="349"/>
      <c r="X518" s="349"/>
      <c r="Y518" s="75"/>
      <c r="Z518" s="75"/>
      <c r="AA518" s="75"/>
      <c r="AB518" s="75"/>
    </row>
    <row r="519" spans="2:28">
      <c r="B519" s="107">
        <f>'1_入力シート【基本情報】'!$BY$356</f>
        <v>0</v>
      </c>
      <c r="C519" s="4" t="str">
        <f t="shared" si="75"/>
        <v/>
      </c>
      <c r="D519" s="107">
        <f>'1_入力シート【基本情報】'!$BY$356</f>
        <v>0</v>
      </c>
      <c r="E519" s="564">
        <f>'1_入力シート【基本情報】'!$BY$356</f>
        <v>0</v>
      </c>
      <c r="F519" s="564" t="str">
        <f t="shared" si="81"/>
        <v>0</v>
      </c>
      <c r="G519" s="575"/>
      <c r="H519" s="565">
        <v>23</v>
      </c>
      <c r="I519" s="334" t="s">
        <v>33</v>
      </c>
      <c r="J519" s="357" t="s">
        <v>1407</v>
      </c>
      <c r="K519" s="322" t="s">
        <v>72</v>
      </c>
      <c r="L519" s="358" t="s">
        <v>1407</v>
      </c>
      <c r="M519" s="335" t="s">
        <v>2061</v>
      </c>
      <c r="N519" s="358" t="s">
        <v>1407</v>
      </c>
      <c r="O519" s="334" t="s">
        <v>387</v>
      </c>
      <c r="P519" s="332" t="s">
        <v>1879</v>
      </c>
      <c r="Q519" s="363" t="s">
        <v>675</v>
      </c>
      <c r="R519" s="364"/>
      <c r="S519" s="364"/>
      <c r="T519" s="13" t="str">
        <f t="shared" si="71"/>
        <v>23調査結果-屋上及び屋根-3（5）-改善（予定）年月-未定</v>
      </c>
      <c r="V519" s="349"/>
      <c r="W519" s="349"/>
      <c r="X519" s="349"/>
      <c r="Y519" s="75"/>
      <c r="Z519" s="75"/>
      <c r="AA519" s="75"/>
      <c r="AB519" s="75"/>
    </row>
    <row r="520" spans="2:28">
      <c r="B520" s="107">
        <f>'1_入力シート【基本情報】'!$AF$357</f>
        <v>0</v>
      </c>
      <c r="C520" s="4" t="str">
        <f t="shared" si="75"/>
        <v/>
      </c>
      <c r="D520" s="107" t="str">
        <f>C520</f>
        <v/>
      </c>
      <c r="E520" s="564" t="str">
        <f>D520</f>
        <v/>
      </c>
      <c r="F520" s="564" t="str">
        <f t="shared" si="81"/>
        <v/>
      </c>
      <c r="G520" s="575"/>
      <c r="H520" s="565">
        <v>23</v>
      </c>
      <c r="I520" s="334" t="s">
        <v>33</v>
      </c>
      <c r="J520" s="357" t="s">
        <v>1407</v>
      </c>
      <c r="K520" s="322" t="s">
        <v>72</v>
      </c>
      <c r="L520" s="358" t="s">
        <v>1407</v>
      </c>
      <c r="M520" s="335" t="s">
        <v>2062</v>
      </c>
      <c r="N520" s="358" t="s">
        <v>1407</v>
      </c>
      <c r="O520" s="334" t="s">
        <v>33</v>
      </c>
      <c r="P520" s="332"/>
      <c r="Q520" s="363"/>
      <c r="R520" s="364"/>
      <c r="S520" s="364"/>
      <c r="T520" s="13" t="str">
        <f t="shared" si="71"/>
        <v>23調査結果-屋上及び屋根-3（6）-調査結果</v>
      </c>
      <c r="V520" s="349"/>
      <c r="W520" s="349"/>
      <c r="X520" s="349"/>
      <c r="Y520" s="75"/>
      <c r="Z520" s="75"/>
      <c r="AA520" s="75"/>
      <c r="AB520" s="75"/>
    </row>
    <row r="521" spans="2:28">
      <c r="B521" s="107">
        <f>'1_入力シート【基本情報】'!$AR$357</f>
        <v>0</v>
      </c>
      <c r="C521" s="4" t="str">
        <f t="shared" si="75"/>
        <v/>
      </c>
      <c r="D521" s="107">
        <f>'1_入力シート【基本情報】'!$AR$357</f>
        <v>0</v>
      </c>
      <c r="E521" s="564">
        <f>'1_入力シート【基本情報】'!$AR$357</f>
        <v>0</v>
      </c>
      <c r="F521" s="564" t="str">
        <f t="shared" si="81"/>
        <v>0</v>
      </c>
      <c r="G521" s="575"/>
      <c r="H521" s="565">
        <v>23</v>
      </c>
      <c r="I521" s="334" t="s">
        <v>33</v>
      </c>
      <c r="J521" s="357" t="s">
        <v>1407</v>
      </c>
      <c r="K521" s="322" t="s">
        <v>72</v>
      </c>
      <c r="L521" s="358" t="s">
        <v>1407</v>
      </c>
      <c r="M521" s="335" t="s">
        <v>2062</v>
      </c>
      <c r="N521" s="358" t="s">
        <v>1407</v>
      </c>
      <c r="O521" s="334" t="s">
        <v>30</v>
      </c>
      <c r="P521" s="332"/>
      <c r="Q521" s="363"/>
      <c r="R521" s="364"/>
      <c r="S521" s="364"/>
      <c r="T521" s="13" t="str">
        <f t="shared" si="71"/>
        <v>23調査結果-屋上及び屋根-3（6）-調査者番号</v>
      </c>
      <c r="V521" s="349"/>
      <c r="W521" s="349"/>
      <c r="X521" s="349"/>
      <c r="Y521" s="75"/>
      <c r="Z521" s="75"/>
      <c r="AA521" s="75"/>
      <c r="AB521" s="75"/>
    </row>
    <row r="522" spans="2:28">
      <c r="B522" s="107">
        <f>'1_入力シート【基本情報】'!$AT$357</f>
        <v>0</v>
      </c>
      <c r="C522" s="4" t="str">
        <f t="shared" si="75"/>
        <v/>
      </c>
      <c r="D522" s="107">
        <f>'1_入力シート【基本情報】'!$AT$357</f>
        <v>0</v>
      </c>
      <c r="E522" s="564">
        <f>'1_入力シート【基本情報】'!$AT$357</f>
        <v>0</v>
      </c>
      <c r="F522" s="564" t="str">
        <f t="shared" si="81"/>
        <v>0</v>
      </c>
      <c r="G522" s="575"/>
      <c r="H522" s="565">
        <v>23</v>
      </c>
      <c r="I522" s="334" t="s">
        <v>33</v>
      </c>
      <c r="J522" s="357" t="s">
        <v>1407</v>
      </c>
      <c r="K522" s="322" t="s">
        <v>72</v>
      </c>
      <c r="L522" s="358" t="s">
        <v>1407</v>
      </c>
      <c r="M522" s="335" t="s">
        <v>2062</v>
      </c>
      <c r="N522" s="358" t="s">
        <v>1407</v>
      </c>
      <c r="O522" s="334" t="s">
        <v>2028</v>
      </c>
      <c r="P522" s="332"/>
      <c r="Q522" s="363"/>
      <c r="R522" s="364"/>
      <c r="S522" s="364"/>
      <c r="T522" s="13" t="str">
        <f t="shared" si="71"/>
        <v>23調査結果-屋上及び屋根-3（6）-指摘の具体的内容等</v>
      </c>
      <c r="V522" s="349"/>
      <c r="W522" s="349"/>
      <c r="X522" s="349"/>
      <c r="Y522" s="75"/>
      <c r="Z522" s="75"/>
      <c r="AA522" s="75"/>
      <c r="AB522" s="75"/>
    </row>
    <row r="523" spans="2:28">
      <c r="B523" s="107">
        <f>'1_入力シート【基本情報】'!$BD$357</f>
        <v>0</v>
      </c>
      <c r="C523" s="4" t="str">
        <f t="shared" si="75"/>
        <v/>
      </c>
      <c r="D523" s="107">
        <f>'1_入力シート【基本情報】'!$BD$357</f>
        <v>0</v>
      </c>
      <c r="E523" s="564">
        <f>'1_入力シート【基本情報】'!$BD$357</f>
        <v>0</v>
      </c>
      <c r="F523" s="564" t="str">
        <f t="shared" si="81"/>
        <v>0</v>
      </c>
      <c r="G523" s="575"/>
      <c r="H523" s="565">
        <v>23</v>
      </c>
      <c r="I523" s="334" t="s">
        <v>33</v>
      </c>
      <c r="J523" s="357" t="s">
        <v>1407</v>
      </c>
      <c r="K523" s="322" t="s">
        <v>72</v>
      </c>
      <c r="L523" s="358" t="s">
        <v>1407</v>
      </c>
      <c r="M523" s="335" t="s">
        <v>2062</v>
      </c>
      <c r="N523" s="358" t="s">
        <v>1407</v>
      </c>
      <c r="O523" s="326" t="s">
        <v>2029</v>
      </c>
      <c r="P523" s="332"/>
      <c r="Q523" s="363"/>
      <c r="R523" s="364"/>
      <c r="S523" s="364"/>
      <c r="T523" s="13" t="str">
        <f t="shared" si="71"/>
        <v>23調査結果-屋上及び屋根-3（6）-改善策の具体的内容等</v>
      </c>
      <c r="V523" s="349"/>
      <c r="W523" s="349"/>
      <c r="X523" s="349"/>
      <c r="Y523" s="75"/>
      <c r="Z523" s="75"/>
      <c r="AA523" s="75"/>
      <c r="AB523" s="75"/>
    </row>
    <row r="524" spans="2:28" ht="19">
      <c r="B524" s="107">
        <f>'1_入力シート【基本情報】'!$BS$357</f>
        <v>0</v>
      </c>
      <c r="C524" s="493" t="str">
        <f t="shared" ref="C524:E525" si="82">ASC($D524)</f>
        <v>0</v>
      </c>
      <c r="D524" s="107">
        <f>'1_入力シート【基本情報】'!$BS$357</f>
        <v>0</v>
      </c>
      <c r="E524" s="7" t="str">
        <f t="shared" si="82"/>
        <v>0</v>
      </c>
      <c r="F524" s="7" t="str">
        <f t="shared" si="81"/>
        <v>0</v>
      </c>
      <c r="G524" s="575"/>
      <c r="H524" s="565">
        <v>23</v>
      </c>
      <c r="I524" s="334" t="s">
        <v>33</v>
      </c>
      <c r="J524" s="357" t="s">
        <v>1407</v>
      </c>
      <c r="K524" s="322" t="s">
        <v>72</v>
      </c>
      <c r="L524" s="358" t="s">
        <v>1407</v>
      </c>
      <c r="M524" s="335" t="s">
        <v>2062</v>
      </c>
      <c r="N524" s="358" t="s">
        <v>1407</v>
      </c>
      <c r="O524" s="326" t="s">
        <v>387</v>
      </c>
      <c r="P524" s="332" t="s">
        <v>1879</v>
      </c>
      <c r="Q524" s="363" t="s">
        <v>1966</v>
      </c>
      <c r="R524" s="364"/>
      <c r="S524" s="364"/>
      <c r="T524" s="13" t="str">
        <f t="shared" si="71"/>
        <v>23調査結果-屋上及び屋根-3（6）-改善（予定）年月-年（令和）</v>
      </c>
      <c r="V524" s="349"/>
      <c r="W524" s="349"/>
      <c r="X524" s="349"/>
      <c r="Y524" s="75"/>
      <c r="Z524" s="75"/>
      <c r="AA524" s="75"/>
      <c r="AB524" s="75"/>
    </row>
    <row r="525" spans="2:28" ht="19">
      <c r="B525" s="107">
        <f>'1_入力シート【基本情報】'!$BV$357</f>
        <v>0</v>
      </c>
      <c r="C525" s="493" t="str">
        <f t="shared" si="82"/>
        <v>0</v>
      </c>
      <c r="D525" s="107">
        <f>'1_入力シート【基本情報】'!$BV$357</f>
        <v>0</v>
      </c>
      <c r="E525" s="7" t="str">
        <f t="shared" si="82"/>
        <v>0</v>
      </c>
      <c r="F525" s="7" t="str">
        <f t="shared" si="81"/>
        <v>0</v>
      </c>
      <c r="G525" s="575"/>
      <c r="H525" s="565">
        <v>23</v>
      </c>
      <c r="I525" s="334" t="s">
        <v>33</v>
      </c>
      <c r="J525" s="357" t="s">
        <v>1407</v>
      </c>
      <c r="K525" s="322" t="s">
        <v>72</v>
      </c>
      <c r="L525" s="358" t="s">
        <v>1407</v>
      </c>
      <c r="M525" s="335" t="s">
        <v>2062</v>
      </c>
      <c r="N525" s="358" t="s">
        <v>1407</v>
      </c>
      <c r="O525" s="326" t="s">
        <v>387</v>
      </c>
      <c r="P525" s="332" t="s">
        <v>1879</v>
      </c>
      <c r="Q525" s="363" t="s">
        <v>383</v>
      </c>
      <c r="R525" s="364"/>
      <c r="S525" s="364"/>
      <c r="T525" s="13" t="str">
        <f t="shared" si="71"/>
        <v>23調査結果-屋上及び屋根-3（6）-改善（予定）年月-月</v>
      </c>
      <c r="V525" s="349"/>
      <c r="W525" s="349"/>
      <c r="X525" s="349"/>
      <c r="Y525" s="75"/>
      <c r="Z525" s="75"/>
      <c r="AA525" s="75"/>
      <c r="AB525" s="75"/>
    </row>
    <row r="526" spans="2:28">
      <c r="B526" s="107">
        <f>'1_入力シート【基本情報】'!$BY$357</f>
        <v>0</v>
      </c>
      <c r="C526" s="4" t="str">
        <f t="shared" si="75"/>
        <v/>
      </c>
      <c r="D526" s="107">
        <f>'1_入力シート【基本情報】'!$BY$357</f>
        <v>0</v>
      </c>
      <c r="E526" s="564">
        <f>'1_入力シート【基本情報】'!$BY$357</f>
        <v>0</v>
      </c>
      <c r="F526" s="564" t="str">
        <f t="shared" si="81"/>
        <v>0</v>
      </c>
      <c r="G526" s="575"/>
      <c r="H526" s="565">
        <v>23</v>
      </c>
      <c r="I526" s="334" t="s">
        <v>33</v>
      </c>
      <c r="J526" s="357" t="s">
        <v>1407</v>
      </c>
      <c r="K526" s="322" t="s">
        <v>72</v>
      </c>
      <c r="L526" s="358" t="s">
        <v>1407</v>
      </c>
      <c r="M526" s="335" t="s">
        <v>2062</v>
      </c>
      <c r="N526" s="358" t="s">
        <v>1407</v>
      </c>
      <c r="O526" s="326" t="s">
        <v>387</v>
      </c>
      <c r="P526" s="332" t="s">
        <v>1879</v>
      </c>
      <c r="Q526" s="363" t="s">
        <v>675</v>
      </c>
      <c r="R526" s="364"/>
      <c r="S526" s="364"/>
      <c r="T526" s="13" t="str">
        <f t="shared" si="71"/>
        <v>23調査結果-屋上及び屋根-3（6）-改善（予定）年月-未定</v>
      </c>
      <c r="V526" s="349"/>
      <c r="W526" s="349"/>
      <c r="X526" s="349"/>
      <c r="Y526" s="75"/>
      <c r="Z526" s="75"/>
      <c r="AA526" s="75"/>
      <c r="AB526" s="75"/>
    </row>
    <row r="527" spans="2:28">
      <c r="B527" s="107">
        <f>'1_入力シート【基本情報】'!$AF$358</f>
        <v>0</v>
      </c>
      <c r="C527" s="4" t="str">
        <f t="shared" si="75"/>
        <v/>
      </c>
      <c r="D527" s="107" t="str">
        <f>C527</f>
        <v/>
      </c>
      <c r="E527" s="564" t="str">
        <f>D527</f>
        <v/>
      </c>
      <c r="F527" s="564" t="str">
        <f t="shared" si="81"/>
        <v/>
      </c>
      <c r="G527" s="575"/>
      <c r="H527" s="565">
        <v>23</v>
      </c>
      <c r="I527" s="334" t="s">
        <v>33</v>
      </c>
      <c r="J527" s="357" t="s">
        <v>1407</v>
      </c>
      <c r="K527" s="322" t="s">
        <v>72</v>
      </c>
      <c r="L527" s="358" t="s">
        <v>1407</v>
      </c>
      <c r="M527" s="335" t="s">
        <v>2063</v>
      </c>
      <c r="N527" s="358" t="s">
        <v>1407</v>
      </c>
      <c r="O527" s="334" t="s">
        <v>33</v>
      </c>
      <c r="P527" s="332"/>
      <c r="Q527" s="363"/>
      <c r="R527" s="364"/>
      <c r="S527" s="364"/>
      <c r="T527" s="13" t="str">
        <f t="shared" si="71"/>
        <v>23調査結果-屋上及び屋根-3（7）-調査結果</v>
      </c>
      <c r="V527" s="349"/>
      <c r="W527" s="349"/>
      <c r="X527" s="349"/>
      <c r="Y527" s="75"/>
      <c r="Z527" s="75"/>
      <c r="AA527" s="75"/>
      <c r="AB527" s="75"/>
    </row>
    <row r="528" spans="2:28">
      <c r="B528" s="107">
        <f>'1_入力シート【基本情報】'!$AR$358</f>
        <v>0</v>
      </c>
      <c r="C528" s="4" t="str">
        <f t="shared" si="75"/>
        <v/>
      </c>
      <c r="D528" s="107">
        <f>'1_入力シート【基本情報】'!$AR$358</f>
        <v>0</v>
      </c>
      <c r="E528" s="564">
        <f>'1_入力シート【基本情報】'!$AR$358</f>
        <v>0</v>
      </c>
      <c r="F528" s="564" t="str">
        <f t="shared" si="81"/>
        <v>0</v>
      </c>
      <c r="G528" s="575"/>
      <c r="H528" s="565">
        <v>23</v>
      </c>
      <c r="I528" s="334" t="s">
        <v>33</v>
      </c>
      <c r="J528" s="357" t="s">
        <v>1407</v>
      </c>
      <c r="K528" s="322" t="s">
        <v>72</v>
      </c>
      <c r="L528" s="358" t="s">
        <v>1407</v>
      </c>
      <c r="M528" s="335" t="s">
        <v>2063</v>
      </c>
      <c r="N528" s="358" t="s">
        <v>1407</v>
      </c>
      <c r="O528" s="326" t="s">
        <v>30</v>
      </c>
      <c r="P528" s="332"/>
      <c r="Q528" s="363"/>
      <c r="R528" s="364"/>
      <c r="S528" s="364"/>
      <c r="T528" s="13" t="str">
        <f t="shared" si="71"/>
        <v>23調査結果-屋上及び屋根-3（7）-調査者番号</v>
      </c>
      <c r="V528" s="349"/>
      <c r="W528" s="349"/>
      <c r="X528" s="349"/>
      <c r="Y528" s="75"/>
      <c r="Z528" s="75"/>
      <c r="AA528" s="75"/>
      <c r="AB528" s="75"/>
    </row>
    <row r="529" spans="2:28">
      <c r="B529" s="107">
        <f>'1_入力シート【基本情報】'!$AT$358</f>
        <v>0</v>
      </c>
      <c r="C529" s="4" t="str">
        <f t="shared" si="75"/>
        <v/>
      </c>
      <c r="D529" s="107">
        <f>'1_入力シート【基本情報】'!$AT$358</f>
        <v>0</v>
      </c>
      <c r="E529" s="564">
        <f>'1_入力シート【基本情報】'!$AT$358</f>
        <v>0</v>
      </c>
      <c r="F529" s="564" t="str">
        <f t="shared" si="81"/>
        <v>0</v>
      </c>
      <c r="G529" s="575"/>
      <c r="H529" s="565">
        <v>23</v>
      </c>
      <c r="I529" s="334" t="s">
        <v>33</v>
      </c>
      <c r="J529" s="357" t="s">
        <v>1407</v>
      </c>
      <c r="K529" s="322" t="s">
        <v>72</v>
      </c>
      <c r="L529" s="358" t="s">
        <v>1407</v>
      </c>
      <c r="M529" s="335" t="s">
        <v>2063</v>
      </c>
      <c r="N529" s="358" t="s">
        <v>1407</v>
      </c>
      <c r="O529" s="326" t="s">
        <v>2028</v>
      </c>
      <c r="P529" s="332"/>
      <c r="Q529" s="363"/>
      <c r="R529" s="364"/>
      <c r="S529" s="364"/>
      <c r="T529" s="13" t="str">
        <f t="shared" si="71"/>
        <v>23調査結果-屋上及び屋根-3（7）-指摘の具体的内容等</v>
      </c>
      <c r="V529" s="349"/>
      <c r="W529" s="349"/>
      <c r="X529" s="349"/>
      <c r="Y529" s="75"/>
      <c r="Z529" s="75"/>
      <c r="AA529" s="75"/>
      <c r="AB529" s="75"/>
    </row>
    <row r="530" spans="2:28">
      <c r="B530" s="107">
        <f>'1_入力シート【基本情報】'!$BD$358</f>
        <v>0</v>
      </c>
      <c r="C530" s="4" t="str">
        <f t="shared" si="75"/>
        <v/>
      </c>
      <c r="D530" s="107">
        <f>'1_入力シート【基本情報】'!$BD$358</f>
        <v>0</v>
      </c>
      <c r="E530" s="564">
        <f>'1_入力シート【基本情報】'!$BD$358</f>
        <v>0</v>
      </c>
      <c r="F530" s="564" t="str">
        <f t="shared" si="81"/>
        <v>0</v>
      </c>
      <c r="G530" s="575"/>
      <c r="H530" s="565">
        <v>23</v>
      </c>
      <c r="I530" s="334" t="s">
        <v>33</v>
      </c>
      <c r="J530" s="357" t="s">
        <v>1407</v>
      </c>
      <c r="K530" s="322" t="s">
        <v>72</v>
      </c>
      <c r="L530" s="358" t="s">
        <v>1407</v>
      </c>
      <c r="M530" s="335" t="s">
        <v>2063</v>
      </c>
      <c r="N530" s="358" t="s">
        <v>1407</v>
      </c>
      <c r="O530" s="326" t="s">
        <v>2029</v>
      </c>
      <c r="P530" s="332"/>
      <c r="Q530" s="363"/>
      <c r="R530" s="364"/>
      <c r="S530" s="364"/>
      <c r="T530" s="13" t="str">
        <f t="shared" si="71"/>
        <v>23調査結果-屋上及び屋根-3（7）-改善策の具体的内容等</v>
      </c>
      <c r="V530" s="349"/>
      <c r="W530" s="349"/>
      <c r="X530" s="349"/>
      <c r="Y530" s="75"/>
      <c r="Z530" s="75"/>
      <c r="AA530" s="75"/>
      <c r="AB530" s="75"/>
    </row>
    <row r="531" spans="2:28" ht="19">
      <c r="B531" s="107">
        <f>'1_入力シート【基本情報】'!$BS$358</f>
        <v>0</v>
      </c>
      <c r="C531" s="493" t="str">
        <f t="shared" ref="C531:E532" si="83">ASC($D531)</f>
        <v>0</v>
      </c>
      <c r="D531" s="107">
        <f>'1_入力シート【基本情報】'!$BS$358</f>
        <v>0</v>
      </c>
      <c r="E531" s="7" t="str">
        <f t="shared" si="83"/>
        <v>0</v>
      </c>
      <c r="F531" s="7" t="str">
        <f t="shared" si="81"/>
        <v>0</v>
      </c>
      <c r="G531" s="575"/>
      <c r="H531" s="565">
        <v>23</v>
      </c>
      <c r="I531" s="334" t="s">
        <v>33</v>
      </c>
      <c r="J531" s="357" t="s">
        <v>1407</v>
      </c>
      <c r="K531" s="322" t="s">
        <v>72</v>
      </c>
      <c r="L531" s="358" t="s">
        <v>1407</v>
      </c>
      <c r="M531" s="335" t="s">
        <v>2063</v>
      </c>
      <c r="N531" s="358" t="s">
        <v>1407</v>
      </c>
      <c r="O531" s="326" t="s">
        <v>387</v>
      </c>
      <c r="P531" s="332" t="s">
        <v>1879</v>
      </c>
      <c r="Q531" s="363" t="s">
        <v>1966</v>
      </c>
      <c r="R531" s="364"/>
      <c r="S531" s="364"/>
      <c r="T531" s="13" t="str">
        <f t="shared" si="71"/>
        <v>23調査結果-屋上及び屋根-3（7）-改善（予定）年月-年（令和）</v>
      </c>
      <c r="V531" s="349"/>
      <c r="W531" s="349"/>
      <c r="X531" s="349"/>
      <c r="Y531" s="75"/>
      <c r="Z531" s="75"/>
      <c r="AA531" s="75"/>
      <c r="AB531" s="75"/>
    </row>
    <row r="532" spans="2:28" ht="19">
      <c r="B532" s="107">
        <f>'1_入力シート【基本情報】'!$BV$358</f>
        <v>0</v>
      </c>
      <c r="C532" s="493" t="str">
        <f t="shared" si="83"/>
        <v>0</v>
      </c>
      <c r="D532" s="107">
        <f>'1_入力シート【基本情報】'!$BV$358</f>
        <v>0</v>
      </c>
      <c r="E532" s="7" t="str">
        <f t="shared" si="83"/>
        <v>0</v>
      </c>
      <c r="F532" s="7" t="str">
        <f t="shared" si="81"/>
        <v>0</v>
      </c>
      <c r="G532" s="575"/>
      <c r="H532" s="565">
        <v>23</v>
      </c>
      <c r="I532" s="334" t="s">
        <v>33</v>
      </c>
      <c r="J532" s="357" t="s">
        <v>1407</v>
      </c>
      <c r="K532" s="322" t="s">
        <v>72</v>
      </c>
      <c r="L532" s="358" t="s">
        <v>1407</v>
      </c>
      <c r="M532" s="335" t="s">
        <v>2063</v>
      </c>
      <c r="N532" s="358" t="s">
        <v>1407</v>
      </c>
      <c r="O532" s="334" t="s">
        <v>387</v>
      </c>
      <c r="P532" s="332" t="s">
        <v>1879</v>
      </c>
      <c r="Q532" s="363" t="s">
        <v>383</v>
      </c>
      <c r="R532" s="364"/>
      <c r="S532" s="364"/>
      <c r="T532" s="13" t="str">
        <f t="shared" si="71"/>
        <v>23調査結果-屋上及び屋根-3（7）-改善（予定）年月-月</v>
      </c>
      <c r="V532" s="349"/>
      <c r="W532" s="349"/>
      <c r="X532" s="349"/>
      <c r="Y532" s="75"/>
      <c r="Z532" s="75"/>
      <c r="AA532" s="75"/>
      <c r="AB532" s="75"/>
    </row>
    <row r="533" spans="2:28">
      <c r="B533" s="107">
        <f>'1_入力シート【基本情報】'!$BY$358</f>
        <v>0</v>
      </c>
      <c r="C533" s="4" t="str">
        <f t="shared" si="75"/>
        <v/>
      </c>
      <c r="D533" s="107">
        <f>'1_入力シート【基本情報】'!$BY$358</f>
        <v>0</v>
      </c>
      <c r="E533" s="564">
        <f>'1_入力シート【基本情報】'!$BY$358</f>
        <v>0</v>
      </c>
      <c r="F533" s="564" t="str">
        <f t="shared" si="81"/>
        <v>0</v>
      </c>
      <c r="G533" s="575"/>
      <c r="H533" s="565">
        <v>23</v>
      </c>
      <c r="I533" s="334" t="s">
        <v>33</v>
      </c>
      <c r="J533" s="357" t="s">
        <v>1407</v>
      </c>
      <c r="K533" s="322" t="s">
        <v>72</v>
      </c>
      <c r="L533" s="358" t="s">
        <v>1407</v>
      </c>
      <c r="M533" s="335" t="s">
        <v>2063</v>
      </c>
      <c r="N533" s="358" t="s">
        <v>1407</v>
      </c>
      <c r="O533" s="334" t="s">
        <v>387</v>
      </c>
      <c r="P533" s="332" t="s">
        <v>1879</v>
      </c>
      <c r="Q533" s="363" t="s">
        <v>675</v>
      </c>
      <c r="R533" s="364"/>
      <c r="S533" s="364"/>
      <c r="T533" s="13" t="str">
        <f t="shared" si="71"/>
        <v>23調査結果-屋上及び屋根-3（7）-改善（予定）年月-未定</v>
      </c>
      <c r="V533" s="349"/>
      <c r="W533" s="349"/>
      <c r="X533" s="349"/>
      <c r="Y533" s="75"/>
      <c r="Z533" s="75"/>
      <c r="AA533" s="75"/>
      <c r="AB533" s="75"/>
    </row>
    <row r="534" spans="2:28">
      <c r="B534" s="107">
        <f>'1_入力シート【基本情報】'!$AF$359</f>
        <v>0</v>
      </c>
      <c r="C534" s="4" t="str">
        <f t="shared" si="75"/>
        <v/>
      </c>
      <c r="D534" s="107" t="str">
        <f>C534</f>
        <v/>
      </c>
      <c r="E534" s="564" t="str">
        <f>D534</f>
        <v/>
      </c>
      <c r="F534" s="564" t="str">
        <f t="shared" si="81"/>
        <v/>
      </c>
      <c r="G534" s="575"/>
      <c r="H534" s="565">
        <v>23</v>
      </c>
      <c r="I534" s="334" t="s">
        <v>33</v>
      </c>
      <c r="J534" s="357" t="s">
        <v>1407</v>
      </c>
      <c r="K534" s="322" t="s">
        <v>72</v>
      </c>
      <c r="L534" s="358" t="s">
        <v>1407</v>
      </c>
      <c r="M534" s="335" t="s">
        <v>2064</v>
      </c>
      <c r="N534" s="358" t="s">
        <v>1407</v>
      </c>
      <c r="O534" s="334" t="s">
        <v>33</v>
      </c>
      <c r="P534" s="332"/>
      <c r="Q534" s="363"/>
      <c r="R534" s="364"/>
      <c r="S534" s="364"/>
      <c r="T534" s="13" t="str">
        <f t="shared" si="71"/>
        <v>23調査結果-屋上及び屋根-3（8）-調査結果</v>
      </c>
      <c r="V534" s="349"/>
      <c r="W534" s="349"/>
      <c r="X534" s="349"/>
      <c r="Y534" s="75"/>
      <c r="Z534" s="75"/>
      <c r="AA534" s="75"/>
      <c r="AB534" s="75"/>
    </row>
    <row r="535" spans="2:28">
      <c r="B535" s="107">
        <f>'1_入力シート【基本情報】'!$AR$359</f>
        <v>0</v>
      </c>
      <c r="C535" s="4" t="str">
        <f t="shared" si="75"/>
        <v/>
      </c>
      <c r="D535" s="107">
        <f>'1_入力シート【基本情報】'!$AR$359</f>
        <v>0</v>
      </c>
      <c r="E535" s="564">
        <f>'1_入力シート【基本情報】'!$AR$359</f>
        <v>0</v>
      </c>
      <c r="F535" s="564" t="str">
        <f t="shared" si="81"/>
        <v>0</v>
      </c>
      <c r="G535" s="575"/>
      <c r="H535" s="565">
        <v>23</v>
      </c>
      <c r="I535" s="334" t="s">
        <v>33</v>
      </c>
      <c r="J535" s="357" t="s">
        <v>1407</v>
      </c>
      <c r="K535" s="322" t="s">
        <v>72</v>
      </c>
      <c r="L535" s="358" t="s">
        <v>1407</v>
      </c>
      <c r="M535" s="335" t="s">
        <v>2064</v>
      </c>
      <c r="N535" s="358" t="s">
        <v>1407</v>
      </c>
      <c r="O535" s="334" t="s">
        <v>30</v>
      </c>
      <c r="P535" s="332"/>
      <c r="Q535" s="363"/>
      <c r="R535" s="364"/>
      <c r="S535" s="364"/>
      <c r="T535" s="13" t="str">
        <f t="shared" si="71"/>
        <v>23調査結果-屋上及び屋根-3（8）-調査者番号</v>
      </c>
      <c r="V535" s="349"/>
      <c r="W535" s="349"/>
      <c r="X535" s="349"/>
      <c r="Y535" s="75"/>
      <c r="Z535" s="75"/>
      <c r="AA535" s="75"/>
      <c r="AB535" s="75"/>
    </row>
    <row r="536" spans="2:28">
      <c r="B536" s="107">
        <f>'1_入力シート【基本情報】'!$AT$359</f>
        <v>0</v>
      </c>
      <c r="C536" s="4" t="str">
        <f t="shared" si="75"/>
        <v/>
      </c>
      <c r="D536" s="107">
        <f>'1_入力シート【基本情報】'!$AT$359</f>
        <v>0</v>
      </c>
      <c r="E536" s="564">
        <f>'1_入力シート【基本情報】'!$AT$359</f>
        <v>0</v>
      </c>
      <c r="F536" s="564" t="str">
        <f t="shared" si="81"/>
        <v>0</v>
      </c>
      <c r="G536" s="575"/>
      <c r="H536" s="565">
        <v>23</v>
      </c>
      <c r="I536" s="334" t="s">
        <v>33</v>
      </c>
      <c r="J536" s="357" t="s">
        <v>1407</v>
      </c>
      <c r="K536" s="322" t="s">
        <v>72</v>
      </c>
      <c r="L536" s="358" t="s">
        <v>1407</v>
      </c>
      <c r="M536" s="335" t="s">
        <v>2064</v>
      </c>
      <c r="N536" s="358" t="s">
        <v>1407</v>
      </c>
      <c r="O536" s="326" t="s">
        <v>2028</v>
      </c>
      <c r="P536" s="332"/>
      <c r="Q536" s="363"/>
      <c r="R536" s="364"/>
      <c r="S536" s="364"/>
      <c r="T536" s="13" t="str">
        <f t="shared" si="71"/>
        <v>23調査結果-屋上及び屋根-3（8）-指摘の具体的内容等</v>
      </c>
      <c r="V536" s="349"/>
      <c r="W536" s="349"/>
      <c r="X536" s="349"/>
      <c r="Y536" s="75"/>
      <c r="Z536" s="75"/>
      <c r="AA536" s="75"/>
      <c r="AB536" s="75"/>
    </row>
    <row r="537" spans="2:28">
      <c r="B537" s="107">
        <f>'1_入力シート【基本情報】'!$BD$359</f>
        <v>0</v>
      </c>
      <c r="C537" s="4" t="str">
        <f t="shared" si="75"/>
        <v/>
      </c>
      <c r="D537" s="107">
        <f>'1_入力シート【基本情報】'!$BD$359</f>
        <v>0</v>
      </c>
      <c r="E537" s="564">
        <f>'1_入力シート【基本情報】'!$BD$359</f>
        <v>0</v>
      </c>
      <c r="F537" s="564" t="str">
        <f t="shared" si="81"/>
        <v>0</v>
      </c>
      <c r="G537" s="575"/>
      <c r="H537" s="565">
        <v>23</v>
      </c>
      <c r="I537" s="334" t="s">
        <v>33</v>
      </c>
      <c r="J537" s="357" t="s">
        <v>1407</v>
      </c>
      <c r="K537" s="322" t="s">
        <v>72</v>
      </c>
      <c r="L537" s="358" t="s">
        <v>1407</v>
      </c>
      <c r="M537" s="335" t="s">
        <v>2064</v>
      </c>
      <c r="N537" s="358" t="s">
        <v>1407</v>
      </c>
      <c r="O537" s="326" t="s">
        <v>2029</v>
      </c>
      <c r="P537" s="332"/>
      <c r="Q537" s="363"/>
      <c r="R537" s="364"/>
      <c r="S537" s="364"/>
      <c r="T537" s="13" t="str">
        <f t="shared" si="71"/>
        <v>23調査結果-屋上及び屋根-3（8）-改善策の具体的内容等</v>
      </c>
      <c r="V537" s="349"/>
      <c r="W537" s="349"/>
      <c r="X537" s="349"/>
      <c r="Y537" s="75"/>
      <c r="Z537" s="75"/>
      <c r="AA537" s="75"/>
      <c r="AB537" s="75"/>
    </row>
    <row r="538" spans="2:28" ht="19">
      <c r="B538" s="107">
        <f>'1_入力シート【基本情報】'!$BS$359</f>
        <v>0</v>
      </c>
      <c r="C538" s="493" t="str">
        <f t="shared" ref="C538:E539" si="84">ASC($D538)</f>
        <v>0</v>
      </c>
      <c r="D538" s="107">
        <f>'1_入力シート【基本情報】'!$BS$359</f>
        <v>0</v>
      </c>
      <c r="E538" s="7" t="str">
        <f t="shared" si="84"/>
        <v>0</v>
      </c>
      <c r="F538" s="7" t="str">
        <f t="shared" si="81"/>
        <v>0</v>
      </c>
      <c r="G538" s="575"/>
      <c r="H538" s="565">
        <v>23</v>
      </c>
      <c r="I538" s="334" t="s">
        <v>33</v>
      </c>
      <c r="J538" s="357" t="s">
        <v>1407</v>
      </c>
      <c r="K538" s="322" t="s">
        <v>72</v>
      </c>
      <c r="L538" s="358" t="s">
        <v>1407</v>
      </c>
      <c r="M538" s="335" t="s">
        <v>2064</v>
      </c>
      <c r="N538" s="358" t="s">
        <v>1407</v>
      </c>
      <c r="O538" s="326" t="s">
        <v>387</v>
      </c>
      <c r="P538" s="332" t="s">
        <v>1879</v>
      </c>
      <c r="Q538" s="363" t="s">
        <v>1966</v>
      </c>
      <c r="R538" s="364"/>
      <c r="S538" s="364"/>
      <c r="T538" s="13" t="str">
        <f t="shared" si="71"/>
        <v>23調査結果-屋上及び屋根-3（8）-改善（予定）年月-年（令和）</v>
      </c>
      <c r="V538" s="349"/>
      <c r="W538" s="349"/>
      <c r="X538" s="349"/>
      <c r="Y538" s="75"/>
      <c r="Z538" s="75"/>
      <c r="AA538" s="75"/>
      <c r="AB538" s="75"/>
    </row>
    <row r="539" spans="2:28" ht="19">
      <c r="B539" s="107">
        <f>'1_入力シート【基本情報】'!$BV$359</f>
        <v>0</v>
      </c>
      <c r="C539" s="493" t="str">
        <f t="shared" si="84"/>
        <v>0</v>
      </c>
      <c r="D539" s="107">
        <f>'1_入力シート【基本情報】'!$BV$359</f>
        <v>0</v>
      </c>
      <c r="E539" s="7" t="str">
        <f t="shared" si="84"/>
        <v>0</v>
      </c>
      <c r="F539" s="7" t="str">
        <f t="shared" si="81"/>
        <v>0</v>
      </c>
      <c r="G539" s="575"/>
      <c r="H539" s="565">
        <v>23</v>
      </c>
      <c r="I539" s="334" t="s">
        <v>33</v>
      </c>
      <c r="J539" s="357" t="s">
        <v>1407</v>
      </c>
      <c r="K539" s="322" t="s">
        <v>72</v>
      </c>
      <c r="L539" s="358" t="s">
        <v>1407</v>
      </c>
      <c r="M539" s="335" t="s">
        <v>2064</v>
      </c>
      <c r="N539" s="358" t="s">
        <v>1407</v>
      </c>
      <c r="O539" s="326" t="s">
        <v>387</v>
      </c>
      <c r="P539" s="332" t="s">
        <v>1879</v>
      </c>
      <c r="Q539" s="363" t="s">
        <v>383</v>
      </c>
      <c r="R539" s="364"/>
      <c r="S539" s="364"/>
      <c r="T539" s="13" t="str">
        <f t="shared" si="71"/>
        <v>23調査結果-屋上及び屋根-3（8）-改善（予定）年月-月</v>
      </c>
      <c r="V539" s="349"/>
      <c r="W539" s="349"/>
      <c r="X539" s="349"/>
      <c r="Y539" s="75"/>
      <c r="Z539" s="75"/>
      <c r="AA539" s="75"/>
      <c r="AB539" s="75"/>
    </row>
    <row r="540" spans="2:28">
      <c r="B540" s="107">
        <f>'1_入力シート【基本情報】'!$BY$359</f>
        <v>0</v>
      </c>
      <c r="C540" s="4" t="str">
        <f t="shared" si="75"/>
        <v/>
      </c>
      <c r="D540" s="107">
        <f>'1_入力シート【基本情報】'!$BY$359</f>
        <v>0</v>
      </c>
      <c r="E540" s="564">
        <f>'1_入力シート【基本情報】'!$BY$359</f>
        <v>0</v>
      </c>
      <c r="F540" s="564" t="str">
        <f t="shared" si="81"/>
        <v>0</v>
      </c>
      <c r="G540" s="575"/>
      <c r="H540" s="565">
        <v>23</v>
      </c>
      <c r="I540" s="334" t="s">
        <v>33</v>
      </c>
      <c r="J540" s="357" t="s">
        <v>1407</v>
      </c>
      <c r="K540" s="322" t="s">
        <v>72</v>
      </c>
      <c r="L540" s="358" t="s">
        <v>1407</v>
      </c>
      <c r="M540" s="335" t="s">
        <v>2064</v>
      </c>
      <c r="N540" s="358" t="s">
        <v>1407</v>
      </c>
      <c r="O540" s="334" t="s">
        <v>387</v>
      </c>
      <c r="P540" s="332" t="s">
        <v>1879</v>
      </c>
      <c r="Q540" s="363" t="s">
        <v>675</v>
      </c>
      <c r="R540" s="364"/>
      <c r="S540" s="364"/>
      <c r="T540" s="13" t="str">
        <f t="shared" si="71"/>
        <v>23調査結果-屋上及び屋根-3（8）-改善（予定）年月-未定</v>
      </c>
      <c r="V540" s="349"/>
      <c r="W540" s="349"/>
      <c r="X540" s="349"/>
      <c r="Y540" s="75"/>
      <c r="Z540" s="75"/>
      <c r="AA540" s="75"/>
      <c r="AB540" s="75"/>
    </row>
    <row r="541" spans="2:28">
      <c r="B541" s="107">
        <f>'1_入力シート【基本情報】'!$AF$360</f>
        <v>0</v>
      </c>
      <c r="C541" s="4" t="str">
        <f t="shared" si="75"/>
        <v/>
      </c>
      <c r="D541" s="107" t="str">
        <f>C541</f>
        <v/>
      </c>
      <c r="E541" s="564" t="str">
        <f>D541</f>
        <v/>
      </c>
      <c r="F541" s="564" t="str">
        <f t="shared" si="81"/>
        <v/>
      </c>
      <c r="G541" s="575"/>
      <c r="H541" s="565">
        <v>23</v>
      </c>
      <c r="I541" s="334" t="s">
        <v>33</v>
      </c>
      <c r="J541" s="357" t="s">
        <v>1407</v>
      </c>
      <c r="K541" s="322" t="s">
        <v>72</v>
      </c>
      <c r="L541" s="358" t="s">
        <v>1407</v>
      </c>
      <c r="M541" s="335" t="s">
        <v>2065</v>
      </c>
      <c r="N541" s="358" t="s">
        <v>1407</v>
      </c>
      <c r="O541" s="334" t="s">
        <v>33</v>
      </c>
      <c r="P541" s="332"/>
      <c r="Q541" s="363"/>
      <c r="R541" s="364"/>
      <c r="S541" s="364"/>
      <c r="T541" s="13" t="str">
        <f t="shared" si="71"/>
        <v>23調査結果-屋上及び屋根-3（9）-調査結果</v>
      </c>
      <c r="V541" s="349"/>
      <c r="W541" s="349"/>
      <c r="X541" s="349"/>
      <c r="Y541" s="75"/>
      <c r="Z541" s="75"/>
      <c r="AA541" s="75"/>
      <c r="AB541" s="75"/>
    </row>
    <row r="542" spans="2:28">
      <c r="B542" s="107">
        <f>'1_入力シート【基本情報】'!$AR$360</f>
        <v>0</v>
      </c>
      <c r="C542" s="4" t="str">
        <f t="shared" si="75"/>
        <v/>
      </c>
      <c r="D542" s="107">
        <f>'1_入力シート【基本情報】'!$AR$360</f>
        <v>0</v>
      </c>
      <c r="E542" s="564">
        <f>'1_入力シート【基本情報】'!$AR$360</f>
        <v>0</v>
      </c>
      <c r="F542" s="564" t="str">
        <f t="shared" si="81"/>
        <v>0</v>
      </c>
      <c r="G542" s="575"/>
      <c r="H542" s="565">
        <v>23</v>
      </c>
      <c r="I542" s="334" t="s">
        <v>33</v>
      </c>
      <c r="J542" s="357" t="s">
        <v>1407</v>
      </c>
      <c r="K542" s="322" t="s">
        <v>72</v>
      </c>
      <c r="L542" s="358" t="s">
        <v>1407</v>
      </c>
      <c r="M542" s="335" t="s">
        <v>2065</v>
      </c>
      <c r="N542" s="358" t="s">
        <v>1407</v>
      </c>
      <c r="O542" s="334" t="s">
        <v>30</v>
      </c>
      <c r="P542" s="332"/>
      <c r="Q542" s="363"/>
      <c r="R542" s="364"/>
      <c r="S542" s="364"/>
      <c r="T542" s="13" t="str">
        <f t="shared" si="71"/>
        <v>23調査結果-屋上及び屋根-3（9）-調査者番号</v>
      </c>
      <c r="V542" s="349"/>
      <c r="W542" s="349"/>
      <c r="X542" s="349"/>
      <c r="Y542" s="75"/>
      <c r="Z542" s="75"/>
      <c r="AA542" s="75"/>
      <c r="AB542" s="75"/>
    </row>
    <row r="543" spans="2:28">
      <c r="B543" s="107">
        <f>'1_入力シート【基本情報】'!$AT$360</f>
        <v>0</v>
      </c>
      <c r="C543" s="4" t="str">
        <f t="shared" si="75"/>
        <v/>
      </c>
      <c r="D543" s="107">
        <f>'1_入力シート【基本情報】'!$AT$360</f>
        <v>0</v>
      </c>
      <c r="E543" s="564">
        <f>'1_入力シート【基本情報】'!$AT$360</f>
        <v>0</v>
      </c>
      <c r="F543" s="564" t="str">
        <f t="shared" si="81"/>
        <v>0</v>
      </c>
      <c r="G543" s="575"/>
      <c r="H543" s="565">
        <v>23</v>
      </c>
      <c r="I543" s="334" t="s">
        <v>33</v>
      </c>
      <c r="J543" s="357" t="s">
        <v>1407</v>
      </c>
      <c r="K543" s="322" t="s">
        <v>72</v>
      </c>
      <c r="L543" s="358" t="s">
        <v>1407</v>
      </c>
      <c r="M543" s="335" t="s">
        <v>2065</v>
      </c>
      <c r="N543" s="358" t="s">
        <v>1407</v>
      </c>
      <c r="O543" s="334" t="s">
        <v>2028</v>
      </c>
      <c r="P543" s="332"/>
      <c r="Q543" s="363"/>
      <c r="R543" s="364"/>
      <c r="S543" s="364"/>
      <c r="T543" s="13" t="str">
        <f t="shared" si="71"/>
        <v>23調査結果-屋上及び屋根-3（9）-指摘の具体的内容等</v>
      </c>
      <c r="V543" s="349"/>
      <c r="W543" s="349"/>
      <c r="X543" s="349"/>
      <c r="Y543" s="75"/>
      <c r="Z543" s="75"/>
      <c r="AA543" s="75"/>
      <c r="AB543" s="75"/>
    </row>
    <row r="544" spans="2:28">
      <c r="B544" s="107">
        <f>'1_入力シート【基本情報】'!$BD$360</f>
        <v>0</v>
      </c>
      <c r="C544" s="4" t="str">
        <f t="shared" si="75"/>
        <v/>
      </c>
      <c r="D544" s="107">
        <f>'1_入力シート【基本情報】'!$BD$360</f>
        <v>0</v>
      </c>
      <c r="E544" s="564">
        <f>'1_入力シート【基本情報】'!$BD$360</f>
        <v>0</v>
      </c>
      <c r="F544" s="564" t="str">
        <f t="shared" si="81"/>
        <v>0</v>
      </c>
      <c r="G544" s="575"/>
      <c r="H544" s="565">
        <v>23</v>
      </c>
      <c r="I544" s="334" t="s">
        <v>33</v>
      </c>
      <c r="J544" s="357" t="s">
        <v>1407</v>
      </c>
      <c r="K544" s="322" t="s">
        <v>72</v>
      </c>
      <c r="L544" s="358" t="s">
        <v>1407</v>
      </c>
      <c r="M544" s="335" t="s">
        <v>2065</v>
      </c>
      <c r="N544" s="358" t="s">
        <v>1407</v>
      </c>
      <c r="O544" s="326" t="s">
        <v>2029</v>
      </c>
      <c r="P544" s="332"/>
      <c r="Q544" s="363"/>
      <c r="R544" s="364"/>
      <c r="S544" s="364"/>
      <c r="T544" s="13" t="str">
        <f t="shared" si="71"/>
        <v>23調査結果-屋上及び屋根-3（9）-改善策の具体的内容等</v>
      </c>
      <c r="V544" s="349"/>
      <c r="W544" s="349"/>
      <c r="X544" s="349"/>
      <c r="Y544" s="75"/>
      <c r="Z544" s="75"/>
      <c r="AA544" s="75"/>
      <c r="AB544" s="75"/>
    </row>
    <row r="545" spans="2:28" ht="19">
      <c r="B545" s="107">
        <f>'1_入力シート【基本情報】'!$BS$360</f>
        <v>0</v>
      </c>
      <c r="C545" s="493" t="str">
        <f t="shared" ref="C545:E546" si="85">ASC($D545)</f>
        <v>0</v>
      </c>
      <c r="D545" s="107">
        <f>'1_入力シート【基本情報】'!$BS$360</f>
        <v>0</v>
      </c>
      <c r="E545" s="7" t="str">
        <f t="shared" si="85"/>
        <v>0</v>
      </c>
      <c r="F545" s="7" t="str">
        <f t="shared" si="81"/>
        <v>0</v>
      </c>
      <c r="G545" s="575"/>
      <c r="H545" s="565">
        <v>23</v>
      </c>
      <c r="I545" s="334" t="s">
        <v>33</v>
      </c>
      <c r="J545" s="357" t="s">
        <v>1407</v>
      </c>
      <c r="K545" s="322" t="s">
        <v>72</v>
      </c>
      <c r="L545" s="358" t="s">
        <v>1407</v>
      </c>
      <c r="M545" s="335" t="s">
        <v>2065</v>
      </c>
      <c r="N545" s="358" t="s">
        <v>1407</v>
      </c>
      <c r="O545" s="326" t="s">
        <v>387</v>
      </c>
      <c r="P545" s="332" t="s">
        <v>1879</v>
      </c>
      <c r="Q545" s="363" t="s">
        <v>1966</v>
      </c>
      <c r="R545" s="364"/>
      <c r="S545" s="364"/>
      <c r="T545" s="13" t="str">
        <f t="shared" si="71"/>
        <v>23調査結果-屋上及び屋根-3（9）-改善（予定）年月-年（令和）</v>
      </c>
      <c r="V545" s="349"/>
      <c r="W545" s="349"/>
      <c r="X545" s="349"/>
      <c r="Y545" s="75"/>
      <c r="Z545" s="75"/>
      <c r="AA545" s="75"/>
      <c r="AB545" s="75"/>
    </row>
    <row r="546" spans="2:28" ht="19">
      <c r="B546" s="107">
        <f>'1_入力シート【基本情報】'!$BV$360</f>
        <v>0</v>
      </c>
      <c r="C546" s="493" t="str">
        <f t="shared" si="85"/>
        <v>0</v>
      </c>
      <c r="D546" s="107">
        <f>'1_入力シート【基本情報】'!$BV$360</f>
        <v>0</v>
      </c>
      <c r="E546" s="7" t="str">
        <f t="shared" si="85"/>
        <v>0</v>
      </c>
      <c r="F546" s="7" t="str">
        <f t="shared" si="81"/>
        <v>0</v>
      </c>
      <c r="G546" s="575"/>
      <c r="H546" s="565">
        <v>23</v>
      </c>
      <c r="I546" s="334" t="s">
        <v>33</v>
      </c>
      <c r="J546" s="357" t="s">
        <v>1407</v>
      </c>
      <c r="K546" s="322" t="s">
        <v>72</v>
      </c>
      <c r="L546" s="358" t="s">
        <v>1407</v>
      </c>
      <c r="M546" s="335" t="s">
        <v>2065</v>
      </c>
      <c r="N546" s="358" t="s">
        <v>1407</v>
      </c>
      <c r="O546" s="326" t="s">
        <v>387</v>
      </c>
      <c r="P546" s="332" t="s">
        <v>1879</v>
      </c>
      <c r="Q546" s="363" t="s">
        <v>383</v>
      </c>
      <c r="R546" s="364"/>
      <c r="S546" s="364"/>
      <c r="T546" s="13" t="str">
        <f t="shared" si="71"/>
        <v>23調査結果-屋上及び屋根-3（9）-改善（予定）年月-月</v>
      </c>
      <c r="V546" s="349"/>
      <c r="W546" s="349"/>
      <c r="X546" s="349"/>
      <c r="Y546" s="75"/>
      <c r="Z546" s="75"/>
      <c r="AA546" s="75"/>
      <c r="AB546" s="75"/>
    </row>
    <row r="547" spans="2:28">
      <c r="B547" s="107">
        <f>'1_入力シート【基本情報】'!$BY$360</f>
        <v>0</v>
      </c>
      <c r="C547" s="4" t="str">
        <f t="shared" si="75"/>
        <v/>
      </c>
      <c r="D547" s="107">
        <f>'1_入力シート【基本情報】'!$BY$360</f>
        <v>0</v>
      </c>
      <c r="E547" s="564">
        <f>'1_入力シート【基本情報】'!$BY$360</f>
        <v>0</v>
      </c>
      <c r="F547" s="564" t="str">
        <f t="shared" si="81"/>
        <v>0</v>
      </c>
      <c r="G547" s="575"/>
      <c r="H547" s="565">
        <v>23</v>
      </c>
      <c r="I547" s="334" t="s">
        <v>33</v>
      </c>
      <c r="J547" s="357" t="s">
        <v>1407</v>
      </c>
      <c r="K547" s="322" t="s">
        <v>72</v>
      </c>
      <c r="L547" s="358" t="s">
        <v>1407</v>
      </c>
      <c r="M547" s="335" t="s">
        <v>2065</v>
      </c>
      <c r="N547" s="358" t="s">
        <v>1407</v>
      </c>
      <c r="O547" s="326" t="s">
        <v>387</v>
      </c>
      <c r="P547" s="332" t="s">
        <v>1879</v>
      </c>
      <c r="Q547" s="363" t="s">
        <v>675</v>
      </c>
      <c r="R547" s="364"/>
      <c r="S547" s="364"/>
      <c r="T547" s="13" t="str">
        <f t="shared" si="71"/>
        <v>23調査結果-屋上及び屋根-3（9）-改善（予定）年月-未定</v>
      </c>
      <c r="V547" s="349"/>
      <c r="W547" s="349"/>
      <c r="X547" s="349"/>
      <c r="Y547" s="75"/>
      <c r="Z547" s="75"/>
      <c r="AA547" s="75"/>
      <c r="AB547" s="75"/>
    </row>
    <row r="548" spans="2:28">
      <c r="B548" s="107">
        <f>'1_入力シート【基本情報】'!$AF$370</f>
        <v>0</v>
      </c>
      <c r="C548" s="4" t="str">
        <f t="shared" si="75"/>
        <v/>
      </c>
      <c r="D548" s="107" t="str">
        <f>C548</f>
        <v/>
      </c>
      <c r="E548" s="564" t="str">
        <f>D548</f>
        <v/>
      </c>
      <c r="F548" s="564" t="str">
        <f t="shared" si="81"/>
        <v/>
      </c>
      <c r="G548" s="575"/>
      <c r="H548" s="565">
        <v>23</v>
      </c>
      <c r="I548" s="334" t="s">
        <v>33</v>
      </c>
      <c r="J548" s="357" t="s">
        <v>1407</v>
      </c>
      <c r="K548" s="322" t="s">
        <v>2066</v>
      </c>
      <c r="L548" s="358" t="s">
        <v>1407</v>
      </c>
      <c r="M548" s="335" t="s">
        <v>2067</v>
      </c>
      <c r="N548" s="358" t="s">
        <v>1407</v>
      </c>
      <c r="O548" s="334" t="s">
        <v>33</v>
      </c>
      <c r="P548" s="332"/>
      <c r="Q548" s="363"/>
      <c r="R548" s="364"/>
      <c r="S548" s="364"/>
      <c r="T548" s="13" t="str">
        <f t="shared" si="71"/>
        <v>23調査結果-建築物の内部-4（1）-調査結果</v>
      </c>
      <c r="V548" s="349"/>
      <c r="W548" s="349"/>
      <c r="X548" s="349"/>
      <c r="Y548" s="75"/>
      <c r="Z548" s="75"/>
      <c r="AA548" s="75"/>
      <c r="AB548" s="75"/>
    </row>
    <row r="549" spans="2:28">
      <c r="B549" s="107">
        <f>'1_入力シート【基本情報】'!$AR$370</f>
        <v>0</v>
      </c>
      <c r="C549" s="4" t="str">
        <f t="shared" si="75"/>
        <v/>
      </c>
      <c r="D549" s="107">
        <f>'1_入力シート【基本情報】'!$AR$370</f>
        <v>0</v>
      </c>
      <c r="E549" s="564">
        <f>'1_入力シート【基本情報】'!$AR$370</f>
        <v>0</v>
      </c>
      <c r="F549" s="564" t="str">
        <f t="shared" si="81"/>
        <v>0</v>
      </c>
      <c r="G549" s="575"/>
      <c r="H549" s="565">
        <v>23</v>
      </c>
      <c r="I549" s="334" t="s">
        <v>33</v>
      </c>
      <c r="J549" s="357" t="s">
        <v>1407</v>
      </c>
      <c r="K549" s="322" t="s">
        <v>2066</v>
      </c>
      <c r="L549" s="358" t="s">
        <v>1407</v>
      </c>
      <c r="M549" s="335" t="s">
        <v>2067</v>
      </c>
      <c r="N549" s="358" t="s">
        <v>1407</v>
      </c>
      <c r="O549" s="334" t="s">
        <v>30</v>
      </c>
      <c r="P549" s="332"/>
      <c r="Q549" s="363"/>
      <c r="R549" s="364"/>
      <c r="S549" s="364"/>
      <c r="T549" s="13" t="str">
        <f t="shared" si="71"/>
        <v>23調査結果-建築物の内部-4（1）-調査者番号</v>
      </c>
      <c r="V549" s="349"/>
      <c r="W549" s="349"/>
      <c r="X549" s="349"/>
      <c r="Y549" s="75"/>
      <c r="Z549" s="75"/>
      <c r="AA549" s="75"/>
      <c r="AB549" s="75"/>
    </row>
    <row r="550" spans="2:28">
      <c r="B550" s="107">
        <f>'1_入力シート【基本情報】'!$AT$370</f>
        <v>0</v>
      </c>
      <c r="C550" s="4" t="str">
        <f t="shared" ref="C550:C613" si="86">MID(B550,2,14)</f>
        <v/>
      </c>
      <c r="D550" s="107">
        <f>'1_入力シート【基本情報】'!$AT$370</f>
        <v>0</v>
      </c>
      <c r="E550" s="564">
        <f>'1_入力シート【基本情報】'!$AT$370</f>
        <v>0</v>
      </c>
      <c r="F550" s="564" t="str">
        <f t="shared" si="81"/>
        <v>0</v>
      </c>
      <c r="G550" s="24"/>
      <c r="H550" s="565">
        <v>23</v>
      </c>
      <c r="I550" s="334" t="s">
        <v>33</v>
      </c>
      <c r="J550" s="357" t="s">
        <v>1407</v>
      </c>
      <c r="K550" s="322" t="s">
        <v>2066</v>
      </c>
      <c r="L550" s="358" t="s">
        <v>1407</v>
      </c>
      <c r="M550" s="335" t="s">
        <v>2067</v>
      </c>
      <c r="N550" s="358" t="s">
        <v>1407</v>
      </c>
      <c r="O550" s="334" t="s">
        <v>2028</v>
      </c>
      <c r="P550" s="332"/>
      <c r="Q550" s="363"/>
      <c r="R550" s="364"/>
      <c r="S550" s="364"/>
      <c r="T550" s="13" t="str">
        <f t="shared" si="71"/>
        <v>23調査結果-建築物の内部-4（1）-指摘の具体的内容等</v>
      </c>
      <c r="V550" s="349"/>
      <c r="W550" s="349"/>
      <c r="X550" s="349"/>
      <c r="Y550" s="75"/>
      <c r="Z550" s="75"/>
      <c r="AA550" s="75"/>
      <c r="AB550" s="75"/>
    </row>
    <row r="551" spans="2:28">
      <c r="B551" s="107">
        <f>'1_入力シート【基本情報】'!$BD$370</f>
        <v>0</v>
      </c>
      <c r="C551" s="4" t="str">
        <f t="shared" si="86"/>
        <v/>
      </c>
      <c r="D551" s="107">
        <f>'1_入力シート【基本情報】'!$BD$370</f>
        <v>0</v>
      </c>
      <c r="E551" s="564">
        <f>'1_入力シート【基本情報】'!$BD$370</f>
        <v>0</v>
      </c>
      <c r="F551" s="564" t="str">
        <f t="shared" si="81"/>
        <v>0</v>
      </c>
      <c r="G551" s="575"/>
      <c r="H551" s="565">
        <v>23</v>
      </c>
      <c r="I551" s="334" t="s">
        <v>33</v>
      </c>
      <c r="J551" s="357" t="s">
        <v>1407</v>
      </c>
      <c r="K551" s="322" t="s">
        <v>2066</v>
      </c>
      <c r="L551" s="358" t="s">
        <v>1407</v>
      </c>
      <c r="M551" s="335" t="s">
        <v>2067</v>
      </c>
      <c r="N551" s="358" t="s">
        <v>1407</v>
      </c>
      <c r="O551" s="334" t="s">
        <v>2029</v>
      </c>
      <c r="P551" s="332"/>
      <c r="Q551" s="363"/>
      <c r="R551" s="364"/>
      <c r="S551" s="364"/>
      <c r="T551" s="13" t="str">
        <f t="shared" si="71"/>
        <v>23調査結果-建築物の内部-4（1）-改善策の具体的内容等</v>
      </c>
      <c r="V551" s="349"/>
      <c r="W551" s="349"/>
      <c r="X551" s="349"/>
      <c r="Y551" s="75"/>
      <c r="Z551" s="75"/>
      <c r="AA551" s="75"/>
      <c r="AB551" s="75"/>
    </row>
    <row r="552" spans="2:28" ht="19">
      <c r="B552" s="107">
        <f>'1_入力シート【基本情報】'!$BS$370</f>
        <v>0</v>
      </c>
      <c r="C552" s="493" t="str">
        <f t="shared" ref="C552:E553" si="87">ASC($D552)</f>
        <v>0</v>
      </c>
      <c r="D552" s="107">
        <f>'1_入力シート【基本情報】'!$BS$370</f>
        <v>0</v>
      </c>
      <c r="E552" s="7" t="str">
        <f t="shared" si="87"/>
        <v>0</v>
      </c>
      <c r="F552" s="7" t="str">
        <f t="shared" si="81"/>
        <v>0</v>
      </c>
      <c r="G552" s="575"/>
      <c r="H552" s="565">
        <v>23</v>
      </c>
      <c r="I552" s="334" t="s">
        <v>33</v>
      </c>
      <c r="J552" s="357" t="s">
        <v>1407</v>
      </c>
      <c r="K552" s="322" t="s">
        <v>2066</v>
      </c>
      <c r="L552" s="358" t="s">
        <v>1407</v>
      </c>
      <c r="M552" s="335" t="s">
        <v>2067</v>
      </c>
      <c r="N552" s="358" t="s">
        <v>1407</v>
      </c>
      <c r="O552" s="326" t="s">
        <v>387</v>
      </c>
      <c r="P552" s="332" t="s">
        <v>1879</v>
      </c>
      <c r="Q552" s="363" t="s">
        <v>1966</v>
      </c>
      <c r="R552" s="364"/>
      <c r="S552" s="364"/>
      <c r="T552" s="13" t="str">
        <f t="shared" si="71"/>
        <v>23調査結果-建築物の内部-4（1）-改善（予定）年月-年（令和）</v>
      </c>
      <c r="V552" s="349"/>
      <c r="W552" s="349"/>
      <c r="X552" s="349"/>
      <c r="Y552" s="75"/>
      <c r="Z552" s="75"/>
      <c r="AA552" s="75"/>
      <c r="AB552" s="75"/>
    </row>
    <row r="553" spans="2:28" ht="19">
      <c r="B553" s="107">
        <f>'1_入力シート【基本情報】'!$BV$370</f>
        <v>0</v>
      </c>
      <c r="C553" s="493" t="str">
        <f t="shared" si="87"/>
        <v>0</v>
      </c>
      <c r="D553" s="107">
        <f>'1_入力シート【基本情報】'!$BV$370</f>
        <v>0</v>
      </c>
      <c r="E553" s="7" t="str">
        <f t="shared" si="87"/>
        <v>0</v>
      </c>
      <c r="F553" s="7" t="str">
        <f t="shared" si="81"/>
        <v>0</v>
      </c>
      <c r="G553" s="575"/>
      <c r="H553" s="565">
        <v>23</v>
      </c>
      <c r="I553" s="334" t="s">
        <v>33</v>
      </c>
      <c r="J553" s="357" t="s">
        <v>1407</v>
      </c>
      <c r="K553" s="322" t="s">
        <v>2066</v>
      </c>
      <c r="L553" s="358" t="s">
        <v>1407</v>
      </c>
      <c r="M553" s="335" t="s">
        <v>2067</v>
      </c>
      <c r="N553" s="358" t="s">
        <v>1407</v>
      </c>
      <c r="O553" s="326" t="s">
        <v>387</v>
      </c>
      <c r="P553" s="332" t="s">
        <v>1879</v>
      </c>
      <c r="Q553" s="363" t="s">
        <v>383</v>
      </c>
      <c r="R553" s="364"/>
      <c r="S553" s="364"/>
      <c r="T553" s="13" t="str">
        <f t="shared" si="71"/>
        <v>23調査結果-建築物の内部-4（1）-改善（予定）年月-月</v>
      </c>
      <c r="V553" s="349"/>
      <c r="W553" s="349"/>
      <c r="X553" s="349"/>
      <c r="Y553" s="75"/>
      <c r="Z553" s="75"/>
      <c r="AA553" s="75"/>
      <c r="AB553" s="75"/>
    </row>
    <row r="554" spans="2:28">
      <c r="B554" s="107">
        <f>'1_入力シート【基本情報】'!$BY$370</f>
        <v>0</v>
      </c>
      <c r="C554" s="4" t="str">
        <f t="shared" si="86"/>
        <v/>
      </c>
      <c r="D554" s="107">
        <f>'1_入力シート【基本情報】'!$BY$370</f>
        <v>0</v>
      </c>
      <c r="E554" s="564">
        <f>'1_入力シート【基本情報】'!$BY$370</f>
        <v>0</v>
      </c>
      <c r="F554" s="564" t="str">
        <f t="shared" si="81"/>
        <v>0</v>
      </c>
      <c r="G554" s="575"/>
      <c r="H554" s="565">
        <v>23</v>
      </c>
      <c r="I554" s="334" t="s">
        <v>33</v>
      </c>
      <c r="J554" s="357" t="s">
        <v>1407</v>
      </c>
      <c r="K554" s="322" t="s">
        <v>2066</v>
      </c>
      <c r="L554" s="358" t="s">
        <v>1407</v>
      </c>
      <c r="M554" s="335" t="s">
        <v>2067</v>
      </c>
      <c r="N554" s="358" t="s">
        <v>1407</v>
      </c>
      <c r="O554" s="326" t="s">
        <v>387</v>
      </c>
      <c r="P554" s="332" t="s">
        <v>1879</v>
      </c>
      <c r="Q554" s="363" t="s">
        <v>675</v>
      </c>
      <c r="R554" s="364"/>
      <c r="S554" s="364"/>
      <c r="T554" s="13" t="str">
        <f t="shared" si="71"/>
        <v>23調査結果-建築物の内部-4（1）-改善（予定）年月-未定</v>
      </c>
      <c r="V554" s="349"/>
      <c r="W554" s="349"/>
      <c r="X554" s="349"/>
      <c r="Y554" s="75"/>
      <c r="Z554" s="75"/>
      <c r="AA554" s="75"/>
      <c r="AB554" s="75"/>
    </row>
    <row r="555" spans="2:28">
      <c r="B555" s="107">
        <f>'1_入力シート【基本情報】'!$AF$371</f>
        <v>0</v>
      </c>
      <c r="C555" s="4" t="str">
        <f t="shared" si="86"/>
        <v/>
      </c>
      <c r="D555" s="107" t="str">
        <f>C555</f>
        <v/>
      </c>
      <c r="E555" s="564" t="str">
        <f>D555</f>
        <v/>
      </c>
      <c r="F555" s="564" t="str">
        <f t="shared" si="81"/>
        <v/>
      </c>
      <c r="G555" s="575"/>
      <c r="H555" s="565">
        <v>23</v>
      </c>
      <c r="I555" s="334" t="s">
        <v>33</v>
      </c>
      <c r="J555" s="357" t="s">
        <v>1407</v>
      </c>
      <c r="K555" s="322" t="s">
        <v>2066</v>
      </c>
      <c r="L555" s="358" t="s">
        <v>1407</v>
      </c>
      <c r="M555" s="335" t="s">
        <v>2068</v>
      </c>
      <c r="N555" s="358" t="s">
        <v>1407</v>
      </c>
      <c r="O555" s="326" t="s">
        <v>33</v>
      </c>
      <c r="P555" s="332"/>
      <c r="Q555" s="363"/>
      <c r="R555" s="364"/>
      <c r="S555" s="364"/>
      <c r="T555" s="13" t="str">
        <f t="shared" si="71"/>
        <v>23調査結果-建築物の内部-4（2）-調査結果</v>
      </c>
      <c r="V555" s="349"/>
      <c r="W555" s="349"/>
      <c r="X555" s="349"/>
      <c r="Y555" s="75"/>
      <c r="Z555" s="75"/>
      <c r="AA555" s="75"/>
      <c r="AB555" s="75"/>
    </row>
    <row r="556" spans="2:28">
      <c r="B556" s="107">
        <f>'1_入力シート【基本情報】'!$AR$371</f>
        <v>0</v>
      </c>
      <c r="C556" s="4" t="str">
        <f t="shared" si="86"/>
        <v/>
      </c>
      <c r="D556" s="107">
        <f>'1_入力シート【基本情報】'!$AR$371</f>
        <v>0</v>
      </c>
      <c r="E556" s="564">
        <f>'1_入力シート【基本情報】'!$AR$371</f>
        <v>0</v>
      </c>
      <c r="F556" s="564" t="str">
        <f t="shared" si="81"/>
        <v>0</v>
      </c>
      <c r="G556" s="575"/>
      <c r="H556" s="565">
        <v>23</v>
      </c>
      <c r="I556" s="334" t="s">
        <v>33</v>
      </c>
      <c r="J556" s="357" t="s">
        <v>1407</v>
      </c>
      <c r="K556" s="322" t="s">
        <v>2066</v>
      </c>
      <c r="L556" s="358" t="s">
        <v>1407</v>
      </c>
      <c r="M556" s="335" t="s">
        <v>2068</v>
      </c>
      <c r="N556" s="358" t="s">
        <v>1407</v>
      </c>
      <c r="O556" s="334" t="s">
        <v>30</v>
      </c>
      <c r="P556" s="332"/>
      <c r="Q556" s="363"/>
      <c r="R556" s="364"/>
      <c r="S556" s="364"/>
      <c r="T556" s="13" t="str">
        <f t="shared" si="71"/>
        <v>23調査結果-建築物の内部-4（2）-調査者番号</v>
      </c>
      <c r="V556" s="349"/>
      <c r="W556" s="349"/>
      <c r="X556" s="349"/>
      <c r="Y556" s="75"/>
      <c r="Z556" s="75"/>
      <c r="AA556" s="75"/>
      <c r="AB556" s="75"/>
    </row>
    <row r="557" spans="2:28">
      <c r="B557" s="107">
        <f>'1_入力シート【基本情報】'!$AT$371</f>
        <v>0</v>
      </c>
      <c r="C557" s="4" t="str">
        <f t="shared" si="86"/>
        <v/>
      </c>
      <c r="D557" s="107">
        <f>'1_入力シート【基本情報】'!$AT$371</f>
        <v>0</v>
      </c>
      <c r="E557" s="564">
        <f>'1_入力シート【基本情報】'!$AT$371</f>
        <v>0</v>
      </c>
      <c r="F557" s="564" t="str">
        <f t="shared" si="81"/>
        <v>0</v>
      </c>
      <c r="G557" s="575"/>
      <c r="H557" s="565">
        <v>23</v>
      </c>
      <c r="I557" s="334" t="s">
        <v>33</v>
      </c>
      <c r="J557" s="357" t="s">
        <v>1407</v>
      </c>
      <c r="K557" s="322" t="s">
        <v>2066</v>
      </c>
      <c r="L557" s="358" t="s">
        <v>1407</v>
      </c>
      <c r="M557" s="335" t="s">
        <v>2068</v>
      </c>
      <c r="N557" s="358" t="s">
        <v>1407</v>
      </c>
      <c r="O557" s="334" t="s">
        <v>2028</v>
      </c>
      <c r="P557" s="332"/>
      <c r="Q557" s="363"/>
      <c r="R557" s="364"/>
      <c r="S557" s="364"/>
      <c r="T557" s="13" t="str">
        <f t="shared" si="71"/>
        <v>23調査結果-建築物の内部-4（2）-指摘の具体的内容等</v>
      </c>
      <c r="V557" s="349"/>
      <c r="W557" s="349"/>
      <c r="X557" s="349"/>
      <c r="Y557" s="75"/>
      <c r="Z557" s="75"/>
      <c r="AA557" s="75"/>
      <c r="AB557" s="75"/>
    </row>
    <row r="558" spans="2:28">
      <c r="B558" s="107">
        <f>'1_入力シート【基本情報】'!$BD$371</f>
        <v>0</v>
      </c>
      <c r="C558" s="4" t="str">
        <f t="shared" si="86"/>
        <v/>
      </c>
      <c r="D558" s="107">
        <f>'1_入力シート【基本情報】'!$BD$371</f>
        <v>0</v>
      </c>
      <c r="E558" s="564">
        <f>'1_入力シート【基本情報】'!$BD$371</f>
        <v>0</v>
      </c>
      <c r="F558" s="564" t="str">
        <f t="shared" si="81"/>
        <v>0</v>
      </c>
      <c r="G558" s="575"/>
      <c r="H558" s="565">
        <v>23</v>
      </c>
      <c r="I558" s="334" t="s">
        <v>33</v>
      </c>
      <c r="J558" s="357" t="s">
        <v>1407</v>
      </c>
      <c r="K558" s="322" t="s">
        <v>2066</v>
      </c>
      <c r="L558" s="358" t="s">
        <v>1407</v>
      </c>
      <c r="M558" s="335" t="s">
        <v>2068</v>
      </c>
      <c r="N558" s="358" t="s">
        <v>1407</v>
      </c>
      <c r="O558" s="334" t="s">
        <v>2029</v>
      </c>
      <c r="P558" s="332"/>
      <c r="Q558" s="363"/>
      <c r="R558" s="364"/>
      <c r="S558" s="364"/>
      <c r="T558" s="13" t="str">
        <f t="shared" si="71"/>
        <v>23調査結果-建築物の内部-4（2）-改善策の具体的内容等</v>
      </c>
      <c r="V558" s="349"/>
      <c r="W558" s="349"/>
      <c r="X558" s="349"/>
      <c r="Y558" s="75"/>
      <c r="Z558" s="75"/>
      <c r="AA558" s="75"/>
      <c r="AB558" s="75"/>
    </row>
    <row r="559" spans="2:28" ht="19">
      <c r="B559" s="107">
        <f>'1_入力シート【基本情報】'!$BS$371</f>
        <v>0</v>
      </c>
      <c r="C559" s="493" t="str">
        <f t="shared" ref="C559:E560" si="88">ASC($D559)</f>
        <v>0</v>
      </c>
      <c r="D559" s="107">
        <f>'1_入力シート【基本情報】'!$BS$371</f>
        <v>0</v>
      </c>
      <c r="E559" s="7" t="str">
        <f t="shared" si="88"/>
        <v>0</v>
      </c>
      <c r="F559" s="7" t="str">
        <f t="shared" si="81"/>
        <v>0</v>
      </c>
      <c r="G559" s="575"/>
      <c r="H559" s="565">
        <v>23</v>
      </c>
      <c r="I559" s="334" t="s">
        <v>33</v>
      </c>
      <c r="J559" s="357" t="s">
        <v>1407</v>
      </c>
      <c r="K559" s="322" t="s">
        <v>2066</v>
      </c>
      <c r="L559" s="358" t="s">
        <v>1407</v>
      </c>
      <c r="M559" s="335" t="s">
        <v>2068</v>
      </c>
      <c r="N559" s="358" t="s">
        <v>1407</v>
      </c>
      <c r="O559" s="334" t="s">
        <v>387</v>
      </c>
      <c r="P559" s="332" t="s">
        <v>1879</v>
      </c>
      <c r="Q559" s="363" t="s">
        <v>1966</v>
      </c>
      <c r="R559" s="364"/>
      <c r="S559" s="364"/>
      <c r="T559" s="13" t="str">
        <f t="shared" si="71"/>
        <v>23調査結果-建築物の内部-4（2）-改善（予定）年月-年（令和）</v>
      </c>
      <c r="V559" s="349"/>
      <c r="W559" s="349"/>
      <c r="X559" s="202"/>
      <c r="Y559" s="75"/>
      <c r="Z559" s="75"/>
      <c r="AA559" s="75"/>
      <c r="AB559" s="75"/>
    </row>
    <row r="560" spans="2:28" ht="19">
      <c r="B560" s="107">
        <f>'1_入力シート【基本情報】'!$BV$371</f>
        <v>0</v>
      </c>
      <c r="C560" s="493" t="str">
        <f t="shared" si="88"/>
        <v>0</v>
      </c>
      <c r="D560" s="107">
        <f>'1_入力シート【基本情報】'!$BV$371</f>
        <v>0</v>
      </c>
      <c r="E560" s="7" t="str">
        <f t="shared" si="88"/>
        <v>0</v>
      </c>
      <c r="F560" s="7" t="str">
        <f t="shared" si="81"/>
        <v>0</v>
      </c>
      <c r="G560" s="575"/>
      <c r="H560" s="565">
        <v>23</v>
      </c>
      <c r="I560" s="334" t="s">
        <v>33</v>
      </c>
      <c r="J560" s="357" t="s">
        <v>1407</v>
      </c>
      <c r="K560" s="322" t="s">
        <v>2066</v>
      </c>
      <c r="L560" s="358" t="s">
        <v>1407</v>
      </c>
      <c r="M560" s="335" t="s">
        <v>2068</v>
      </c>
      <c r="N560" s="358" t="s">
        <v>1407</v>
      </c>
      <c r="O560" s="326" t="s">
        <v>387</v>
      </c>
      <c r="P560" s="332" t="s">
        <v>1879</v>
      </c>
      <c r="Q560" s="363" t="s">
        <v>383</v>
      </c>
      <c r="R560" s="364"/>
      <c r="S560" s="364"/>
      <c r="T560" s="13" t="str">
        <f t="shared" si="71"/>
        <v>23調査結果-建築物の内部-4（2）-改善（予定）年月-月</v>
      </c>
      <c r="V560" s="349"/>
      <c r="W560" s="349"/>
      <c r="X560" s="349"/>
      <c r="Y560" s="75"/>
      <c r="Z560" s="75"/>
      <c r="AA560" s="75"/>
      <c r="AB560" s="75"/>
    </row>
    <row r="561" spans="2:28">
      <c r="B561" s="107">
        <f>'1_入力シート【基本情報】'!$BY$371</f>
        <v>0</v>
      </c>
      <c r="C561" s="4" t="str">
        <f t="shared" si="86"/>
        <v/>
      </c>
      <c r="D561" s="107">
        <f>'1_入力シート【基本情報】'!$BY$371</f>
        <v>0</v>
      </c>
      <c r="E561" s="564">
        <f>'1_入力シート【基本情報】'!$BY$371</f>
        <v>0</v>
      </c>
      <c r="F561" s="564" t="str">
        <f t="shared" si="81"/>
        <v>0</v>
      </c>
      <c r="G561" s="575"/>
      <c r="H561" s="565">
        <v>23</v>
      </c>
      <c r="I561" s="334" t="s">
        <v>33</v>
      </c>
      <c r="J561" s="357" t="s">
        <v>1407</v>
      </c>
      <c r="K561" s="322" t="s">
        <v>2066</v>
      </c>
      <c r="L561" s="358" t="s">
        <v>1407</v>
      </c>
      <c r="M561" s="335" t="s">
        <v>2068</v>
      </c>
      <c r="N561" s="358" t="s">
        <v>1407</v>
      </c>
      <c r="O561" s="326" t="s">
        <v>387</v>
      </c>
      <c r="P561" s="332" t="s">
        <v>1879</v>
      </c>
      <c r="Q561" s="363" t="s">
        <v>675</v>
      </c>
      <c r="R561" s="364"/>
      <c r="S561" s="364"/>
      <c r="T561" s="13" t="str">
        <f t="shared" si="71"/>
        <v>23調査結果-建築物の内部-4（2）-改善（予定）年月-未定</v>
      </c>
      <c r="V561" s="349"/>
      <c r="W561" s="349"/>
      <c r="X561" s="349"/>
      <c r="Y561" s="75"/>
      <c r="Z561" s="75"/>
      <c r="AA561" s="75"/>
      <c r="AB561" s="75"/>
    </row>
    <row r="562" spans="2:28">
      <c r="B562" s="107">
        <f>'1_入力シート【基本情報】'!$AF$372</f>
        <v>0</v>
      </c>
      <c r="C562" s="4" t="str">
        <f t="shared" si="86"/>
        <v/>
      </c>
      <c r="D562" s="107" t="str">
        <f>C562</f>
        <v/>
      </c>
      <c r="E562" s="564" t="str">
        <f>D562</f>
        <v/>
      </c>
      <c r="F562" s="564" t="str">
        <f t="shared" si="81"/>
        <v/>
      </c>
      <c r="G562" s="575"/>
      <c r="H562" s="565">
        <v>23</v>
      </c>
      <c r="I562" s="334" t="s">
        <v>33</v>
      </c>
      <c r="J562" s="357" t="s">
        <v>1407</v>
      </c>
      <c r="K562" s="322" t="s">
        <v>2066</v>
      </c>
      <c r="L562" s="358" t="s">
        <v>1407</v>
      </c>
      <c r="M562" s="335" t="s">
        <v>2069</v>
      </c>
      <c r="N562" s="358" t="s">
        <v>1407</v>
      </c>
      <c r="O562" s="326" t="s">
        <v>33</v>
      </c>
      <c r="P562" s="332"/>
      <c r="Q562" s="363"/>
      <c r="R562" s="364"/>
      <c r="S562" s="364"/>
      <c r="T562" s="13" t="str">
        <f t="shared" si="71"/>
        <v>23調査結果-建築物の内部-4（3）-調査結果</v>
      </c>
      <c r="V562" s="349"/>
      <c r="W562" s="349"/>
      <c r="X562" s="349"/>
      <c r="Y562" s="75"/>
      <c r="Z562" s="75"/>
      <c r="AA562" s="75"/>
      <c r="AB562" s="75"/>
    </row>
    <row r="563" spans="2:28">
      <c r="B563" s="107">
        <f>'1_入力シート【基本情報】'!$AR$372</f>
        <v>0</v>
      </c>
      <c r="C563" s="4" t="str">
        <f t="shared" si="86"/>
        <v/>
      </c>
      <c r="D563" s="107">
        <f>'1_入力シート【基本情報】'!$AR$372</f>
        <v>0</v>
      </c>
      <c r="E563" s="564">
        <f>'1_入力シート【基本情報】'!$AR$372</f>
        <v>0</v>
      </c>
      <c r="F563" s="564" t="str">
        <f t="shared" si="81"/>
        <v>0</v>
      </c>
      <c r="G563" s="575"/>
      <c r="H563" s="565">
        <v>23</v>
      </c>
      <c r="I563" s="334" t="s">
        <v>33</v>
      </c>
      <c r="J563" s="357" t="s">
        <v>1407</v>
      </c>
      <c r="K563" s="322" t="s">
        <v>2066</v>
      </c>
      <c r="L563" s="358" t="s">
        <v>1407</v>
      </c>
      <c r="M563" s="335" t="s">
        <v>2069</v>
      </c>
      <c r="N563" s="358" t="s">
        <v>1407</v>
      </c>
      <c r="O563" s="326" t="s">
        <v>30</v>
      </c>
      <c r="P563" s="332"/>
      <c r="Q563" s="363"/>
      <c r="R563" s="364"/>
      <c r="S563" s="364"/>
      <c r="T563" s="13" t="str">
        <f t="shared" si="71"/>
        <v>23調査結果-建築物の内部-4（3）-調査者番号</v>
      </c>
      <c r="V563" s="349"/>
      <c r="W563" s="349"/>
      <c r="X563" s="349"/>
      <c r="Y563" s="75"/>
      <c r="Z563" s="75"/>
      <c r="AA563" s="75"/>
      <c r="AB563" s="75"/>
    </row>
    <row r="564" spans="2:28">
      <c r="B564" s="107">
        <f>'1_入力シート【基本情報】'!$AT$372</f>
        <v>0</v>
      </c>
      <c r="C564" s="4" t="str">
        <f t="shared" si="86"/>
        <v/>
      </c>
      <c r="D564" s="107">
        <f>'1_入力シート【基本情報】'!$AT$372</f>
        <v>0</v>
      </c>
      <c r="E564" s="564">
        <f>'1_入力シート【基本情報】'!$AT$372</f>
        <v>0</v>
      </c>
      <c r="F564" s="564" t="str">
        <f t="shared" si="81"/>
        <v>0</v>
      </c>
      <c r="G564" s="575"/>
      <c r="H564" s="565">
        <v>23</v>
      </c>
      <c r="I564" s="334" t="s">
        <v>33</v>
      </c>
      <c r="J564" s="357" t="s">
        <v>1407</v>
      </c>
      <c r="K564" s="322" t="s">
        <v>2066</v>
      </c>
      <c r="L564" s="358" t="s">
        <v>1407</v>
      </c>
      <c r="M564" s="335" t="s">
        <v>2069</v>
      </c>
      <c r="N564" s="358" t="s">
        <v>1407</v>
      </c>
      <c r="O564" s="334" t="s">
        <v>2028</v>
      </c>
      <c r="P564" s="332"/>
      <c r="Q564" s="363"/>
      <c r="R564" s="364"/>
      <c r="S564" s="364"/>
      <c r="T564" s="13" t="str">
        <f t="shared" si="71"/>
        <v>23調査結果-建築物の内部-4（3）-指摘の具体的内容等</v>
      </c>
      <c r="V564" s="349"/>
      <c r="W564" s="349"/>
      <c r="X564" s="349"/>
      <c r="Y564" s="75"/>
      <c r="Z564" s="75"/>
      <c r="AA564" s="75"/>
      <c r="AB564" s="75"/>
    </row>
    <row r="565" spans="2:28">
      <c r="B565" s="107">
        <f>'1_入力シート【基本情報】'!$BD$372</f>
        <v>0</v>
      </c>
      <c r="C565" s="4" t="str">
        <f t="shared" si="86"/>
        <v/>
      </c>
      <c r="D565" s="107">
        <f>'1_入力シート【基本情報】'!$BD$372</f>
        <v>0</v>
      </c>
      <c r="E565" s="564">
        <f>'1_入力シート【基本情報】'!$BD$372</f>
        <v>0</v>
      </c>
      <c r="F565" s="564" t="str">
        <f t="shared" si="81"/>
        <v>0</v>
      </c>
      <c r="G565" s="575"/>
      <c r="H565" s="565">
        <v>23</v>
      </c>
      <c r="I565" s="334" t="s">
        <v>33</v>
      </c>
      <c r="J565" s="357" t="s">
        <v>1407</v>
      </c>
      <c r="K565" s="322" t="s">
        <v>2066</v>
      </c>
      <c r="L565" s="358" t="s">
        <v>1407</v>
      </c>
      <c r="M565" s="335" t="s">
        <v>2069</v>
      </c>
      <c r="N565" s="358" t="s">
        <v>1407</v>
      </c>
      <c r="O565" s="334" t="s">
        <v>2029</v>
      </c>
      <c r="P565" s="332"/>
      <c r="Q565" s="363"/>
      <c r="R565" s="364"/>
      <c r="S565" s="364"/>
      <c r="T565" s="13" t="str">
        <f t="shared" si="71"/>
        <v>23調査結果-建築物の内部-4（3）-改善策の具体的内容等</v>
      </c>
      <c r="V565" s="349"/>
      <c r="W565" s="349"/>
      <c r="X565" s="349"/>
      <c r="Y565" s="75"/>
      <c r="Z565" s="75"/>
      <c r="AA565" s="75"/>
      <c r="AB565" s="75"/>
    </row>
    <row r="566" spans="2:28" ht="19">
      <c r="B566" s="107">
        <f>'1_入力シート【基本情報】'!$BS$372</f>
        <v>0</v>
      </c>
      <c r="C566" s="493" t="str">
        <f t="shared" ref="C566:E567" si="89">ASC($D566)</f>
        <v>0</v>
      </c>
      <c r="D566" s="107">
        <f>'1_入力シート【基本情報】'!$BS$372</f>
        <v>0</v>
      </c>
      <c r="E566" s="7" t="str">
        <f t="shared" si="89"/>
        <v>0</v>
      </c>
      <c r="F566" s="7" t="str">
        <f t="shared" si="81"/>
        <v>0</v>
      </c>
      <c r="G566" s="575"/>
      <c r="H566" s="565">
        <v>23</v>
      </c>
      <c r="I566" s="334" t="s">
        <v>33</v>
      </c>
      <c r="J566" s="357" t="s">
        <v>1407</v>
      </c>
      <c r="K566" s="322" t="s">
        <v>2066</v>
      </c>
      <c r="L566" s="358" t="s">
        <v>1407</v>
      </c>
      <c r="M566" s="335" t="s">
        <v>2069</v>
      </c>
      <c r="N566" s="358" t="s">
        <v>1407</v>
      </c>
      <c r="O566" s="334" t="s">
        <v>387</v>
      </c>
      <c r="P566" s="332" t="s">
        <v>1879</v>
      </c>
      <c r="Q566" s="363" t="s">
        <v>1966</v>
      </c>
      <c r="R566" s="364"/>
      <c r="S566" s="364"/>
      <c r="T566" s="13" t="str">
        <f t="shared" si="71"/>
        <v>23調査結果-建築物の内部-4（3）-改善（予定）年月-年（令和）</v>
      </c>
      <c r="V566" s="349"/>
      <c r="W566" s="349"/>
      <c r="X566" s="349"/>
      <c r="Y566" s="75"/>
      <c r="Z566" s="75"/>
      <c r="AA566" s="75"/>
      <c r="AB566" s="75"/>
    </row>
    <row r="567" spans="2:28" ht="19">
      <c r="B567" s="107">
        <f>'1_入力シート【基本情報】'!$BV$372</f>
        <v>0</v>
      </c>
      <c r="C567" s="493" t="str">
        <f t="shared" si="89"/>
        <v>0</v>
      </c>
      <c r="D567" s="107">
        <f>'1_入力シート【基本情報】'!$BV$372</f>
        <v>0</v>
      </c>
      <c r="E567" s="7" t="str">
        <f t="shared" si="89"/>
        <v>0</v>
      </c>
      <c r="F567" s="7" t="str">
        <f t="shared" si="81"/>
        <v>0</v>
      </c>
      <c r="G567" s="575"/>
      <c r="H567" s="565">
        <v>23</v>
      </c>
      <c r="I567" s="334" t="s">
        <v>33</v>
      </c>
      <c r="J567" s="357" t="s">
        <v>1407</v>
      </c>
      <c r="K567" s="322" t="s">
        <v>2066</v>
      </c>
      <c r="L567" s="358" t="s">
        <v>1407</v>
      </c>
      <c r="M567" s="335" t="s">
        <v>2069</v>
      </c>
      <c r="N567" s="358" t="s">
        <v>1407</v>
      </c>
      <c r="O567" s="334" t="s">
        <v>387</v>
      </c>
      <c r="P567" s="332" t="s">
        <v>1879</v>
      </c>
      <c r="Q567" s="363" t="s">
        <v>383</v>
      </c>
      <c r="R567" s="364"/>
      <c r="S567" s="364"/>
      <c r="T567" s="13" t="str">
        <f t="shared" si="71"/>
        <v>23調査結果-建築物の内部-4（3）-改善（予定）年月-月</v>
      </c>
      <c r="V567" s="349"/>
      <c r="W567" s="349"/>
      <c r="X567" s="349"/>
      <c r="Y567" s="75"/>
      <c r="Z567" s="75"/>
      <c r="AA567" s="75"/>
      <c r="AB567" s="75"/>
    </row>
    <row r="568" spans="2:28">
      <c r="B568" s="107">
        <f>'1_入力シート【基本情報】'!$BY$372</f>
        <v>0</v>
      </c>
      <c r="C568" s="4" t="str">
        <f t="shared" si="86"/>
        <v/>
      </c>
      <c r="D568" s="107">
        <f>'1_入力シート【基本情報】'!$BY$372</f>
        <v>0</v>
      </c>
      <c r="E568" s="564">
        <f>'1_入力シート【基本情報】'!$BY$372</f>
        <v>0</v>
      </c>
      <c r="F568" s="564" t="str">
        <f t="shared" si="81"/>
        <v>0</v>
      </c>
      <c r="G568" s="575"/>
      <c r="H568" s="565">
        <v>23</v>
      </c>
      <c r="I568" s="334" t="s">
        <v>33</v>
      </c>
      <c r="J568" s="357" t="s">
        <v>1407</v>
      </c>
      <c r="K568" s="322" t="s">
        <v>2066</v>
      </c>
      <c r="L568" s="358" t="s">
        <v>1407</v>
      </c>
      <c r="M568" s="335" t="s">
        <v>2069</v>
      </c>
      <c r="N568" s="358" t="s">
        <v>1407</v>
      </c>
      <c r="O568" s="326" t="s">
        <v>387</v>
      </c>
      <c r="P568" s="332" t="s">
        <v>1879</v>
      </c>
      <c r="Q568" s="363" t="s">
        <v>675</v>
      </c>
      <c r="R568" s="364"/>
      <c r="S568" s="364"/>
      <c r="T568" s="13" t="str">
        <f t="shared" si="71"/>
        <v>23調査結果-建築物の内部-4（3）-改善（予定）年月-未定</v>
      </c>
      <c r="V568" s="349"/>
      <c r="W568" s="349"/>
      <c r="X568" s="349"/>
      <c r="Y568" s="75"/>
      <c r="Z568" s="75"/>
      <c r="AA568" s="75"/>
      <c r="AB568" s="75"/>
    </row>
    <row r="569" spans="2:28">
      <c r="B569" s="107">
        <f>'1_入力シート【基本情報】'!$AF$373</f>
        <v>0</v>
      </c>
      <c r="C569" s="4" t="str">
        <f t="shared" si="86"/>
        <v/>
      </c>
      <c r="D569" s="107" t="str">
        <f>C569</f>
        <v/>
      </c>
      <c r="E569" s="564" t="str">
        <f>D569</f>
        <v/>
      </c>
      <c r="F569" s="564" t="str">
        <f t="shared" si="81"/>
        <v/>
      </c>
      <c r="G569" s="575"/>
      <c r="H569" s="565">
        <v>23</v>
      </c>
      <c r="I569" s="334" t="s">
        <v>33</v>
      </c>
      <c r="J569" s="357" t="s">
        <v>1407</v>
      </c>
      <c r="K569" s="322" t="s">
        <v>2066</v>
      </c>
      <c r="L569" s="358" t="s">
        <v>1407</v>
      </c>
      <c r="M569" s="335" t="s">
        <v>2070</v>
      </c>
      <c r="N569" s="358" t="s">
        <v>1407</v>
      </c>
      <c r="O569" s="326" t="s">
        <v>33</v>
      </c>
      <c r="P569" s="332"/>
      <c r="Q569" s="363"/>
      <c r="R569" s="364"/>
      <c r="S569" s="364"/>
      <c r="T569" s="13" t="str">
        <f t="shared" si="71"/>
        <v>23調査結果-建築物の内部-4（4）-調査結果</v>
      </c>
      <c r="V569" s="349"/>
      <c r="W569" s="349"/>
      <c r="X569" s="349"/>
    </row>
    <row r="570" spans="2:28">
      <c r="B570" s="107">
        <f>'1_入力シート【基本情報】'!$AR$373</f>
        <v>0</v>
      </c>
      <c r="C570" s="4" t="str">
        <f t="shared" si="86"/>
        <v/>
      </c>
      <c r="D570" s="107">
        <f>'1_入力シート【基本情報】'!$AR$373</f>
        <v>0</v>
      </c>
      <c r="E570" s="564">
        <f>'1_入力シート【基本情報】'!$AR$373</f>
        <v>0</v>
      </c>
      <c r="F570" s="564" t="str">
        <f t="shared" si="81"/>
        <v>0</v>
      </c>
      <c r="G570" s="575"/>
      <c r="H570" s="565">
        <v>23</v>
      </c>
      <c r="I570" s="334" t="s">
        <v>33</v>
      </c>
      <c r="J570" s="357" t="s">
        <v>1407</v>
      </c>
      <c r="K570" s="322" t="s">
        <v>2066</v>
      </c>
      <c r="L570" s="358" t="s">
        <v>1407</v>
      </c>
      <c r="M570" s="335" t="s">
        <v>2070</v>
      </c>
      <c r="N570" s="358" t="s">
        <v>1407</v>
      </c>
      <c r="O570" s="326" t="s">
        <v>30</v>
      </c>
      <c r="P570" s="332"/>
      <c r="Q570" s="363"/>
      <c r="R570" s="364"/>
      <c r="S570" s="364"/>
      <c r="T570" s="13" t="str">
        <f t="shared" si="71"/>
        <v>23調査結果-建築物の内部-4（4）-調査者番号</v>
      </c>
      <c r="V570" s="349"/>
      <c r="W570" s="349"/>
      <c r="X570" s="349"/>
    </row>
    <row r="571" spans="2:28">
      <c r="B571" s="107">
        <f>'1_入力シート【基本情報】'!$AT$373</f>
        <v>0</v>
      </c>
      <c r="C571" s="4" t="str">
        <f t="shared" si="86"/>
        <v/>
      </c>
      <c r="D571" s="107">
        <f>'1_入力シート【基本情報】'!$AT$373</f>
        <v>0</v>
      </c>
      <c r="E571" s="564">
        <f>'1_入力シート【基本情報】'!$AT$373</f>
        <v>0</v>
      </c>
      <c r="F571" s="564" t="str">
        <f t="shared" si="81"/>
        <v>0</v>
      </c>
      <c r="G571" s="575"/>
      <c r="H571" s="565">
        <v>23</v>
      </c>
      <c r="I571" s="334" t="s">
        <v>33</v>
      </c>
      <c r="J571" s="357" t="s">
        <v>1407</v>
      </c>
      <c r="K571" s="322" t="s">
        <v>2066</v>
      </c>
      <c r="L571" s="358" t="s">
        <v>1407</v>
      </c>
      <c r="M571" s="335" t="s">
        <v>2070</v>
      </c>
      <c r="N571" s="358" t="s">
        <v>1407</v>
      </c>
      <c r="O571" s="326" t="s">
        <v>2028</v>
      </c>
      <c r="P571" s="332"/>
      <c r="Q571" s="363"/>
      <c r="R571" s="364"/>
      <c r="S571" s="364"/>
      <c r="T571" s="13" t="str">
        <f t="shared" si="71"/>
        <v>23調査結果-建築物の内部-4（4）-指摘の具体的内容等</v>
      </c>
      <c r="V571" s="349"/>
      <c r="W571" s="349"/>
      <c r="X571" s="349"/>
    </row>
    <row r="572" spans="2:28">
      <c r="B572" s="107">
        <f>'1_入力シート【基本情報】'!$BD$373</f>
        <v>0</v>
      </c>
      <c r="C572" s="4" t="str">
        <f t="shared" si="86"/>
        <v/>
      </c>
      <c r="D572" s="107">
        <f>'1_入力シート【基本情報】'!$BD$373</f>
        <v>0</v>
      </c>
      <c r="E572" s="564">
        <f>'1_入力シート【基本情報】'!$BD$373</f>
        <v>0</v>
      </c>
      <c r="F572" s="564" t="str">
        <f t="shared" si="81"/>
        <v>0</v>
      </c>
      <c r="G572" s="575"/>
      <c r="H572" s="565">
        <v>23</v>
      </c>
      <c r="I572" s="334" t="s">
        <v>33</v>
      </c>
      <c r="J572" s="357" t="s">
        <v>1407</v>
      </c>
      <c r="K572" s="322" t="s">
        <v>2066</v>
      </c>
      <c r="L572" s="358" t="s">
        <v>1407</v>
      </c>
      <c r="M572" s="335" t="s">
        <v>2070</v>
      </c>
      <c r="N572" s="358" t="s">
        <v>1407</v>
      </c>
      <c r="O572" s="334" t="s">
        <v>2029</v>
      </c>
      <c r="P572" s="332"/>
      <c r="Q572" s="363"/>
      <c r="R572" s="364"/>
      <c r="S572" s="364"/>
      <c r="T572" s="13" t="str">
        <f t="shared" si="71"/>
        <v>23調査結果-建築物の内部-4（4）-改善策の具体的内容等</v>
      </c>
      <c r="V572" s="349"/>
      <c r="W572" s="349"/>
      <c r="X572" s="349"/>
    </row>
    <row r="573" spans="2:28" ht="19">
      <c r="B573" s="107">
        <f>'1_入力シート【基本情報】'!$BS$373</f>
        <v>0</v>
      </c>
      <c r="C573" s="493" t="str">
        <f t="shared" ref="C573:E574" si="90">ASC($D573)</f>
        <v>0</v>
      </c>
      <c r="D573" s="107">
        <f>'1_入力シート【基本情報】'!$BS$373</f>
        <v>0</v>
      </c>
      <c r="E573" s="7" t="str">
        <f t="shared" si="90"/>
        <v>0</v>
      </c>
      <c r="F573" s="7" t="str">
        <f t="shared" si="81"/>
        <v>0</v>
      </c>
      <c r="G573" s="575"/>
      <c r="H573" s="565">
        <v>23</v>
      </c>
      <c r="I573" s="334" t="s">
        <v>33</v>
      </c>
      <c r="J573" s="357" t="s">
        <v>1407</v>
      </c>
      <c r="K573" s="322" t="s">
        <v>2066</v>
      </c>
      <c r="L573" s="358" t="s">
        <v>1407</v>
      </c>
      <c r="M573" s="335" t="s">
        <v>2070</v>
      </c>
      <c r="N573" s="358" t="s">
        <v>1407</v>
      </c>
      <c r="O573" s="334" t="s">
        <v>387</v>
      </c>
      <c r="P573" s="332" t="s">
        <v>1879</v>
      </c>
      <c r="Q573" s="363" t="s">
        <v>1966</v>
      </c>
      <c r="R573" s="364"/>
      <c r="S573" s="364"/>
      <c r="T573" s="13" t="str">
        <f t="shared" si="71"/>
        <v>23調査結果-建築物の内部-4（4）-改善（予定）年月-年（令和）</v>
      </c>
      <c r="V573" s="202"/>
      <c r="W573" s="202"/>
      <c r="X573" s="349"/>
    </row>
    <row r="574" spans="2:28" ht="19">
      <c r="B574" s="107">
        <f>'1_入力シート【基本情報】'!$BV$373</f>
        <v>0</v>
      </c>
      <c r="C574" s="493" t="str">
        <f t="shared" si="90"/>
        <v>0</v>
      </c>
      <c r="D574" s="107">
        <f>'1_入力シート【基本情報】'!$BV$373</f>
        <v>0</v>
      </c>
      <c r="E574" s="7" t="str">
        <f t="shared" si="90"/>
        <v>0</v>
      </c>
      <c r="F574" s="7" t="str">
        <f t="shared" si="81"/>
        <v>0</v>
      </c>
      <c r="G574" s="575"/>
      <c r="H574" s="565">
        <v>23</v>
      </c>
      <c r="I574" s="334" t="s">
        <v>33</v>
      </c>
      <c r="J574" s="357" t="s">
        <v>1407</v>
      </c>
      <c r="K574" s="322" t="s">
        <v>2066</v>
      </c>
      <c r="L574" s="358" t="s">
        <v>1407</v>
      </c>
      <c r="M574" s="335" t="s">
        <v>2070</v>
      </c>
      <c r="N574" s="358" t="s">
        <v>1407</v>
      </c>
      <c r="O574" s="334" t="s">
        <v>387</v>
      </c>
      <c r="P574" s="332" t="s">
        <v>1879</v>
      </c>
      <c r="Q574" s="363" t="s">
        <v>383</v>
      </c>
      <c r="R574" s="364"/>
      <c r="S574" s="364"/>
      <c r="T574" s="13" t="str">
        <f t="shared" si="71"/>
        <v>23調査結果-建築物の内部-4（4）-改善（予定）年月-月</v>
      </c>
      <c r="V574" s="202"/>
      <c r="W574" s="202"/>
      <c r="X574" s="349"/>
    </row>
    <row r="575" spans="2:28">
      <c r="B575" s="107">
        <f>'1_入力シート【基本情報】'!$BY$373</f>
        <v>0</v>
      </c>
      <c r="C575" s="4" t="str">
        <f t="shared" si="86"/>
        <v/>
      </c>
      <c r="D575" s="107">
        <f>'1_入力シート【基本情報】'!$BY$373</f>
        <v>0</v>
      </c>
      <c r="E575" s="564">
        <f>'1_入力シート【基本情報】'!$BY$373</f>
        <v>0</v>
      </c>
      <c r="F575" s="564" t="str">
        <f t="shared" si="81"/>
        <v>0</v>
      </c>
      <c r="G575" s="575"/>
      <c r="H575" s="565">
        <v>23</v>
      </c>
      <c r="I575" s="334" t="s">
        <v>33</v>
      </c>
      <c r="J575" s="357" t="s">
        <v>1407</v>
      </c>
      <c r="K575" s="322" t="s">
        <v>2066</v>
      </c>
      <c r="L575" s="358" t="s">
        <v>1407</v>
      </c>
      <c r="M575" s="335" t="s">
        <v>2070</v>
      </c>
      <c r="N575" s="358" t="s">
        <v>1407</v>
      </c>
      <c r="O575" s="334" t="s">
        <v>387</v>
      </c>
      <c r="P575" s="332" t="s">
        <v>1879</v>
      </c>
      <c r="Q575" s="363" t="s">
        <v>675</v>
      </c>
      <c r="R575" s="364"/>
      <c r="S575" s="364"/>
      <c r="T575" s="13" t="str">
        <f t="shared" si="71"/>
        <v>23調査結果-建築物の内部-4（4）-改善（予定）年月-未定</v>
      </c>
      <c r="V575" s="202"/>
      <c r="W575" s="202"/>
      <c r="X575" s="349"/>
    </row>
    <row r="576" spans="2:28">
      <c r="B576" s="107">
        <f>'1_入力シート【基本情報】'!$AF$374</f>
        <v>0</v>
      </c>
      <c r="C576" s="4" t="str">
        <f t="shared" si="86"/>
        <v/>
      </c>
      <c r="D576" s="107" t="str">
        <f>C576</f>
        <v/>
      </c>
      <c r="E576" s="564" t="str">
        <f>D576</f>
        <v/>
      </c>
      <c r="F576" s="564" t="str">
        <f t="shared" si="81"/>
        <v/>
      </c>
      <c r="G576" s="575"/>
      <c r="H576" s="565">
        <v>23</v>
      </c>
      <c r="I576" s="334" t="s">
        <v>33</v>
      </c>
      <c r="J576" s="357" t="s">
        <v>1407</v>
      </c>
      <c r="K576" s="322" t="s">
        <v>2066</v>
      </c>
      <c r="L576" s="358" t="s">
        <v>1407</v>
      </c>
      <c r="M576" s="335" t="s">
        <v>2071</v>
      </c>
      <c r="N576" s="358" t="s">
        <v>1407</v>
      </c>
      <c r="O576" s="326" t="s">
        <v>33</v>
      </c>
      <c r="P576" s="332"/>
      <c r="Q576" s="363"/>
      <c r="R576" s="364"/>
      <c r="S576" s="364"/>
      <c r="T576" s="13" t="str">
        <f t="shared" si="71"/>
        <v>23調査結果-建築物の内部-4（5）-調査結果</v>
      </c>
      <c r="V576" s="202"/>
      <c r="W576" s="202"/>
      <c r="X576" s="349"/>
    </row>
    <row r="577" spans="2:24">
      <c r="B577" s="107">
        <f>'1_入力シート【基本情報】'!$AR$374</f>
        <v>0</v>
      </c>
      <c r="C577" s="4" t="str">
        <f t="shared" si="86"/>
        <v/>
      </c>
      <c r="D577" s="107">
        <f>'1_入力シート【基本情報】'!$AR$374</f>
        <v>0</v>
      </c>
      <c r="E577" s="564">
        <f>'1_入力シート【基本情報】'!$AR$374</f>
        <v>0</v>
      </c>
      <c r="F577" s="564" t="str">
        <f t="shared" si="81"/>
        <v>0</v>
      </c>
      <c r="G577" s="575"/>
      <c r="H577" s="565">
        <v>23</v>
      </c>
      <c r="I577" s="334" t="s">
        <v>33</v>
      </c>
      <c r="J577" s="357" t="s">
        <v>1407</v>
      </c>
      <c r="K577" s="322" t="s">
        <v>2066</v>
      </c>
      <c r="L577" s="358" t="s">
        <v>1407</v>
      </c>
      <c r="M577" s="335" t="s">
        <v>2071</v>
      </c>
      <c r="N577" s="358" t="s">
        <v>1407</v>
      </c>
      <c r="O577" s="326" t="s">
        <v>30</v>
      </c>
      <c r="P577" s="332"/>
      <c r="Q577" s="363"/>
      <c r="R577" s="364"/>
      <c r="S577" s="364"/>
      <c r="T577" s="13" t="str">
        <f t="shared" si="71"/>
        <v>23調査結果-建築物の内部-4（5）-調査者番号</v>
      </c>
      <c r="V577" s="202"/>
      <c r="W577" s="202"/>
      <c r="X577" s="349"/>
    </row>
    <row r="578" spans="2:24">
      <c r="B578" s="107">
        <f>'1_入力シート【基本情報】'!$AT$374</f>
        <v>0</v>
      </c>
      <c r="C578" s="4" t="str">
        <f t="shared" si="86"/>
        <v/>
      </c>
      <c r="D578" s="107">
        <f>'1_入力シート【基本情報】'!$AT$374</f>
        <v>0</v>
      </c>
      <c r="E578" s="564">
        <f>'1_入力シート【基本情報】'!$AT$374</f>
        <v>0</v>
      </c>
      <c r="F578" s="564" t="str">
        <f t="shared" si="81"/>
        <v>0</v>
      </c>
      <c r="G578" s="575"/>
      <c r="H578" s="565">
        <v>23</v>
      </c>
      <c r="I578" s="334" t="s">
        <v>33</v>
      </c>
      <c r="J578" s="357" t="s">
        <v>1407</v>
      </c>
      <c r="K578" s="322" t="s">
        <v>2066</v>
      </c>
      <c r="L578" s="358" t="s">
        <v>1407</v>
      </c>
      <c r="M578" s="335" t="s">
        <v>2071</v>
      </c>
      <c r="N578" s="358" t="s">
        <v>1407</v>
      </c>
      <c r="O578" s="326" t="s">
        <v>2028</v>
      </c>
      <c r="P578" s="332"/>
      <c r="Q578" s="363"/>
      <c r="R578" s="364"/>
      <c r="S578" s="364"/>
      <c r="T578" s="13" t="str">
        <f t="shared" si="71"/>
        <v>23調査結果-建築物の内部-4（5）-指摘の具体的内容等</v>
      </c>
      <c r="V578" s="202"/>
      <c r="W578" s="202"/>
      <c r="X578" s="349"/>
    </row>
    <row r="579" spans="2:24">
      <c r="B579" s="107">
        <f>'1_入力シート【基本情報】'!$BD$374</f>
        <v>0</v>
      </c>
      <c r="C579" s="4" t="str">
        <f t="shared" si="86"/>
        <v/>
      </c>
      <c r="D579" s="107">
        <f>'1_入力シート【基本情報】'!$BD$374</f>
        <v>0</v>
      </c>
      <c r="E579" s="564">
        <f>'1_入力シート【基本情報】'!$BD$374</f>
        <v>0</v>
      </c>
      <c r="F579" s="564" t="str">
        <f t="shared" si="81"/>
        <v>0</v>
      </c>
      <c r="G579" s="24"/>
      <c r="H579" s="565">
        <v>23</v>
      </c>
      <c r="I579" s="334" t="s">
        <v>33</v>
      </c>
      <c r="J579" s="357" t="s">
        <v>1407</v>
      </c>
      <c r="K579" s="322" t="s">
        <v>2066</v>
      </c>
      <c r="L579" s="358" t="s">
        <v>1407</v>
      </c>
      <c r="M579" s="335" t="s">
        <v>2071</v>
      </c>
      <c r="N579" s="358" t="s">
        <v>1407</v>
      </c>
      <c r="O579" s="326" t="s">
        <v>2029</v>
      </c>
      <c r="P579" s="332"/>
      <c r="Q579" s="363"/>
      <c r="R579" s="364"/>
      <c r="S579" s="364"/>
      <c r="T579" s="13" t="str">
        <f t="shared" si="71"/>
        <v>23調査結果-建築物の内部-4（5）-改善策の具体的内容等</v>
      </c>
      <c r="V579" s="202"/>
      <c r="W579" s="202"/>
      <c r="X579" s="349"/>
    </row>
    <row r="580" spans="2:24" ht="19">
      <c r="B580" s="107">
        <f>'1_入力シート【基本情報】'!$BS$374</f>
        <v>0</v>
      </c>
      <c r="C580" s="493" t="str">
        <f t="shared" ref="C580:E581" si="91">ASC($D580)</f>
        <v>0</v>
      </c>
      <c r="D580" s="107">
        <f>'1_入力シート【基本情報】'!$BS$374</f>
        <v>0</v>
      </c>
      <c r="E580" s="7" t="str">
        <f t="shared" si="91"/>
        <v>0</v>
      </c>
      <c r="F580" s="7" t="str">
        <f t="shared" si="81"/>
        <v>0</v>
      </c>
      <c r="G580" s="24"/>
      <c r="H580" s="565">
        <v>23</v>
      </c>
      <c r="I580" s="334" t="s">
        <v>33</v>
      </c>
      <c r="J580" s="357" t="s">
        <v>1407</v>
      </c>
      <c r="K580" s="322" t="s">
        <v>2066</v>
      </c>
      <c r="L580" s="358" t="s">
        <v>1407</v>
      </c>
      <c r="M580" s="335" t="s">
        <v>2071</v>
      </c>
      <c r="N580" s="358" t="s">
        <v>1407</v>
      </c>
      <c r="O580" s="334" t="s">
        <v>387</v>
      </c>
      <c r="P580" s="332" t="s">
        <v>1879</v>
      </c>
      <c r="Q580" s="363" t="s">
        <v>1966</v>
      </c>
      <c r="R580" s="364"/>
      <c r="S580" s="364"/>
      <c r="T580" s="13" t="str">
        <f t="shared" si="71"/>
        <v>23調査結果-建築物の内部-4（5）-改善（予定）年月-年（令和）</v>
      </c>
      <c r="V580" s="202"/>
      <c r="W580" s="202"/>
      <c r="X580" s="349"/>
    </row>
    <row r="581" spans="2:24" ht="19">
      <c r="B581" s="107">
        <f>'1_入力シート【基本情報】'!$BV$374</f>
        <v>0</v>
      </c>
      <c r="C581" s="493" t="str">
        <f t="shared" si="91"/>
        <v>0</v>
      </c>
      <c r="D581" s="107">
        <f>'1_入力シート【基本情報】'!$BV$374</f>
        <v>0</v>
      </c>
      <c r="E581" s="7" t="str">
        <f t="shared" si="91"/>
        <v>0</v>
      </c>
      <c r="F581" s="7" t="str">
        <f t="shared" ref="F581:F644" si="92">SUBSTITUTE(E581,CHAR(10),"")</f>
        <v>0</v>
      </c>
      <c r="G581" s="24"/>
      <c r="H581" s="565">
        <v>23</v>
      </c>
      <c r="I581" s="334" t="s">
        <v>33</v>
      </c>
      <c r="J581" s="357" t="s">
        <v>1407</v>
      </c>
      <c r="K581" s="322" t="s">
        <v>2066</v>
      </c>
      <c r="L581" s="358" t="s">
        <v>1407</v>
      </c>
      <c r="M581" s="335" t="s">
        <v>2071</v>
      </c>
      <c r="N581" s="358" t="s">
        <v>1407</v>
      </c>
      <c r="O581" s="334" t="s">
        <v>387</v>
      </c>
      <c r="P581" s="332" t="s">
        <v>1879</v>
      </c>
      <c r="Q581" s="363" t="s">
        <v>383</v>
      </c>
      <c r="R581" s="364"/>
      <c r="S581" s="364"/>
      <c r="T581" s="13" t="str">
        <f t="shared" si="71"/>
        <v>23調査結果-建築物の内部-4（5）-改善（予定）年月-月</v>
      </c>
      <c r="V581" s="202"/>
      <c r="W581" s="202"/>
      <c r="X581" s="349"/>
    </row>
    <row r="582" spans="2:24">
      <c r="B582" s="107">
        <f>'1_入力シート【基本情報】'!$BY$374</f>
        <v>0</v>
      </c>
      <c r="C582" s="4" t="str">
        <f t="shared" si="86"/>
        <v/>
      </c>
      <c r="D582" s="107">
        <f>'1_入力シート【基本情報】'!$BY$374</f>
        <v>0</v>
      </c>
      <c r="E582" s="564">
        <f>'1_入力シート【基本情報】'!$BY$374</f>
        <v>0</v>
      </c>
      <c r="F582" s="564" t="str">
        <f t="shared" si="92"/>
        <v>0</v>
      </c>
      <c r="G582" s="24"/>
      <c r="H582" s="565">
        <v>23</v>
      </c>
      <c r="I582" s="334" t="s">
        <v>33</v>
      </c>
      <c r="J582" s="357" t="s">
        <v>1407</v>
      </c>
      <c r="K582" s="322" t="s">
        <v>2066</v>
      </c>
      <c r="L582" s="358" t="s">
        <v>1407</v>
      </c>
      <c r="M582" s="335" t="s">
        <v>2071</v>
      </c>
      <c r="N582" s="358" t="s">
        <v>1407</v>
      </c>
      <c r="O582" s="334" t="s">
        <v>387</v>
      </c>
      <c r="P582" s="332" t="s">
        <v>1879</v>
      </c>
      <c r="Q582" s="363" t="s">
        <v>675</v>
      </c>
      <c r="R582" s="364"/>
      <c r="S582" s="364"/>
      <c r="T582" s="13" t="str">
        <f t="shared" si="71"/>
        <v>23調査結果-建築物の内部-4（5）-改善（予定）年月-未定</v>
      </c>
      <c r="V582" s="202"/>
      <c r="W582" s="202"/>
      <c r="X582" s="349"/>
    </row>
    <row r="583" spans="2:24">
      <c r="B583" s="107">
        <f>'1_入力シート【基本情報】'!$AF$375</f>
        <v>0</v>
      </c>
      <c r="C583" s="4" t="str">
        <f t="shared" si="86"/>
        <v/>
      </c>
      <c r="D583" s="107" t="str">
        <f>C583</f>
        <v/>
      </c>
      <c r="E583" s="564" t="str">
        <f>D583</f>
        <v/>
      </c>
      <c r="F583" s="564" t="str">
        <f t="shared" si="92"/>
        <v/>
      </c>
      <c r="G583" s="24"/>
      <c r="H583" s="565">
        <v>23</v>
      </c>
      <c r="I583" s="334" t="s">
        <v>33</v>
      </c>
      <c r="J583" s="357" t="s">
        <v>1407</v>
      </c>
      <c r="K583" s="322" t="s">
        <v>2066</v>
      </c>
      <c r="L583" s="358" t="s">
        <v>1407</v>
      </c>
      <c r="M583" s="335" t="s">
        <v>2072</v>
      </c>
      <c r="N583" s="358" t="s">
        <v>1407</v>
      </c>
      <c r="O583" s="334" t="s">
        <v>33</v>
      </c>
      <c r="P583" s="332"/>
      <c r="Q583" s="363"/>
      <c r="R583" s="364"/>
      <c r="S583" s="364"/>
      <c r="T583" s="13" t="str">
        <f t="shared" si="71"/>
        <v>23調査結果-建築物の内部-4（6）-調査結果</v>
      </c>
      <c r="V583" s="202"/>
      <c r="W583" s="202"/>
      <c r="X583" s="349"/>
    </row>
    <row r="584" spans="2:24">
      <c r="B584" s="107">
        <f>'1_入力シート【基本情報】'!$AR$375</f>
        <v>0</v>
      </c>
      <c r="C584" s="4" t="str">
        <f t="shared" si="86"/>
        <v/>
      </c>
      <c r="D584" s="107">
        <f>'1_入力シート【基本情報】'!$AR$375</f>
        <v>0</v>
      </c>
      <c r="E584" s="564">
        <f>'1_入力シート【基本情報】'!$AR$375</f>
        <v>0</v>
      </c>
      <c r="F584" s="564" t="str">
        <f t="shared" si="92"/>
        <v>0</v>
      </c>
      <c r="G584" s="24"/>
      <c r="H584" s="565">
        <v>23</v>
      </c>
      <c r="I584" s="334" t="s">
        <v>33</v>
      </c>
      <c r="J584" s="357" t="s">
        <v>1407</v>
      </c>
      <c r="K584" s="322" t="s">
        <v>2066</v>
      </c>
      <c r="L584" s="358" t="s">
        <v>1407</v>
      </c>
      <c r="M584" s="335" t="s">
        <v>2072</v>
      </c>
      <c r="N584" s="358" t="s">
        <v>1407</v>
      </c>
      <c r="O584" s="326" t="s">
        <v>30</v>
      </c>
      <c r="P584" s="332"/>
      <c r="Q584" s="363"/>
      <c r="R584" s="364"/>
      <c r="S584" s="364"/>
      <c r="T584" s="13" t="str">
        <f t="shared" si="71"/>
        <v>23調査結果-建築物の内部-4（6）-調査者番号</v>
      </c>
      <c r="V584" s="202"/>
      <c r="W584" s="202"/>
      <c r="X584" s="349"/>
    </row>
    <row r="585" spans="2:24">
      <c r="B585" s="107">
        <f>'1_入力シート【基本情報】'!$AT$375</f>
        <v>0</v>
      </c>
      <c r="C585" s="4" t="str">
        <f t="shared" si="86"/>
        <v/>
      </c>
      <c r="D585" s="107">
        <f>'1_入力シート【基本情報】'!$AT$375</f>
        <v>0</v>
      </c>
      <c r="E585" s="564">
        <f>'1_入力シート【基本情報】'!$AT$375</f>
        <v>0</v>
      </c>
      <c r="F585" s="564" t="str">
        <f t="shared" si="92"/>
        <v>0</v>
      </c>
      <c r="G585" s="24"/>
      <c r="H585" s="565">
        <v>23</v>
      </c>
      <c r="I585" s="334" t="s">
        <v>33</v>
      </c>
      <c r="J585" s="357" t="s">
        <v>1407</v>
      </c>
      <c r="K585" s="322" t="s">
        <v>2066</v>
      </c>
      <c r="L585" s="358" t="s">
        <v>1407</v>
      </c>
      <c r="M585" s="335" t="s">
        <v>2072</v>
      </c>
      <c r="N585" s="358" t="s">
        <v>1407</v>
      </c>
      <c r="O585" s="326" t="s">
        <v>2028</v>
      </c>
      <c r="P585" s="332"/>
      <c r="Q585" s="363"/>
      <c r="R585" s="364"/>
      <c r="S585" s="364"/>
      <c r="T585" s="13" t="str">
        <f t="shared" si="71"/>
        <v>23調査結果-建築物の内部-4（6）-指摘の具体的内容等</v>
      </c>
      <c r="V585" s="202"/>
      <c r="W585" s="202"/>
      <c r="X585" s="349"/>
    </row>
    <row r="586" spans="2:24">
      <c r="B586" s="107">
        <f>'1_入力シート【基本情報】'!$BD$375</f>
        <v>0</v>
      </c>
      <c r="C586" s="4" t="str">
        <f t="shared" si="86"/>
        <v/>
      </c>
      <c r="D586" s="107">
        <f>'1_入力シート【基本情報】'!$BD$375</f>
        <v>0</v>
      </c>
      <c r="E586" s="564">
        <f>'1_入力シート【基本情報】'!$BD$375</f>
        <v>0</v>
      </c>
      <c r="F586" s="564" t="str">
        <f t="shared" si="92"/>
        <v>0</v>
      </c>
      <c r="G586" s="24"/>
      <c r="H586" s="565">
        <v>23</v>
      </c>
      <c r="I586" s="334" t="s">
        <v>33</v>
      </c>
      <c r="J586" s="357" t="s">
        <v>1407</v>
      </c>
      <c r="K586" s="322" t="s">
        <v>2066</v>
      </c>
      <c r="L586" s="358" t="s">
        <v>1407</v>
      </c>
      <c r="M586" s="335" t="s">
        <v>2072</v>
      </c>
      <c r="N586" s="358" t="s">
        <v>1407</v>
      </c>
      <c r="O586" s="326" t="s">
        <v>2029</v>
      </c>
      <c r="P586" s="332"/>
      <c r="Q586" s="363"/>
      <c r="R586" s="364"/>
      <c r="S586" s="364"/>
      <c r="T586" s="13" t="str">
        <f t="shared" si="71"/>
        <v>23調査結果-建築物の内部-4（6）-改善策の具体的内容等</v>
      </c>
      <c r="V586" s="202"/>
      <c r="W586" s="202"/>
      <c r="X586" s="349"/>
    </row>
    <row r="587" spans="2:24" ht="19">
      <c r="B587" s="107">
        <f>'1_入力シート【基本情報】'!$BS$375</f>
        <v>0</v>
      </c>
      <c r="C587" s="493" t="str">
        <f t="shared" ref="C587:E588" si="93">ASC($D587)</f>
        <v>0</v>
      </c>
      <c r="D587" s="107">
        <f>'1_入力シート【基本情報】'!$BS$375</f>
        <v>0</v>
      </c>
      <c r="E587" s="7" t="str">
        <f t="shared" si="93"/>
        <v>0</v>
      </c>
      <c r="F587" s="7" t="str">
        <f t="shared" si="92"/>
        <v>0</v>
      </c>
      <c r="G587" s="24"/>
      <c r="H587" s="565">
        <v>23</v>
      </c>
      <c r="I587" s="334" t="s">
        <v>33</v>
      </c>
      <c r="J587" s="357" t="s">
        <v>1407</v>
      </c>
      <c r="K587" s="322" t="s">
        <v>2066</v>
      </c>
      <c r="L587" s="358" t="s">
        <v>1407</v>
      </c>
      <c r="M587" s="335" t="s">
        <v>2072</v>
      </c>
      <c r="N587" s="358" t="s">
        <v>1407</v>
      </c>
      <c r="O587" s="326" t="s">
        <v>387</v>
      </c>
      <c r="P587" s="332" t="s">
        <v>1879</v>
      </c>
      <c r="Q587" s="363" t="s">
        <v>1966</v>
      </c>
      <c r="R587" s="364"/>
      <c r="S587" s="364"/>
      <c r="T587" s="13" t="str">
        <f t="shared" si="71"/>
        <v>23調査結果-建築物の内部-4（6）-改善（予定）年月-年（令和）</v>
      </c>
      <c r="V587" s="202"/>
      <c r="W587" s="202"/>
      <c r="X587" s="349"/>
    </row>
    <row r="588" spans="2:24" ht="19">
      <c r="B588" s="107">
        <f>'1_入力シート【基本情報】'!$BV$375</f>
        <v>0</v>
      </c>
      <c r="C588" s="493" t="str">
        <f t="shared" si="93"/>
        <v>0</v>
      </c>
      <c r="D588" s="107">
        <f>'1_入力シート【基本情報】'!$BV$375</f>
        <v>0</v>
      </c>
      <c r="E588" s="7" t="str">
        <f t="shared" si="93"/>
        <v>0</v>
      </c>
      <c r="F588" s="7" t="str">
        <f t="shared" si="92"/>
        <v>0</v>
      </c>
      <c r="G588" s="24"/>
      <c r="H588" s="565">
        <v>23</v>
      </c>
      <c r="I588" s="334" t="s">
        <v>33</v>
      </c>
      <c r="J588" s="357" t="s">
        <v>1407</v>
      </c>
      <c r="K588" s="322" t="s">
        <v>2066</v>
      </c>
      <c r="L588" s="358" t="s">
        <v>1407</v>
      </c>
      <c r="M588" s="335" t="s">
        <v>2072</v>
      </c>
      <c r="N588" s="358" t="s">
        <v>1407</v>
      </c>
      <c r="O588" s="334" t="s">
        <v>387</v>
      </c>
      <c r="P588" s="332" t="s">
        <v>1879</v>
      </c>
      <c r="Q588" s="363" t="s">
        <v>383</v>
      </c>
      <c r="R588" s="364"/>
      <c r="S588" s="364"/>
      <c r="T588" s="13" t="str">
        <f t="shared" ref="T588:T651" si="94">CONCATENATE(H588,I588,J588,K588,L588,M588,N588,O588,P588,Q588)</f>
        <v>23調査結果-建築物の内部-4（6）-改善（予定）年月-月</v>
      </c>
      <c r="V588" s="202"/>
      <c r="W588" s="202"/>
      <c r="X588" s="202"/>
    </row>
    <row r="589" spans="2:24">
      <c r="B589" s="107">
        <f>'1_入力シート【基本情報】'!$BY$375</f>
        <v>0</v>
      </c>
      <c r="C589" s="4" t="str">
        <f t="shared" si="86"/>
        <v/>
      </c>
      <c r="D589" s="107">
        <f>'1_入力シート【基本情報】'!$BY$375</f>
        <v>0</v>
      </c>
      <c r="E589" s="564">
        <f>'1_入力シート【基本情報】'!$BY$375</f>
        <v>0</v>
      </c>
      <c r="F589" s="564" t="str">
        <f t="shared" si="92"/>
        <v>0</v>
      </c>
      <c r="G589" s="24"/>
      <c r="H589" s="565">
        <v>23</v>
      </c>
      <c r="I589" s="334" t="s">
        <v>33</v>
      </c>
      <c r="J589" s="357" t="s">
        <v>1407</v>
      </c>
      <c r="K589" s="322" t="s">
        <v>2066</v>
      </c>
      <c r="L589" s="358" t="s">
        <v>1407</v>
      </c>
      <c r="M589" s="335" t="s">
        <v>2072</v>
      </c>
      <c r="N589" s="358" t="s">
        <v>1407</v>
      </c>
      <c r="O589" s="334" t="s">
        <v>387</v>
      </c>
      <c r="P589" s="332" t="s">
        <v>1879</v>
      </c>
      <c r="Q589" s="363" t="s">
        <v>675</v>
      </c>
      <c r="R589" s="364"/>
      <c r="S589" s="364"/>
      <c r="T589" s="13" t="str">
        <f t="shared" si="94"/>
        <v>23調査結果-建築物の内部-4（6）-改善（予定）年月-未定</v>
      </c>
      <c r="V589" s="202"/>
      <c r="W589" s="202"/>
      <c r="X589" s="202"/>
    </row>
    <row r="590" spans="2:24">
      <c r="B590" s="107">
        <f>'1_入力シート【基本情報】'!$AF$376</f>
        <v>0</v>
      </c>
      <c r="C590" s="4" t="str">
        <f t="shared" si="86"/>
        <v/>
      </c>
      <c r="D590" s="107" t="str">
        <f>C590</f>
        <v/>
      </c>
      <c r="E590" s="564" t="str">
        <f>D590</f>
        <v/>
      </c>
      <c r="F590" s="564" t="str">
        <f t="shared" si="92"/>
        <v/>
      </c>
      <c r="G590" s="24"/>
      <c r="H590" s="565">
        <v>23</v>
      </c>
      <c r="I590" s="334" t="s">
        <v>33</v>
      </c>
      <c r="J590" s="357" t="s">
        <v>1407</v>
      </c>
      <c r="K590" s="322" t="s">
        <v>2066</v>
      </c>
      <c r="L590" s="358" t="s">
        <v>1407</v>
      </c>
      <c r="M590" s="335" t="s">
        <v>2073</v>
      </c>
      <c r="N590" s="358" t="s">
        <v>1407</v>
      </c>
      <c r="O590" s="334" t="s">
        <v>33</v>
      </c>
      <c r="P590" s="332"/>
      <c r="Q590" s="363"/>
      <c r="R590" s="364"/>
      <c r="S590" s="364"/>
      <c r="T590" s="13" t="str">
        <f t="shared" si="94"/>
        <v>23調査結果-建築物の内部-4（7）-調査結果</v>
      </c>
      <c r="V590" s="202"/>
      <c r="W590" s="202"/>
      <c r="X590" s="202"/>
    </row>
    <row r="591" spans="2:24">
      <c r="B591" s="107">
        <f>'1_入力シート【基本情報】'!$AR$376</f>
        <v>0</v>
      </c>
      <c r="C591" s="4" t="str">
        <f t="shared" si="86"/>
        <v/>
      </c>
      <c r="D591" s="107">
        <f>'1_入力シート【基本情報】'!$AR$376</f>
        <v>0</v>
      </c>
      <c r="E591" s="564">
        <f>'1_入力シート【基本情報】'!$AR$376</f>
        <v>0</v>
      </c>
      <c r="F591" s="564" t="str">
        <f t="shared" si="92"/>
        <v>0</v>
      </c>
      <c r="G591" s="24"/>
      <c r="H591" s="565">
        <v>23</v>
      </c>
      <c r="I591" s="334" t="s">
        <v>33</v>
      </c>
      <c r="J591" s="357" t="s">
        <v>1407</v>
      </c>
      <c r="K591" s="322" t="s">
        <v>2066</v>
      </c>
      <c r="L591" s="358" t="s">
        <v>1407</v>
      </c>
      <c r="M591" s="335" t="s">
        <v>2073</v>
      </c>
      <c r="N591" s="358" t="s">
        <v>1407</v>
      </c>
      <c r="O591" s="326" t="s">
        <v>30</v>
      </c>
      <c r="P591" s="332"/>
      <c r="Q591" s="363"/>
      <c r="R591" s="364"/>
      <c r="S591" s="364"/>
      <c r="T591" s="13" t="str">
        <f t="shared" si="94"/>
        <v>23調査結果-建築物の内部-4（7）-調査者番号</v>
      </c>
      <c r="V591" s="202"/>
      <c r="W591" s="202"/>
      <c r="X591" s="202"/>
    </row>
    <row r="592" spans="2:24">
      <c r="B592" s="107">
        <f>'1_入力シート【基本情報】'!$AT$376</f>
        <v>0</v>
      </c>
      <c r="C592" s="4" t="str">
        <f t="shared" si="86"/>
        <v/>
      </c>
      <c r="D592" s="107">
        <f>'1_入力シート【基本情報】'!$AT$376</f>
        <v>0</v>
      </c>
      <c r="E592" s="564">
        <f>'1_入力シート【基本情報】'!$AT$376</f>
        <v>0</v>
      </c>
      <c r="F592" s="564" t="str">
        <f t="shared" si="92"/>
        <v>0</v>
      </c>
      <c r="G592" s="24"/>
      <c r="H592" s="565">
        <v>23</v>
      </c>
      <c r="I592" s="334" t="s">
        <v>33</v>
      </c>
      <c r="J592" s="357" t="s">
        <v>1407</v>
      </c>
      <c r="K592" s="322" t="s">
        <v>2066</v>
      </c>
      <c r="L592" s="358" t="s">
        <v>1407</v>
      </c>
      <c r="M592" s="335" t="s">
        <v>2073</v>
      </c>
      <c r="N592" s="358" t="s">
        <v>1407</v>
      </c>
      <c r="O592" s="326" t="s">
        <v>2028</v>
      </c>
      <c r="P592" s="332"/>
      <c r="Q592" s="363"/>
      <c r="R592" s="364"/>
      <c r="S592" s="364"/>
      <c r="T592" s="13" t="str">
        <f t="shared" si="94"/>
        <v>23調査結果-建築物の内部-4（7）-指摘の具体的内容等</v>
      </c>
      <c r="V592" s="202"/>
      <c r="W592" s="202"/>
      <c r="X592" s="202"/>
    </row>
    <row r="593" spans="2:24">
      <c r="B593" s="107">
        <f>'1_入力シート【基本情報】'!$BD$376</f>
        <v>0</v>
      </c>
      <c r="C593" s="4" t="str">
        <f t="shared" si="86"/>
        <v/>
      </c>
      <c r="D593" s="107">
        <f>'1_入力シート【基本情報】'!$BD$376</f>
        <v>0</v>
      </c>
      <c r="E593" s="564">
        <f>'1_入力シート【基本情報】'!$BD$376</f>
        <v>0</v>
      </c>
      <c r="F593" s="564" t="str">
        <f t="shared" si="92"/>
        <v>0</v>
      </c>
      <c r="G593" s="24"/>
      <c r="H593" s="565">
        <v>23</v>
      </c>
      <c r="I593" s="334" t="s">
        <v>33</v>
      </c>
      <c r="J593" s="357" t="s">
        <v>1407</v>
      </c>
      <c r="K593" s="322" t="s">
        <v>2066</v>
      </c>
      <c r="L593" s="358" t="s">
        <v>1407</v>
      </c>
      <c r="M593" s="335" t="s">
        <v>2073</v>
      </c>
      <c r="N593" s="358" t="s">
        <v>1407</v>
      </c>
      <c r="O593" s="326" t="s">
        <v>2029</v>
      </c>
      <c r="P593" s="332"/>
      <c r="Q593" s="363"/>
      <c r="R593" s="364"/>
      <c r="S593" s="364"/>
      <c r="T593" s="13" t="str">
        <f t="shared" si="94"/>
        <v>23調査結果-建築物の内部-4（7）-改善策の具体的内容等</v>
      </c>
      <c r="V593" s="202"/>
      <c r="W593" s="202"/>
      <c r="X593" s="202"/>
    </row>
    <row r="594" spans="2:24" ht="19">
      <c r="B594" s="107">
        <f>'1_入力シート【基本情報】'!$BS$376</f>
        <v>0</v>
      </c>
      <c r="C594" s="493" t="str">
        <f t="shared" ref="C594:E595" si="95">ASC($D594)</f>
        <v>0</v>
      </c>
      <c r="D594" s="107">
        <f>'1_入力シート【基本情報】'!$BS$376</f>
        <v>0</v>
      </c>
      <c r="E594" s="7" t="str">
        <f t="shared" si="95"/>
        <v>0</v>
      </c>
      <c r="F594" s="7" t="str">
        <f t="shared" si="92"/>
        <v>0</v>
      </c>
      <c r="G594" s="24"/>
      <c r="H594" s="565">
        <v>23</v>
      </c>
      <c r="I594" s="334" t="s">
        <v>33</v>
      </c>
      <c r="J594" s="357" t="s">
        <v>1407</v>
      </c>
      <c r="K594" s="322" t="s">
        <v>2066</v>
      </c>
      <c r="L594" s="358" t="s">
        <v>1407</v>
      </c>
      <c r="M594" s="335" t="s">
        <v>2073</v>
      </c>
      <c r="N594" s="358" t="s">
        <v>1407</v>
      </c>
      <c r="O594" s="326" t="s">
        <v>387</v>
      </c>
      <c r="P594" s="332" t="s">
        <v>1879</v>
      </c>
      <c r="Q594" s="363" t="s">
        <v>1966</v>
      </c>
      <c r="R594" s="364"/>
      <c r="S594" s="364"/>
      <c r="T594" s="13" t="str">
        <f t="shared" si="94"/>
        <v>23調査結果-建築物の内部-4（7）-改善（予定）年月-年（令和）</v>
      </c>
      <c r="V594" s="202"/>
      <c r="W594" s="202"/>
      <c r="X594" s="202"/>
    </row>
    <row r="595" spans="2:24" ht="19">
      <c r="B595" s="107">
        <f>'1_入力シート【基本情報】'!$BV$376</f>
        <v>0</v>
      </c>
      <c r="C595" s="493" t="str">
        <f t="shared" si="95"/>
        <v>0</v>
      </c>
      <c r="D595" s="107">
        <f>'1_入力シート【基本情報】'!$BV$376</f>
        <v>0</v>
      </c>
      <c r="E595" s="7" t="str">
        <f t="shared" si="95"/>
        <v>0</v>
      </c>
      <c r="F595" s="7" t="str">
        <f t="shared" si="92"/>
        <v>0</v>
      </c>
      <c r="G595" s="24"/>
      <c r="H595" s="565">
        <v>23</v>
      </c>
      <c r="I595" s="334" t="s">
        <v>33</v>
      </c>
      <c r="J595" s="357" t="s">
        <v>1407</v>
      </c>
      <c r="K595" s="322" t="s">
        <v>2066</v>
      </c>
      <c r="L595" s="358" t="s">
        <v>1407</v>
      </c>
      <c r="M595" s="335" t="s">
        <v>2073</v>
      </c>
      <c r="N595" s="358" t="s">
        <v>1407</v>
      </c>
      <c r="O595" s="326" t="s">
        <v>387</v>
      </c>
      <c r="P595" s="332" t="s">
        <v>1879</v>
      </c>
      <c r="Q595" s="363" t="s">
        <v>383</v>
      </c>
      <c r="R595" s="364"/>
      <c r="S595" s="364"/>
      <c r="T595" s="13" t="str">
        <f t="shared" si="94"/>
        <v>23調査結果-建築物の内部-4（7）-改善（予定）年月-月</v>
      </c>
      <c r="V595" s="202"/>
      <c r="W595" s="202"/>
      <c r="X595" s="202"/>
    </row>
    <row r="596" spans="2:24">
      <c r="B596" s="107">
        <f>'1_入力シート【基本情報】'!$BY$376</f>
        <v>0</v>
      </c>
      <c r="C596" s="4" t="str">
        <f t="shared" si="86"/>
        <v/>
      </c>
      <c r="D596" s="107">
        <f>'1_入力シート【基本情報】'!$BY$376</f>
        <v>0</v>
      </c>
      <c r="E596" s="564">
        <f>'1_入力シート【基本情報】'!$BY$376</f>
        <v>0</v>
      </c>
      <c r="F596" s="564" t="str">
        <f t="shared" si="92"/>
        <v>0</v>
      </c>
      <c r="G596" s="24"/>
      <c r="H596" s="565">
        <v>23</v>
      </c>
      <c r="I596" s="334" t="s">
        <v>33</v>
      </c>
      <c r="J596" s="357" t="s">
        <v>1407</v>
      </c>
      <c r="K596" s="322" t="s">
        <v>2066</v>
      </c>
      <c r="L596" s="358" t="s">
        <v>1407</v>
      </c>
      <c r="M596" s="335" t="s">
        <v>2073</v>
      </c>
      <c r="N596" s="358" t="s">
        <v>1407</v>
      </c>
      <c r="O596" s="334" t="s">
        <v>387</v>
      </c>
      <c r="P596" s="332" t="s">
        <v>1879</v>
      </c>
      <c r="Q596" s="363" t="s">
        <v>675</v>
      </c>
      <c r="R596" s="364"/>
      <c r="S596" s="364"/>
      <c r="T596" s="13" t="str">
        <f t="shared" si="94"/>
        <v>23調査結果-建築物の内部-4（7）-改善（予定）年月-未定</v>
      </c>
      <c r="V596" s="202"/>
      <c r="W596" s="202"/>
      <c r="X596" s="202"/>
    </row>
    <row r="597" spans="2:24">
      <c r="B597" s="107">
        <f>'1_入力シート【基本情報】'!$AF$377</f>
        <v>0</v>
      </c>
      <c r="C597" s="4" t="str">
        <f t="shared" si="86"/>
        <v/>
      </c>
      <c r="D597" s="107" t="str">
        <f>C597</f>
        <v/>
      </c>
      <c r="E597" s="564" t="str">
        <f>D597</f>
        <v/>
      </c>
      <c r="F597" s="564" t="str">
        <f t="shared" si="92"/>
        <v/>
      </c>
      <c r="G597" s="24"/>
      <c r="H597" s="565">
        <v>23</v>
      </c>
      <c r="I597" s="334" t="s">
        <v>33</v>
      </c>
      <c r="J597" s="357" t="s">
        <v>1407</v>
      </c>
      <c r="K597" s="322" t="s">
        <v>2066</v>
      </c>
      <c r="L597" s="358" t="s">
        <v>1407</v>
      </c>
      <c r="M597" s="335" t="s">
        <v>2074</v>
      </c>
      <c r="N597" s="358" t="s">
        <v>1407</v>
      </c>
      <c r="O597" s="334" t="s">
        <v>33</v>
      </c>
      <c r="P597" s="332"/>
      <c r="Q597" s="363"/>
      <c r="R597" s="364"/>
      <c r="S597" s="364"/>
      <c r="T597" s="13" t="str">
        <f t="shared" si="94"/>
        <v>23調査結果-建築物の内部-4（8）-調査結果</v>
      </c>
      <c r="V597" s="202"/>
      <c r="W597" s="202"/>
      <c r="X597" s="202"/>
    </row>
    <row r="598" spans="2:24">
      <c r="B598" s="107">
        <f>'1_入力シート【基本情報】'!$AR$377</f>
        <v>0</v>
      </c>
      <c r="C598" s="4" t="str">
        <f t="shared" si="86"/>
        <v/>
      </c>
      <c r="D598" s="107">
        <f>'1_入力シート【基本情報】'!$AR$377</f>
        <v>0</v>
      </c>
      <c r="E598" s="564">
        <f>'1_入力シート【基本情報】'!$AR$377</f>
        <v>0</v>
      </c>
      <c r="F598" s="564" t="str">
        <f t="shared" si="92"/>
        <v>0</v>
      </c>
      <c r="G598" s="24"/>
      <c r="H598" s="565">
        <v>23</v>
      </c>
      <c r="I598" s="334" t="s">
        <v>33</v>
      </c>
      <c r="J598" s="357" t="s">
        <v>1407</v>
      </c>
      <c r="K598" s="322" t="s">
        <v>2066</v>
      </c>
      <c r="L598" s="358" t="s">
        <v>1407</v>
      </c>
      <c r="M598" s="335" t="s">
        <v>2074</v>
      </c>
      <c r="N598" s="358" t="s">
        <v>1407</v>
      </c>
      <c r="O598" s="334" t="s">
        <v>30</v>
      </c>
      <c r="P598" s="332"/>
      <c r="Q598" s="363"/>
      <c r="R598" s="364"/>
      <c r="S598" s="364"/>
      <c r="T598" s="13" t="str">
        <f t="shared" si="94"/>
        <v>23調査結果-建築物の内部-4（8）-調査者番号</v>
      </c>
      <c r="V598" s="202"/>
      <c r="W598" s="202"/>
      <c r="X598" s="202"/>
    </row>
    <row r="599" spans="2:24">
      <c r="B599" s="107">
        <f>'1_入力シート【基本情報】'!$AT$377</f>
        <v>0</v>
      </c>
      <c r="C599" s="4" t="str">
        <f t="shared" si="86"/>
        <v/>
      </c>
      <c r="D599" s="107">
        <f>'1_入力シート【基本情報】'!$AT$377</f>
        <v>0</v>
      </c>
      <c r="E599" s="564">
        <f>'1_入力シート【基本情報】'!$AT$377</f>
        <v>0</v>
      </c>
      <c r="F599" s="564" t="str">
        <f t="shared" si="92"/>
        <v>0</v>
      </c>
      <c r="G599" s="24"/>
      <c r="H599" s="565">
        <v>23</v>
      </c>
      <c r="I599" s="334" t="s">
        <v>33</v>
      </c>
      <c r="J599" s="357" t="s">
        <v>1407</v>
      </c>
      <c r="K599" s="322" t="s">
        <v>2066</v>
      </c>
      <c r="L599" s="358" t="s">
        <v>1407</v>
      </c>
      <c r="M599" s="335" t="s">
        <v>2074</v>
      </c>
      <c r="N599" s="358" t="s">
        <v>1407</v>
      </c>
      <c r="O599" s="334" t="s">
        <v>2028</v>
      </c>
      <c r="P599" s="327"/>
      <c r="Q599" s="336"/>
      <c r="R599" s="364"/>
      <c r="S599" s="364"/>
      <c r="T599" s="13" t="str">
        <f t="shared" si="94"/>
        <v>23調査結果-建築物の内部-4（8）-指摘の具体的内容等</v>
      </c>
      <c r="V599" s="202"/>
      <c r="W599" s="202"/>
      <c r="X599" s="202"/>
    </row>
    <row r="600" spans="2:24">
      <c r="B600" s="107">
        <f>'1_入力シート【基本情報】'!$BD$377</f>
        <v>0</v>
      </c>
      <c r="C600" s="4" t="str">
        <f t="shared" si="86"/>
        <v/>
      </c>
      <c r="D600" s="107">
        <f>'1_入力シート【基本情報】'!$BD$377</f>
        <v>0</v>
      </c>
      <c r="E600" s="564">
        <f>'1_入力シート【基本情報】'!$BD$377</f>
        <v>0</v>
      </c>
      <c r="F600" s="564" t="str">
        <f t="shared" si="92"/>
        <v>0</v>
      </c>
      <c r="G600" s="24"/>
      <c r="H600" s="565">
        <v>23</v>
      </c>
      <c r="I600" s="334" t="s">
        <v>33</v>
      </c>
      <c r="J600" s="357" t="s">
        <v>1407</v>
      </c>
      <c r="K600" s="322" t="s">
        <v>2066</v>
      </c>
      <c r="L600" s="358" t="s">
        <v>1407</v>
      </c>
      <c r="M600" s="335" t="s">
        <v>2074</v>
      </c>
      <c r="N600" s="358" t="s">
        <v>1407</v>
      </c>
      <c r="O600" s="326" t="s">
        <v>2029</v>
      </c>
      <c r="P600" s="332"/>
      <c r="Q600" s="363"/>
      <c r="R600" s="364"/>
      <c r="S600" s="364"/>
      <c r="T600" s="13" t="str">
        <f t="shared" si="94"/>
        <v>23調査結果-建築物の内部-4（8）-改善策の具体的内容等</v>
      </c>
      <c r="V600" s="202"/>
      <c r="W600" s="202"/>
      <c r="X600" s="202"/>
    </row>
    <row r="601" spans="2:24" ht="19">
      <c r="B601" s="107">
        <f>'1_入力シート【基本情報】'!$BS$377</f>
        <v>0</v>
      </c>
      <c r="C601" s="493" t="str">
        <f t="shared" ref="C601:E602" si="96">ASC($D601)</f>
        <v>0</v>
      </c>
      <c r="D601" s="107">
        <f>'1_入力シート【基本情報】'!$BS$377</f>
        <v>0</v>
      </c>
      <c r="E601" s="7" t="str">
        <f t="shared" si="96"/>
        <v>0</v>
      </c>
      <c r="F601" s="7" t="str">
        <f t="shared" si="92"/>
        <v>0</v>
      </c>
      <c r="G601" s="24"/>
      <c r="H601" s="565">
        <v>23</v>
      </c>
      <c r="I601" s="334" t="s">
        <v>33</v>
      </c>
      <c r="J601" s="357" t="s">
        <v>1407</v>
      </c>
      <c r="K601" s="322" t="s">
        <v>2066</v>
      </c>
      <c r="L601" s="358" t="s">
        <v>1407</v>
      </c>
      <c r="M601" s="335" t="s">
        <v>2074</v>
      </c>
      <c r="N601" s="358" t="s">
        <v>1407</v>
      </c>
      <c r="O601" s="326" t="s">
        <v>387</v>
      </c>
      <c r="P601" s="332" t="s">
        <v>1879</v>
      </c>
      <c r="Q601" s="363" t="s">
        <v>1966</v>
      </c>
      <c r="R601" s="364"/>
      <c r="S601" s="364"/>
      <c r="T601" s="13" t="str">
        <f t="shared" si="94"/>
        <v>23調査結果-建築物の内部-4（8）-改善（予定）年月-年（令和）</v>
      </c>
      <c r="V601" s="202"/>
      <c r="W601" s="202"/>
      <c r="X601" s="202"/>
    </row>
    <row r="602" spans="2:24" ht="19">
      <c r="B602" s="107">
        <f>'1_入力シート【基本情報】'!$BV$377</f>
        <v>0</v>
      </c>
      <c r="C602" s="493" t="str">
        <f t="shared" si="96"/>
        <v>0</v>
      </c>
      <c r="D602" s="107">
        <f>'1_入力シート【基本情報】'!$BV$377</f>
        <v>0</v>
      </c>
      <c r="E602" s="7" t="str">
        <f t="shared" si="96"/>
        <v>0</v>
      </c>
      <c r="F602" s="7" t="str">
        <f t="shared" si="92"/>
        <v>0</v>
      </c>
      <c r="G602" s="24"/>
      <c r="H602" s="565">
        <v>23</v>
      </c>
      <c r="I602" s="334" t="s">
        <v>33</v>
      </c>
      <c r="J602" s="357" t="s">
        <v>1407</v>
      </c>
      <c r="K602" s="322" t="s">
        <v>2066</v>
      </c>
      <c r="L602" s="358" t="s">
        <v>1407</v>
      </c>
      <c r="M602" s="335" t="s">
        <v>2074</v>
      </c>
      <c r="N602" s="358" t="s">
        <v>1407</v>
      </c>
      <c r="O602" s="326" t="s">
        <v>387</v>
      </c>
      <c r="P602" s="332" t="s">
        <v>1879</v>
      </c>
      <c r="Q602" s="363" t="s">
        <v>383</v>
      </c>
      <c r="R602" s="364"/>
      <c r="S602" s="364"/>
      <c r="T602" s="13" t="str">
        <f t="shared" si="94"/>
        <v>23調査結果-建築物の内部-4（8）-改善（予定）年月-月</v>
      </c>
      <c r="V602" s="202"/>
      <c r="W602" s="202"/>
      <c r="X602" s="202"/>
    </row>
    <row r="603" spans="2:24">
      <c r="B603" s="107">
        <f>'1_入力シート【基本情報】'!$BY$377</f>
        <v>0</v>
      </c>
      <c r="C603" s="4" t="str">
        <f t="shared" si="86"/>
        <v/>
      </c>
      <c r="D603" s="107">
        <f>'1_入力シート【基本情報】'!$BY$377</f>
        <v>0</v>
      </c>
      <c r="E603" s="564">
        <f>'1_入力シート【基本情報】'!$BY$377</f>
        <v>0</v>
      </c>
      <c r="F603" s="564" t="str">
        <f t="shared" si="92"/>
        <v>0</v>
      </c>
      <c r="G603" s="24"/>
      <c r="H603" s="565">
        <v>23</v>
      </c>
      <c r="I603" s="334" t="s">
        <v>33</v>
      </c>
      <c r="J603" s="357" t="s">
        <v>1407</v>
      </c>
      <c r="K603" s="322" t="s">
        <v>2066</v>
      </c>
      <c r="L603" s="358" t="s">
        <v>1407</v>
      </c>
      <c r="M603" s="335" t="s">
        <v>2074</v>
      </c>
      <c r="N603" s="358" t="s">
        <v>1407</v>
      </c>
      <c r="O603" s="326" t="s">
        <v>387</v>
      </c>
      <c r="P603" s="332" t="s">
        <v>1879</v>
      </c>
      <c r="Q603" s="363" t="s">
        <v>675</v>
      </c>
      <c r="R603" s="364"/>
      <c r="S603" s="364"/>
      <c r="T603" s="13" t="str">
        <f t="shared" si="94"/>
        <v>23調査結果-建築物の内部-4（8）-改善（予定）年月-未定</v>
      </c>
      <c r="V603" s="202"/>
      <c r="W603" s="202"/>
      <c r="X603" s="202"/>
    </row>
    <row r="604" spans="2:24">
      <c r="B604" s="107">
        <f>'1_入力シート【基本情報】'!$AF$378</f>
        <v>0</v>
      </c>
      <c r="C604" s="4" t="str">
        <f t="shared" si="86"/>
        <v/>
      </c>
      <c r="D604" s="107" t="str">
        <f>C604</f>
        <v/>
      </c>
      <c r="E604" s="564" t="str">
        <f>D604</f>
        <v/>
      </c>
      <c r="F604" s="564" t="str">
        <f t="shared" si="92"/>
        <v/>
      </c>
      <c r="G604" s="24"/>
      <c r="H604" s="565">
        <v>23</v>
      </c>
      <c r="I604" s="334" t="s">
        <v>33</v>
      </c>
      <c r="J604" s="357" t="s">
        <v>1407</v>
      </c>
      <c r="K604" s="322" t="s">
        <v>2066</v>
      </c>
      <c r="L604" s="358" t="s">
        <v>1407</v>
      </c>
      <c r="M604" s="335" t="s">
        <v>2075</v>
      </c>
      <c r="N604" s="358" t="s">
        <v>1407</v>
      </c>
      <c r="O604" s="334" t="s">
        <v>33</v>
      </c>
      <c r="P604" s="332"/>
      <c r="Q604" s="363"/>
      <c r="R604" s="364"/>
      <c r="S604" s="364"/>
      <c r="T604" s="13" t="str">
        <f t="shared" si="94"/>
        <v>23調査結果-建築物の内部-4（9）-調査結果</v>
      </c>
      <c r="V604" s="202"/>
      <c r="W604" s="202"/>
      <c r="X604" s="202"/>
    </row>
    <row r="605" spans="2:24">
      <c r="B605" s="107">
        <f>'1_入力シート【基本情報】'!$AR$378</f>
        <v>0</v>
      </c>
      <c r="C605" s="4" t="str">
        <f t="shared" si="86"/>
        <v/>
      </c>
      <c r="D605" s="107">
        <f>'1_入力シート【基本情報】'!$AR$378</f>
        <v>0</v>
      </c>
      <c r="E605" s="564">
        <f>'1_入力シート【基本情報】'!$AR$378</f>
        <v>0</v>
      </c>
      <c r="F605" s="564" t="str">
        <f t="shared" si="92"/>
        <v>0</v>
      </c>
      <c r="G605" s="24"/>
      <c r="H605" s="565">
        <v>23</v>
      </c>
      <c r="I605" s="334" t="s">
        <v>33</v>
      </c>
      <c r="J605" s="357" t="s">
        <v>1407</v>
      </c>
      <c r="K605" s="322" t="s">
        <v>2066</v>
      </c>
      <c r="L605" s="358" t="s">
        <v>1407</v>
      </c>
      <c r="M605" s="335" t="s">
        <v>2075</v>
      </c>
      <c r="N605" s="358" t="s">
        <v>1407</v>
      </c>
      <c r="O605" s="334" t="s">
        <v>30</v>
      </c>
      <c r="P605" s="332"/>
      <c r="Q605" s="363"/>
      <c r="R605" s="364"/>
      <c r="S605" s="364"/>
      <c r="T605" s="13" t="str">
        <f t="shared" si="94"/>
        <v>23調査結果-建築物の内部-4（9）-調査者番号</v>
      </c>
      <c r="V605" s="202"/>
      <c r="W605" s="202"/>
      <c r="X605" s="202"/>
    </row>
    <row r="606" spans="2:24">
      <c r="B606" s="107">
        <f>'1_入力シート【基本情報】'!$AT$378</f>
        <v>0</v>
      </c>
      <c r="C606" s="4" t="str">
        <f t="shared" si="86"/>
        <v/>
      </c>
      <c r="D606" s="107">
        <f>'1_入力シート【基本情報】'!$AT$378</f>
        <v>0</v>
      </c>
      <c r="E606" s="564">
        <f>'1_入力シート【基本情報】'!$AT$378</f>
        <v>0</v>
      </c>
      <c r="F606" s="564" t="str">
        <f t="shared" si="92"/>
        <v>0</v>
      </c>
      <c r="G606" s="24"/>
      <c r="H606" s="565">
        <v>23</v>
      </c>
      <c r="I606" s="334" t="s">
        <v>33</v>
      </c>
      <c r="J606" s="357" t="s">
        <v>1407</v>
      </c>
      <c r="K606" s="322" t="s">
        <v>2066</v>
      </c>
      <c r="L606" s="358" t="s">
        <v>1407</v>
      </c>
      <c r="M606" s="335" t="s">
        <v>2075</v>
      </c>
      <c r="N606" s="358" t="s">
        <v>1407</v>
      </c>
      <c r="O606" s="334" t="s">
        <v>2028</v>
      </c>
      <c r="P606" s="332"/>
      <c r="Q606" s="363"/>
      <c r="R606" s="364"/>
      <c r="S606" s="364"/>
      <c r="T606" s="13" t="str">
        <f t="shared" si="94"/>
        <v>23調査結果-建築物の内部-4（9）-指摘の具体的内容等</v>
      </c>
      <c r="V606" s="202"/>
      <c r="W606" s="202"/>
      <c r="X606" s="202"/>
    </row>
    <row r="607" spans="2:24">
      <c r="B607" s="107">
        <f>'1_入力シート【基本情報】'!$BD$378</f>
        <v>0</v>
      </c>
      <c r="C607" s="4" t="str">
        <f t="shared" si="86"/>
        <v/>
      </c>
      <c r="D607" s="107">
        <f>'1_入力シート【基本情報】'!$BD$378</f>
        <v>0</v>
      </c>
      <c r="E607" s="564">
        <f>'1_入力シート【基本情報】'!$BD$378</f>
        <v>0</v>
      </c>
      <c r="F607" s="564" t="str">
        <f t="shared" si="92"/>
        <v>0</v>
      </c>
      <c r="G607" s="24"/>
      <c r="H607" s="565">
        <v>23</v>
      </c>
      <c r="I607" s="334" t="s">
        <v>33</v>
      </c>
      <c r="J607" s="357" t="s">
        <v>1407</v>
      </c>
      <c r="K607" s="322" t="s">
        <v>2066</v>
      </c>
      <c r="L607" s="358" t="s">
        <v>1407</v>
      </c>
      <c r="M607" s="335" t="s">
        <v>2075</v>
      </c>
      <c r="N607" s="358" t="s">
        <v>1407</v>
      </c>
      <c r="O607" s="334" t="s">
        <v>2029</v>
      </c>
      <c r="P607" s="327"/>
      <c r="Q607" s="336"/>
      <c r="R607" s="364"/>
      <c r="S607" s="364"/>
      <c r="T607" s="13" t="str">
        <f t="shared" si="94"/>
        <v>23調査結果-建築物の内部-4（9）-改善策の具体的内容等</v>
      </c>
      <c r="V607" s="202"/>
      <c r="W607" s="202"/>
      <c r="X607" s="202"/>
    </row>
    <row r="608" spans="2:24" ht="19">
      <c r="B608" s="107">
        <f>'1_入力シート【基本情報】'!$BS$378</f>
        <v>0</v>
      </c>
      <c r="C608" s="493" t="str">
        <f t="shared" ref="C608:E609" si="97">ASC($D608)</f>
        <v>0</v>
      </c>
      <c r="D608" s="107">
        <f>'1_入力シート【基本情報】'!$BS$378</f>
        <v>0</v>
      </c>
      <c r="E608" s="7" t="str">
        <f t="shared" si="97"/>
        <v>0</v>
      </c>
      <c r="F608" s="7" t="str">
        <f t="shared" si="92"/>
        <v>0</v>
      </c>
      <c r="G608" s="24"/>
      <c r="H608" s="565">
        <v>23</v>
      </c>
      <c r="I608" s="334" t="s">
        <v>33</v>
      </c>
      <c r="J608" s="357" t="s">
        <v>1407</v>
      </c>
      <c r="K608" s="322" t="s">
        <v>2066</v>
      </c>
      <c r="L608" s="358" t="s">
        <v>1407</v>
      </c>
      <c r="M608" s="335" t="s">
        <v>2075</v>
      </c>
      <c r="N608" s="358" t="s">
        <v>1407</v>
      </c>
      <c r="O608" s="326" t="s">
        <v>387</v>
      </c>
      <c r="P608" s="332" t="s">
        <v>1879</v>
      </c>
      <c r="Q608" s="363" t="s">
        <v>1966</v>
      </c>
      <c r="R608" s="364"/>
      <c r="S608" s="364"/>
      <c r="T608" s="13" t="str">
        <f t="shared" si="94"/>
        <v>23調査結果-建築物の内部-4（9）-改善（予定）年月-年（令和）</v>
      </c>
      <c r="V608" s="202"/>
      <c r="W608" s="202"/>
      <c r="X608" s="202"/>
    </row>
    <row r="609" spans="2:24" ht="19">
      <c r="B609" s="107">
        <f>'1_入力シート【基本情報】'!$BV$378</f>
        <v>0</v>
      </c>
      <c r="C609" s="493" t="str">
        <f t="shared" si="97"/>
        <v>0</v>
      </c>
      <c r="D609" s="107">
        <f>'1_入力シート【基本情報】'!$BV$378</f>
        <v>0</v>
      </c>
      <c r="E609" s="7" t="str">
        <f t="shared" si="97"/>
        <v>0</v>
      </c>
      <c r="F609" s="7" t="str">
        <f t="shared" si="92"/>
        <v>0</v>
      </c>
      <c r="G609" s="24"/>
      <c r="H609" s="565">
        <v>23</v>
      </c>
      <c r="I609" s="334" t="s">
        <v>33</v>
      </c>
      <c r="J609" s="357" t="s">
        <v>1407</v>
      </c>
      <c r="K609" s="322" t="s">
        <v>2066</v>
      </c>
      <c r="L609" s="358" t="s">
        <v>1407</v>
      </c>
      <c r="M609" s="335" t="s">
        <v>2075</v>
      </c>
      <c r="N609" s="358" t="s">
        <v>1407</v>
      </c>
      <c r="O609" s="326" t="s">
        <v>387</v>
      </c>
      <c r="P609" s="332" t="s">
        <v>1879</v>
      </c>
      <c r="Q609" s="363" t="s">
        <v>383</v>
      </c>
      <c r="R609" s="364"/>
      <c r="S609" s="364"/>
      <c r="T609" s="13" t="str">
        <f t="shared" si="94"/>
        <v>23調査結果-建築物の内部-4（9）-改善（予定）年月-月</v>
      </c>
      <c r="V609" s="202"/>
      <c r="W609" s="202"/>
      <c r="X609" s="202"/>
    </row>
    <row r="610" spans="2:24">
      <c r="B610" s="107">
        <f>'1_入力シート【基本情報】'!$BY$378</f>
        <v>0</v>
      </c>
      <c r="C610" s="4" t="str">
        <f t="shared" si="86"/>
        <v/>
      </c>
      <c r="D610" s="107">
        <f>'1_入力シート【基本情報】'!$BY$378</f>
        <v>0</v>
      </c>
      <c r="E610" s="564">
        <f>'1_入力シート【基本情報】'!$BY$378</f>
        <v>0</v>
      </c>
      <c r="F610" s="564" t="str">
        <f t="shared" si="92"/>
        <v>0</v>
      </c>
      <c r="G610" s="24"/>
      <c r="H610" s="565">
        <v>23</v>
      </c>
      <c r="I610" s="334" t="s">
        <v>33</v>
      </c>
      <c r="J610" s="357" t="s">
        <v>1407</v>
      </c>
      <c r="K610" s="322" t="s">
        <v>2066</v>
      </c>
      <c r="L610" s="358" t="s">
        <v>1407</v>
      </c>
      <c r="M610" s="335" t="s">
        <v>2075</v>
      </c>
      <c r="N610" s="358" t="s">
        <v>1407</v>
      </c>
      <c r="O610" s="326" t="s">
        <v>387</v>
      </c>
      <c r="P610" s="332" t="s">
        <v>1879</v>
      </c>
      <c r="Q610" s="363" t="s">
        <v>675</v>
      </c>
      <c r="R610" s="203"/>
      <c r="S610" s="203"/>
      <c r="T610" s="13" t="str">
        <f t="shared" si="94"/>
        <v>23調査結果-建築物の内部-4（9）-改善（予定）年月-未定</v>
      </c>
      <c r="V610" s="202"/>
      <c r="W610" s="202"/>
      <c r="X610" s="202"/>
    </row>
    <row r="611" spans="2:24">
      <c r="B611" s="107">
        <f>'1_入力シート【基本情報】'!$AF$379</f>
        <v>0</v>
      </c>
      <c r="C611" s="4" t="str">
        <f t="shared" si="86"/>
        <v/>
      </c>
      <c r="D611" s="107" t="str">
        <f>C611</f>
        <v/>
      </c>
      <c r="E611" s="564" t="str">
        <f>D611</f>
        <v/>
      </c>
      <c r="F611" s="564" t="str">
        <f t="shared" si="92"/>
        <v/>
      </c>
      <c r="G611" s="24"/>
      <c r="H611" s="565">
        <v>23</v>
      </c>
      <c r="I611" s="334" t="s">
        <v>33</v>
      </c>
      <c r="J611" s="357" t="s">
        <v>1407</v>
      </c>
      <c r="K611" s="322" t="s">
        <v>2066</v>
      </c>
      <c r="L611" s="358" t="s">
        <v>1407</v>
      </c>
      <c r="M611" s="335" t="s">
        <v>2076</v>
      </c>
      <c r="N611" s="358" t="s">
        <v>1407</v>
      </c>
      <c r="O611" s="326" t="s">
        <v>33</v>
      </c>
      <c r="P611" s="332"/>
      <c r="Q611" s="363"/>
      <c r="R611" s="364"/>
      <c r="S611" s="364"/>
      <c r="T611" s="13" t="str">
        <f t="shared" si="94"/>
        <v>23調査結果-建築物の内部-4（10）-調査結果</v>
      </c>
      <c r="V611" s="202"/>
      <c r="W611" s="202"/>
      <c r="X611" s="202"/>
    </row>
    <row r="612" spans="2:24">
      <c r="B612" s="107">
        <f>'1_入力シート【基本情報】'!$AR$379</f>
        <v>0</v>
      </c>
      <c r="C612" s="4" t="str">
        <f t="shared" si="86"/>
        <v/>
      </c>
      <c r="D612" s="107">
        <f>'1_入力シート【基本情報】'!$AR$379</f>
        <v>0</v>
      </c>
      <c r="E612" s="564">
        <f>'1_入力シート【基本情報】'!$AR$379</f>
        <v>0</v>
      </c>
      <c r="F612" s="564" t="str">
        <f t="shared" si="92"/>
        <v>0</v>
      </c>
      <c r="G612" s="24"/>
      <c r="H612" s="565">
        <v>23</v>
      </c>
      <c r="I612" s="334" t="s">
        <v>33</v>
      </c>
      <c r="J612" s="357" t="s">
        <v>1407</v>
      </c>
      <c r="K612" s="322" t="s">
        <v>2066</v>
      </c>
      <c r="L612" s="358" t="s">
        <v>1407</v>
      </c>
      <c r="M612" s="335" t="s">
        <v>2076</v>
      </c>
      <c r="N612" s="358" t="s">
        <v>1407</v>
      </c>
      <c r="O612" s="334" t="s">
        <v>30</v>
      </c>
      <c r="P612" s="332"/>
      <c r="Q612" s="363"/>
      <c r="R612" s="364"/>
      <c r="S612" s="364"/>
      <c r="T612" s="13" t="str">
        <f t="shared" si="94"/>
        <v>23調査結果-建築物の内部-4（10）-調査者番号</v>
      </c>
      <c r="V612" s="202"/>
      <c r="W612" s="202"/>
      <c r="X612" s="202"/>
    </row>
    <row r="613" spans="2:24">
      <c r="B613" s="107">
        <f>'1_入力シート【基本情報】'!$AT$379</f>
        <v>0</v>
      </c>
      <c r="C613" s="4" t="str">
        <f t="shared" si="86"/>
        <v/>
      </c>
      <c r="D613" s="107">
        <f>'1_入力シート【基本情報】'!$AT$379</f>
        <v>0</v>
      </c>
      <c r="E613" s="564">
        <f>'1_入力シート【基本情報】'!$AT$379</f>
        <v>0</v>
      </c>
      <c r="F613" s="564" t="str">
        <f t="shared" si="92"/>
        <v>0</v>
      </c>
      <c r="G613" s="24"/>
      <c r="H613" s="565">
        <v>23</v>
      </c>
      <c r="I613" s="334" t="s">
        <v>33</v>
      </c>
      <c r="J613" s="357" t="s">
        <v>1407</v>
      </c>
      <c r="K613" s="322" t="s">
        <v>2066</v>
      </c>
      <c r="L613" s="358" t="s">
        <v>1407</v>
      </c>
      <c r="M613" s="335" t="s">
        <v>2076</v>
      </c>
      <c r="N613" s="358" t="s">
        <v>1407</v>
      </c>
      <c r="O613" s="334" t="s">
        <v>2028</v>
      </c>
      <c r="P613" s="332"/>
      <c r="Q613" s="363"/>
      <c r="R613" s="364"/>
      <c r="S613" s="364"/>
      <c r="T613" s="13" t="str">
        <f t="shared" si="94"/>
        <v>23調査結果-建築物の内部-4（10）-指摘の具体的内容等</v>
      </c>
      <c r="V613" s="202"/>
      <c r="W613" s="202"/>
      <c r="X613" s="202"/>
    </row>
    <row r="614" spans="2:24">
      <c r="B614" s="107">
        <f>'1_入力シート【基本情報】'!$BD$379</f>
        <v>0</v>
      </c>
      <c r="C614" s="4" t="str">
        <f t="shared" ref="C614:C677" si="98">MID(B614,2,14)</f>
        <v/>
      </c>
      <c r="D614" s="107">
        <f>'1_入力シート【基本情報】'!$BD$379</f>
        <v>0</v>
      </c>
      <c r="E614" s="564">
        <f>'1_入力シート【基本情報】'!$BD$379</f>
        <v>0</v>
      </c>
      <c r="F614" s="564" t="str">
        <f t="shared" si="92"/>
        <v>0</v>
      </c>
      <c r="G614" s="24"/>
      <c r="H614" s="565">
        <v>23</v>
      </c>
      <c r="I614" s="334" t="s">
        <v>33</v>
      </c>
      <c r="J614" s="357" t="s">
        <v>1407</v>
      </c>
      <c r="K614" s="322" t="s">
        <v>2066</v>
      </c>
      <c r="L614" s="358" t="s">
        <v>1407</v>
      </c>
      <c r="M614" s="335" t="s">
        <v>2076</v>
      </c>
      <c r="N614" s="358" t="s">
        <v>1407</v>
      </c>
      <c r="O614" s="334" t="s">
        <v>2029</v>
      </c>
      <c r="P614" s="332"/>
      <c r="Q614" s="363"/>
      <c r="R614" s="364"/>
      <c r="S614" s="364"/>
      <c r="T614" s="13" t="str">
        <f t="shared" si="94"/>
        <v>23調査結果-建築物の内部-4（10）-改善策の具体的内容等</v>
      </c>
      <c r="V614" s="202"/>
      <c r="W614" s="202"/>
      <c r="X614" s="202"/>
    </row>
    <row r="615" spans="2:24" ht="19">
      <c r="B615" s="107">
        <f>'1_入力シート【基本情報】'!$BS$379</f>
        <v>0</v>
      </c>
      <c r="C615" s="493" t="str">
        <f t="shared" ref="C615:E616" si="99">ASC($D615)</f>
        <v>0</v>
      </c>
      <c r="D615" s="107">
        <f>'1_入力シート【基本情報】'!$BS$379</f>
        <v>0</v>
      </c>
      <c r="E615" s="7" t="str">
        <f t="shared" si="99"/>
        <v>0</v>
      </c>
      <c r="F615" s="7" t="str">
        <f t="shared" si="92"/>
        <v>0</v>
      </c>
      <c r="G615" s="24"/>
      <c r="H615" s="565">
        <v>23</v>
      </c>
      <c r="I615" s="334" t="s">
        <v>33</v>
      </c>
      <c r="J615" s="357" t="s">
        <v>1407</v>
      </c>
      <c r="K615" s="322" t="s">
        <v>2066</v>
      </c>
      <c r="L615" s="358" t="s">
        <v>1407</v>
      </c>
      <c r="M615" s="335" t="s">
        <v>2076</v>
      </c>
      <c r="N615" s="358" t="s">
        <v>1407</v>
      </c>
      <c r="O615" s="334" t="s">
        <v>387</v>
      </c>
      <c r="P615" s="327" t="s">
        <v>1879</v>
      </c>
      <c r="Q615" s="336" t="s">
        <v>1966</v>
      </c>
      <c r="R615" s="364"/>
      <c r="S615" s="364"/>
      <c r="T615" s="13" t="str">
        <f t="shared" si="94"/>
        <v>23調査結果-建築物の内部-4（10）-改善（予定）年月-年（令和）</v>
      </c>
      <c r="V615" s="202"/>
      <c r="W615" s="202"/>
      <c r="X615" s="202"/>
    </row>
    <row r="616" spans="2:24" ht="19">
      <c r="B616" s="107">
        <f>'1_入力シート【基本情報】'!$BV$379</f>
        <v>0</v>
      </c>
      <c r="C616" s="493" t="str">
        <f t="shared" si="99"/>
        <v>0</v>
      </c>
      <c r="D616" s="107">
        <f>'1_入力シート【基本情報】'!$BV$379</f>
        <v>0</v>
      </c>
      <c r="E616" s="7" t="str">
        <f t="shared" si="99"/>
        <v>0</v>
      </c>
      <c r="F616" s="7" t="str">
        <f t="shared" si="92"/>
        <v>0</v>
      </c>
      <c r="G616" s="24"/>
      <c r="H616" s="565">
        <v>23</v>
      </c>
      <c r="I616" s="334" t="s">
        <v>33</v>
      </c>
      <c r="J616" s="357" t="s">
        <v>1407</v>
      </c>
      <c r="K616" s="322" t="s">
        <v>2066</v>
      </c>
      <c r="L616" s="358" t="s">
        <v>1407</v>
      </c>
      <c r="M616" s="335" t="s">
        <v>2076</v>
      </c>
      <c r="N616" s="358" t="s">
        <v>1407</v>
      </c>
      <c r="O616" s="326" t="s">
        <v>387</v>
      </c>
      <c r="P616" s="332" t="s">
        <v>1879</v>
      </c>
      <c r="Q616" s="363" t="s">
        <v>383</v>
      </c>
      <c r="R616" s="364"/>
      <c r="S616" s="364"/>
      <c r="T616" s="13" t="str">
        <f t="shared" si="94"/>
        <v>23調査結果-建築物の内部-4（10）-改善（予定）年月-月</v>
      </c>
      <c r="V616" s="202"/>
      <c r="W616" s="202"/>
      <c r="X616" s="202"/>
    </row>
    <row r="617" spans="2:24">
      <c r="B617" s="107">
        <f>'1_入力シート【基本情報】'!$BY$379</f>
        <v>0</v>
      </c>
      <c r="C617" s="4" t="str">
        <f t="shared" si="98"/>
        <v/>
      </c>
      <c r="D617" s="107">
        <f>'1_入力シート【基本情報】'!$BY$379</f>
        <v>0</v>
      </c>
      <c r="E617" s="564">
        <f>'1_入力シート【基本情報】'!$BY$379</f>
        <v>0</v>
      </c>
      <c r="F617" s="564" t="str">
        <f t="shared" si="92"/>
        <v>0</v>
      </c>
      <c r="G617" s="24"/>
      <c r="H617" s="565">
        <v>23</v>
      </c>
      <c r="I617" s="334" t="s">
        <v>33</v>
      </c>
      <c r="J617" s="357" t="s">
        <v>1407</v>
      </c>
      <c r="K617" s="322" t="s">
        <v>2066</v>
      </c>
      <c r="L617" s="358" t="s">
        <v>1407</v>
      </c>
      <c r="M617" s="335" t="s">
        <v>2076</v>
      </c>
      <c r="N617" s="358" t="s">
        <v>1407</v>
      </c>
      <c r="O617" s="326" t="s">
        <v>387</v>
      </c>
      <c r="P617" s="332" t="s">
        <v>1879</v>
      </c>
      <c r="Q617" s="363" t="s">
        <v>675</v>
      </c>
      <c r="R617" s="364"/>
      <c r="S617" s="364"/>
      <c r="T617" s="13" t="str">
        <f t="shared" si="94"/>
        <v>23調査結果-建築物の内部-4（10）-改善（予定）年月-未定</v>
      </c>
      <c r="V617" s="202"/>
      <c r="W617" s="202"/>
      <c r="X617" s="202"/>
    </row>
    <row r="618" spans="2:24">
      <c r="B618" s="107">
        <f>'1_入力シート【基本情報】'!$AF$380</f>
        <v>0</v>
      </c>
      <c r="C618" s="4" t="str">
        <f t="shared" si="98"/>
        <v/>
      </c>
      <c r="D618" s="107" t="str">
        <f>C618</f>
        <v/>
      </c>
      <c r="E618" s="564" t="str">
        <f>D618</f>
        <v/>
      </c>
      <c r="F618" s="564" t="str">
        <f t="shared" si="92"/>
        <v/>
      </c>
      <c r="G618" s="24"/>
      <c r="H618" s="565">
        <v>23</v>
      </c>
      <c r="I618" s="334" t="s">
        <v>33</v>
      </c>
      <c r="J618" s="357" t="s">
        <v>1407</v>
      </c>
      <c r="K618" s="322" t="s">
        <v>2066</v>
      </c>
      <c r="L618" s="358" t="s">
        <v>1407</v>
      </c>
      <c r="M618" s="335" t="s">
        <v>2077</v>
      </c>
      <c r="N618" s="358" t="s">
        <v>1407</v>
      </c>
      <c r="O618" s="326" t="s">
        <v>33</v>
      </c>
      <c r="P618" s="332"/>
      <c r="Q618" s="363"/>
      <c r="R618" s="203"/>
      <c r="S618" s="203"/>
      <c r="T618" s="13" t="str">
        <f t="shared" si="94"/>
        <v>23調査結果-建築物の内部-4（11）-調査結果</v>
      </c>
      <c r="V618" s="202"/>
      <c r="W618" s="202"/>
      <c r="X618" s="202"/>
    </row>
    <row r="619" spans="2:24">
      <c r="B619" s="107">
        <f>'1_入力シート【基本情報】'!$AR$380</f>
        <v>0</v>
      </c>
      <c r="C619" s="4" t="str">
        <f t="shared" si="98"/>
        <v/>
      </c>
      <c r="D619" s="107">
        <f>'1_入力シート【基本情報】'!$AR$380</f>
        <v>0</v>
      </c>
      <c r="E619" s="564">
        <f>'1_入力シート【基本情報】'!$AR$380</f>
        <v>0</v>
      </c>
      <c r="F619" s="564" t="str">
        <f t="shared" si="92"/>
        <v>0</v>
      </c>
      <c r="G619" s="24"/>
      <c r="H619" s="565">
        <v>23</v>
      </c>
      <c r="I619" s="334" t="s">
        <v>33</v>
      </c>
      <c r="J619" s="357" t="s">
        <v>1407</v>
      </c>
      <c r="K619" s="322" t="s">
        <v>2066</v>
      </c>
      <c r="L619" s="358" t="s">
        <v>1407</v>
      </c>
      <c r="M619" s="335" t="s">
        <v>2077</v>
      </c>
      <c r="N619" s="358" t="s">
        <v>1407</v>
      </c>
      <c r="O619" s="326" t="s">
        <v>30</v>
      </c>
      <c r="P619" s="332"/>
      <c r="Q619" s="363"/>
      <c r="R619" s="364"/>
      <c r="S619" s="364"/>
      <c r="T619" s="13" t="str">
        <f t="shared" si="94"/>
        <v>23調査結果-建築物の内部-4（11）-調査者番号</v>
      </c>
      <c r="V619" s="202"/>
      <c r="W619" s="202"/>
      <c r="X619" s="202"/>
    </row>
    <row r="620" spans="2:24">
      <c r="B620" s="107">
        <f>'1_入力シート【基本情報】'!$AT$380</f>
        <v>0</v>
      </c>
      <c r="C620" s="4" t="str">
        <f t="shared" si="98"/>
        <v/>
      </c>
      <c r="D620" s="107">
        <f>'1_入力シート【基本情報】'!$AT$380</f>
        <v>0</v>
      </c>
      <c r="E620" s="564">
        <f>'1_入力シート【基本情報】'!$AT$380</f>
        <v>0</v>
      </c>
      <c r="F620" s="564" t="str">
        <f t="shared" si="92"/>
        <v>0</v>
      </c>
      <c r="G620" s="24"/>
      <c r="H620" s="565">
        <v>23</v>
      </c>
      <c r="I620" s="334" t="s">
        <v>33</v>
      </c>
      <c r="J620" s="357" t="s">
        <v>1407</v>
      </c>
      <c r="K620" s="322" t="s">
        <v>2066</v>
      </c>
      <c r="L620" s="358" t="s">
        <v>1407</v>
      </c>
      <c r="M620" s="335" t="s">
        <v>2077</v>
      </c>
      <c r="N620" s="358" t="s">
        <v>1407</v>
      </c>
      <c r="O620" s="334" t="s">
        <v>2028</v>
      </c>
      <c r="P620" s="332"/>
      <c r="Q620" s="363"/>
      <c r="R620" s="364"/>
      <c r="S620" s="364"/>
      <c r="T620" s="13" t="str">
        <f t="shared" si="94"/>
        <v>23調査結果-建築物の内部-4（11）-指摘の具体的内容等</v>
      </c>
      <c r="V620" s="202"/>
      <c r="W620" s="202"/>
      <c r="X620" s="202"/>
    </row>
    <row r="621" spans="2:24">
      <c r="B621" s="107">
        <f>'1_入力シート【基本情報】'!$BD$380</f>
        <v>0</v>
      </c>
      <c r="C621" s="4" t="str">
        <f t="shared" si="98"/>
        <v/>
      </c>
      <c r="D621" s="107">
        <f>'1_入力シート【基本情報】'!$BD$380</f>
        <v>0</v>
      </c>
      <c r="E621" s="564">
        <f>'1_入力シート【基本情報】'!$BD$380</f>
        <v>0</v>
      </c>
      <c r="F621" s="564" t="str">
        <f t="shared" si="92"/>
        <v>0</v>
      </c>
      <c r="G621" s="24"/>
      <c r="H621" s="565">
        <v>23</v>
      </c>
      <c r="I621" s="334" t="s">
        <v>33</v>
      </c>
      <c r="J621" s="357" t="s">
        <v>1407</v>
      </c>
      <c r="K621" s="322" t="s">
        <v>2066</v>
      </c>
      <c r="L621" s="358" t="s">
        <v>1407</v>
      </c>
      <c r="M621" s="335" t="s">
        <v>2077</v>
      </c>
      <c r="N621" s="358" t="s">
        <v>1407</v>
      </c>
      <c r="O621" s="334" t="s">
        <v>2029</v>
      </c>
      <c r="P621" s="332"/>
      <c r="Q621" s="363"/>
      <c r="R621" s="364"/>
      <c r="S621" s="364"/>
      <c r="T621" s="13" t="str">
        <f t="shared" si="94"/>
        <v>23調査結果-建築物の内部-4（11）-改善策の具体的内容等</v>
      </c>
      <c r="V621" s="202"/>
      <c r="W621" s="202"/>
      <c r="X621" s="202"/>
    </row>
    <row r="622" spans="2:24" ht="19">
      <c r="B622" s="107">
        <f>'1_入力シート【基本情報】'!$BS$380</f>
        <v>0</v>
      </c>
      <c r="C622" s="493" t="str">
        <f t="shared" ref="C622:E623" si="100">ASC($D622)</f>
        <v>0</v>
      </c>
      <c r="D622" s="107">
        <f>'1_入力シート【基本情報】'!$BS$380</f>
        <v>0</v>
      </c>
      <c r="E622" s="7" t="str">
        <f t="shared" si="100"/>
        <v>0</v>
      </c>
      <c r="F622" s="7" t="str">
        <f t="shared" si="92"/>
        <v>0</v>
      </c>
      <c r="G622" s="24"/>
      <c r="H622" s="565">
        <v>23</v>
      </c>
      <c r="I622" s="334" t="s">
        <v>33</v>
      </c>
      <c r="J622" s="357" t="s">
        <v>1407</v>
      </c>
      <c r="K622" s="322" t="s">
        <v>2066</v>
      </c>
      <c r="L622" s="358" t="s">
        <v>1407</v>
      </c>
      <c r="M622" s="335" t="s">
        <v>2077</v>
      </c>
      <c r="N622" s="358" t="s">
        <v>1407</v>
      </c>
      <c r="O622" s="334" t="s">
        <v>387</v>
      </c>
      <c r="P622" s="332" t="s">
        <v>1879</v>
      </c>
      <c r="Q622" s="363" t="s">
        <v>1966</v>
      </c>
      <c r="R622" s="364"/>
      <c r="S622" s="364"/>
      <c r="T622" s="13" t="str">
        <f t="shared" si="94"/>
        <v>23調査結果-建築物の内部-4（11）-改善（予定）年月-年（令和）</v>
      </c>
      <c r="V622" s="202"/>
      <c r="W622" s="202"/>
      <c r="X622" s="202"/>
    </row>
    <row r="623" spans="2:24" ht="19">
      <c r="B623" s="107">
        <f>'1_入力シート【基本情報】'!$BV$380</f>
        <v>0</v>
      </c>
      <c r="C623" s="493" t="str">
        <f t="shared" si="100"/>
        <v>0</v>
      </c>
      <c r="D623" s="107">
        <f>'1_入力シート【基本情報】'!$BV$380</f>
        <v>0</v>
      </c>
      <c r="E623" s="7" t="str">
        <f t="shared" si="100"/>
        <v>0</v>
      </c>
      <c r="F623" s="7" t="str">
        <f t="shared" si="92"/>
        <v>0</v>
      </c>
      <c r="G623" s="24"/>
      <c r="H623" s="565">
        <v>23</v>
      </c>
      <c r="I623" s="334" t="s">
        <v>33</v>
      </c>
      <c r="J623" s="357" t="s">
        <v>1407</v>
      </c>
      <c r="K623" s="322" t="s">
        <v>2066</v>
      </c>
      <c r="L623" s="358" t="s">
        <v>1407</v>
      </c>
      <c r="M623" s="335" t="s">
        <v>2077</v>
      </c>
      <c r="N623" s="358" t="s">
        <v>1407</v>
      </c>
      <c r="O623" s="334" t="s">
        <v>387</v>
      </c>
      <c r="P623" s="327" t="s">
        <v>1879</v>
      </c>
      <c r="Q623" s="336" t="s">
        <v>383</v>
      </c>
      <c r="R623" s="364"/>
      <c r="S623" s="364"/>
      <c r="T623" s="13" t="str">
        <f t="shared" si="94"/>
        <v>23調査結果-建築物の内部-4（11）-改善（予定）年月-月</v>
      </c>
      <c r="V623" s="202"/>
      <c r="W623" s="202"/>
      <c r="X623" s="202"/>
    </row>
    <row r="624" spans="2:24">
      <c r="B624" s="107">
        <f>'1_入力シート【基本情報】'!$BY$380</f>
        <v>0</v>
      </c>
      <c r="C624" s="4" t="str">
        <f t="shared" si="98"/>
        <v/>
      </c>
      <c r="D624" s="107">
        <f>'1_入力シート【基本情報】'!$BY$380</f>
        <v>0</v>
      </c>
      <c r="E624" s="564">
        <f>'1_入力シート【基本情報】'!$BY$380</f>
        <v>0</v>
      </c>
      <c r="F624" s="564" t="str">
        <f t="shared" si="92"/>
        <v>0</v>
      </c>
      <c r="G624" s="24"/>
      <c r="H624" s="565">
        <v>23</v>
      </c>
      <c r="I624" s="334" t="s">
        <v>33</v>
      </c>
      <c r="J624" s="357" t="s">
        <v>1407</v>
      </c>
      <c r="K624" s="322" t="s">
        <v>2066</v>
      </c>
      <c r="L624" s="358" t="s">
        <v>1407</v>
      </c>
      <c r="M624" s="335" t="s">
        <v>2077</v>
      </c>
      <c r="N624" s="358" t="s">
        <v>1407</v>
      </c>
      <c r="O624" s="326" t="s">
        <v>387</v>
      </c>
      <c r="P624" s="332" t="s">
        <v>1879</v>
      </c>
      <c r="Q624" s="363" t="s">
        <v>675</v>
      </c>
      <c r="R624" s="364"/>
      <c r="S624" s="364"/>
      <c r="T624" s="13" t="str">
        <f t="shared" si="94"/>
        <v>23調査結果-建築物の内部-4（11）-改善（予定）年月-未定</v>
      </c>
      <c r="V624" s="202"/>
      <c r="W624" s="202"/>
      <c r="X624" s="202"/>
    </row>
    <row r="625" spans="2:24">
      <c r="B625" s="107">
        <f>'1_入力シート【基本情報】'!$AF$381</f>
        <v>0</v>
      </c>
      <c r="C625" s="4" t="str">
        <f t="shared" si="98"/>
        <v/>
      </c>
      <c r="D625" s="107" t="str">
        <f>C625</f>
        <v/>
      </c>
      <c r="E625" s="564" t="str">
        <f>D625</f>
        <v/>
      </c>
      <c r="F625" s="564" t="str">
        <f t="shared" si="92"/>
        <v/>
      </c>
      <c r="G625" s="24"/>
      <c r="H625" s="565">
        <v>23</v>
      </c>
      <c r="I625" s="334" t="s">
        <v>33</v>
      </c>
      <c r="J625" s="357" t="s">
        <v>1407</v>
      </c>
      <c r="K625" s="322" t="s">
        <v>2066</v>
      </c>
      <c r="L625" s="358" t="s">
        <v>1407</v>
      </c>
      <c r="M625" s="335" t="s">
        <v>2078</v>
      </c>
      <c r="N625" s="358" t="s">
        <v>1407</v>
      </c>
      <c r="O625" s="326" t="s">
        <v>33</v>
      </c>
      <c r="P625" s="332"/>
      <c r="Q625" s="363"/>
      <c r="R625" s="364"/>
      <c r="S625" s="364"/>
      <c r="T625" s="13" t="str">
        <f t="shared" si="94"/>
        <v>23調査結果-建築物の内部-4（12）-調査結果</v>
      </c>
      <c r="V625" s="202"/>
      <c r="W625" s="202"/>
      <c r="X625" s="202"/>
    </row>
    <row r="626" spans="2:24">
      <c r="B626" s="107">
        <f>'1_入力シート【基本情報】'!$AR$381</f>
        <v>0</v>
      </c>
      <c r="C626" s="4" t="str">
        <f t="shared" si="98"/>
        <v/>
      </c>
      <c r="D626" s="107">
        <f>'1_入力シート【基本情報】'!$AR$381</f>
        <v>0</v>
      </c>
      <c r="E626" s="564">
        <f>'1_入力シート【基本情報】'!$AR$381</f>
        <v>0</v>
      </c>
      <c r="F626" s="564" t="str">
        <f t="shared" si="92"/>
        <v>0</v>
      </c>
      <c r="G626" s="24"/>
      <c r="H626" s="565">
        <v>23</v>
      </c>
      <c r="I626" s="334" t="s">
        <v>33</v>
      </c>
      <c r="J626" s="357" t="s">
        <v>1407</v>
      </c>
      <c r="K626" s="322" t="s">
        <v>2066</v>
      </c>
      <c r="L626" s="358" t="s">
        <v>1407</v>
      </c>
      <c r="M626" s="335" t="s">
        <v>2078</v>
      </c>
      <c r="N626" s="358" t="s">
        <v>1407</v>
      </c>
      <c r="O626" s="326" t="s">
        <v>30</v>
      </c>
      <c r="P626" s="332"/>
      <c r="Q626" s="363"/>
      <c r="R626" s="203"/>
      <c r="S626" s="203"/>
      <c r="T626" s="13" t="str">
        <f t="shared" si="94"/>
        <v>23調査結果-建築物の内部-4（12）-調査者番号</v>
      </c>
      <c r="V626" s="202"/>
      <c r="W626" s="202"/>
      <c r="X626" s="202"/>
    </row>
    <row r="627" spans="2:24">
      <c r="B627" s="107">
        <f>'1_入力シート【基本情報】'!$AT$381</f>
        <v>0</v>
      </c>
      <c r="C627" s="4" t="str">
        <f t="shared" si="98"/>
        <v/>
      </c>
      <c r="D627" s="107">
        <f>'1_入力シート【基本情報】'!$AT$381</f>
        <v>0</v>
      </c>
      <c r="E627" s="564">
        <f>'1_入力シート【基本情報】'!$AT$381</f>
        <v>0</v>
      </c>
      <c r="F627" s="564" t="str">
        <f t="shared" si="92"/>
        <v>0</v>
      </c>
      <c r="G627" s="24"/>
      <c r="H627" s="565">
        <v>23</v>
      </c>
      <c r="I627" s="334" t="s">
        <v>33</v>
      </c>
      <c r="J627" s="357" t="s">
        <v>1407</v>
      </c>
      <c r="K627" s="322" t="s">
        <v>2066</v>
      </c>
      <c r="L627" s="358" t="s">
        <v>1407</v>
      </c>
      <c r="M627" s="335" t="s">
        <v>2078</v>
      </c>
      <c r="N627" s="358" t="s">
        <v>1407</v>
      </c>
      <c r="O627" s="326" t="s">
        <v>2028</v>
      </c>
      <c r="P627" s="332"/>
      <c r="Q627" s="363"/>
      <c r="R627" s="364"/>
      <c r="S627" s="364"/>
      <c r="T627" s="13" t="str">
        <f t="shared" si="94"/>
        <v>23調査結果-建築物の内部-4（12）-指摘の具体的内容等</v>
      </c>
      <c r="V627" s="202"/>
      <c r="W627" s="202"/>
      <c r="X627" s="202"/>
    </row>
    <row r="628" spans="2:24">
      <c r="B628" s="107">
        <f>'1_入力シート【基本情報】'!$BD$381</f>
        <v>0</v>
      </c>
      <c r="C628" s="4" t="str">
        <f t="shared" si="98"/>
        <v/>
      </c>
      <c r="D628" s="107">
        <f>'1_入力シート【基本情報】'!$BD$381</f>
        <v>0</v>
      </c>
      <c r="E628" s="564">
        <f>'1_入力シート【基本情報】'!$BD$381</f>
        <v>0</v>
      </c>
      <c r="F628" s="564" t="str">
        <f t="shared" si="92"/>
        <v>0</v>
      </c>
      <c r="G628" s="24"/>
      <c r="H628" s="565">
        <v>23</v>
      </c>
      <c r="I628" s="334" t="s">
        <v>33</v>
      </c>
      <c r="J628" s="357" t="s">
        <v>1407</v>
      </c>
      <c r="K628" s="322" t="s">
        <v>2066</v>
      </c>
      <c r="L628" s="358" t="s">
        <v>1407</v>
      </c>
      <c r="M628" s="335" t="s">
        <v>2078</v>
      </c>
      <c r="N628" s="358" t="s">
        <v>1407</v>
      </c>
      <c r="O628" s="334" t="s">
        <v>2029</v>
      </c>
      <c r="P628" s="332"/>
      <c r="Q628" s="363"/>
      <c r="R628" s="364"/>
      <c r="S628" s="364"/>
      <c r="T628" s="13" t="str">
        <f t="shared" si="94"/>
        <v>23調査結果-建築物の内部-4（12）-改善策の具体的内容等</v>
      </c>
      <c r="V628" s="202"/>
      <c r="W628" s="202"/>
      <c r="X628" s="202"/>
    </row>
    <row r="629" spans="2:24" ht="19">
      <c r="B629" s="107">
        <f>'1_入力シート【基本情報】'!$BS$381</f>
        <v>0</v>
      </c>
      <c r="C629" s="493" t="str">
        <f t="shared" ref="C629:E630" si="101">ASC($D629)</f>
        <v>0</v>
      </c>
      <c r="D629" s="107">
        <f>'1_入力シート【基本情報】'!$BS$381</f>
        <v>0</v>
      </c>
      <c r="E629" s="7" t="str">
        <f t="shared" si="101"/>
        <v>0</v>
      </c>
      <c r="F629" s="7" t="str">
        <f t="shared" si="92"/>
        <v>0</v>
      </c>
      <c r="G629" s="24"/>
      <c r="H629" s="565">
        <v>23</v>
      </c>
      <c r="I629" s="334" t="s">
        <v>33</v>
      </c>
      <c r="J629" s="357" t="s">
        <v>1407</v>
      </c>
      <c r="K629" s="322" t="s">
        <v>2066</v>
      </c>
      <c r="L629" s="358" t="s">
        <v>1407</v>
      </c>
      <c r="M629" s="335" t="s">
        <v>2078</v>
      </c>
      <c r="N629" s="358" t="s">
        <v>1407</v>
      </c>
      <c r="O629" s="334" t="s">
        <v>387</v>
      </c>
      <c r="P629" s="332" t="s">
        <v>1879</v>
      </c>
      <c r="Q629" s="363" t="s">
        <v>1966</v>
      </c>
      <c r="R629" s="364"/>
      <c r="S629" s="364"/>
      <c r="T629" s="13" t="str">
        <f t="shared" si="94"/>
        <v>23調査結果-建築物の内部-4（12）-改善（予定）年月-年（令和）</v>
      </c>
      <c r="V629" s="202"/>
      <c r="W629" s="202"/>
      <c r="X629" s="202"/>
    </row>
    <row r="630" spans="2:24" ht="19">
      <c r="B630" s="107">
        <f>'1_入力シート【基本情報】'!$BV$381</f>
        <v>0</v>
      </c>
      <c r="C630" s="493" t="str">
        <f t="shared" si="101"/>
        <v>0</v>
      </c>
      <c r="D630" s="107">
        <f>'1_入力シート【基本情報】'!$BV$381</f>
        <v>0</v>
      </c>
      <c r="E630" s="7" t="str">
        <f t="shared" si="101"/>
        <v>0</v>
      </c>
      <c r="F630" s="7" t="str">
        <f t="shared" si="92"/>
        <v>0</v>
      </c>
      <c r="G630" s="24"/>
      <c r="H630" s="565">
        <v>23</v>
      </c>
      <c r="I630" s="334" t="s">
        <v>33</v>
      </c>
      <c r="J630" s="357" t="s">
        <v>1407</v>
      </c>
      <c r="K630" s="322" t="s">
        <v>2066</v>
      </c>
      <c r="L630" s="358" t="s">
        <v>1407</v>
      </c>
      <c r="M630" s="335" t="s">
        <v>2078</v>
      </c>
      <c r="N630" s="358" t="s">
        <v>1407</v>
      </c>
      <c r="O630" s="334" t="s">
        <v>387</v>
      </c>
      <c r="P630" s="332" t="s">
        <v>1879</v>
      </c>
      <c r="Q630" s="363" t="s">
        <v>383</v>
      </c>
      <c r="R630" s="364"/>
      <c r="S630" s="364"/>
      <c r="T630" s="13" t="str">
        <f t="shared" si="94"/>
        <v>23調査結果-建築物の内部-4（12）-改善（予定）年月-月</v>
      </c>
      <c r="V630" s="202"/>
      <c r="W630" s="202"/>
      <c r="X630" s="202"/>
    </row>
    <row r="631" spans="2:24">
      <c r="B631" s="107">
        <f>'1_入力シート【基本情報】'!$BY$381</f>
        <v>0</v>
      </c>
      <c r="C631" s="4" t="str">
        <f t="shared" si="98"/>
        <v/>
      </c>
      <c r="D631" s="107">
        <f>'1_入力シート【基本情報】'!$BY$381</f>
        <v>0</v>
      </c>
      <c r="E631" s="564">
        <f>'1_入力シート【基本情報】'!$BY$381</f>
        <v>0</v>
      </c>
      <c r="F631" s="564" t="str">
        <f t="shared" si="92"/>
        <v>0</v>
      </c>
      <c r="G631" s="24"/>
      <c r="H631" s="565">
        <v>23</v>
      </c>
      <c r="I631" s="334" t="s">
        <v>33</v>
      </c>
      <c r="J631" s="357" t="s">
        <v>1407</v>
      </c>
      <c r="K631" s="322" t="s">
        <v>2066</v>
      </c>
      <c r="L631" s="358" t="s">
        <v>1407</v>
      </c>
      <c r="M631" s="335" t="s">
        <v>2078</v>
      </c>
      <c r="N631" s="358" t="s">
        <v>1407</v>
      </c>
      <c r="O631" s="334" t="s">
        <v>387</v>
      </c>
      <c r="P631" s="327" t="s">
        <v>1879</v>
      </c>
      <c r="Q631" s="336" t="s">
        <v>675</v>
      </c>
      <c r="R631" s="364"/>
      <c r="S631" s="364"/>
      <c r="T631" s="13" t="str">
        <f t="shared" si="94"/>
        <v>23調査結果-建築物の内部-4（12）-改善（予定）年月-未定</v>
      </c>
      <c r="V631" s="202"/>
      <c r="W631" s="202"/>
      <c r="X631" s="202"/>
    </row>
    <row r="632" spans="2:24">
      <c r="B632" s="107">
        <f>'1_入力シート【基本情報】'!$AF$382</f>
        <v>0</v>
      </c>
      <c r="C632" s="4" t="str">
        <f t="shared" si="98"/>
        <v/>
      </c>
      <c r="D632" s="107" t="str">
        <f>C632</f>
        <v/>
      </c>
      <c r="E632" s="564" t="str">
        <f>D632</f>
        <v/>
      </c>
      <c r="F632" s="564" t="str">
        <f t="shared" si="92"/>
        <v/>
      </c>
      <c r="G632" s="24"/>
      <c r="H632" s="565">
        <v>23</v>
      </c>
      <c r="I632" s="334" t="s">
        <v>33</v>
      </c>
      <c r="J632" s="357" t="s">
        <v>1407</v>
      </c>
      <c r="K632" s="322" t="s">
        <v>2066</v>
      </c>
      <c r="L632" s="358" t="s">
        <v>1407</v>
      </c>
      <c r="M632" s="335" t="s">
        <v>2079</v>
      </c>
      <c r="N632" s="358" t="s">
        <v>1407</v>
      </c>
      <c r="O632" s="326" t="s">
        <v>33</v>
      </c>
      <c r="P632" s="332"/>
      <c r="Q632" s="363"/>
      <c r="R632" s="364"/>
      <c r="S632" s="364"/>
      <c r="T632" s="13" t="str">
        <f t="shared" si="94"/>
        <v>23調査結果-建築物の内部-4（13）-調査結果</v>
      </c>
      <c r="V632" s="202"/>
      <c r="W632" s="202"/>
      <c r="X632" s="202"/>
    </row>
    <row r="633" spans="2:24">
      <c r="B633" s="107">
        <f>'1_入力シート【基本情報】'!$AR$382</f>
        <v>0</v>
      </c>
      <c r="C633" s="4" t="str">
        <f t="shared" si="98"/>
        <v/>
      </c>
      <c r="D633" s="107">
        <f>'1_入力シート【基本情報】'!$AR$382</f>
        <v>0</v>
      </c>
      <c r="E633" s="564">
        <f>'1_入力シート【基本情報】'!$AR$382</f>
        <v>0</v>
      </c>
      <c r="F633" s="564" t="str">
        <f t="shared" si="92"/>
        <v>0</v>
      </c>
      <c r="G633" s="24"/>
      <c r="H633" s="565">
        <v>23</v>
      </c>
      <c r="I633" s="334" t="s">
        <v>33</v>
      </c>
      <c r="J633" s="357" t="s">
        <v>1407</v>
      </c>
      <c r="K633" s="322" t="s">
        <v>2066</v>
      </c>
      <c r="L633" s="358" t="s">
        <v>1407</v>
      </c>
      <c r="M633" s="335" t="s">
        <v>2079</v>
      </c>
      <c r="N633" s="358" t="s">
        <v>1407</v>
      </c>
      <c r="O633" s="326" t="s">
        <v>30</v>
      </c>
      <c r="P633" s="332"/>
      <c r="Q633" s="363"/>
      <c r="R633" s="364"/>
      <c r="S633" s="364"/>
      <c r="T633" s="13" t="str">
        <f t="shared" si="94"/>
        <v>23調査結果-建築物の内部-4（13）-調査者番号</v>
      </c>
      <c r="V633" s="202"/>
      <c r="W633" s="202"/>
      <c r="X633" s="202"/>
    </row>
    <row r="634" spans="2:24">
      <c r="B634" s="107">
        <f>'1_入力シート【基本情報】'!$AT$382</f>
        <v>0</v>
      </c>
      <c r="C634" s="4" t="str">
        <f t="shared" si="98"/>
        <v/>
      </c>
      <c r="D634" s="107">
        <f>'1_入力シート【基本情報】'!$AT$382</f>
        <v>0</v>
      </c>
      <c r="E634" s="564">
        <f>'1_入力シート【基本情報】'!$AT$382</f>
        <v>0</v>
      </c>
      <c r="F634" s="564" t="str">
        <f t="shared" si="92"/>
        <v>0</v>
      </c>
      <c r="G634" s="24"/>
      <c r="H634" s="565">
        <v>23</v>
      </c>
      <c r="I634" s="334" t="s">
        <v>33</v>
      </c>
      <c r="J634" s="357" t="s">
        <v>1407</v>
      </c>
      <c r="K634" s="322" t="s">
        <v>2066</v>
      </c>
      <c r="L634" s="358" t="s">
        <v>1407</v>
      </c>
      <c r="M634" s="335" t="s">
        <v>2079</v>
      </c>
      <c r="N634" s="358" t="s">
        <v>1407</v>
      </c>
      <c r="O634" s="326" t="s">
        <v>2028</v>
      </c>
      <c r="P634" s="332"/>
      <c r="Q634" s="363"/>
      <c r="R634" s="203"/>
      <c r="S634" s="203"/>
      <c r="T634" s="13" t="str">
        <f t="shared" si="94"/>
        <v>23調査結果-建築物の内部-4（13）-指摘の具体的内容等</v>
      </c>
      <c r="V634" s="202"/>
      <c r="W634" s="202"/>
      <c r="X634" s="202"/>
    </row>
    <row r="635" spans="2:24">
      <c r="B635" s="107">
        <f>'1_入力シート【基本情報】'!$BD$382</f>
        <v>0</v>
      </c>
      <c r="C635" s="4" t="str">
        <f t="shared" si="98"/>
        <v/>
      </c>
      <c r="D635" s="107">
        <f>'1_入力シート【基本情報】'!$BD$382</f>
        <v>0</v>
      </c>
      <c r="E635" s="564">
        <f>'1_入力シート【基本情報】'!$BD$382</f>
        <v>0</v>
      </c>
      <c r="F635" s="564" t="str">
        <f t="shared" si="92"/>
        <v>0</v>
      </c>
      <c r="G635" s="24"/>
      <c r="H635" s="565">
        <v>23</v>
      </c>
      <c r="I635" s="334" t="s">
        <v>33</v>
      </c>
      <c r="J635" s="357" t="s">
        <v>1407</v>
      </c>
      <c r="K635" s="322" t="s">
        <v>2066</v>
      </c>
      <c r="L635" s="358" t="s">
        <v>1407</v>
      </c>
      <c r="M635" s="335" t="s">
        <v>2079</v>
      </c>
      <c r="N635" s="358" t="s">
        <v>1407</v>
      </c>
      <c r="O635" s="326" t="s">
        <v>2029</v>
      </c>
      <c r="P635" s="332"/>
      <c r="Q635" s="363"/>
      <c r="R635" s="364"/>
      <c r="S635" s="364"/>
      <c r="T635" s="13" t="str">
        <f t="shared" si="94"/>
        <v>23調査結果-建築物の内部-4（13）-改善策の具体的内容等</v>
      </c>
      <c r="V635" s="202"/>
      <c r="W635" s="202"/>
      <c r="X635" s="202"/>
    </row>
    <row r="636" spans="2:24" ht="19">
      <c r="B636" s="107">
        <f>'1_入力シート【基本情報】'!$BS$382</f>
        <v>0</v>
      </c>
      <c r="C636" s="493" t="str">
        <f t="shared" ref="C636:E637" si="102">ASC($D636)</f>
        <v>0</v>
      </c>
      <c r="D636" s="107">
        <f>'1_入力シート【基本情報】'!$BS$382</f>
        <v>0</v>
      </c>
      <c r="E636" s="7" t="str">
        <f t="shared" si="102"/>
        <v>0</v>
      </c>
      <c r="F636" s="7" t="str">
        <f t="shared" si="92"/>
        <v>0</v>
      </c>
      <c r="G636" s="24"/>
      <c r="H636" s="565">
        <v>23</v>
      </c>
      <c r="I636" s="334" t="s">
        <v>33</v>
      </c>
      <c r="J636" s="357" t="s">
        <v>1407</v>
      </c>
      <c r="K636" s="322" t="s">
        <v>2066</v>
      </c>
      <c r="L636" s="358" t="s">
        <v>1407</v>
      </c>
      <c r="M636" s="335" t="s">
        <v>2079</v>
      </c>
      <c r="N636" s="358" t="s">
        <v>1407</v>
      </c>
      <c r="O636" s="334" t="s">
        <v>387</v>
      </c>
      <c r="P636" s="332" t="s">
        <v>1879</v>
      </c>
      <c r="Q636" s="363" t="s">
        <v>1966</v>
      </c>
      <c r="R636" s="364"/>
      <c r="S636" s="364"/>
      <c r="T636" s="13" t="str">
        <f t="shared" si="94"/>
        <v>23調査結果-建築物の内部-4（13）-改善（予定）年月-年（令和）</v>
      </c>
      <c r="V636" s="202"/>
      <c r="W636" s="202"/>
      <c r="X636" s="202"/>
    </row>
    <row r="637" spans="2:24" ht="19">
      <c r="B637" s="107">
        <f>'1_入力シート【基本情報】'!$BV$382</f>
        <v>0</v>
      </c>
      <c r="C637" s="493" t="str">
        <f t="shared" si="102"/>
        <v>0</v>
      </c>
      <c r="D637" s="107">
        <f>'1_入力シート【基本情報】'!$BV$382</f>
        <v>0</v>
      </c>
      <c r="E637" s="7" t="str">
        <f t="shared" si="102"/>
        <v>0</v>
      </c>
      <c r="F637" s="7" t="str">
        <f t="shared" si="92"/>
        <v>0</v>
      </c>
      <c r="G637" s="24"/>
      <c r="H637" s="565">
        <v>23</v>
      </c>
      <c r="I637" s="334" t="s">
        <v>33</v>
      </c>
      <c r="J637" s="357" t="s">
        <v>1407</v>
      </c>
      <c r="K637" s="322" t="s">
        <v>2066</v>
      </c>
      <c r="L637" s="358" t="s">
        <v>1407</v>
      </c>
      <c r="M637" s="335" t="s">
        <v>2079</v>
      </c>
      <c r="N637" s="358" t="s">
        <v>1407</v>
      </c>
      <c r="O637" s="334" t="s">
        <v>387</v>
      </c>
      <c r="P637" s="332" t="s">
        <v>1879</v>
      </c>
      <c r="Q637" s="363" t="s">
        <v>383</v>
      </c>
      <c r="R637" s="364"/>
      <c r="S637" s="364"/>
      <c r="T637" s="13" t="str">
        <f t="shared" si="94"/>
        <v>23調査結果-建築物の内部-4（13）-改善（予定）年月-月</v>
      </c>
      <c r="V637" s="202"/>
      <c r="W637" s="202"/>
      <c r="X637" s="202"/>
    </row>
    <row r="638" spans="2:24">
      <c r="B638" s="107">
        <f>'1_入力シート【基本情報】'!$BY$382</f>
        <v>0</v>
      </c>
      <c r="C638" s="4" t="str">
        <f t="shared" si="98"/>
        <v/>
      </c>
      <c r="D638" s="107">
        <f>'1_入力シート【基本情報】'!$BY$382</f>
        <v>0</v>
      </c>
      <c r="E638" s="564">
        <f>'1_入力シート【基本情報】'!$BY$382</f>
        <v>0</v>
      </c>
      <c r="F638" s="564" t="str">
        <f t="shared" si="92"/>
        <v>0</v>
      </c>
      <c r="G638" s="24"/>
      <c r="H638" s="565">
        <v>23</v>
      </c>
      <c r="I638" s="334" t="s">
        <v>33</v>
      </c>
      <c r="J638" s="357" t="s">
        <v>1407</v>
      </c>
      <c r="K638" s="322" t="s">
        <v>2066</v>
      </c>
      <c r="L638" s="358" t="s">
        <v>1407</v>
      </c>
      <c r="M638" s="335" t="s">
        <v>2079</v>
      </c>
      <c r="N638" s="358" t="s">
        <v>1407</v>
      </c>
      <c r="O638" s="334" t="s">
        <v>387</v>
      </c>
      <c r="P638" s="332" t="s">
        <v>1879</v>
      </c>
      <c r="Q638" s="363" t="s">
        <v>675</v>
      </c>
      <c r="R638" s="364"/>
      <c r="S638" s="364"/>
      <c r="T638" s="13" t="str">
        <f t="shared" si="94"/>
        <v>23調査結果-建築物の内部-4（13）-改善（予定）年月-未定</v>
      </c>
      <c r="V638" s="202"/>
      <c r="W638" s="202"/>
      <c r="X638" s="202"/>
    </row>
    <row r="639" spans="2:24">
      <c r="B639" s="107">
        <f>'1_入力シート【基本情報】'!$AF$383</f>
        <v>0</v>
      </c>
      <c r="C639" s="4" t="str">
        <f t="shared" si="98"/>
        <v/>
      </c>
      <c r="D639" s="107" t="str">
        <f>C639</f>
        <v/>
      </c>
      <c r="E639" s="564" t="str">
        <f>D639</f>
        <v/>
      </c>
      <c r="F639" s="564" t="str">
        <f t="shared" si="92"/>
        <v/>
      </c>
      <c r="G639" s="24"/>
      <c r="H639" s="565">
        <v>23</v>
      </c>
      <c r="I639" s="334" t="s">
        <v>33</v>
      </c>
      <c r="J639" s="357" t="s">
        <v>1407</v>
      </c>
      <c r="K639" s="322" t="s">
        <v>2066</v>
      </c>
      <c r="L639" s="358" t="s">
        <v>1407</v>
      </c>
      <c r="M639" s="335" t="s">
        <v>2080</v>
      </c>
      <c r="N639" s="358" t="s">
        <v>1407</v>
      </c>
      <c r="O639" s="326" t="s">
        <v>33</v>
      </c>
      <c r="P639" s="327"/>
      <c r="Q639" s="336"/>
      <c r="R639" s="364"/>
      <c r="S639" s="364"/>
      <c r="T639" s="13" t="str">
        <f t="shared" si="94"/>
        <v>23調査結果-建築物の内部-4（14）-調査結果</v>
      </c>
      <c r="V639" s="202"/>
      <c r="W639" s="202"/>
      <c r="X639" s="202"/>
    </row>
    <row r="640" spans="2:24">
      <c r="B640" s="107">
        <f>'1_入力シート【基本情報】'!$AR$383</f>
        <v>0</v>
      </c>
      <c r="C640" s="4" t="str">
        <f t="shared" si="98"/>
        <v/>
      </c>
      <c r="D640" s="107">
        <f>'1_入力シート【基本情報】'!$AR$383</f>
        <v>0</v>
      </c>
      <c r="E640" s="564">
        <f>'1_入力シート【基本情報】'!$AR$383</f>
        <v>0</v>
      </c>
      <c r="F640" s="564" t="str">
        <f t="shared" si="92"/>
        <v>0</v>
      </c>
      <c r="G640" s="24"/>
      <c r="H640" s="565">
        <v>23</v>
      </c>
      <c r="I640" s="334" t="s">
        <v>33</v>
      </c>
      <c r="J640" s="357" t="s">
        <v>1407</v>
      </c>
      <c r="K640" s="322" t="s">
        <v>2066</v>
      </c>
      <c r="L640" s="358" t="s">
        <v>1407</v>
      </c>
      <c r="M640" s="335" t="s">
        <v>2080</v>
      </c>
      <c r="N640" s="358" t="s">
        <v>1407</v>
      </c>
      <c r="O640" s="326" t="s">
        <v>30</v>
      </c>
      <c r="P640" s="332"/>
      <c r="Q640" s="363"/>
      <c r="R640" s="364"/>
      <c r="S640" s="364"/>
      <c r="T640" s="13" t="str">
        <f t="shared" si="94"/>
        <v>23調査結果-建築物の内部-4（14）-調査者番号</v>
      </c>
      <c r="V640" s="202"/>
      <c r="W640" s="202"/>
      <c r="X640" s="202"/>
    </row>
    <row r="641" spans="2:24">
      <c r="B641" s="107">
        <f>'1_入力シート【基本情報】'!$AT$383</f>
        <v>0</v>
      </c>
      <c r="C641" s="4" t="str">
        <f t="shared" si="98"/>
        <v/>
      </c>
      <c r="D641" s="107">
        <f>'1_入力シート【基本情報】'!$AT$383</f>
        <v>0</v>
      </c>
      <c r="E641" s="564">
        <f>'1_入力シート【基本情報】'!$AT$383</f>
        <v>0</v>
      </c>
      <c r="F641" s="564" t="str">
        <f t="shared" si="92"/>
        <v>0</v>
      </c>
      <c r="G641" s="24"/>
      <c r="H641" s="565">
        <v>23</v>
      </c>
      <c r="I641" s="334" t="s">
        <v>33</v>
      </c>
      <c r="J641" s="357" t="s">
        <v>1407</v>
      </c>
      <c r="K641" s="322" t="s">
        <v>2066</v>
      </c>
      <c r="L641" s="358" t="s">
        <v>1407</v>
      </c>
      <c r="M641" s="335" t="s">
        <v>2080</v>
      </c>
      <c r="N641" s="358" t="s">
        <v>1407</v>
      </c>
      <c r="O641" s="326" t="s">
        <v>2028</v>
      </c>
      <c r="P641" s="332"/>
      <c r="Q641" s="363"/>
      <c r="R641" s="364"/>
      <c r="S641" s="364"/>
      <c r="T641" s="13" t="str">
        <f t="shared" si="94"/>
        <v>23調査結果-建築物の内部-4（14）-指摘の具体的内容等</v>
      </c>
      <c r="V641" s="202"/>
      <c r="W641" s="202"/>
      <c r="X641" s="202"/>
    </row>
    <row r="642" spans="2:24">
      <c r="B642" s="107">
        <f>'1_入力シート【基本情報】'!$BD$383</f>
        <v>0</v>
      </c>
      <c r="C642" s="4" t="str">
        <f t="shared" si="98"/>
        <v/>
      </c>
      <c r="D642" s="107">
        <f>'1_入力シート【基本情報】'!$BD$383</f>
        <v>0</v>
      </c>
      <c r="E642" s="564">
        <f>'1_入力シート【基本情報】'!$BD$383</f>
        <v>0</v>
      </c>
      <c r="F642" s="564" t="str">
        <f t="shared" si="92"/>
        <v>0</v>
      </c>
      <c r="G642" s="24"/>
      <c r="H642" s="565">
        <v>23</v>
      </c>
      <c r="I642" s="334" t="s">
        <v>33</v>
      </c>
      <c r="J642" s="357" t="s">
        <v>1407</v>
      </c>
      <c r="K642" s="322" t="s">
        <v>2066</v>
      </c>
      <c r="L642" s="358" t="s">
        <v>1407</v>
      </c>
      <c r="M642" s="335" t="s">
        <v>2080</v>
      </c>
      <c r="N642" s="358" t="s">
        <v>1407</v>
      </c>
      <c r="O642" s="326" t="s">
        <v>2029</v>
      </c>
      <c r="P642" s="332"/>
      <c r="Q642" s="363"/>
      <c r="R642" s="203"/>
      <c r="S642" s="203"/>
      <c r="T642" s="13" t="str">
        <f t="shared" si="94"/>
        <v>23調査結果-建築物の内部-4（14）-改善策の具体的内容等</v>
      </c>
      <c r="V642" s="202"/>
      <c r="W642" s="202"/>
      <c r="X642" s="202"/>
    </row>
    <row r="643" spans="2:24" ht="19">
      <c r="B643" s="107">
        <f>'1_入力シート【基本情報】'!$BS$383</f>
        <v>0</v>
      </c>
      <c r="C643" s="493" t="str">
        <f t="shared" ref="C643:E644" si="103">ASC($D643)</f>
        <v>0</v>
      </c>
      <c r="D643" s="107">
        <f>'1_入力シート【基本情報】'!$BS$383</f>
        <v>0</v>
      </c>
      <c r="E643" s="7" t="str">
        <f t="shared" si="103"/>
        <v>0</v>
      </c>
      <c r="F643" s="7" t="str">
        <f t="shared" si="92"/>
        <v>0</v>
      </c>
      <c r="G643" s="24"/>
      <c r="H643" s="565">
        <v>23</v>
      </c>
      <c r="I643" s="334" t="s">
        <v>33</v>
      </c>
      <c r="J643" s="357" t="s">
        <v>1407</v>
      </c>
      <c r="K643" s="322" t="s">
        <v>2066</v>
      </c>
      <c r="L643" s="358" t="s">
        <v>1407</v>
      </c>
      <c r="M643" s="335" t="s">
        <v>2080</v>
      </c>
      <c r="N643" s="358" t="s">
        <v>1407</v>
      </c>
      <c r="O643" s="326" t="s">
        <v>387</v>
      </c>
      <c r="P643" s="332" t="s">
        <v>1879</v>
      </c>
      <c r="Q643" s="363" t="s">
        <v>1966</v>
      </c>
      <c r="R643" s="364"/>
      <c r="S643" s="364"/>
      <c r="T643" s="13" t="str">
        <f t="shared" si="94"/>
        <v>23調査結果-建築物の内部-4（14）-改善（予定）年月-年（令和）</v>
      </c>
      <c r="V643" s="202"/>
      <c r="W643" s="202"/>
      <c r="X643" s="202"/>
    </row>
    <row r="644" spans="2:24" ht="19">
      <c r="B644" s="107">
        <f>'1_入力シート【基本情報】'!$BV$383</f>
        <v>0</v>
      </c>
      <c r="C644" s="493" t="str">
        <f t="shared" si="103"/>
        <v>0</v>
      </c>
      <c r="D644" s="107">
        <f>'1_入力シート【基本情報】'!$BV$383</f>
        <v>0</v>
      </c>
      <c r="E644" s="7" t="str">
        <f t="shared" si="103"/>
        <v>0</v>
      </c>
      <c r="F644" s="7" t="str">
        <f t="shared" si="92"/>
        <v>0</v>
      </c>
      <c r="G644" s="24"/>
      <c r="H644" s="565">
        <v>23</v>
      </c>
      <c r="I644" s="334" t="s">
        <v>33</v>
      </c>
      <c r="J644" s="357" t="s">
        <v>1407</v>
      </c>
      <c r="K644" s="322" t="s">
        <v>2066</v>
      </c>
      <c r="L644" s="358" t="s">
        <v>1407</v>
      </c>
      <c r="M644" s="335" t="s">
        <v>2080</v>
      </c>
      <c r="N644" s="358" t="s">
        <v>1407</v>
      </c>
      <c r="O644" s="334" t="s">
        <v>387</v>
      </c>
      <c r="P644" s="332" t="s">
        <v>1879</v>
      </c>
      <c r="Q644" s="363" t="s">
        <v>383</v>
      </c>
      <c r="R644" s="364"/>
      <c r="S644" s="364"/>
      <c r="T644" s="13" t="str">
        <f t="shared" si="94"/>
        <v>23調査結果-建築物の内部-4（14）-改善（予定）年月-月</v>
      </c>
      <c r="V644" s="202"/>
      <c r="W644" s="202"/>
      <c r="X644" s="202"/>
    </row>
    <row r="645" spans="2:24">
      <c r="B645" s="107">
        <f>'1_入力シート【基本情報】'!$BY$383</f>
        <v>0</v>
      </c>
      <c r="C645" s="4" t="str">
        <f t="shared" si="98"/>
        <v/>
      </c>
      <c r="D645" s="107">
        <f>'1_入力シート【基本情報】'!$BY$383</f>
        <v>0</v>
      </c>
      <c r="E645" s="564">
        <f>'1_入力シート【基本情報】'!$BY$383</f>
        <v>0</v>
      </c>
      <c r="F645" s="564" t="str">
        <f t="shared" ref="F645:F708" si="104">SUBSTITUTE(E645,CHAR(10),"")</f>
        <v>0</v>
      </c>
      <c r="G645" s="24"/>
      <c r="H645" s="565">
        <v>23</v>
      </c>
      <c r="I645" s="334" t="s">
        <v>33</v>
      </c>
      <c r="J645" s="357" t="s">
        <v>1407</v>
      </c>
      <c r="K645" s="322" t="s">
        <v>2066</v>
      </c>
      <c r="L645" s="358" t="s">
        <v>1407</v>
      </c>
      <c r="M645" s="335" t="s">
        <v>2080</v>
      </c>
      <c r="N645" s="358" t="s">
        <v>1407</v>
      </c>
      <c r="O645" s="334" t="s">
        <v>387</v>
      </c>
      <c r="P645" s="332" t="s">
        <v>1879</v>
      </c>
      <c r="Q645" s="363" t="s">
        <v>675</v>
      </c>
      <c r="R645" s="364"/>
      <c r="S645" s="364"/>
      <c r="T645" s="13" t="str">
        <f t="shared" si="94"/>
        <v>23調査結果-建築物の内部-4（14）-改善（予定）年月-未定</v>
      </c>
      <c r="V645" s="202"/>
      <c r="W645" s="202"/>
      <c r="X645" s="202"/>
    </row>
    <row r="646" spans="2:24">
      <c r="B646" s="107">
        <f>'1_入力シート【基本情報】'!$AF$384</f>
        <v>0</v>
      </c>
      <c r="C646" s="4" t="str">
        <f t="shared" si="98"/>
        <v/>
      </c>
      <c r="D646" s="107" t="str">
        <f>C646</f>
        <v/>
      </c>
      <c r="E646" s="564" t="str">
        <f>D646</f>
        <v/>
      </c>
      <c r="F646" s="564" t="str">
        <f t="shared" si="104"/>
        <v/>
      </c>
      <c r="G646" s="24"/>
      <c r="H646" s="565">
        <v>23</v>
      </c>
      <c r="I646" s="334" t="s">
        <v>33</v>
      </c>
      <c r="J646" s="357" t="s">
        <v>1407</v>
      </c>
      <c r="K646" s="322" t="s">
        <v>2066</v>
      </c>
      <c r="L646" s="358" t="s">
        <v>1407</v>
      </c>
      <c r="M646" s="335" t="s">
        <v>2081</v>
      </c>
      <c r="N646" s="358" t="s">
        <v>1407</v>
      </c>
      <c r="O646" s="334" t="s">
        <v>33</v>
      </c>
      <c r="P646" s="332"/>
      <c r="Q646" s="363"/>
      <c r="R646" s="364"/>
      <c r="S646" s="364"/>
      <c r="T646" s="13" t="str">
        <f t="shared" si="94"/>
        <v>23調査結果-建築物の内部-4（15）-調査結果</v>
      </c>
      <c r="V646" s="202"/>
      <c r="W646" s="202"/>
      <c r="X646" s="202"/>
    </row>
    <row r="647" spans="2:24">
      <c r="B647" s="107">
        <f>'1_入力シート【基本情報】'!$AR$384</f>
        <v>0</v>
      </c>
      <c r="C647" s="4" t="str">
        <f t="shared" si="98"/>
        <v/>
      </c>
      <c r="D647" s="107">
        <f>'1_入力シート【基本情報】'!$AR$384</f>
        <v>0</v>
      </c>
      <c r="E647" s="564">
        <f>'1_入力シート【基本情報】'!$AR$384</f>
        <v>0</v>
      </c>
      <c r="F647" s="564" t="str">
        <f t="shared" si="104"/>
        <v>0</v>
      </c>
      <c r="G647" s="24"/>
      <c r="H647" s="565">
        <v>23</v>
      </c>
      <c r="I647" s="334" t="s">
        <v>33</v>
      </c>
      <c r="J647" s="357" t="s">
        <v>1407</v>
      </c>
      <c r="K647" s="322" t="s">
        <v>2066</v>
      </c>
      <c r="L647" s="358" t="s">
        <v>1407</v>
      </c>
      <c r="M647" s="335" t="s">
        <v>2081</v>
      </c>
      <c r="N647" s="358" t="s">
        <v>1407</v>
      </c>
      <c r="O647" s="326" t="s">
        <v>30</v>
      </c>
      <c r="P647" s="327"/>
      <c r="Q647" s="336"/>
      <c r="R647" s="364"/>
      <c r="S647" s="364"/>
      <c r="T647" s="13" t="str">
        <f t="shared" si="94"/>
        <v>23調査結果-建築物の内部-4（15）-調査者番号</v>
      </c>
      <c r="V647" s="202"/>
      <c r="W647" s="202"/>
      <c r="X647" s="202"/>
    </row>
    <row r="648" spans="2:24">
      <c r="B648" s="107">
        <f>'1_入力シート【基本情報】'!$AT$384</f>
        <v>0</v>
      </c>
      <c r="C648" s="4" t="str">
        <f t="shared" si="98"/>
        <v/>
      </c>
      <c r="D648" s="107">
        <f>'1_入力シート【基本情報】'!$AT$384</f>
        <v>0</v>
      </c>
      <c r="E648" s="564">
        <f>'1_入力シート【基本情報】'!$AT$384</f>
        <v>0</v>
      </c>
      <c r="F648" s="564" t="str">
        <f t="shared" si="104"/>
        <v>0</v>
      </c>
      <c r="G648" s="24"/>
      <c r="H648" s="565">
        <v>23</v>
      </c>
      <c r="I648" s="334" t="s">
        <v>33</v>
      </c>
      <c r="J648" s="357" t="s">
        <v>1407</v>
      </c>
      <c r="K648" s="322" t="s">
        <v>2066</v>
      </c>
      <c r="L648" s="358" t="s">
        <v>1407</v>
      </c>
      <c r="M648" s="335" t="s">
        <v>2081</v>
      </c>
      <c r="N648" s="358" t="s">
        <v>1407</v>
      </c>
      <c r="O648" s="326" t="s">
        <v>2028</v>
      </c>
      <c r="P648" s="332"/>
      <c r="Q648" s="363"/>
      <c r="R648" s="364"/>
      <c r="S648" s="364"/>
      <c r="T648" s="13" t="str">
        <f t="shared" si="94"/>
        <v>23調査結果-建築物の内部-4（15）-指摘の具体的内容等</v>
      </c>
      <c r="V648" s="202"/>
      <c r="W648" s="202"/>
      <c r="X648" s="202"/>
    </row>
    <row r="649" spans="2:24">
      <c r="B649" s="107">
        <f>'1_入力シート【基本情報】'!$BD$384</f>
        <v>0</v>
      </c>
      <c r="C649" s="4" t="str">
        <f t="shared" si="98"/>
        <v/>
      </c>
      <c r="D649" s="107">
        <f>'1_入力シート【基本情報】'!$BD$384</f>
        <v>0</v>
      </c>
      <c r="E649" s="564">
        <f>'1_入力シート【基本情報】'!$BD$384</f>
        <v>0</v>
      </c>
      <c r="F649" s="564" t="str">
        <f t="shared" si="104"/>
        <v>0</v>
      </c>
      <c r="G649" s="24"/>
      <c r="H649" s="565">
        <v>23</v>
      </c>
      <c r="I649" s="334" t="s">
        <v>33</v>
      </c>
      <c r="J649" s="357" t="s">
        <v>1407</v>
      </c>
      <c r="K649" s="322" t="s">
        <v>2066</v>
      </c>
      <c r="L649" s="358" t="s">
        <v>1407</v>
      </c>
      <c r="M649" s="335" t="s">
        <v>2081</v>
      </c>
      <c r="N649" s="358" t="s">
        <v>1407</v>
      </c>
      <c r="O649" s="326" t="s">
        <v>2029</v>
      </c>
      <c r="P649" s="332"/>
      <c r="Q649" s="363"/>
      <c r="R649" s="364"/>
      <c r="S649" s="364"/>
      <c r="T649" s="13" t="str">
        <f t="shared" si="94"/>
        <v>23調査結果-建築物の内部-4（15）-改善策の具体的内容等</v>
      </c>
      <c r="V649" s="202"/>
      <c r="W649" s="202"/>
      <c r="X649" s="202"/>
    </row>
    <row r="650" spans="2:24" ht="19">
      <c r="B650" s="107">
        <f>'1_入力シート【基本情報】'!$BS$384</f>
        <v>0</v>
      </c>
      <c r="C650" s="493" t="str">
        <f t="shared" ref="C650:E651" si="105">ASC($D650)</f>
        <v>0</v>
      </c>
      <c r="D650" s="107">
        <f>'1_入力シート【基本情報】'!$BS$384</f>
        <v>0</v>
      </c>
      <c r="E650" s="7" t="str">
        <f t="shared" si="105"/>
        <v>0</v>
      </c>
      <c r="F650" s="7" t="str">
        <f t="shared" si="104"/>
        <v>0</v>
      </c>
      <c r="G650" s="24"/>
      <c r="H650" s="565">
        <v>23</v>
      </c>
      <c r="I650" s="334" t="s">
        <v>33</v>
      </c>
      <c r="J650" s="357" t="s">
        <v>1407</v>
      </c>
      <c r="K650" s="322" t="s">
        <v>2066</v>
      </c>
      <c r="L650" s="358" t="s">
        <v>1407</v>
      </c>
      <c r="M650" s="335" t="s">
        <v>2081</v>
      </c>
      <c r="N650" s="358" t="s">
        <v>1407</v>
      </c>
      <c r="O650" s="326" t="s">
        <v>387</v>
      </c>
      <c r="P650" s="332" t="s">
        <v>1879</v>
      </c>
      <c r="Q650" s="363" t="s">
        <v>1966</v>
      </c>
      <c r="R650" s="203"/>
      <c r="S650" s="203"/>
      <c r="T650" s="13" t="str">
        <f t="shared" si="94"/>
        <v>23調査結果-建築物の内部-4（15）-改善（予定）年月-年（令和）</v>
      </c>
      <c r="V650" s="202"/>
      <c r="W650" s="202"/>
      <c r="X650" s="202"/>
    </row>
    <row r="651" spans="2:24" ht="19">
      <c r="B651" s="107">
        <f>'1_入力シート【基本情報】'!$BV$384</f>
        <v>0</v>
      </c>
      <c r="C651" s="493" t="str">
        <f t="shared" si="105"/>
        <v>0</v>
      </c>
      <c r="D651" s="107">
        <f>'1_入力シート【基本情報】'!$BV$384</f>
        <v>0</v>
      </c>
      <c r="E651" s="7" t="str">
        <f t="shared" si="105"/>
        <v>0</v>
      </c>
      <c r="F651" s="7" t="str">
        <f t="shared" si="104"/>
        <v>0</v>
      </c>
      <c r="G651" s="24"/>
      <c r="H651" s="565">
        <v>23</v>
      </c>
      <c r="I651" s="334" t="s">
        <v>33</v>
      </c>
      <c r="J651" s="357" t="s">
        <v>1407</v>
      </c>
      <c r="K651" s="322" t="s">
        <v>2066</v>
      </c>
      <c r="L651" s="358" t="s">
        <v>1407</v>
      </c>
      <c r="M651" s="335" t="s">
        <v>2081</v>
      </c>
      <c r="N651" s="358" t="s">
        <v>1407</v>
      </c>
      <c r="O651" s="326" t="s">
        <v>387</v>
      </c>
      <c r="P651" s="332" t="s">
        <v>1879</v>
      </c>
      <c r="Q651" s="363" t="s">
        <v>383</v>
      </c>
      <c r="R651" s="364"/>
      <c r="S651" s="364"/>
      <c r="T651" s="13" t="str">
        <f t="shared" si="94"/>
        <v>23調査結果-建築物の内部-4（15）-改善（予定）年月-月</v>
      </c>
      <c r="V651" s="202"/>
      <c r="W651" s="202"/>
      <c r="X651" s="202"/>
    </row>
    <row r="652" spans="2:24">
      <c r="B652" s="107">
        <f>'1_入力シート【基本情報】'!$BY$384</f>
        <v>0</v>
      </c>
      <c r="C652" s="4" t="str">
        <f t="shared" si="98"/>
        <v/>
      </c>
      <c r="D652" s="107">
        <f>'1_入力シート【基本情報】'!$BY$384</f>
        <v>0</v>
      </c>
      <c r="E652" s="564">
        <f>'1_入力シート【基本情報】'!$BY$384</f>
        <v>0</v>
      </c>
      <c r="F652" s="564" t="str">
        <f t="shared" si="104"/>
        <v>0</v>
      </c>
      <c r="G652" s="24"/>
      <c r="H652" s="565">
        <v>23</v>
      </c>
      <c r="I652" s="334" t="s">
        <v>33</v>
      </c>
      <c r="J652" s="357" t="s">
        <v>1407</v>
      </c>
      <c r="K652" s="322" t="s">
        <v>2066</v>
      </c>
      <c r="L652" s="358" t="s">
        <v>1407</v>
      </c>
      <c r="M652" s="335" t="s">
        <v>2081</v>
      </c>
      <c r="N652" s="358" t="s">
        <v>1407</v>
      </c>
      <c r="O652" s="334" t="s">
        <v>387</v>
      </c>
      <c r="P652" s="332" t="s">
        <v>1879</v>
      </c>
      <c r="Q652" s="363" t="s">
        <v>675</v>
      </c>
      <c r="R652" s="364"/>
      <c r="S652" s="364"/>
      <c r="T652" s="13" t="str">
        <f t="shared" ref="T652:T715" si="106">CONCATENATE(H652,I652,J652,K652,L652,M652,N652,O652,P652,Q652)</f>
        <v>23調査結果-建築物の内部-4（15）-改善（予定）年月-未定</v>
      </c>
      <c r="V652" s="202"/>
      <c r="W652" s="202"/>
      <c r="X652" s="202"/>
    </row>
    <row r="653" spans="2:24">
      <c r="B653" s="107">
        <f>'1_入力シート【基本情報】'!$AF$385</f>
        <v>0</v>
      </c>
      <c r="C653" s="4" t="str">
        <f t="shared" si="98"/>
        <v/>
      </c>
      <c r="D653" s="107" t="str">
        <f>C653</f>
        <v/>
      </c>
      <c r="E653" s="564" t="str">
        <f>D653</f>
        <v/>
      </c>
      <c r="F653" s="564" t="str">
        <f t="shared" si="104"/>
        <v/>
      </c>
      <c r="G653" s="24"/>
      <c r="H653" s="565">
        <v>23</v>
      </c>
      <c r="I653" s="334" t="s">
        <v>33</v>
      </c>
      <c r="J653" s="357" t="s">
        <v>1407</v>
      </c>
      <c r="K653" s="322" t="s">
        <v>2066</v>
      </c>
      <c r="L653" s="358" t="s">
        <v>1407</v>
      </c>
      <c r="M653" s="335" t="s">
        <v>2082</v>
      </c>
      <c r="N653" s="358" t="s">
        <v>1407</v>
      </c>
      <c r="O653" s="334" t="s">
        <v>33</v>
      </c>
      <c r="P653" s="332"/>
      <c r="Q653" s="363"/>
      <c r="R653" s="364"/>
      <c r="S653" s="364"/>
      <c r="T653" s="13" t="str">
        <f t="shared" si="106"/>
        <v>23調査結果-建築物の内部-4（16）-調査結果</v>
      </c>
      <c r="V653" s="202"/>
      <c r="W653" s="202"/>
      <c r="X653" s="202"/>
    </row>
    <row r="654" spans="2:24">
      <c r="B654" s="107">
        <f>'1_入力シート【基本情報】'!$AR$385</f>
        <v>0</v>
      </c>
      <c r="C654" s="4" t="str">
        <f t="shared" si="98"/>
        <v/>
      </c>
      <c r="D654" s="107">
        <f>'1_入力シート【基本情報】'!$AR$385</f>
        <v>0</v>
      </c>
      <c r="E654" s="564">
        <f>'1_入力シート【基本情報】'!$AR$385</f>
        <v>0</v>
      </c>
      <c r="F654" s="564" t="str">
        <f t="shared" si="104"/>
        <v>0</v>
      </c>
      <c r="G654" s="24"/>
      <c r="H654" s="565">
        <v>23</v>
      </c>
      <c r="I654" s="334" t="s">
        <v>33</v>
      </c>
      <c r="J654" s="357" t="s">
        <v>1407</v>
      </c>
      <c r="K654" s="322" t="s">
        <v>2066</v>
      </c>
      <c r="L654" s="358" t="s">
        <v>1407</v>
      </c>
      <c r="M654" s="335" t="s">
        <v>2082</v>
      </c>
      <c r="N654" s="358" t="s">
        <v>1407</v>
      </c>
      <c r="O654" s="334" t="s">
        <v>30</v>
      </c>
      <c r="P654" s="332"/>
      <c r="Q654" s="363"/>
      <c r="R654" s="364"/>
      <c r="S654" s="364"/>
      <c r="T654" s="13" t="str">
        <f t="shared" si="106"/>
        <v>23調査結果-建築物の内部-4（16）-調査者番号</v>
      </c>
      <c r="V654" s="202"/>
      <c r="W654" s="202"/>
      <c r="X654" s="202"/>
    </row>
    <row r="655" spans="2:24">
      <c r="B655" s="107">
        <f>'1_入力シート【基本情報】'!$AT$385</f>
        <v>0</v>
      </c>
      <c r="C655" s="4" t="str">
        <f t="shared" si="98"/>
        <v/>
      </c>
      <c r="D655" s="107">
        <f>'1_入力シート【基本情報】'!$AT$385</f>
        <v>0</v>
      </c>
      <c r="E655" s="564">
        <f>'1_入力シート【基本情報】'!$AT$385</f>
        <v>0</v>
      </c>
      <c r="F655" s="564" t="str">
        <f t="shared" si="104"/>
        <v>0</v>
      </c>
      <c r="G655" s="24"/>
      <c r="H655" s="565">
        <v>23</v>
      </c>
      <c r="I655" s="334" t="s">
        <v>33</v>
      </c>
      <c r="J655" s="357" t="s">
        <v>1407</v>
      </c>
      <c r="K655" s="322" t="s">
        <v>2066</v>
      </c>
      <c r="L655" s="358" t="s">
        <v>1407</v>
      </c>
      <c r="M655" s="335" t="s">
        <v>2082</v>
      </c>
      <c r="N655" s="358" t="s">
        <v>1407</v>
      </c>
      <c r="O655" s="326" t="s">
        <v>2028</v>
      </c>
      <c r="P655" s="327"/>
      <c r="Q655" s="336"/>
      <c r="R655" s="364"/>
      <c r="S655" s="364"/>
      <c r="T655" s="13" t="str">
        <f t="shared" si="106"/>
        <v>23調査結果-建築物の内部-4（16）-指摘の具体的内容等</v>
      </c>
      <c r="V655" s="202"/>
      <c r="W655" s="202"/>
      <c r="X655" s="202"/>
    </row>
    <row r="656" spans="2:24">
      <c r="B656" s="107">
        <f>'1_入力シート【基本情報】'!$BD$385</f>
        <v>0</v>
      </c>
      <c r="C656" s="4" t="str">
        <f t="shared" si="98"/>
        <v/>
      </c>
      <c r="D656" s="107">
        <f>'1_入力シート【基本情報】'!$BD$385</f>
        <v>0</v>
      </c>
      <c r="E656" s="564">
        <f>'1_入力シート【基本情報】'!$BD$385</f>
        <v>0</v>
      </c>
      <c r="F656" s="564" t="str">
        <f t="shared" si="104"/>
        <v>0</v>
      </c>
      <c r="G656" s="24"/>
      <c r="H656" s="565">
        <v>23</v>
      </c>
      <c r="I656" s="334" t="s">
        <v>33</v>
      </c>
      <c r="J656" s="357" t="s">
        <v>1407</v>
      </c>
      <c r="K656" s="322" t="s">
        <v>2066</v>
      </c>
      <c r="L656" s="358" t="s">
        <v>1407</v>
      </c>
      <c r="M656" s="335" t="s">
        <v>2082</v>
      </c>
      <c r="N656" s="358" t="s">
        <v>1407</v>
      </c>
      <c r="O656" s="326" t="s">
        <v>2029</v>
      </c>
      <c r="P656" s="332"/>
      <c r="Q656" s="363"/>
      <c r="R656" s="364"/>
      <c r="S656" s="364"/>
      <c r="T656" s="13" t="str">
        <f t="shared" si="106"/>
        <v>23調査結果-建築物の内部-4（16）-改善策の具体的内容等</v>
      </c>
      <c r="V656" s="202"/>
      <c r="W656" s="202"/>
      <c r="X656" s="202"/>
    </row>
    <row r="657" spans="2:24" ht="19">
      <c r="B657" s="107">
        <f>'1_入力シート【基本情報】'!$BS$385</f>
        <v>0</v>
      </c>
      <c r="C657" s="493" t="str">
        <f t="shared" ref="C657:E658" si="107">ASC($D657)</f>
        <v>0</v>
      </c>
      <c r="D657" s="107">
        <f>'1_入力シート【基本情報】'!$BS$385</f>
        <v>0</v>
      </c>
      <c r="E657" s="7" t="str">
        <f t="shared" si="107"/>
        <v>0</v>
      </c>
      <c r="F657" s="7" t="str">
        <f t="shared" si="104"/>
        <v>0</v>
      </c>
      <c r="G657" s="24"/>
      <c r="H657" s="565">
        <v>23</v>
      </c>
      <c r="I657" s="334" t="s">
        <v>33</v>
      </c>
      <c r="J657" s="357" t="s">
        <v>1407</v>
      </c>
      <c r="K657" s="322" t="s">
        <v>2066</v>
      </c>
      <c r="L657" s="358" t="s">
        <v>1407</v>
      </c>
      <c r="M657" s="335" t="s">
        <v>2082</v>
      </c>
      <c r="N657" s="358" t="s">
        <v>1407</v>
      </c>
      <c r="O657" s="326" t="s">
        <v>387</v>
      </c>
      <c r="P657" s="332" t="s">
        <v>1879</v>
      </c>
      <c r="Q657" s="363" t="s">
        <v>1966</v>
      </c>
      <c r="R657" s="364"/>
      <c r="S657" s="364"/>
      <c r="T657" s="13" t="str">
        <f t="shared" si="106"/>
        <v>23調査結果-建築物の内部-4（16）-改善（予定）年月-年（令和）</v>
      </c>
      <c r="V657" s="202"/>
      <c r="W657" s="202"/>
      <c r="X657" s="202"/>
    </row>
    <row r="658" spans="2:24" ht="19">
      <c r="B658" s="107">
        <f>'1_入力シート【基本情報】'!$BV$385</f>
        <v>0</v>
      </c>
      <c r="C658" s="493" t="str">
        <f t="shared" si="107"/>
        <v>0</v>
      </c>
      <c r="D658" s="107">
        <f>'1_入力シート【基本情報】'!$BV$385</f>
        <v>0</v>
      </c>
      <c r="E658" s="7" t="str">
        <f t="shared" si="107"/>
        <v>0</v>
      </c>
      <c r="F658" s="7" t="str">
        <f t="shared" si="104"/>
        <v>0</v>
      </c>
      <c r="G658" s="24"/>
      <c r="H658" s="565">
        <v>23</v>
      </c>
      <c r="I658" s="334" t="s">
        <v>33</v>
      </c>
      <c r="J658" s="357" t="s">
        <v>1407</v>
      </c>
      <c r="K658" s="322" t="s">
        <v>2066</v>
      </c>
      <c r="L658" s="358" t="s">
        <v>1407</v>
      </c>
      <c r="M658" s="335" t="s">
        <v>2082</v>
      </c>
      <c r="N658" s="358" t="s">
        <v>1407</v>
      </c>
      <c r="O658" s="326" t="s">
        <v>387</v>
      </c>
      <c r="P658" s="332" t="s">
        <v>1879</v>
      </c>
      <c r="Q658" s="363" t="s">
        <v>383</v>
      </c>
      <c r="R658" s="203"/>
      <c r="S658" s="203"/>
      <c r="T658" s="13" t="str">
        <f t="shared" si="106"/>
        <v>23調査結果-建築物の内部-4（16）-改善（予定）年月-月</v>
      </c>
      <c r="V658" s="202"/>
      <c r="W658" s="202"/>
      <c r="X658" s="202"/>
    </row>
    <row r="659" spans="2:24">
      <c r="B659" s="107">
        <f>'1_入力シート【基本情報】'!$BY$385</f>
        <v>0</v>
      </c>
      <c r="C659" s="4" t="str">
        <f t="shared" si="98"/>
        <v/>
      </c>
      <c r="D659" s="107">
        <f>'1_入力シート【基本情報】'!$BY$385</f>
        <v>0</v>
      </c>
      <c r="E659" s="564">
        <f>'1_入力シート【基本情報】'!$BY$385</f>
        <v>0</v>
      </c>
      <c r="F659" s="564" t="str">
        <f t="shared" si="104"/>
        <v>0</v>
      </c>
      <c r="G659" s="24"/>
      <c r="H659" s="565">
        <v>23</v>
      </c>
      <c r="I659" s="334" t="s">
        <v>33</v>
      </c>
      <c r="J659" s="357" t="s">
        <v>1407</v>
      </c>
      <c r="K659" s="322" t="s">
        <v>2066</v>
      </c>
      <c r="L659" s="358" t="s">
        <v>1407</v>
      </c>
      <c r="M659" s="335" t="s">
        <v>2082</v>
      </c>
      <c r="N659" s="358" t="s">
        <v>1407</v>
      </c>
      <c r="O659" s="326" t="s">
        <v>387</v>
      </c>
      <c r="P659" s="332" t="s">
        <v>1879</v>
      </c>
      <c r="Q659" s="363" t="s">
        <v>675</v>
      </c>
      <c r="R659" s="364"/>
      <c r="S659" s="364"/>
      <c r="T659" s="13" t="str">
        <f t="shared" si="106"/>
        <v>23調査結果-建築物の内部-4（16）-改善（予定）年月-未定</v>
      </c>
      <c r="V659" s="202"/>
      <c r="W659" s="202"/>
      <c r="X659" s="202"/>
    </row>
    <row r="660" spans="2:24">
      <c r="B660" s="107">
        <f>'1_入力シート【基本情報】'!$AF$386</f>
        <v>0</v>
      </c>
      <c r="C660" s="4" t="str">
        <f t="shared" si="98"/>
        <v/>
      </c>
      <c r="D660" s="107" t="str">
        <f>C660</f>
        <v/>
      </c>
      <c r="E660" s="564" t="str">
        <f>D660</f>
        <v/>
      </c>
      <c r="F660" s="564" t="str">
        <f t="shared" si="104"/>
        <v/>
      </c>
      <c r="G660" s="24"/>
      <c r="H660" s="565">
        <v>23</v>
      </c>
      <c r="I660" s="334" t="s">
        <v>33</v>
      </c>
      <c r="J660" s="357" t="s">
        <v>1407</v>
      </c>
      <c r="K660" s="322" t="s">
        <v>2066</v>
      </c>
      <c r="L660" s="358" t="s">
        <v>1407</v>
      </c>
      <c r="M660" s="335" t="s">
        <v>2083</v>
      </c>
      <c r="N660" s="358" t="s">
        <v>1407</v>
      </c>
      <c r="O660" s="334" t="s">
        <v>33</v>
      </c>
      <c r="P660" s="332"/>
      <c r="Q660" s="363"/>
      <c r="R660" s="364"/>
      <c r="S660" s="364"/>
      <c r="T660" s="13" t="str">
        <f t="shared" si="106"/>
        <v>23調査結果-建築物の内部-4（17）-調査結果</v>
      </c>
      <c r="V660" s="202"/>
      <c r="W660" s="202"/>
      <c r="X660" s="202"/>
    </row>
    <row r="661" spans="2:24">
      <c r="B661" s="107">
        <f>'1_入力シート【基本情報】'!$AR$386</f>
        <v>0</v>
      </c>
      <c r="C661" s="4" t="str">
        <f t="shared" si="98"/>
        <v/>
      </c>
      <c r="D661" s="107">
        <f>'1_入力シート【基本情報】'!$AR$386</f>
        <v>0</v>
      </c>
      <c r="E661" s="564">
        <f>'1_入力シート【基本情報】'!$AR$386</f>
        <v>0</v>
      </c>
      <c r="F661" s="564" t="str">
        <f t="shared" si="104"/>
        <v>0</v>
      </c>
      <c r="G661" s="24"/>
      <c r="H661" s="565">
        <v>23</v>
      </c>
      <c r="I661" s="334" t="s">
        <v>33</v>
      </c>
      <c r="J661" s="357" t="s">
        <v>1407</v>
      </c>
      <c r="K661" s="322" t="s">
        <v>2066</v>
      </c>
      <c r="L661" s="358" t="s">
        <v>1407</v>
      </c>
      <c r="M661" s="335" t="s">
        <v>2083</v>
      </c>
      <c r="N661" s="358" t="s">
        <v>1407</v>
      </c>
      <c r="O661" s="334" t="s">
        <v>30</v>
      </c>
      <c r="P661" s="332"/>
      <c r="Q661" s="363"/>
      <c r="R661" s="364"/>
      <c r="S661" s="364"/>
      <c r="T661" s="13" t="str">
        <f t="shared" si="106"/>
        <v>23調査結果-建築物の内部-4（17）-調査者番号</v>
      </c>
      <c r="V661" s="202"/>
      <c r="W661" s="202"/>
      <c r="X661" s="202"/>
    </row>
    <row r="662" spans="2:24">
      <c r="B662" s="107">
        <f>'1_入力シート【基本情報】'!$AT$386</f>
        <v>0</v>
      </c>
      <c r="C662" s="4" t="str">
        <f t="shared" si="98"/>
        <v/>
      </c>
      <c r="D662" s="107">
        <f>'1_入力シート【基本情報】'!$AT$386</f>
        <v>0</v>
      </c>
      <c r="E662" s="564">
        <f>'1_入力シート【基本情報】'!$AT$386</f>
        <v>0</v>
      </c>
      <c r="F662" s="564" t="str">
        <f t="shared" si="104"/>
        <v>0</v>
      </c>
      <c r="G662" s="24"/>
      <c r="H662" s="565">
        <v>23</v>
      </c>
      <c r="I662" s="334" t="s">
        <v>33</v>
      </c>
      <c r="J662" s="357" t="s">
        <v>1407</v>
      </c>
      <c r="K662" s="322" t="s">
        <v>2066</v>
      </c>
      <c r="L662" s="358" t="s">
        <v>1407</v>
      </c>
      <c r="M662" s="335" t="s">
        <v>2083</v>
      </c>
      <c r="N662" s="358" t="s">
        <v>1407</v>
      </c>
      <c r="O662" s="334" t="s">
        <v>2028</v>
      </c>
      <c r="P662" s="332"/>
      <c r="Q662" s="363"/>
      <c r="R662" s="364"/>
      <c r="S662" s="364"/>
      <c r="T662" s="13" t="str">
        <f t="shared" si="106"/>
        <v>23調査結果-建築物の内部-4（17）-指摘の具体的内容等</v>
      </c>
      <c r="V662" s="202"/>
      <c r="W662" s="202"/>
      <c r="X662" s="202"/>
    </row>
    <row r="663" spans="2:24">
      <c r="B663" s="107">
        <f>'1_入力シート【基本情報】'!$BD$386</f>
        <v>0</v>
      </c>
      <c r="C663" s="4" t="str">
        <f t="shared" si="98"/>
        <v/>
      </c>
      <c r="D663" s="107">
        <f>'1_入力シート【基本情報】'!$BD$386</f>
        <v>0</v>
      </c>
      <c r="E663" s="564">
        <f>'1_入力シート【基本情報】'!$BD$386</f>
        <v>0</v>
      </c>
      <c r="F663" s="564" t="str">
        <f t="shared" si="104"/>
        <v>0</v>
      </c>
      <c r="G663" s="24"/>
      <c r="H663" s="565">
        <v>23</v>
      </c>
      <c r="I663" s="334" t="s">
        <v>33</v>
      </c>
      <c r="J663" s="357" t="s">
        <v>1407</v>
      </c>
      <c r="K663" s="322" t="s">
        <v>2066</v>
      </c>
      <c r="L663" s="358" t="s">
        <v>1407</v>
      </c>
      <c r="M663" s="335" t="s">
        <v>2083</v>
      </c>
      <c r="N663" s="358" t="s">
        <v>1407</v>
      </c>
      <c r="O663" s="326" t="s">
        <v>2029</v>
      </c>
      <c r="P663" s="327"/>
      <c r="Q663" s="336"/>
      <c r="R663" s="364"/>
      <c r="S663" s="364"/>
      <c r="T663" s="13" t="str">
        <f t="shared" si="106"/>
        <v>23調査結果-建築物の内部-4（17）-改善策の具体的内容等</v>
      </c>
      <c r="V663" s="202"/>
      <c r="W663" s="202"/>
      <c r="X663" s="202"/>
    </row>
    <row r="664" spans="2:24" ht="19">
      <c r="B664" s="107">
        <f>'1_入力シート【基本情報】'!$BS$386</f>
        <v>0</v>
      </c>
      <c r="C664" s="493" t="str">
        <f t="shared" ref="C664:E665" si="108">ASC($D664)</f>
        <v>0</v>
      </c>
      <c r="D664" s="107">
        <f>'1_入力シート【基本情報】'!$BS$386</f>
        <v>0</v>
      </c>
      <c r="E664" s="7" t="str">
        <f t="shared" si="108"/>
        <v>0</v>
      </c>
      <c r="F664" s="7" t="str">
        <f t="shared" si="104"/>
        <v>0</v>
      </c>
      <c r="G664" s="24"/>
      <c r="H664" s="565">
        <v>23</v>
      </c>
      <c r="I664" s="334" t="s">
        <v>33</v>
      </c>
      <c r="J664" s="357" t="s">
        <v>1407</v>
      </c>
      <c r="K664" s="322" t="s">
        <v>2066</v>
      </c>
      <c r="L664" s="358" t="s">
        <v>1407</v>
      </c>
      <c r="M664" s="335" t="s">
        <v>2083</v>
      </c>
      <c r="N664" s="358" t="s">
        <v>1407</v>
      </c>
      <c r="O664" s="326" t="s">
        <v>387</v>
      </c>
      <c r="P664" s="332" t="s">
        <v>1879</v>
      </c>
      <c r="Q664" s="363" t="s">
        <v>1966</v>
      </c>
      <c r="R664" s="364"/>
      <c r="S664" s="364"/>
      <c r="T664" s="13" t="str">
        <f t="shared" si="106"/>
        <v>23調査結果-建築物の内部-4（17）-改善（予定）年月-年（令和）</v>
      </c>
      <c r="V664" s="202"/>
      <c r="W664" s="202"/>
      <c r="X664" s="202"/>
    </row>
    <row r="665" spans="2:24" ht="19">
      <c r="B665" s="107">
        <f>'1_入力シート【基本情報】'!$BV$386</f>
        <v>0</v>
      </c>
      <c r="C665" s="493" t="str">
        <f t="shared" si="108"/>
        <v>0</v>
      </c>
      <c r="D665" s="107">
        <f>'1_入力シート【基本情報】'!$BV$386</f>
        <v>0</v>
      </c>
      <c r="E665" s="7" t="str">
        <f t="shared" si="108"/>
        <v>0</v>
      </c>
      <c r="F665" s="7" t="str">
        <f t="shared" si="104"/>
        <v>0</v>
      </c>
      <c r="G665" s="24"/>
      <c r="H665" s="565">
        <v>23</v>
      </c>
      <c r="I665" s="334" t="s">
        <v>33</v>
      </c>
      <c r="J665" s="357" t="s">
        <v>1407</v>
      </c>
      <c r="K665" s="322" t="s">
        <v>2066</v>
      </c>
      <c r="L665" s="358" t="s">
        <v>1407</v>
      </c>
      <c r="M665" s="335" t="s">
        <v>2083</v>
      </c>
      <c r="N665" s="358" t="s">
        <v>1407</v>
      </c>
      <c r="O665" s="326" t="s">
        <v>387</v>
      </c>
      <c r="P665" s="332" t="s">
        <v>1879</v>
      </c>
      <c r="Q665" s="363" t="s">
        <v>383</v>
      </c>
      <c r="R665" s="364"/>
      <c r="S665" s="364"/>
      <c r="T665" s="13" t="str">
        <f t="shared" si="106"/>
        <v>23調査結果-建築物の内部-4（17）-改善（予定）年月-月</v>
      </c>
      <c r="V665" s="202"/>
      <c r="W665" s="202"/>
      <c r="X665" s="202"/>
    </row>
    <row r="666" spans="2:24">
      <c r="B666" s="107">
        <f>'1_入力シート【基本情報】'!$BY$386</f>
        <v>0</v>
      </c>
      <c r="C666" s="4" t="str">
        <f t="shared" si="98"/>
        <v/>
      </c>
      <c r="D666" s="107">
        <f>'1_入力シート【基本情報】'!$BY$386</f>
        <v>0</v>
      </c>
      <c r="E666" s="564">
        <f>'1_入力シート【基本情報】'!$BY$386</f>
        <v>0</v>
      </c>
      <c r="F666" s="564" t="str">
        <f t="shared" si="104"/>
        <v>0</v>
      </c>
      <c r="G666" s="24"/>
      <c r="H666" s="565">
        <v>23</v>
      </c>
      <c r="I666" s="334" t="s">
        <v>33</v>
      </c>
      <c r="J666" s="357" t="s">
        <v>1407</v>
      </c>
      <c r="K666" s="322" t="s">
        <v>2066</v>
      </c>
      <c r="L666" s="358" t="s">
        <v>1407</v>
      </c>
      <c r="M666" s="335" t="s">
        <v>2083</v>
      </c>
      <c r="N666" s="358" t="s">
        <v>1407</v>
      </c>
      <c r="O666" s="326" t="s">
        <v>387</v>
      </c>
      <c r="P666" s="332" t="s">
        <v>1879</v>
      </c>
      <c r="Q666" s="363" t="s">
        <v>675</v>
      </c>
      <c r="R666" s="203"/>
      <c r="S666" s="203"/>
      <c r="T666" s="13" t="str">
        <f t="shared" si="106"/>
        <v>23調査結果-建築物の内部-4（17）-改善（予定）年月-未定</v>
      </c>
      <c r="V666" s="202"/>
      <c r="W666" s="202"/>
      <c r="X666" s="202"/>
    </row>
    <row r="667" spans="2:24">
      <c r="B667" s="107">
        <f>'1_入力シート【基本情報】'!$AF$387</f>
        <v>0</v>
      </c>
      <c r="C667" s="4" t="str">
        <f t="shared" si="98"/>
        <v/>
      </c>
      <c r="D667" s="107" t="str">
        <f>C667</f>
        <v/>
      </c>
      <c r="E667" s="564" t="str">
        <f>D667</f>
        <v/>
      </c>
      <c r="F667" s="564" t="str">
        <f t="shared" si="104"/>
        <v/>
      </c>
      <c r="G667" s="24"/>
      <c r="H667" s="565">
        <v>23</v>
      </c>
      <c r="I667" s="334" t="s">
        <v>33</v>
      </c>
      <c r="J667" s="357" t="s">
        <v>1407</v>
      </c>
      <c r="K667" s="322" t="s">
        <v>2066</v>
      </c>
      <c r="L667" s="358" t="s">
        <v>1407</v>
      </c>
      <c r="M667" s="335" t="s">
        <v>2084</v>
      </c>
      <c r="N667" s="358" t="s">
        <v>1407</v>
      </c>
      <c r="O667" s="326" t="s">
        <v>33</v>
      </c>
      <c r="P667" s="332"/>
      <c r="Q667" s="363"/>
      <c r="R667" s="364"/>
      <c r="S667" s="364"/>
      <c r="T667" s="13" t="str">
        <f t="shared" si="106"/>
        <v>23調査結果-建築物の内部-4（18）-調査結果</v>
      </c>
      <c r="V667" s="202"/>
      <c r="W667" s="202"/>
      <c r="X667" s="202"/>
    </row>
    <row r="668" spans="2:24">
      <c r="B668" s="107">
        <f>'1_入力シート【基本情報】'!$AR$387</f>
        <v>0</v>
      </c>
      <c r="C668" s="4" t="str">
        <f t="shared" si="98"/>
        <v/>
      </c>
      <c r="D668" s="107">
        <f>'1_入力シート【基本情報】'!$AR$387</f>
        <v>0</v>
      </c>
      <c r="E668" s="564">
        <f>'1_入力シート【基本情報】'!$AR$387</f>
        <v>0</v>
      </c>
      <c r="F668" s="564" t="str">
        <f t="shared" si="104"/>
        <v>0</v>
      </c>
      <c r="G668" s="24"/>
      <c r="H668" s="565">
        <v>23</v>
      </c>
      <c r="I668" s="334" t="s">
        <v>33</v>
      </c>
      <c r="J668" s="357" t="s">
        <v>1407</v>
      </c>
      <c r="K668" s="322" t="s">
        <v>2066</v>
      </c>
      <c r="L668" s="358" t="s">
        <v>1407</v>
      </c>
      <c r="M668" s="335" t="s">
        <v>2084</v>
      </c>
      <c r="N668" s="358" t="s">
        <v>1407</v>
      </c>
      <c r="O668" s="334" t="s">
        <v>30</v>
      </c>
      <c r="P668" s="332"/>
      <c r="Q668" s="363"/>
      <c r="R668" s="364"/>
      <c r="S668" s="364"/>
      <c r="T668" s="13" t="str">
        <f t="shared" si="106"/>
        <v>23調査結果-建築物の内部-4（18）-調査者番号</v>
      </c>
      <c r="V668" s="202"/>
      <c r="W668" s="202"/>
      <c r="X668" s="202"/>
    </row>
    <row r="669" spans="2:24">
      <c r="B669" s="107">
        <f>'1_入力シート【基本情報】'!$AT$387</f>
        <v>0</v>
      </c>
      <c r="C669" s="4" t="str">
        <f t="shared" si="98"/>
        <v/>
      </c>
      <c r="D669" s="107">
        <f>'1_入力シート【基本情報】'!$AT$387</f>
        <v>0</v>
      </c>
      <c r="E669" s="564">
        <f>'1_入力シート【基本情報】'!$AT$387</f>
        <v>0</v>
      </c>
      <c r="F669" s="564" t="str">
        <f t="shared" si="104"/>
        <v>0</v>
      </c>
      <c r="G669" s="24"/>
      <c r="H669" s="565">
        <v>23</v>
      </c>
      <c r="I669" s="334" t="s">
        <v>33</v>
      </c>
      <c r="J669" s="357" t="s">
        <v>1407</v>
      </c>
      <c r="K669" s="322" t="s">
        <v>2066</v>
      </c>
      <c r="L669" s="358" t="s">
        <v>1407</v>
      </c>
      <c r="M669" s="335" t="s">
        <v>2084</v>
      </c>
      <c r="N669" s="358" t="s">
        <v>1407</v>
      </c>
      <c r="O669" s="334" t="s">
        <v>2028</v>
      </c>
      <c r="P669" s="332"/>
      <c r="Q669" s="363"/>
      <c r="R669" s="364"/>
      <c r="S669" s="364"/>
      <c r="T669" s="13" t="str">
        <f t="shared" si="106"/>
        <v>23調査結果-建築物の内部-4（18）-指摘の具体的内容等</v>
      </c>
      <c r="V669" s="202"/>
      <c r="W669" s="202"/>
      <c r="X669" s="202"/>
    </row>
    <row r="670" spans="2:24">
      <c r="B670" s="107">
        <f>'1_入力シート【基本情報】'!$BD$387</f>
        <v>0</v>
      </c>
      <c r="C670" s="4" t="str">
        <f t="shared" si="98"/>
        <v/>
      </c>
      <c r="D670" s="107">
        <f>'1_入力シート【基本情報】'!$BD$387</f>
        <v>0</v>
      </c>
      <c r="E670" s="564">
        <f>'1_入力シート【基本情報】'!$BD$387</f>
        <v>0</v>
      </c>
      <c r="F670" s="564" t="str">
        <f t="shared" si="104"/>
        <v>0</v>
      </c>
      <c r="G670" s="24"/>
      <c r="H670" s="565">
        <v>23</v>
      </c>
      <c r="I670" s="334" t="s">
        <v>33</v>
      </c>
      <c r="J670" s="357" t="s">
        <v>1407</v>
      </c>
      <c r="K670" s="322" t="s">
        <v>2066</v>
      </c>
      <c r="L670" s="358" t="s">
        <v>1407</v>
      </c>
      <c r="M670" s="335" t="s">
        <v>2084</v>
      </c>
      <c r="N670" s="358" t="s">
        <v>1407</v>
      </c>
      <c r="O670" s="334" t="s">
        <v>2029</v>
      </c>
      <c r="P670" s="332"/>
      <c r="Q670" s="363"/>
      <c r="R670" s="364"/>
      <c r="S670" s="364"/>
      <c r="T670" s="13" t="str">
        <f t="shared" si="106"/>
        <v>23調査結果-建築物の内部-4（18）-改善策の具体的内容等</v>
      </c>
      <c r="V670" s="202"/>
      <c r="W670" s="202"/>
      <c r="X670" s="202"/>
    </row>
    <row r="671" spans="2:24" ht="19">
      <c r="B671" s="107">
        <f>'1_入力シート【基本情報】'!$BS$387</f>
        <v>0</v>
      </c>
      <c r="C671" s="493" t="str">
        <f t="shared" ref="C671:E672" si="109">ASC($D671)</f>
        <v>0</v>
      </c>
      <c r="D671" s="107">
        <f>'1_入力シート【基本情報】'!$BS$387</f>
        <v>0</v>
      </c>
      <c r="E671" s="7" t="str">
        <f t="shared" si="109"/>
        <v>0</v>
      </c>
      <c r="F671" s="7" t="str">
        <f t="shared" si="104"/>
        <v>0</v>
      </c>
      <c r="G671" s="24"/>
      <c r="H671" s="565">
        <v>23</v>
      </c>
      <c r="I671" s="334" t="s">
        <v>33</v>
      </c>
      <c r="J671" s="357" t="s">
        <v>1407</v>
      </c>
      <c r="K671" s="322" t="s">
        <v>2066</v>
      </c>
      <c r="L671" s="358" t="s">
        <v>1407</v>
      </c>
      <c r="M671" s="335" t="s">
        <v>2084</v>
      </c>
      <c r="N671" s="358" t="s">
        <v>1407</v>
      </c>
      <c r="O671" s="326" t="s">
        <v>387</v>
      </c>
      <c r="P671" s="327" t="s">
        <v>1879</v>
      </c>
      <c r="Q671" s="336" t="s">
        <v>1966</v>
      </c>
      <c r="R671" s="364"/>
      <c r="S671" s="364"/>
      <c r="T671" s="13" t="str">
        <f t="shared" si="106"/>
        <v>23調査結果-建築物の内部-4（18）-改善（予定）年月-年（令和）</v>
      </c>
      <c r="V671" s="202"/>
      <c r="W671" s="202"/>
      <c r="X671" s="202"/>
    </row>
    <row r="672" spans="2:24" ht="19">
      <c r="B672" s="107">
        <f>'1_入力シート【基本情報】'!$BV$387</f>
        <v>0</v>
      </c>
      <c r="C672" s="493" t="str">
        <f t="shared" si="109"/>
        <v>0</v>
      </c>
      <c r="D672" s="107">
        <f>'1_入力シート【基本情報】'!$BV$387</f>
        <v>0</v>
      </c>
      <c r="E672" s="7" t="str">
        <f t="shared" si="109"/>
        <v>0</v>
      </c>
      <c r="F672" s="7" t="str">
        <f t="shared" si="104"/>
        <v>0</v>
      </c>
      <c r="G672" s="24"/>
      <c r="H672" s="565">
        <v>23</v>
      </c>
      <c r="I672" s="334" t="s">
        <v>33</v>
      </c>
      <c r="J672" s="357" t="s">
        <v>1407</v>
      </c>
      <c r="K672" s="322" t="s">
        <v>2066</v>
      </c>
      <c r="L672" s="358" t="s">
        <v>1407</v>
      </c>
      <c r="M672" s="335" t="s">
        <v>2084</v>
      </c>
      <c r="N672" s="358" t="s">
        <v>1407</v>
      </c>
      <c r="O672" s="326" t="s">
        <v>387</v>
      </c>
      <c r="P672" s="332" t="s">
        <v>1879</v>
      </c>
      <c r="Q672" s="363" t="s">
        <v>383</v>
      </c>
      <c r="R672" s="364"/>
      <c r="S672" s="364"/>
      <c r="T672" s="13" t="str">
        <f t="shared" si="106"/>
        <v>23調査結果-建築物の内部-4（18）-改善（予定）年月-月</v>
      </c>
      <c r="V672" s="202"/>
      <c r="W672" s="202"/>
      <c r="X672" s="202"/>
    </row>
    <row r="673" spans="2:24">
      <c r="B673" s="107">
        <f>'1_入力シート【基本情報】'!$BY$387</f>
        <v>0</v>
      </c>
      <c r="C673" s="4" t="str">
        <f t="shared" si="98"/>
        <v/>
      </c>
      <c r="D673" s="107">
        <f>'1_入力シート【基本情報】'!$BY$387</f>
        <v>0</v>
      </c>
      <c r="E673" s="564">
        <f>'1_入力シート【基本情報】'!$BY$387</f>
        <v>0</v>
      </c>
      <c r="F673" s="564" t="str">
        <f t="shared" si="104"/>
        <v>0</v>
      </c>
      <c r="G673" s="24"/>
      <c r="H673" s="565">
        <v>23</v>
      </c>
      <c r="I673" s="334" t="s">
        <v>33</v>
      </c>
      <c r="J673" s="357" t="s">
        <v>1407</v>
      </c>
      <c r="K673" s="322" t="s">
        <v>2066</v>
      </c>
      <c r="L673" s="358" t="s">
        <v>1407</v>
      </c>
      <c r="M673" s="335" t="s">
        <v>2084</v>
      </c>
      <c r="N673" s="358" t="s">
        <v>1407</v>
      </c>
      <c r="O673" s="326" t="s">
        <v>387</v>
      </c>
      <c r="P673" s="332" t="s">
        <v>1879</v>
      </c>
      <c r="Q673" s="363" t="s">
        <v>675</v>
      </c>
      <c r="R673" s="364"/>
      <c r="S673" s="364"/>
      <c r="T673" s="13" t="str">
        <f t="shared" si="106"/>
        <v>23調査結果-建築物の内部-4（18）-改善（予定）年月-未定</v>
      </c>
      <c r="V673" s="202"/>
      <c r="W673" s="202"/>
      <c r="X673" s="202"/>
    </row>
    <row r="674" spans="2:24">
      <c r="B674" s="107">
        <f>'1_入力シート【基本情報】'!$AF$388</f>
        <v>0</v>
      </c>
      <c r="C674" s="4" t="str">
        <f t="shared" si="98"/>
        <v/>
      </c>
      <c r="D674" s="107" t="str">
        <f>C674</f>
        <v/>
      </c>
      <c r="E674" s="564" t="str">
        <f>D674</f>
        <v/>
      </c>
      <c r="F674" s="564" t="str">
        <f t="shared" si="104"/>
        <v/>
      </c>
      <c r="G674" s="24"/>
      <c r="H674" s="565">
        <v>23</v>
      </c>
      <c r="I674" s="334" t="s">
        <v>33</v>
      </c>
      <c r="J674" s="357" t="s">
        <v>1407</v>
      </c>
      <c r="K674" s="322" t="s">
        <v>2066</v>
      </c>
      <c r="L674" s="358" t="s">
        <v>1407</v>
      </c>
      <c r="M674" s="335" t="s">
        <v>2085</v>
      </c>
      <c r="N674" s="358" t="s">
        <v>1407</v>
      </c>
      <c r="O674" s="326" t="s">
        <v>33</v>
      </c>
      <c r="P674" s="332"/>
      <c r="Q674" s="363"/>
      <c r="R674" s="203"/>
      <c r="S674" s="203"/>
      <c r="T674" s="13" t="str">
        <f t="shared" si="106"/>
        <v>23調査結果-建築物の内部-4（19）-調査結果</v>
      </c>
      <c r="V674" s="202"/>
      <c r="W674" s="202"/>
      <c r="X674" s="202"/>
    </row>
    <row r="675" spans="2:24">
      <c r="B675" s="107">
        <f>'1_入力シート【基本情報】'!$AR$388</f>
        <v>0</v>
      </c>
      <c r="C675" s="4" t="str">
        <f t="shared" si="98"/>
        <v/>
      </c>
      <c r="D675" s="107">
        <f>'1_入力シート【基本情報】'!$AR$388</f>
        <v>0</v>
      </c>
      <c r="E675" s="564">
        <f>'1_入力シート【基本情報】'!$AR$388</f>
        <v>0</v>
      </c>
      <c r="F675" s="564" t="str">
        <f t="shared" si="104"/>
        <v>0</v>
      </c>
      <c r="G675" s="24"/>
      <c r="H675" s="565">
        <v>23</v>
      </c>
      <c r="I675" s="334" t="s">
        <v>33</v>
      </c>
      <c r="J675" s="357" t="s">
        <v>1407</v>
      </c>
      <c r="K675" s="322" t="s">
        <v>2066</v>
      </c>
      <c r="L675" s="358" t="s">
        <v>1407</v>
      </c>
      <c r="M675" s="335" t="s">
        <v>2085</v>
      </c>
      <c r="N675" s="358" t="s">
        <v>1407</v>
      </c>
      <c r="O675" s="326" t="s">
        <v>30</v>
      </c>
      <c r="P675" s="332"/>
      <c r="Q675" s="363"/>
      <c r="R675" s="364"/>
      <c r="S675" s="364"/>
      <c r="T675" s="13" t="str">
        <f t="shared" si="106"/>
        <v>23調査結果-建築物の内部-4（19）-調査者番号</v>
      </c>
      <c r="V675" s="202"/>
      <c r="W675" s="202"/>
      <c r="X675" s="202"/>
    </row>
    <row r="676" spans="2:24">
      <c r="B676" s="107">
        <f>'1_入力シート【基本情報】'!$AT$388</f>
        <v>0</v>
      </c>
      <c r="C676" s="4" t="str">
        <f t="shared" si="98"/>
        <v/>
      </c>
      <c r="D676" s="107">
        <f>'1_入力シート【基本情報】'!$AT$388</f>
        <v>0</v>
      </c>
      <c r="E676" s="564">
        <f>'1_入力シート【基本情報】'!$AT$388</f>
        <v>0</v>
      </c>
      <c r="F676" s="564" t="str">
        <f t="shared" si="104"/>
        <v>0</v>
      </c>
      <c r="G676" s="24"/>
      <c r="H676" s="565">
        <v>23</v>
      </c>
      <c r="I676" s="334" t="s">
        <v>33</v>
      </c>
      <c r="J676" s="357" t="s">
        <v>1407</v>
      </c>
      <c r="K676" s="322" t="s">
        <v>2066</v>
      </c>
      <c r="L676" s="358" t="s">
        <v>1407</v>
      </c>
      <c r="M676" s="335" t="s">
        <v>2085</v>
      </c>
      <c r="N676" s="358" t="s">
        <v>1407</v>
      </c>
      <c r="O676" s="334" t="s">
        <v>2028</v>
      </c>
      <c r="P676" s="332"/>
      <c r="Q676" s="363"/>
      <c r="R676" s="364"/>
      <c r="S676" s="364"/>
      <c r="T676" s="13" t="str">
        <f t="shared" si="106"/>
        <v>23調査結果-建築物の内部-4（19）-指摘の具体的内容等</v>
      </c>
      <c r="V676" s="202"/>
      <c r="W676" s="202"/>
      <c r="X676" s="202"/>
    </row>
    <row r="677" spans="2:24">
      <c r="B677" s="107">
        <f>'1_入力シート【基本情報】'!$BD$388</f>
        <v>0</v>
      </c>
      <c r="C677" s="4" t="str">
        <f t="shared" si="98"/>
        <v/>
      </c>
      <c r="D677" s="107">
        <f>'1_入力シート【基本情報】'!$BD$388</f>
        <v>0</v>
      </c>
      <c r="E677" s="564">
        <f>'1_入力シート【基本情報】'!$BD$388</f>
        <v>0</v>
      </c>
      <c r="F677" s="564" t="str">
        <f t="shared" si="104"/>
        <v>0</v>
      </c>
      <c r="G677" s="24"/>
      <c r="H677" s="565">
        <v>23</v>
      </c>
      <c r="I677" s="334" t="s">
        <v>33</v>
      </c>
      <c r="J677" s="357" t="s">
        <v>1407</v>
      </c>
      <c r="K677" s="322" t="s">
        <v>2066</v>
      </c>
      <c r="L677" s="358" t="s">
        <v>1407</v>
      </c>
      <c r="M677" s="335" t="s">
        <v>2085</v>
      </c>
      <c r="N677" s="358" t="s">
        <v>1407</v>
      </c>
      <c r="O677" s="334" t="s">
        <v>2029</v>
      </c>
      <c r="P677" s="332"/>
      <c r="Q677" s="363"/>
      <c r="R677" s="364"/>
      <c r="S677" s="364"/>
      <c r="T677" s="13" t="str">
        <f t="shared" si="106"/>
        <v>23調査結果-建築物の内部-4（19）-改善策の具体的内容等</v>
      </c>
      <c r="V677" s="202"/>
      <c r="W677" s="202"/>
      <c r="X677" s="202"/>
    </row>
    <row r="678" spans="2:24" ht="19">
      <c r="B678" s="107">
        <f>'1_入力シート【基本情報】'!$BS$388</f>
        <v>0</v>
      </c>
      <c r="C678" s="493" t="str">
        <f t="shared" ref="C678:E679" si="110">ASC($D678)</f>
        <v>0</v>
      </c>
      <c r="D678" s="107">
        <f>'1_入力シート【基本情報】'!$BS$388</f>
        <v>0</v>
      </c>
      <c r="E678" s="7" t="str">
        <f t="shared" si="110"/>
        <v>0</v>
      </c>
      <c r="F678" s="7" t="str">
        <f t="shared" si="104"/>
        <v>0</v>
      </c>
      <c r="G678" s="24"/>
      <c r="H678" s="565">
        <v>23</v>
      </c>
      <c r="I678" s="334" t="s">
        <v>33</v>
      </c>
      <c r="J678" s="357" t="s">
        <v>1407</v>
      </c>
      <c r="K678" s="322" t="s">
        <v>2066</v>
      </c>
      <c r="L678" s="358" t="s">
        <v>1407</v>
      </c>
      <c r="M678" s="335" t="s">
        <v>2085</v>
      </c>
      <c r="N678" s="358" t="s">
        <v>1407</v>
      </c>
      <c r="O678" s="334" t="s">
        <v>387</v>
      </c>
      <c r="P678" s="332" t="s">
        <v>1879</v>
      </c>
      <c r="Q678" s="363" t="s">
        <v>1966</v>
      </c>
      <c r="R678" s="364"/>
      <c r="S678" s="364"/>
      <c r="T678" s="13" t="str">
        <f t="shared" si="106"/>
        <v>23調査結果-建築物の内部-4（19）-改善（予定）年月-年（令和）</v>
      </c>
      <c r="V678" s="202"/>
      <c r="W678" s="202"/>
      <c r="X678" s="202"/>
    </row>
    <row r="679" spans="2:24" ht="19">
      <c r="B679" s="107">
        <f>'1_入力シート【基本情報】'!$BV$388</f>
        <v>0</v>
      </c>
      <c r="C679" s="493" t="str">
        <f t="shared" si="110"/>
        <v>0</v>
      </c>
      <c r="D679" s="107">
        <f>'1_入力シート【基本情報】'!$BV$388</f>
        <v>0</v>
      </c>
      <c r="E679" s="7" t="str">
        <f t="shared" si="110"/>
        <v>0</v>
      </c>
      <c r="F679" s="7" t="str">
        <f t="shared" si="104"/>
        <v>0</v>
      </c>
      <c r="G679" s="24"/>
      <c r="H679" s="565">
        <v>23</v>
      </c>
      <c r="I679" s="334" t="s">
        <v>33</v>
      </c>
      <c r="J679" s="357" t="s">
        <v>1407</v>
      </c>
      <c r="K679" s="322" t="s">
        <v>2066</v>
      </c>
      <c r="L679" s="358" t="s">
        <v>1407</v>
      </c>
      <c r="M679" s="335" t="s">
        <v>2085</v>
      </c>
      <c r="N679" s="358" t="s">
        <v>1407</v>
      </c>
      <c r="O679" s="326" t="s">
        <v>387</v>
      </c>
      <c r="P679" s="327" t="s">
        <v>1879</v>
      </c>
      <c r="Q679" s="336" t="s">
        <v>383</v>
      </c>
      <c r="R679" s="364"/>
      <c r="S679" s="364"/>
      <c r="T679" s="13" t="str">
        <f t="shared" si="106"/>
        <v>23調査結果-建築物の内部-4（19）-改善（予定）年月-月</v>
      </c>
      <c r="V679" s="202"/>
      <c r="W679" s="202"/>
      <c r="X679" s="202"/>
    </row>
    <row r="680" spans="2:24">
      <c r="B680" s="107">
        <f>'1_入力シート【基本情報】'!$BY$388</f>
        <v>0</v>
      </c>
      <c r="C680" s="4" t="str">
        <f t="shared" ref="C680:C740" si="111">MID(B680,2,14)</f>
        <v/>
      </c>
      <c r="D680" s="107">
        <f>'1_入力シート【基本情報】'!$BY$388</f>
        <v>0</v>
      </c>
      <c r="E680" s="564">
        <f>'1_入力シート【基本情報】'!$BY$388</f>
        <v>0</v>
      </c>
      <c r="F680" s="564" t="str">
        <f t="shared" si="104"/>
        <v>0</v>
      </c>
      <c r="G680" s="24"/>
      <c r="H680" s="565">
        <v>23</v>
      </c>
      <c r="I680" s="334" t="s">
        <v>33</v>
      </c>
      <c r="J680" s="357" t="s">
        <v>1407</v>
      </c>
      <c r="K680" s="322" t="s">
        <v>2066</v>
      </c>
      <c r="L680" s="358" t="s">
        <v>1407</v>
      </c>
      <c r="M680" s="335" t="s">
        <v>2085</v>
      </c>
      <c r="N680" s="358" t="s">
        <v>1407</v>
      </c>
      <c r="O680" s="326" t="s">
        <v>387</v>
      </c>
      <c r="P680" s="332" t="s">
        <v>1879</v>
      </c>
      <c r="Q680" s="363" t="s">
        <v>675</v>
      </c>
      <c r="R680" s="364"/>
      <c r="S680" s="364"/>
      <c r="T680" s="13" t="str">
        <f t="shared" si="106"/>
        <v>23調査結果-建築物の内部-4（19）-改善（予定）年月-未定</v>
      </c>
      <c r="V680" s="202"/>
      <c r="W680" s="202"/>
      <c r="X680" s="202"/>
    </row>
    <row r="681" spans="2:24">
      <c r="B681" s="107">
        <f>'1_入力シート【基本情報】'!$AF$389</f>
        <v>0</v>
      </c>
      <c r="C681" s="4" t="str">
        <f t="shared" si="111"/>
        <v/>
      </c>
      <c r="D681" s="107" t="str">
        <f>C681</f>
        <v/>
      </c>
      <c r="E681" s="564" t="str">
        <f>D681</f>
        <v/>
      </c>
      <c r="F681" s="564" t="str">
        <f t="shared" si="104"/>
        <v/>
      </c>
      <c r="G681" s="24"/>
      <c r="H681" s="565">
        <v>23</v>
      </c>
      <c r="I681" s="334" t="s">
        <v>33</v>
      </c>
      <c r="J681" s="357" t="s">
        <v>1407</v>
      </c>
      <c r="K681" s="322" t="s">
        <v>2066</v>
      </c>
      <c r="L681" s="358" t="s">
        <v>1407</v>
      </c>
      <c r="M681" s="335" t="s">
        <v>2086</v>
      </c>
      <c r="N681" s="358" t="s">
        <v>1407</v>
      </c>
      <c r="O681" s="326" t="s">
        <v>33</v>
      </c>
      <c r="P681" s="332"/>
      <c r="Q681" s="363"/>
      <c r="R681" s="364"/>
      <c r="S681" s="364"/>
      <c r="T681" s="13" t="str">
        <f t="shared" si="106"/>
        <v>23調査結果-建築物の内部-4（20）-調査結果</v>
      </c>
      <c r="V681" s="202"/>
      <c r="W681" s="202"/>
      <c r="X681" s="202"/>
    </row>
    <row r="682" spans="2:24">
      <c r="B682" s="107">
        <f>'1_入力シート【基本情報】'!$AR$389</f>
        <v>0</v>
      </c>
      <c r="C682" s="4" t="str">
        <f t="shared" si="111"/>
        <v/>
      </c>
      <c r="D682" s="107">
        <f>'1_入力シート【基本情報】'!$AR$389</f>
        <v>0</v>
      </c>
      <c r="E682" s="564">
        <f>'1_入力シート【基本情報】'!$AR$389</f>
        <v>0</v>
      </c>
      <c r="F682" s="564" t="str">
        <f t="shared" si="104"/>
        <v>0</v>
      </c>
      <c r="G682" s="24"/>
      <c r="H682" s="565">
        <v>23</v>
      </c>
      <c r="I682" s="334" t="s">
        <v>33</v>
      </c>
      <c r="J682" s="357" t="s">
        <v>1407</v>
      </c>
      <c r="K682" s="322" t="s">
        <v>2066</v>
      </c>
      <c r="L682" s="358" t="s">
        <v>1407</v>
      </c>
      <c r="M682" s="335" t="s">
        <v>2086</v>
      </c>
      <c r="N682" s="358" t="s">
        <v>1407</v>
      </c>
      <c r="O682" s="326" t="s">
        <v>30</v>
      </c>
      <c r="P682" s="332"/>
      <c r="Q682" s="363"/>
      <c r="R682" s="203"/>
      <c r="S682" s="203"/>
      <c r="T682" s="13" t="str">
        <f t="shared" si="106"/>
        <v>23調査結果-建築物の内部-4（20）-調査者番号</v>
      </c>
      <c r="V682" s="202"/>
      <c r="W682" s="202"/>
      <c r="X682" s="202"/>
    </row>
    <row r="683" spans="2:24">
      <c r="B683" s="107">
        <f>'1_入力シート【基本情報】'!$AT$389</f>
        <v>0</v>
      </c>
      <c r="C683" s="4" t="str">
        <f t="shared" si="111"/>
        <v/>
      </c>
      <c r="D683" s="107">
        <f>'1_入力シート【基本情報】'!$AT$389</f>
        <v>0</v>
      </c>
      <c r="E683" s="564">
        <f>'1_入力シート【基本情報】'!$AT$389</f>
        <v>0</v>
      </c>
      <c r="F683" s="564" t="str">
        <f t="shared" si="104"/>
        <v>0</v>
      </c>
      <c r="G683" s="24"/>
      <c r="H683" s="565">
        <v>23</v>
      </c>
      <c r="I683" s="334" t="s">
        <v>33</v>
      </c>
      <c r="J683" s="357" t="s">
        <v>1407</v>
      </c>
      <c r="K683" s="322" t="s">
        <v>2066</v>
      </c>
      <c r="L683" s="358" t="s">
        <v>1407</v>
      </c>
      <c r="M683" s="335" t="s">
        <v>2086</v>
      </c>
      <c r="N683" s="358" t="s">
        <v>1407</v>
      </c>
      <c r="O683" s="326" t="s">
        <v>2028</v>
      </c>
      <c r="P683" s="332"/>
      <c r="Q683" s="363"/>
      <c r="R683" s="364"/>
      <c r="S683" s="364"/>
      <c r="T683" s="13" t="str">
        <f t="shared" si="106"/>
        <v>23調査結果-建築物の内部-4（20）-指摘の具体的内容等</v>
      </c>
      <c r="V683" s="202"/>
      <c r="W683" s="202"/>
      <c r="X683" s="202"/>
    </row>
    <row r="684" spans="2:24">
      <c r="B684" s="107">
        <f>'1_入力シート【基本情報】'!$BD$389</f>
        <v>0</v>
      </c>
      <c r="C684" s="4" t="str">
        <f t="shared" si="111"/>
        <v/>
      </c>
      <c r="D684" s="107">
        <f>'1_入力シート【基本情報】'!$BD$389</f>
        <v>0</v>
      </c>
      <c r="E684" s="564">
        <f>'1_入力シート【基本情報】'!$BD$389</f>
        <v>0</v>
      </c>
      <c r="F684" s="564" t="str">
        <f t="shared" si="104"/>
        <v>0</v>
      </c>
      <c r="G684" s="24"/>
      <c r="H684" s="565">
        <v>23</v>
      </c>
      <c r="I684" s="334" t="s">
        <v>33</v>
      </c>
      <c r="J684" s="357" t="s">
        <v>1407</v>
      </c>
      <c r="K684" s="322" t="s">
        <v>2066</v>
      </c>
      <c r="L684" s="358" t="s">
        <v>1407</v>
      </c>
      <c r="M684" s="335" t="s">
        <v>2086</v>
      </c>
      <c r="N684" s="358" t="s">
        <v>1407</v>
      </c>
      <c r="O684" s="334" t="s">
        <v>2029</v>
      </c>
      <c r="P684" s="332"/>
      <c r="Q684" s="363"/>
      <c r="R684" s="364"/>
      <c r="S684" s="364"/>
      <c r="T684" s="13" t="str">
        <f t="shared" si="106"/>
        <v>23調査結果-建築物の内部-4（20）-改善策の具体的内容等</v>
      </c>
      <c r="V684" s="202"/>
      <c r="W684" s="202"/>
      <c r="X684" s="202"/>
    </row>
    <row r="685" spans="2:24" ht="19">
      <c r="B685" s="107">
        <f>'1_入力シート【基本情報】'!$BS$389</f>
        <v>0</v>
      </c>
      <c r="C685" s="493" t="str">
        <f t="shared" ref="C685:E686" si="112">ASC($D685)</f>
        <v>0</v>
      </c>
      <c r="D685" s="107">
        <f>'1_入力シート【基本情報】'!$BS$389</f>
        <v>0</v>
      </c>
      <c r="E685" s="7" t="str">
        <f t="shared" si="112"/>
        <v>0</v>
      </c>
      <c r="F685" s="7" t="str">
        <f t="shared" si="104"/>
        <v>0</v>
      </c>
      <c r="G685" s="24"/>
      <c r="H685" s="565">
        <v>23</v>
      </c>
      <c r="I685" s="334" t="s">
        <v>33</v>
      </c>
      <c r="J685" s="357" t="s">
        <v>1407</v>
      </c>
      <c r="K685" s="322" t="s">
        <v>2066</v>
      </c>
      <c r="L685" s="358" t="s">
        <v>1407</v>
      </c>
      <c r="M685" s="335" t="s">
        <v>2086</v>
      </c>
      <c r="N685" s="358" t="s">
        <v>1407</v>
      </c>
      <c r="O685" s="334" t="s">
        <v>387</v>
      </c>
      <c r="P685" s="332" t="s">
        <v>1879</v>
      </c>
      <c r="Q685" s="363" t="s">
        <v>1966</v>
      </c>
      <c r="R685" s="364"/>
      <c r="S685" s="364"/>
      <c r="T685" s="13" t="str">
        <f t="shared" si="106"/>
        <v>23調査結果-建築物の内部-4（20）-改善（予定）年月-年（令和）</v>
      </c>
      <c r="V685" s="202"/>
      <c r="W685" s="202"/>
      <c r="X685" s="202"/>
    </row>
    <row r="686" spans="2:24" ht="19">
      <c r="B686" s="107">
        <f>'1_入力シート【基本情報】'!$BV$389</f>
        <v>0</v>
      </c>
      <c r="C686" s="493" t="str">
        <f t="shared" si="112"/>
        <v>0</v>
      </c>
      <c r="D686" s="107">
        <f>'1_入力シート【基本情報】'!$BV$389</f>
        <v>0</v>
      </c>
      <c r="E686" s="7" t="str">
        <f t="shared" si="112"/>
        <v>0</v>
      </c>
      <c r="F686" s="7" t="str">
        <f t="shared" si="104"/>
        <v>0</v>
      </c>
      <c r="G686" s="24"/>
      <c r="H686" s="565">
        <v>23</v>
      </c>
      <c r="I686" s="334" t="s">
        <v>33</v>
      </c>
      <c r="J686" s="357" t="s">
        <v>1407</v>
      </c>
      <c r="K686" s="322" t="s">
        <v>2066</v>
      </c>
      <c r="L686" s="358" t="s">
        <v>1407</v>
      </c>
      <c r="M686" s="335" t="s">
        <v>2086</v>
      </c>
      <c r="N686" s="358" t="s">
        <v>1407</v>
      </c>
      <c r="O686" s="334" t="s">
        <v>387</v>
      </c>
      <c r="P686" s="332" t="s">
        <v>1879</v>
      </c>
      <c r="Q686" s="363" t="s">
        <v>383</v>
      </c>
      <c r="R686" s="364"/>
      <c r="S686" s="364"/>
      <c r="T686" s="13" t="str">
        <f t="shared" si="106"/>
        <v>23調査結果-建築物の内部-4（20）-改善（予定）年月-月</v>
      </c>
      <c r="V686" s="202"/>
      <c r="W686" s="202"/>
      <c r="X686" s="202"/>
    </row>
    <row r="687" spans="2:24">
      <c r="B687" s="107">
        <f>'1_入力シート【基本情報】'!$BY$389</f>
        <v>0</v>
      </c>
      <c r="C687" s="4" t="str">
        <f t="shared" si="111"/>
        <v/>
      </c>
      <c r="D687" s="107">
        <f>'1_入力シート【基本情報】'!$BY$389</f>
        <v>0</v>
      </c>
      <c r="E687" s="564">
        <f>'1_入力シート【基本情報】'!$BY$389</f>
        <v>0</v>
      </c>
      <c r="F687" s="564" t="str">
        <f t="shared" si="104"/>
        <v>0</v>
      </c>
      <c r="G687" s="24"/>
      <c r="H687" s="565">
        <v>23</v>
      </c>
      <c r="I687" s="334" t="s">
        <v>33</v>
      </c>
      <c r="J687" s="357" t="s">
        <v>1407</v>
      </c>
      <c r="K687" s="322" t="s">
        <v>2066</v>
      </c>
      <c r="L687" s="358" t="s">
        <v>1407</v>
      </c>
      <c r="M687" s="335" t="s">
        <v>2086</v>
      </c>
      <c r="N687" s="358" t="s">
        <v>1407</v>
      </c>
      <c r="O687" s="326" t="s">
        <v>387</v>
      </c>
      <c r="P687" s="327" t="s">
        <v>1879</v>
      </c>
      <c r="Q687" s="336" t="s">
        <v>675</v>
      </c>
      <c r="R687" s="364"/>
      <c r="S687" s="364"/>
      <c r="T687" s="13" t="str">
        <f t="shared" si="106"/>
        <v>23調査結果-建築物の内部-4（20）-改善（予定）年月-未定</v>
      </c>
      <c r="V687" s="202"/>
      <c r="W687" s="202"/>
      <c r="X687" s="202"/>
    </row>
    <row r="688" spans="2:24">
      <c r="B688" s="107">
        <f>'1_入力シート【基本情報】'!$AF$390</f>
        <v>0</v>
      </c>
      <c r="C688" s="4" t="str">
        <f t="shared" si="111"/>
        <v/>
      </c>
      <c r="D688" s="107" t="str">
        <f>C688</f>
        <v/>
      </c>
      <c r="E688" s="564" t="str">
        <f>D688</f>
        <v/>
      </c>
      <c r="F688" s="564" t="str">
        <f t="shared" si="104"/>
        <v/>
      </c>
      <c r="G688" s="24"/>
      <c r="H688" s="565">
        <v>23</v>
      </c>
      <c r="I688" s="334" t="s">
        <v>33</v>
      </c>
      <c r="J688" s="357" t="s">
        <v>1407</v>
      </c>
      <c r="K688" s="322" t="s">
        <v>2066</v>
      </c>
      <c r="L688" s="358" t="s">
        <v>1407</v>
      </c>
      <c r="M688" s="335" t="s">
        <v>2087</v>
      </c>
      <c r="N688" s="358" t="s">
        <v>1407</v>
      </c>
      <c r="O688" s="326" t="s">
        <v>33</v>
      </c>
      <c r="P688" s="332"/>
      <c r="Q688" s="363"/>
      <c r="R688" s="364"/>
      <c r="S688" s="364"/>
      <c r="T688" s="13" t="str">
        <f t="shared" si="106"/>
        <v>23調査結果-建築物の内部-4（21）-調査結果</v>
      </c>
      <c r="V688" s="202"/>
      <c r="W688" s="202"/>
      <c r="X688" s="202"/>
    </row>
    <row r="689" spans="2:24">
      <c r="B689" s="107">
        <f>'1_入力シート【基本情報】'!$AR$390</f>
        <v>0</v>
      </c>
      <c r="C689" s="4" t="str">
        <f t="shared" si="111"/>
        <v/>
      </c>
      <c r="D689" s="107">
        <f>'1_入力シート【基本情報】'!$AR$390</f>
        <v>0</v>
      </c>
      <c r="E689" s="564">
        <f>'1_入力シート【基本情報】'!$AR$390</f>
        <v>0</v>
      </c>
      <c r="F689" s="564" t="str">
        <f t="shared" si="104"/>
        <v>0</v>
      </c>
      <c r="G689" s="24"/>
      <c r="H689" s="565">
        <v>23</v>
      </c>
      <c r="I689" s="334" t="s">
        <v>33</v>
      </c>
      <c r="J689" s="357" t="s">
        <v>1407</v>
      </c>
      <c r="K689" s="322" t="s">
        <v>2066</v>
      </c>
      <c r="L689" s="358" t="s">
        <v>1407</v>
      </c>
      <c r="M689" s="335" t="s">
        <v>2087</v>
      </c>
      <c r="N689" s="358" t="s">
        <v>1407</v>
      </c>
      <c r="O689" s="326" t="s">
        <v>30</v>
      </c>
      <c r="P689" s="332"/>
      <c r="Q689" s="363"/>
      <c r="R689" s="364"/>
      <c r="S689" s="364"/>
      <c r="T689" s="13" t="str">
        <f t="shared" si="106"/>
        <v>23調査結果-建築物の内部-4（21）-調査者番号</v>
      </c>
      <c r="V689" s="202"/>
      <c r="W689" s="202"/>
      <c r="X689" s="202"/>
    </row>
    <row r="690" spans="2:24">
      <c r="B690" s="107">
        <f>'1_入力シート【基本情報】'!$AT$390</f>
        <v>0</v>
      </c>
      <c r="C690" s="4" t="str">
        <f t="shared" si="111"/>
        <v/>
      </c>
      <c r="D690" s="107">
        <f>'1_入力シート【基本情報】'!$AT$390</f>
        <v>0</v>
      </c>
      <c r="E690" s="564">
        <f>'1_入力シート【基本情報】'!$AT$390</f>
        <v>0</v>
      </c>
      <c r="F690" s="564" t="str">
        <f t="shared" si="104"/>
        <v>0</v>
      </c>
      <c r="G690" s="24"/>
      <c r="H690" s="565">
        <v>23</v>
      </c>
      <c r="I690" s="334" t="s">
        <v>33</v>
      </c>
      <c r="J690" s="357" t="s">
        <v>1407</v>
      </c>
      <c r="K690" s="322" t="s">
        <v>2066</v>
      </c>
      <c r="L690" s="358" t="s">
        <v>1407</v>
      </c>
      <c r="M690" s="335" t="s">
        <v>2087</v>
      </c>
      <c r="N690" s="358" t="s">
        <v>1407</v>
      </c>
      <c r="O690" s="326" t="s">
        <v>2028</v>
      </c>
      <c r="P690" s="332"/>
      <c r="Q690" s="363"/>
      <c r="R690" s="203"/>
      <c r="S690" s="203"/>
      <c r="T690" s="13" t="str">
        <f t="shared" si="106"/>
        <v>23調査結果-建築物の内部-4（21）-指摘の具体的内容等</v>
      </c>
      <c r="V690" s="202"/>
      <c r="W690" s="202"/>
      <c r="X690" s="202"/>
    </row>
    <row r="691" spans="2:24">
      <c r="B691" s="107">
        <f>'1_入力シート【基本情報】'!$BD$390</f>
        <v>0</v>
      </c>
      <c r="C691" s="4" t="str">
        <f t="shared" si="111"/>
        <v/>
      </c>
      <c r="D691" s="107">
        <f>'1_入力シート【基本情報】'!$BD$390</f>
        <v>0</v>
      </c>
      <c r="E691" s="564">
        <f>'1_入力シート【基本情報】'!$BD$390</f>
        <v>0</v>
      </c>
      <c r="F691" s="564" t="str">
        <f t="shared" si="104"/>
        <v>0</v>
      </c>
      <c r="G691" s="24"/>
      <c r="H691" s="565">
        <v>23</v>
      </c>
      <c r="I691" s="334" t="s">
        <v>33</v>
      </c>
      <c r="J691" s="357" t="s">
        <v>1407</v>
      </c>
      <c r="K691" s="322" t="s">
        <v>2066</v>
      </c>
      <c r="L691" s="358" t="s">
        <v>1407</v>
      </c>
      <c r="M691" s="335" t="s">
        <v>2087</v>
      </c>
      <c r="N691" s="358" t="s">
        <v>1407</v>
      </c>
      <c r="O691" s="326" t="s">
        <v>2029</v>
      </c>
      <c r="P691" s="332"/>
      <c r="Q691" s="363"/>
      <c r="R691" s="364"/>
      <c r="S691" s="364"/>
      <c r="T691" s="13" t="str">
        <f t="shared" si="106"/>
        <v>23調査結果-建築物の内部-4（21）-改善策の具体的内容等</v>
      </c>
      <c r="V691" s="202"/>
      <c r="W691" s="202"/>
      <c r="X691" s="202"/>
    </row>
    <row r="692" spans="2:24" ht="19">
      <c r="B692" s="107">
        <f>'1_入力シート【基本情報】'!$BS$390</f>
        <v>0</v>
      </c>
      <c r="C692" s="493" t="str">
        <f t="shared" ref="C692:E693" si="113">ASC($D692)</f>
        <v>0</v>
      </c>
      <c r="D692" s="107">
        <f>'1_入力シート【基本情報】'!$BS$390</f>
        <v>0</v>
      </c>
      <c r="E692" s="7" t="str">
        <f t="shared" si="113"/>
        <v>0</v>
      </c>
      <c r="F692" s="7" t="str">
        <f t="shared" si="104"/>
        <v>0</v>
      </c>
      <c r="G692" s="24"/>
      <c r="H692" s="565">
        <v>23</v>
      </c>
      <c r="I692" s="334" t="s">
        <v>33</v>
      </c>
      <c r="J692" s="357" t="s">
        <v>1407</v>
      </c>
      <c r="K692" s="322" t="s">
        <v>2066</v>
      </c>
      <c r="L692" s="358" t="s">
        <v>1407</v>
      </c>
      <c r="M692" s="335" t="s">
        <v>2087</v>
      </c>
      <c r="N692" s="358" t="s">
        <v>1407</v>
      </c>
      <c r="O692" s="334" t="s">
        <v>387</v>
      </c>
      <c r="P692" s="332" t="s">
        <v>1879</v>
      </c>
      <c r="Q692" s="363" t="s">
        <v>1966</v>
      </c>
      <c r="R692" s="364"/>
      <c r="S692" s="364"/>
      <c r="T692" s="13" t="str">
        <f t="shared" si="106"/>
        <v>23調査結果-建築物の内部-4（21）-改善（予定）年月-年（令和）</v>
      </c>
      <c r="V692" s="202"/>
      <c r="W692" s="202"/>
      <c r="X692" s="202"/>
    </row>
    <row r="693" spans="2:24" ht="19">
      <c r="B693" s="107">
        <f>'1_入力シート【基本情報】'!$BV$390</f>
        <v>0</v>
      </c>
      <c r="C693" s="493" t="str">
        <f t="shared" si="113"/>
        <v>0</v>
      </c>
      <c r="D693" s="107">
        <f>'1_入力シート【基本情報】'!$BV$390</f>
        <v>0</v>
      </c>
      <c r="E693" s="7" t="str">
        <f t="shared" si="113"/>
        <v>0</v>
      </c>
      <c r="F693" s="7" t="str">
        <f t="shared" si="104"/>
        <v>0</v>
      </c>
      <c r="G693" s="24"/>
      <c r="H693" s="565">
        <v>23</v>
      </c>
      <c r="I693" s="334" t="s">
        <v>33</v>
      </c>
      <c r="J693" s="357" t="s">
        <v>1407</v>
      </c>
      <c r="K693" s="322" t="s">
        <v>2066</v>
      </c>
      <c r="L693" s="358" t="s">
        <v>1407</v>
      </c>
      <c r="M693" s="335" t="s">
        <v>2087</v>
      </c>
      <c r="N693" s="358" t="s">
        <v>1407</v>
      </c>
      <c r="O693" s="334" t="s">
        <v>387</v>
      </c>
      <c r="P693" s="332" t="s">
        <v>1879</v>
      </c>
      <c r="Q693" s="363" t="s">
        <v>383</v>
      </c>
      <c r="R693" s="364"/>
      <c r="S693" s="364"/>
      <c r="T693" s="13" t="str">
        <f t="shared" si="106"/>
        <v>23調査結果-建築物の内部-4（21）-改善（予定）年月-月</v>
      </c>
      <c r="V693" s="202"/>
      <c r="W693" s="202"/>
      <c r="X693" s="202"/>
    </row>
    <row r="694" spans="2:24">
      <c r="B694" s="107">
        <f>'1_入力シート【基本情報】'!$BY$390</f>
        <v>0</v>
      </c>
      <c r="C694" s="4" t="str">
        <f t="shared" si="111"/>
        <v/>
      </c>
      <c r="D694" s="107">
        <f>'1_入力シート【基本情報】'!$BY$390</f>
        <v>0</v>
      </c>
      <c r="E694" s="564">
        <f>'1_入力シート【基本情報】'!$BY$390</f>
        <v>0</v>
      </c>
      <c r="F694" s="564" t="str">
        <f t="shared" si="104"/>
        <v>0</v>
      </c>
      <c r="G694" s="24"/>
      <c r="H694" s="565">
        <v>23</v>
      </c>
      <c r="I694" s="334" t="s">
        <v>33</v>
      </c>
      <c r="J694" s="357" t="s">
        <v>1407</v>
      </c>
      <c r="K694" s="322" t="s">
        <v>2066</v>
      </c>
      <c r="L694" s="358" t="s">
        <v>1407</v>
      </c>
      <c r="M694" s="335" t="s">
        <v>2087</v>
      </c>
      <c r="N694" s="358" t="s">
        <v>1407</v>
      </c>
      <c r="O694" s="334" t="s">
        <v>387</v>
      </c>
      <c r="P694" s="332" t="s">
        <v>1879</v>
      </c>
      <c r="Q694" s="363" t="s">
        <v>675</v>
      </c>
      <c r="R694" s="364"/>
      <c r="S694" s="364"/>
      <c r="T694" s="13" t="str">
        <f t="shared" si="106"/>
        <v>23調査結果-建築物の内部-4（21）-改善（予定）年月-未定</v>
      </c>
      <c r="V694" s="202"/>
      <c r="W694" s="202"/>
      <c r="X694" s="202"/>
    </row>
    <row r="695" spans="2:24">
      <c r="B695" s="107">
        <f>'1_入力シート【基本情報】'!$AF$391</f>
        <v>0</v>
      </c>
      <c r="C695" s="4" t="str">
        <f t="shared" si="111"/>
        <v/>
      </c>
      <c r="D695" s="107" t="str">
        <f>C695</f>
        <v/>
      </c>
      <c r="E695" s="564" t="str">
        <f>D695</f>
        <v/>
      </c>
      <c r="F695" s="564" t="str">
        <f t="shared" si="104"/>
        <v/>
      </c>
      <c r="G695" s="24"/>
      <c r="H695" s="565">
        <v>23</v>
      </c>
      <c r="I695" s="334" t="s">
        <v>33</v>
      </c>
      <c r="J695" s="357" t="s">
        <v>1407</v>
      </c>
      <c r="K695" s="322" t="s">
        <v>2066</v>
      </c>
      <c r="L695" s="358" t="s">
        <v>1407</v>
      </c>
      <c r="M695" s="335" t="s">
        <v>2088</v>
      </c>
      <c r="N695" s="358" t="s">
        <v>1407</v>
      </c>
      <c r="O695" s="326" t="s">
        <v>33</v>
      </c>
      <c r="P695" s="327"/>
      <c r="Q695" s="336"/>
      <c r="R695" s="364"/>
      <c r="S695" s="364"/>
      <c r="T695" s="13" t="str">
        <f t="shared" si="106"/>
        <v>23調査結果-建築物の内部-4（22）-調査結果</v>
      </c>
      <c r="V695" s="202"/>
      <c r="W695" s="202"/>
      <c r="X695" s="202"/>
    </row>
    <row r="696" spans="2:24">
      <c r="B696" s="107">
        <f>'1_入力シート【基本情報】'!$AR$391</f>
        <v>0</v>
      </c>
      <c r="C696" s="4" t="str">
        <f t="shared" si="111"/>
        <v/>
      </c>
      <c r="D696" s="107">
        <f>'1_入力シート【基本情報】'!$AR$391</f>
        <v>0</v>
      </c>
      <c r="E696" s="564">
        <f>'1_入力シート【基本情報】'!$AR$391</f>
        <v>0</v>
      </c>
      <c r="F696" s="564" t="str">
        <f t="shared" si="104"/>
        <v>0</v>
      </c>
      <c r="G696" s="24"/>
      <c r="H696" s="565">
        <v>23</v>
      </c>
      <c r="I696" s="334" t="s">
        <v>33</v>
      </c>
      <c r="J696" s="357" t="s">
        <v>1407</v>
      </c>
      <c r="K696" s="322" t="s">
        <v>2066</v>
      </c>
      <c r="L696" s="358" t="s">
        <v>1407</v>
      </c>
      <c r="M696" s="335" t="s">
        <v>2088</v>
      </c>
      <c r="N696" s="358" t="s">
        <v>1407</v>
      </c>
      <c r="O696" s="326" t="s">
        <v>30</v>
      </c>
      <c r="P696" s="332"/>
      <c r="Q696" s="363"/>
      <c r="R696" s="364"/>
      <c r="S696" s="364"/>
      <c r="T696" s="13" t="str">
        <f t="shared" si="106"/>
        <v>23調査結果-建築物の内部-4（22）-調査者番号</v>
      </c>
      <c r="V696" s="202"/>
      <c r="W696" s="202"/>
      <c r="X696" s="202"/>
    </row>
    <row r="697" spans="2:24">
      <c r="B697" s="107">
        <f>'1_入力シート【基本情報】'!$AT$391</f>
        <v>0</v>
      </c>
      <c r="C697" s="4" t="str">
        <f t="shared" si="111"/>
        <v/>
      </c>
      <c r="D697" s="107">
        <f>'1_入力シート【基本情報】'!$AT$391</f>
        <v>0</v>
      </c>
      <c r="E697" s="564">
        <f>'1_入力シート【基本情報】'!$AT$391</f>
        <v>0</v>
      </c>
      <c r="F697" s="564" t="str">
        <f t="shared" si="104"/>
        <v>0</v>
      </c>
      <c r="G697" s="24"/>
      <c r="H697" s="565">
        <v>23</v>
      </c>
      <c r="I697" s="334" t="s">
        <v>33</v>
      </c>
      <c r="J697" s="357" t="s">
        <v>1407</v>
      </c>
      <c r="K697" s="322" t="s">
        <v>2066</v>
      </c>
      <c r="L697" s="358" t="s">
        <v>1407</v>
      </c>
      <c r="M697" s="335" t="s">
        <v>2088</v>
      </c>
      <c r="N697" s="358" t="s">
        <v>1407</v>
      </c>
      <c r="O697" s="326" t="s">
        <v>2028</v>
      </c>
      <c r="P697" s="332"/>
      <c r="Q697" s="363"/>
      <c r="R697" s="364"/>
      <c r="S697" s="364"/>
      <c r="T697" s="13" t="str">
        <f t="shared" si="106"/>
        <v>23調査結果-建築物の内部-4（22）-指摘の具体的内容等</v>
      </c>
      <c r="V697" s="202"/>
      <c r="W697" s="202"/>
      <c r="X697" s="202"/>
    </row>
    <row r="698" spans="2:24">
      <c r="B698" s="107">
        <f>'1_入力シート【基本情報】'!$BD$391</f>
        <v>0</v>
      </c>
      <c r="C698" s="4" t="str">
        <f t="shared" si="111"/>
        <v/>
      </c>
      <c r="D698" s="107">
        <f>'1_入力シート【基本情報】'!$BD$391</f>
        <v>0</v>
      </c>
      <c r="E698" s="564">
        <f>'1_入力シート【基本情報】'!$BD$391</f>
        <v>0</v>
      </c>
      <c r="F698" s="564" t="str">
        <f t="shared" si="104"/>
        <v>0</v>
      </c>
      <c r="G698" s="24"/>
      <c r="H698" s="565">
        <v>23</v>
      </c>
      <c r="I698" s="334" t="s">
        <v>33</v>
      </c>
      <c r="J698" s="357" t="s">
        <v>1407</v>
      </c>
      <c r="K698" s="322" t="s">
        <v>2066</v>
      </c>
      <c r="L698" s="358" t="s">
        <v>1407</v>
      </c>
      <c r="M698" s="335" t="s">
        <v>2088</v>
      </c>
      <c r="N698" s="358" t="s">
        <v>1407</v>
      </c>
      <c r="O698" s="326" t="s">
        <v>2029</v>
      </c>
      <c r="P698" s="332"/>
      <c r="Q698" s="363"/>
      <c r="R698" s="203"/>
      <c r="S698" s="203"/>
      <c r="T698" s="13" t="str">
        <f t="shared" si="106"/>
        <v>23調査結果-建築物の内部-4（22）-改善策の具体的内容等</v>
      </c>
      <c r="V698" s="202"/>
      <c r="W698" s="202"/>
      <c r="X698" s="202"/>
    </row>
    <row r="699" spans="2:24" ht="19">
      <c r="B699" s="107">
        <f>'1_入力シート【基本情報】'!$BS$391</f>
        <v>0</v>
      </c>
      <c r="C699" s="493" t="str">
        <f t="shared" ref="C699:E700" si="114">ASC($D699)</f>
        <v>0</v>
      </c>
      <c r="D699" s="107">
        <f>'1_入力シート【基本情報】'!$BS$391</f>
        <v>0</v>
      </c>
      <c r="E699" s="7" t="str">
        <f t="shared" si="114"/>
        <v>0</v>
      </c>
      <c r="F699" s="7" t="str">
        <f t="shared" si="104"/>
        <v>0</v>
      </c>
      <c r="G699" s="24"/>
      <c r="H699" s="565">
        <v>23</v>
      </c>
      <c r="I699" s="334" t="s">
        <v>33</v>
      </c>
      <c r="J699" s="357" t="s">
        <v>1407</v>
      </c>
      <c r="K699" s="322" t="s">
        <v>2066</v>
      </c>
      <c r="L699" s="358" t="s">
        <v>1407</v>
      </c>
      <c r="M699" s="335" t="s">
        <v>2088</v>
      </c>
      <c r="N699" s="358" t="s">
        <v>1407</v>
      </c>
      <c r="O699" s="326" t="s">
        <v>387</v>
      </c>
      <c r="P699" s="332" t="s">
        <v>1879</v>
      </c>
      <c r="Q699" s="363" t="s">
        <v>1966</v>
      </c>
      <c r="R699" s="364"/>
      <c r="S699" s="364"/>
      <c r="T699" s="13" t="str">
        <f t="shared" si="106"/>
        <v>23調査結果-建築物の内部-4（22）-改善（予定）年月-年（令和）</v>
      </c>
      <c r="V699" s="202"/>
      <c r="W699" s="202"/>
      <c r="X699" s="202"/>
    </row>
    <row r="700" spans="2:24" ht="19">
      <c r="B700" s="107">
        <f>'1_入力シート【基本情報】'!$BV$391</f>
        <v>0</v>
      </c>
      <c r="C700" s="493" t="str">
        <f t="shared" si="114"/>
        <v>0</v>
      </c>
      <c r="D700" s="107">
        <f>'1_入力シート【基本情報】'!$BV$391</f>
        <v>0</v>
      </c>
      <c r="E700" s="7" t="str">
        <f t="shared" si="114"/>
        <v>0</v>
      </c>
      <c r="F700" s="7" t="str">
        <f t="shared" si="104"/>
        <v>0</v>
      </c>
      <c r="G700" s="24"/>
      <c r="H700" s="565">
        <v>23</v>
      </c>
      <c r="I700" s="334" t="s">
        <v>33</v>
      </c>
      <c r="J700" s="357" t="s">
        <v>1407</v>
      </c>
      <c r="K700" s="322" t="s">
        <v>2066</v>
      </c>
      <c r="L700" s="358" t="s">
        <v>1407</v>
      </c>
      <c r="M700" s="335" t="s">
        <v>2088</v>
      </c>
      <c r="N700" s="358" t="s">
        <v>1407</v>
      </c>
      <c r="O700" s="334" t="s">
        <v>387</v>
      </c>
      <c r="P700" s="332" t="s">
        <v>1879</v>
      </c>
      <c r="Q700" s="363" t="s">
        <v>383</v>
      </c>
      <c r="R700" s="364"/>
      <c r="S700" s="364"/>
      <c r="T700" s="13" t="str">
        <f t="shared" si="106"/>
        <v>23調査結果-建築物の内部-4（22）-改善（予定）年月-月</v>
      </c>
      <c r="V700" s="202"/>
      <c r="W700" s="202"/>
      <c r="X700" s="202"/>
    </row>
    <row r="701" spans="2:24">
      <c r="B701" s="107">
        <f>'1_入力シート【基本情報】'!$BY$391</f>
        <v>0</v>
      </c>
      <c r="C701" s="4" t="str">
        <f t="shared" si="111"/>
        <v/>
      </c>
      <c r="D701" s="107">
        <f>'1_入力シート【基本情報】'!$BY$391</f>
        <v>0</v>
      </c>
      <c r="E701" s="564">
        <f>'1_入力シート【基本情報】'!$BY$391</f>
        <v>0</v>
      </c>
      <c r="F701" s="564" t="str">
        <f t="shared" si="104"/>
        <v>0</v>
      </c>
      <c r="G701" s="24"/>
      <c r="H701" s="565">
        <v>23</v>
      </c>
      <c r="I701" s="334" t="s">
        <v>33</v>
      </c>
      <c r="J701" s="357" t="s">
        <v>1407</v>
      </c>
      <c r="K701" s="322" t="s">
        <v>2066</v>
      </c>
      <c r="L701" s="358" t="s">
        <v>1407</v>
      </c>
      <c r="M701" s="335" t="s">
        <v>2088</v>
      </c>
      <c r="N701" s="358" t="s">
        <v>1407</v>
      </c>
      <c r="O701" s="334" t="s">
        <v>387</v>
      </c>
      <c r="P701" s="332" t="s">
        <v>1879</v>
      </c>
      <c r="Q701" s="363" t="s">
        <v>675</v>
      </c>
      <c r="R701" s="364"/>
      <c r="S701" s="364"/>
      <c r="T701" s="13" t="str">
        <f t="shared" si="106"/>
        <v>23調査結果-建築物の内部-4（22）-改善（予定）年月-未定</v>
      </c>
      <c r="V701" s="202"/>
      <c r="W701" s="202"/>
      <c r="X701" s="202"/>
    </row>
    <row r="702" spans="2:24">
      <c r="B702" s="107">
        <f>'1_入力シート【基本情報】'!$AF$392</f>
        <v>0</v>
      </c>
      <c r="C702" s="4" t="str">
        <f t="shared" si="111"/>
        <v/>
      </c>
      <c r="D702" s="107" t="str">
        <f>C702</f>
        <v/>
      </c>
      <c r="E702" s="564" t="str">
        <f>D702</f>
        <v/>
      </c>
      <c r="F702" s="564" t="str">
        <f t="shared" si="104"/>
        <v/>
      </c>
      <c r="G702" s="24"/>
      <c r="H702" s="565">
        <v>23</v>
      </c>
      <c r="I702" s="334" t="s">
        <v>33</v>
      </c>
      <c r="J702" s="357" t="s">
        <v>1407</v>
      </c>
      <c r="K702" s="322" t="s">
        <v>2066</v>
      </c>
      <c r="L702" s="358" t="s">
        <v>1407</v>
      </c>
      <c r="M702" s="335" t="s">
        <v>2089</v>
      </c>
      <c r="N702" s="358" t="s">
        <v>1407</v>
      </c>
      <c r="O702" s="334" t="s">
        <v>33</v>
      </c>
      <c r="P702" s="332"/>
      <c r="Q702" s="363"/>
      <c r="R702" s="364"/>
      <c r="S702" s="364"/>
      <c r="T702" s="13" t="str">
        <f t="shared" si="106"/>
        <v>23調査結果-建築物の内部-4（23）-調査結果</v>
      </c>
      <c r="V702" s="202"/>
      <c r="W702" s="202"/>
      <c r="X702" s="202"/>
    </row>
    <row r="703" spans="2:24">
      <c r="B703" s="107">
        <f>'1_入力シート【基本情報】'!$AR$392</f>
        <v>0</v>
      </c>
      <c r="C703" s="4" t="str">
        <f t="shared" si="111"/>
        <v/>
      </c>
      <c r="D703" s="107">
        <f>'1_入力シート【基本情報】'!$AR$392</f>
        <v>0</v>
      </c>
      <c r="E703" s="564">
        <f>'1_入力シート【基本情報】'!$AR$392</f>
        <v>0</v>
      </c>
      <c r="F703" s="564" t="str">
        <f t="shared" si="104"/>
        <v>0</v>
      </c>
      <c r="G703" s="24"/>
      <c r="H703" s="565">
        <v>23</v>
      </c>
      <c r="I703" s="334" t="s">
        <v>33</v>
      </c>
      <c r="J703" s="357" t="s">
        <v>1407</v>
      </c>
      <c r="K703" s="322" t="s">
        <v>2066</v>
      </c>
      <c r="L703" s="358" t="s">
        <v>1407</v>
      </c>
      <c r="M703" s="335" t="s">
        <v>2089</v>
      </c>
      <c r="N703" s="358" t="s">
        <v>1407</v>
      </c>
      <c r="O703" s="326" t="s">
        <v>30</v>
      </c>
      <c r="P703" s="327"/>
      <c r="Q703" s="336"/>
      <c r="R703" s="364"/>
      <c r="S703" s="364"/>
      <c r="T703" s="13" t="str">
        <f t="shared" si="106"/>
        <v>23調査結果-建築物の内部-4（23）-調査者番号</v>
      </c>
      <c r="V703" s="202"/>
      <c r="W703" s="202"/>
      <c r="X703" s="202"/>
    </row>
    <row r="704" spans="2:24">
      <c r="B704" s="107">
        <f>'1_入力シート【基本情報】'!$AT$392</f>
        <v>0</v>
      </c>
      <c r="C704" s="4" t="str">
        <f t="shared" si="111"/>
        <v/>
      </c>
      <c r="D704" s="107">
        <f>'1_入力シート【基本情報】'!$AT$392</f>
        <v>0</v>
      </c>
      <c r="E704" s="564">
        <f>'1_入力シート【基本情報】'!$AT$392</f>
        <v>0</v>
      </c>
      <c r="F704" s="564" t="str">
        <f t="shared" si="104"/>
        <v>0</v>
      </c>
      <c r="G704" s="24"/>
      <c r="H704" s="565">
        <v>23</v>
      </c>
      <c r="I704" s="334" t="s">
        <v>33</v>
      </c>
      <c r="J704" s="357" t="s">
        <v>1407</v>
      </c>
      <c r="K704" s="322" t="s">
        <v>2066</v>
      </c>
      <c r="L704" s="358" t="s">
        <v>1407</v>
      </c>
      <c r="M704" s="335" t="s">
        <v>2089</v>
      </c>
      <c r="N704" s="358" t="s">
        <v>1407</v>
      </c>
      <c r="O704" s="326" t="s">
        <v>2028</v>
      </c>
      <c r="P704" s="332"/>
      <c r="Q704" s="363"/>
      <c r="R704" s="364"/>
      <c r="S704" s="364"/>
      <c r="T704" s="13" t="str">
        <f t="shared" si="106"/>
        <v>23調査結果-建築物の内部-4（23）-指摘の具体的内容等</v>
      </c>
      <c r="V704" s="202"/>
      <c r="W704" s="202"/>
      <c r="X704" s="202"/>
    </row>
    <row r="705" spans="2:24">
      <c r="B705" s="107">
        <f>'1_入力シート【基本情報】'!$BD$392</f>
        <v>0</v>
      </c>
      <c r="C705" s="4" t="str">
        <f t="shared" si="111"/>
        <v/>
      </c>
      <c r="D705" s="107">
        <f>'1_入力シート【基本情報】'!$BD$392</f>
        <v>0</v>
      </c>
      <c r="E705" s="564">
        <f>'1_入力シート【基本情報】'!$BD$392</f>
        <v>0</v>
      </c>
      <c r="F705" s="564" t="str">
        <f t="shared" si="104"/>
        <v>0</v>
      </c>
      <c r="G705" s="24"/>
      <c r="H705" s="565">
        <v>23</v>
      </c>
      <c r="I705" s="334" t="s">
        <v>33</v>
      </c>
      <c r="J705" s="357" t="s">
        <v>1407</v>
      </c>
      <c r="K705" s="322" t="s">
        <v>2066</v>
      </c>
      <c r="L705" s="358" t="s">
        <v>1407</v>
      </c>
      <c r="M705" s="335" t="s">
        <v>2089</v>
      </c>
      <c r="N705" s="358" t="s">
        <v>1407</v>
      </c>
      <c r="O705" s="326" t="s">
        <v>2029</v>
      </c>
      <c r="P705" s="332"/>
      <c r="Q705" s="363"/>
      <c r="R705" s="364"/>
      <c r="S705" s="364"/>
      <c r="T705" s="13" t="str">
        <f t="shared" si="106"/>
        <v>23調査結果-建築物の内部-4（23）-改善策の具体的内容等</v>
      </c>
      <c r="V705" s="202"/>
      <c r="W705" s="202"/>
      <c r="X705" s="202"/>
    </row>
    <row r="706" spans="2:24" ht="19">
      <c r="B706" s="107">
        <f>'1_入力シート【基本情報】'!$BS$392</f>
        <v>0</v>
      </c>
      <c r="C706" s="493" t="str">
        <f t="shared" ref="C706:E707" si="115">ASC($D706)</f>
        <v>0</v>
      </c>
      <c r="D706" s="107">
        <f>'1_入力シート【基本情報】'!$BS$392</f>
        <v>0</v>
      </c>
      <c r="E706" s="7" t="str">
        <f t="shared" si="115"/>
        <v>0</v>
      </c>
      <c r="F706" s="7" t="str">
        <f t="shared" si="104"/>
        <v>0</v>
      </c>
      <c r="G706" s="24"/>
      <c r="H706" s="565">
        <v>23</v>
      </c>
      <c r="I706" s="334" t="s">
        <v>33</v>
      </c>
      <c r="J706" s="357" t="s">
        <v>1407</v>
      </c>
      <c r="K706" s="322" t="s">
        <v>2066</v>
      </c>
      <c r="L706" s="358" t="s">
        <v>1407</v>
      </c>
      <c r="M706" s="335" t="s">
        <v>2089</v>
      </c>
      <c r="N706" s="358" t="s">
        <v>1407</v>
      </c>
      <c r="O706" s="326" t="s">
        <v>387</v>
      </c>
      <c r="P706" s="332" t="s">
        <v>1879</v>
      </c>
      <c r="Q706" s="363" t="s">
        <v>1966</v>
      </c>
      <c r="R706" s="203"/>
      <c r="S706" s="203"/>
      <c r="T706" s="13" t="str">
        <f t="shared" si="106"/>
        <v>23調査結果-建築物の内部-4（23）-改善（予定）年月-年（令和）</v>
      </c>
      <c r="V706" s="202"/>
      <c r="W706" s="202"/>
      <c r="X706" s="202"/>
    </row>
    <row r="707" spans="2:24" ht="19">
      <c r="B707" s="107">
        <f>'1_入力シート【基本情報】'!$BV$392</f>
        <v>0</v>
      </c>
      <c r="C707" s="493" t="str">
        <f t="shared" si="115"/>
        <v>0</v>
      </c>
      <c r="D707" s="107">
        <f>'1_入力シート【基本情報】'!$BV$392</f>
        <v>0</v>
      </c>
      <c r="E707" s="7" t="str">
        <f t="shared" si="115"/>
        <v>0</v>
      </c>
      <c r="F707" s="7" t="str">
        <f t="shared" si="104"/>
        <v>0</v>
      </c>
      <c r="G707" s="24"/>
      <c r="H707" s="565">
        <v>23</v>
      </c>
      <c r="I707" s="334" t="s">
        <v>33</v>
      </c>
      <c r="J707" s="357" t="s">
        <v>1407</v>
      </c>
      <c r="K707" s="322" t="s">
        <v>2066</v>
      </c>
      <c r="L707" s="358" t="s">
        <v>1407</v>
      </c>
      <c r="M707" s="335" t="s">
        <v>2089</v>
      </c>
      <c r="N707" s="358" t="s">
        <v>1407</v>
      </c>
      <c r="O707" s="326" t="s">
        <v>387</v>
      </c>
      <c r="P707" s="332" t="s">
        <v>1879</v>
      </c>
      <c r="Q707" s="363" t="s">
        <v>383</v>
      </c>
      <c r="R707" s="364"/>
      <c r="S707" s="364"/>
      <c r="T707" s="13" t="str">
        <f t="shared" si="106"/>
        <v>23調査結果-建築物の内部-4（23）-改善（予定）年月-月</v>
      </c>
      <c r="V707" s="202"/>
      <c r="W707" s="202"/>
      <c r="X707" s="202"/>
    </row>
    <row r="708" spans="2:24">
      <c r="B708" s="107">
        <f>'1_入力シート【基本情報】'!$BY$392</f>
        <v>0</v>
      </c>
      <c r="C708" s="4" t="str">
        <f t="shared" si="111"/>
        <v/>
      </c>
      <c r="D708" s="107">
        <f>'1_入力シート【基本情報】'!$BY$392</f>
        <v>0</v>
      </c>
      <c r="E708" s="564">
        <f>'1_入力シート【基本情報】'!$BY$392</f>
        <v>0</v>
      </c>
      <c r="F708" s="564" t="str">
        <f t="shared" si="104"/>
        <v>0</v>
      </c>
      <c r="G708" s="24"/>
      <c r="H708" s="565">
        <v>23</v>
      </c>
      <c r="I708" s="334" t="s">
        <v>33</v>
      </c>
      <c r="J708" s="357" t="s">
        <v>1407</v>
      </c>
      <c r="K708" s="322" t="s">
        <v>2066</v>
      </c>
      <c r="L708" s="358" t="s">
        <v>1407</v>
      </c>
      <c r="M708" s="335" t="s">
        <v>2089</v>
      </c>
      <c r="N708" s="358" t="s">
        <v>1407</v>
      </c>
      <c r="O708" s="334" t="s">
        <v>387</v>
      </c>
      <c r="P708" s="332" t="s">
        <v>1879</v>
      </c>
      <c r="Q708" s="363" t="s">
        <v>675</v>
      </c>
      <c r="R708" s="364"/>
      <c r="S708" s="364"/>
      <c r="T708" s="13" t="str">
        <f t="shared" si="106"/>
        <v>23調査結果-建築物の内部-4（23）-改善（予定）年月-未定</v>
      </c>
      <c r="V708" s="202"/>
      <c r="W708" s="202"/>
      <c r="X708" s="202"/>
    </row>
    <row r="709" spans="2:24">
      <c r="B709" s="107">
        <f>'1_入力シート【基本情報】'!$AF$393</f>
        <v>0</v>
      </c>
      <c r="C709" s="4" t="str">
        <f t="shared" si="111"/>
        <v/>
      </c>
      <c r="D709" s="107" t="str">
        <f>C709</f>
        <v/>
      </c>
      <c r="E709" s="564" t="str">
        <f>D709</f>
        <v/>
      </c>
      <c r="F709" s="564" t="str">
        <f t="shared" ref="F709:F772" si="116">SUBSTITUTE(E709,CHAR(10),"")</f>
        <v/>
      </c>
      <c r="G709" s="24"/>
      <c r="H709" s="565">
        <v>23</v>
      </c>
      <c r="I709" s="334" t="s">
        <v>33</v>
      </c>
      <c r="J709" s="357" t="s">
        <v>1407</v>
      </c>
      <c r="K709" s="322" t="s">
        <v>2066</v>
      </c>
      <c r="L709" s="358" t="s">
        <v>1407</v>
      </c>
      <c r="M709" s="335" t="s">
        <v>2090</v>
      </c>
      <c r="N709" s="358" t="s">
        <v>1407</v>
      </c>
      <c r="O709" s="334" t="s">
        <v>33</v>
      </c>
      <c r="P709" s="332"/>
      <c r="Q709" s="363"/>
      <c r="R709" s="364"/>
      <c r="S709" s="364"/>
      <c r="T709" s="13" t="str">
        <f t="shared" si="106"/>
        <v>23調査結果-建築物の内部-4（24）-調査結果</v>
      </c>
      <c r="V709" s="202"/>
      <c r="W709" s="202"/>
      <c r="X709" s="202"/>
    </row>
    <row r="710" spans="2:24">
      <c r="B710" s="107">
        <f>'1_入力シート【基本情報】'!$AR$393</f>
        <v>0</v>
      </c>
      <c r="C710" s="4" t="str">
        <f t="shared" si="111"/>
        <v/>
      </c>
      <c r="D710" s="107">
        <f>'1_入力シート【基本情報】'!$AR$393</f>
        <v>0</v>
      </c>
      <c r="E710" s="564">
        <f>'1_入力シート【基本情報】'!$AR$393</f>
        <v>0</v>
      </c>
      <c r="F710" s="564" t="str">
        <f t="shared" si="116"/>
        <v>0</v>
      </c>
      <c r="G710" s="24"/>
      <c r="H710" s="565">
        <v>23</v>
      </c>
      <c r="I710" s="334" t="s">
        <v>33</v>
      </c>
      <c r="J710" s="357" t="s">
        <v>1407</v>
      </c>
      <c r="K710" s="322" t="s">
        <v>2066</v>
      </c>
      <c r="L710" s="358" t="s">
        <v>1407</v>
      </c>
      <c r="M710" s="335" t="s">
        <v>2090</v>
      </c>
      <c r="N710" s="358" t="s">
        <v>1407</v>
      </c>
      <c r="O710" s="334" t="s">
        <v>30</v>
      </c>
      <c r="P710" s="332"/>
      <c r="Q710" s="363"/>
      <c r="R710" s="364"/>
      <c r="S710" s="364"/>
      <c r="T710" s="13" t="str">
        <f t="shared" si="106"/>
        <v>23調査結果-建築物の内部-4（24）-調査者番号</v>
      </c>
      <c r="V710" s="202"/>
      <c r="W710" s="202"/>
      <c r="X710" s="202"/>
    </row>
    <row r="711" spans="2:24">
      <c r="B711" s="107">
        <f>'1_入力シート【基本情報】'!$AT$393</f>
        <v>0</v>
      </c>
      <c r="C711" s="4" t="str">
        <f t="shared" si="111"/>
        <v/>
      </c>
      <c r="D711" s="107">
        <f>'1_入力シート【基本情報】'!$AT$393</f>
        <v>0</v>
      </c>
      <c r="E711" s="564">
        <f>'1_入力シート【基本情報】'!$AT$393</f>
        <v>0</v>
      </c>
      <c r="F711" s="564" t="str">
        <f t="shared" si="116"/>
        <v>0</v>
      </c>
      <c r="G711" s="24"/>
      <c r="H711" s="565">
        <v>23</v>
      </c>
      <c r="I711" s="334" t="s">
        <v>33</v>
      </c>
      <c r="J711" s="357" t="s">
        <v>1407</v>
      </c>
      <c r="K711" s="322" t="s">
        <v>2066</v>
      </c>
      <c r="L711" s="358" t="s">
        <v>1407</v>
      </c>
      <c r="M711" s="335" t="s">
        <v>2090</v>
      </c>
      <c r="N711" s="358" t="s">
        <v>1407</v>
      </c>
      <c r="O711" s="326" t="s">
        <v>2028</v>
      </c>
      <c r="P711" s="327"/>
      <c r="Q711" s="336"/>
      <c r="R711" s="364"/>
      <c r="S711" s="364"/>
      <c r="T711" s="13" t="str">
        <f t="shared" si="106"/>
        <v>23調査結果-建築物の内部-4（24）-指摘の具体的内容等</v>
      </c>
      <c r="V711" s="202"/>
      <c r="W711" s="202"/>
      <c r="X711" s="202"/>
    </row>
    <row r="712" spans="2:24">
      <c r="B712" s="107">
        <f>'1_入力シート【基本情報】'!$BD$393</f>
        <v>0</v>
      </c>
      <c r="C712" s="4" t="str">
        <f t="shared" si="111"/>
        <v/>
      </c>
      <c r="D712" s="107">
        <f>'1_入力シート【基本情報】'!$BD$393</f>
        <v>0</v>
      </c>
      <c r="E712" s="564">
        <f>'1_入力シート【基本情報】'!$BD$393</f>
        <v>0</v>
      </c>
      <c r="F712" s="564" t="str">
        <f t="shared" si="116"/>
        <v>0</v>
      </c>
      <c r="G712" s="24"/>
      <c r="H712" s="565">
        <v>23</v>
      </c>
      <c r="I712" s="334" t="s">
        <v>33</v>
      </c>
      <c r="J712" s="357" t="s">
        <v>1407</v>
      </c>
      <c r="K712" s="322" t="s">
        <v>2066</v>
      </c>
      <c r="L712" s="358" t="s">
        <v>1407</v>
      </c>
      <c r="M712" s="335" t="s">
        <v>2090</v>
      </c>
      <c r="N712" s="358" t="s">
        <v>1407</v>
      </c>
      <c r="O712" s="326" t="s">
        <v>2029</v>
      </c>
      <c r="P712" s="332"/>
      <c r="Q712" s="363"/>
      <c r="R712" s="364"/>
      <c r="S712" s="364"/>
      <c r="T712" s="13" t="str">
        <f t="shared" si="106"/>
        <v>23調査結果-建築物の内部-4（24）-改善策の具体的内容等</v>
      </c>
      <c r="V712" s="202"/>
      <c r="W712" s="202"/>
      <c r="X712" s="202"/>
    </row>
    <row r="713" spans="2:24" ht="19">
      <c r="B713" s="107">
        <f>'1_入力シート【基本情報】'!$BS$393</f>
        <v>0</v>
      </c>
      <c r="C713" s="493" t="str">
        <f t="shared" ref="C713:E714" si="117">ASC($D713)</f>
        <v>0</v>
      </c>
      <c r="D713" s="107">
        <f>'1_入力シート【基本情報】'!$BS$393</f>
        <v>0</v>
      </c>
      <c r="E713" s="7" t="str">
        <f t="shared" si="117"/>
        <v>0</v>
      </c>
      <c r="F713" s="7" t="str">
        <f t="shared" si="116"/>
        <v>0</v>
      </c>
      <c r="G713" s="24"/>
      <c r="H713" s="565">
        <v>23</v>
      </c>
      <c r="I713" s="334" t="s">
        <v>33</v>
      </c>
      <c r="J713" s="357" t="s">
        <v>1407</v>
      </c>
      <c r="K713" s="322" t="s">
        <v>2066</v>
      </c>
      <c r="L713" s="358" t="s">
        <v>1407</v>
      </c>
      <c r="M713" s="335" t="s">
        <v>2090</v>
      </c>
      <c r="N713" s="358" t="s">
        <v>1407</v>
      </c>
      <c r="O713" s="326" t="s">
        <v>387</v>
      </c>
      <c r="P713" s="332" t="s">
        <v>1879</v>
      </c>
      <c r="Q713" s="363" t="s">
        <v>1966</v>
      </c>
      <c r="R713" s="364"/>
      <c r="S713" s="364"/>
      <c r="T713" s="13" t="str">
        <f t="shared" si="106"/>
        <v>23調査結果-建築物の内部-4（24）-改善（予定）年月-年（令和）</v>
      </c>
      <c r="V713" s="202"/>
      <c r="W713" s="202"/>
      <c r="X713" s="202"/>
    </row>
    <row r="714" spans="2:24" ht="19">
      <c r="B714" s="107">
        <f>'1_入力シート【基本情報】'!$BV$393</f>
        <v>0</v>
      </c>
      <c r="C714" s="493" t="str">
        <f t="shared" si="117"/>
        <v>0</v>
      </c>
      <c r="D714" s="107">
        <f>'1_入力シート【基本情報】'!$BV$393</f>
        <v>0</v>
      </c>
      <c r="E714" s="7" t="str">
        <f t="shared" si="117"/>
        <v>0</v>
      </c>
      <c r="F714" s="7" t="str">
        <f t="shared" si="116"/>
        <v>0</v>
      </c>
      <c r="G714" s="24"/>
      <c r="H714" s="565">
        <v>23</v>
      </c>
      <c r="I714" s="334" t="s">
        <v>33</v>
      </c>
      <c r="J714" s="357" t="s">
        <v>1407</v>
      </c>
      <c r="K714" s="322" t="s">
        <v>2066</v>
      </c>
      <c r="L714" s="358" t="s">
        <v>1407</v>
      </c>
      <c r="M714" s="335" t="s">
        <v>2090</v>
      </c>
      <c r="N714" s="358" t="s">
        <v>1407</v>
      </c>
      <c r="O714" s="326" t="s">
        <v>387</v>
      </c>
      <c r="P714" s="332" t="s">
        <v>1879</v>
      </c>
      <c r="Q714" s="363" t="s">
        <v>383</v>
      </c>
      <c r="R714" s="203"/>
      <c r="S714" s="203"/>
      <c r="T714" s="13" t="str">
        <f t="shared" si="106"/>
        <v>23調査結果-建築物の内部-4（24）-改善（予定）年月-月</v>
      </c>
      <c r="V714" s="202"/>
      <c r="W714" s="202"/>
      <c r="X714" s="202"/>
    </row>
    <row r="715" spans="2:24">
      <c r="B715" s="107">
        <f>'1_入力シート【基本情報】'!$BY$393</f>
        <v>0</v>
      </c>
      <c r="C715" s="4" t="str">
        <f t="shared" si="111"/>
        <v/>
      </c>
      <c r="D715" s="107">
        <f>'1_入力シート【基本情報】'!$BY$393</f>
        <v>0</v>
      </c>
      <c r="E715" s="564">
        <f>'1_入力シート【基本情報】'!$BY$393</f>
        <v>0</v>
      </c>
      <c r="F715" s="564" t="str">
        <f t="shared" si="116"/>
        <v>0</v>
      </c>
      <c r="G715" s="24"/>
      <c r="H715" s="565">
        <v>23</v>
      </c>
      <c r="I715" s="334" t="s">
        <v>33</v>
      </c>
      <c r="J715" s="357" t="s">
        <v>1407</v>
      </c>
      <c r="K715" s="322" t="s">
        <v>2066</v>
      </c>
      <c r="L715" s="358" t="s">
        <v>1407</v>
      </c>
      <c r="M715" s="335" t="s">
        <v>2090</v>
      </c>
      <c r="N715" s="358" t="s">
        <v>1407</v>
      </c>
      <c r="O715" s="326" t="s">
        <v>387</v>
      </c>
      <c r="P715" s="332" t="s">
        <v>1879</v>
      </c>
      <c r="Q715" s="363" t="s">
        <v>675</v>
      </c>
      <c r="R715" s="364"/>
      <c r="S715" s="364"/>
      <c r="T715" s="13" t="str">
        <f t="shared" si="106"/>
        <v>23調査結果-建築物の内部-4（24）-改善（予定）年月-未定</v>
      </c>
      <c r="V715" s="202"/>
      <c r="W715" s="202"/>
      <c r="X715" s="202"/>
    </row>
    <row r="716" spans="2:24">
      <c r="B716" s="107">
        <f>'1_入力シート【基本情報】'!$AF$394</f>
        <v>0</v>
      </c>
      <c r="C716" s="4" t="str">
        <f t="shared" si="111"/>
        <v/>
      </c>
      <c r="D716" s="107" t="str">
        <f>C716</f>
        <v/>
      </c>
      <c r="E716" s="564" t="str">
        <f>D716</f>
        <v/>
      </c>
      <c r="F716" s="564" t="str">
        <f t="shared" si="116"/>
        <v/>
      </c>
      <c r="G716" s="24"/>
      <c r="H716" s="565">
        <v>23</v>
      </c>
      <c r="I716" s="334" t="s">
        <v>33</v>
      </c>
      <c r="J716" s="357" t="s">
        <v>1407</v>
      </c>
      <c r="K716" s="322" t="s">
        <v>2066</v>
      </c>
      <c r="L716" s="358" t="s">
        <v>1407</v>
      </c>
      <c r="M716" s="335" t="s">
        <v>2091</v>
      </c>
      <c r="N716" s="358" t="s">
        <v>1407</v>
      </c>
      <c r="O716" s="334" t="s">
        <v>33</v>
      </c>
      <c r="P716" s="332"/>
      <c r="Q716" s="363"/>
      <c r="R716" s="364"/>
      <c r="S716" s="364"/>
      <c r="T716" s="13" t="str">
        <f t="shared" ref="T716:T779" si="118">CONCATENATE(H716,I716,J716,K716,L716,M716,N716,O716,P716,Q716)</f>
        <v>23調査結果-建築物の内部-4（25）-調査結果</v>
      </c>
      <c r="V716" s="202"/>
      <c r="W716" s="202"/>
      <c r="X716" s="202"/>
    </row>
    <row r="717" spans="2:24">
      <c r="B717" s="107">
        <f>'1_入力シート【基本情報】'!$AR$394</f>
        <v>0</v>
      </c>
      <c r="C717" s="4" t="str">
        <f t="shared" si="111"/>
        <v/>
      </c>
      <c r="D717" s="107">
        <f>'1_入力シート【基本情報】'!$AR$394</f>
        <v>0</v>
      </c>
      <c r="E717" s="564">
        <f>'1_入力シート【基本情報】'!$AR$394</f>
        <v>0</v>
      </c>
      <c r="F717" s="564" t="str">
        <f t="shared" si="116"/>
        <v>0</v>
      </c>
      <c r="G717" s="24"/>
      <c r="H717" s="565">
        <v>23</v>
      </c>
      <c r="I717" s="334" t="s">
        <v>33</v>
      </c>
      <c r="J717" s="357" t="s">
        <v>1407</v>
      </c>
      <c r="K717" s="322" t="s">
        <v>2066</v>
      </c>
      <c r="L717" s="358" t="s">
        <v>1407</v>
      </c>
      <c r="M717" s="335" t="s">
        <v>2091</v>
      </c>
      <c r="N717" s="358" t="s">
        <v>1407</v>
      </c>
      <c r="O717" s="334" t="s">
        <v>30</v>
      </c>
      <c r="P717" s="332"/>
      <c r="Q717" s="363"/>
      <c r="R717" s="364"/>
      <c r="S717" s="364"/>
      <c r="T717" s="13" t="str">
        <f t="shared" si="118"/>
        <v>23調査結果-建築物の内部-4（25）-調査者番号</v>
      </c>
      <c r="V717" s="202"/>
      <c r="W717" s="202"/>
      <c r="X717" s="202"/>
    </row>
    <row r="718" spans="2:24">
      <c r="B718" s="107">
        <f>'1_入力シート【基本情報】'!$AT$394</f>
        <v>0</v>
      </c>
      <c r="C718" s="4" t="str">
        <f t="shared" si="111"/>
        <v/>
      </c>
      <c r="D718" s="107">
        <f>'1_入力シート【基本情報】'!$AT$394</f>
        <v>0</v>
      </c>
      <c r="E718" s="564">
        <f>'1_入力シート【基本情報】'!$AT$394</f>
        <v>0</v>
      </c>
      <c r="F718" s="564" t="str">
        <f t="shared" si="116"/>
        <v>0</v>
      </c>
      <c r="G718" s="24"/>
      <c r="H718" s="565">
        <v>23</v>
      </c>
      <c r="I718" s="334" t="s">
        <v>33</v>
      </c>
      <c r="J718" s="357" t="s">
        <v>1407</v>
      </c>
      <c r="K718" s="322" t="s">
        <v>2066</v>
      </c>
      <c r="L718" s="358" t="s">
        <v>1407</v>
      </c>
      <c r="M718" s="335" t="s">
        <v>2091</v>
      </c>
      <c r="N718" s="358" t="s">
        <v>1407</v>
      </c>
      <c r="O718" s="334" t="s">
        <v>2028</v>
      </c>
      <c r="P718" s="332"/>
      <c r="Q718" s="363"/>
      <c r="R718" s="364"/>
      <c r="S718" s="364"/>
      <c r="T718" s="13" t="str">
        <f t="shared" si="118"/>
        <v>23調査結果-建築物の内部-4（25）-指摘の具体的内容等</v>
      </c>
      <c r="V718" s="202"/>
      <c r="W718" s="202"/>
      <c r="X718" s="202"/>
    </row>
    <row r="719" spans="2:24">
      <c r="B719" s="107">
        <f>'1_入力シート【基本情報】'!$BD$394</f>
        <v>0</v>
      </c>
      <c r="C719" s="4" t="str">
        <f t="shared" si="111"/>
        <v/>
      </c>
      <c r="D719" s="107">
        <f>'1_入力シート【基本情報】'!$BD$394</f>
        <v>0</v>
      </c>
      <c r="E719" s="564">
        <f>'1_入力シート【基本情報】'!$BD$394</f>
        <v>0</v>
      </c>
      <c r="F719" s="564" t="str">
        <f t="shared" si="116"/>
        <v>0</v>
      </c>
      <c r="G719" s="24"/>
      <c r="H719" s="565">
        <v>23</v>
      </c>
      <c r="I719" s="334" t="s">
        <v>33</v>
      </c>
      <c r="J719" s="357" t="s">
        <v>1407</v>
      </c>
      <c r="K719" s="322" t="s">
        <v>2066</v>
      </c>
      <c r="L719" s="358" t="s">
        <v>1407</v>
      </c>
      <c r="M719" s="335" t="s">
        <v>2091</v>
      </c>
      <c r="N719" s="358" t="s">
        <v>1407</v>
      </c>
      <c r="O719" s="326" t="s">
        <v>2029</v>
      </c>
      <c r="P719" s="327"/>
      <c r="Q719" s="336"/>
      <c r="R719" s="364"/>
      <c r="S719" s="364"/>
      <c r="T719" s="13" t="str">
        <f t="shared" si="118"/>
        <v>23調査結果-建築物の内部-4（25）-改善策の具体的内容等</v>
      </c>
      <c r="V719" s="202"/>
      <c r="W719" s="202"/>
      <c r="X719" s="202"/>
    </row>
    <row r="720" spans="2:24" ht="19">
      <c r="B720" s="107">
        <f>'1_入力シート【基本情報】'!$BS$394</f>
        <v>0</v>
      </c>
      <c r="C720" s="493" t="str">
        <f t="shared" ref="C720:E721" si="119">ASC($D720)</f>
        <v>0</v>
      </c>
      <c r="D720" s="107">
        <f>'1_入力シート【基本情報】'!$BS$394</f>
        <v>0</v>
      </c>
      <c r="E720" s="7" t="str">
        <f t="shared" si="119"/>
        <v>0</v>
      </c>
      <c r="F720" s="7" t="str">
        <f t="shared" si="116"/>
        <v>0</v>
      </c>
      <c r="G720" s="24"/>
      <c r="H720" s="565">
        <v>23</v>
      </c>
      <c r="I720" s="334" t="s">
        <v>33</v>
      </c>
      <c r="J720" s="357" t="s">
        <v>1407</v>
      </c>
      <c r="K720" s="322" t="s">
        <v>2066</v>
      </c>
      <c r="L720" s="358"/>
      <c r="M720" s="335" t="s">
        <v>2091</v>
      </c>
      <c r="N720" s="358" t="s">
        <v>1407</v>
      </c>
      <c r="O720" s="326" t="s">
        <v>387</v>
      </c>
      <c r="P720" s="332" t="s">
        <v>1879</v>
      </c>
      <c r="Q720" s="363" t="s">
        <v>1966</v>
      </c>
      <c r="R720" s="364"/>
      <c r="S720" s="364"/>
      <c r="T720" s="13" t="str">
        <f t="shared" si="118"/>
        <v>23調査結果-建築物の内部4（25）-改善（予定）年月-年（令和）</v>
      </c>
      <c r="V720" s="202"/>
      <c r="W720" s="202"/>
      <c r="X720" s="202"/>
    </row>
    <row r="721" spans="2:24" ht="19">
      <c r="B721" s="107">
        <f>'1_入力シート【基本情報】'!$BV$394</f>
        <v>0</v>
      </c>
      <c r="C721" s="493" t="str">
        <f t="shared" si="119"/>
        <v>0</v>
      </c>
      <c r="D721" s="107">
        <f>'1_入力シート【基本情報】'!$BV$394</f>
        <v>0</v>
      </c>
      <c r="E721" s="7" t="str">
        <f t="shared" si="119"/>
        <v>0</v>
      </c>
      <c r="F721" s="7" t="str">
        <f t="shared" si="116"/>
        <v>0</v>
      </c>
      <c r="G721" s="24"/>
      <c r="H721" s="565">
        <v>23</v>
      </c>
      <c r="I721" s="334" t="s">
        <v>33</v>
      </c>
      <c r="J721" s="357" t="s">
        <v>1407</v>
      </c>
      <c r="K721" s="322" t="s">
        <v>2066</v>
      </c>
      <c r="L721" s="358" t="s">
        <v>1407</v>
      </c>
      <c r="M721" s="335" t="s">
        <v>2091</v>
      </c>
      <c r="N721" s="358" t="s">
        <v>1407</v>
      </c>
      <c r="O721" s="326" t="s">
        <v>387</v>
      </c>
      <c r="P721" s="332" t="s">
        <v>1879</v>
      </c>
      <c r="Q721" s="363" t="s">
        <v>383</v>
      </c>
      <c r="R721" s="364"/>
      <c r="S721" s="364"/>
      <c r="T721" s="13" t="str">
        <f t="shared" si="118"/>
        <v>23調査結果-建築物の内部-4（25）-改善（予定）年月-月</v>
      </c>
      <c r="V721" s="202"/>
      <c r="W721" s="202"/>
      <c r="X721" s="202"/>
    </row>
    <row r="722" spans="2:24">
      <c r="B722" s="107">
        <f>'1_入力シート【基本情報】'!$BY$394</f>
        <v>0</v>
      </c>
      <c r="C722" s="4" t="str">
        <f t="shared" si="111"/>
        <v/>
      </c>
      <c r="D722" s="107">
        <f>'1_入力シート【基本情報】'!$BY$394</f>
        <v>0</v>
      </c>
      <c r="E722" s="564">
        <f>'1_入力シート【基本情報】'!$BY$394</f>
        <v>0</v>
      </c>
      <c r="F722" s="564" t="str">
        <f t="shared" si="116"/>
        <v>0</v>
      </c>
      <c r="G722" s="24"/>
      <c r="H722" s="565">
        <v>23</v>
      </c>
      <c r="I722" s="334" t="s">
        <v>33</v>
      </c>
      <c r="J722" s="357" t="s">
        <v>1407</v>
      </c>
      <c r="K722" s="322" t="s">
        <v>2066</v>
      </c>
      <c r="L722" s="358" t="s">
        <v>1407</v>
      </c>
      <c r="M722" s="335" t="s">
        <v>2091</v>
      </c>
      <c r="N722" s="358" t="s">
        <v>1407</v>
      </c>
      <c r="O722" s="326" t="s">
        <v>387</v>
      </c>
      <c r="P722" s="332" t="s">
        <v>1879</v>
      </c>
      <c r="Q722" s="363" t="s">
        <v>675</v>
      </c>
      <c r="R722" s="203"/>
      <c r="S722" s="203"/>
      <c r="T722" s="13" t="str">
        <f t="shared" si="118"/>
        <v>23調査結果-建築物の内部-4（25）-改善（予定）年月-未定</v>
      </c>
      <c r="V722" s="202"/>
      <c r="W722" s="202"/>
      <c r="X722" s="202"/>
    </row>
    <row r="723" spans="2:24">
      <c r="B723" s="107">
        <f>'1_入力シート【基本情報】'!$AF$395</f>
        <v>0</v>
      </c>
      <c r="C723" s="4" t="str">
        <f t="shared" si="111"/>
        <v/>
      </c>
      <c r="D723" s="107" t="str">
        <f>C723</f>
        <v/>
      </c>
      <c r="E723" s="564" t="str">
        <f>D723</f>
        <v/>
      </c>
      <c r="F723" s="564" t="str">
        <f t="shared" si="116"/>
        <v/>
      </c>
      <c r="G723" s="24"/>
      <c r="H723" s="565">
        <v>23</v>
      </c>
      <c r="I723" s="334" t="s">
        <v>33</v>
      </c>
      <c r="J723" s="357" t="s">
        <v>1407</v>
      </c>
      <c r="K723" s="322" t="s">
        <v>2066</v>
      </c>
      <c r="L723" s="358" t="s">
        <v>1407</v>
      </c>
      <c r="M723" s="335" t="s">
        <v>2092</v>
      </c>
      <c r="N723" s="358" t="s">
        <v>1407</v>
      </c>
      <c r="O723" s="326" t="s">
        <v>33</v>
      </c>
      <c r="P723" s="332"/>
      <c r="Q723" s="363"/>
      <c r="R723" s="364"/>
      <c r="S723" s="364"/>
      <c r="T723" s="13" t="str">
        <f t="shared" si="118"/>
        <v>23調査結果-建築物の内部-4（26）-調査結果</v>
      </c>
      <c r="V723" s="202"/>
      <c r="W723" s="202"/>
      <c r="X723" s="202"/>
    </row>
    <row r="724" spans="2:24">
      <c r="B724" s="107">
        <f>'1_入力シート【基本情報】'!$AR$395</f>
        <v>0</v>
      </c>
      <c r="C724" s="4" t="str">
        <f t="shared" si="111"/>
        <v/>
      </c>
      <c r="D724" s="107">
        <f>'1_入力シート【基本情報】'!$AR$395</f>
        <v>0</v>
      </c>
      <c r="E724" s="564">
        <f>'1_入力シート【基本情報】'!$AR$395</f>
        <v>0</v>
      </c>
      <c r="F724" s="564" t="str">
        <f t="shared" si="116"/>
        <v>0</v>
      </c>
      <c r="G724" s="24"/>
      <c r="H724" s="565">
        <v>23</v>
      </c>
      <c r="I724" s="334" t="s">
        <v>33</v>
      </c>
      <c r="J724" s="357" t="s">
        <v>1407</v>
      </c>
      <c r="K724" s="322" t="s">
        <v>2066</v>
      </c>
      <c r="L724" s="358" t="s">
        <v>1407</v>
      </c>
      <c r="M724" s="335" t="s">
        <v>2092</v>
      </c>
      <c r="N724" s="358" t="s">
        <v>1407</v>
      </c>
      <c r="O724" s="334" t="s">
        <v>30</v>
      </c>
      <c r="P724" s="332"/>
      <c r="Q724" s="363"/>
      <c r="R724" s="364"/>
      <c r="S724" s="364"/>
      <c r="T724" s="13" t="str">
        <f t="shared" si="118"/>
        <v>23調査結果-建築物の内部-4（26）-調査者番号</v>
      </c>
      <c r="V724" s="202"/>
      <c r="W724" s="202"/>
      <c r="X724" s="202"/>
    </row>
    <row r="725" spans="2:24">
      <c r="B725" s="107">
        <f>'1_入力シート【基本情報】'!$AT$395</f>
        <v>0</v>
      </c>
      <c r="C725" s="4" t="str">
        <f t="shared" si="111"/>
        <v/>
      </c>
      <c r="D725" s="107">
        <f>'1_入力シート【基本情報】'!$AT$395</f>
        <v>0</v>
      </c>
      <c r="E725" s="564">
        <f>'1_入力シート【基本情報】'!$AT$395</f>
        <v>0</v>
      </c>
      <c r="F725" s="564" t="str">
        <f t="shared" si="116"/>
        <v>0</v>
      </c>
      <c r="G725" s="24"/>
      <c r="H725" s="565">
        <v>23</v>
      </c>
      <c r="I725" s="334" t="s">
        <v>33</v>
      </c>
      <c r="J725" s="357" t="s">
        <v>1407</v>
      </c>
      <c r="K725" s="322" t="s">
        <v>2066</v>
      </c>
      <c r="L725" s="358" t="s">
        <v>1407</v>
      </c>
      <c r="M725" s="335" t="s">
        <v>2092</v>
      </c>
      <c r="N725" s="358" t="s">
        <v>1407</v>
      </c>
      <c r="O725" s="334" t="s">
        <v>2028</v>
      </c>
      <c r="P725" s="332"/>
      <c r="Q725" s="363"/>
      <c r="R725" s="364"/>
      <c r="S725" s="364"/>
      <c r="T725" s="13" t="str">
        <f t="shared" si="118"/>
        <v>23調査結果-建築物の内部-4（26）-指摘の具体的内容等</v>
      </c>
      <c r="V725" s="202"/>
      <c r="W725" s="202"/>
      <c r="X725" s="202"/>
    </row>
    <row r="726" spans="2:24">
      <c r="B726" s="107">
        <f>'1_入力シート【基本情報】'!$BD$395</f>
        <v>0</v>
      </c>
      <c r="C726" s="4" t="str">
        <f t="shared" si="111"/>
        <v/>
      </c>
      <c r="D726" s="107">
        <f>'1_入力シート【基本情報】'!$BD$395</f>
        <v>0</v>
      </c>
      <c r="E726" s="564">
        <f>'1_入力シート【基本情報】'!$BD$395</f>
        <v>0</v>
      </c>
      <c r="F726" s="564" t="str">
        <f t="shared" si="116"/>
        <v>0</v>
      </c>
      <c r="G726" s="24"/>
      <c r="H726" s="565">
        <v>23</v>
      </c>
      <c r="I726" s="334" t="s">
        <v>33</v>
      </c>
      <c r="J726" s="357" t="s">
        <v>1407</v>
      </c>
      <c r="K726" s="322" t="s">
        <v>2066</v>
      </c>
      <c r="L726" s="358" t="s">
        <v>1407</v>
      </c>
      <c r="M726" s="335" t="s">
        <v>2092</v>
      </c>
      <c r="N726" s="358" t="s">
        <v>1407</v>
      </c>
      <c r="O726" s="334" t="s">
        <v>2029</v>
      </c>
      <c r="P726" s="332"/>
      <c r="Q726" s="363"/>
      <c r="R726" s="364"/>
      <c r="S726" s="364"/>
      <c r="T726" s="13" t="str">
        <f t="shared" si="118"/>
        <v>23調査結果-建築物の内部-4（26）-改善策の具体的内容等</v>
      </c>
      <c r="V726" s="202"/>
      <c r="W726" s="202"/>
      <c r="X726" s="202"/>
    </row>
    <row r="727" spans="2:24" ht="19">
      <c r="B727" s="107">
        <f>'1_入力シート【基本情報】'!$BS$395</f>
        <v>0</v>
      </c>
      <c r="C727" s="493" t="str">
        <f t="shared" ref="C727:E728" si="120">ASC($D727)</f>
        <v>0</v>
      </c>
      <c r="D727" s="107">
        <f>'1_入力シート【基本情報】'!$BS$395</f>
        <v>0</v>
      </c>
      <c r="E727" s="7" t="str">
        <f t="shared" si="120"/>
        <v>0</v>
      </c>
      <c r="F727" s="7" t="str">
        <f t="shared" si="116"/>
        <v>0</v>
      </c>
      <c r="G727" s="24"/>
      <c r="H727" s="565">
        <v>23</v>
      </c>
      <c r="I727" s="334" t="s">
        <v>33</v>
      </c>
      <c r="J727" s="357" t="s">
        <v>1407</v>
      </c>
      <c r="K727" s="322" t="s">
        <v>2066</v>
      </c>
      <c r="L727" s="358" t="s">
        <v>1407</v>
      </c>
      <c r="M727" s="335" t="s">
        <v>2092</v>
      </c>
      <c r="N727" s="358" t="s">
        <v>1407</v>
      </c>
      <c r="O727" s="326" t="s">
        <v>387</v>
      </c>
      <c r="P727" s="327" t="s">
        <v>1879</v>
      </c>
      <c r="Q727" s="336" t="s">
        <v>1966</v>
      </c>
      <c r="R727" s="364"/>
      <c r="S727" s="364"/>
      <c r="T727" s="13" t="str">
        <f t="shared" si="118"/>
        <v>23調査結果-建築物の内部-4（26）-改善（予定）年月-年（令和）</v>
      </c>
      <c r="V727" s="202"/>
      <c r="W727" s="202"/>
      <c r="X727" s="202"/>
    </row>
    <row r="728" spans="2:24" ht="19">
      <c r="B728" s="107">
        <f>'1_入力シート【基本情報】'!$BV$395</f>
        <v>0</v>
      </c>
      <c r="C728" s="493" t="str">
        <f t="shared" si="120"/>
        <v>0</v>
      </c>
      <c r="D728" s="107">
        <f>'1_入力シート【基本情報】'!$BV$395</f>
        <v>0</v>
      </c>
      <c r="E728" s="7" t="str">
        <f t="shared" si="120"/>
        <v>0</v>
      </c>
      <c r="F728" s="7" t="str">
        <f t="shared" si="116"/>
        <v>0</v>
      </c>
      <c r="G728" s="24"/>
      <c r="H728" s="565">
        <v>23</v>
      </c>
      <c r="I728" s="334" t="s">
        <v>33</v>
      </c>
      <c r="J728" s="357" t="s">
        <v>1407</v>
      </c>
      <c r="K728" s="322" t="s">
        <v>2066</v>
      </c>
      <c r="L728" s="358"/>
      <c r="M728" s="335" t="s">
        <v>2092</v>
      </c>
      <c r="N728" s="358" t="s">
        <v>1407</v>
      </c>
      <c r="O728" s="326" t="s">
        <v>387</v>
      </c>
      <c r="P728" s="332" t="s">
        <v>1879</v>
      </c>
      <c r="Q728" s="363" t="s">
        <v>383</v>
      </c>
      <c r="R728" s="364"/>
      <c r="S728" s="364"/>
      <c r="T728" s="13" t="str">
        <f t="shared" si="118"/>
        <v>23調査結果-建築物の内部4（26）-改善（予定）年月-月</v>
      </c>
      <c r="V728" s="202"/>
      <c r="W728" s="202"/>
      <c r="X728" s="202"/>
    </row>
    <row r="729" spans="2:24">
      <c r="B729" s="107">
        <f>'1_入力シート【基本情報】'!$BY$395</f>
        <v>0</v>
      </c>
      <c r="C729" s="4" t="str">
        <f t="shared" si="111"/>
        <v/>
      </c>
      <c r="D729" s="107">
        <f>'1_入力シート【基本情報】'!$BY$395</f>
        <v>0</v>
      </c>
      <c r="E729" s="564">
        <f>'1_入力シート【基本情報】'!$BY$395</f>
        <v>0</v>
      </c>
      <c r="F729" s="564" t="str">
        <f t="shared" si="116"/>
        <v>0</v>
      </c>
      <c r="G729" s="24"/>
      <c r="H729" s="565">
        <v>23</v>
      </c>
      <c r="I729" s="334" t="s">
        <v>33</v>
      </c>
      <c r="J729" s="357" t="s">
        <v>1407</v>
      </c>
      <c r="K729" s="322" t="s">
        <v>2066</v>
      </c>
      <c r="L729" s="358" t="s">
        <v>1407</v>
      </c>
      <c r="M729" s="335" t="s">
        <v>2092</v>
      </c>
      <c r="N729" s="358" t="s">
        <v>1407</v>
      </c>
      <c r="O729" s="326" t="s">
        <v>387</v>
      </c>
      <c r="P729" s="332" t="s">
        <v>1879</v>
      </c>
      <c r="Q729" s="363" t="s">
        <v>675</v>
      </c>
      <c r="R729" s="364"/>
      <c r="S729" s="364"/>
      <c r="T729" s="13" t="str">
        <f t="shared" si="118"/>
        <v>23調査結果-建築物の内部-4（26）-改善（予定）年月-未定</v>
      </c>
      <c r="V729" s="202"/>
      <c r="W729" s="202"/>
      <c r="X729" s="202"/>
    </row>
    <row r="730" spans="2:24">
      <c r="B730" s="107">
        <f>'1_入力シート【基本情報】'!$AF$396</f>
        <v>0</v>
      </c>
      <c r="C730" s="4" t="str">
        <f t="shared" si="111"/>
        <v/>
      </c>
      <c r="D730" s="107" t="str">
        <f>C730</f>
        <v/>
      </c>
      <c r="E730" s="564" t="str">
        <f>D730</f>
        <v/>
      </c>
      <c r="F730" s="564" t="str">
        <f t="shared" si="116"/>
        <v/>
      </c>
      <c r="G730" s="24"/>
      <c r="H730" s="565">
        <v>23</v>
      </c>
      <c r="I730" s="334" t="s">
        <v>33</v>
      </c>
      <c r="J730" s="357" t="s">
        <v>1407</v>
      </c>
      <c r="K730" s="322" t="s">
        <v>2066</v>
      </c>
      <c r="L730" s="358" t="s">
        <v>1407</v>
      </c>
      <c r="M730" s="335" t="s">
        <v>2093</v>
      </c>
      <c r="N730" s="358" t="s">
        <v>1407</v>
      </c>
      <c r="O730" s="326" t="s">
        <v>33</v>
      </c>
      <c r="P730" s="332"/>
      <c r="Q730" s="363"/>
      <c r="R730" s="203"/>
      <c r="S730" s="203"/>
      <c r="T730" s="13" t="str">
        <f t="shared" si="118"/>
        <v>23調査結果-建築物の内部-4（27）-調査結果</v>
      </c>
      <c r="V730" s="202"/>
      <c r="W730" s="202"/>
      <c r="X730" s="202"/>
    </row>
    <row r="731" spans="2:24">
      <c r="B731" s="107">
        <f>'1_入力シート【基本情報】'!$AR$396</f>
        <v>0</v>
      </c>
      <c r="C731" s="4" t="str">
        <f t="shared" si="111"/>
        <v/>
      </c>
      <c r="D731" s="107">
        <f>'1_入力シート【基本情報】'!$AR$396</f>
        <v>0</v>
      </c>
      <c r="E731" s="564">
        <f>'1_入力シート【基本情報】'!$AR$396</f>
        <v>0</v>
      </c>
      <c r="F731" s="564" t="str">
        <f t="shared" si="116"/>
        <v>0</v>
      </c>
      <c r="G731" s="24"/>
      <c r="H731" s="565">
        <v>23</v>
      </c>
      <c r="I731" s="334" t="s">
        <v>33</v>
      </c>
      <c r="J731" s="357" t="s">
        <v>1407</v>
      </c>
      <c r="K731" s="322" t="s">
        <v>2066</v>
      </c>
      <c r="L731" s="358" t="s">
        <v>1407</v>
      </c>
      <c r="M731" s="335" t="s">
        <v>2093</v>
      </c>
      <c r="N731" s="358" t="s">
        <v>1407</v>
      </c>
      <c r="O731" s="326" t="s">
        <v>30</v>
      </c>
      <c r="P731" s="332"/>
      <c r="Q731" s="363"/>
      <c r="R731" s="364"/>
      <c r="S731" s="364"/>
      <c r="T731" s="13" t="str">
        <f t="shared" si="118"/>
        <v>23調査結果-建築物の内部-4（27）-調査者番号</v>
      </c>
      <c r="V731" s="202"/>
      <c r="W731" s="202"/>
      <c r="X731" s="202"/>
    </row>
    <row r="732" spans="2:24">
      <c r="B732" s="107">
        <f>'1_入力シート【基本情報】'!$AT$396</f>
        <v>0</v>
      </c>
      <c r="C732" s="4" t="str">
        <f t="shared" si="111"/>
        <v/>
      </c>
      <c r="D732" s="107">
        <f>'1_入力シート【基本情報】'!$AT$396</f>
        <v>0</v>
      </c>
      <c r="E732" s="564">
        <f>'1_入力シート【基本情報】'!$AT$396</f>
        <v>0</v>
      </c>
      <c r="F732" s="564" t="str">
        <f t="shared" si="116"/>
        <v>0</v>
      </c>
      <c r="G732" s="24"/>
      <c r="H732" s="565">
        <v>23</v>
      </c>
      <c r="I732" s="334" t="s">
        <v>33</v>
      </c>
      <c r="J732" s="357" t="s">
        <v>1407</v>
      </c>
      <c r="K732" s="322" t="s">
        <v>2066</v>
      </c>
      <c r="L732" s="358" t="s">
        <v>1407</v>
      </c>
      <c r="M732" s="335" t="s">
        <v>2093</v>
      </c>
      <c r="N732" s="358" t="s">
        <v>1407</v>
      </c>
      <c r="O732" s="334" t="s">
        <v>2028</v>
      </c>
      <c r="P732" s="332"/>
      <c r="Q732" s="363"/>
      <c r="R732" s="364"/>
      <c r="S732" s="364"/>
      <c r="T732" s="13" t="str">
        <f t="shared" si="118"/>
        <v>23調査結果-建築物の内部-4（27）-指摘の具体的内容等</v>
      </c>
      <c r="V732" s="202"/>
      <c r="W732" s="202"/>
      <c r="X732" s="202"/>
    </row>
    <row r="733" spans="2:24">
      <c r="B733" s="107">
        <f>'1_入力シート【基本情報】'!$BD$396</f>
        <v>0</v>
      </c>
      <c r="C733" s="4" t="str">
        <f t="shared" si="111"/>
        <v/>
      </c>
      <c r="D733" s="107">
        <f>'1_入力シート【基本情報】'!$BD$396</f>
        <v>0</v>
      </c>
      <c r="E733" s="564">
        <f>'1_入力シート【基本情報】'!$BD$396</f>
        <v>0</v>
      </c>
      <c r="F733" s="564" t="str">
        <f t="shared" si="116"/>
        <v>0</v>
      </c>
      <c r="G733" s="24"/>
      <c r="H733" s="565">
        <v>23</v>
      </c>
      <c r="I733" s="334" t="s">
        <v>33</v>
      </c>
      <c r="J733" s="357" t="s">
        <v>1407</v>
      </c>
      <c r="K733" s="322" t="s">
        <v>2066</v>
      </c>
      <c r="L733" s="358" t="s">
        <v>1407</v>
      </c>
      <c r="M733" s="335" t="s">
        <v>2093</v>
      </c>
      <c r="N733" s="358" t="s">
        <v>1407</v>
      </c>
      <c r="O733" s="334" t="s">
        <v>2029</v>
      </c>
      <c r="P733" s="332"/>
      <c r="Q733" s="363"/>
      <c r="R733" s="364"/>
      <c r="S733" s="364"/>
      <c r="T733" s="13" t="str">
        <f t="shared" si="118"/>
        <v>23調査結果-建築物の内部-4（27）-改善策の具体的内容等</v>
      </c>
      <c r="V733" s="202"/>
      <c r="W733" s="202"/>
      <c r="X733" s="202"/>
    </row>
    <row r="734" spans="2:24" ht="19">
      <c r="B734" s="107">
        <f>'1_入力シート【基本情報】'!$BS$396</f>
        <v>0</v>
      </c>
      <c r="C734" s="493" t="str">
        <f t="shared" ref="C734:E735" si="121">ASC($D734)</f>
        <v>0</v>
      </c>
      <c r="D734" s="107">
        <f>'1_入力シート【基本情報】'!$BS$396</f>
        <v>0</v>
      </c>
      <c r="E734" s="7" t="str">
        <f t="shared" si="121"/>
        <v>0</v>
      </c>
      <c r="F734" s="7" t="str">
        <f t="shared" si="116"/>
        <v>0</v>
      </c>
      <c r="G734" s="24"/>
      <c r="H734" s="565">
        <v>23</v>
      </c>
      <c r="I734" s="334" t="s">
        <v>33</v>
      </c>
      <c r="J734" s="357" t="s">
        <v>1407</v>
      </c>
      <c r="K734" s="322" t="s">
        <v>2066</v>
      </c>
      <c r="L734" s="358" t="s">
        <v>1407</v>
      </c>
      <c r="M734" s="335" t="s">
        <v>2093</v>
      </c>
      <c r="N734" s="358" t="s">
        <v>1407</v>
      </c>
      <c r="O734" s="334" t="s">
        <v>387</v>
      </c>
      <c r="P734" s="332" t="s">
        <v>1879</v>
      </c>
      <c r="Q734" s="363" t="s">
        <v>1966</v>
      </c>
      <c r="R734" s="364"/>
      <c r="S734" s="364"/>
      <c r="T734" s="13" t="str">
        <f t="shared" si="118"/>
        <v>23調査結果-建築物の内部-4（27）-改善（予定）年月-年（令和）</v>
      </c>
      <c r="V734" s="202"/>
      <c r="W734" s="202"/>
      <c r="X734" s="202"/>
    </row>
    <row r="735" spans="2:24" ht="19">
      <c r="B735" s="107">
        <f>'1_入力シート【基本情報】'!$BV$396</f>
        <v>0</v>
      </c>
      <c r="C735" s="493" t="str">
        <f t="shared" si="121"/>
        <v>0</v>
      </c>
      <c r="D735" s="107">
        <f>'1_入力シート【基本情報】'!$BV$396</f>
        <v>0</v>
      </c>
      <c r="E735" s="7" t="str">
        <f t="shared" si="121"/>
        <v>0</v>
      </c>
      <c r="F735" s="7" t="str">
        <f t="shared" si="116"/>
        <v>0</v>
      </c>
      <c r="G735" s="24"/>
      <c r="H735" s="565">
        <v>23</v>
      </c>
      <c r="I735" s="334" t="s">
        <v>33</v>
      </c>
      <c r="J735" s="357" t="s">
        <v>1407</v>
      </c>
      <c r="K735" s="322" t="s">
        <v>2066</v>
      </c>
      <c r="L735" s="358" t="s">
        <v>1407</v>
      </c>
      <c r="M735" s="335" t="s">
        <v>2093</v>
      </c>
      <c r="N735" s="358" t="s">
        <v>1407</v>
      </c>
      <c r="O735" s="326" t="s">
        <v>387</v>
      </c>
      <c r="P735" s="327" t="s">
        <v>1879</v>
      </c>
      <c r="Q735" s="336" t="s">
        <v>383</v>
      </c>
      <c r="R735" s="364"/>
      <c r="S735" s="364"/>
      <c r="T735" s="13" t="str">
        <f t="shared" si="118"/>
        <v>23調査結果-建築物の内部-4（27）-改善（予定）年月-月</v>
      </c>
      <c r="V735" s="202"/>
      <c r="W735" s="202"/>
      <c r="X735" s="202"/>
    </row>
    <row r="736" spans="2:24">
      <c r="B736" s="107">
        <f>'1_入力シート【基本情報】'!$BY$396</f>
        <v>0</v>
      </c>
      <c r="C736" s="4" t="str">
        <f t="shared" si="111"/>
        <v/>
      </c>
      <c r="D736" s="107">
        <f>'1_入力シート【基本情報】'!$BY$396</f>
        <v>0</v>
      </c>
      <c r="E736" s="564">
        <f>'1_入力シート【基本情報】'!$BY$396</f>
        <v>0</v>
      </c>
      <c r="F736" s="564" t="str">
        <f t="shared" si="116"/>
        <v>0</v>
      </c>
      <c r="G736" s="24"/>
      <c r="H736" s="565">
        <v>23</v>
      </c>
      <c r="I736" s="334" t="s">
        <v>33</v>
      </c>
      <c r="J736" s="357" t="s">
        <v>1407</v>
      </c>
      <c r="K736" s="322" t="s">
        <v>2066</v>
      </c>
      <c r="L736" s="358"/>
      <c r="M736" s="335" t="s">
        <v>2093</v>
      </c>
      <c r="N736" s="358" t="s">
        <v>1407</v>
      </c>
      <c r="O736" s="326" t="s">
        <v>387</v>
      </c>
      <c r="P736" s="332" t="s">
        <v>1879</v>
      </c>
      <c r="Q736" s="363" t="s">
        <v>675</v>
      </c>
      <c r="R736" s="364"/>
      <c r="S736" s="364"/>
      <c r="T736" s="13" t="str">
        <f t="shared" si="118"/>
        <v>23調査結果-建築物の内部4（27）-改善（予定）年月-未定</v>
      </c>
      <c r="V736" s="202"/>
      <c r="W736" s="202"/>
      <c r="X736" s="202"/>
    </row>
    <row r="737" spans="2:24">
      <c r="B737" s="107">
        <f>'1_入力シート【基本情報】'!$AF$397</f>
        <v>0</v>
      </c>
      <c r="C737" s="4" t="str">
        <f t="shared" si="111"/>
        <v/>
      </c>
      <c r="D737" s="107" t="str">
        <f>C737</f>
        <v/>
      </c>
      <c r="E737" s="564" t="str">
        <f>D737</f>
        <v/>
      </c>
      <c r="F737" s="564" t="str">
        <f t="shared" si="116"/>
        <v/>
      </c>
      <c r="G737" s="24"/>
      <c r="H737" s="565">
        <v>23</v>
      </c>
      <c r="I737" s="334" t="s">
        <v>33</v>
      </c>
      <c r="J737" s="357" t="s">
        <v>1407</v>
      </c>
      <c r="K737" s="322" t="s">
        <v>2066</v>
      </c>
      <c r="L737" s="358" t="s">
        <v>1407</v>
      </c>
      <c r="M737" s="335" t="s">
        <v>2094</v>
      </c>
      <c r="N737" s="358" t="s">
        <v>1407</v>
      </c>
      <c r="O737" s="326" t="s">
        <v>33</v>
      </c>
      <c r="P737" s="332"/>
      <c r="Q737" s="363"/>
      <c r="R737" s="364"/>
      <c r="S737" s="364"/>
      <c r="T737" s="13" t="str">
        <f t="shared" si="118"/>
        <v>23調査結果-建築物の内部-4（28）-調査結果</v>
      </c>
      <c r="V737" s="202"/>
      <c r="W737" s="202"/>
      <c r="X737" s="202"/>
    </row>
    <row r="738" spans="2:24">
      <c r="B738" s="107">
        <f>'1_入力シート【基本情報】'!$AR$397</f>
        <v>0</v>
      </c>
      <c r="C738" s="4" t="str">
        <f t="shared" si="111"/>
        <v/>
      </c>
      <c r="D738" s="107">
        <f>'1_入力シート【基本情報】'!$AR$397</f>
        <v>0</v>
      </c>
      <c r="E738" s="564">
        <f>'1_入力シート【基本情報】'!$AR$397</f>
        <v>0</v>
      </c>
      <c r="F738" s="564" t="str">
        <f t="shared" si="116"/>
        <v>0</v>
      </c>
      <c r="G738" s="24"/>
      <c r="H738" s="565">
        <v>23</v>
      </c>
      <c r="I738" s="334" t="s">
        <v>33</v>
      </c>
      <c r="J738" s="357" t="s">
        <v>1407</v>
      </c>
      <c r="K738" s="322" t="s">
        <v>2066</v>
      </c>
      <c r="L738" s="358" t="s">
        <v>1407</v>
      </c>
      <c r="M738" s="335" t="s">
        <v>2094</v>
      </c>
      <c r="N738" s="358" t="s">
        <v>1407</v>
      </c>
      <c r="O738" s="326" t="s">
        <v>30</v>
      </c>
      <c r="P738" s="332"/>
      <c r="Q738" s="363"/>
      <c r="R738" s="203"/>
      <c r="S738" s="203"/>
      <c r="T738" s="13" t="str">
        <f t="shared" si="118"/>
        <v>23調査結果-建築物の内部-4（28）-調査者番号</v>
      </c>
      <c r="V738" s="202"/>
      <c r="W738" s="202"/>
      <c r="X738" s="202"/>
    </row>
    <row r="739" spans="2:24">
      <c r="B739" s="107">
        <f>'1_入力シート【基本情報】'!$AT$397</f>
        <v>0</v>
      </c>
      <c r="C739" s="4" t="str">
        <f t="shared" si="111"/>
        <v/>
      </c>
      <c r="D739" s="107">
        <f>'1_入力シート【基本情報】'!$AT$397</f>
        <v>0</v>
      </c>
      <c r="E739" s="564">
        <f>'1_入力シート【基本情報】'!$AT$397</f>
        <v>0</v>
      </c>
      <c r="F739" s="564" t="str">
        <f t="shared" si="116"/>
        <v>0</v>
      </c>
      <c r="G739" s="24"/>
      <c r="H739" s="565">
        <v>23</v>
      </c>
      <c r="I739" s="334" t="s">
        <v>33</v>
      </c>
      <c r="J739" s="357" t="s">
        <v>1407</v>
      </c>
      <c r="K739" s="322" t="s">
        <v>2066</v>
      </c>
      <c r="L739" s="358" t="s">
        <v>1407</v>
      </c>
      <c r="M739" s="335" t="s">
        <v>2094</v>
      </c>
      <c r="N739" s="358" t="s">
        <v>1407</v>
      </c>
      <c r="O739" s="326" t="s">
        <v>2028</v>
      </c>
      <c r="P739" s="332"/>
      <c r="Q739" s="363"/>
      <c r="R739" s="364"/>
      <c r="S739" s="364"/>
      <c r="T739" s="13" t="str">
        <f t="shared" si="118"/>
        <v>23調査結果-建築物の内部-4（28）-指摘の具体的内容等</v>
      </c>
      <c r="V739" s="202"/>
      <c r="W739" s="202"/>
      <c r="X739" s="202"/>
    </row>
    <row r="740" spans="2:24">
      <c r="B740" s="107">
        <f>'1_入力シート【基本情報】'!$BD$397</f>
        <v>0</v>
      </c>
      <c r="C740" s="4" t="str">
        <f t="shared" si="111"/>
        <v/>
      </c>
      <c r="D740" s="107">
        <f>'1_入力シート【基本情報】'!$BD$397</f>
        <v>0</v>
      </c>
      <c r="E740" s="564">
        <f>'1_入力シート【基本情報】'!$BD$397</f>
        <v>0</v>
      </c>
      <c r="F740" s="564" t="str">
        <f t="shared" si="116"/>
        <v>0</v>
      </c>
      <c r="G740" s="24"/>
      <c r="H740" s="565">
        <v>23</v>
      </c>
      <c r="I740" s="334" t="s">
        <v>33</v>
      </c>
      <c r="J740" s="357" t="s">
        <v>1407</v>
      </c>
      <c r="K740" s="322" t="s">
        <v>2066</v>
      </c>
      <c r="L740" s="358" t="s">
        <v>1407</v>
      </c>
      <c r="M740" s="335" t="s">
        <v>2094</v>
      </c>
      <c r="N740" s="358" t="s">
        <v>1407</v>
      </c>
      <c r="O740" s="334" t="s">
        <v>2029</v>
      </c>
      <c r="P740" s="332"/>
      <c r="Q740" s="363"/>
      <c r="R740" s="364"/>
      <c r="S740" s="364"/>
      <c r="T740" s="13" t="str">
        <f t="shared" si="118"/>
        <v>23調査結果-建築物の内部-4（28）-改善策の具体的内容等</v>
      </c>
      <c r="V740" s="202"/>
      <c r="W740" s="202"/>
      <c r="X740" s="202"/>
    </row>
    <row r="741" spans="2:24" ht="19">
      <c r="B741" s="107">
        <f>'1_入力シート【基本情報】'!$BS$397</f>
        <v>0</v>
      </c>
      <c r="C741" s="493" t="str">
        <f t="shared" ref="C741:E742" si="122">ASC($D741)</f>
        <v>0</v>
      </c>
      <c r="D741" s="107">
        <f>'1_入力シート【基本情報】'!$BS$397</f>
        <v>0</v>
      </c>
      <c r="E741" s="7" t="str">
        <f t="shared" si="122"/>
        <v>0</v>
      </c>
      <c r="F741" s="7" t="str">
        <f t="shared" si="116"/>
        <v>0</v>
      </c>
      <c r="G741" s="24"/>
      <c r="H741" s="565">
        <v>23</v>
      </c>
      <c r="I741" s="334" t="s">
        <v>33</v>
      </c>
      <c r="J741" s="357" t="s">
        <v>1407</v>
      </c>
      <c r="K741" s="322" t="s">
        <v>2066</v>
      </c>
      <c r="L741" s="358" t="s">
        <v>1407</v>
      </c>
      <c r="M741" s="335" t="s">
        <v>2094</v>
      </c>
      <c r="N741" s="358" t="s">
        <v>1407</v>
      </c>
      <c r="O741" s="334" t="s">
        <v>387</v>
      </c>
      <c r="P741" s="332" t="s">
        <v>1879</v>
      </c>
      <c r="Q741" s="363" t="s">
        <v>1966</v>
      </c>
      <c r="R741" s="364"/>
      <c r="S741" s="364"/>
      <c r="T741" s="13" t="str">
        <f t="shared" si="118"/>
        <v>23調査結果-建築物の内部-4（28）-改善（予定）年月-年（令和）</v>
      </c>
      <c r="V741" s="202"/>
      <c r="W741" s="202"/>
      <c r="X741" s="202"/>
    </row>
    <row r="742" spans="2:24" ht="19">
      <c r="B742" s="107">
        <f>'1_入力シート【基本情報】'!$BV$397</f>
        <v>0</v>
      </c>
      <c r="C742" s="493" t="str">
        <f t="shared" si="122"/>
        <v>0</v>
      </c>
      <c r="D742" s="107">
        <f>'1_入力シート【基本情報】'!$BV$397</f>
        <v>0</v>
      </c>
      <c r="E742" s="7" t="str">
        <f t="shared" si="122"/>
        <v>0</v>
      </c>
      <c r="F742" s="7" t="str">
        <f t="shared" si="116"/>
        <v>0</v>
      </c>
      <c r="G742" s="24"/>
      <c r="H742" s="565">
        <v>23</v>
      </c>
      <c r="I742" s="334" t="s">
        <v>33</v>
      </c>
      <c r="J742" s="357" t="s">
        <v>1407</v>
      </c>
      <c r="K742" s="322" t="s">
        <v>2066</v>
      </c>
      <c r="L742" s="358" t="s">
        <v>1407</v>
      </c>
      <c r="M742" s="335" t="s">
        <v>2094</v>
      </c>
      <c r="N742" s="358" t="s">
        <v>1407</v>
      </c>
      <c r="O742" s="334" t="s">
        <v>387</v>
      </c>
      <c r="P742" s="332" t="s">
        <v>1879</v>
      </c>
      <c r="Q742" s="363" t="s">
        <v>383</v>
      </c>
      <c r="R742" s="364"/>
      <c r="S742" s="364"/>
      <c r="T742" s="13" t="str">
        <f t="shared" si="118"/>
        <v>23調査結果-建築物の内部-4（28）-改善（予定）年月-月</v>
      </c>
      <c r="V742" s="202"/>
      <c r="W742" s="202"/>
      <c r="X742" s="202"/>
    </row>
    <row r="743" spans="2:24">
      <c r="B743" s="107">
        <f>'1_入力シート【基本情報】'!$BY$397</f>
        <v>0</v>
      </c>
      <c r="C743" s="4" t="str">
        <f t="shared" ref="C743:C803" si="123">MID(B743,2,14)</f>
        <v/>
      </c>
      <c r="D743" s="107">
        <f>'1_入力シート【基本情報】'!$BY$397</f>
        <v>0</v>
      </c>
      <c r="E743" s="564">
        <f>'1_入力シート【基本情報】'!$BY$397</f>
        <v>0</v>
      </c>
      <c r="F743" s="564" t="str">
        <f t="shared" si="116"/>
        <v>0</v>
      </c>
      <c r="G743" s="24"/>
      <c r="H743" s="565">
        <v>23</v>
      </c>
      <c r="I743" s="334" t="s">
        <v>33</v>
      </c>
      <c r="J743" s="357" t="s">
        <v>1407</v>
      </c>
      <c r="K743" s="322" t="s">
        <v>2066</v>
      </c>
      <c r="L743" s="358" t="s">
        <v>1407</v>
      </c>
      <c r="M743" s="335" t="s">
        <v>2094</v>
      </c>
      <c r="N743" s="358" t="s">
        <v>1407</v>
      </c>
      <c r="O743" s="326" t="s">
        <v>387</v>
      </c>
      <c r="P743" s="327" t="s">
        <v>1879</v>
      </c>
      <c r="Q743" s="336" t="s">
        <v>675</v>
      </c>
      <c r="R743" s="364"/>
      <c r="S743" s="364"/>
      <c r="T743" s="13" t="str">
        <f t="shared" si="118"/>
        <v>23調査結果-建築物の内部-4（28）-改善（予定）年月-未定</v>
      </c>
      <c r="V743" s="202"/>
      <c r="W743" s="202"/>
      <c r="X743" s="202"/>
    </row>
    <row r="744" spans="2:24">
      <c r="B744" s="107">
        <f>'1_入力シート【基本情報】'!$AF$398</f>
        <v>0</v>
      </c>
      <c r="C744" s="4" t="str">
        <f t="shared" si="123"/>
        <v/>
      </c>
      <c r="D744" s="107" t="str">
        <f>C744</f>
        <v/>
      </c>
      <c r="E744" s="564" t="str">
        <f>D744</f>
        <v/>
      </c>
      <c r="F744" s="564" t="str">
        <f t="shared" si="116"/>
        <v/>
      </c>
      <c r="G744" s="24"/>
      <c r="H744" s="565">
        <v>23</v>
      </c>
      <c r="I744" s="334" t="s">
        <v>33</v>
      </c>
      <c r="J744" s="357" t="s">
        <v>1407</v>
      </c>
      <c r="K744" s="322" t="s">
        <v>2066</v>
      </c>
      <c r="L744" s="358"/>
      <c r="M744" s="335" t="s">
        <v>2095</v>
      </c>
      <c r="N744" s="358" t="s">
        <v>1407</v>
      </c>
      <c r="O744" s="326" t="s">
        <v>33</v>
      </c>
      <c r="P744" s="332"/>
      <c r="Q744" s="363"/>
      <c r="R744" s="364"/>
      <c r="S744" s="364"/>
      <c r="T744" s="13" t="str">
        <f t="shared" si="118"/>
        <v>23調査結果-建築物の内部4（29）-調査結果</v>
      </c>
      <c r="V744" s="202"/>
      <c r="W744" s="202"/>
      <c r="X744" s="202"/>
    </row>
    <row r="745" spans="2:24">
      <c r="B745" s="107">
        <f>'1_入力シート【基本情報】'!$AR$398</f>
        <v>0</v>
      </c>
      <c r="C745" s="4" t="str">
        <f t="shared" si="123"/>
        <v/>
      </c>
      <c r="D745" s="107">
        <f>'1_入力シート【基本情報】'!$AR$398</f>
        <v>0</v>
      </c>
      <c r="E745" s="564">
        <f>'1_入力シート【基本情報】'!$AR$398</f>
        <v>0</v>
      </c>
      <c r="F745" s="564" t="str">
        <f t="shared" si="116"/>
        <v>0</v>
      </c>
      <c r="G745" s="24"/>
      <c r="H745" s="565">
        <v>23</v>
      </c>
      <c r="I745" s="334" t="s">
        <v>33</v>
      </c>
      <c r="J745" s="357" t="s">
        <v>1407</v>
      </c>
      <c r="K745" s="322" t="s">
        <v>2066</v>
      </c>
      <c r="L745" s="358" t="s">
        <v>1407</v>
      </c>
      <c r="M745" s="335" t="s">
        <v>2095</v>
      </c>
      <c r="N745" s="358" t="s">
        <v>1407</v>
      </c>
      <c r="O745" s="326" t="s">
        <v>30</v>
      </c>
      <c r="P745" s="332"/>
      <c r="Q745" s="363"/>
      <c r="R745" s="364"/>
      <c r="S745" s="364"/>
      <c r="T745" s="13" t="str">
        <f t="shared" si="118"/>
        <v>23調査結果-建築物の内部-4（29）-調査者番号</v>
      </c>
      <c r="V745" s="202"/>
      <c r="W745" s="202"/>
      <c r="X745" s="202"/>
    </row>
    <row r="746" spans="2:24">
      <c r="B746" s="107">
        <f>'1_入力シート【基本情報】'!$AT$398</f>
        <v>0</v>
      </c>
      <c r="C746" s="4" t="str">
        <f t="shared" si="123"/>
        <v/>
      </c>
      <c r="D746" s="107">
        <f>'1_入力シート【基本情報】'!$AT$398</f>
        <v>0</v>
      </c>
      <c r="E746" s="564">
        <f>'1_入力シート【基本情報】'!$AT$398</f>
        <v>0</v>
      </c>
      <c r="F746" s="564" t="str">
        <f t="shared" si="116"/>
        <v>0</v>
      </c>
      <c r="G746" s="24"/>
      <c r="H746" s="565">
        <v>23</v>
      </c>
      <c r="I746" s="334" t="s">
        <v>33</v>
      </c>
      <c r="J746" s="357" t="s">
        <v>1407</v>
      </c>
      <c r="K746" s="322" t="s">
        <v>2066</v>
      </c>
      <c r="L746" s="358" t="s">
        <v>1407</v>
      </c>
      <c r="M746" s="335" t="s">
        <v>2095</v>
      </c>
      <c r="N746" s="358" t="s">
        <v>1407</v>
      </c>
      <c r="O746" s="326" t="s">
        <v>2028</v>
      </c>
      <c r="P746" s="332"/>
      <c r="Q746" s="363"/>
      <c r="R746" s="203"/>
      <c r="S746" s="203"/>
      <c r="T746" s="13" t="str">
        <f t="shared" si="118"/>
        <v>23調査結果-建築物の内部-4（29）-指摘の具体的内容等</v>
      </c>
      <c r="V746" s="202"/>
      <c r="W746" s="202"/>
      <c r="X746" s="202"/>
    </row>
    <row r="747" spans="2:24">
      <c r="B747" s="107">
        <f>'1_入力シート【基本情報】'!$BD$398</f>
        <v>0</v>
      </c>
      <c r="C747" s="4" t="str">
        <f t="shared" si="123"/>
        <v/>
      </c>
      <c r="D747" s="107">
        <f>'1_入力シート【基本情報】'!$BD$398</f>
        <v>0</v>
      </c>
      <c r="E747" s="564">
        <f>'1_入力シート【基本情報】'!$BD$398</f>
        <v>0</v>
      </c>
      <c r="F747" s="564" t="str">
        <f t="shared" si="116"/>
        <v>0</v>
      </c>
      <c r="G747" s="24"/>
      <c r="H747" s="565">
        <v>23</v>
      </c>
      <c r="I747" s="334" t="s">
        <v>33</v>
      </c>
      <c r="J747" s="357" t="s">
        <v>1407</v>
      </c>
      <c r="K747" s="322" t="s">
        <v>2066</v>
      </c>
      <c r="L747" s="358" t="s">
        <v>1407</v>
      </c>
      <c r="M747" s="335" t="s">
        <v>2095</v>
      </c>
      <c r="N747" s="358" t="s">
        <v>1407</v>
      </c>
      <c r="O747" s="326" t="s">
        <v>2029</v>
      </c>
      <c r="P747" s="332"/>
      <c r="Q747" s="363"/>
      <c r="R747" s="364"/>
      <c r="S747" s="364"/>
      <c r="T747" s="13" t="str">
        <f t="shared" si="118"/>
        <v>23調査結果-建築物の内部-4（29）-改善策の具体的内容等</v>
      </c>
      <c r="V747" s="202"/>
      <c r="W747" s="202"/>
      <c r="X747" s="202"/>
    </row>
    <row r="748" spans="2:24" ht="19">
      <c r="B748" s="107">
        <f>'1_入力シート【基本情報】'!$BS$398</f>
        <v>0</v>
      </c>
      <c r="C748" s="493" t="str">
        <f t="shared" ref="C748:E749" si="124">ASC($D748)</f>
        <v>0</v>
      </c>
      <c r="D748" s="107">
        <f>'1_入力シート【基本情報】'!$BS$398</f>
        <v>0</v>
      </c>
      <c r="E748" s="7" t="str">
        <f t="shared" si="124"/>
        <v>0</v>
      </c>
      <c r="F748" s="7" t="str">
        <f t="shared" si="116"/>
        <v>0</v>
      </c>
      <c r="G748" s="24"/>
      <c r="H748" s="565">
        <v>23</v>
      </c>
      <c r="I748" s="334" t="s">
        <v>33</v>
      </c>
      <c r="J748" s="357" t="s">
        <v>1407</v>
      </c>
      <c r="K748" s="322" t="s">
        <v>2066</v>
      </c>
      <c r="L748" s="358" t="s">
        <v>1407</v>
      </c>
      <c r="M748" s="335" t="s">
        <v>2095</v>
      </c>
      <c r="N748" s="358" t="s">
        <v>1407</v>
      </c>
      <c r="O748" s="334" t="s">
        <v>387</v>
      </c>
      <c r="P748" s="332" t="s">
        <v>1879</v>
      </c>
      <c r="Q748" s="363" t="s">
        <v>1966</v>
      </c>
      <c r="R748" s="364"/>
      <c r="S748" s="364"/>
      <c r="T748" s="13" t="str">
        <f t="shared" si="118"/>
        <v>23調査結果-建築物の内部-4（29）-改善（予定）年月-年（令和）</v>
      </c>
      <c r="V748" s="202"/>
      <c r="W748" s="202"/>
      <c r="X748" s="202"/>
    </row>
    <row r="749" spans="2:24" ht="19">
      <c r="B749" s="107">
        <f>'1_入力シート【基本情報】'!$BV$398</f>
        <v>0</v>
      </c>
      <c r="C749" s="493" t="str">
        <f t="shared" si="124"/>
        <v>0</v>
      </c>
      <c r="D749" s="107">
        <f>'1_入力シート【基本情報】'!$BV$398</f>
        <v>0</v>
      </c>
      <c r="E749" s="7" t="str">
        <f t="shared" si="124"/>
        <v>0</v>
      </c>
      <c r="F749" s="7" t="str">
        <f t="shared" si="116"/>
        <v>0</v>
      </c>
      <c r="G749" s="24"/>
      <c r="H749" s="565">
        <v>23</v>
      </c>
      <c r="I749" s="334" t="s">
        <v>33</v>
      </c>
      <c r="J749" s="357" t="s">
        <v>1407</v>
      </c>
      <c r="K749" s="322" t="s">
        <v>2066</v>
      </c>
      <c r="L749" s="358" t="s">
        <v>1407</v>
      </c>
      <c r="M749" s="335" t="s">
        <v>2095</v>
      </c>
      <c r="N749" s="358" t="s">
        <v>1407</v>
      </c>
      <c r="O749" s="334" t="s">
        <v>387</v>
      </c>
      <c r="P749" s="332" t="s">
        <v>1879</v>
      </c>
      <c r="Q749" s="363" t="s">
        <v>383</v>
      </c>
      <c r="R749" s="364"/>
      <c r="S749" s="364"/>
      <c r="T749" s="13" t="str">
        <f t="shared" si="118"/>
        <v>23調査結果-建築物の内部-4（29）-改善（予定）年月-月</v>
      </c>
      <c r="V749" s="202"/>
      <c r="W749" s="202"/>
      <c r="X749" s="202"/>
    </row>
    <row r="750" spans="2:24">
      <c r="B750" s="107">
        <f>'1_入力シート【基本情報】'!$BY$398</f>
        <v>0</v>
      </c>
      <c r="C750" s="4" t="str">
        <f t="shared" si="123"/>
        <v/>
      </c>
      <c r="D750" s="107">
        <f>'1_入力シート【基本情報】'!$BY$398</f>
        <v>0</v>
      </c>
      <c r="E750" s="564">
        <f>'1_入力シート【基本情報】'!$BY$398</f>
        <v>0</v>
      </c>
      <c r="F750" s="564" t="str">
        <f t="shared" si="116"/>
        <v>0</v>
      </c>
      <c r="G750" s="24"/>
      <c r="H750" s="565">
        <v>23</v>
      </c>
      <c r="I750" s="334" t="s">
        <v>33</v>
      </c>
      <c r="J750" s="357" t="s">
        <v>1407</v>
      </c>
      <c r="K750" s="322" t="s">
        <v>2066</v>
      </c>
      <c r="L750" s="358" t="s">
        <v>1407</v>
      </c>
      <c r="M750" s="335" t="s">
        <v>2095</v>
      </c>
      <c r="N750" s="358" t="s">
        <v>1407</v>
      </c>
      <c r="O750" s="334" t="s">
        <v>387</v>
      </c>
      <c r="P750" s="332" t="s">
        <v>1879</v>
      </c>
      <c r="Q750" s="363" t="s">
        <v>675</v>
      </c>
      <c r="R750" s="364"/>
      <c r="S750" s="364"/>
      <c r="T750" s="13" t="str">
        <f t="shared" si="118"/>
        <v>23調査結果-建築物の内部-4（29）-改善（予定）年月-未定</v>
      </c>
      <c r="V750" s="202"/>
      <c r="W750" s="202"/>
      <c r="X750" s="202"/>
    </row>
    <row r="751" spans="2:24">
      <c r="B751" s="107">
        <f>'1_入力シート【基本情報】'!$AF$399</f>
        <v>0</v>
      </c>
      <c r="C751" s="4" t="str">
        <f t="shared" si="123"/>
        <v/>
      </c>
      <c r="D751" s="107" t="str">
        <f>C751</f>
        <v/>
      </c>
      <c r="E751" s="564" t="str">
        <f>D751</f>
        <v/>
      </c>
      <c r="F751" s="564" t="str">
        <f t="shared" si="116"/>
        <v/>
      </c>
      <c r="G751" s="24"/>
      <c r="H751" s="565">
        <v>23</v>
      </c>
      <c r="I751" s="334" t="s">
        <v>33</v>
      </c>
      <c r="J751" s="357" t="s">
        <v>1407</v>
      </c>
      <c r="K751" s="322" t="s">
        <v>2066</v>
      </c>
      <c r="L751" s="358" t="s">
        <v>1407</v>
      </c>
      <c r="M751" s="335" t="s">
        <v>2096</v>
      </c>
      <c r="N751" s="358" t="s">
        <v>1407</v>
      </c>
      <c r="O751" s="326" t="s">
        <v>33</v>
      </c>
      <c r="P751" s="327"/>
      <c r="Q751" s="336"/>
      <c r="R751" s="364"/>
      <c r="S751" s="364"/>
      <c r="T751" s="13" t="str">
        <f t="shared" si="118"/>
        <v>23調査結果-建築物の内部-4（30）-調査結果</v>
      </c>
      <c r="V751" s="202"/>
      <c r="W751" s="202"/>
      <c r="X751" s="202"/>
    </row>
    <row r="752" spans="2:24">
      <c r="B752" s="107">
        <f>'1_入力シート【基本情報】'!$AR$399</f>
        <v>0</v>
      </c>
      <c r="C752" s="4" t="str">
        <f t="shared" si="123"/>
        <v/>
      </c>
      <c r="D752" s="107">
        <f>'1_入力シート【基本情報】'!$AR$399</f>
        <v>0</v>
      </c>
      <c r="E752" s="564">
        <f>'1_入力シート【基本情報】'!$AR$399</f>
        <v>0</v>
      </c>
      <c r="F752" s="564" t="str">
        <f t="shared" si="116"/>
        <v>0</v>
      </c>
      <c r="G752" s="24"/>
      <c r="H752" s="565">
        <v>23</v>
      </c>
      <c r="I752" s="334" t="s">
        <v>33</v>
      </c>
      <c r="J752" s="357" t="s">
        <v>1407</v>
      </c>
      <c r="K752" s="322" t="s">
        <v>2066</v>
      </c>
      <c r="L752" s="358"/>
      <c r="M752" s="335" t="s">
        <v>2096</v>
      </c>
      <c r="N752" s="358" t="s">
        <v>1407</v>
      </c>
      <c r="O752" s="326" t="s">
        <v>30</v>
      </c>
      <c r="P752" s="332"/>
      <c r="Q752" s="363"/>
      <c r="R752" s="364"/>
      <c r="S752" s="364"/>
      <c r="T752" s="13" t="str">
        <f t="shared" si="118"/>
        <v>23調査結果-建築物の内部4（30）-調査者番号</v>
      </c>
      <c r="V752" s="202"/>
      <c r="W752" s="202"/>
      <c r="X752" s="202"/>
    </row>
    <row r="753" spans="2:24">
      <c r="B753" s="107">
        <f>'1_入力シート【基本情報】'!$AT$399</f>
        <v>0</v>
      </c>
      <c r="C753" s="4" t="str">
        <f t="shared" si="123"/>
        <v/>
      </c>
      <c r="D753" s="107">
        <f>'1_入力シート【基本情報】'!$AT$399</f>
        <v>0</v>
      </c>
      <c r="E753" s="564">
        <f>'1_入力シート【基本情報】'!$AT$399</f>
        <v>0</v>
      </c>
      <c r="F753" s="564" t="str">
        <f t="shared" si="116"/>
        <v>0</v>
      </c>
      <c r="G753" s="24"/>
      <c r="H753" s="565">
        <v>23</v>
      </c>
      <c r="I753" s="334" t="s">
        <v>33</v>
      </c>
      <c r="J753" s="357" t="s">
        <v>1407</v>
      </c>
      <c r="K753" s="322" t="s">
        <v>2066</v>
      </c>
      <c r="L753" s="358" t="s">
        <v>1407</v>
      </c>
      <c r="M753" s="335" t="s">
        <v>2096</v>
      </c>
      <c r="N753" s="358" t="s">
        <v>1407</v>
      </c>
      <c r="O753" s="326" t="s">
        <v>2028</v>
      </c>
      <c r="P753" s="332"/>
      <c r="Q753" s="363"/>
      <c r="R753" s="364"/>
      <c r="S753" s="364"/>
      <c r="T753" s="13" t="str">
        <f t="shared" si="118"/>
        <v>23調査結果-建築物の内部-4（30）-指摘の具体的内容等</v>
      </c>
      <c r="V753" s="202"/>
      <c r="W753" s="202"/>
      <c r="X753" s="202"/>
    </row>
    <row r="754" spans="2:24">
      <c r="B754" s="107">
        <f>'1_入力シート【基本情報】'!$BD$399</f>
        <v>0</v>
      </c>
      <c r="C754" s="4" t="str">
        <f t="shared" si="123"/>
        <v/>
      </c>
      <c r="D754" s="107">
        <f>'1_入力シート【基本情報】'!$BD$399</f>
        <v>0</v>
      </c>
      <c r="E754" s="564">
        <f>'1_入力シート【基本情報】'!$BD$399</f>
        <v>0</v>
      </c>
      <c r="F754" s="564" t="str">
        <f t="shared" si="116"/>
        <v>0</v>
      </c>
      <c r="G754" s="24"/>
      <c r="H754" s="565">
        <v>23</v>
      </c>
      <c r="I754" s="334" t="s">
        <v>33</v>
      </c>
      <c r="J754" s="357" t="s">
        <v>1407</v>
      </c>
      <c r="K754" s="322" t="s">
        <v>2066</v>
      </c>
      <c r="L754" s="358" t="s">
        <v>1407</v>
      </c>
      <c r="M754" s="335" t="s">
        <v>2096</v>
      </c>
      <c r="N754" s="358" t="s">
        <v>1407</v>
      </c>
      <c r="O754" s="326" t="s">
        <v>2029</v>
      </c>
      <c r="P754" s="332"/>
      <c r="Q754" s="363"/>
      <c r="R754" s="203"/>
      <c r="S754" s="203"/>
      <c r="T754" s="13" t="str">
        <f t="shared" si="118"/>
        <v>23調査結果-建築物の内部-4（30）-改善策の具体的内容等</v>
      </c>
      <c r="V754" s="202"/>
      <c r="W754" s="202"/>
      <c r="X754" s="202"/>
    </row>
    <row r="755" spans="2:24" ht="19">
      <c r="B755" s="107">
        <f>'1_入力シート【基本情報】'!$BS$399</f>
        <v>0</v>
      </c>
      <c r="C755" s="493" t="str">
        <f t="shared" ref="C755:E756" si="125">ASC($D755)</f>
        <v>0</v>
      </c>
      <c r="D755" s="107">
        <f>'1_入力シート【基本情報】'!$BS$399</f>
        <v>0</v>
      </c>
      <c r="E755" s="7" t="str">
        <f t="shared" si="125"/>
        <v>0</v>
      </c>
      <c r="F755" s="7" t="str">
        <f t="shared" si="116"/>
        <v>0</v>
      </c>
      <c r="G755" s="24"/>
      <c r="H755" s="565">
        <v>23</v>
      </c>
      <c r="I755" s="334" t="s">
        <v>33</v>
      </c>
      <c r="J755" s="357" t="s">
        <v>1407</v>
      </c>
      <c r="K755" s="322" t="s">
        <v>2066</v>
      </c>
      <c r="L755" s="358" t="s">
        <v>1407</v>
      </c>
      <c r="M755" s="335" t="s">
        <v>2096</v>
      </c>
      <c r="N755" s="358" t="s">
        <v>1407</v>
      </c>
      <c r="O755" s="326" t="s">
        <v>387</v>
      </c>
      <c r="P755" s="332" t="s">
        <v>1879</v>
      </c>
      <c r="Q755" s="363" t="s">
        <v>1966</v>
      </c>
      <c r="R755" s="364"/>
      <c r="S755" s="364"/>
      <c r="T755" s="13" t="str">
        <f t="shared" si="118"/>
        <v>23調査結果-建築物の内部-4（30）-改善（予定）年月-年（令和）</v>
      </c>
      <c r="V755" s="202"/>
      <c r="W755" s="202"/>
      <c r="X755" s="202"/>
    </row>
    <row r="756" spans="2:24" ht="19">
      <c r="B756" s="107">
        <f>'1_入力シート【基本情報】'!$BV$399</f>
        <v>0</v>
      </c>
      <c r="C756" s="493" t="str">
        <f t="shared" si="125"/>
        <v>0</v>
      </c>
      <c r="D756" s="107">
        <f>'1_入力シート【基本情報】'!$BV$399</f>
        <v>0</v>
      </c>
      <c r="E756" s="7" t="str">
        <f t="shared" si="125"/>
        <v>0</v>
      </c>
      <c r="F756" s="7" t="str">
        <f t="shared" si="116"/>
        <v>0</v>
      </c>
      <c r="G756" s="24"/>
      <c r="H756" s="565">
        <v>23</v>
      </c>
      <c r="I756" s="334" t="s">
        <v>33</v>
      </c>
      <c r="J756" s="357" t="s">
        <v>1407</v>
      </c>
      <c r="K756" s="322" t="s">
        <v>2066</v>
      </c>
      <c r="L756" s="358" t="s">
        <v>1407</v>
      </c>
      <c r="M756" s="335" t="s">
        <v>2096</v>
      </c>
      <c r="N756" s="358" t="s">
        <v>1407</v>
      </c>
      <c r="O756" s="334" t="s">
        <v>387</v>
      </c>
      <c r="P756" s="332" t="s">
        <v>1879</v>
      </c>
      <c r="Q756" s="363" t="s">
        <v>383</v>
      </c>
      <c r="R756" s="364"/>
      <c r="S756" s="364"/>
      <c r="T756" s="13" t="str">
        <f t="shared" si="118"/>
        <v>23調査結果-建築物の内部-4（30）-改善（予定）年月-月</v>
      </c>
      <c r="V756" s="202"/>
      <c r="W756" s="202"/>
      <c r="X756" s="202"/>
    </row>
    <row r="757" spans="2:24">
      <c r="B757" s="107">
        <f>'1_入力シート【基本情報】'!$BY$399</f>
        <v>0</v>
      </c>
      <c r="C757" s="4" t="str">
        <f t="shared" si="123"/>
        <v/>
      </c>
      <c r="D757" s="107">
        <f>'1_入力シート【基本情報】'!$BY$399</f>
        <v>0</v>
      </c>
      <c r="E757" s="564">
        <f>'1_入力シート【基本情報】'!$BY$399</f>
        <v>0</v>
      </c>
      <c r="F757" s="564" t="str">
        <f t="shared" si="116"/>
        <v>0</v>
      </c>
      <c r="G757" s="24"/>
      <c r="H757" s="565">
        <v>23</v>
      </c>
      <c r="I757" s="334" t="s">
        <v>33</v>
      </c>
      <c r="J757" s="357" t="s">
        <v>1407</v>
      </c>
      <c r="K757" s="322" t="s">
        <v>2066</v>
      </c>
      <c r="L757" s="358" t="s">
        <v>1407</v>
      </c>
      <c r="M757" s="335" t="s">
        <v>2096</v>
      </c>
      <c r="N757" s="358" t="s">
        <v>1407</v>
      </c>
      <c r="O757" s="334" t="s">
        <v>387</v>
      </c>
      <c r="P757" s="332" t="s">
        <v>1879</v>
      </c>
      <c r="Q757" s="363" t="s">
        <v>675</v>
      </c>
      <c r="R757" s="364"/>
      <c r="S757" s="364"/>
      <c r="T757" s="13" t="str">
        <f t="shared" si="118"/>
        <v>23調査結果-建築物の内部-4（30）-改善（予定）年月-未定</v>
      </c>
      <c r="V757" s="202"/>
      <c r="W757" s="202"/>
      <c r="X757" s="202"/>
    </row>
    <row r="758" spans="2:24">
      <c r="B758" s="107">
        <f>'1_入力シート【基本情報】'!$AF$400</f>
        <v>0</v>
      </c>
      <c r="C758" s="4" t="str">
        <f t="shared" si="123"/>
        <v/>
      </c>
      <c r="D758" s="107" t="str">
        <f>C758</f>
        <v/>
      </c>
      <c r="E758" s="564" t="str">
        <f>D758</f>
        <v/>
      </c>
      <c r="F758" s="564" t="str">
        <f t="shared" si="116"/>
        <v/>
      </c>
      <c r="G758" s="24"/>
      <c r="H758" s="565">
        <v>23</v>
      </c>
      <c r="I758" s="334" t="s">
        <v>33</v>
      </c>
      <c r="J758" s="357" t="s">
        <v>1407</v>
      </c>
      <c r="K758" s="322" t="s">
        <v>2066</v>
      </c>
      <c r="L758" s="358" t="s">
        <v>1407</v>
      </c>
      <c r="M758" s="335" t="s">
        <v>2097</v>
      </c>
      <c r="N758" s="358" t="s">
        <v>1407</v>
      </c>
      <c r="O758" s="334" t="s">
        <v>33</v>
      </c>
      <c r="P758" s="332"/>
      <c r="Q758" s="363"/>
      <c r="R758" s="364"/>
      <c r="S758" s="364"/>
      <c r="T758" s="13" t="str">
        <f t="shared" si="118"/>
        <v>23調査結果-建築物の内部-4（31）-調査結果</v>
      </c>
      <c r="V758" s="202"/>
      <c r="W758" s="202"/>
      <c r="X758" s="202"/>
    </row>
    <row r="759" spans="2:24">
      <c r="B759" s="107">
        <f>'1_入力シート【基本情報】'!$AR$400</f>
        <v>0</v>
      </c>
      <c r="C759" s="4" t="str">
        <f t="shared" si="123"/>
        <v/>
      </c>
      <c r="D759" s="107">
        <f>'1_入力シート【基本情報】'!$AR$400</f>
        <v>0</v>
      </c>
      <c r="E759" s="564">
        <f>'1_入力シート【基本情報】'!$AR$400</f>
        <v>0</v>
      </c>
      <c r="F759" s="564" t="str">
        <f t="shared" si="116"/>
        <v>0</v>
      </c>
      <c r="G759" s="24"/>
      <c r="H759" s="565">
        <v>23</v>
      </c>
      <c r="I759" s="334" t="s">
        <v>33</v>
      </c>
      <c r="J759" s="357" t="s">
        <v>1407</v>
      </c>
      <c r="K759" s="322" t="s">
        <v>2066</v>
      </c>
      <c r="L759" s="358" t="s">
        <v>1407</v>
      </c>
      <c r="M759" s="335" t="s">
        <v>2097</v>
      </c>
      <c r="N759" s="358" t="s">
        <v>1407</v>
      </c>
      <c r="O759" s="326" t="s">
        <v>30</v>
      </c>
      <c r="P759" s="327"/>
      <c r="Q759" s="336"/>
      <c r="R759" s="364"/>
      <c r="S759" s="364"/>
      <c r="T759" s="13" t="str">
        <f t="shared" si="118"/>
        <v>23調査結果-建築物の内部-4（31）-調査者番号</v>
      </c>
      <c r="V759" s="202"/>
      <c r="W759" s="202"/>
      <c r="X759" s="202"/>
    </row>
    <row r="760" spans="2:24">
      <c r="B760" s="107">
        <f>'1_入力シート【基本情報】'!$AT$400</f>
        <v>0</v>
      </c>
      <c r="C760" s="4" t="str">
        <f t="shared" si="123"/>
        <v/>
      </c>
      <c r="D760" s="107">
        <f>'1_入力シート【基本情報】'!$AT$400</f>
        <v>0</v>
      </c>
      <c r="E760" s="564">
        <f>'1_入力シート【基本情報】'!$AT$400</f>
        <v>0</v>
      </c>
      <c r="F760" s="564" t="str">
        <f t="shared" si="116"/>
        <v>0</v>
      </c>
      <c r="G760" s="24"/>
      <c r="H760" s="565">
        <v>23</v>
      </c>
      <c r="I760" s="334" t="s">
        <v>33</v>
      </c>
      <c r="J760" s="357" t="s">
        <v>1407</v>
      </c>
      <c r="K760" s="322" t="s">
        <v>2066</v>
      </c>
      <c r="L760" s="358"/>
      <c r="M760" s="335" t="s">
        <v>2097</v>
      </c>
      <c r="N760" s="358" t="s">
        <v>1407</v>
      </c>
      <c r="O760" s="326" t="s">
        <v>2028</v>
      </c>
      <c r="P760" s="332"/>
      <c r="Q760" s="363"/>
      <c r="R760" s="364"/>
      <c r="S760" s="364"/>
      <c r="T760" s="13" t="str">
        <f t="shared" si="118"/>
        <v>23調査結果-建築物の内部4（31）-指摘の具体的内容等</v>
      </c>
      <c r="V760" s="202"/>
      <c r="W760" s="202"/>
      <c r="X760" s="202"/>
    </row>
    <row r="761" spans="2:24">
      <c r="B761" s="107">
        <f>'1_入力シート【基本情報】'!$BD$400</f>
        <v>0</v>
      </c>
      <c r="C761" s="4" t="str">
        <f t="shared" si="123"/>
        <v/>
      </c>
      <c r="D761" s="107">
        <f>'1_入力シート【基本情報】'!$BD$400</f>
        <v>0</v>
      </c>
      <c r="E761" s="564">
        <f>'1_入力シート【基本情報】'!$BD$400</f>
        <v>0</v>
      </c>
      <c r="F761" s="564" t="str">
        <f t="shared" si="116"/>
        <v>0</v>
      </c>
      <c r="G761" s="24"/>
      <c r="H761" s="565">
        <v>23</v>
      </c>
      <c r="I761" s="334" t="s">
        <v>33</v>
      </c>
      <c r="J761" s="357" t="s">
        <v>1407</v>
      </c>
      <c r="K761" s="322" t="s">
        <v>2066</v>
      </c>
      <c r="L761" s="358" t="s">
        <v>1407</v>
      </c>
      <c r="M761" s="335" t="s">
        <v>2097</v>
      </c>
      <c r="N761" s="358" t="s">
        <v>1407</v>
      </c>
      <c r="O761" s="326" t="s">
        <v>2029</v>
      </c>
      <c r="P761" s="332"/>
      <c r="Q761" s="363"/>
      <c r="R761" s="364"/>
      <c r="S761" s="364"/>
      <c r="T761" s="13" t="str">
        <f t="shared" si="118"/>
        <v>23調査結果-建築物の内部-4（31）-改善策の具体的内容等</v>
      </c>
      <c r="V761" s="202"/>
      <c r="W761" s="202"/>
      <c r="X761" s="202"/>
    </row>
    <row r="762" spans="2:24" ht="19">
      <c r="B762" s="107">
        <f>'1_入力シート【基本情報】'!$BS$400</f>
        <v>0</v>
      </c>
      <c r="C762" s="493" t="str">
        <f t="shared" ref="C762:E763" si="126">ASC($D762)</f>
        <v>0</v>
      </c>
      <c r="D762" s="107">
        <f>'1_入力シート【基本情報】'!$BS$400</f>
        <v>0</v>
      </c>
      <c r="E762" s="7" t="str">
        <f t="shared" si="126"/>
        <v>0</v>
      </c>
      <c r="F762" s="7" t="str">
        <f t="shared" si="116"/>
        <v>0</v>
      </c>
      <c r="G762" s="24"/>
      <c r="H762" s="565">
        <v>23</v>
      </c>
      <c r="I762" s="334" t="s">
        <v>33</v>
      </c>
      <c r="J762" s="357" t="s">
        <v>1407</v>
      </c>
      <c r="K762" s="322" t="s">
        <v>2066</v>
      </c>
      <c r="L762" s="358" t="s">
        <v>1407</v>
      </c>
      <c r="M762" s="335" t="s">
        <v>2097</v>
      </c>
      <c r="N762" s="358" t="s">
        <v>1407</v>
      </c>
      <c r="O762" s="326" t="s">
        <v>387</v>
      </c>
      <c r="P762" s="332" t="s">
        <v>1879</v>
      </c>
      <c r="Q762" s="363" t="s">
        <v>1966</v>
      </c>
      <c r="R762" s="203"/>
      <c r="S762" s="203"/>
      <c r="T762" s="13" t="str">
        <f t="shared" si="118"/>
        <v>23調査結果-建築物の内部-4（31）-改善（予定）年月-年（令和）</v>
      </c>
      <c r="V762" s="202"/>
      <c r="W762" s="202"/>
      <c r="X762" s="202"/>
    </row>
    <row r="763" spans="2:24" ht="19">
      <c r="B763" s="107">
        <f>'1_入力シート【基本情報】'!$BV$400</f>
        <v>0</v>
      </c>
      <c r="C763" s="493" t="str">
        <f t="shared" si="126"/>
        <v>0</v>
      </c>
      <c r="D763" s="107">
        <f>'1_入力シート【基本情報】'!$BV$400</f>
        <v>0</v>
      </c>
      <c r="E763" s="7" t="str">
        <f t="shared" si="126"/>
        <v>0</v>
      </c>
      <c r="F763" s="7" t="str">
        <f t="shared" si="116"/>
        <v>0</v>
      </c>
      <c r="G763" s="24"/>
      <c r="H763" s="565">
        <v>23</v>
      </c>
      <c r="I763" s="334" t="s">
        <v>33</v>
      </c>
      <c r="J763" s="357" t="s">
        <v>1407</v>
      </c>
      <c r="K763" s="322" t="s">
        <v>2066</v>
      </c>
      <c r="L763" s="358" t="s">
        <v>1407</v>
      </c>
      <c r="M763" s="335" t="s">
        <v>2097</v>
      </c>
      <c r="N763" s="358" t="s">
        <v>1407</v>
      </c>
      <c r="O763" s="326" t="s">
        <v>387</v>
      </c>
      <c r="P763" s="332" t="s">
        <v>1879</v>
      </c>
      <c r="Q763" s="363" t="s">
        <v>383</v>
      </c>
      <c r="R763" s="364"/>
      <c r="S763" s="364"/>
      <c r="T763" s="13" t="str">
        <f t="shared" si="118"/>
        <v>23調査結果-建築物の内部-4（31）-改善（予定）年月-月</v>
      </c>
      <c r="V763" s="202"/>
      <c r="W763" s="202"/>
      <c r="X763" s="202"/>
    </row>
    <row r="764" spans="2:24">
      <c r="B764" s="107">
        <f>'1_入力シート【基本情報】'!$BY$400</f>
        <v>0</v>
      </c>
      <c r="C764" s="4" t="str">
        <f t="shared" si="123"/>
        <v/>
      </c>
      <c r="D764" s="107">
        <f>'1_入力シート【基本情報】'!$BY$400</f>
        <v>0</v>
      </c>
      <c r="E764" s="564">
        <f>'1_入力シート【基本情報】'!$BY$400</f>
        <v>0</v>
      </c>
      <c r="F764" s="564" t="str">
        <f t="shared" si="116"/>
        <v>0</v>
      </c>
      <c r="G764" s="24"/>
      <c r="H764" s="565">
        <v>23</v>
      </c>
      <c r="I764" s="334" t="s">
        <v>33</v>
      </c>
      <c r="J764" s="357" t="s">
        <v>1407</v>
      </c>
      <c r="K764" s="322" t="s">
        <v>2066</v>
      </c>
      <c r="L764" s="358" t="s">
        <v>1407</v>
      </c>
      <c r="M764" s="335" t="s">
        <v>2097</v>
      </c>
      <c r="N764" s="358" t="s">
        <v>1407</v>
      </c>
      <c r="O764" s="334" t="s">
        <v>387</v>
      </c>
      <c r="P764" s="332" t="s">
        <v>1879</v>
      </c>
      <c r="Q764" s="363" t="s">
        <v>675</v>
      </c>
      <c r="R764" s="364"/>
      <c r="S764" s="364"/>
      <c r="T764" s="13" t="str">
        <f t="shared" si="118"/>
        <v>23調査結果-建築物の内部-4（31）-改善（予定）年月-未定</v>
      </c>
      <c r="V764" s="202"/>
      <c r="W764" s="202"/>
      <c r="X764" s="202"/>
    </row>
    <row r="765" spans="2:24">
      <c r="B765" s="107">
        <f>'1_入力シート【基本情報】'!$AF$401</f>
        <v>0</v>
      </c>
      <c r="C765" s="4" t="str">
        <f t="shared" si="123"/>
        <v/>
      </c>
      <c r="D765" s="107" t="str">
        <f>C765</f>
        <v/>
      </c>
      <c r="E765" s="564" t="str">
        <f>D765</f>
        <v/>
      </c>
      <c r="F765" s="564" t="str">
        <f t="shared" si="116"/>
        <v/>
      </c>
      <c r="G765" s="24"/>
      <c r="H765" s="565">
        <v>23</v>
      </c>
      <c r="I765" s="334" t="s">
        <v>33</v>
      </c>
      <c r="J765" s="357" t="s">
        <v>1407</v>
      </c>
      <c r="K765" s="322" t="s">
        <v>2066</v>
      </c>
      <c r="L765" s="358" t="s">
        <v>1407</v>
      </c>
      <c r="M765" s="335" t="s">
        <v>2098</v>
      </c>
      <c r="N765" s="358" t="s">
        <v>1407</v>
      </c>
      <c r="O765" s="334" t="s">
        <v>33</v>
      </c>
      <c r="P765" s="332"/>
      <c r="Q765" s="363"/>
      <c r="R765" s="364"/>
      <c r="S765" s="364"/>
      <c r="T765" s="13" t="str">
        <f t="shared" si="118"/>
        <v>23調査結果-建築物の内部-4（32）-調査結果</v>
      </c>
      <c r="V765" s="202"/>
      <c r="W765" s="202"/>
      <c r="X765" s="202"/>
    </row>
    <row r="766" spans="2:24">
      <c r="B766" s="107">
        <f>'1_入力シート【基本情報】'!$AR$401</f>
        <v>0</v>
      </c>
      <c r="C766" s="4" t="str">
        <f t="shared" si="123"/>
        <v/>
      </c>
      <c r="D766" s="107">
        <f>'1_入力シート【基本情報】'!$AR$401</f>
        <v>0</v>
      </c>
      <c r="E766" s="564">
        <f>'1_入力シート【基本情報】'!$AR$401</f>
        <v>0</v>
      </c>
      <c r="F766" s="564" t="str">
        <f t="shared" si="116"/>
        <v>0</v>
      </c>
      <c r="G766" s="24"/>
      <c r="H766" s="565">
        <v>23</v>
      </c>
      <c r="I766" s="334" t="s">
        <v>33</v>
      </c>
      <c r="J766" s="357" t="s">
        <v>1407</v>
      </c>
      <c r="K766" s="322" t="s">
        <v>2066</v>
      </c>
      <c r="L766" s="358" t="s">
        <v>1407</v>
      </c>
      <c r="M766" s="335" t="s">
        <v>2098</v>
      </c>
      <c r="N766" s="358" t="s">
        <v>1407</v>
      </c>
      <c r="O766" s="334" t="s">
        <v>30</v>
      </c>
      <c r="P766" s="332"/>
      <c r="Q766" s="363"/>
      <c r="R766" s="364"/>
      <c r="S766" s="364"/>
      <c r="T766" s="13" t="str">
        <f t="shared" si="118"/>
        <v>23調査結果-建築物の内部-4（32）-調査者番号</v>
      </c>
      <c r="V766" s="202"/>
      <c r="W766" s="202"/>
      <c r="X766" s="202"/>
    </row>
    <row r="767" spans="2:24">
      <c r="B767" s="107">
        <f>'1_入力シート【基本情報】'!$AT$401</f>
        <v>0</v>
      </c>
      <c r="C767" s="4" t="str">
        <f t="shared" si="123"/>
        <v/>
      </c>
      <c r="D767" s="107">
        <f>'1_入力シート【基本情報】'!$AT$401</f>
        <v>0</v>
      </c>
      <c r="E767" s="564">
        <f>'1_入力シート【基本情報】'!$AT$401</f>
        <v>0</v>
      </c>
      <c r="F767" s="564" t="str">
        <f t="shared" si="116"/>
        <v>0</v>
      </c>
      <c r="G767" s="24"/>
      <c r="H767" s="565">
        <v>23</v>
      </c>
      <c r="I767" s="334" t="s">
        <v>33</v>
      </c>
      <c r="J767" s="357" t="s">
        <v>1407</v>
      </c>
      <c r="K767" s="322" t="s">
        <v>2066</v>
      </c>
      <c r="L767" s="358" t="s">
        <v>1407</v>
      </c>
      <c r="M767" s="335" t="s">
        <v>2098</v>
      </c>
      <c r="N767" s="358" t="s">
        <v>1407</v>
      </c>
      <c r="O767" s="326" t="s">
        <v>2028</v>
      </c>
      <c r="P767" s="327"/>
      <c r="Q767" s="336"/>
      <c r="R767" s="364"/>
      <c r="S767" s="364"/>
      <c r="T767" s="13" t="str">
        <f t="shared" si="118"/>
        <v>23調査結果-建築物の内部-4（32）-指摘の具体的内容等</v>
      </c>
      <c r="V767" s="202"/>
      <c r="W767" s="202"/>
      <c r="X767" s="202"/>
    </row>
    <row r="768" spans="2:24">
      <c r="B768" s="107">
        <f>'1_入力シート【基本情報】'!$BD$401</f>
        <v>0</v>
      </c>
      <c r="C768" s="4" t="str">
        <f t="shared" si="123"/>
        <v/>
      </c>
      <c r="D768" s="107">
        <f>'1_入力シート【基本情報】'!$BD$401</f>
        <v>0</v>
      </c>
      <c r="E768" s="564">
        <f>'1_入力シート【基本情報】'!$BD$401</f>
        <v>0</v>
      </c>
      <c r="F768" s="564" t="str">
        <f t="shared" si="116"/>
        <v>0</v>
      </c>
      <c r="G768" s="24"/>
      <c r="H768" s="565">
        <v>23</v>
      </c>
      <c r="I768" s="334" t="s">
        <v>33</v>
      </c>
      <c r="J768" s="357" t="s">
        <v>1407</v>
      </c>
      <c r="K768" s="322" t="s">
        <v>2066</v>
      </c>
      <c r="L768" s="358"/>
      <c r="M768" s="335" t="s">
        <v>2098</v>
      </c>
      <c r="N768" s="358" t="s">
        <v>1407</v>
      </c>
      <c r="O768" s="326" t="s">
        <v>2029</v>
      </c>
      <c r="P768" s="332"/>
      <c r="Q768" s="363"/>
      <c r="R768" s="364"/>
      <c r="S768" s="364"/>
      <c r="T768" s="13" t="str">
        <f t="shared" si="118"/>
        <v>23調査結果-建築物の内部4（32）-改善策の具体的内容等</v>
      </c>
      <c r="V768" s="202"/>
      <c r="W768" s="202"/>
      <c r="X768" s="202"/>
    </row>
    <row r="769" spans="2:24" ht="19">
      <c r="B769" s="107">
        <f>'1_入力シート【基本情報】'!$BS$401</f>
        <v>0</v>
      </c>
      <c r="C769" s="493" t="str">
        <f t="shared" ref="C769:E770" si="127">ASC($D769)</f>
        <v>0</v>
      </c>
      <c r="D769" s="107">
        <f>'1_入力シート【基本情報】'!$BS$401</f>
        <v>0</v>
      </c>
      <c r="E769" s="7" t="str">
        <f t="shared" si="127"/>
        <v>0</v>
      </c>
      <c r="F769" s="7" t="str">
        <f t="shared" si="116"/>
        <v>0</v>
      </c>
      <c r="G769" s="24"/>
      <c r="H769" s="565">
        <v>23</v>
      </c>
      <c r="I769" s="334" t="s">
        <v>33</v>
      </c>
      <c r="J769" s="357" t="s">
        <v>1407</v>
      </c>
      <c r="K769" s="322" t="s">
        <v>2066</v>
      </c>
      <c r="L769" s="358" t="s">
        <v>1407</v>
      </c>
      <c r="M769" s="335" t="s">
        <v>2098</v>
      </c>
      <c r="N769" s="358" t="s">
        <v>1407</v>
      </c>
      <c r="O769" s="326" t="s">
        <v>387</v>
      </c>
      <c r="P769" s="332" t="s">
        <v>1879</v>
      </c>
      <c r="Q769" s="363" t="s">
        <v>1966</v>
      </c>
      <c r="R769" s="364"/>
      <c r="S769" s="364"/>
      <c r="T769" s="13" t="str">
        <f t="shared" si="118"/>
        <v>23調査結果-建築物の内部-4（32）-改善（予定）年月-年（令和）</v>
      </c>
      <c r="V769" s="202"/>
      <c r="W769" s="202"/>
      <c r="X769" s="202"/>
    </row>
    <row r="770" spans="2:24" ht="19">
      <c r="B770" s="107">
        <f>'1_入力シート【基本情報】'!$BV$401</f>
        <v>0</v>
      </c>
      <c r="C770" s="493" t="str">
        <f t="shared" si="127"/>
        <v>0</v>
      </c>
      <c r="D770" s="107">
        <f>'1_入力シート【基本情報】'!$BV$401</f>
        <v>0</v>
      </c>
      <c r="E770" s="7" t="str">
        <f t="shared" si="127"/>
        <v>0</v>
      </c>
      <c r="F770" s="7" t="str">
        <f t="shared" si="116"/>
        <v>0</v>
      </c>
      <c r="G770" s="24"/>
      <c r="H770" s="565">
        <v>23</v>
      </c>
      <c r="I770" s="334" t="s">
        <v>33</v>
      </c>
      <c r="J770" s="357" t="s">
        <v>1407</v>
      </c>
      <c r="K770" s="322" t="s">
        <v>2066</v>
      </c>
      <c r="L770" s="358" t="s">
        <v>1407</v>
      </c>
      <c r="M770" s="335" t="s">
        <v>2098</v>
      </c>
      <c r="N770" s="358" t="s">
        <v>1407</v>
      </c>
      <c r="O770" s="326" t="s">
        <v>387</v>
      </c>
      <c r="P770" s="332" t="s">
        <v>1879</v>
      </c>
      <c r="Q770" s="363" t="s">
        <v>383</v>
      </c>
      <c r="R770" s="203"/>
      <c r="S770" s="203"/>
      <c r="T770" s="13" t="str">
        <f t="shared" si="118"/>
        <v>23調査結果-建築物の内部-4（32）-改善（予定）年月-月</v>
      </c>
      <c r="V770" s="202"/>
      <c r="W770" s="202"/>
      <c r="X770" s="202"/>
    </row>
    <row r="771" spans="2:24">
      <c r="B771" s="107">
        <f>'1_入力シート【基本情報】'!$BY$401</f>
        <v>0</v>
      </c>
      <c r="C771" s="4" t="str">
        <f t="shared" si="123"/>
        <v/>
      </c>
      <c r="D771" s="107">
        <f>'1_入力シート【基本情報】'!$BY$401</f>
        <v>0</v>
      </c>
      <c r="E771" s="564">
        <f>'1_入力シート【基本情報】'!$BY$401</f>
        <v>0</v>
      </c>
      <c r="F771" s="564" t="str">
        <f t="shared" si="116"/>
        <v>0</v>
      </c>
      <c r="G771" s="24"/>
      <c r="H771" s="565">
        <v>23</v>
      </c>
      <c r="I771" s="334" t="s">
        <v>33</v>
      </c>
      <c r="J771" s="357" t="s">
        <v>1407</v>
      </c>
      <c r="K771" s="322" t="s">
        <v>2066</v>
      </c>
      <c r="L771" s="358" t="s">
        <v>1407</v>
      </c>
      <c r="M771" s="335" t="s">
        <v>2098</v>
      </c>
      <c r="N771" s="358" t="s">
        <v>1407</v>
      </c>
      <c r="O771" s="326" t="s">
        <v>387</v>
      </c>
      <c r="P771" s="332" t="s">
        <v>1879</v>
      </c>
      <c r="Q771" s="363" t="s">
        <v>675</v>
      </c>
      <c r="R771" s="364"/>
      <c r="S771" s="364"/>
      <c r="T771" s="13" t="str">
        <f t="shared" si="118"/>
        <v>23調査結果-建築物の内部-4（32）-改善（予定）年月-未定</v>
      </c>
      <c r="V771" s="202"/>
      <c r="W771" s="202"/>
      <c r="X771" s="202"/>
    </row>
    <row r="772" spans="2:24">
      <c r="B772" s="107">
        <f>'1_入力シート【基本情報】'!$AF$402</f>
        <v>0</v>
      </c>
      <c r="C772" s="4" t="str">
        <f t="shared" si="123"/>
        <v/>
      </c>
      <c r="D772" s="107" t="str">
        <f>C772</f>
        <v/>
      </c>
      <c r="E772" s="564" t="str">
        <f>D772</f>
        <v/>
      </c>
      <c r="F772" s="564" t="str">
        <f t="shared" si="116"/>
        <v/>
      </c>
      <c r="G772" s="24"/>
      <c r="H772" s="565">
        <v>23</v>
      </c>
      <c r="I772" s="334" t="s">
        <v>33</v>
      </c>
      <c r="J772" s="357" t="s">
        <v>1407</v>
      </c>
      <c r="K772" s="322" t="s">
        <v>2066</v>
      </c>
      <c r="L772" s="358" t="s">
        <v>1407</v>
      </c>
      <c r="M772" s="335" t="s">
        <v>2099</v>
      </c>
      <c r="N772" s="358" t="s">
        <v>1407</v>
      </c>
      <c r="O772" s="334" t="s">
        <v>33</v>
      </c>
      <c r="P772" s="332"/>
      <c r="Q772" s="363"/>
      <c r="R772" s="364"/>
      <c r="S772" s="364"/>
      <c r="T772" s="13" t="str">
        <f t="shared" si="118"/>
        <v>23調査結果-建築物の内部-4（33）-調査結果</v>
      </c>
      <c r="V772" s="202"/>
      <c r="W772" s="202"/>
      <c r="X772" s="202"/>
    </row>
    <row r="773" spans="2:24">
      <c r="B773" s="107">
        <f>'1_入力シート【基本情報】'!$AR$402</f>
        <v>0</v>
      </c>
      <c r="C773" s="4" t="str">
        <f t="shared" si="123"/>
        <v/>
      </c>
      <c r="D773" s="107">
        <f>'1_入力シート【基本情報】'!$AR$402</f>
        <v>0</v>
      </c>
      <c r="E773" s="564">
        <f>'1_入力シート【基本情報】'!$AR$402</f>
        <v>0</v>
      </c>
      <c r="F773" s="564" t="str">
        <f t="shared" ref="F773:F836" si="128">SUBSTITUTE(E773,CHAR(10),"")</f>
        <v>0</v>
      </c>
      <c r="G773" s="24"/>
      <c r="H773" s="565">
        <v>23</v>
      </c>
      <c r="I773" s="334" t="s">
        <v>33</v>
      </c>
      <c r="J773" s="357" t="s">
        <v>1407</v>
      </c>
      <c r="K773" s="322" t="s">
        <v>2066</v>
      </c>
      <c r="L773" s="358" t="s">
        <v>1407</v>
      </c>
      <c r="M773" s="335" t="s">
        <v>2099</v>
      </c>
      <c r="N773" s="358" t="s">
        <v>1407</v>
      </c>
      <c r="O773" s="334" t="s">
        <v>30</v>
      </c>
      <c r="P773" s="332"/>
      <c r="Q773" s="363"/>
      <c r="R773" s="364"/>
      <c r="S773" s="364"/>
      <c r="T773" s="13" t="str">
        <f t="shared" si="118"/>
        <v>23調査結果-建築物の内部-4（33）-調査者番号</v>
      </c>
      <c r="V773" s="202"/>
      <c r="W773" s="202"/>
      <c r="X773" s="202"/>
    </row>
    <row r="774" spans="2:24">
      <c r="B774" s="107">
        <f>'1_入力シート【基本情報】'!$AT$402</f>
        <v>0</v>
      </c>
      <c r="C774" s="4" t="str">
        <f t="shared" si="123"/>
        <v/>
      </c>
      <c r="D774" s="107">
        <f>'1_入力シート【基本情報】'!$AT$402</f>
        <v>0</v>
      </c>
      <c r="E774" s="564">
        <f>'1_入力シート【基本情報】'!$AT$402</f>
        <v>0</v>
      </c>
      <c r="F774" s="564" t="str">
        <f t="shared" si="128"/>
        <v>0</v>
      </c>
      <c r="G774" s="24"/>
      <c r="H774" s="565">
        <v>23</v>
      </c>
      <c r="I774" s="334" t="s">
        <v>33</v>
      </c>
      <c r="J774" s="357" t="s">
        <v>1407</v>
      </c>
      <c r="K774" s="322" t="s">
        <v>2066</v>
      </c>
      <c r="L774" s="358" t="s">
        <v>1407</v>
      </c>
      <c r="M774" s="335" t="s">
        <v>2099</v>
      </c>
      <c r="N774" s="358" t="s">
        <v>1407</v>
      </c>
      <c r="O774" s="334" t="s">
        <v>2028</v>
      </c>
      <c r="P774" s="332"/>
      <c r="Q774" s="363"/>
      <c r="R774" s="364"/>
      <c r="S774" s="364"/>
      <c r="T774" s="13" t="str">
        <f t="shared" si="118"/>
        <v>23調査結果-建築物の内部-4（33）-指摘の具体的内容等</v>
      </c>
      <c r="V774" s="202"/>
      <c r="W774" s="202"/>
      <c r="X774" s="202"/>
    </row>
    <row r="775" spans="2:24">
      <c r="B775" s="107">
        <f>'1_入力シート【基本情報】'!$BD$402</f>
        <v>0</v>
      </c>
      <c r="C775" s="4" t="str">
        <f t="shared" si="123"/>
        <v/>
      </c>
      <c r="D775" s="107">
        <f>'1_入力シート【基本情報】'!$BD$402</f>
        <v>0</v>
      </c>
      <c r="E775" s="564">
        <f>'1_入力シート【基本情報】'!$BD$402</f>
        <v>0</v>
      </c>
      <c r="F775" s="564" t="str">
        <f t="shared" si="128"/>
        <v>0</v>
      </c>
      <c r="G775" s="24"/>
      <c r="H775" s="565">
        <v>23</v>
      </c>
      <c r="I775" s="334" t="s">
        <v>33</v>
      </c>
      <c r="J775" s="357" t="s">
        <v>1407</v>
      </c>
      <c r="K775" s="322" t="s">
        <v>2066</v>
      </c>
      <c r="L775" s="358" t="s">
        <v>1407</v>
      </c>
      <c r="M775" s="335" t="s">
        <v>2099</v>
      </c>
      <c r="N775" s="358" t="s">
        <v>1407</v>
      </c>
      <c r="O775" s="326" t="s">
        <v>2029</v>
      </c>
      <c r="P775" s="327"/>
      <c r="Q775" s="336"/>
      <c r="R775" s="364"/>
      <c r="S775" s="364"/>
      <c r="T775" s="13" t="str">
        <f t="shared" si="118"/>
        <v>23調査結果-建築物の内部-4（33）-改善策の具体的内容等</v>
      </c>
      <c r="V775" s="202"/>
      <c r="W775" s="202"/>
      <c r="X775" s="202"/>
    </row>
    <row r="776" spans="2:24" ht="19">
      <c r="B776" s="107">
        <f>'1_入力シート【基本情報】'!$BS$402</f>
        <v>0</v>
      </c>
      <c r="C776" s="493" t="str">
        <f t="shared" ref="C776:E777" si="129">ASC($D776)</f>
        <v>0</v>
      </c>
      <c r="D776" s="107">
        <f>'1_入力シート【基本情報】'!$BS$402</f>
        <v>0</v>
      </c>
      <c r="E776" s="7" t="str">
        <f t="shared" si="129"/>
        <v>0</v>
      </c>
      <c r="F776" s="7" t="str">
        <f t="shared" si="128"/>
        <v>0</v>
      </c>
      <c r="G776" s="24"/>
      <c r="H776" s="565">
        <v>23</v>
      </c>
      <c r="I776" s="334" t="s">
        <v>33</v>
      </c>
      <c r="J776" s="357" t="s">
        <v>1407</v>
      </c>
      <c r="K776" s="322" t="s">
        <v>2066</v>
      </c>
      <c r="L776" s="358"/>
      <c r="M776" s="335" t="s">
        <v>2099</v>
      </c>
      <c r="N776" s="358" t="s">
        <v>1407</v>
      </c>
      <c r="O776" s="326" t="s">
        <v>387</v>
      </c>
      <c r="P776" s="332" t="s">
        <v>1879</v>
      </c>
      <c r="Q776" s="363" t="s">
        <v>1966</v>
      </c>
      <c r="R776" s="364"/>
      <c r="S776" s="364"/>
      <c r="T776" s="13" t="str">
        <f t="shared" si="118"/>
        <v>23調査結果-建築物の内部4（33）-改善（予定）年月-年（令和）</v>
      </c>
      <c r="V776" s="202"/>
      <c r="W776" s="202"/>
      <c r="X776" s="202"/>
    </row>
    <row r="777" spans="2:24" ht="19">
      <c r="B777" s="107">
        <f>'1_入力シート【基本情報】'!$BV$402</f>
        <v>0</v>
      </c>
      <c r="C777" s="493" t="str">
        <f t="shared" si="129"/>
        <v>0</v>
      </c>
      <c r="D777" s="107">
        <f>'1_入力シート【基本情報】'!$BV$402</f>
        <v>0</v>
      </c>
      <c r="E777" s="7" t="str">
        <f t="shared" si="129"/>
        <v>0</v>
      </c>
      <c r="F777" s="7" t="str">
        <f t="shared" si="128"/>
        <v>0</v>
      </c>
      <c r="G777" s="24"/>
      <c r="H777" s="565">
        <v>23</v>
      </c>
      <c r="I777" s="334" t="s">
        <v>33</v>
      </c>
      <c r="J777" s="357" t="s">
        <v>1407</v>
      </c>
      <c r="K777" s="322" t="s">
        <v>2066</v>
      </c>
      <c r="L777" s="358" t="s">
        <v>1407</v>
      </c>
      <c r="M777" s="335" t="s">
        <v>2099</v>
      </c>
      <c r="N777" s="358" t="s">
        <v>1407</v>
      </c>
      <c r="O777" s="326" t="s">
        <v>387</v>
      </c>
      <c r="P777" s="332" t="s">
        <v>1879</v>
      </c>
      <c r="Q777" s="363" t="s">
        <v>383</v>
      </c>
      <c r="R777" s="364"/>
      <c r="S777" s="364"/>
      <c r="T777" s="13" t="str">
        <f t="shared" si="118"/>
        <v>23調査結果-建築物の内部-4（33）-改善（予定）年月-月</v>
      </c>
      <c r="V777" s="202"/>
      <c r="W777" s="202"/>
      <c r="X777" s="202"/>
    </row>
    <row r="778" spans="2:24">
      <c r="B778" s="107">
        <f>'1_入力シート【基本情報】'!$BY$402</f>
        <v>0</v>
      </c>
      <c r="C778" s="4" t="str">
        <f t="shared" si="123"/>
        <v/>
      </c>
      <c r="D778" s="107">
        <f>'1_入力シート【基本情報】'!$BY$402</f>
        <v>0</v>
      </c>
      <c r="E778" s="564">
        <f>'1_入力シート【基本情報】'!$BY$402</f>
        <v>0</v>
      </c>
      <c r="F778" s="564" t="str">
        <f t="shared" si="128"/>
        <v>0</v>
      </c>
      <c r="G778" s="24"/>
      <c r="H778" s="565">
        <v>23</v>
      </c>
      <c r="I778" s="334" t="s">
        <v>33</v>
      </c>
      <c r="J778" s="357" t="s">
        <v>1407</v>
      </c>
      <c r="K778" s="322" t="s">
        <v>2066</v>
      </c>
      <c r="L778" s="358" t="s">
        <v>1407</v>
      </c>
      <c r="M778" s="335" t="s">
        <v>2099</v>
      </c>
      <c r="N778" s="358" t="s">
        <v>1407</v>
      </c>
      <c r="O778" s="326" t="s">
        <v>387</v>
      </c>
      <c r="P778" s="332" t="s">
        <v>1879</v>
      </c>
      <c r="Q778" s="363" t="s">
        <v>675</v>
      </c>
      <c r="R778" s="203"/>
      <c r="S778" s="203"/>
      <c r="T778" s="13" t="str">
        <f t="shared" si="118"/>
        <v>23調査結果-建築物の内部-4（33）-改善（予定）年月-未定</v>
      </c>
      <c r="V778" s="202"/>
      <c r="W778" s="202"/>
      <c r="X778" s="202"/>
    </row>
    <row r="779" spans="2:24">
      <c r="B779" s="107">
        <f>'1_入力シート【基本情報】'!$AF$403</f>
        <v>0</v>
      </c>
      <c r="C779" s="4" t="str">
        <f t="shared" si="123"/>
        <v/>
      </c>
      <c r="D779" s="107" t="str">
        <f>C779</f>
        <v/>
      </c>
      <c r="E779" s="564" t="str">
        <f>D779</f>
        <v/>
      </c>
      <c r="F779" s="564" t="str">
        <f t="shared" si="128"/>
        <v/>
      </c>
      <c r="G779" s="24"/>
      <c r="H779" s="565">
        <v>23</v>
      </c>
      <c r="I779" s="334" t="s">
        <v>33</v>
      </c>
      <c r="J779" s="357" t="s">
        <v>1407</v>
      </c>
      <c r="K779" s="322" t="s">
        <v>2066</v>
      </c>
      <c r="L779" s="358" t="s">
        <v>1407</v>
      </c>
      <c r="M779" s="335" t="s">
        <v>2100</v>
      </c>
      <c r="N779" s="358" t="s">
        <v>1407</v>
      </c>
      <c r="O779" s="326" t="s">
        <v>33</v>
      </c>
      <c r="P779" s="332"/>
      <c r="Q779" s="363"/>
      <c r="R779" s="364"/>
      <c r="S779" s="364"/>
      <c r="T779" s="13" t="str">
        <f t="shared" si="118"/>
        <v>23調査結果-建築物の内部-4（34）-調査結果</v>
      </c>
      <c r="V779" s="202"/>
      <c r="W779" s="202"/>
      <c r="X779" s="202"/>
    </row>
    <row r="780" spans="2:24">
      <c r="B780" s="107">
        <f>'1_入力シート【基本情報】'!$AR$403</f>
        <v>0</v>
      </c>
      <c r="C780" s="4" t="str">
        <f t="shared" si="123"/>
        <v/>
      </c>
      <c r="D780" s="107">
        <f>'1_入力シート【基本情報】'!$AR$403</f>
        <v>0</v>
      </c>
      <c r="E780" s="564">
        <f>'1_入力シート【基本情報】'!$AR$403</f>
        <v>0</v>
      </c>
      <c r="F780" s="564" t="str">
        <f t="shared" si="128"/>
        <v>0</v>
      </c>
      <c r="G780" s="24"/>
      <c r="H780" s="565">
        <v>23</v>
      </c>
      <c r="I780" s="334" t="s">
        <v>33</v>
      </c>
      <c r="J780" s="357" t="s">
        <v>1407</v>
      </c>
      <c r="K780" s="322" t="s">
        <v>2066</v>
      </c>
      <c r="L780" s="358" t="s">
        <v>1407</v>
      </c>
      <c r="M780" s="335" t="s">
        <v>2100</v>
      </c>
      <c r="N780" s="358" t="s">
        <v>1407</v>
      </c>
      <c r="O780" s="334" t="s">
        <v>30</v>
      </c>
      <c r="P780" s="332"/>
      <c r="Q780" s="363"/>
      <c r="R780" s="364"/>
      <c r="S780" s="364"/>
      <c r="T780" s="13" t="str">
        <f t="shared" ref="T780:T920" si="130">CONCATENATE(H780,I780,J780,K780,L780,M780,N780,O780,P780,Q780)</f>
        <v>23調査結果-建築物の内部-4（34）-調査者番号</v>
      </c>
      <c r="V780" s="202"/>
      <c r="W780" s="202"/>
      <c r="X780" s="202"/>
    </row>
    <row r="781" spans="2:24">
      <c r="B781" s="107">
        <f>'1_入力シート【基本情報】'!$AT$403</f>
        <v>0</v>
      </c>
      <c r="C781" s="4" t="str">
        <f t="shared" si="123"/>
        <v/>
      </c>
      <c r="D781" s="107">
        <f>'1_入力シート【基本情報】'!$AT$403</f>
        <v>0</v>
      </c>
      <c r="E781" s="564">
        <f>'1_入力シート【基本情報】'!$AT$403</f>
        <v>0</v>
      </c>
      <c r="F781" s="564" t="str">
        <f t="shared" si="128"/>
        <v>0</v>
      </c>
      <c r="G781" s="24"/>
      <c r="H781" s="565">
        <v>23</v>
      </c>
      <c r="I781" s="334" t="s">
        <v>33</v>
      </c>
      <c r="J781" s="357" t="s">
        <v>1407</v>
      </c>
      <c r="K781" s="322" t="s">
        <v>2066</v>
      </c>
      <c r="L781" s="358" t="s">
        <v>1407</v>
      </c>
      <c r="M781" s="335" t="s">
        <v>2100</v>
      </c>
      <c r="N781" s="358" t="s">
        <v>1407</v>
      </c>
      <c r="O781" s="334" t="s">
        <v>2028</v>
      </c>
      <c r="P781" s="332"/>
      <c r="Q781" s="363"/>
      <c r="R781" s="364"/>
      <c r="S781" s="364"/>
      <c r="T781" s="13" t="str">
        <f t="shared" si="130"/>
        <v>23調査結果-建築物の内部-4（34）-指摘の具体的内容等</v>
      </c>
      <c r="V781" s="202"/>
      <c r="W781" s="202"/>
      <c r="X781" s="202"/>
    </row>
    <row r="782" spans="2:24">
      <c r="B782" s="107">
        <f>'1_入力シート【基本情報】'!$BD$403</f>
        <v>0</v>
      </c>
      <c r="C782" s="4" t="str">
        <f t="shared" si="123"/>
        <v/>
      </c>
      <c r="D782" s="107">
        <f>'1_入力シート【基本情報】'!$BD$403</f>
        <v>0</v>
      </c>
      <c r="E782" s="564">
        <f>'1_入力シート【基本情報】'!$BD$403</f>
        <v>0</v>
      </c>
      <c r="F782" s="564" t="str">
        <f t="shared" si="128"/>
        <v>0</v>
      </c>
      <c r="G782" s="24"/>
      <c r="H782" s="565">
        <v>23</v>
      </c>
      <c r="I782" s="334" t="s">
        <v>33</v>
      </c>
      <c r="J782" s="357" t="s">
        <v>1407</v>
      </c>
      <c r="K782" s="322" t="s">
        <v>2066</v>
      </c>
      <c r="L782" s="358" t="s">
        <v>1407</v>
      </c>
      <c r="M782" s="335" t="s">
        <v>2100</v>
      </c>
      <c r="N782" s="358" t="s">
        <v>1407</v>
      </c>
      <c r="O782" s="334" t="s">
        <v>2029</v>
      </c>
      <c r="P782" s="332"/>
      <c r="Q782" s="363"/>
      <c r="R782" s="364"/>
      <c r="S782" s="364"/>
      <c r="T782" s="13" t="str">
        <f t="shared" si="130"/>
        <v>23調査結果-建築物の内部-4（34）-改善策の具体的内容等</v>
      </c>
      <c r="V782" s="202"/>
      <c r="W782" s="202"/>
      <c r="X782" s="202"/>
    </row>
    <row r="783" spans="2:24" ht="19">
      <c r="B783" s="107">
        <f>'1_入力シート【基本情報】'!$BS$403</f>
        <v>0</v>
      </c>
      <c r="C783" s="493" t="str">
        <f t="shared" ref="C783:E784" si="131">ASC($D783)</f>
        <v>0</v>
      </c>
      <c r="D783" s="107">
        <f>'1_入力シート【基本情報】'!$BS$403</f>
        <v>0</v>
      </c>
      <c r="E783" s="7" t="str">
        <f t="shared" si="131"/>
        <v>0</v>
      </c>
      <c r="F783" s="7" t="str">
        <f t="shared" si="128"/>
        <v>0</v>
      </c>
      <c r="G783" s="24"/>
      <c r="H783" s="565">
        <v>23</v>
      </c>
      <c r="I783" s="334" t="s">
        <v>33</v>
      </c>
      <c r="J783" s="357" t="s">
        <v>1407</v>
      </c>
      <c r="K783" s="322" t="s">
        <v>2066</v>
      </c>
      <c r="L783" s="358" t="s">
        <v>1407</v>
      </c>
      <c r="M783" s="335" t="s">
        <v>2100</v>
      </c>
      <c r="N783" s="358" t="s">
        <v>1407</v>
      </c>
      <c r="O783" s="326" t="s">
        <v>387</v>
      </c>
      <c r="P783" s="327" t="s">
        <v>1879</v>
      </c>
      <c r="Q783" s="336" t="s">
        <v>1966</v>
      </c>
      <c r="R783" s="364"/>
      <c r="S783" s="364"/>
      <c r="T783" s="13" t="str">
        <f t="shared" si="130"/>
        <v>23調査結果-建築物の内部-4（34）-改善（予定）年月-年（令和）</v>
      </c>
      <c r="V783" s="202"/>
      <c r="W783" s="202"/>
      <c r="X783" s="202"/>
    </row>
    <row r="784" spans="2:24" ht="19">
      <c r="B784" s="107">
        <f>'1_入力シート【基本情報】'!$BV$403</f>
        <v>0</v>
      </c>
      <c r="C784" s="493" t="str">
        <f t="shared" si="131"/>
        <v>0</v>
      </c>
      <c r="D784" s="107">
        <f>'1_入力シート【基本情報】'!$BV$403</f>
        <v>0</v>
      </c>
      <c r="E784" s="7" t="str">
        <f t="shared" si="131"/>
        <v>0</v>
      </c>
      <c r="F784" s="7" t="str">
        <f t="shared" si="128"/>
        <v>0</v>
      </c>
      <c r="G784" s="24"/>
      <c r="H784" s="565">
        <v>23</v>
      </c>
      <c r="I784" s="334" t="s">
        <v>33</v>
      </c>
      <c r="J784" s="357" t="s">
        <v>1407</v>
      </c>
      <c r="K784" s="322" t="s">
        <v>2066</v>
      </c>
      <c r="L784" s="358"/>
      <c r="M784" s="335" t="s">
        <v>2100</v>
      </c>
      <c r="N784" s="358" t="s">
        <v>1407</v>
      </c>
      <c r="O784" s="326" t="s">
        <v>387</v>
      </c>
      <c r="P784" s="332" t="s">
        <v>1879</v>
      </c>
      <c r="Q784" s="363" t="s">
        <v>383</v>
      </c>
      <c r="R784" s="364"/>
      <c r="S784" s="364"/>
      <c r="T784" s="13" t="str">
        <f t="shared" si="130"/>
        <v>23調査結果-建築物の内部4（34）-改善（予定）年月-月</v>
      </c>
      <c r="V784" s="202"/>
      <c r="W784" s="202"/>
      <c r="X784" s="202"/>
    </row>
    <row r="785" spans="2:24">
      <c r="B785" s="107">
        <f>'1_入力シート【基本情報】'!$BY$403</f>
        <v>0</v>
      </c>
      <c r="C785" s="4" t="str">
        <f t="shared" si="123"/>
        <v/>
      </c>
      <c r="D785" s="107">
        <f>'1_入力シート【基本情報】'!$BY$403</f>
        <v>0</v>
      </c>
      <c r="E785" s="564">
        <f>'1_入力シート【基本情報】'!$BY$403</f>
        <v>0</v>
      </c>
      <c r="F785" s="564" t="str">
        <f t="shared" si="128"/>
        <v>0</v>
      </c>
      <c r="G785" s="24"/>
      <c r="H785" s="565">
        <v>23</v>
      </c>
      <c r="I785" s="334" t="s">
        <v>33</v>
      </c>
      <c r="J785" s="357" t="s">
        <v>1407</v>
      </c>
      <c r="K785" s="322" t="s">
        <v>2066</v>
      </c>
      <c r="L785" s="358" t="s">
        <v>1407</v>
      </c>
      <c r="M785" s="335" t="s">
        <v>2100</v>
      </c>
      <c r="N785" s="358" t="s">
        <v>1407</v>
      </c>
      <c r="O785" s="326" t="s">
        <v>387</v>
      </c>
      <c r="P785" s="332" t="s">
        <v>1879</v>
      </c>
      <c r="Q785" s="363" t="s">
        <v>675</v>
      </c>
      <c r="R785" s="364"/>
      <c r="S785" s="364"/>
      <c r="T785" s="13" t="str">
        <f t="shared" si="130"/>
        <v>23調査結果-建築物の内部-4（34）-改善（予定）年月-未定</v>
      </c>
      <c r="V785" s="202"/>
      <c r="W785" s="202"/>
      <c r="X785" s="202"/>
    </row>
    <row r="786" spans="2:24">
      <c r="B786" s="107">
        <f>'1_入力シート【基本情報】'!$AF$404</f>
        <v>0</v>
      </c>
      <c r="C786" s="4" t="str">
        <f t="shared" si="123"/>
        <v/>
      </c>
      <c r="D786" s="107" t="str">
        <f>C786</f>
        <v/>
      </c>
      <c r="E786" s="564" t="str">
        <f>D786</f>
        <v/>
      </c>
      <c r="F786" s="564" t="str">
        <f t="shared" si="128"/>
        <v/>
      </c>
      <c r="G786" s="24"/>
      <c r="H786" s="565">
        <v>23</v>
      </c>
      <c r="I786" s="334" t="s">
        <v>33</v>
      </c>
      <c r="J786" s="357" t="s">
        <v>1407</v>
      </c>
      <c r="K786" s="322" t="s">
        <v>2066</v>
      </c>
      <c r="L786" s="358" t="s">
        <v>1407</v>
      </c>
      <c r="M786" s="335" t="s">
        <v>2101</v>
      </c>
      <c r="N786" s="358" t="s">
        <v>1407</v>
      </c>
      <c r="O786" s="326" t="s">
        <v>33</v>
      </c>
      <c r="P786" s="332"/>
      <c r="Q786" s="363"/>
      <c r="R786" s="203"/>
      <c r="S786" s="203"/>
      <c r="T786" s="13" t="str">
        <f t="shared" si="130"/>
        <v>23調査結果-建築物の内部-4（35）-調査結果</v>
      </c>
      <c r="V786" s="202"/>
      <c r="W786" s="202"/>
      <c r="X786" s="202"/>
    </row>
    <row r="787" spans="2:24">
      <c r="B787" s="107">
        <f>'1_入力シート【基本情報】'!$AR$404</f>
        <v>0</v>
      </c>
      <c r="C787" s="4" t="str">
        <f t="shared" si="123"/>
        <v/>
      </c>
      <c r="D787" s="107">
        <f>'1_入力シート【基本情報】'!$AR$404</f>
        <v>0</v>
      </c>
      <c r="E787" s="564">
        <f>'1_入力シート【基本情報】'!$AR$404</f>
        <v>0</v>
      </c>
      <c r="F787" s="564" t="str">
        <f t="shared" si="128"/>
        <v>0</v>
      </c>
      <c r="G787" s="24"/>
      <c r="H787" s="565">
        <v>23</v>
      </c>
      <c r="I787" s="334" t="s">
        <v>33</v>
      </c>
      <c r="J787" s="357" t="s">
        <v>1407</v>
      </c>
      <c r="K787" s="322" t="s">
        <v>2066</v>
      </c>
      <c r="L787" s="358" t="s">
        <v>1407</v>
      </c>
      <c r="M787" s="335" t="s">
        <v>2101</v>
      </c>
      <c r="N787" s="358" t="s">
        <v>1407</v>
      </c>
      <c r="O787" s="326" t="s">
        <v>30</v>
      </c>
      <c r="P787" s="332"/>
      <c r="Q787" s="363"/>
      <c r="R787" s="364"/>
      <c r="S787" s="364"/>
      <c r="T787" s="13" t="str">
        <f t="shared" si="130"/>
        <v>23調査結果-建築物の内部-4（35）-調査者番号</v>
      </c>
      <c r="V787" s="202"/>
      <c r="W787" s="202"/>
      <c r="X787" s="202"/>
    </row>
    <row r="788" spans="2:24">
      <c r="B788" s="107">
        <f>'1_入力シート【基本情報】'!$AT$404</f>
        <v>0</v>
      </c>
      <c r="C788" s="4" t="str">
        <f t="shared" si="123"/>
        <v/>
      </c>
      <c r="D788" s="107">
        <f>'1_入力シート【基本情報】'!$AT$404</f>
        <v>0</v>
      </c>
      <c r="E788" s="564">
        <f>'1_入力シート【基本情報】'!$AT$404</f>
        <v>0</v>
      </c>
      <c r="F788" s="564" t="str">
        <f t="shared" si="128"/>
        <v>0</v>
      </c>
      <c r="G788" s="24"/>
      <c r="H788" s="565">
        <v>23</v>
      </c>
      <c r="I788" s="334" t="s">
        <v>33</v>
      </c>
      <c r="J788" s="357" t="s">
        <v>1407</v>
      </c>
      <c r="K788" s="322" t="s">
        <v>2066</v>
      </c>
      <c r="L788" s="358" t="s">
        <v>1407</v>
      </c>
      <c r="M788" s="335" t="s">
        <v>2101</v>
      </c>
      <c r="N788" s="358" t="s">
        <v>1407</v>
      </c>
      <c r="O788" s="334" t="s">
        <v>2028</v>
      </c>
      <c r="P788" s="332"/>
      <c r="Q788" s="363"/>
      <c r="R788" s="364"/>
      <c r="S788" s="364"/>
      <c r="T788" s="13" t="str">
        <f t="shared" si="130"/>
        <v>23調査結果-建築物の内部-4（35）-指摘の具体的内容等</v>
      </c>
      <c r="V788" s="202"/>
      <c r="W788" s="202"/>
      <c r="X788" s="202"/>
    </row>
    <row r="789" spans="2:24">
      <c r="B789" s="107">
        <f>'1_入力シート【基本情報】'!$BD$404</f>
        <v>0</v>
      </c>
      <c r="C789" s="4" t="str">
        <f t="shared" si="123"/>
        <v/>
      </c>
      <c r="D789" s="107">
        <f>'1_入力シート【基本情報】'!$BD$404</f>
        <v>0</v>
      </c>
      <c r="E789" s="564">
        <f>'1_入力シート【基本情報】'!$BD$404</f>
        <v>0</v>
      </c>
      <c r="F789" s="564" t="str">
        <f t="shared" si="128"/>
        <v>0</v>
      </c>
      <c r="G789" s="24"/>
      <c r="H789" s="565">
        <v>23</v>
      </c>
      <c r="I789" s="334" t="s">
        <v>33</v>
      </c>
      <c r="J789" s="357" t="s">
        <v>1407</v>
      </c>
      <c r="K789" s="322" t="s">
        <v>2066</v>
      </c>
      <c r="L789" s="358" t="s">
        <v>1407</v>
      </c>
      <c r="M789" s="335" t="s">
        <v>2101</v>
      </c>
      <c r="N789" s="358" t="s">
        <v>1407</v>
      </c>
      <c r="O789" s="334" t="s">
        <v>2029</v>
      </c>
      <c r="P789" s="332"/>
      <c r="Q789" s="363"/>
      <c r="R789" s="364"/>
      <c r="S789" s="364"/>
      <c r="T789" s="13" t="str">
        <f t="shared" si="130"/>
        <v>23調査結果-建築物の内部-4（35）-改善策の具体的内容等</v>
      </c>
      <c r="V789" s="202"/>
      <c r="W789" s="202"/>
      <c r="X789" s="202"/>
    </row>
    <row r="790" spans="2:24" ht="19">
      <c r="B790" s="107">
        <f>'1_入力シート【基本情報】'!$BS$404</f>
        <v>0</v>
      </c>
      <c r="C790" s="493" t="str">
        <f t="shared" ref="C790:E791" si="132">ASC($D790)</f>
        <v>0</v>
      </c>
      <c r="D790" s="107">
        <f>'1_入力シート【基本情報】'!$BS$404</f>
        <v>0</v>
      </c>
      <c r="E790" s="7" t="str">
        <f t="shared" si="132"/>
        <v>0</v>
      </c>
      <c r="F790" s="7" t="str">
        <f t="shared" si="128"/>
        <v>0</v>
      </c>
      <c r="G790" s="24"/>
      <c r="H790" s="565">
        <v>23</v>
      </c>
      <c r="I790" s="334" t="s">
        <v>33</v>
      </c>
      <c r="J790" s="357" t="s">
        <v>1407</v>
      </c>
      <c r="K790" s="322" t="s">
        <v>2066</v>
      </c>
      <c r="L790" s="358" t="s">
        <v>1407</v>
      </c>
      <c r="M790" s="335" t="s">
        <v>2101</v>
      </c>
      <c r="N790" s="358" t="s">
        <v>1407</v>
      </c>
      <c r="O790" s="334" t="s">
        <v>387</v>
      </c>
      <c r="P790" s="332" t="s">
        <v>1879</v>
      </c>
      <c r="Q790" s="363" t="s">
        <v>1966</v>
      </c>
      <c r="R790" s="364"/>
      <c r="S790" s="364"/>
      <c r="T790" s="13" t="str">
        <f t="shared" si="130"/>
        <v>23調査結果-建築物の内部-4（35）-改善（予定）年月-年（令和）</v>
      </c>
      <c r="V790" s="202"/>
      <c r="W790" s="202"/>
      <c r="X790" s="202"/>
    </row>
    <row r="791" spans="2:24" ht="19">
      <c r="B791" s="107">
        <f>'1_入力シート【基本情報】'!$BV$404</f>
        <v>0</v>
      </c>
      <c r="C791" s="493" t="str">
        <f t="shared" si="132"/>
        <v>0</v>
      </c>
      <c r="D791" s="107">
        <f>'1_入力シート【基本情報】'!$BV$404</f>
        <v>0</v>
      </c>
      <c r="E791" s="7" t="str">
        <f t="shared" si="132"/>
        <v>0</v>
      </c>
      <c r="F791" s="7" t="str">
        <f t="shared" si="128"/>
        <v>0</v>
      </c>
      <c r="G791" s="24"/>
      <c r="H791" s="565">
        <v>23</v>
      </c>
      <c r="I791" s="334" t="s">
        <v>33</v>
      </c>
      <c r="J791" s="357" t="s">
        <v>1407</v>
      </c>
      <c r="K791" s="322" t="s">
        <v>2066</v>
      </c>
      <c r="L791" s="358" t="s">
        <v>1407</v>
      </c>
      <c r="M791" s="335" t="s">
        <v>2101</v>
      </c>
      <c r="N791" s="358" t="s">
        <v>1407</v>
      </c>
      <c r="O791" s="326" t="s">
        <v>387</v>
      </c>
      <c r="P791" s="327" t="s">
        <v>1879</v>
      </c>
      <c r="Q791" s="336" t="s">
        <v>383</v>
      </c>
      <c r="R791" s="364"/>
      <c r="S791" s="364"/>
      <c r="T791" s="13" t="str">
        <f t="shared" si="130"/>
        <v>23調査結果-建築物の内部-4（35）-改善（予定）年月-月</v>
      </c>
      <c r="V791" s="202"/>
      <c r="W791" s="202"/>
      <c r="X791" s="202"/>
    </row>
    <row r="792" spans="2:24">
      <c r="B792" s="107">
        <f>'1_入力シート【基本情報】'!$BY$404</f>
        <v>0</v>
      </c>
      <c r="C792" s="4" t="str">
        <f t="shared" si="123"/>
        <v/>
      </c>
      <c r="D792" s="107">
        <f>'1_入力シート【基本情報】'!$BY$404</f>
        <v>0</v>
      </c>
      <c r="E792" s="564">
        <f>'1_入力シート【基本情報】'!$BY$404</f>
        <v>0</v>
      </c>
      <c r="F792" s="564" t="str">
        <f t="shared" si="128"/>
        <v>0</v>
      </c>
      <c r="G792" s="24"/>
      <c r="H792" s="565">
        <v>23</v>
      </c>
      <c r="I792" s="334" t="s">
        <v>33</v>
      </c>
      <c r="J792" s="357" t="s">
        <v>1407</v>
      </c>
      <c r="K792" s="322" t="s">
        <v>2066</v>
      </c>
      <c r="L792" s="358"/>
      <c r="M792" s="335" t="s">
        <v>2101</v>
      </c>
      <c r="N792" s="358" t="s">
        <v>1407</v>
      </c>
      <c r="O792" s="326" t="s">
        <v>387</v>
      </c>
      <c r="P792" s="332" t="s">
        <v>1879</v>
      </c>
      <c r="Q792" s="363" t="s">
        <v>675</v>
      </c>
      <c r="R792" s="364"/>
      <c r="S792" s="364"/>
      <c r="T792" s="13" t="str">
        <f t="shared" si="130"/>
        <v>23調査結果-建築物の内部4（35）-改善（予定）年月-未定</v>
      </c>
      <c r="V792" s="202"/>
      <c r="W792" s="202"/>
      <c r="X792" s="202"/>
    </row>
    <row r="793" spans="2:24">
      <c r="B793" s="107">
        <f>'1_入力シート【基本情報】'!$AF$405</f>
        <v>0</v>
      </c>
      <c r="C793" s="4" t="str">
        <f t="shared" si="123"/>
        <v/>
      </c>
      <c r="D793" s="107" t="str">
        <f>C793</f>
        <v/>
      </c>
      <c r="E793" s="564" t="str">
        <f>D793</f>
        <v/>
      </c>
      <c r="F793" s="564" t="str">
        <f t="shared" si="128"/>
        <v/>
      </c>
      <c r="G793" s="24"/>
      <c r="H793" s="565">
        <v>23</v>
      </c>
      <c r="I793" s="334" t="s">
        <v>33</v>
      </c>
      <c r="J793" s="357" t="s">
        <v>1407</v>
      </c>
      <c r="K793" s="322" t="s">
        <v>2066</v>
      </c>
      <c r="L793" s="358" t="s">
        <v>1407</v>
      </c>
      <c r="M793" s="335" t="s">
        <v>2102</v>
      </c>
      <c r="N793" s="358" t="s">
        <v>1407</v>
      </c>
      <c r="O793" s="326" t="s">
        <v>33</v>
      </c>
      <c r="P793" s="332"/>
      <c r="Q793" s="363"/>
      <c r="R793" s="364"/>
      <c r="S793" s="364"/>
      <c r="T793" s="13" t="str">
        <f t="shared" si="130"/>
        <v>23調査結果-建築物の内部-4（36）-調査結果</v>
      </c>
      <c r="V793" s="202"/>
      <c r="W793" s="202"/>
      <c r="X793" s="202"/>
    </row>
    <row r="794" spans="2:24">
      <c r="B794" s="107">
        <f>'1_入力シート【基本情報】'!$AR$405</f>
        <v>0</v>
      </c>
      <c r="C794" s="4" t="str">
        <f t="shared" si="123"/>
        <v/>
      </c>
      <c r="D794" s="107">
        <f>'1_入力シート【基本情報】'!$AR$405</f>
        <v>0</v>
      </c>
      <c r="E794" s="564">
        <f>'1_入力シート【基本情報】'!$AR$405</f>
        <v>0</v>
      </c>
      <c r="F794" s="564" t="str">
        <f t="shared" si="128"/>
        <v>0</v>
      </c>
      <c r="G794" s="24"/>
      <c r="H794" s="565">
        <v>23</v>
      </c>
      <c r="I794" s="334" t="s">
        <v>33</v>
      </c>
      <c r="J794" s="357" t="s">
        <v>1407</v>
      </c>
      <c r="K794" s="322" t="s">
        <v>2066</v>
      </c>
      <c r="L794" s="358" t="s">
        <v>1407</v>
      </c>
      <c r="M794" s="335" t="s">
        <v>2102</v>
      </c>
      <c r="N794" s="358" t="s">
        <v>1407</v>
      </c>
      <c r="O794" s="326" t="s">
        <v>30</v>
      </c>
      <c r="P794" s="332"/>
      <c r="Q794" s="363"/>
      <c r="R794" s="203"/>
      <c r="S794" s="203"/>
      <c r="T794" s="13" t="str">
        <f t="shared" si="130"/>
        <v>23調査結果-建築物の内部-4（36）-調査者番号</v>
      </c>
      <c r="V794" s="202"/>
      <c r="W794" s="202"/>
      <c r="X794" s="202"/>
    </row>
    <row r="795" spans="2:24">
      <c r="B795" s="107">
        <f>'1_入力シート【基本情報】'!$AT$405</f>
        <v>0</v>
      </c>
      <c r="C795" s="4" t="str">
        <f t="shared" si="123"/>
        <v/>
      </c>
      <c r="D795" s="107">
        <f>'1_入力シート【基本情報】'!$AT$405</f>
        <v>0</v>
      </c>
      <c r="E795" s="564">
        <f>'1_入力シート【基本情報】'!$AT$405</f>
        <v>0</v>
      </c>
      <c r="F795" s="564" t="str">
        <f t="shared" si="128"/>
        <v>0</v>
      </c>
      <c r="G795" s="24"/>
      <c r="H795" s="565">
        <v>23</v>
      </c>
      <c r="I795" s="334" t="s">
        <v>33</v>
      </c>
      <c r="J795" s="357" t="s">
        <v>1407</v>
      </c>
      <c r="K795" s="322" t="s">
        <v>2066</v>
      </c>
      <c r="L795" s="358" t="s">
        <v>1407</v>
      </c>
      <c r="M795" s="335" t="s">
        <v>2102</v>
      </c>
      <c r="N795" s="358" t="s">
        <v>1407</v>
      </c>
      <c r="O795" s="326" t="s">
        <v>2028</v>
      </c>
      <c r="P795" s="332"/>
      <c r="Q795" s="363"/>
      <c r="R795" s="364"/>
      <c r="S795" s="364"/>
      <c r="T795" s="13" t="str">
        <f t="shared" si="130"/>
        <v>23調査結果-建築物の内部-4（36）-指摘の具体的内容等</v>
      </c>
      <c r="V795" s="202"/>
      <c r="W795" s="202"/>
      <c r="X795" s="202"/>
    </row>
    <row r="796" spans="2:24">
      <c r="B796" s="107">
        <f>'1_入力シート【基本情報】'!$BD$405</f>
        <v>0</v>
      </c>
      <c r="C796" s="4" t="str">
        <f t="shared" si="123"/>
        <v/>
      </c>
      <c r="D796" s="107">
        <f>'1_入力シート【基本情報】'!$BD$405</f>
        <v>0</v>
      </c>
      <c r="E796" s="564">
        <f>'1_入力シート【基本情報】'!$BD$405</f>
        <v>0</v>
      </c>
      <c r="F796" s="564" t="str">
        <f t="shared" si="128"/>
        <v>0</v>
      </c>
      <c r="G796" s="24"/>
      <c r="H796" s="565">
        <v>23</v>
      </c>
      <c r="I796" s="334" t="s">
        <v>33</v>
      </c>
      <c r="J796" s="357" t="s">
        <v>1407</v>
      </c>
      <c r="K796" s="322" t="s">
        <v>2066</v>
      </c>
      <c r="L796" s="358" t="s">
        <v>1407</v>
      </c>
      <c r="M796" s="335" t="s">
        <v>2102</v>
      </c>
      <c r="N796" s="358" t="s">
        <v>1407</v>
      </c>
      <c r="O796" s="334" t="s">
        <v>2029</v>
      </c>
      <c r="P796" s="332"/>
      <c r="Q796" s="363"/>
      <c r="R796" s="364"/>
      <c r="S796" s="364"/>
      <c r="T796" s="13" t="str">
        <f t="shared" si="130"/>
        <v>23調査結果-建築物の内部-4（36）-改善策の具体的内容等</v>
      </c>
      <c r="V796" s="202"/>
      <c r="W796" s="202"/>
      <c r="X796" s="202"/>
    </row>
    <row r="797" spans="2:24" ht="19">
      <c r="B797" s="107">
        <f>'1_入力シート【基本情報】'!$BS$405</f>
        <v>0</v>
      </c>
      <c r="C797" s="493" t="str">
        <f t="shared" ref="C797:E798" si="133">ASC($D797)</f>
        <v>0</v>
      </c>
      <c r="D797" s="107">
        <f>'1_入力シート【基本情報】'!$BS$405</f>
        <v>0</v>
      </c>
      <c r="E797" s="7" t="str">
        <f t="shared" si="133"/>
        <v>0</v>
      </c>
      <c r="F797" s="7" t="str">
        <f t="shared" si="128"/>
        <v>0</v>
      </c>
      <c r="G797" s="24"/>
      <c r="H797" s="565">
        <v>23</v>
      </c>
      <c r="I797" s="334" t="s">
        <v>33</v>
      </c>
      <c r="J797" s="357" t="s">
        <v>1407</v>
      </c>
      <c r="K797" s="322" t="s">
        <v>2066</v>
      </c>
      <c r="L797" s="358" t="s">
        <v>1407</v>
      </c>
      <c r="M797" s="335" t="s">
        <v>2102</v>
      </c>
      <c r="N797" s="358" t="s">
        <v>1407</v>
      </c>
      <c r="O797" s="334" t="s">
        <v>387</v>
      </c>
      <c r="P797" s="332" t="s">
        <v>1879</v>
      </c>
      <c r="Q797" s="363" t="s">
        <v>1966</v>
      </c>
      <c r="R797" s="364"/>
      <c r="S797" s="364"/>
      <c r="T797" s="13" t="str">
        <f t="shared" si="130"/>
        <v>23調査結果-建築物の内部-4（36）-改善（予定）年月-年（令和）</v>
      </c>
      <c r="V797" s="202"/>
      <c r="W797" s="202"/>
      <c r="X797" s="202"/>
    </row>
    <row r="798" spans="2:24" ht="19">
      <c r="B798" s="107">
        <f>'1_入力シート【基本情報】'!$BV$405</f>
        <v>0</v>
      </c>
      <c r="C798" s="493" t="str">
        <f t="shared" si="133"/>
        <v>0</v>
      </c>
      <c r="D798" s="107">
        <f>'1_入力シート【基本情報】'!$BV$405</f>
        <v>0</v>
      </c>
      <c r="E798" s="7" t="str">
        <f t="shared" si="133"/>
        <v>0</v>
      </c>
      <c r="F798" s="7" t="str">
        <f t="shared" si="128"/>
        <v>0</v>
      </c>
      <c r="G798" s="24"/>
      <c r="H798" s="565">
        <v>23</v>
      </c>
      <c r="I798" s="334" t="s">
        <v>33</v>
      </c>
      <c r="J798" s="357" t="s">
        <v>1407</v>
      </c>
      <c r="K798" s="322" t="s">
        <v>2066</v>
      </c>
      <c r="L798" s="358" t="s">
        <v>1407</v>
      </c>
      <c r="M798" s="335" t="s">
        <v>2102</v>
      </c>
      <c r="N798" s="358" t="s">
        <v>1407</v>
      </c>
      <c r="O798" s="334" t="s">
        <v>387</v>
      </c>
      <c r="P798" s="332" t="s">
        <v>1879</v>
      </c>
      <c r="Q798" s="363" t="s">
        <v>383</v>
      </c>
      <c r="R798" s="364"/>
      <c r="S798" s="364"/>
      <c r="T798" s="13" t="str">
        <f t="shared" si="130"/>
        <v>23調査結果-建築物の内部-4（36）-改善（予定）年月-月</v>
      </c>
      <c r="V798" s="202"/>
      <c r="W798" s="202"/>
      <c r="X798" s="202"/>
    </row>
    <row r="799" spans="2:24">
      <c r="B799" s="107">
        <f>'1_入力シート【基本情報】'!$BY$405</f>
        <v>0</v>
      </c>
      <c r="C799" s="4" t="str">
        <f t="shared" si="123"/>
        <v/>
      </c>
      <c r="D799" s="107">
        <f>'1_入力シート【基本情報】'!$BY$405</f>
        <v>0</v>
      </c>
      <c r="E799" s="564">
        <f>'1_入力シート【基本情報】'!$BY$405</f>
        <v>0</v>
      </c>
      <c r="F799" s="564" t="str">
        <f t="shared" si="128"/>
        <v>0</v>
      </c>
      <c r="G799" s="24"/>
      <c r="H799" s="565">
        <v>23</v>
      </c>
      <c r="I799" s="334" t="s">
        <v>33</v>
      </c>
      <c r="J799" s="357" t="s">
        <v>1407</v>
      </c>
      <c r="K799" s="322" t="s">
        <v>2066</v>
      </c>
      <c r="L799" s="358" t="s">
        <v>1407</v>
      </c>
      <c r="M799" s="335" t="s">
        <v>2102</v>
      </c>
      <c r="N799" s="358" t="s">
        <v>1407</v>
      </c>
      <c r="O799" s="326" t="s">
        <v>387</v>
      </c>
      <c r="P799" s="327" t="s">
        <v>1879</v>
      </c>
      <c r="Q799" s="336" t="s">
        <v>675</v>
      </c>
      <c r="R799" s="364"/>
      <c r="S799" s="364"/>
      <c r="T799" s="13" t="str">
        <f t="shared" si="130"/>
        <v>23調査結果-建築物の内部-4（36）-改善（予定）年月-未定</v>
      </c>
      <c r="V799" s="202"/>
      <c r="W799" s="202"/>
      <c r="X799" s="202"/>
    </row>
    <row r="800" spans="2:24">
      <c r="B800" s="107">
        <f>'1_入力シート【基本情報】'!$AF$406</f>
        <v>0</v>
      </c>
      <c r="C800" s="4" t="str">
        <f t="shared" si="123"/>
        <v/>
      </c>
      <c r="D800" s="107" t="str">
        <f>C800</f>
        <v/>
      </c>
      <c r="E800" s="564" t="str">
        <f>D800</f>
        <v/>
      </c>
      <c r="F800" s="564" t="str">
        <f t="shared" si="128"/>
        <v/>
      </c>
      <c r="G800" s="24"/>
      <c r="H800" s="565">
        <v>23</v>
      </c>
      <c r="I800" s="334" t="s">
        <v>33</v>
      </c>
      <c r="J800" s="357" t="s">
        <v>1407</v>
      </c>
      <c r="K800" s="322" t="s">
        <v>2066</v>
      </c>
      <c r="L800" s="358" t="s">
        <v>1407</v>
      </c>
      <c r="M800" s="335" t="s">
        <v>2103</v>
      </c>
      <c r="N800" s="358" t="s">
        <v>1407</v>
      </c>
      <c r="O800" s="326" t="s">
        <v>33</v>
      </c>
      <c r="P800" s="327"/>
      <c r="Q800" s="336"/>
      <c r="R800" s="364"/>
      <c r="S800" s="364"/>
      <c r="T800" s="13" t="str">
        <f t="shared" si="130"/>
        <v>23調査結果-建築物の内部-4（37）-調査結果</v>
      </c>
      <c r="V800" s="202"/>
      <c r="W800" s="202"/>
      <c r="X800" s="202"/>
    </row>
    <row r="801" spans="2:24">
      <c r="B801" s="107">
        <f>'1_入力シート【基本情報】'!$AR$406</f>
        <v>0</v>
      </c>
      <c r="C801" s="4" t="str">
        <f t="shared" si="123"/>
        <v/>
      </c>
      <c r="D801" s="107">
        <f>'1_入力シート【基本情報】'!$AR$406</f>
        <v>0</v>
      </c>
      <c r="E801" s="564">
        <f>'1_入力シート【基本情報】'!$AR$406</f>
        <v>0</v>
      </c>
      <c r="F801" s="564" t="str">
        <f t="shared" si="128"/>
        <v>0</v>
      </c>
      <c r="G801" s="24"/>
      <c r="H801" s="565">
        <v>23</v>
      </c>
      <c r="I801" s="334" t="s">
        <v>33</v>
      </c>
      <c r="J801" s="357" t="s">
        <v>1407</v>
      </c>
      <c r="K801" s="322" t="s">
        <v>2066</v>
      </c>
      <c r="L801" s="358" t="s">
        <v>1407</v>
      </c>
      <c r="M801" s="335" t="s">
        <v>2103</v>
      </c>
      <c r="N801" s="358" t="s">
        <v>1407</v>
      </c>
      <c r="O801" s="326" t="s">
        <v>30</v>
      </c>
      <c r="P801" s="327"/>
      <c r="Q801" s="336"/>
      <c r="R801" s="364"/>
      <c r="S801" s="364"/>
      <c r="T801" s="13" t="str">
        <f t="shared" si="130"/>
        <v>23調査結果-建築物の内部-4（37）-調査者番号</v>
      </c>
      <c r="V801" s="202"/>
      <c r="W801" s="202"/>
      <c r="X801" s="202"/>
    </row>
    <row r="802" spans="2:24">
      <c r="B802" s="107">
        <f>'1_入力シート【基本情報】'!$AT$406</f>
        <v>0</v>
      </c>
      <c r="C802" s="4" t="str">
        <f t="shared" si="123"/>
        <v/>
      </c>
      <c r="D802" s="107">
        <f>'1_入力シート【基本情報】'!$AT$406</f>
        <v>0</v>
      </c>
      <c r="E802" s="564">
        <f>'1_入力シート【基本情報】'!$AT$406</f>
        <v>0</v>
      </c>
      <c r="F802" s="564" t="str">
        <f t="shared" si="128"/>
        <v>0</v>
      </c>
      <c r="G802" s="24"/>
      <c r="H802" s="565">
        <v>23</v>
      </c>
      <c r="I802" s="334" t="s">
        <v>33</v>
      </c>
      <c r="J802" s="357" t="s">
        <v>1407</v>
      </c>
      <c r="K802" s="322" t="s">
        <v>2066</v>
      </c>
      <c r="L802" s="358" t="s">
        <v>1407</v>
      </c>
      <c r="M802" s="335" t="s">
        <v>2103</v>
      </c>
      <c r="N802" s="358" t="s">
        <v>1407</v>
      </c>
      <c r="O802" s="326" t="s">
        <v>2028</v>
      </c>
      <c r="P802" s="327"/>
      <c r="Q802" s="336"/>
      <c r="R802" s="364"/>
      <c r="S802" s="364"/>
      <c r="T802" s="13" t="str">
        <f t="shared" si="130"/>
        <v>23調査結果-建築物の内部-4（37）-指摘の具体的内容等</v>
      </c>
      <c r="V802" s="202"/>
      <c r="W802" s="202"/>
      <c r="X802" s="202"/>
    </row>
    <row r="803" spans="2:24">
      <c r="B803" s="107">
        <f>'1_入力シート【基本情報】'!$BD$406</f>
        <v>0</v>
      </c>
      <c r="C803" s="4" t="str">
        <f t="shared" si="123"/>
        <v/>
      </c>
      <c r="D803" s="107">
        <f>'1_入力シート【基本情報】'!$BD$406</f>
        <v>0</v>
      </c>
      <c r="E803" s="564">
        <f>'1_入力シート【基本情報】'!$BD$406</f>
        <v>0</v>
      </c>
      <c r="F803" s="564" t="str">
        <f t="shared" si="128"/>
        <v>0</v>
      </c>
      <c r="G803" s="24"/>
      <c r="H803" s="565">
        <v>23</v>
      </c>
      <c r="I803" s="334" t="s">
        <v>33</v>
      </c>
      <c r="J803" s="357" t="s">
        <v>1407</v>
      </c>
      <c r="K803" s="322" t="s">
        <v>2066</v>
      </c>
      <c r="L803" s="358" t="s">
        <v>1407</v>
      </c>
      <c r="M803" s="335" t="s">
        <v>2103</v>
      </c>
      <c r="N803" s="358" t="s">
        <v>1407</v>
      </c>
      <c r="O803" s="326" t="s">
        <v>2029</v>
      </c>
      <c r="P803" s="327"/>
      <c r="Q803" s="336"/>
      <c r="R803" s="364"/>
      <c r="S803" s="364"/>
      <c r="T803" s="13" t="str">
        <f t="shared" si="130"/>
        <v>23調査結果-建築物の内部-4（37）-改善策の具体的内容等</v>
      </c>
      <c r="V803" s="202"/>
      <c r="W803" s="202"/>
      <c r="X803" s="202"/>
    </row>
    <row r="804" spans="2:24" ht="19">
      <c r="B804" s="107">
        <f>'1_入力シート【基本情報】'!$BS$406</f>
        <v>0</v>
      </c>
      <c r="C804" s="493" t="str">
        <f t="shared" ref="C804:E805" si="134">ASC($D804)</f>
        <v>0</v>
      </c>
      <c r="D804" s="107">
        <f>'1_入力シート【基本情報】'!$BS$406</f>
        <v>0</v>
      </c>
      <c r="E804" s="7" t="str">
        <f t="shared" si="134"/>
        <v>0</v>
      </c>
      <c r="F804" s="7" t="str">
        <f t="shared" si="128"/>
        <v>0</v>
      </c>
      <c r="G804" s="24"/>
      <c r="H804" s="565">
        <v>23</v>
      </c>
      <c r="I804" s="334" t="s">
        <v>33</v>
      </c>
      <c r="J804" s="357" t="s">
        <v>1407</v>
      </c>
      <c r="K804" s="322" t="s">
        <v>2066</v>
      </c>
      <c r="L804" s="358" t="s">
        <v>1407</v>
      </c>
      <c r="M804" s="335" t="s">
        <v>2103</v>
      </c>
      <c r="N804" s="358" t="s">
        <v>1407</v>
      </c>
      <c r="O804" s="326" t="s">
        <v>387</v>
      </c>
      <c r="P804" s="327" t="s">
        <v>1879</v>
      </c>
      <c r="Q804" s="336" t="s">
        <v>1966</v>
      </c>
      <c r="R804" s="364"/>
      <c r="S804" s="364"/>
      <c r="T804" s="13" t="str">
        <f t="shared" si="130"/>
        <v>23調査結果-建築物の内部-4（37）-改善（予定）年月-年（令和）</v>
      </c>
      <c r="V804" s="202"/>
      <c r="W804" s="202"/>
      <c r="X804" s="202"/>
    </row>
    <row r="805" spans="2:24" ht="19">
      <c r="B805" s="107">
        <f>'1_入力シート【基本情報】'!$BV$406</f>
        <v>0</v>
      </c>
      <c r="C805" s="493" t="str">
        <f t="shared" si="134"/>
        <v>0</v>
      </c>
      <c r="D805" s="107">
        <f>'1_入力シート【基本情報】'!$BV$406</f>
        <v>0</v>
      </c>
      <c r="E805" s="7" t="str">
        <f t="shared" si="134"/>
        <v>0</v>
      </c>
      <c r="F805" s="7" t="str">
        <f t="shared" si="128"/>
        <v>0</v>
      </c>
      <c r="G805" s="24"/>
      <c r="H805" s="565">
        <v>23</v>
      </c>
      <c r="I805" s="334" t="s">
        <v>33</v>
      </c>
      <c r="J805" s="357" t="s">
        <v>1407</v>
      </c>
      <c r="K805" s="322" t="s">
        <v>2066</v>
      </c>
      <c r="L805" s="358" t="s">
        <v>1407</v>
      </c>
      <c r="M805" s="335" t="s">
        <v>2103</v>
      </c>
      <c r="N805" s="358" t="s">
        <v>1407</v>
      </c>
      <c r="O805" s="326" t="s">
        <v>387</v>
      </c>
      <c r="P805" s="327" t="s">
        <v>1879</v>
      </c>
      <c r="Q805" s="336" t="s">
        <v>383</v>
      </c>
      <c r="R805" s="364"/>
      <c r="S805" s="364"/>
      <c r="T805" s="13" t="str">
        <f t="shared" si="130"/>
        <v>23調査結果-建築物の内部-4（37）-改善（予定）年月-月</v>
      </c>
      <c r="V805" s="202"/>
      <c r="W805" s="202"/>
      <c r="X805" s="202"/>
    </row>
    <row r="806" spans="2:24">
      <c r="B806" s="107">
        <f>'1_入力シート【基本情報】'!$BY$406</f>
        <v>0</v>
      </c>
      <c r="C806" s="4" t="str">
        <f t="shared" ref="C806:C869" si="135">MID(B806,2,14)</f>
        <v/>
      </c>
      <c r="D806" s="107">
        <f>'1_入力シート【基本情報】'!$BY$406</f>
        <v>0</v>
      </c>
      <c r="E806" s="564">
        <f>'1_入力シート【基本情報】'!$BY$406</f>
        <v>0</v>
      </c>
      <c r="F806" s="564" t="str">
        <f t="shared" si="128"/>
        <v>0</v>
      </c>
      <c r="G806" s="24"/>
      <c r="H806" s="565">
        <v>23</v>
      </c>
      <c r="I806" s="334" t="s">
        <v>33</v>
      </c>
      <c r="J806" s="357" t="s">
        <v>1407</v>
      </c>
      <c r="K806" s="322" t="s">
        <v>2066</v>
      </c>
      <c r="L806" s="358" t="s">
        <v>1407</v>
      </c>
      <c r="M806" s="335" t="s">
        <v>2103</v>
      </c>
      <c r="N806" s="358" t="s">
        <v>1407</v>
      </c>
      <c r="O806" s="326" t="s">
        <v>387</v>
      </c>
      <c r="P806" s="327" t="s">
        <v>1879</v>
      </c>
      <c r="Q806" s="336" t="s">
        <v>675</v>
      </c>
      <c r="R806" s="364"/>
      <c r="S806" s="364"/>
      <c r="T806" s="13" t="str">
        <f t="shared" si="130"/>
        <v>23調査結果-建築物の内部-4（37）-改善（予定）年月-未定</v>
      </c>
      <c r="V806" s="202"/>
      <c r="W806" s="202"/>
      <c r="X806" s="202"/>
    </row>
    <row r="807" spans="2:24">
      <c r="B807" s="107">
        <f>'1_入力シート【基本情報】'!$AF$407</f>
        <v>0</v>
      </c>
      <c r="C807" s="4" t="str">
        <f t="shared" si="135"/>
        <v/>
      </c>
      <c r="D807" s="107" t="str">
        <f>C807</f>
        <v/>
      </c>
      <c r="E807" s="564" t="str">
        <f>D807</f>
        <v/>
      </c>
      <c r="F807" s="564" t="str">
        <f t="shared" si="128"/>
        <v/>
      </c>
      <c r="G807" s="24"/>
      <c r="H807" s="565">
        <v>23</v>
      </c>
      <c r="I807" s="334" t="s">
        <v>33</v>
      </c>
      <c r="J807" s="357" t="s">
        <v>1407</v>
      </c>
      <c r="K807" s="322" t="s">
        <v>2066</v>
      </c>
      <c r="L807" s="358" t="s">
        <v>1407</v>
      </c>
      <c r="M807" s="335" t="s">
        <v>2104</v>
      </c>
      <c r="N807" s="358" t="s">
        <v>1407</v>
      </c>
      <c r="O807" s="326" t="s">
        <v>33</v>
      </c>
      <c r="P807" s="327"/>
      <c r="Q807" s="336"/>
      <c r="R807" s="364"/>
      <c r="S807" s="364"/>
      <c r="T807" s="13" t="str">
        <f t="shared" si="130"/>
        <v>23調査結果-建築物の内部-4（38）-調査結果</v>
      </c>
      <c r="V807" s="202"/>
      <c r="W807" s="202"/>
      <c r="X807" s="202"/>
    </row>
    <row r="808" spans="2:24">
      <c r="B808" s="107">
        <f>'1_入力シート【基本情報】'!$AR$407</f>
        <v>0</v>
      </c>
      <c r="C808" s="4" t="str">
        <f t="shared" si="135"/>
        <v/>
      </c>
      <c r="D808" s="107">
        <f>'1_入力シート【基本情報】'!$AR$407</f>
        <v>0</v>
      </c>
      <c r="E808" s="564">
        <f>'1_入力シート【基本情報】'!$AR$407</f>
        <v>0</v>
      </c>
      <c r="F808" s="564" t="str">
        <f t="shared" si="128"/>
        <v>0</v>
      </c>
      <c r="G808" s="24"/>
      <c r="H808" s="565">
        <v>23</v>
      </c>
      <c r="I808" s="334" t="s">
        <v>33</v>
      </c>
      <c r="J808" s="357" t="s">
        <v>1407</v>
      </c>
      <c r="K808" s="322" t="s">
        <v>2066</v>
      </c>
      <c r="L808" s="358" t="s">
        <v>1407</v>
      </c>
      <c r="M808" s="335" t="s">
        <v>2104</v>
      </c>
      <c r="N808" s="358" t="s">
        <v>1407</v>
      </c>
      <c r="O808" s="326" t="s">
        <v>30</v>
      </c>
      <c r="P808" s="327"/>
      <c r="Q808" s="336"/>
      <c r="R808" s="364"/>
      <c r="S808" s="364"/>
      <c r="T808" s="13" t="str">
        <f t="shared" si="130"/>
        <v>23調査結果-建築物の内部-4（38）-調査者番号</v>
      </c>
      <c r="V808" s="202"/>
      <c r="W808" s="202"/>
      <c r="X808" s="202"/>
    </row>
    <row r="809" spans="2:24">
      <c r="B809" s="107">
        <f>'1_入力シート【基本情報】'!$AT$407</f>
        <v>0</v>
      </c>
      <c r="C809" s="4" t="str">
        <f t="shared" si="135"/>
        <v/>
      </c>
      <c r="D809" s="107">
        <f>'1_入力シート【基本情報】'!$AT$407</f>
        <v>0</v>
      </c>
      <c r="E809" s="564">
        <f>'1_入力シート【基本情報】'!$AT$407</f>
        <v>0</v>
      </c>
      <c r="F809" s="564" t="str">
        <f t="shared" si="128"/>
        <v>0</v>
      </c>
      <c r="G809" s="24"/>
      <c r="H809" s="565">
        <v>23</v>
      </c>
      <c r="I809" s="334" t="s">
        <v>33</v>
      </c>
      <c r="J809" s="357" t="s">
        <v>1407</v>
      </c>
      <c r="K809" s="322" t="s">
        <v>2066</v>
      </c>
      <c r="L809" s="358" t="s">
        <v>1407</v>
      </c>
      <c r="M809" s="335" t="s">
        <v>2104</v>
      </c>
      <c r="N809" s="358" t="s">
        <v>1407</v>
      </c>
      <c r="O809" s="326" t="s">
        <v>2028</v>
      </c>
      <c r="P809" s="327"/>
      <c r="Q809" s="336"/>
      <c r="R809" s="364"/>
      <c r="S809" s="364"/>
      <c r="T809" s="13" t="str">
        <f t="shared" si="130"/>
        <v>23調査結果-建築物の内部-4（38）-指摘の具体的内容等</v>
      </c>
      <c r="V809" s="202"/>
      <c r="W809" s="202"/>
      <c r="X809" s="202"/>
    </row>
    <row r="810" spans="2:24">
      <c r="B810" s="107">
        <f>'1_入力シート【基本情報】'!$BD$407</f>
        <v>0</v>
      </c>
      <c r="C810" s="4" t="str">
        <f t="shared" si="135"/>
        <v/>
      </c>
      <c r="D810" s="107">
        <f>'1_入力シート【基本情報】'!$BD$407</f>
        <v>0</v>
      </c>
      <c r="E810" s="564">
        <f>'1_入力シート【基本情報】'!$BD$407</f>
        <v>0</v>
      </c>
      <c r="F810" s="564" t="str">
        <f t="shared" si="128"/>
        <v>0</v>
      </c>
      <c r="G810" s="24"/>
      <c r="H810" s="565">
        <v>23</v>
      </c>
      <c r="I810" s="334" t="s">
        <v>33</v>
      </c>
      <c r="J810" s="357" t="s">
        <v>1407</v>
      </c>
      <c r="K810" s="322" t="s">
        <v>2066</v>
      </c>
      <c r="L810" s="358" t="s">
        <v>1407</v>
      </c>
      <c r="M810" s="335" t="s">
        <v>2104</v>
      </c>
      <c r="N810" s="358" t="s">
        <v>1407</v>
      </c>
      <c r="O810" s="326" t="s">
        <v>2029</v>
      </c>
      <c r="P810" s="327"/>
      <c r="Q810" s="336"/>
      <c r="R810" s="364"/>
      <c r="S810" s="364"/>
      <c r="T810" s="13" t="str">
        <f t="shared" si="130"/>
        <v>23調査結果-建築物の内部-4（38）-改善策の具体的内容等</v>
      </c>
      <c r="V810" s="202"/>
      <c r="W810" s="202"/>
      <c r="X810" s="202"/>
    </row>
    <row r="811" spans="2:24" ht="19">
      <c r="B811" s="107">
        <f>'1_入力シート【基本情報】'!$BS$407</f>
        <v>0</v>
      </c>
      <c r="C811" s="493" t="str">
        <f t="shared" ref="C811:E812" si="136">ASC($D811)</f>
        <v>0</v>
      </c>
      <c r="D811" s="107">
        <f>'1_入力シート【基本情報】'!$BS$407</f>
        <v>0</v>
      </c>
      <c r="E811" s="7" t="str">
        <f t="shared" si="136"/>
        <v>0</v>
      </c>
      <c r="F811" s="7" t="str">
        <f t="shared" si="128"/>
        <v>0</v>
      </c>
      <c r="G811" s="24"/>
      <c r="H811" s="565">
        <v>23</v>
      </c>
      <c r="I811" s="334" t="s">
        <v>33</v>
      </c>
      <c r="J811" s="357" t="s">
        <v>1407</v>
      </c>
      <c r="K811" s="322" t="s">
        <v>2066</v>
      </c>
      <c r="L811" s="358" t="s">
        <v>1407</v>
      </c>
      <c r="M811" s="335" t="s">
        <v>2104</v>
      </c>
      <c r="N811" s="358" t="s">
        <v>1407</v>
      </c>
      <c r="O811" s="326" t="s">
        <v>387</v>
      </c>
      <c r="P811" s="327" t="s">
        <v>1879</v>
      </c>
      <c r="Q811" s="336" t="s">
        <v>1966</v>
      </c>
      <c r="R811" s="364"/>
      <c r="S811" s="364"/>
      <c r="T811" s="13" t="str">
        <f t="shared" si="130"/>
        <v>23調査結果-建築物の内部-4（38）-改善（予定）年月-年（令和）</v>
      </c>
      <c r="V811" s="202"/>
      <c r="W811" s="202"/>
      <c r="X811" s="202"/>
    </row>
    <row r="812" spans="2:24" ht="19">
      <c r="B812" s="107">
        <f>'1_入力シート【基本情報】'!$BV$407</f>
        <v>0</v>
      </c>
      <c r="C812" s="493" t="str">
        <f t="shared" si="136"/>
        <v>0</v>
      </c>
      <c r="D812" s="107">
        <f>'1_入力シート【基本情報】'!$BV$407</f>
        <v>0</v>
      </c>
      <c r="E812" s="7" t="str">
        <f t="shared" si="136"/>
        <v>0</v>
      </c>
      <c r="F812" s="7" t="str">
        <f t="shared" si="128"/>
        <v>0</v>
      </c>
      <c r="G812" s="24"/>
      <c r="H812" s="565">
        <v>23</v>
      </c>
      <c r="I812" s="334" t="s">
        <v>33</v>
      </c>
      <c r="J812" s="357" t="s">
        <v>1407</v>
      </c>
      <c r="K812" s="322" t="s">
        <v>2066</v>
      </c>
      <c r="L812" s="358" t="s">
        <v>1407</v>
      </c>
      <c r="M812" s="335" t="s">
        <v>2104</v>
      </c>
      <c r="N812" s="358" t="s">
        <v>1407</v>
      </c>
      <c r="O812" s="326" t="s">
        <v>387</v>
      </c>
      <c r="P812" s="327" t="s">
        <v>1879</v>
      </c>
      <c r="Q812" s="336" t="s">
        <v>383</v>
      </c>
      <c r="R812" s="364"/>
      <c r="S812" s="364"/>
      <c r="T812" s="13" t="str">
        <f t="shared" si="130"/>
        <v>23調査結果-建築物の内部-4（38）-改善（予定）年月-月</v>
      </c>
      <c r="V812" s="202"/>
      <c r="W812" s="202"/>
      <c r="X812" s="202"/>
    </row>
    <row r="813" spans="2:24">
      <c r="B813" s="107">
        <f>'1_入力シート【基本情報】'!$BY$407</f>
        <v>0</v>
      </c>
      <c r="C813" s="4" t="str">
        <f t="shared" si="135"/>
        <v/>
      </c>
      <c r="D813" s="107">
        <f>'1_入力シート【基本情報】'!$BY$407</f>
        <v>0</v>
      </c>
      <c r="E813" s="564">
        <f>'1_入力シート【基本情報】'!$BY$407</f>
        <v>0</v>
      </c>
      <c r="F813" s="564" t="str">
        <f t="shared" si="128"/>
        <v>0</v>
      </c>
      <c r="G813" s="24"/>
      <c r="H813" s="565">
        <v>23</v>
      </c>
      <c r="I813" s="334" t="s">
        <v>33</v>
      </c>
      <c r="J813" s="357" t="s">
        <v>1407</v>
      </c>
      <c r="K813" s="322" t="s">
        <v>2066</v>
      </c>
      <c r="L813" s="358" t="s">
        <v>1407</v>
      </c>
      <c r="M813" s="335" t="s">
        <v>2104</v>
      </c>
      <c r="N813" s="358" t="s">
        <v>1407</v>
      </c>
      <c r="O813" s="326" t="s">
        <v>387</v>
      </c>
      <c r="P813" s="327" t="s">
        <v>1879</v>
      </c>
      <c r="Q813" s="336" t="s">
        <v>675</v>
      </c>
      <c r="R813" s="364"/>
      <c r="S813" s="364"/>
      <c r="T813" s="13" t="str">
        <f t="shared" si="130"/>
        <v>23調査結果-建築物の内部-4（38）-改善（予定）年月-未定</v>
      </c>
      <c r="V813" s="202"/>
      <c r="W813" s="202"/>
      <c r="X813" s="202"/>
    </row>
    <row r="814" spans="2:24">
      <c r="B814" s="107">
        <f>'1_入力シート【基本情報】'!$AF$408</f>
        <v>0</v>
      </c>
      <c r="C814" s="4" t="str">
        <f t="shared" si="135"/>
        <v/>
      </c>
      <c r="D814" s="107" t="str">
        <f>C814</f>
        <v/>
      </c>
      <c r="E814" s="564" t="str">
        <f>D814</f>
        <v/>
      </c>
      <c r="F814" s="564" t="str">
        <f t="shared" si="128"/>
        <v/>
      </c>
      <c r="G814" s="24"/>
      <c r="H814" s="565">
        <v>23</v>
      </c>
      <c r="I814" s="334" t="s">
        <v>33</v>
      </c>
      <c r="J814" s="357" t="s">
        <v>1407</v>
      </c>
      <c r="K814" s="322" t="s">
        <v>2066</v>
      </c>
      <c r="L814" s="358" t="s">
        <v>1407</v>
      </c>
      <c r="M814" s="335" t="s">
        <v>2105</v>
      </c>
      <c r="N814" s="358" t="s">
        <v>1407</v>
      </c>
      <c r="O814" s="326" t="s">
        <v>33</v>
      </c>
      <c r="P814" s="327"/>
      <c r="Q814" s="336"/>
      <c r="R814" s="364"/>
      <c r="S814" s="364"/>
      <c r="T814" s="13" t="str">
        <f t="shared" si="130"/>
        <v>23調査結果-建築物の内部-4（39）-調査結果</v>
      </c>
      <c r="V814" s="202"/>
      <c r="W814" s="202"/>
      <c r="X814" s="202"/>
    </row>
    <row r="815" spans="2:24">
      <c r="B815" s="107">
        <f>'1_入力シート【基本情報】'!$AR$408</f>
        <v>0</v>
      </c>
      <c r="C815" s="4" t="str">
        <f t="shared" si="135"/>
        <v/>
      </c>
      <c r="D815" s="107">
        <f>'1_入力シート【基本情報】'!$AR$408</f>
        <v>0</v>
      </c>
      <c r="E815" s="564">
        <f>'1_入力シート【基本情報】'!$AR$408</f>
        <v>0</v>
      </c>
      <c r="F815" s="564" t="str">
        <f t="shared" si="128"/>
        <v>0</v>
      </c>
      <c r="G815" s="24"/>
      <c r="H815" s="565">
        <v>23</v>
      </c>
      <c r="I815" s="334" t="s">
        <v>33</v>
      </c>
      <c r="J815" s="357" t="s">
        <v>1407</v>
      </c>
      <c r="K815" s="322" t="s">
        <v>2066</v>
      </c>
      <c r="L815" s="358" t="s">
        <v>1407</v>
      </c>
      <c r="M815" s="335" t="s">
        <v>2105</v>
      </c>
      <c r="N815" s="358" t="s">
        <v>1407</v>
      </c>
      <c r="O815" s="326" t="s">
        <v>30</v>
      </c>
      <c r="P815" s="327"/>
      <c r="Q815" s="336"/>
      <c r="R815" s="364"/>
      <c r="S815" s="364"/>
      <c r="T815" s="13" t="str">
        <f t="shared" si="130"/>
        <v>23調査結果-建築物の内部-4（39）-調査者番号</v>
      </c>
      <c r="V815" s="202"/>
      <c r="W815" s="202"/>
      <c r="X815" s="202"/>
    </row>
    <row r="816" spans="2:24">
      <c r="B816" s="107">
        <f>'1_入力シート【基本情報】'!$AT$408</f>
        <v>0</v>
      </c>
      <c r="C816" s="4" t="str">
        <f t="shared" si="135"/>
        <v/>
      </c>
      <c r="D816" s="107">
        <f>'1_入力シート【基本情報】'!$AT$408</f>
        <v>0</v>
      </c>
      <c r="E816" s="564">
        <f>'1_入力シート【基本情報】'!$AT$408</f>
        <v>0</v>
      </c>
      <c r="F816" s="564" t="str">
        <f t="shared" si="128"/>
        <v>0</v>
      </c>
      <c r="G816" s="24"/>
      <c r="H816" s="565">
        <v>23</v>
      </c>
      <c r="I816" s="334" t="s">
        <v>33</v>
      </c>
      <c r="J816" s="357" t="s">
        <v>1407</v>
      </c>
      <c r="K816" s="322" t="s">
        <v>2066</v>
      </c>
      <c r="L816" s="358" t="s">
        <v>1407</v>
      </c>
      <c r="M816" s="335" t="s">
        <v>2105</v>
      </c>
      <c r="N816" s="358" t="s">
        <v>1407</v>
      </c>
      <c r="O816" s="326" t="s">
        <v>2028</v>
      </c>
      <c r="P816" s="327"/>
      <c r="Q816" s="336"/>
      <c r="R816" s="364"/>
      <c r="S816" s="364"/>
      <c r="T816" s="13" t="str">
        <f t="shared" si="130"/>
        <v>23調査結果-建築物の内部-4（39）-指摘の具体的内容等</v>
      </c>
      <c r="V816" s="202"/>
      <c r="W816" s="202"/>
      <c r="X816" s="202"/>
    </row>
    <row r="817" spans="2:24">
      <c r="B817" s="107">
        <f>'1_入力シート【基本情報】'!$BD$408</f>
        <v>0</v>
      </c>
      <c r="C817" s="4" t="str">
        <f t="shared" si="135"/>
        <v/>
      </c>
      <c r="D817" s="107">
        <f>'1_入力シート【基本情報】'!$BD$408</f>
        <v>0</v>
      </c>
      <c r="E817" s="564">
        <f>'1_入力シート【基本情報】'!$BD$408</f>
        <v>0</v>
      </c>
      <c r="F817" s="564" t="str">
        <f t="shared" si="128"/>
        <v>0</v>
      </c>
      <c r="G817" s="24"/>
      <c r="H817" s="565">
        <v>23</v>
      </c>
      <c r="I817" s="334" t="s">
        <v>33</v>
      </c>
      <c r="J817" s="357" t="s">
        <v>1407</v>
      </c>
      <c r="K817" s="322" t="s">
        <v>2066</v>
      </c>
      <c r="L817" s="358" t="s">
        <v>1407</v>
      </c>
      <c r="M817" s="335" t="s">
        <v>2105</v>
      </c>
      <c r="N817" s="358" t="s">
        <v>1407</v>
      </c>
      <c r="O817" s="326" t="s">
        <v>2029</v>
      </c>
      <c r="P817" s="327"/>
      <c r="Q817" s="336"/>
      <c r="R817" s="364"/>
      <c r="S817" s="364"/>
      <c r="T817" s="13" t="str">
        <f t="shared" si="130"/>
        <v>23調査結果-建築物の内部-4（39）-改善策の具体的内容等</v>
      </c>
      <c r="V817" s="202"/>
      <c r="W817" s="202"/>
      <c r="X817" s="202"/>
    </row>
    <row r="818" spans="2:24" ht="19">
      <c r="B818" s="107">
        <f>'1_入力シート【基本情報】'!$BS$408</f>
        <v>0</v>
      </c>
      <c r="C818" s="493" t="str">
        <f t="shared" ref="C818:E819" si="137">ASC($D818)</f>
        <v>0</v>
      </c>
      <c r="D818" s="107">
        <f>'1_入力シート【基本情報】'!$BS$408</f>
        <v>0</v>
      </c>
      <c r="E818" s="7" t="str">
        <f t="shared" si="137"/>
        <v>0</v>
      </c>
      <c r="F818" s="7" t="str">
        <f t="shared" si="128"/>
        <v>0</v>
      </c>
      <c r="G818" s="24"/>
      <c r="H818" s="565">
        <v>23</v>
      </c>
      <c r="I818" s="334" t="s">
        <v>33</v>
      </c>
      <c r="J818" s="357" t="s">
        <v>1407</v>
      </c>
      <c r="K818" s="322" t="s">
        <v>2066</v>
      </c>
      <c r="L818" s="358" t="s">
        <v>1407</v>
      </c>
      <c r="M818" s="335" t="s">
        <v>2105</v>
      </c>
      <c r="N818" s="358" t="s">
        <v>1407</v>
      </c>
      <c r="O818" s="326" t="s">
        <v>387</v>
      </c>
      <c r="P818" s="327" t="s">
        <v>1879</v>
      </c>
      <c r="Q818" s="336" t="s">
        <v>1966</v>
      </c>
      <c r="R818" s="364"/>
      <c r="S818" s="364"/>
      <c r="T818" s="13" t="str">
        <f t="shared" si="130"/>
        <v>23調査結果-建築物の内部-4（39）-改善（予定）年月-年（令和）</v>
      </c>
      <c r="V818" s="202"/>
      <c r="W818" s="202"/>
      <c r="X818" s="202"/>
    </row>
    <row r="819" spans="2:24" ht="19">
      <c r="B819" s="107">
        <f>'1_入力シート【基本情報】'!$BV$408</f>
        <v>0</v>
      </c>
      <c r="C819" s="493" t="str">
        <f t="shared" si="137"/>
        <v>0</v>
      </c>
      <c r="D819" s="107">
        <f>'1_入力シート【基本情報】'!$BV$408</f>
        <v>0</v>
      </c>
      <c r="E819" s="7" t="str">
        <f t="shared" si="137"/>
        <v>0</v>
      </c>
      <c r="F819" s="7" t="str">
        <f t="shared" si="128"/>
        <v>0</v>
      </c>
      <c r="G819" s="24"/>
      <c r="H819" s="565">
        <v>23</v>
      </c>
      <c r="I819" s="334" t="s">
        <v>33</v>
      </c>
      <c r="J819" s="357" t="s">
        <v>1407</v>
      </c>
      <c r="K819" s="322" t="s">
        <v>2066</v>
      </c>
      <c r="L819" s="358" t="s">
        <v>1407</v>
      </c>
      <c r="M819" s="335" t="s">
        <v>2105</v>
      </c>
      <c r="N819" s="358" t="s">
        <v>1407</v>
      </c>
      <c r="O819" s="326" t="s">
        <v>387</v>
      </c>
      <c r="P819" s="327" t="s">
        <v>1879</v>
      </c>
      <c r="Q819" s="336" t="s">
        <v>383</v>
      </c>
      <c r="R819" s="364"/>
      <c r="S819" s="364"/>
      <c r="T819" s="13" t="str">
        <f t="shared" si="130"/>
        <v>23調査結果-建築物の内部-4（39）-改善（予定）年月-月</v>
      </c>
      <c r="V819" s="202"/>
      <c r="W819" s="202"/>
      <c r="X819" s="202"/>
    </row>
    <row r="820" spans="2:24">
      <c r="B820" s="107">
        <f>'1_入力シート【基本情報】'!$BY$408</f>
        <v>0</v>
      </c>
      <c r="C820" s="4" t="str">
        <f t="shared" si="135"/>
        <v/>
      </c>
      <c r="D820" s="107">
        <f>'1_入力シート【基本情報】'!$BY$408</f>
        <v>0</v>
      </c>
      <c r="E820" s="564">
        <f>'1_入力シート【基本情報】'!$BY$408</f>
        <v>0</v>
      </c>
      <c r="F820" s="564" t="str">
        <f t="shared" si="128"/>
        <v>0</v>
      </c>
      <c r="G820" s="24"/>
      <c r="H820" s="565">
        <v>23</v>
      </c>
      <c r="I820" s="334" t="s">
        <v>33</v>
      </c>
      <c r="J820" s="357" t="s">
        <v>1407</v>
      </c>
      <c r="K820" s="322" t="s">
        <v>2066</v>
      </c>
      <c r="L820" s="358" t="s">
        <v>1407</v>
      </c>
      <c r="M820" s="335" t="s">
        <v>2105</v>
      </c>
      <c r="N820" s="358" t="s">
        <v>1407</v>
      </c>
      <c r="O820" s="326" t="s">
        <v>387</v>
      </c>
      <c r="P820" s="327" t="s">
        <v>1879</v>
      </c>
      <c r="Q820" s="336" t="s">
        <v>675</v>
      </c>
      <c r="R820" s="364"/>
      <c r="S820" s="364"/>
      <c r="T820" s="13" t="str">
        <f t="shared" si="130"/>
        <v>23調査結果-建築物の内部-4（39）-改善（予定）年月-未定</v>
      </c>
      <c r="V820" s="202"/>
      <c r="W820" s="202"/>
      <c r="X820" s="202"/>
    </row>
    <row r="821" spans="2:24">
      <c r="B821" s="107">
        <f>'1_入力シート【基本情報】'!$AF$409</f>
        <v>0</v>
      </c>
      <c r="C821" s="4" t="str">
        <f t="shared" si="135"/>
        <v/>
      </c>
      <c r="D821" s="107" t="str">
        <f>C821</f>
        <v/>
      </c>
      <c r="E821" s="564" t="str">
        <f>D821</f>
        <v/>
      </c>
      <c r="F821" s="564" t="str">
        <f t="shared" si="128"/>
        <v/>
      </c>
      <c r="G821" s="24"/>
      <c r="H821" s="565">
        <v>23</v>
      </c>
      <c r="I821" s="334" t="s">
        <v>33</v>
      </c>
      <c r="J821" s="357" t="s">
        <v>1407</v>
      </c>
      <c r="K821" s="322" t="s">
        <v>2066</v>
      </c>
      <c r="L821" s="358" t="s">
        <v>1407</v>
      </c>
      <c r="M821" s="335" t="s">
        <v>2106</v>
      </c>
      <c r="N821" s="358" t="s">
        <v>1407</v>
      </c>
      <c r="O821" s="326" t="s">
        <v>33</v>
      </c>
      <c r="P821" s="327"/>
      <c r="Q821" s="336"/>
      <c r="R821" s="364"/>
      <c r="S821" s="364"/>
      <c r="T821" s="13" t="str">
        <f t="shared" si="130"/>
        <v>23調査結果-建築物の内部-4（40）-調査結果</v>
      </c>
      <c r="V821" s="202"/>
      <c r="W821" s="202"/>
      <c r="X821" s="202"/>
    </row>
    <row r="822" spans="2:24">
      <c r="B822" s="107">
        <f>'1_入力シート【基本情報】'!$AR$409</f>
        <v>0</v>
      </c>
      <c r="C822" s="4" t="str">
        <f t="shared" si="135"/>
        <v/>
      </c>
      <c r="D822" s="107">
        <f>'1_入力シート【基本情報】'!$AR$409</f>
        <v>0</v>
      </c>
      <c r="E822" s="564">
        <f>'1_入力シート【基本情報】'!$AR$409</f>
        <v>0</v>
      </c>
      <c r="F822" s="564" t="str">
        <f t="shared" si="128"/>
        <v>0</v>
      </c>
      <c r="G822" s="24"/>
      <c r="H822" s="565">
        <v>23</v>
      </c>
      <c r="I822" s="334" t="s">
        <v>33</v>
      </c>
      <c r="J822" s="357" t="s">
        <v>1407</v>
      </c>
      <c r="K822" s="322" t="s">
        <v>2066</v>
      </c>
      <c r="L822" s="358" t="s">
        <v>1407</v>
      </c>
      <c r="M822" s="335" t="s">
        <v>2106</v>
      </c>
      <c r="N822" s="358" t="s">
        <v>1407</v>
      </c>
      <c r="O822" s="326" t="s">
        <v>30</v>
      </c>
      <c r="P822" s="327"/>
      <c r="Q822" s="336"/>
      <c r="R822" s="364"/>
      <c r="S822" s="364"/>
      <c r="T822" s="13" t="str">
        <f t="shared" si="130"/>
        <v>23調査結果-建築物の内部-4（40）-調査者番号</v>
      </c>
      <c r="V822" s="202"/>
      <c r="W822" s="202"/>
      <c r="X822" s="202"/>
    </row>
    <row r="823" spans="2:24">
      <c r="B823" s="107">
        <f>'1_入力シート【基本情報】'!$AT$409</f>
        <v>0</v>
      </c>
      <c r="C823" s="4" t="str">
        <f t="shared" si="135"/>
        <v/>
      </c>
      <c r="D823" s="107">
        <f>'1_入力シート【基本情報】'!$AT$409</f>
        <v>0</v>
      </c>
      <c r="E823" s="564">
        <f>'1_入力シート【基本情報】'!$AT$409</f>
        <v>0</v>
      </c>
      <c r="F823" s="564" t="str">
        <f t="shared" si="128"/>
        <v>0</v>
      </c>
      <c r="G823" s="24"/>
      <c r="H823" s="565">
        <v>23</v>
      </c>
      <c r="I823" s="334" t="s">
        <v>33</v>
      </c>
      <c r="J823" s="357" t="s">
        <v>1407</v>
      </c>
      <c r="K823" s="322" t="s">
        <v>2066</v>
      </c>
      <c r="L823" s="358" t="s">
        <v>1407</v>
      </c>
      <c r="M823" s="335" t="s">
        <v>2106</v>
      </c>
      <c r="N823" s="358" t="s">
        <v>1407</v>
      </c>
      <c r="O823" s="326" t="s">
        <v>2028</v>
      </c>
      <c r="P823" s="327"/>
      <c r="Q823" s="336"/>
      <c r="R823" s="364"/>
      <c r="S823" s="364"/>
      <c r="T823" s="13" t="str">
        <f t="shared" si="130"/>
        <v>23調査結果-建築物の内部-4（40）-指摘の具体的内容等</v>
      </c>
      <c r="V823" s="202"/>
      <c r="W823" s="202"/>
      <c r="X823" s="202"/>
    </row>
    <row r="824" spans="2:24">
      <c r="B824" s="107">
        <f>'1_入力シート【基本情報】'!$BD$409</f>
        <v>0</v>
      </c>
      <c r="C824" s="4" t="str">
        <f t="shared" si="135"/>
        <v/>
      </c>
      <c r="D824" s="107">
        <f>'1_入力シート【基本情報】'!$BD$409</f>
        <v>0</v>
      </c>
      <c r="E824" s="564">
        <f>'1_入力シート【基本情報】'!$BD$409</f>
        <v>0</v>
      </c>
      <c r="F824" s="564" t="str">
        <f t="shared" si="128"/>
        <v>0</v>
      </c>
      <c r="G824" s="24"/>
      <c r="H824" s="565">
        <v>23</v>
      </c>
      <c r="I824" s="334" t="s">
        <v>33</v>
      </c>
      <c r="J824" s="357" t="s">
        <v>1407</v>
      </c>
      <c r="K824" s="322" t="s">
        <v>2066</v>
      </c>
      <c r="L824" s="358" t="s">
        <v>1407</v>
      </c>
      <c r="M824" s="335" t="s">
        <v>2106</v>
      </c>
      <c r="N824" s="358" t="s">
        <v>1407</v>
      </c>
      <c r="O824" s="326" t="s">
        <v>2029</v>
      </c>
      <c r="P824" s="327"/>
      <c r="Q824" s="336"/>
      <c r="R824" s="364"/>
      <c r="S824" s="364"/>
      <c r="T824" s="13" t="str">
        <f t="shared" si="130"/>
        <v>23調査結果-建築物の内部-4（40）-改善策の具体的内容等</v>
      </c>
      <c r="V824" s="202"/>
      <c r="W824" s="202"/>
      <c r="X824" s="202"/>
    </row>
    <row r="825" spans="2:24" ht="19">
      <c r="B825" s="107">
        <f>'1_入力シート【基本情報】'!$BS$409</f>
        <v>0</v>
      </c>
      <c r="C825" s="493" t="str">
        <f t="shared" ref="C825:E826" si="138">ASC($D825)</f>
        <v>0</v>
      </c>
      <c r="D825" s="107">
        <f>'1_入力シート【基本情報】'!$BS$409</f>
        <v>0</v>
      </c>
      <c r="E825" s="7" t="str">
        <f t="shared" si="138"/>
        <v>0</v>
      </c>
      <c r="F825" s="7" t="str">
        <f t="shared" si="128"/>
        <v>0</v>
      </c>
      <c r="G825" s="24"/>
      <c r="H825" s="565">
        <v>23</v>
      </c>
      <c r="I825" s="334" t="s">
        <v>33</v>
      </c>
      <c r="J825" s="357" t="s">
        <v>1407</v>
      </c>
      <c r="K825" s="322" t="s">
        <v>2066</v>
      </c>
      <c r="L825" s="358" t="s">
        <v>1407</v>
      </c>
      <c r="M825" s="335" t="s">
        <v>2106</v>
      </c>
      <c r="N825" s="358" t="s">
        <v>1407</v>
      </c>
      <c r="O825" s="326" t="s">
        <v>387</v>
      </c>
      <c r="P825" s="327" t="s">
        <v>1879</v>
      </c>
      <c r="Q825" s="336" t="s">
        <v>1966</v>
      </c>
      <c r="R825" s="364"/>
      <c r="S825" s="364"/>
      <c r="T825" s="13" t="str">
        <f t="shared" si="130"/>
        <v>23調査結果-建築物の内部-4（40）-改善（予定）年月-年（令和）</v>
      </c>
      <c r="V825" s="202"/>
      <c r="W825" s="202"/>
      <c r="X825" s="202"/>
    </row>
    <row r="826" spans="2:24" ht="19">
      <c r="B826" s="107">
        <f>'1_入力シート【基本情報】'!$BV$409</f>
        <v>0</v>
      </c>
      <c r="C826" s="493" t="str">
        <f t="shared" si="138"/>
        <v>0</v>
      </c>
      <c r="D826" s="107">
        <f>'1_入力シート【基本情報】'!$BV$409</f>
        <v>0</v>
      </c>
      <c r="E826" s="7" t="str">
        <f t="shared" si="138"/>
        <v>0</v>
      </c>
      <c r="F826" s="7" t="str">
        <f t="shared" si="128"/>
        <v>0</v>
      </c>
      <c r="G826" s="24"/>
      <c r="H826" s="565">
        <v>23</v>
      </c>
      <c r="I826" s="334" t="s">
        <v>33</v>
      </c>
      <c r="J826" s="357" t="s">
        <v>1407</v>
      </c>
      <c r="K826" s="322" t="s">
        <v>2066</v>
      </c>
      <c r="L826" s="358" t="s">
        <v>1407</v>
      </c>
      <c r="M826" s="335" t="s">
        <v>2106</v>
      </c>
      <c r="N826" s="358" t="s">
        <v>1407</v>
      </c>
      <c r="O826" s="326" t="s">
        <v>387</v>
      </c>
      <c r="P826" s="327" t="s">
        <v>1879</v>
      </c>
      <c r="Q826" s="336" t="s">
        <v>383</v>
      </c>
      <c r="R826" s="364"/>
      <c r="S826" s="364"/>
      <c r="T826" s="13" t="str">
        <f t="shared" si="130"/>
        <v>23調査結果-建築物の内部-4（40）-改善（予定）年月-月</v>
      </c>
      <c r="V826" s="202"/>
      <c r="W826" s="202"/>
      <c r="X826" s="202"/>
    </row>
    <row r="827" spans="2:24">
      <c r="B827" s="107">
        <f>'1_入力シート【基本情報】'!$BY$409</f>
        <v>0</v>
      </c>
      <c r="C827" s="4" t="str">
        <f t="shared" si="135"/>
        <v/>
      </c>
      <c r="D827" s="107">
        <f>'1_入力シート【基本情報】'!$BY$409</f>
        <v>0</v>
      </c>
      <c r="E827" s="564">
        <f>'1_入力シート【基本情報】'!$BY$409</f>
        <v>0</v>
      </c>
      <c r="F827" s="564" t="str">
        <f t="shared" si="128"/>
        <v>0</v>
      </c>
      <c r="G827" s="24"/>
      <c r="H827" s="565">
        <v>23</v>
      </c>
      <c r="I827" s="334" t="s">
        <v>33</v>
      </c>
      <c r="J827" s="357" t="s">
        <v>1407</v>
      </c>
      <c r="K827" s="322" t="s">
        <v>2066</v>
      </c>
      <c r="L827" s="358" t="s">
        <v>1407</v>
      </c>
      <c r="M827" s="335" t="s">
        <v>2106</v>
      </c>
      <c r="N827" s="358" t="s">
        <v>1407</v>
      </c>
      <c r="O827" s="326" t="s">
        <v>387</v>
      </c>
      <c r="P827" s="327" t="s">
        <v>1879</v>
      </c>
      <c r="Q827" s="336" t="s">
        <v>675</v>
      </c>
      <c r="R827" s="364"/>
      <c r="S827" s="364"/>
      <c r="T827" s="13" t="str">
        <f t="shared" si="130"/>
        <v>23調査結果-建築物の内部-4（40）-改善（予定）年月-未定</v>
      </c>
      <c r="V827" s="202"/>
      <c r="W827" s="202"/>
      <c r="X827" s="202"/>
    </row>
    <row r="828" spans="2:24">
      <c r="B828" s="107">
        <f>'1_入力シート【基本情報】'!$AF$410</f>
        <v>0</v>
      </c>
      <c r="C828" s="4" t="str">
        <f t="shared" si="135"/>
        <v/>
      </c>
      <c r="D828" s="107" t="str">
        <f>C828</f>
        <v/>
      </c>
      <c r="E828" s="564" t="str">
        <f>D828</f>
        <v/>
      </c>
      <c r="F828" s="564" t="str">
        <f t="shared" si="128"/>
        <v/>
      </c>
      <c r="G828" s="24"/>
      <c r="H828" s="565">
        <v>23</v>
      </c>
      <c r="I828" s="334" t="s">
        <v>33</v>
      </c>
      <c r="J828" s="357" t="s">
        <v>1407</v>
      </c>
      <c r="K828" s="322" t="s">
        <v>2066</v>
      </c>
      <c r="L828" s="358" t="s">
        <v>1407</v>
      </c>
      <c r="M828" s="335" t="s">
        <v>2107</v>
      </c>
      <c r="N828" s="358" t="s">
        <v>1407</v>
      </c>
      <c r="O828" s="326" t="s">
        <v>33</v>
      </c>
      <c r="P828" s="327"/>
      <c r="Q828" s="336"/>
      <c r="R828" s="364"/>
      <c r="S828" s="364"/>
      <c r="T828" s="13" t="str">
        <f t="shared" si="130"/>
        <v>23調査結果-建築物の内部-4（41）-調査結果</v>
      </c>
      <c r="V828" s="202"/>
      <c r="W828" s="202"/>
      <c r="X828" s="202"/>
    </row>
    <row r="829" spans="2:24">
      <c r="B829" s="107">
        <f>'1_入力シート【基本情報】'!$AR$410</f>
        <v>0</v>
      </c>
      <c r="C829" s="4" t="str">
        <f t="shared" si="135"/>
        <v/>
      </c>
      <c r="D829" s="107">
        <f>'1_入力シート【基本情報】'!$AR$410</f>
        <v>0</v>
      </c>
      <c r="E829" s="564">
        <f>'1_入力シート【基本情報】'!$AR$410</f>
        <v>0</v>
      </c>
      <c r="F829" s="564" t="str">
        <f t="shared" si="128"/>
        <v>0</v>
      </c>
      <c r="G829" s="24"/>
      <c r="H829" s="565">
        <v>23</v>
      </c>
      <c r="I829" s="334" t="s">
        <v>33</v>
      </c>
      <c r="J829" s="357" t="s">
        <v>1407</v>
      </c>
      <c r="K829" s="322" t="s">
        <v>2066</v>
      </c>
      <c r="L829" s="358" t="s">
        <v>1407</v>
      </c>
      <c r="M829" s="335" t="s">
        <v>2107</v>
      </c>
      <c r="N829" s="358" t="s">
        <v>1407</v>
      </c>
      <c r="O829" s="326" t="s">
        <v>30</v>
      </c>
      <c r="P829" s="327"/>
      <c r="Q829" s="336"/>
      <c r="R829" s="364"/>
      <c r="S829" s="364"/>
      <c r="T829" s="13" t="str">
        <f t="shared" si="130"/>
        <v>23調査結果-建築物の内部-4（41）-調査者番号</v>
      </c>
      <c r="V829" s="202"/>
      <c r="W829" s="202"/>
      <c r="X829" s="202"/>
    </row>
    <row r="830" spans="2:24">
      <c r="B830" s="107">
        <f>'1_入力シート【基本情報】'!$AT$410</f>
        <v>0</v>
      </c>
      <c r="C830" s="4" t="str">
        <f t="shared" si="135"/>
        <v/>
      </c>
      <c r="D830" s="107">
        <f>'1_入力シート【基本情報】'!$AT$410</f>
        <v>0</v>
      </c>
      <c r="E830" s="564">
        <f>'1_入力シート【基本情報】'!$AT$410</f>
        <v>0</v>
      </c>
      <c r="F830" s="564" t="str">
        <f t="shared" si="128"/>
        <v>0</v>
      </c>
      <c r="G830" s="24"/>
      <c r="H830" s="565">
        <v>23</v>
      </c>
      <c r="I830" s="334" t="s">
        <v>33</v>
      </c>
      <c r="J830" s="357" t="s">
        <v>1407</v>
      </c>
      <c r="K830" s="322" t="s">
        <v>2066</v>
      </c>
      <c r="L830" s="358" t="s">
        <v>1407</v>
      </c>
      <c r="M830" s="335" t="s">
        <v>2107</v>
      </c>
      <c r="N830" s="358" t="s">
        <v>1407</v>
      </c>
      <c r="O830" s="326" t="s">
        <v>2028</v>
      </c>
      <c r="P830" s="327"/>
      <c r="Q830" s="336"/>
      <c r="R830" s="364"/>
      <c r="S830" s="364"/>
      <c r="T830" s="13" t="str">
        <f t="shared" si="130"/>
        <v>23調査結果-建築物の内部-4（41）-指摘の具体的内容等</v>
      </c>
      <c r="V830" s="202"/>
      <c r="W830" s="202"/>
      <c r="X830" s="202"/>
    </row>
    <row r="831" spans="2:24">
      <c r="B831" s="107">
        <f>'1_入力シート【基本情報】'!$BD$410</f>
        <v>0</v>
      </c>
      <c r="C831" s="4" t="str">
        <f t="shared" si="135"/>
        <v/>
      </c>
      <c r="D831" s="107">
        <f>'1_入力シート【基本情報】'!$BD$410</f>
        <v>0</v>
      </c>
      <c r="E831" s="564">
        <f>'1_入力シート【基本情報】'!$BD$410</f>
        <v>0</v>
      </c>
      <c r="F831" s="564" t="str">
        <f t="shared" si="128"/>
        <v>0</v>
      </c>
      <c r="G831" s="24"/>
      <c r="H831" s="565">
        <v>23</v>
      </c>
      <c r="I831" s="334" t="s">
        <v>33</v>
      </c>
      <c r="J831" s="357" t="s">
        <v>1407</v>
      </c>
      <c r="K831" s="322" t="s">
        <v>2066</v>
      </c>
      <c r="L831" s="358" t="s">
        <v>1407</v>
      </c>
      <c r="M831" s="335" t="s">
        <v>2107</v>
      </c>
      <c r="N831" s="358" t="s">
        <v>1407</v>
      </c>
      <c r="O831" s="326" t="s">
        <v>2029</v>
      </c>
      <c r="P831" s="327"/>
      <c r="Q831" s="336"/>
      <c r="R831" s="364"/>
      <c r="S831" s="364"/>
      <c r="T831" s="13" t="str">
        <f t="shared" si="130"/>
        <v>23調査結果-建築物の内部-4（41）-改善策の具体的内容等</v>
      </c>
      <c r="V831" s="202"/>
      <c r="W831" s="202"/>
      <c r="X831" s="202"/>
    </row>
    <row r="832" spans="2:24" ht="19">
      <c r="B832" s="107">
        <f>'1_入力シート【基本情報】'!$BS$410</f>
        <v>0</v>
      </c>
      <c r="C832" s="493" t="str">
        <f t="shared" ref="C832:E833" si="139">ASC($D832)</f>
        <v>0</v>
      </c>
      <c r="D832" s="107">
        <f>'1_入力シート【基本情報】'!$BS$410</f>
        <v>0</v>
      </c>
      <c r="E832" s="7" t="str">
        <f t="shared" si="139"/>
        <v>0</v>
      </c>
      <c r="F832" s="7" t="str">
        <f t="shared" si="128"/>
        <v>0</v>
      </c>
      <c r="G832" s="24"/>
      <c r="H832" s="565">
        <v>23</v>
      </c>
      <c r="I832" s="334" t="s">
        <v>33</v>
      </c>
      <c r="J832" s="357" t="s">
        <v>1407</v>
      </c>
      <c r="K832" s="322" t="s">
        <v>2066</v>
      </c>
      <c r="L832" s="358" t="s">
        <v>1407</v>
      </c>
      <c r="M832" s="335" t="s">
        <v>2107</v>
      </c>
      <c r="N832" s="358" t="s">
        <v>1407</v>
      </c>
      <c r="O832" s="326" t="s">
        <v>387</v>
      </c>
      <c r="P832" s="327" t="s">
        <v>1879</v>
      </c>
      <c r="Q832" s="336" t="s">
        <v>1966</v>
      </c>
      <c r="R832" s="364"/>
      <c r="S832" s="364"/>
      <c r="T832" s="13" t="str">
        <f t="shared" si="130"/>
        <v>23調査結果-建築物の内部-4（41）-改善（予定）年月-年（令和）</v>
      </c>
      <c r="V832" s="202"/>
      <c r="W832" s="202"/>
      <c r="X832" s="202"/>
    </row>
    <row r="833" spans="2:24" ht="19">
      <c r="B833" s="107">
        <f>'1_入力シート【基本情報】'!$BV$410</f>
        <v>0</v>
      </c>
      <c r="C833" s="493" t="str">
        <f t="shared" si="139"/>
        <v>0</v>
      </c>
      <c r="D833" s="107">
        <f>'1_入力シート【基本情報】'!$BV$410</f>
        <v>0</v>
      </c>
      <c r="E833" s="7" t="str">
        <f t="shared" si="139"/>
        <v>0</v>
      </c>
      <c r="F833" s="7" t="str">
        <f t="shared" si="128"/>
        <v>0</v>
      </c>
      <c r="G833" s="24"/>
      <c r="H833" s="565">
        <v>23</v>
      </c>
      <c r="I833" s="334" t="s">
        <v>33</v>
      </c>
      <c r="J833" s="357" t="s">
        <v>1407</v>
      </c>
      <c r="K833" s="322" t="s">
        <v>2066</v>
      </c>
      <c r="L833" s="358" t="s">
        <v>1407</v>
      </c>
      <c r="M833" s="335" t="s">
        <v>2107</v>
      </c>
      <c r="N833" s="358" t="s">
        <v>1407</v>
      </c>
      <c r="O833" s="326" t="s">
        <v>387</v>
      </c>
      <c r="P833" s="327" t="s">
        <v>1879</v>
      </c>
      <c r="Q833" s="336" t="s">
        <v>383</v>
      </c>
      <c r="R833" s="364"/>
      <c r="S833" s="364"/>
      <c r="T833" s="13" t="str">
        <f t="shared" si="130"/>
        <v>23調査結果-建築物の内部-4（41）-改善（予定）年月-月</v>
      </c>
      <c r="V833" s="202"/>
      <c r="W833" s="202"/>
      <c r="X833" s="202"/>
    </row>
    <row r="834" spans="2:24">
      <c r="B834" s="107">
        <f>'1_入力シート【基本情報】'!$BY$410</f>
        <v>0</v>
      </c>
      <c r="C834" s="4" t="str">
        <f t="shared" si="135"/>
        <v/>
      </c>
      <c r="D834" s="107">
        <f>'1_入力シート【基本情報】'!$BY$410</f>
        <v>0</v>
      </c>
      <c r="E834" s="564">
        <f>'1_入力シート【基本情報】'!$BY$410</f>
        <v>0</v>
      </c>
      <c r="F834" s="564" t="str">
        <f t="shared" si="128"/>
        <v>0</v>
      </c>
      <c r="G834" s="24"/>
      <c r="H834" s="565">
        <v>23</v>
      </c>
      <c r="I834" s="334" t="s">
        <v>33</v>
      </c>
      <c r="J834" s="357" t="s">
        <v>1407</v>
      </c>
      <c r="K834" s="322" t="s">
        <v>2066</v>
      </c>
      <c r="L834" s="358" t="s">
        <v>1407</v>
      </c>
      <c r="M834" s="335" t="s">
        <v>2107</v>
      </c>
      <c r="N834" s="358" t="s">
        <v>1407</v>
      </c>
      <c r="O834" s="326" t="s">
        <v>387</v>
      </c>
      <c r="P834" s="327" t="s">
        <v>1879</v>
      </c>
      <c r="Q834" s="336" t="s">
        <v>675</v>
      </c>
      <c r="R834" s="364"/>
      <c r="S834" s="364"/>
      <c r="T834" s="13" t="str">
        <f t="shared" si="130"/>
        <v>23調査結果-建築物の内部-4（41）-改善（予定）年月-未定</v>
      </c>
      <c r="V834" s="202"/>
      <c r="W834" s="202"/>
      <c r="X834" s="202"/>
    </row>
    <row r="835" spans="2:24">
      <c r="B835" s="107">
        <f>'1_入力シート【基本情報】'!$AF$411</f>
        <v>0</v>
      </c>
      <c r="C835" s="4" t="str">
        <f t="shared" si="135"/>
        <v/>
      </c>
      <c r="D835" s="107" t="str">
        <f>C835</f>
        <v/>
      </c>
      <c r="E835" s="564" t="str">
        <f>D835</f>
        <v/>
      </c>
      <c r="F835" s="564" t="str">
        <f t="shared" si="128"/>
        <v/>
      </c>
      <c r="G835" s="24"/>
      <c r="H835" s="565">
        <v>23</v>
      </c>
      <c r="I835" s="334" t="s">
        <v>33</v>
      </c>
      <c r="J835" s="357" t="s">
        <v>1407</v>
      </c>
      <c r="K835" s="322" t="s">
        <v>2066</v>
      </c>
      <c r="L835" s="358" t="s">
        <v>1407</v>
      </c>
      <c r="M835" s="335" t="s">
        <v>2108</v>
      </c>
      <c r="N835" s="358" t="s">
        <v>1407</v>
      </c>
      <c r="O835" s="326" t="s">
        <v>33</v>
      </c>
      <c r="P835" s="327"/>
      <c r="Q835" s="336"/>
      <c r="R835" s="364"/>
      <c r="S835" s="364"/>
      <c r="T835" s="13" t="str">
        <f t="shared" si="130"/>
        <v>23調査結果-建築物の内部-4（42）-調査結果</v>
      </c>
      <c r="V835" s="202"/>
      <c r="W835" s="202"/>
      <c r="X835" s="202"/>
    </row>
    <row r="836" spans="2:24">
      <c r="B836" s="107">
        <f>'1_入力シート【基本情報】'!$AR$411</f>
        <v>0</v>
      </c>
      <c r="C836" s="4" t="str">
        <f t="shared" si="135"/>
        <v/>
      </c>
      <c r="D836" s="107">
        <f>'1_入力シート【基本情報】'!$AR$411</f>
        <v>0</v>
      </c>
      <c r="E836" s="564">
        <f>'1_入力シート【基本情報】'!$AR$411</f>
        <v>0</v>
      </c>
      <c r="F836" s="564" t="str">
        <f t="shared" si="128"/>
        <v>0</v>
      </c>
      <c r="G836" s="24"/>
      <c r="H836" s="565">
        <v>23</v>
      </c>
      <c r="I836" s="334" t="s">
        <v>33</v>
      </c>
      <c r="J836" s="357" t="s">
        <v>1407</v>
      </c>
      <c r="K836" s="322" t="s">
        <v>2066</v>
      </c>
      <c r="L836" s="358" t="s">
        <v>1407</v>
      </c>
      <c r="M836" s="335" t="s">
        <v>2108</v>
      </c>
      <c r="N836" s="358" t="s">
        <v>1407</v>
      </c>
      <c r="O836" s="326" t="s">
        <v>30</v>
      </c>
      <c r="P836" s="327"/>
      <c r="Q836" s="336"/>
      <c r="R836" s="364"/>
      <c r="S836" s="364"/>
      <c r="T836" s="13" t="str">
        <f t="shared" si="130"/>
        <v>23調査結果-建築物の内部-4（42）-調査者番号</v>
      </c>
      <c r="V836" s="202"/>
      <c r="W836" s="202"/>
      <c r="X836" s="202"/>
    </row>
    <row r="837" spans="2:24">
      <c r="B837" s="107">
        <f>'1_入力シート【基本情報】'!$AT$411</f>
        <v>0</v>
      </c>
      <c r="C837" s="4" t="str">
        <f t="shared" si="135"/>
        <v/>
      </c>
      <c r="D837" s="107">
        <f>'1_入力シート【基本情報】'!$AT$411</f>
        <v>0</v>
      </c>
      <c r="E837" s="564">
        <f>'1_入力シート【基本情報】'!$AT$411</f>
        <v>0</v>
      </c>
      <c r="F837" s="564" t="str">
        <f t="shared" ref="F837:F900" si="140">SUBSTITUTE(E837,CHAR(10),"")</f>
        <v>0</v>
      </c>
      <c r="G837" s="24"/>
      <c r="H837" s="565">
        <v>23</v>
      </c>
      <c r="I837" s="334" t="s">
        <v>33</v>
      </c>
      <c r="J837" s="357" t="s">
        <v>1407</v>
      </c>
      <c r="K837" s="322" t="s">
        <v>2066</v>
      </c>
      <c r="L837" s="358" t="s">
        <v>1407</v>
      </c>
      <c r="M837" s="335" t="s">
        <v>2108</v>
      </c>
      <c r="N837" s="358" t="s">
        <v>1407</v>
      </c>
      <c r="O837" s="326" t="s">
        <v>2028</v>
      </c>
      <c r="P837" s="327"/>
      <c r="Q837" s="336"/>
      <c r="R837" s="364"/>
      <c r="S837" s="364"/>
      <c r="T837" s="13" t="str">
        <f t="shared" si="130"/>
        <v>23調査結果-建築物の内部-4（42）-指摘の具体的内容等</v>
      </c>
      <c r="V837" s="202"/>
      <c r="W837" s="202"/>
      <c r="X837" s="202"/>
    </row>
    <row r="838" spans="2:24">
      <c r="B838" s="107">
        <f>'1_入力シート【基本情報】'!$BD$411</f>
        <v>0</v>
      </c>
      <c r="C838" s="4" t="str">
        <f t="shared" si="135"/>
        <v/>
      </c>
      <c r="D838" s="107">
        <f>'1_入力シート【基本情報】'!$BD$411</f>
        <v>0</v>
      </c>
      <c r="E838" s="564">
        <f>'1_入力シート【基本情報】'!$BD$411</f>
        <v>0</v>
      </c>
      <c r="F838" s="564" t="str">
        <f t="shared" si="140"/>
        <v>0</v>
      </c>
      <c r="G838" s="24"/>
      <c r="H838" s="565">
        <v>23</v>
      </c>
      <c r="I838" s="334" t="s">
        <v>33</v>
      </c>
      <c r="J838" s="357" t="s">
        <v>1407</v>
      </c>
      <c r="K838" s="322" t="s">
        <v>2066</v>
      </c>
      <c r="L838" s="358" t="s">
        <v>1407</v>
      </c>
      <c r="M838" s="335" t="s">
        <v>2108</v>
      </c>
      <c r="N838" s="358" t="s">
        <v>1407</v>
      </c>
      <c r="O838" s="326" t="s">
        <v>2029</v>
      </c>
      <c r="P838" s="327"/>
      <c r="Q838" s="336"/>
      <c r="R838" s="364"/>
      <c r="S838" s="364"/>
      <c r="T838" s="13" t="str">
        <f t="shared" si="130"/>
        <v>23調査結果-建築物の内部-4（42）-改善策の具体的内容等</v>
      </c>
      <c r="V838" s="202"/>
      <c r="W838" s="202"/>
      <c r="X838" s="202"/>
    </row>
    <row r="839" spans="2:24" ht="19">
      <c r="B839" s="107">
        <f>'1_入力シート【基本情報】'!$BS$411</f>
        <v>0</v>
      </c>
      <c r="C839" s="493" t="str">
        <f t="shared" ref="C839:E840" si="141">ASC($D839)</f>
        <v>0</v>
      </c>
      <c r="D839" s="107">
        <f>'1_入力シート【基本情報】'!$BS$411</f>
        <v>0</v>
      </c>
      <c r="E839" s="7" t="str">
        <f t="shared" si="141"/>
        <v>0</v>
      </c>
      <c r="F839" s="7" t="str">
        <f t="shared" si="140"/>
        <v>0</v>
      </c>
      <c r="G839" s="24"/>
      <c r="H839" s="565">
        <v>23</v>
      </c>
      <c r="I839" s="334" t="s">
        <v>33</v>
      </c>
      <c r="J839" s="357" t="s">
        <v>1407</v>
      </c>
      <c r="K839" s="322" t="s">
        <v>2066</v>
      </c>
      <c r="L839" s="358" t="s">
        <v>1407</v>
      </c>
      <c r="M839" s="335" t="s">
        <v>2108</v>
      </c>
      <c r="N839" s="358" t="s">
        <v>1407</v>
      </c>
      <c r="O839" s="326" t="s">
        <v>387</v>
      </c>
      <c r="P839" s="327" t="s">
        <v>1879</v>
      </c>
      <c r="Q839" s="336" t="s">
        <v>1966</v>
      </c>
      <c r="R839" s="364"/>
      <c r="S839" s="364"/>
      <c r="T839" s="13" t="str">
        <f t="shared" si="130"/>
        <v>23調査結果-建築物の内部-4（42）-改善（予定）年月-年（令和）</v>
      </c>
      <c r="V839" s="202"/>
      <c r="W839" s="202"/>
      <c r="X839" s="202"/>
    </row>
    <row r="840" spans="2:24" ht="19">
      <c r="B840" s="107">
        <f>'1_入力シート【基本情報】'!$BV$411</f>
        <v>0</v>
      </c>
      <c r="C840" s="493" t="str">
        <f t="shared" si="141"/>
        <v>0</v>
      </c>
      <c r="D840" s="107">
        <f>'1_入力シート【基本情報】'!$BV$411</f>
        <v>0</v>
      </c>
      <c r="E840" s="7" t="str">
        <f t="shared" si="141"/>
        <v>0</v>
      </c>
      <c r="F840" s="7" t="str">
        <f t="shared" si="140"/>
        <v>0</v>
      </c>
      <c r="G840" s="24"/>
      <c r="H840" s="565">
        <v>23</v>
      </c>
      <c r="I840" s="334" t="s">
        <v>33</v>
      </c>
      <c r="J840" s="357" t="s">
        <v>1407</v>
      </c>
      <c r="K840" s="322" t="s">
        <v>2066</v>
      </c>
      <c r="L840" s="358" t="s">
        <v>1407</v>
      </c>
      <c r="M840" s="335" t="s">
        <v>2108</v>
      </c>
      <c r="N840" s="358" t="s">
        <v>1407</v>
      </c>
      <c r="O840" s="326" t="s">
        <v>387</v>
      </c>
      <c r="P840" s="327" t="s">
        <v>1879</v>
      </c>
      <c r="Q840" s="336" t="s">
        <v>383</v>
      </c>
      <c r="R840" s="364"/>
      <c r="S840" s="364"/>
      <c r="T840" s="13" t="str">
        <f t="shared" si="130"/>
        <v>23調査結果-建築物の内部-4（42）-改善（予定）年月-月</v>
      </c>
      <c r="V840" s="202"/>
      <c r="W840" s="202"/>
      <c r="X840" s="202"/>
    </row>
    <row r="841" spans="2:24">
      <c r="B841" s="107">
        <f>'1_入力シート【基本情報】'!$BY$411</f>
        <v>0</v>
      </c>
      <c r="C841" s="4" t="str">
        <f t="shared" si="135"/>
        <v/>
      </c>
      <c r="D841" s="107">
        <f>'1_入力シート【基本情報】'!$BY$411</f>
        <v>0</v>
      </c>
      <c r="E841" s="564">
        <f>'1_入力シート【基本情報】'!$BY$411</f>
        <v>0</v>
      </c>
      <c r="F841" s="564" t="str">
        <f t="shared" si="140"/>
        <v>0</v>
      </c>
      <c r="G841" s="24"/>
      <c r="H841" s="565">
        <v>23</v>
      </c>
      <c r="I841" s="334" t="s">
        <v>33</v>
      </c>
      <c r="J841" s="357" t="s">
        <v>1407</v>
      </c>
      <c r="K841" s="322" t="s">
        <v>2066</v>
      </c>
      <c r="L841" s="358" t="s">
        <v>1407</v>
      </c>
      <c r="M841" s="335" t="s">
        <v>2108</v>
      </c>
      <c r="N841" s="358" t="s">
        <v>1407</v>
      </c>
      <c r="O841" s="326" t="s">
        <v>387</v>
      </c>
      <c r="P841" s="327" t="s">
        <v>1879</v>
      </c>
      <c r="Q841" s="336" t="s">
        <v>675</v>
      </c>
      <c r="R841" s="364"/>
      <c r="S841" s="364"/>
      <c r="T841" s="13" t="str">
        <f t="shared" si="130"/>
        <v>23調査結果-建築物の内部-4（42）-改善（予定）年月-未定</v>
      </c>
      <c r="V841" s="202"/>
      <c r="W841" s="202"/>
      <c r="X841" s="202"/>
    </row>
    <row r="842" spans="2:24">
      <c r="B842" s="107">
        <f>'1_入力シート【基本情報】'!$AF$412</f>
        <v>0</v>
      </c>
      <c r="C842" s="4" t="str">
        <f t="shared" si="135"/>
        <v/>
      </c>
      <c r="D842" s="107" t="str">
        <f>C842</f>
        <v/>
      </c>
      <c r="E842" s="564" t="str">
        <f>D842</f>
        <v/>
      </c>
      <c r="F842" s="564" t="str">
        <f t="shared" si="140"/>
        <v/>
      </c>
      <c r="G842" s="24"/>
      <c r="H842" s="565">
        <v>23</v>
      </c>
      <c r="I842" s="334" t="s">
        <v>33</v>
      </c>
      <c r="J842" s="357" t="s">
        <v>1407</v>
      </c>
      <c r="K842" s="322" t="s">
        <v>2066</v>
      </c>
      <c r="L842" s="358" t="s">
        <v>1407</v>
      </c>
      <c r="M842" s="335" t="s">
        <v>2109</v>
      </c>
      <c r="N842" s="358" t="s">
        <v>1407</v>
      </c>
      <c r="O842" s="326" t="s">
        <v>33</v>
      </c>
      <c r="P842" s="327"/>
      <c r="Q842" s="336"/>
      <c r="R842" s="364"/>
      <c r="S842" s="364"/>
      <c r="T842" s="13" t="str">
        <f t="shared" si="130"/>
        <v>23調査結果-建築物の内部-4（43）-調査結果</v>
      </c>
      <c r="V842" s="202"/>
      <c r="W842" s="202"/>
      <c r="X842" s="202"/>
    </row>
    <row r="843" spans="2:24">
      <c r="B843" s="107">
        <f>'1_入力シート【基本情報】'!$AR$412</f>
        <v>0</v>
      </c>
      <c r="C843" s="4" t="str">
        <f t="shared" si="135"/>
        <v/>
      </c>
      <c r="D843" s="107">
        <f>'1_入力シート【基本情報】'!$AR$412</f>
        <v>0</v>
      </c>
      <c r="E843" s="564">
        <f>'1_入力シート【基本情報】'!$AR$412</f>
        <v>0</v>
      </c>
      <c r="F843" s="564" t="str">
        <f t="shared" si="140"/>
        <v>0</v>
      </c>
      <c r="G843" s="24"/>
      <c r="H843" s="565">
        <v>23</v>
      </c>
      <c r="I843" s="334" t="s">
        <v>33</v>
      </c>
      <c r="J843" s="357" t="s">
        <v>1407</v>
      </c>
      <c r="K843" s="322" t="s">
        <v>2066</v>
      </c>
      <c r="L843" s="358" t="s">
        <v>1407</v>
      </c>
      <c r="M843" s="335" t="s">
        <v>2109</v>
      </c>
      <c r="N843" s="358" t="s">
        <v>1407</v>
      </c>
      <c r="O843" s="326" t="s">
        <v>30</v>
      </c>
      <c r="P843" s="327"/>
      <c r="Q843" s="336"/>
      <c r="R843" s="364"/>
      <c r="S843" s="364"/>
      <c r="T843" s="13" t="str">
        <f t="shared" si="130"/>
        <v>23調査結果-建築物の内部-4（43）-調査者番号</v>
      </c>
      <c r="V843" s="202"/>
      <c r="W843" s="202"/>
      <c r="X843" s="202"/>
    </row>
    <row r="844" spans="2:24">
      <c r="B844" s="107">
        <f>'1_入力シート【基本情報】'!$AT$412</f>
        <v>0</v>
      </c>
      <c r="C844" s="4" t="str">
        <f t="shared" si="135"/>
        <v/>
      </c>
      <c r="D844" s="107">
        <f>'1_入力シート【基本情報】'!$AT$412</f>
        <v>0</v>
      </c>
      <c r="E844" s="564">
        <f>'1_入力シート【基本情報】'!$AT$412</f>
        <v>0</v>
      </c>
      <c r="F844" s="564" t="str">
        <f t="shared" si="140"/>
        <v>0</v>
      </c>
      <c r="G844" s="24"/>
      <c r="H844" s="565">
        <v>23</v>
      </c>
      <c r="I844" s="334" t="s">
        <v>33</v>
      </c>
      <c r="J844" s="357" t="s">
        <v>1407</v>
      </c>
      <c r="K844" s="322" t="s">
        <v>2066</v>
      </c>
      <c r="L844" s="358" t="s">
        <v>1407</v>
      </c>
      <c r="M844" s="335" t="s">
        <v>2109</v>
      </c>
      <c r="N844" s="358" t="s">
        <v>1407</v>
      </c>
      <c r="O844" s="326" t="s">
        <v>2028</v>
      </c>
      <c r="P844" s="327"/>
      <c r="Q844" s="336"/>
      <c r="R844" s="364"/>
      <c r="S844" s="364"/>
      <c r="T844" s="13" t="str">
        <f t="shared" si="130"/>
        <v>23調査結果-建築物の内部-4（43）-指摘の具体的内容等</v>
      </c>
      <c r="V844" s="202"/>
      <c r="W844" s="202"/>
      <c r="X844" s="202"/>
    </row>
    <row r="845" spans="2:24">
      <c r="B845" s="107">
        <f>'1_入力シート【基本情報】'!$BD$412</f>
        <v>0</v>
      </c>
      <c r="C845" s="4" t="str">
        <f t="shared" si="135"/>
        <v/>
      </c>
      <c r="D845" s="107">
        <f>'1_入力シート【基本情報】'!$BD$412</f>
        <v>0</v>
      </c>
      <c r="E845" s="564">
        <f>'1_入力シート【基本情報】'!$BD$412</f>
        <v>0</v>
      </c>
      <c r="F845" s="564" t="str">
        <f t="shared" si="140"/>
        <v>0</v>
      </c>
      <c r="G845" s="24"/>
      <c r="H845" s="565">
        <v>23</v>
      </c>
      <c r="I845" s="334" t="s">
        <v>33</v>
      </c>
      <c r="J845" s="357" t="s">
        <v>1407</v>
      </c>
      <c r="K845" s="322" t="s">
        <v>2066</v>
      </c>
      <c r="L845" s="358" t="s">
        <v>1407</v>
      </c>
      <c r="M845" s="335" t="s">
        <v>2109</v>
      </c>
      <c r="N845" s="358" t="s">
        <v>1407</v>
      </c>
      <c r="O845" s="326" t="s">
        <v>2029</v>
      </c>
      <c r="P845" s="327"/>
      <c r="Q845" s="336"/>
      <c r="R845" s="364"/>
      <c r="S845" s="364"/>
      <c r="T845" s="13" t="str">
        <f t="shared" si="130"/>
        <v>23調査結果-建築物の内部-4（43）-改善策の具体的内容等</v>
      </c>
      <c r="V845" s="202"/>
      <c r="W845" s="202"/>
      <c r="X845" s="202"/>
    </row>
    <row r="846" spans="2:24" ht="19">
      <c r="B846" s="107">
        <f>'1_入力シート【基本情報】'!$BS$412</f>
        <v>0</v>
      </c>
      <c r="C846" s="493" t="str">
        <f t="shared" ref="C846:E847" si="142">ASC($D846)</f>
        <v>0</v>
      </c>
      <c r="D846" s="107">
        <f>'1_入力シート【基本情報】'!$BS$412</f>
        <v>0</v>
      </c>
      <c r="E846" s="7" t="str">
        <f t="shared" si="142"/>
        <v>0</v>
      </c>
      <c r="F846" s="7" t="str">
        <f t="shared" si="140"/>
        <v>0</v>
      </c>
      <c r="G846" s="24"/>
      <c r="H846" s="565">
        <v>23</v>
      </c>
      <c r="I846" s="334" t="s">
        <v>33</v>
      </c>
      <c r="J846" s="357" t="s">
        <v>1407</v>
      </c>
      <c r="K846" s="322" t="s">
        <v>2066</v>
      </c>
      <c r="L846" s="358" t="s">
        <v>1407</v>
      </c>
      <c r="M846" s="335" t="s">
        <v>2109</v>
      </c>
      <c r="N846" s="358" t="s">
        <v>1407</v>
      </c>
      <c r="O846" s="326" t="s">
        <v>387</v>
      </c>
      <c r="P846" s="327" t="s">
        <v>1879</v>
      </c>
      <c r="Q846" s="336" t="s">
        <v>1966</v>
      </c>
      <c r="R846" s="364"/>
      <c r="S846" s="364"/>
      <c r="T846" s="13" t="str">
        <f t="shared" si="130"/>
        <v>23調査結果-建築物の内部-4（43）-改善（予定）年月-年（令和）</v>
      </c>
      <c r="V846" s="202"/>
      <c r="W846" s="202"/>
      <c r="X846" s="202"/>
    </row>
    <row r="847" spans="2:24" ht="19">
      <c r="B847" s="107">
        <f>'1_入力シート【基本情報】'!$BV$412</f>
        <v>0</v>
      </c>
      <c r="C847" s="493" t="str">
        <f t="shared" si="142"/>
        <v>0</v>
      </c>
      <c r="D847" s="107">
        <f>'1_入力シート【基本情報】'!$BV$412</f>
        <v>0</v>
      </c>
      <c r="E847" s="7" t="str">
        <f t="shared" si="142"/>
        <v>0</v>
      </c>
      <c r="F847" s="7" t="str">
        <f t="shared" si="140"/>
        <v>0</v>
      </c>
      <c r="G847" s="24"/>
      <c r="H847" s="565">
        <v>23</v>
      </c>
      <c r="I847" s="334" t="s">
        <v>33</v>
      </c>
      <c r="J847" s="357" t="s">
        <v>1407</v>
      </c>
      <c r="K847" s="322" t="s">
        <v>2066</v>
      </c>
      <c r="L847" s="358" t="s">
        <v>1407</v>
      </c>
      <c r="M847" s="335" t="s">
        <v>2109</v>
      </c>
      <c r="N847" s="358" t="s">
        <v>1407</v>
      </c>
      <c r="O847" s="326" t="s">
        <v>387</v>
      </c>
      <c r="P847" s="327" t="s">
        <v>1879</v>
      </c>
      <c r="Q847" s="336" t="s">
        <v>383</v>
      </c>
      <c r="R847" s="364"/>
      <c r="S847" s="364"/>
      <c r="T847" s="13" t="str">
        <f t="shared" si="130"/>
        <v>23調査結果-建築物の内部-4（43）-改善（予定）年月-月</v>
      </c>
      <c r="V847" s="202"/>
      <c r="W847" s="202"/>
      <c r="X847" s="202"/>
    </row>
    <row r="848" spans="2:24">
      <c r="B848" s="107">
        <f>'1_入力シート【基本情報】'!$BY$412</f>
        <v>0</v>
      </c>
      <c r="C848" s="4" t="str">
        <f t="shared" si="135"/>
        <v/>
      </c>
      <c r="D848" s="107">
        <f>'1_入力シート【基本情報】'!$BY$412</f>
        <v>0</v>
      </c>
      <c r="E848" s="564">
        <f>'1_入力シート【基本情報】'!$BY$412</f>
        <v>0</v>
      </c>
      <c r="F848" s="564" t="str">
        <f t="shared" si="140"/>
        <v>0</v>
      </c>
      <c r="G848" s="24"/>
      <c r="H848" s="565">
        <v>23</v>
      </c>
      <c r="I848" s="334" t="s">
        <v>33</v>
      </c>
      <c r="J848" s="357" t="s">
        <v>1407</v>
      </c>
      <c r="K848" s="322" t="s">
        <v>2066</v>
      </c>
      <c r="L848" s="358" t="s">
        <v>1407</v>
      </c>
      <c r="M848" s="335" t="s">
        <v>2109</v>
      </c>
      <c r="N848" s="358" t="s">
        <v>1407</v>
      </c>
      <c r="O848" s="326" t="s">
        <v>387</v>
      </c>
      <c r="P848" s="327" t="s">
        <v>1879</v>
      </c>
      <c r="Q848" s="336" t="s">
        <v>675</v>
      </c>
      <c r="R848" s="364"/>
      <c r="S848" s="364"/>
      <c r="T848" s="13" t="str">
        <f t="shared" si="130"/>
        <v>23調査結果-建築物の内部-4（43）-改善（予定）年月-未定</v>
      </c>
      <c r="V848" s="202"/>
      <c r="W848" s="202"/>
      <c r="X848" s="202"/>
    </row>
    <row r="849" spans="2:24">
      <c r="B849" s="107">
        <f>'1_入力シート【基本情報】'!$AF$413</f>
        <v>0</v>
      </c>
      <c r="C849" s="4" t="str">
        <f t="shared" si="135"/>
        <v/>
      </c>
      <c r="D849" s="107" t="str">
        <f>C849</f>
        <v/>
      </c>
      <c r="E849" s="564" t="str">
        <f>D849</f>
        <v/>
      </c>
      <c r="F849" s="564" t="str">
        <f t="shared" si="140"/>
        <v/>
      </c>
      <c r="G849" s="24"/>
      <c r="H849" s="565">
        <v>23</v>
      </c>
      <c r="I849" s="334" t="s">
        <v>33</v>
      </c>
      <c r="J849" s="357" t="s">
        <v>1407</v>
      </c>
      <c r="K849" s="322" t="s">
        <v>2066</v>
      </c>
      <c r="L849" s="358" t="s">
        <v>1407</v>
      </c>
      <c r="M849" s="335" t="s">
        <v>2110</v>
      </c>
      <c r="N849" s="358" t="s">
        <v>1407</v>
      </c>
      <c r="O849" s="326" t="s">
        <v>33</v>
      </c>
      <c r="P849" s="327"/>
      <c r="Q849" s="336"/>
      <c r="R849" s="364"/>
      <c r="S849" s="364"/>
      <c r="T849" s="13" t="str">
        <f t="shared" si="130"/>
        <v>23調査結果-建築物の内部-4（44）-調査結果</v>
      </c>
      <c r="V849" s="202"/>
      <c r="W849" s="202"/>
      <c r="X849" s="202"/>
    </row>
    <row r="850" spans="2:24">
      <c r="B850" s="107">
        <f>'1_入力シート【基本情報】'!$AR$413</f>
        <v>0</v>
      </c>
      <c r="C850" s="4" t="str">
        <f t="shared" si="135"/>
        <v/>
      </c>
      <c r="D850" s="107">
        <f>'1_入力シート【基本情報】'!$AR$413</f>
        <v>0</v>
      </c>
      <c r="E850" s="564">
        <f>'1_入力シート【基本情報】'!$AR$413</f>
        <v>0</v>
      </c>
      <c r="F850" s="564" t="str">
        <f t="shared" si="140"/>
        <v>0</v>
      </c>
      <c r="G850" s="24"/>
      <c r="H850" s="565">
        <v>23</v>
      </c>
      <c r="I850" s="334" t="s">
        <v>33</v>
      </c>
      <c r="J850" s="357" t="s">
        <v>1407</v>
      </c>
      <c r="K850" s="322" t="s">
        <v>2066</v>
      </c>
      <c r="L850" s="358" t="s">
        <v>1407</v>
      </c>
      <c r="M850" s="335" t="s">
        <v>2110</v>
      </c>
      <c r="N850" s="358" t="s">
        <v>1407</v>
      </c>
      <c r="O850" s="326" t="s">
        <v>30</v>
      </c>
      <c r="P850" s="327"/>
      <c r="Q850" s="336"/>
      <c r="R850" s="364"/>
      <c r="S850" s="364"/>
      <c r="T850" s="13" t="str">
        <f t="shared" si="130"/>
        <v>23調査結果-建築物の内部-4（44）-調査者番号</v>
      </c>
      <c r="V850" s="202"/>
      <c r="W850" s="202"/>
      <c r="X850" s="202"/>
    </row>
    <row r="851" spans="2:24">
      <c r="B851" s="503">
        <f>'1_入力シート【基本情報】'!$AT$413</f>
        <v>0</v>
      </c>
      <c r="C851" s="4" t="str">
        <f t="shared" si="135"/>
        <v/>
      </c>
      <c r="D851" s="503">
        <f>'1_入力シート【基本情報】'!$AT$413</f>
        <v>0</v>
      </c>
      <c r="E851" s="576">
        <f>'1_入力シート【基本情報】'!$AT$413</f>
        <v>0</v>
      </c>
      <c r="F851" s="576" t="str">
        <f t="shared" si="140"/>
        <v>0</v>
      </c>
      <c r="G851" s="24"/>
      <c r="H851" s="565">
        <v>23</v>
      </c>
      <c r="I851" s="334" t="s">
        <v>33</v>
      </c>
      <c r="J851" s="357" t="s">
        <v>1407</v>
      </c>
      <c r="K851" s="322" t="s">
        <v>2066</v>
      </c>
      <c r="L851" s="358" t="s">
        <v>1407</v>
      </c>
      <c r="M851" s="335" t="s">
        <v>2110</v>
      </c>
      <c r="N851" s="358" t="s">
        <v>1407</v>
      </c>
      <c r="O851" s="326" t="s">
        <v>2028</v>
      </c>
      <c r="P851" s="327"/>
      <c r="Q851" s="336"/>
      <c r="R851" s="364"/>
      <c r="S851" s="364"/>
      <c r="T851" s="13" t="str">
        <f t="shared" si="130"/>
        <v>23調査結果-建築物の内部-4（44）-指摘の具体的内容等</v>
      </c>
      <c r="V851" s="202"/>
      <c r="W851" s="202"/>
      <c r="X851" s="202"/>
    </row>
    <row r="852" spans="2:24">
      <c r="B852" s="107">
        <f>'1_入力シート【基本情報】'!$BD$413</f>
        <v>0</v>
      </c>
      <c r="C852" s="4" t="str">
        <f t="shared" si="135"/>
        <v/>
      </c>
      <c r="D852" s="107">
        <f>'1_入力シート【基本情報】'!$BD$413</f>
        <v>0</v>
      </c>
      <c r="E852" s="564">
        <f>'1_入力シート【基本情報】'!$BD$413</f>
        <v>0</v>
      </c>
      <c r="F852" s="564" t="str">
        <f t="shared" si="140"/>
        <v>0</v>
      </c>
      <c r="G852" s="24"/>
      <c r="H852" s="565">
        <v>23</v>
      </c>
      <c r="I852" s="334" t="s">
        <v>33</v>
      </c>
      <c r="J852" s="357" t="s">
        <v>1407</v>
      </c>
      <c r="K852" s="322" t="s">
        <v>2066</v>
      </c>
      <c r="L852" s="358" t="s">
        <v>1407</v>
      </c>
      <c r="M852" s="335" t="s">
        <v>2110</v>
      </c>
      <c r="N852" s="358" t="s">
        <v>1407</v>
      </c>
      <c r="O852" s="326" t="s">
        <v>2029</v>
      </c>
      <c r="P852" s="327"/>
      <c r="Q852" s="336"/>
      <c r="R852" s="364"/>
      <c r="S852" s="364"/>
      <c r="T852" s="13" t="str">
        <f t="shared" si="130"/>
        <v>23調査結果-建築物の内部-4（44）-改善策の具体的内容等</v>
      </c>
      <c r="V852" s="202"/>
      <c r="W852" s="202"/>
      <c r="X852" s="202"/>
    </row>
    <row r="853" spans="2:24" ht="19">
      <c r="B853" s="107">
        <f>'1_入力シート【基本情報】'!$BS$413</f>
        <v>0</v>
      </c>
      <c r="C853" s="493" t="str">
        <f t="shared" ref="C853:E854" si="143">ASC($D853)</f>
        <v>0</v>
      </c>
      <c r="D853" s="107">
        <f>'1_入力シート【基本情報】'!$BS$413</f>
        <v>0</v>
      </c>
      <c r="E853" s="7" t="str">
        <f t="shared" si="143"/>
        <v>0</v>
      </c>
      <c r="F853" s="7" t="str">
        <f t="shared" si="140"/>
        <v>0</v>
      </c>
      <c r="G853" s="24"/>
      <c r="H853" s="565">
        <v>23</v>
      </c>
      <c r="I853" s="334" t="s">
        <v>33</v>
      </c>
      <c r="J853" s="357" t="s">
        <v>1407</v>
      </c>
      <c r="K853" s="322" t="s">
        <v>2066</v>
      </c>
      <c r="L853" s="358" t="s">
        <v>1407</v>
      </c>
      <c r="M853" s="335" t="s">
        <v>2110</v>
      </c>
      <c r="N853" s="358" t="s">
        <v>1407</v>
      </c>
      <c r="O853" s="326" t="s">
        <v>387</v>
      </c>
      <c r="P853" s="327" t="s">
        <v>1879</v>
      </c>
      <c r="Q853" s="336" t="s">
        <v>1966</v>
      </c>
      <c r="R853" s="364"/>
      <c r="S853" s="364"/>
      <c r="T853" s="13" t="str">
        <f t="shared" si="130"/>
        <v>23調査結果-建築物の内部-4（44）-改善（予定）年月-年（令和）</v>
      </c>
      <c r="V853" s="202"/>
      <c r="W853" s="202"/>
      <c r="X853" s="202"/>
    </row>
    <row r="854" spans="2:24" ht="19">
      <c r="B854" s="107">
        <f>'1_入力シート【基本情報】'!$BV$413</f>
        <v>0</v>
      </c>
      <c r="C854" s="493" t="str">
        <f t="shared" si="143"/>
        <v>0</v>
      </c>
      <c r="D854" s="107">
        <f>'1_入力シート【基本情報】'!$BV$413</f>
        <v>0</v>
      </c>
      <c r="E854" s="7" t="str">
        <f t="shared" si="143"/>
        <v>0</v>
      </c>
      <c r="F854" s="7" t="str">
        <f t="shared" si="140"/>
        <v>0</v>
      </c>
      <c r="G854" s="24"/>
      <c r="H854" s="565">
        <v>23</v>
      </c>
      <c r="I854" s="334" t="s">
        <v>33</v>
      </c>
      <c r="J854" s="357" t="s">
        <v>1407</v>
      </c>
      <c r="K854" s="322" t="s">
        <v>2066</v>
      </c>
      <c r="L854" s="358" t="s">
        <v>1407</v>
      </c>
      <c r="M854" s="335" t="s">
        <v>2110</v>
      </c>
      <c r="N854" s="358" t="s">
        <v>1407</v>
      </c>
      <c r="O854" s="326" t="s">
        <v>387</v>
      </c>
      <c r="P854" s="327" t="s">
        <v>1879</v>
      </c>
      <c r="Q854" s="336" t="s">
        <v>383</v>
      </c>
      <c r="R854" s="364"/>
      <c r="S854" s="364"/>
      <c r="T854" s="13" t="str">
        <f t="shared" si="130"/>
        <v>23調査結果-建築物の内部-4（44）-改善（予定）年月-月</v>
      </c>
      <c r="V854" s="202"/>
      <c r="W854" s="202"/>
      <c r="X854" s="202"/>
    </row>
    <row r="855" spans="2:24">
      <c r="B855" s="107">
        <f>'1_入力シート【基本情報】'!$BY$413</f>
        <v>0</v>
      </c>
      <c r="C855" s="4" t="str">
        <f t="shared" si="135"/>
        <v/>
      </c>
      <c r="D855" s="107">
        <f>'1_入力シート【基本情報】'!$BY$413</f>
        <v>0</v>
      </c>
      <c r="E855" s="564">
        <f>'1_入力シート【基本情報】'!$BY$413</f>
        <v>0</v>
      </c>
      <c r="F855" s="564" t="str">
        <f t="shared" si="140"/>
        <v>0</v>
      </c>
      <c r="G855" s="24"/>
      <c r="H855" s="565">
        <v>23</v>
      </c>
      <c r="I855" s="334" t="s">
        <v>33</v>
      </c>
      <c r="J855" s="357" t="s">
        <v>1407</v>
      </c>
      <c r="K855" s="322" t="s">
        <v>2066</v>
      </c>
      <c r="L855" s="358" t="s">
        <v>1407</v>
      </c>
      <c r="M855" s="335" t="s">
        <v>2110</v>
      </c>
      <c r="N855" s="358" t="s">
        <v>1407</v>
      </c>
      <c r="O855" s="326" t="s">
        <v>387</v>
      </c>
      <c r="P855" s="327" t="s">
        <v>1879</v>
      </c>
      <c r="Q855" s="336" t="s">
        <v>675</v>
      </c>
      <c r="R855" s="364"/>
      <c r="S855" s="364"/>
      <c r="T855" s="13" t="str">
        <f t="shared" si="130"/>
        <v>23調査結果-建築物の内部-4（44）-改善（予定）年月-未定</v>
      </c>
      <c r="V855" s="202"/>
      <c r="W855" s="202"/>
      <c r="X855" s="202"/>
    </row>
    <row r="856" spans="2:24">
      <c r="B856" s="107">
        <f>'1_入力シート【基本情報】'!$AF$414</f>
        <v>0</v>
      </c>
      <c r="C856" s="4" t="str">
        <f t="shared" si="135"/>
        <v/>
      </c>
      <c r="D856" s="107" t="str">
        <f>C856</f>
        <v/>
      </c>
      <c r="E856" s="564" t="str">
        <f>D856</f>
        <v/>
      </c>
      <c r="F856" s="564" t="str">
        <f t="shared" si="140"/>
        <v/>
      </c>
      <c r="G856" s="24"/>
      <c r="H856" s="565">
        <v>23</v>
      </c>
      <c r="I856" s="334" t="s">
        <v>33</v>
      </c>
      <c r="J856" s="357" t="s">
        <v>1407</v>
      </c>
      <c r="K856" s="322" t="s">
        <v>2066</v>
      </c>
      <c r="L856" s="358" t="s">
        <v>1407</v>
      </c>
      <c r="M856" s="335" t="s">
        <v>2111</v>
      </c>
      <c r="N856" s="358" t="s">
        <v>1407</v>
      </c>
      <c r="O856" s="326" t="s">
        <v>33</v>
      </c>
      <c r="P856" s="327"/>
      <c r="Q856" s="336"/>
      <c r="R856" s="364"/>
      <c r="S856" s="364"/>
      <c r="T856" s="13" t="str">
        <f t="shared" si="130"/>
        <v>23調査結果-建築物の内部-4（45）-調査結果</v>
      </c>
      <c r="V856" s="202"/>
      <c r="W856" s="202"/>
      <c r="X856" s="202"/>
    </row>
    <row r="857" spans="2:24">
      <c r="B857" s="107">
        <f>'1_入力シート【基本情報】'!$AR$414</f>
        <v>0</v>
      </c>
      <c r="C857" s="4" t="str">
        <f t="shared" si="135"/>
        <v/>
      </c>
      <c r="D857" s="107">
        <f>'1_入力シート【基本情報】'!$AR$414</f>
        <v>0</v>
      </c>
      <c r="E857" s="564">
        <f>'1_入力シート【基本情報】'!$AR$414</f>
        <v>0</v>
      </c>
      <c r="F857" s="564" t="str">
        <f t="shared" si="140"/>
        <v>0</v>
      </c>
      <c r="G857" s="24"/>
      <c r="H857" s="565">
        <v>23</v>
      </c>
      <c r="I857" s="334" t="s">
        <v>33</v>
      </c>
      <c r="J857" s="357" t="s">
        <v>1407</v>
      </c>
      <c r="K857" s="322" t="s">
        <v>2066</v>
      </c>
      <c r="L857" s="358" t="s">
        <v>1407</v>
      </c>
      <c r="M857" s="335" t="s">
        <v>2111</v>
      </c>
      <c r="N857" s="358" t="s">
        <v>1407</v>
      </c>
      <c r="O857" s="326" t="s">
        <v>30</v>
      </c>
      <c r="P857" s="327"/>
      <c r="Q857" s="336"/>
      <c r="R857" s="364"/>
      <c r="S857" s="364"/>
      <c r="T857" s="13" t="str">
        <f t="shared" si="130"/>
        <v>23調査結果-建築物の内部-4（45）-調査者番号</v>
      </c>
      <c r="V857" s="202"/>
      <c r="W857" s="202"/>
      <c r="X857" s="202"/>
    </row>
    <row r="858" spans="2:24">
      <c r="B858" s="107">
        <f>'1_入力シート【基本情報】'!$AT$414</f>
        <v>0</v>
      </c>
      <c r="C858" s="4" t="str">
        <f t="shared" si="135"/>
        <v/>
      </c>
      <c r="D858" s="107">
        <f>'1_入力シート【基本情報】'!$AT$414</f>
        <v>0</v>
      </c>
      <c r="E858" s="564">
        <f>'1_入力シート【基本情報】'!$AT$414</f>
        <v>0</v>
      </c>
      <c r="F858" s="564" t="str">
        <f t="shared" si="140"/>
        <v>0</v>
      </c>
      <c r="G858" s="24"/>
      <c r="H858" s="565">
        <v>23</v>
      </c>
      <c r="I858" s="334" t="s">
        <v>33</v>
      </c>
      <c r="J858" s="357" t="s">
        <v>1407</v>
      </c>
      <c r="K858" s="322" t="s">
        <v>2066</v>
      </c>
      <c r="L858" s="358" t="s">
        <v>1407</v>
      </c>
      <c r="M858" s="335" t="s">
        <v>2111</v>
      </c>
      <c r="N858" s="358" t="s">
        <v>1407</v>
      </c>
      <c r="O858" s="326" t="s">
        <v>2028</v>
      </c>
      <c r="P858" s="327"/>
      <c r="Q858" s="336"/>
      <c r="R858" s="364"/>
      <c r="S858" s="364"/>
      <c r="T858" s="13" t="str">
        <f t="shared" si="130"/>
        <v>23調査結果-建築物の内部-4（45）-指摘の具体的内容等</v>
      </c>
      <c r="V858" s="202"/>
      <c r="W858" s="202"/>
      <c r="X858" s="202"/>
    </row>
    <row r="859" spans="2:24">
      <c r="B859" s="107">
        <f>'1_入力シート【基本情報】'!$BD$414</f>
        <v>0</v>
      </c>
      <c r="C859" s="4" t="str">
        <f t="shared" si="135"/>
        <v/>
      </c>
      <c r="D859" s="107">
        <f>'1_入力シート【基本情報】'!$BD$414</f>
        <v>0</v>
      </c>
      <c r="E859" s="564">
        <f>'1_入力シート【基本情報】'!$BD$414</f>
        <v>0</v>
      </c>
      <c r="F859" s="564" t="str">
        <f t="shared" si="140"/>
        <v>0</v>
      </c>
      <c r="G859" s="24"/>
      <c r="H859" s="565">
        <v>23</v>
      </c>
      <c r="I859" s="334" t="s">
        <v>33</v>
      </c>
      <c r="J859" s="357" t="s">
        <v>1407</v>
      </c>
      <c r="K859" s="322" t="s">
        <v>2066</v>
      </c>
      <c r="L859" s="358" t="s">
        <v>1407</v>
      </c>
      <c r="M859" s="335" t="s">
        <v>2111</v>
      </c>
      <c r="N859" s="358" t="s">
        <v>1407</v>
      </c>
      <c r="O859" s="326" t="s">
        <v>2029</v>
      </c>
      <c r="P859" s="327"/>
      <c r="Q859" s="336"/>
      <c r="R859" s="364"/>
      <c r="S859" s="364"/>
      <c r="T859" s="13" t="str">
        <f t="shared" si="130"/>
        <v>23調査結果-建築物の内部-4（45）-改善策の具体的内容等</v>
      </c>
      <c r="V859" s="202"/>
      <c r="W859" s="202"/>
      <c r="X859" s="202"/>
    </row>
    <row r="860" spans="2:24" ht="19">
      <c r="B860" s="107">
        <f>'1_入力シート【基本情報】'!$BS$414</f>
        <v>0</v>
      </c>
      <c r="C860" s="493" t="str">
        <f t="shared" ref="C860:E861" si="144">ASC($D860)</f>
        <v>0</v>
      </c>
      <c r="D860" s="107">
        <f>'1_入力シート【基本情報】'!$BS$414</f>
        <v>0</v>
      </c>
      <c r="E860" s="7" t="str">
        <f t="shared" si="144"/>
        <v>0</v>
      </c>
      <c r="F860" s="7" t="str">
        <f t="shared" si="140"/>
        <v>0</v>
      </c>
      <c r="G860" s="24"/>
      <c r="H860" s="565">
        <v>23</v>
      </c>
      <c r="I860" s="334" t="s">
        <v>33</v>
      </c>
      <c r="J860" s="357" t="s">
        <v>1407</v>
      </c>
      <c r="K860" s="322" t="s">
        <v>2066</v>
      </c>
      <c r="L860" s="358" t="s">
        <v>1407</v>
      </c>
      <c r="M860" s="335" t="s">
        <v>2111</v>
      </c>
      <c r="N860" s="358" t="s">
        <v>1407</v>
      </c>
      <c r="O860" s="326" t="s">
        <v>387</v>
      </c>
      <c r="P860" s="327" t="s">
        <v>1879</v>
      </c>
      <c r="Q860" s="336" t="s">
        <v>1966</v>
      </c>
      <c r="R860" s="364"/>
      <c r="S860" s="364"/>
      <c r="T860" s="13" t="str">
        <f t="shared" si="130"/>
        <v>23調査結果-建築物の内部-4（45）-改善（予定）年月-年（令和）</v>
      </c>
      <c r="V860" s="202"/>
      <c r="W860" s="202"/>
      <c r="X860" s="202"/>
    </row>
    <row r="861" spans="2:24" ht="19">
      <c r="B861" s="107">
        <f>'1_入力シート【基本情報】'!$BV$414</f>
        <v>0</v>
      </c>
      <c r="C861" s="493" t="str">
        <f t="shared" si="144"/>
        <v>0</v>
      </c>
      <c r="D861" s="107">
        <f>'1_入力シート【基本情報】'!$BV$414</f>
        <v>0</v>
      </c>
      <c r="E861" s="7" t="str">
        <f t="shared" si="144"/>
        <v>0</v>
      </c>
      <c r="F861" s="7" t="str">
        <f t="shared" si="140"/>
        <v>0</v>
      </c>
      <c r="G861" s="24"/>
      <c r="H861" s="565">
        <v>23</v>
      </c>
      <c r="I861" s="334" t="s">
        <v>33</v>
      </c>
      <c r="J861" s="357" t="s">
        <v>1407</v>
      </c>
      <c r="K861" s="322" t="s">
        <v>2066</v>
      </c>
      <c r="L861" s="358" t="s">
        <v>1407</v>
      </c>
      <c r="M861" s="335" t="s">
        <v>2111</v>
      </c>
      <c r="N861" s="358" t="s">
        <v>1407</v>
      </c>
      <c r="O861" s="326" t="s">
        <v>387</v>
      </c>
      <c r="P861" s="327" t="s">
        <v>1879</v>
      </c>
      <c r="Q861" s="336" t="s">
        <v>383</v>
      </c>
      <c r="R861" s="364"/>
      <c r="S861" s="364"/>
      <c r="T861" s="13" t="str">
        <f t="shared" si="130"/>
        <v>23調査結果-建築物の内部-4（45）-改善（予定）年月-月</v>
      </c>
      <c r="V861" s="202"/>
      <c r="W861" s="202"/>
      <c r="X861" s="202"/>
    </row>
    <row r="862" spans="2:24">
      <c r="B862" s="107">
        <f>'1_入力シート【基本情報】'!$BY$414</f>
        <v>0</v>
      </c>
      <c r="C862" s="4" t="str">
        <f t="shared" si="135"/>
        <v/>
      </c>
      <c r="D862" s="107">
        <f>'1_入力シート【基本情報】'!$BY$414</f>
        <v>0</v>
      </c>
      <c r="E862" s="564">
        <f>'1_入力シート【基本情報】'!$BY$414</f>
        <v>0</v>
      </c>
      <c r="F862" s="564" t="str">
        <f t="shared" si="140"/>
        <v>0</v>
      </c>
      <c r="G862" s="24"/>
      <c r="H862" s="565">
        <v>23</v>
      </c>
      <c r="I862" s="334" t="s">
        <v>33</v>
      </c>
      <c r="J862" s="357" t="s">
        <v>1407</v>
      </c>
      <c r="K862" s="322" t="s">
        <v>2066</v>
      </c>
      <c r="L862" s="358" t="s">
        <v>1407</v>
      </c>
      <c r="M862" s="335" t="s">
        <v>2111</v>
      </c>
      <c r="N862" s="358" t="s">
        <v>1407</v>
      </c>
      <c r="O862" s="326" t="s">
        <v>387</v>
      </c>
      <c r="P862" s="327" t="s">
        <v>1879</v>
      </c>
      <c r="Q862" s="336" t="s">
        <v>675</v>
      </c>
      <c r="R862" s="364"/>
      <c r="S862" s="364"/>
      <c r="T862" s="13" t="str">
        <f t="shared" si="130"/>
        <v>23調査結果-建築物の内部-4（45）-改善（予定）年月-未定</v>
      </c>
      <c r="V862" s="202"/>
      <c r="W862" s="202"/>
      <c r="X862" s="202"/>
    </row>
    <row r="863" spans="2:24">
      <c r="B863" s="107">
        <f>'1_入力シート【基本情報】'!$AF$415</f>
        <v>0</v>
      </c>
      <c r="C863" s="4" t="str">
        <f t="shared" si="135"/>
        <v/>
      </c>
      <c r="D863" s="107" t="str">
        <f>C863</f>
        <v/>
      </c>
      <c r="E863" s="564" t="str">
        <f>D863</f>
        <v/>
      </c>
      <c r="F863" s="564" t="str">
        <f t="shared" si="140"/>
        <v/>
      </c>
      <c r="G863" s="24"/>
      <c r="H863" s="565">
        <v>23</v>
      </c>
      <c r="I863" s="334" t="s">
        <v>33</v>
      </c>
      <c r="J863" s="357" t="s">
        <v>1407</v>
      </c>
      <c r="K863" s="322" t="s">
        <v>2066</v>
      </c>
      <c r="L863" s="358" t="s">
        <v>1407</v>
      </c>
      <c r="M863" s="335" t="s">
        <v>2112</v>
      </c>
      <c r="N863" s="358" t="s">
        <v>1407</v>
      </c>
      <c r="O863" s="326" t="s">
        <v>33</v>
      </c>
      <c r="P863" s="327"/>
      <c r="Q863" s="336"/>
      <c r="R863" s="364"/>
      <c r="S863" s="364"/>
      <c r="T863" s="13" t="str">
        <f t="shared" si="130"/>
        <v>23調査結果-建築物の内部-4（46）-調査結果</v>
      </c>
      <c r="V863" s="202"/>
      <c r="W863" s="202"/>
      <c r="X863" s="202"/>
    </row>
    <row r="864" spans="2:24">
      <c r="B864" s="107">
        <f>'1_入力シート【基本情報】'!$AR$415</f>
        <v>0</v>
      </c>
      <c r="C864" s="4" t="str">
        <f t="shared" si="135"/>
        <v/>
      </c>
      <c r="D864" s="107">
        <f>'1_入力シート【基本情報】'!$AR$415</f>
        <v>0</v>
      </c>
      <c r="E864" s="564">
        <f>'1_入力シート【基本情報】'!$AR$415</f>
        <v>0</v>
      </c>
      <c r="F864" s="564" t="str">
        <f t="shared" si="140"/>
        <v>0</v>
      </c>
      <c r="G864" s="24"/>
      <c r="H864" s="565">
        <v>23</v>
      </c>
      <c r="I864" s="334" t="s">
        <v>33</v>
      </c>
      <c r="J864" s="357" t="s">
        <v>1407</v>
      </c>
      <c r="K864" s="322" t="s">
        <v>2066</v>
      </c>
      <c r="L864" s="358" t="s">
        <v>1407</v>
      </c>
      <c r="M864" s="335" t="s">
        <v>2112</v>
      </c>
      <c r="N864" s="358" t="s">
        <v>1407</v>
      </c>
      <c r="O864" s="326" t="s">
        <v>30</v>
      </c>
      <c r="P864" s="327"/>
      <c r="Q864" s="336"/>
      <c r="R864" s="364"/>
      <c r="S864" s="364"/>
      <c r="T864" s="13" t="str">
        <f t="shared" si="130"/>
        <v>23調査結果-建築物の内部-4（46）-調査者番号</v>
      </c>
      <c r="V864" s="202"/>
      <c r="W864" s="202"/>
      <c r="X864" s="202"/>
    </row>
    <row r="865" spans="2:24">
      <c r="B865" s="107">
        <f>'1_入力シート【基本情報】'!$AT$415</f>
        <v>0</v>
      </c>
      <c r="C865" s="4" t="str">
        <f t="shared" si="135"/>
        <v/>
      </c>
      <c r="D865" s="107">
        <f>'1_入力シート【基本情報】'!$AT$415</f>
        <v>0</v>
      </c>
      <c r="E865" s="564">
        <f>'1_入力シート【基本情報】'!$AT$415</f>
        <v>0</v>
      </c>
      <c r="F865" s="564" t="str">
        <f t="shared" si="140"/>
        <v>0</v>
      </c>
      <c r="G865" s="24"/>
      <c r="H865" s="565">
        <v>23</v>
      </c>
      <c r="I865" s="334" t="s">
        <v>33</v>
      </c>
      <c r="J865" s="357" t="s">
        <v>1407</v>
      </c>
      <c r="K865" s="322" t="s">
        <v>2066</v>
      </c>
      <c r="L865" s="358" t="s">
        <v>1407</v>
      </c>
      <c r="M865" s="335" t="s">
        <v>2112</v>
      </c>
      <c r="N865" s="358" t="s">
        <v>1407</v>
      </c>
      <c r="O865" s="326" t="s">
        <v>2028</v>
      </c>
      <c r="P865" s="327"/>
      <c r="Q865" s="336"/>
      <c r="R865" s="364"/>
      <c r="S865" s="364"/>
      <c r="T865" s="13" t="str">
        <f t="shared" si="130"/>
        <v>23調査結果-建築物の内部-4（46）-指摘の具体的内容等</v>
      </c>
      <c r="V865" s="202"/>
      <c r="W865" s="202"/>
      <c r="X865" s="202"/>
    </row>
    <row r="866" spans="2:24">
      <c r="B866" s="107">
        <f>'1_入力シート【基本情報】'!$BD$415</f>
        <v>0</v>
      </c>
      <c r="C866" s="4" t="str">
        <f t="shared" si="135"/>
        <v/>
      </c>
      <c r="D866" s="107">
        <f>'1_入力シート【基本情報】'!$BD$415</f>
        <v>0</v>
      </c>
      <c r="E866" s="564">
        <f>'1_入力シート【基本情報】'!$BD$415</f>
        <v>0</v>
      </c>
      <c r="F866" s="564" t="str">
        <f t="shared" si="140"/>
        <v>0</v>
      </c>
      <c r="G866" s="24"/>
      <c r="H866" s="565">
        <v>23</v>
      </c>
      <c r="I866" s="334" t="s">
        <v>33</v>
      </c>
      <c r="J866" s="357" t="s">
        <v>1407</v>
      </c>
      <c r="K866" s="322" t="s">
        <v>2066</v>
      </c>
      <c r="L866" s="358" t="s">
        <v>1407</v>
      </c>
      <c r="M866" s="335" t="s">
        <v>2112</v>
      </c>
      <c r="N866" s="358" t="s">
        <v>1407</v>
      </c>
      <c r="O866" s="326" t="s">
        <v>2029</v>
      </c>
      <c r="P866" s="327"/>
      <c r="Q866" s="336"/>
      <c r="R866" s="364"/>
      <c r="S866" s="364"/>
      <c r="T866" s="13" t="str">
        <f t="shared" si="130"/>
        <v>23調査結果-建築物の内部-4（46）-改善策の具体的内容等</v>
      </c>
      <c r="V866" s="202"/>
      <c r="W866" s="202"/>
      <c r="X866" s="202"/>
    </row>
    <row r="867" spans="2:24" ht="19">
      <c r="B867" s="107">
        <f>'1_入力シート【基本情報】'!$BS$415</f>
        <v>0</v>
      </c>
      <c r="C867" s="493" t="str">
        <f t="shared" ref="C867:E868" si="145">ASC($D867)</f>
        <v>0</v>
      </c>
      <c r="D867" s="107">
        <f>'1_入力シート【基本情報】'!$BS$415</f>
        <v>0</v>
      </c>
      <c r="E867" s="7" t="str">
        <f t="shared" si="145"/>
        <v>0</v>
      </c>
      <c r="F867" s="7" t="str">
        <f t="shared" si="140"/>
        <v>0</v>
      </c>
      <c r="G867" s="24"/>
      <c r="H867" s="565">
        <v>23</v>
      </c>
      <c r="I867" s="334" t="s">
        <v>33</v>
      </c>
      <c r="J867" s="357" t="s">
        <v>1407</v>
      </c>
      <c r="K867" s="322" t="s">
        <v>2066</v>
      </c>
      <c r="L867" s="358" t="s">
        <v>1407</v>
      </c>
      <c r="M867" s="335" t="s">
        <v>2112</v>
      </c>
      <c r="N867" s="358" t="s">
        <v>1407</v>
      </c>
      <c r="O867" s="326" t="s">
        <v>387</v>
      </c>
      <c r="P867" s="327" t="s">
        <v>1879</v>
      </c>
      <c r="Q867" s="336" t="s">
        <v>1966</v>
      </c>
      <c r="R867" s="364"/>
      <c r="S867" s="364"/>
      <c r="T867" s="13" t="str">
        <f t="shared" si="130"/>
        <v>23調査結果-建築物の内部-4（46）-改善（予定）年月-年（令和）</v>
      </c>
      <c r="V867" s="202"/>
      <c r="W867" s="202"/>
      <c r="X867" s="202"/>
    </row>
    <row r="868" spans="2:24" ht="19">
      <c r="B868" s="107">
        <f>'1_入力シート【基本情報】'!$BV$415</f>
        <v>0</v>
      </c>
      <c r="C868" s="493" t="str">
        <f t="shared" si="145"/>
        <v>0</v>
      </c>
      <c r="D868" s="107">
        <f>'1_入力シート【基本情報】'!$BV$415</f>
        <v>0</v>
      </c>
      <c r="E868" s="7" t="str">
        <f t="shared" si="145"/>
        <v>0</v>
      </c>
      <c r="F868" s="7" t="str">
        <f t="shared" si="140"/>
        <v>0</v>
      </c>
      <c r="G868" s="24"/>
      <c r="H868" s="565">
        <v>23</v>
      </c>
      <c r="I868" s="334" t="s">
        <v>33</v>
      </c>
      <c r="J868" s="357" t="s">
        <v>1407</v>
      </c>
      <c r="K868" s="322" t="s">
        <v>2066</v>
      </c>
      <c r="L868" s="358" t="s">
        <v>1407</v>
      </c>
      <c r="M868" s="335" t="s">
        <v>2112</v>
      </c>
      <c r="N868" s="358" t="s">
        <v>1407</v>
      </c>
      <c r="O868" s="326" t="s">
        <v>387</v>
      </c>
      <c r="P868" s="327" t="s">
        <v>1879</v>
      </c>
      <c r="Q868" s="336" t="s">
        <v>383</v>
      </c>
      <c r="R868" s="364"/>
      <c r="S868" s="364"/>
      <c r="T868" s="13" t="str">
        <f t="shared" si="130"/>
        <v>23調査結果-建築物の内部-4（46）-改善（予定）年月-月</v>
      </c>
      <c r="V868" s="202"/>
      <c r="W868" s="202"/>
      <c r="X868" s="202"/>
    </row>
    <row r="869" spans="2:24">
      <c r="B869" s="107">
        <f>'1_入力シート【基本情報】'!$BY$415</f>
        <v>0</v>
      </c>
      <c r="C869" s="4" t="str">
        <f t="shared" si="135"/>
        <v/>
      </c>
      <c r="D869" s="107">
        <f>'1_入力シート【基本情報】'!$BY$415</f>
        <v>0</v>
      </c>
      <c r="E869" s="564">
        <f>'1_入力シート【基本情報】'!$BY$415</f>
        <v>0</v>
      </c>
      <c r="F869" s="564" t="str">
        <f t="shared" si="140"/>
        <v>0</v>
      </c>
      <c r="G869" s="24"/>
      <c r="H869" s="565">
        <v>23</v>
      </c>
      <c r="I869" s="334" t="s">
        <v>33</v>
      </c>
      <c r="J869" s="357" t="s">
        <v>1407</v>
      </c>
      <c r="K869" s="322" t="s">
        <v>2066</v>
      </c>
      <c r="L869" s="358" t="s">
        <v>1407</v>
      </c>
      <c r="M869" s="335" t="s">
        <v>2112</v>
      </c>
      <c r="N869" s="358" t="s">
        <v>1407</v>
      </c>
      <c r="O869" s="326" t="s">
        <v>387</v>
      </c>
      <c r="P869" s="327" t="s">
        <v>1879</v>
      </c>
      <c r="Q869" s="336" t="s">
        <v>675</v>
      </c>
      <c r="R869" s="364"/>
      <c r="S869" s="364"/>
      <c r="T869" s="13" t="str">
        <f t="shared" si="130"/>
        <v>23調査結果-建築物の内部-4（46）-改善（予定）年月-未定</v>
      </c>
      <c r="V869" s="202"/>
      <c r="W869" s="202"/>
      <c r="X869" s="202"/>
    </row>
    <row r="870" spans="2:24">
      <c r="B870" s="107">
        <f>'1_入力シート【基本情報】'!$AF$416</f>
        <v>0</v>
      </c>
      <c r="C870" s="4" t="str">
        <f t="shared" ref="C870:C933" si="146">MID(B870,2,14)</f>
        <v/>
      </c>
      <c r="D870" s="107" t="str">
        <f>C870</f>
        <v/>
      </c>
      <c r="E870" s="564" t="str">
        <f>D870</f>
        <v/>
      </c>
      <c r="F870" s="564" t="str">
        <f t="shared" si="140"/>
        <v/>
      </c>
      <c r="G870" s="24"/>
      <c r="H870" s="565">
        <v>23</v>
      </c>
      <c r="I870" s="334" t="s">
        <v>33</v>
      </c>
      <c r="J870" s="357" t="s">
        <v>1407</v>
      </c>
      <c r="K870" s="322" t="s">
        <v>2066</v>
      </c>
      <c r="L870" s="358" t="s">
        <v>1407</v>
      </c>
      <c r="M870" s="335" t="s">
        <v>2113</v>
      </c>
      <c r="N870" s="358" t="s">
        <v>1407</v>
      </c>
      <c r="O870" s="326" t="s">
        <v>33</v>
      </c>
      <c r="P870" s="327"/>
      <c r="Q870" s="336"/>
      <c r="R870" s="364"/>
      <c r="S870" s="364"/>
      <c r="T870" s="13" t="str">
        <f t="shared" si="130"/>
        <v>23調査結果-建築物の内部-4（47）-調査結果</v>
      </c>
      <c r="V870" s="202"/>
      <c r="W870" s="202"/>
      <c r="X870" s="202"/>
    </row>
    <row r="871" spans="2:24">
      <c r="B871" s="107">
        <f>'1_入力シート【基本情報】'!$AR$416</f>
        <v>0</v>
      </c>
      <c r="C871" s="4" t="str">
        <f t="shared" si="146"/>
        <v/>
      </c>
      <c r="D871" s="107">
        <f>'1_入力シート【基本情報】'!$AR$416</f>
        <v>0</v>
      </c>
      <c r="E871" s="564">
        <f>'1_入力シート【基本情報】'!$AR$416</f>
        <v>0</v>
      </c>
      <c r="F871" s="564" t="str">
        <f t="shared" si="140"/>
        <v>0</v>
      </c>
      <c r="G871" s="24"/>
      <c r="H871" s="565">
        <v>23</v>
      </c>
      <c r="I871" s="334" t="s">
        <v>33</v>
      </c>
      <c r="J871" s="357" t="s">
        <v>1407</v>
      </c>
      <c r="K871" s="322" t="s">
        <v>2066</v>
      </c>
      <c r="L871" s="358" t="s">
        <v>1407</v>
      </c>
      <c r="M871" s="335" t="s">
        <v>2113</v>
      </c>
      <c r="N871" s="358" t="s">
        <v>1407</v>
      </c>
      <c r="O871" s="326" t="s">
        <v>30</v>
      </c>
      <c r="P871" s="327"/>
      <c r="Q871" s="336"/>
      <c r="R871" s="364"/>
      <c r="S871" s="364"/>
      <c r="T871" s="13" t="str">
        <f t="shared" si="130"/>
        <v>23調査結果-建築物の内部-4（47）-調査者番号</v>
      </c>
      <c r="V871" s="202"/>
      <c r="W871" s="202"/>
      <c r="X871" s="202"/>
    </row>
    <row r="872" spans="2:24">
      <c r="B872" s="107">
        <f>'1_入力シート【基本情報】'!$AT$416</f>
        <v>0</v>
      </c>
      <c r="C872" s="4" t="str">
        <f t="shared" si="146"/>
        <v/>
      </c>
      <c r="D872" s="107">
        <f>'1_入力シート【基本情報】'!$AT$416</f>
        <v>0</v>
      </c>
      <c r="E872" s="564">
        <f>'1_入力シート【基本情報】'!$AT$416</f>
        <v>0</v>
      </c>
      <c r="F872" s="564" t="str">
        <f t="shared" si="140"/>
        <v>0</v>
      </c>
      <c r="G872" s="24"/>
      <c r="H872" s="565">
        <v>23</v>
      </c>
      <c r="I872" s="334" t="s">
        <v>33</v>
      </c>
      <c r="J872" s="357" t="s">
        <v>1407</v>
      </c>
      <c r="K872" s="322" t="s">
        <v>2066</v>
      </c>
      <c r="L872" s="358" t="s">
        <v>1407</v>
      </c>
      <c r="M872" s="335" t="s">
        <v>2113</v>
      </c>
      <c r="N872" s="358" t="s">
        <v>1407</v>
      </c>
      <c r="O872" s="326" t="s">
        <v>2028</v>
      </c>
      <c r="P872" s="327"/>
      <c r="Q872" s="336"/>
      <c r="R872" s="364"/>
      <c r="S872" s="364"/>
      <c r="T872" s="13" t="str">
        <f t="shared" si="130"/>
        <v>23調査結果-建築物の内部-4（47）-指摘の具体的内容等</v>
      </c>
      <c r="V872" s="202"/>
      <c r="W872" s="202"/>
      <c r="X872" s="202"/>
    </row>
    <row r="873" spans="2:24">
      <c r="B873" s="107">
        <f>'1_入力シート【基本情報】'!$BD$416</f>
        <v>0</v>
      </c>
      <c r="C873" s="4" t="str">
        <f t="shared" si="146"/>
        <v/>
      </c>
      <c r="D873" s="107">
        <f>'1_入力シート【基本情報】'!$BD$416</f>
        <v>0</v>
      </c>
      <c r="E873" s="564">
        <f>'1_入力シート【基本情報】'!$BD$416</f>
        <v>0</v>
      </c>
      <c r="F873" s="564" t="str">
        <f t="shared" si="140"/>
        <v>0</v>
      </c>
      <c r="G873" s="24"/>
      <c r="H873" s="565">
        <v>23</v>
      </c>
      <c r="I873" s="334" t="s">
        <v>33</v>
      </c>
      <c r="J873" s="357" t="s">
        <v>1407</v>
      </c>
      <c r="K873" s="322" t="s">
        <v>2066</v>
      </c>
      <c r="L873" s="358" t="s">
        <v>1407</v>
      </c>
      <c r="M873" s="335" t="s">
        <v>2113</v>
      </c>
      <c r="N873" s="358" t="s">
        <v>1407</v>
      </c>
      <c r="O873" s="326" t="s">
        <v>2029</v>
      </c>
      <c r="P873" s="327"/>
      <c r="Q873" s="336"/>
      <c r="R873" s="364"/>
      <c r="S873" s="364"/>
      <c r="T873" s="13" t="str">
        <f t="shared" si="130"/>
        <v>23調査結果-建築物の内部-4（47）-改善策の具体的内容等</v>
      </c>
      <c r="V873" s="202"/>
      <c r="W873" s="202"/>
      <c r="X873" s="202"/>
    </row>
    <row r="874" spans="2:24" ht="19">
      <c r="B874" s="107">
        <f>'1_入力シート【基本情報】'!$BS$416</f>
        <v>0</v>
      </c>
      <c r="C874" s="493" t="str">
        <f t="shared" ref="C874:E875" si="147">ASC($D874)</f>
        <v>0</v>
      </c>
      <c r="D874" s="107">
        <f>'1_入力シート【基本情報】'!$BS$416</f>
        <v>0</v>
      </c>
      <c r="E874" s="7" t="str">
        <f t="shared" si="147"/>
        <v>0</v>
      </c>
      <c r="F874" s="7" t="str">
        <f t="shared" si="140"/>
        <v>0</v>
      </c>
      <c r="G874" s="24"/>
      <c r="H874" s="565">
        <v>23</v>
      </c>
      <c r="I874" s="334" t="s">
        <v>33</v>
      </c>
      <c r="J874" s="357" t="s">
        <v>1407</v>
      </c>
      <c r="K874" s="322" t="s">
        <v>2066</v>
      </c>
      <c r="L874" s="358" t="s">
        <v>1407</v>
      </c>
      <c r="M874" s="335" t="s">
        <v>2113</v>
      </c>
      <c r="N874" s="358" t="s">
        <v>1407</v>
      </c>
      <c r="O874" s="326" t="s">
        <v>387</v>
      </c>
      <c r="P874" s="327" t="s">
        <v>1879</v>
      </c>
      <c r="Q874" s="336" t="s">
        <v>1966</v>
      </c>
      <c r="R874" s="364"/>
      <c r="S874" s="364"/>
      <c r="T874" s="13" t="str">
        <f t="shared" si="130"/>
        <v>23調査結果-建築物の内部-4（47）-改善（予定）年月-年（令和）</v>
      </c>
      <c r="V874" s="202"/>
      <c r="W874" s="202"/>
      <c r="X874" s="202"/>
    </row>
    <row r="875" spans="2:24" ht="19">
      <c r="B875" s="107">
        <f>'1_入力シート【基本情報】'!$BV$416</f>
        <v>0</v>
      </c>
      <c r="C875" s="493" t="str">
        <f t="shared" si="147"/>
        <v>0</v>
      </c>
      <c r="D875" s="107">
        <f>'1_入力シート【基本情報】'!$BV$416</f>
        <v>0</v>
      </c>
      <c r="E875" s="7" t="str">
        <f t="shared" si="147"/>
        <v>0</v>
      </c>
      <c r="F875" s="7" t="str">
        <f t="shared" si="140"/>
        <v>0</v>
      </c>
      <c r="G875" s="24"/>
      <c r="H875" s="565">
        <v>23</v>
      </c>
      <c r="I875" s="334" t="s">
        <v>33</v>
      </c>
      <c r="J875" s="357" t="s">
        <v>1407</v>
      </c>
      <c r="K875" s="322" t="s">
        <v>2066</v>
      </c>
      <c r="L875" s="358" t="s">
        <v>1407</v>
      </c>
      <c r="M875" s="335" t="s">
        <v>2113</v>
      </c>
      <c r="N875" s="358" t="s">
        <v>1407</v>
      </c>
      <c r="O875" s="326" t="s">
        <v>387</v>
      </c>
      <c r="P875" s="327" t="s">
        <v>1879</v>
      </c>
      <c r="Q875" s="336" t="s">
        <v>383</v>
      </c>
      <c r="R875" s="364"/>
      <c r="S875" s="364"/>
      <c r="T875" s="13" t="str">
        <f t="shared" si="130"/>
        <v>23調査結果-建築物の内部-4（47）-改善（予定）年月-月</v>
      </c>
      <c r="V875" s="202"/>
      <c r="W875" s="202"/>
      <c r="X875" s="202"/>
    </row>
    <row r="876" spans="2:24">
      <c r="B876" s="107">
        <f>'1_入力シート【基本情報】'!$BY$416</f>
        <v>0</v>
      </c>
      <c r="C876" s="4" t="str">
        <f t="shared" si="146"/>
        <v/>
      </c>
      <c r="D876" s="107">
        <f>'1_入力シート【基本情報】'!$BY$416</f>
        <v>0</v>
      </c>
      <c r="E876" s="564">
        <f>'1_入力シート【基本情報】'!$BY$416</f>
        <v>0</v>
      </c>
      <c r="F876" s="564" t="str">
        <f t="shared" si="140"/>
        <v>0</v>
      </c>
      <c r="G876" s="24"/>
      <c r="H876" s="565">
        <v>23</v>
      </c>
      <c r="I876" s="334" t="s">
        <v>33</v>
      </c>
      <c r="J876" s="357" t="s">
        <v>1407</v>
      </c>
      <c r="K876" s="322" t="s">
        <v>2066</v>
      </c>
      <c r="L876" s="358" t="s">
        <v>1407</v>
      </c>
      <c r="M876" s="335" t="s">
        <v>2113</v>
      </c>
      <c r="N876" s="358" t="s">
        <v>1407</v>
      </c>
      <c r="O876" s="326" t="s">
        <v>387</v>
      </c>
      <c r="P876" s="327" t="s">
        <v>1879</v>
      </c>
      <c r="Q876" s="336" t="s">
        <v>675</v>
      </c>
      <c r="R876" s="364"/>
      <c r="S876" s="364"/>
      <c r="T876" s="13" t="str">
        <f t="shared" si="130"/>
        <v>23調査結果-建築物の内部-4（47）-改善（予定）年月-未定</v>
      </c>
      <c r="V876" s="202"/>
      <c r="W876" s="202"/>
      <c r="X876" s="202"/>
    </row>
    <row r="877" spans="2:24">
      <c r="B877" s="107">
        <f>'1_入力シート【基本情報】'!$AF$426</f>
        <v>0</v>
      </c>
      <c r="C877" s="4" t="str">
        <f t="shared" si="146"/>
        <v/>
      </c>
      <c r="D877" s="107" t="str">
        <f>C877</f>
        <v/>
      </c>
      <c r="E877" s="564" t="str">
        <f>D877</f>
        <v/>
      </c>
      <c r="F877" s="564" t="str">
        <f t="shared" si="140"/>
        <v/>
      </c>
      <c r="G877" s="24"/>
      <c r="H877" s="565">
        <v>23</v>
      </c>
      <c r="I877" s="334" t="s">
        <v>33</v>
      </c>
      <c r="J877" s="357" t="s">
        <v>1407</v>
      </c>
      <c r="K877" s="322" t="s">
        <v>113</v>
      </c>
      <c r="L877" s="358" t="s">
        <v>1407</v>
      </c>
      <c r="M877" s="335" t="s">
        <v>2114</v>
      </c>
      <c r="N877" s="358" t="s">
        <v>1407</v>
      </c>
      <c r="O877" s="326" t="s">
        <v>33</v>
      </c>
      <c r="P877" s="332"/>
      <c r="Q877" s="363"/>
      <c r="R877" s="364"/>
      <c r="S877" s="364"/>
      <c r="T877" s="13" t="str">
        <f t="shared" si="130"/>
        <v>23調査結果-避難施設等-5（1）-調査結果</v>
      </c>
      <c r="V877" s="202"/>
      <c r="W877" s="202"/>
      <c r="X877" s="202"/>
    </row>
    <row r="878" spans="2:24">
      <c r="B878" s="107">
        <f>'1_入力シート【基本情報】'!$AR$426</f>
        <v>0</v>
      </c>
      <c r="C878" s="4" t="str">
        <f t="shared" si="146"/>
        <v/>
      </c>
      <c r="D878" s="107">
        <f>'1_入力シート【基本情報】'!$AR$426</f>
        <v>0</v>
      </c>
      <c r="E878" s="564">
        <f>'1_入力シート【基本情報】'!$AR$426</f>
        <v>0</v>
      </c>
      <c r="F878" s="564" t="str">
        <f t="shared" si="140"/>
        <v>0</v>
      </c>
      <c r="G878" s="24"/>
      <c r="H878" s="565">
        <v>23</v>
      </c>
      <c r="I878" s="334" t="s">
        <v>33</v>
      </c>
      <c r="J878" s="357" t="s">
        <v>1407</v>
      </c>
      <c r="K878" s="322" t="s">
        <v>113</v>
      </c>
      <c r="L878" s="358" t="s">
        <v>1407</v>
      </c>
      <c r="M878" s="335" t="s">
        <v>2114</v>
      </c>
      <c r="N878" s="358" t="s">
        <v>1407</v>
      </c>
      <c r="O878" s="326" t="s">
        <v>30</v>
      </c>
      <c r="P878" s="332"/>
      <c r="Q878" s="363"/>
      <c r="R878" s="364"/>
      <c r="S878" s="364"/>
      <c r="T878" s="13" t="str">
        <f t="shared" si="130"/>
        <v>23調査結果-避難施設等-5（1）-調査者番号</v>
      </c>
      <c r="V878" s="202"/>
      <c r="W878" s="202"/>
      <c r="X878" s="202"/>
    </row>
    <row r="879" spans="2:24">
      <c r="B879" s="107">
        <f>'1_入力シート【基本情報】'!$AT$426</f>
        <v>0</v>
      </c>
      <c r="C879" s="4" t="str">
        <f t="shared" si="146"/>
        <v/>
      </c>
      <c r="D879" s="107">
        <f>'1_入力シート【基本情報】'!$AT$426</f>
        <v>0</v>
      </c>
      <c r="E879" s="564">
        <f>'1_入力シート【基本情報】'!$AT$426</f>
        <v>0</v>
      </c>
      <c r="F879" s="564" t="str">
        <f t="shared" si="140"/>
        <v>0</v>
      </c>
      <c r="G879" s="24"/>
      <c r="H879" s="565">
        <v>23</v>
      </c>
      <c r="I879" s="334" t="s">
        <v>33</v>
      </c>
      <c r="J879" s="357" t="s">
        <v>1407</v>
      </c>
      <c r="K879" s="322" t="s">
        <v>113</v>
      </c>
      <c r="L879" s="358" t="s">
        <v>1407</v>
      </c>
      <c r="M879" s="335" t="s">
        <v>2114</v>
      </c>
      <c r="N879" s="358" t="s">
        <v>1407</v>
      </c>
      <c r="O879" s="326" t="s">
        <v>2028</v>
      </c>
      <c r="P879" s="332"/>
      <c r="Q879" s="363"/>
      <c r="R879" s="203"/>
      <c r="S879" s="203"/>
      <c r="T879" s="13" t="str">
        <f t="shared" si="130"/>
        <v>23調査結果-避難施設等-5（1）-指摘の具体的内容等</v>
      </c>
      <c r="V879" s="202"/>
      <c r="W879" s="202"/>
      <c r="X879" s="202"/>
    </row>
    <row r="880" spans="2:24">
      <c r="B880" s="107">
        <f>'1_入力シート【基本情報】'!$BD$426</f>
        <v>0</v>
      </c>
      <c r="C880" s="4" t="str">
        <f t="shared" si="146"/>
        <v/>
      </c>
      <c r="D880" s="107">
        <f>'1_入力シート【基本情報】'!$BD$426</f>
        <v>0</v>
      </c>
      <c r="E880" s="564">
        <f>'1_入力シート【基本情報】'!$BD$426</f>
        <v>0</v>
      </c>
      <c r="F880" s="564" t="str">
        <f t="shared" si="140"/>
        <v>0</v>
      </c>
      <c r="G880" s="24"/>
      <c r="H880" s="565">
        <v>23</v>
      </c>
      <c r="I880" s="334" t="s">
        <v>33</v>
      </c>
      <c r="J880" s="357" t="s">
        <v>1407</v>
      </c>
      <c r="K880" s="322" t="s">
        <v>113</v>
      </c>
      <c r="L880" s="358" t="s">
        <v>1407</v>
      </c>
      <c r="M880" s="335" t="s">
        <v>2114</v>
      </c>
      <c r="N880" s="358" t="s">
        <v>1407</v>
      </c>
      <c r="O880" s="326" t="s">
        <v>2029</v>
      </c>
      <c r="P880" s="332"/>
      <c r="Q880" s="363"/>
      <c r="R880" s="364"/>
      <c r="S880" s="364"/>
      <c r="T880" s="13" t="str">
        <f t="shared" si="130"/>
        <v>23調査結果-避難施設等-5（1）-改善策の具体的内容等</v>
      </c>
      <c r="V880" s="202"/>
      <c r="W880" s="202"/>
      <c r="X880" s="202"/>
    </row>
    <row r="881" spans="2:24" ht="19">
      <c r="B881" s="107">
        <f>'1_入力シート【基本情報】'!$BS$426</f>
        <v>0</v>
      </c>
      <c r="C881" s="493" t="str">
        <f t="shared" ref="C881:E882" si="148">ASC($D881)</f>
        <v>0</v>
      </c>
      <c r="D881" s="107">
        <f>'1_入力シート【基本情報】'!$BS$426</f>
        <v>0</v>
      </c>
      <c r="E881" s="7" t="str">
        <f t="shared" si="148"/>
        <v>0</v>
      </c>
      <c r="F881" s="7" t="str">
        <f t="shared" si="140"/>
        <v>0</v>
      </c>
      <c r="G881" s="24"/>
      <c r="H881" s="565">
        <v>23</v>
      </c>
      <c r="I881" s="334" t="s">
        <v>33</v>
      </c>
      <c r="J881" s="357" t="s">
        <v>1407</v>
      </c>
      <c r="K881" s="322" t="s">
        <v>113</v>
      </c>
      <c r="L881" s="358" t="s">
        <v>1407</v>
      </c>
      <c r="M881" s="335" t="s">
        <v>2114</v>
      </c>
      <c r="N881" s="358" t="s">
        <v>1407</v>
      </c>
      <c r="O881" s="334" t="s">
        <v>387</v>
      </c>
      <c r="P881" s="332" t="s">
        <v>1879</v>
      </c>
      <c r="Q881" s="363" t="s">
        <v>1966</v>
      </c>
      <c r="R881" s="364"/>
      <c r="S881" s="364"/>
      <c r="T881" s="13" t="str">
        <f t="shared" si="130"/>
        <v>23調査結果-避難施設等-5（1）-改善（予定）年月-年（令和）</v>
      </c>
      <c r="V881" s="202"/>
      <c r="W881" s="202"/>
      <c r="X881" s="202"/>
    </row>
    <row r="882" spans="2:24" ht="19">
      <c r="B882" s="107">
        <f>'1_入力シート【基本情報】'!$BV$426</f>
        <v>0</v>
      </c>
      <c r="C882" s="493" t="str">
        <f t="shared" si="148"/>
        <v>0</v>
      </c>
      <c r="D882" s="107">
        <f>'1_入力シート【基本情報】'!$BV$426</f>
        <v>0</v>
      </c>
      <c r="E882" s="7" t="str">
        <f t="shared" si="148"/>
        <v>0</v>
      </c>
      <c r="F882" s="7" t="str">
        <f t="shared" si="140"/>
        <v>0</v>
      </c>
      <c r="G882" s="24"/>
      <c r="H882" s="565">
        <v>23</v>
      </c>
      <c r="I882" s="334" t="s">
        <v>33</v>
      </c>
      <c r="J882" s="357" t="s">
        <v>1407</v>
      </c>
      <c r="K882" s="322" t="s">
        <v>113</v>
      </c>
      <c r="L882" s="358" t="s">
        <v>1407</v>
      </c>
      <c r="M882" s="335" t="s">
        <v>2114</v>
      </c>
      <c r="N882" s="358" t="s">
        <v>1407</v>
      </c>
      <c r="O882" s="334" t="s">
        <v>387</v>
      </c>
      <c r="P882" s="332" t="s">
        <v>1879</v>
      </c>
      <c r="Q882" s="363" t="s">
        <v>383</v>
      </c>
      <c r="R882" s="364"/>
      <c r="S882" s="364"/>
      <c r="T882" s="13" t="str">
        <f t="shared" si="130"/>
        <v>23調査結果-避難施設等-5（1）-改善（予定）年月-月</v>
      </c>
      <c r="V882" s="202"/>
      <c r="W882" s="202"/>
      <c r="X882" s="202"/>
    </row>
    <row r="883" spans="2:24">
      <c r="B883" s="107">
        <f>'1_入力シート【基本情報】'!$BY$426</f>
        <v>0</v>
      </c>
      <c r="C883" s="4" t="str">
        <f t="shared" si="146"/>
        <v/>
      </c>
      <c r="D883" s="107">
        <f>'1_入力シート【基本情報】'!$BY$426</f>
        <v>0</v>
      </c>
      <c r="E883" s="564">
        <f>'1_入力シート【基本情報】'!$BY$426</f>
        <v>0</v>
      </c>
      <c r="F883" s="564" t="str">
        <f t="shared" si="140"/>
        <v>0</v>
      </c>
      <c r="G883" s="24"/>
      <c r="H883" s="565">
        <v>23</v>
      </c>
      <c r="I883" s="334" t="s">
        <v>33</v>
      </c>
      <c r="J883" s="357" t="s">
        <v>1407</v>
      </c>
      <c r="K883" s="322" t="s">
        <v>113</v>
      </c>
      <c r="L883" s="358" t="s">
        <v>1407</v>
      </c>
      <c r="M883" s="335" t="s">
        <v>2114</v>
      </c>
      <c r="N883" s="358" t="s">
        <v>1407</v>
      </c>
      <c r="O883" s="334" t="s">
        <v>387</v>
      </c>
      <c r="P883" s="332" t="s">
        <v>1879</v>
      </c>
      <c r="Q883" s="363" t="s">
        <v>675</v>
      </c>
      <c r="R883" s="364"/>
      <c r="S883" s="364"/>
      <c r="T883" s="13" t="str">
        <f t="shared" si="130"/>
        <v>23調査結果-避難施設等-5（1）-改善（予定）年月-未定</v>
      </c>
      <c r="V883" s="202"/>
      <c r="W883" s="202"/>
      <c r="X883" s="202"/>
    </row>
    <row r="884" spans="2:24">
      <c r="B884" s="107">
        <f>'1_入力シート【基本情報】'!$AF$427</f>
        <v>0</v>
      </c>
      <c r="C884" s="4" t="str">
        <f t="shared" si="146"/>
        <v/>
      </c>
      <c r="D884" s="107" t="str">
        <f>C884</f>
        <v/>
      </c>
      <c r="E884" s="564" t="str">
        <f>D884</f>
        <v/>
      </c>
      <c r="F884" s="564" t="str">
        <f t="shared" si="140"/>
        <v/>
      </c>
      <c r="G884" s="24"/>
      <c r="H884" s="565">
        <v>23</v>
      </c>
      <c r="I884" s="334" t="s">
        <v>33</v>
      </c>
      <c r="J884" s="357" t="s">
        <v>1407</v>
      </c>
      <c r="K884" s="322" t="s">
        <v>113</v>
      </c>
      <c r="L884" s="358" t="s">
        <v>1407</v>
      </c>
      <c r="M884" s="335" t="s">
        <v>2115</v>
      </c>
      <c r="N884" s="358" t="s">
        <v>1407</v>
      </c>
      <c r="O884" s="326" t="s">
        <v>33</v>
      </c>
      <c r="P884" s="327"/>
      <c r="Q884" s="336"/>
      <c r="R884" s="364"/>
      <c r="S884" s="364"/>
      <c r="T884" s="13" t="str">
        <f t="shared" si="130"/>
        <v>23調査結果-避難施設等-5（2）-調査結果</v>
      </c>
      <c r="V884" s="202"/>
      <c r="W884" s="202"/>
      <c r="X884" s="202"/>
    </row>
    <row r="885" spans="2:24">
      <c r="B885" s="107">
        <f>'1_入力シート【基本情報】'!$AR$427</f>
        <v>0</v>
      </c>
      <c r="C885" s="4" t="str">
        <f t="shared" si="146"/>
        <v/>
      </c>
      <c r="D885" s="107">
        <f>'1_入力シート【基本情報】'!$AR$427</f>
        <v>0</v>
      </c>
      <c r="E885" s="564">
        <f>'1_入力シート【基本情報】'!$AR$427</f>
        <v>0</v>
      </c>
      <c r="F885" s="564" t="str">
        <f t="shared" si="140"/>
        <v>0</v>
      </c>
      <c r="G885" s="24"/>
      <c r="H885" s="565">
        <v>23</v>
      </c>
      <c r="I885" s="334" t="s">
        <v>33</v>
      </c>
      <c r="J885" s="357" t="s">
        <v>1407</v>
      </c>
      <c r="K885" s="322" t="s">
        <v>113</v>
      </c>
      <c r="L885" s="358" t="s">
        <v>1407</v>
      </c>
      <c r="M885" s="335" t="s">
        <v>2115</v>
      </c>
      <c r="N885" s="358" t="s">
        <v>1407</v>
      </c>
      <c r="O885" s="326" t="s">
        <v>30</v>
      </c>
      <c r="P885" s="332"/>
      <c r="Q885" s="363"/>
      <c r="R885" s="364"/>
      <c r="S885" s="364"/>
      <c r="T885" s="13" t="str">
        <f t="shared" si="130"/>
        <v>23調査結果-避難施設等-5（2）-調査者番号</v>
      </c>
      <c r="V885" s="202"/>
      <c r="W885" s="202"/>
      <c r="X885" s="202"/>
    </row>
    <row r="886" spans="2:24">
      <c r="B886" s="107">
        <f>'1_入力シート【基本情報】'!$AT$427</f>
        <v>0</v>
      </c>
      <c r="C886" s="4" t="str">
        <f t="shared" si="146"/>
        <v/>
      </c>
      <c r="D886" s="107">
        <f>'1_入力シート【基本情報】'!$AT$427</f>
        <v>0</v>
      </c>
      <c r="E886" s="564">
        <f>'1_入力シート【基本情報】'!$AT$427</f>
        <v>0</v>
      </c>
      <c r="F886" s="564" t="str">
        <f t="shared" si="140"/>
        <v>0</v>
      </c>
      <c r="G886" s="24"/>
      <c r="H886" s="565">
        <v>23</v>
      </c>
      <c r="I886" s="334" t="s">
        <v>33</v>
      </c>
      <c r="J886" s="357" t="s">
        <v>1407</v>
      </c>
      <c r="K886" s="322" t="s">
        <v>113</v>
      </c>
      <c r="L886" s="358" t="s">
        <v>1407</v>
      </c>
      <c r="M886" s="335" t="s">
        <v>2115</v>
      </c>
      <c r="N886" s="358" t="s">
        <v>1407</v>
      </c>
      <c r="O886" s="326" t="s">
        <v>2028</v>
      </c>
      <c r="P886" s="332"/>
      <c r="Q886" s="363"/>
      <c r="R886" s="364"/>
      <c r="S886" s="364"/>
      <c r="T886" s="13" t="str">
        <f t="shared" si="130"/>
        <v>23調査結果-避難施設等-5（2）-指摘の具体的内容等</v>
      </c>
      <c r="V886" s="202"/>
      <c r="W886" s="202"/>
      <c r="X886" s="202"/>
    </row>
    <row r="887" spans="2:24">
      <c r="B887" s="107">
        <f>'1_入力シート【基本情報】'!$BD$427</f>
        <v>0</v>
      </c>
      <c r="C887" s="4" t="str">
        <f t="shared" si="146"/>
        <v/>
      </c>
      <c r="D887" s="107">
        <f>'1_入力シート【基本情報】'!$BD$427</f>
        <v>0</v>
      </c>
      <c r="E887" s="564">
        <f>'1_入力シート【基本情報】'!$BD$427</f>
        <v>0</v>
      </c>
      <c r="F887" s="564" t="str">
        <f t="shared" si="140"/>
        <v>0</v>
      </c>
      <c r="G887" s="24"/>
      <c r="H887" s="565">
        <v>23</v>
      </c>
      <c r="I887" s="334" t="s">
        <v>33</v>
      </c>
      <c r="J887" s="357" t="s">
        <v>1407</v>
      </c>
      <c r="K887" s="322" t="s">
        <v>113</v>
      </c>
      <c r="L887" s="358" t="s">
        <v>1407</v>
      </c>
      <c r="M887" s="335" t="s">
        <v>2115</v>
      </c>
      <c r="N887" s="358" t="s">
        <v>1407</v>
      </c>
      <c r="O887" s="326" t="s">
        <v>2029</v>
      </c>
      <c r="P887" s="332"/>
      <c r="Q887" s="363"/>
      <c r="R887" s="203"/>
      <c r="S887" s="203"/>
      <c r="T887" s="13" t="str">
        <f t="shared" si="130"/>
        <v>23調査結果-避難施設等-5（2）-改善策の具体的内容等</v>
      </c>
      <c r="V887" s="202"/>
      <c r="W887" s="202"/>
      <c r="X887" s="202"/>
    </row>
    <row r="888" spans="2:24" ht="19">
      <c r="B888" s="107">
        <f>'1_入力シート【基本情報】'!$BS$427</f>
        <v>0</v>
      </c>
      <c r="C888" s="493" t="str">
        <f t="shared" ref="C888:E889" si="149">ASC($D888)</f>
        <v>0</v>
      </c>
      <c r="D888" s="107">
        <f>'1_入力シート【基本情報】'!$BS$427</f>
        <v>0</v>
      </c>
      <c r="E888" s="7" t="str">
        <f t="shared" si="149"/>
        <v>0</v>
      </c>
      <c r="F888" s="7" t="str">
        <f t="shared" si="140"/>
        <v>0</v>
      </c>
      <c r="G888" s="24"/>
      <c r="H888" s="565">
        <v>23</v>
      </c>
      <c r="I888" s="334" t="s">
        <v>33</v>
      </c>
      <c r="J888" s="357" t="s">
        <v>1407</v>
      </c>
      <c r="K888" s="322" t="s">
        <v>113</v>
      </c>
      <c r="L888" s="358" t="s">
        <v>1407</v>
      </c>
      <c r="M888" s="335" t="s">
        <v>2115</v>
      </c>
      <c r="N888" s="358" t="s">
        <v>1407</v>
      </c>
      <c r="O888" s="326" t="s">
        <v>387</v>
      </c>
      <c r="P888" s="332" t="s">
        <v>1879</v>
      </c>
      <c r="Q888" s="363" t="s">
        <v>1966</v>
      </c>
      <c r="R888" s="364"/>
      <c r="S888" s="364"/>
      <c r="T888" s="13" t="str">
        <f t="shared" si="130"/>
        <v>23調査結果-避難施設等-5（2）-改善（予定）年月-年（令和）</v>
      </c>
      <c r="V888" s="202"/>
      <c r="W888" s="202"/>
      <c r="X888" s="202"/>
    </row>
    <row r="889" spans="2:24" ht="19">
      <c r="B889" s="107">
        <f>'1_入力シート【基本情報】'!$BV$427</f>
        <v>0</v>
      </c>
      <c r="C889" s="493" t="str">
        <f t="shared" si="149"/>
        <v>0</v>
      </c>
      <c r="D889" s="107">
        <f>'1_入力シート【基本情報】'!$BV$427</f>
        <v>0</v>
      </c>
      <c r="E889" s="7" t="str">
        <f t="shared" si="149"/>
        <v>0</v>
      </c>
      <c r="F889" s="7" t="str">
        <f t="shared" si="140"/>
        <v>0</v>
      </c>
      <c r="G889" s="24"/>
      <c r="H889" s="565">
        <v>23</v>
      </c>
      <c r="I889" s="334" t="s">
        <v>33</v>
      </c>
      <c r="J889" s="357" t="s">
        <v>1407</v>
      </c>
      <c r="K889" s="322" t="s">
        <v>113</v>
      </c>
      <c r="L889" s="358" t="s">
        <v>1407</v>
      </c>
      <c r="M889" s="335" t="s">
        <v>2115</v>
      </c>
      <c r="N889" s="358" t="s">
        <v>1407</v>
      </c>
      <c r="O889" s="334" t="s">
        <v>387</v>
      </c>
      <c r="P889" s="332" t="s">
        <v>1879</v>
      </c>
      <c r="Q889" s="363" t="s">
        <v>383</v>
      </c>
      <c r="R889" s="364"/>
      <c r="S889" s="364"/>
      <c r="T889" s="13" t="str">
        <f t="shared" si="130"/>
        <v>23調査結果-避難施設等-5（2）-改善（予定）年月-月</v>
      </c>
      <c r="V889" s="202"/>
      <c r="W889" s="202"/>
      <c r="X889" s="202"/>
    </row>
    <row r="890" spans="2:24">
      <c r="B890" s="107">
        <f>'1_入力シート【基本情報】'!$BY$427</f>
        <v>0</v>
      </c>
      <c r="C890" s="4" t="str">
        <f t="shared" si="146"/>
        <v/>
      </c>
      <c r="D890" s="107">
        <f>'1_入力シート【基本情報】'!$BY$427</f>
        <v>0</v>
      </c>
      <c r="E890" s="564">
        <f>'1_入力シート【基本情報】'!$BY$427</f>
        <v>0</v>
      </c>
      <c r="F890" s="564" t="str">
        <f t="shared" si="140"/>
        <v>0</v>
      </c>
      <c r="G890" s="24"/>
      <c r="H890" s="565">
        <v>23</v>
      </c>
      <c r="I890" s="334" t="s">
        <v>33</v>
      </c>
      <c r="J890" s="357" t="s">
        <v>1407</v>
      </c>
      <c r="K890" s="322" t="s">
        <v>113</v>
      </c>
      <c r="L890" s="358" t="s">
        <v>1407</v>
      </c>
      <c r="M890" s="335" t="s">
        <v>2115</v>
      </c>
      <c r="N890" s="358" t="s">
        <v>1407</v>
      </c>
      <c r="O890" s="334" t="s">
        <v>387</v>
      </c>
      <c r="P890" s="332" t="s">
        <v>1879</v>
      </c>
      <c r="Q890" s="363" t="s">
        <v>675</v>
      </c>
      <c r="R890" s="364"/>
      <c r="S890" s="364"/>
      <c r="T890" s="13" t="str">
        <f t="shared" si="130"/>
        <v>23調査結果-避難施設等-5（2）-改善（予定）年月-未定</v>
      </c>
      <c r="V890" s="202"/>
      <c r="W890" s="202"/>
      <c r="X890" s="202"/>
    </row>
    <row r="891" spans="2:24">
      <c r="B891" s="107">
        <f>'1_入力シート【基本情報】'!$AF$428</f>
        <v>0</v>
      </c>
      <c r="C891" s="4" t="str">
        <f t="shared" si="146"/>
        <v/>
      </c>
      <c r="D891" s="107" t="str">
        <f>C891</f>
        <v/>
      </c>
      <c r="E891" s="564" t="str">
        <f>D891</f>
        <v/>
      </c>
      <c r="F891" s="564" t="str">
        <f t="shared" si="140"/>
        <v/>
      </c>
      <c r="G891" s="24"/>
      <c r="H891" s="565">
        <v>23</v>
      </c>
      <c r="I891" s="334" t="s">
        <v>33</v>
      </c>
      <c r="J891" s="357" t="s">
        <v>1407</v>
      </c>
      <c r="K891" s="322" t="s">
        <v>113</v>
      </c>
      <c r="L891" s="358" t="s">
        <v>1407</v>
      </c>
      <c r="M891" s="335" t="s">
        <v>2116</v>
      </c>
      <c r="N891" s="358" t="s">
        <v>1407</v>
      </c>
      <c r="O891" s="334" t="s">
        <v>33</v>
      </c>
      <c r="P891" s="332"/>
      <c r="Q891" s="363"/>
      <c r="R891" s="364"/>
      <c r="S891" s="364"/>
      <c r="T891" s="13" t="str">
        <f t="shared" si="130"/>
        <v>23調査結果-避難施設等-5（3）-調査結果</v>
      </c>
      <c r="V891" s="202"/>
      <c r="W891" s="202"/>
      <c r="X891" s="202"/>
    </row>
    <row r="892" spans="2:24">
      <c r="B892" s="107">
        <f>'1_入力シート【基本情報】'!$AR$428</f>
        <v>0</v>
      </c>
      <c r="C892" s="4" t="str">
        <f t="shared" si="146"/>
        <v/>
      </c>
      <c r="D892" s="107">
        <f>'1_入力シート【基本情報】'!$AR$428</f>
        <v>0</v>
      </c>
      <c r="E892" s="564">
        <f>'1_入力シート【基本情報】'!$AR$428</f>
        <v>0</v>
      </c>
      <c r="F892" s="564" t="str">
        <f t="shared" si="140"/>
        <v>0</v>
      </c>
      <c r="G892" s="24"/>
      <c r="H892" s="565">
        <v>23</v>
      </c>
      <c r="I892" s="334" t="s">
        <v>33</v>
      </c>
      <c r="J892" s="357" t="s">
        <v>1407</v>
      </c>
      <c r="K892" s="322" t="s">
        <v>113</v>
      </c>
      <c r="L892" s="358" t="s">
        <v>1407</v>
      </c>
      <c r="M892" s="335" t="s">
        <v>2116</v>
      </c>
      <c r="N892" s="358" t="s">
        <v>1407</v>
      </c>
      <c r="O892" s="326" t="s">
        <v>30</v>
      </c>
      <c r="P892" s="327"/>
      <c r="Q892" s="336"/>
      <c r="R892" s="364"/>
      <c r="S892" s="364"/>
      <c r="T892" s="13" t="str">
        <f t="shared" si="130"/>
        <v>23調査結果-避難施設等-5（3）-調査者番号</v>
      </c>
      <c r="V892" s="202"/>
      <c r="W892" s="202"/>
      <c r="X892" s="202"/>
    </row>
    <row r="893" spans="2:24">
      <c r="B893" s="107">
        <f>'1_入力シート【基本情報】'!$AT$428</f>
        <v>0</v>
      </c>
      <c r="C893" s="4" t="str">
        <f t="shared" si="146"/>
        <v/>
      </c>
      <c r="D893" s="107">
        <f>'1_入力シート【基本情報】'!$AT$428</f>
        <v>0</v>
      </c>
      <c r="E893" s="564">
        <f>'1_入力シート【基本情報】'!$AT$428</f>
        <v>0</v>
      </c>
      <c r="F893" s="564" t="str">
        <f t="shared" si="140"/>
        <v>0</v>
      </c>
      <c r="G893" s="24"/>
      <c r="H893" s="565">
        <v>23</v>
      </c>
      <c r="I893" s="334" t="s">
        <v>33</v>
      </c>
      <c r="J893" s="357" t="s">
        <v>1407</v>
      </c>
      <c r="K893" s="322" t="s">
        <v>113</v>
      </c>
      <c r="L893" s="358" t="s">
        <v>1407</v>
      </c>
      <c r="M893" s="335" t="s">
        <v>2116</v>
      </c>
      <c r="N893" s="358" t="s">
        <v>1407</v>
      </c>
      <c r="O893" s="326" t="s">
        <v>2028</v>
      </c>
      <c r="P893" s="332"/>
      <c r="Q893" s="363"/>
      <c r="R893" s="364"/>
      <c r="S893" s="364"/>
      <c r="T893" s="13" t="str">
        <f t="shared" si="130"/>
        <v>23調査結果-避難施設等-5（3）-指摘の具体的内容等</v>
      </c>
      <c r="V893" s="202"/>
      <c r="W893" s="202"/>
      <c r="X893" s="202"/>
    </row>
    <row r="894" spans="2:24">
      <c r="B894" s="107">
        <f>'1_入力シート【基本情報】'!$BD$428</f>
        <v>0</v>
      </c>
      <c r="C894" s="4" t="str">
        <f t="shared" si="146"/>
        <v/>
      </c>
      <c r="D894" s="107">
        <f>'1_入力シート【基本情報】'!$BD$428</f>
        <v>0</v>
      </c>
      <c r="E894" s="564">
        <f>'1_入力シート【基本情報】'!$BD$428</f>
        <v>0</v>
      </c>
      <c r="F894" s="564" t="str">
        <f t="shared" si="140"/>
        <v>0</v>
      </c>
      <c r="G894" s="24"/>
      <c r="H894" s="565">
        <v>23</v>
      </c>
      <c r="I894" s="334" t="s">
        <v>33</v>
      </c>
      <c r="J894" s="357" t="s">
        <v>1407</v>
      </c>
      <c r="K894" s="322" t="s">
        <v>113</v>
      </c>
      <c r="L894" s="358" t="s">
        <v>1407</v>
      </c>
      <c r="M894" s="335" t="s">
        <v>2116</v>
      </c>
      <c r="N894" s="358" t="s">
        <v>1407</v>
      </c>
      <c r="O894" s="326" t="s">
        <v>2029</v>
      </c>
      <c r="P894" s="332"/>
      <c r="Q894" s="363"/>
      <c r="R894" s="364"/>
      <c r="S894" s="364"/>
      <c r="T894" s="13" t="str">
        <f t="shared" si="130"/>
        <v>23調査結果-避難施設等-5（3）-改善策の具体的内容等</v>
      </c>
      <c r="V894" s="202"/>
      <c r="W894" s="202"/>
      <c r="X894" s="202"/>
    </row>
    <row r="895" spans="2:24" ht="19">
      <c r="B895" s="107">
        <f>'1_入力シート【基本情報】'!$BS$428</f>
        <v>0</v>
      </c>
      <c r="C895" s="493" t="str">
        <f t="shared" ref="C895:E896" si="150">ASC($D895)</f>
        <v>0</v>
      </c>
      <c r="D895" s="107">
        <f>'1_入力シート【基本情報】'!$BS$428</f>
        <v>0</v>
      </c>
      <c r="E895" s="7" t="str">
        <f t="shared" si="150"/>
        <v>0</v>
      </c>
      <c r="F895" s="7" t="str">
        <f t="shared" si="140"/>
        <v>0</v>
      </c>
      <c r="G895" s="24"/>
      <c r="H895" s="565">
        <v>23</v>
      </c>
      <c r="I895" s="334" t="s">
        <v>33</v>
      </c>
      <c r="J895" s="357" t="s">
        <v>1407</v>
      </c>
      <c r="K895" s="322" t="s">
        <v>113</v>
      </c>
      <c r="L895" s="358" t="s">
        <v>1407</v>
      </c>
      <c r="M895" s="335" t="s">
        <v>2116</v>
      </c>
      <c r="N895" s="358" t="s">
        <v>1407</v>
      </c>
      <c r="O895" s="326" t="s">
        <v>387</v>
      </c>
      <c r="P895" s="332" t="s">
        <v>1879</v>
      </c>
      <c r="Q895" s="363" t="s">
        <v>1966</v>
      </c>
      <c r="R895" s="203"/>
      <c r="S895" s="203"/>
      <c r="T895" s="13" t="str">
        <f t="shared" si="130"/>
        <v>23調査結果-避難施設等-5（3）-改善（予定）年月-年（令和）</v>
      </c>
      <c r="V895" s="202"/>
      <c r="W895" s="202"/>
      <c r="X895" s="202"/>
    </row>
    <row r="896" spans="2:24" ht="19">
      <c r="B896" s="107">
        <f>'1_入力シート【基本情報】'!$BV$428</f>
        <v>0</v>
      </c>
      <c r="C896" s="493" t="str">
        <f t="shared" si="150"/>
        <v>0</v>
      </c>
      <c r="D896" s="107">
        <f>'1_入力シート【基本情報】'!$BV$428</f>
        <v>0</v>
      </c>
      <c r="E896" s="7" t="str">
        <f t="shared" si="150"/>
        <v>0</v>
      </c>
      <c r="F896" s="7" t="str">
        <f t="shared" si="140"/>
        <v>0</v>
      </c>
      <c r="G896" s="24"/>
      <c r="H896" s="565">
        <v>23</v>
      </c>
      <c r="I896" s="334" t="s">
        <v>33</v>
      </c>
      <c r="J896" s="357" t="s">
        <v>1407</v>
      </c>
      <c r="K896" s="322" t="s">
        <v>113</v>
      </c>
      <c r="L896" s="358" t="s">
        <v>1407</v>
      </c>
      <c r="M896" s="335" t="s">
        <v>2116</v>
      </c>
      <c r="N896" s="358" t="s">
        <v>1407</v>
      </c>
      <c r="O896" s="326" t="s">
        <v>387</v>
      </c>
      <c r="P896" s="332" t="s">
        <v>1879</v>
      </c>
      <c r="Q896" s="363" t="s">
        <v>383</v>
      </c>
      <c r="R896" s="364"/>
      <c r="S896" s="364"/>
      <c r="T896" s="13" t="str">
        <f t="shared" si="130"/>
        <v>23調査結果-避難施設等-5（3）-改善（予定）年月-月</v>
      </c>
      <c r="V896" s="202"/>
      <c r="W896" s="202"/>
      <c r="X896" s="202"/>
    </row>
    <row r="897" spans="2:24">
      <c r="B897" s="107">
        <f>'1_入力シート【基本情報】'!$BY$428</f>
        <v>0</v>
      </c>
      <c r="C897" s="4" t="str">
        <f t="shared" si="146"/>
        <v/>
      </c>
      <c r="D897" s="107">
        <f>'1_入力シート【基本情報】'!$BY$428</f>
        <v>0</v>
      </c>
      <c r="E897" s="564">
        <f>'1_入力シート【基本情報】'!$BY$428</f>
        <v>0</v>
      </c>
      <c r="F897" s="564" t="str">
        <f t="shared" si="140"/>
        <v>0</v>
      </c>
      <c r="G897" s="24"/>
      <c r="H897" s="565">
        <v>23</v>
      </c>
      <c r="I897" s="334" t="s">
        <v>33</v>
      </c>
      <c r="J897" s="357" t="s">
        <v>1407</v>
      </c>
      <c r="K897" s="322" t="s">
        <v>113</v>
      </c>
      <c r="L897" s="358" t="s">
        <v>1407</v>
      </c>
      <c r="M897" s="335" t="s">
        <v>2116</v>
      </c>
      <c r="N897" s="358" t="s">
        <v>1407</v>
      </c>
      <c r="O897" s="334" t="s">
        <v>387</v>
      </c>
      <c r="P897" s="332" t="s">
        <v>1879</v>
      </c>
      <c r="Q897" s="363" t="s">
        <v>675</v>
      </c>
      <c r="R897" s="364"/>
      <c r="S897" s="364"/>
      <c r="T897" s="13" t="str">
        <f t="shared" si="130"/>
        <v>23調査結果-避難施設等-5（3）-改善（予定）年月-未定</v>
      </c>
      <c r="V897" s="202"/>
      <c r="W897" s="202"/>
      <c r="X897" s="202"/>
    </row>
    <row r="898" spans="2:24">
      <c r="B898" s="107">
        <f>'1_入力シート【基本情報】'!$AF$429</f>
        <v>0</v>
      </c>
      <c r="C898" s="4" t="str">
        <f t="shared" si="146"/>
        <v/>
      </c>
      <c r="D898" s="107" t="str">
        <f>C898</f>
        <v/>
      </c>
      <c r="E898" s="564" t="str">
        <f>D898</f>
        <v/>
      </c>
      <c r="F898" s="564" t="str">
        <f t="shared" si="140"/>
        <v/>
      </c>
      <c r="G898" s="24"/>
      <c r="H898" s="565">
        <v>23</v>
      </c>
      <c r="I898" s="334" t="s">
        <v>33</v>
      </c>
      <c r="J898" s="357" t="s">
        <v>1407</v>
      </c>
      <c r="K898" s="322" t="s">
        <v>113</v>
      </c>
      <c r="L898" s="358" t="s">
        <v>1407</v>
      </c>
      <c r="M898" s="335" t="s">
        <v>2117</v>
      </c>
      <c r="N898" s="358" t="s">
        <v>1407</v>
      </c>
      <c r="O898" s="334" t="s">
        <v>33</v>
      </c>
      <c r="P898" s="332"/>
      <c r="Q898" s="363"/>
      <c r="R898" s="364"/>
      <c r="S898" s="364"/>
      <c r="T898" s="13" t="str">
        <f t="shared" si="130"/>
        <v>23調査結果-避難施設等-5（4）-調査結果</v>
      </c>
      <c r="V898" s="202"/>
      <c r="W898" s="202"/>
      <c r="X898" s="202"/>
    </row>
    <row r="899" spans="2:24">
      <c r="B899" s="107">
        <f>'1_入力シート【基本情報】'!$AR$429</f>
        <v>0</v>
      </c>
      <c r="C899" s="4" t="str">
        <f t="shared" si="146"/>
        <v/>
      </c>
      <c r="D899" s="107">
        <f>'1_入力シート【基本情報】'!$AR$429</f>
        <v>0</v>
      </c>
      <c r="E899" s="564">
        <f>'1_入力シート【基本情報】'!$AR$429</f>
        <v>0</v>
      </c>
      <c r="F899" s="564" t="str">
        <f t="shared" si="140"/>
        <v>0</v>
      </c>
      <c r="G899" s="24"/>
      <c r="H899" s="565">
        <v>23</v>
      </c>
      <c r="I899" s="334" t="s">
        <v>33</v>
      </c>
      <c r="J899" s="357" t="s">
        <v>1407</v>
      </c>
      <c r="K899" s="322" t="s">
        <v>113</v>
      </c>
      <c r="L899" s="358" t="s">
        <v>1407</v>
      </c>
      <c r="M899" s="335" t="s">
        <v>2117</v>
      </c>
      <c r="N899" s="358" t="s">
        <v>1407</v>
      </c>
      <c r="O899" s="334" t="s">
        <v>30</v>
      </c>
      <c r="P899" s="332"/>
      <c r="Q899" s="363"/>
      <c r="R899" s="364"/>
      <c r="S899" s="364"/>
      <c r="T899" s="13" t="str">
        <f t="shared" si="130"/>
        <v>23調査結果-避難施設等-5（4）-調査者番号</v>
      </c>
      <c r="V899" s="202"/>
      <c r="W899" s="202"/>
      <c r="X899" s="202"/>
    </row>
    <row r="900" spans="2:24">
      <c r="B900" s="107">
        <f>'1_入力シート【基本情報】'!$AT$429</f>
        <v>0</v>
      </c>
      <c r="C900" s="4" t="str">
        <f t="shared" si="146"/>
        <v/>
      </c>
      <c r="D900" s="107">
        <f>'1_入力シート【基本情報】'!$AT$429</f>
        <v>0</v>
      </c>
      <c r="E900" s="564">
        <f>'1_入力シート【基本情報】'!$AT$429</f>
        <v>0</v>
      </c>
      <c r="F900" s="564" t="str">
        <f t="shared" si="140"/>
        <v>0</v>
      </c>
      <c r="G900" s="24"/>
      <c r="H900" s="565">
        <v>23</v>
      </c>
      <c r="I900" s="334" t="s">
        <v>33</v>
      </c>
      <c r="J900" s="357" t="s">
        <v>1407</v>
      </c>
      <c r="K900" s="322" t="s">
        <v>113</v>
      </c>
      <c r="L900" s="358" t="s">
        <v>1407</v>
      </c>
      <c r="M900" s="335" t="s">
        <v>2117</v>
      </c>
      <c r="N900" s="358" t="s">
        <v>1407</v>
      </c>
      <c r="O900" s="326" t="s">
        <v>2028</v>
      </c>
      <c r="P900" s="327"/>
      <c r="Q900" s="336"/>
      <c r="R900" s="364"/>
      <c r="S900" s="364"/>
      <c r="T900" s="13" t="str">
        <f t="shared" si="130"/>
        <v>23調査結果-避難施設等-5（4）-指摘の具体的内容等</v>
      </c>
      <c r="V900" s="202"/>
      <c r="W900" s="202"/>
      <c r="X900" s="202"/>
    </row>
    <row r="901" spans="2:24">
      <c r="B901" s="107">
        <f>'1_入力シート【基本情報】'!$BD$429</f>
        <v>0</v>
      </c>
      <c r="C901" s="4" t="str">
        <f t="shared" si="146"/>
        <v/>
      </c>
      <c r="D901" s="107">
        <f>'1_入力シート【基本情報】'!$BD$429</f>
        <v>0</v>
      </c>
      <c r="E901" s="564">
        <f>'1_入力シート【基本情報】'!$BD$429</f>
        <v>0</v>
      </c>
      <c r="F901" s="564" t="str">
        <f t="shared" ref="F901:F964" si="151">SUBSTITUTE(E901,CHAR(10),"")</f>
        <v>0</v>
      </c>
      <c r="G901" s="24"/>
      <c r="H901" s="565">
        <v>23</v>
      </c>
      <c r="I901" s="334" t="s">
        <v>33</v>
      </c>
      <c r="J901" s="357" t="s">
        <v>1407</v>
      </c>
      <c r="K901" s="322" t="s">
        <v>113</v>
      </c>
      <c r="L901" s="358" t="s">
        <v>1407</v>
      </c>
      <c r="M901" s="335" t="s">
        <v>2117</v>
      </c>
      <c r="N901" s="358" t="s">
        <v>1407</v>
      </c>
      <c r="O901" s="326" t="s">
        <v>2029</v>
      </c>
      <c r="P901" s="332"/>
      <c r="Q901" s="363"/>
      <c r="R901" s="364"/>
      <c r="S901" s="364"/>
      <c r="T901" s="13" t="str">
        <f t="shared" si="130"/>
        <v>23調査結果-避難施設等-5（4）-改善策の具体的内容等</v>
      </c>
      <c r="V901" s="202"/>
      <c r="W901" s="202"/>
      <c r="X901" s="202"/>
    </row>
    <row r="902" spans="2:24" ht="19">
      <c r="B902" s="107">
        <f>'1_入力シート【基本情報】'!$BS$429</f>
        <v>0</v>
      </c>
      <c r="C902" s="493" t="str">
        <f t="shared" ref="C902:E903" si="152">ASC($D902)</f>
        <v>0</v>
      </c>
      <c r="D902" s="107">
        <f>'1_入力シート【基本情報】'!$BS$429</f>
        <v>0</v>
      </c>
      <c r="E902" s="7" t="str">
        <f t="shared" si="152"/>
        <v>0</v>
      </c>
      <c r="F902" s="7" t="str">
        <f t="shared" si="151"/>
        <v>0</v>
      </c>
      <c r="G902" s="24"/>
      <c r="H902" s="565">
        <v>23</v>
      </c>
      <c r="I902" s="334" t="s">
        <v>33</v>
      </c>
      <c r="J902" s="357" t="s">
        <v>1407</v>
      </c>
      <c r="K902" s="322" t="s">
        <v>113</v>
      </c>
      <c r="L902" s="358" t="s">
        <v>1407</v>
      </c>
      <c r="M902" s="335" t="s">
        <v>2117</v>
      </c>
      <c r="N902" s="358" t="s">
        <v>1407</v>
      </c>
      <c r="O902" s="326" t="s">
        <v>387</v>
      </c>
      <c r="P902" s="332" t="s">
        <v>1879</v>
      </c>
      <c r="Q902" s="363" t="s">
        <v>1966</v>
      </c>
      <c r="R902" s="364"/>
      <c r="S902" s="364"/>
      <c r="T902" s="13" t="str">
        <f t="shared" si="130"/>
        <v>23調査結果-避難施設等-5（4）-改善（予定）年月-年（令和）</v>
      </c>
      <c r="V902" s="202"/>
      <c r="W902" s="202"/>
      <c r="X902" s="202"/>
    </row>
    <row r="903" spans="2:24" ht="19">
      <c r="B903" s="107">
        <f>'1_入力シート【基本情報】'!$BV$429</f>
        <v>0</v>
      </c>
      <c r="C903" s="493" t="str">
        <f t="shared" si="152"/>
        <v>0</v>
      </c>
      <c r="D903" s="107">
        <f>'1_入力シート【基本情報】'!$BV$429</f>
        <v>0</v>
      </c>
      <c r="E903" s="7" t="str">
        <f t="shared" si="152"/>
        <v>0</v>
      </c>
      <c r="F903" s="7" t="str">
        <f t="shared" si="151"/>
        <v>0</v>
      </c>
      <c r="G903" s="24"/>
      <c r="H903" s="565">
        <v>23</v>
      </c>
      <c r="I903" s="334" t="s">
        <v>33</v>
      </c>
      <c r="J903" s="357" t="s">
        <v>1407</v>
      </c>
      <c r="K903" s="322" t="s">
        <v>113</v>
      </c>
      <c r="L903" s="358" t="s">
        <v>1407</v>
      </c>
      <c r="M903" s="335" t="s">
        <v>2117</v>
      </c>
      <c r="N903" s="358" t="s">
        <v>1407</v>
      </c>
      <c r="O903" s="326" t="s">
        <v>387</v>
      </c>
      <c r="P903" s="332" t="s">
        <v>1879</v>
      </c>
      <c r="Q903" s="363" t="s">
        <v>383</v>
      </c>
      <c r="R903" s="203"/>
      <c r="S903" s="203"/>
      <c r="T903" s="13" t="str">
        <f t="shared" si="130"/>
        <v>23調査結果-避難施設等-5（4）-改善（予定）年月-月</v>
      </c>
      <c r="V903" s="202"/>
      <c r="W903" s="202"/>
      <c r="X903" s="202"/>
    </row>
    <row r="904" spans="2:24">
      <c r="B904" s="107">
        <f>'1_入力シート【基本情報】'!$BY$429</f>
        <v>0</v>
      </c>
      <c r="C904" s="4" t="str">
        <f t="shared" si="146"/>
        <v/>
      </c>
      <c r="D904" s="107">
        <f>'1_入力シート【基本情報】'!$BY$429</f>
        <v>0</v>
      </c>
      <c r="E904" s="564">
        <f>'1_入力シート【基本情報】'!$BY$429</f>
        <v>0</v>
      </c>
      <c r="F904" s="564" t="str">
        <f t="shared" si="151"/>
        <v>0</v>
      </c>
      <c r="G904" s="24"/>
      <c r="H904" s="565">
        <v>23</v>
      </c>
      <c r="I904" s="334" t="s">
        <v>33</v>
      </c>
      <c r="J904" s="357" t="s">
        <v>1407</v>
      </c>
      <c r="K904" s="322" t="s">
        <v>113</v>
      </c>
      <c r="L904" s="358" t="s">
        <v>1407</v>
      </c>
      <c r="M904" s="335" t="s">
        <v>2117</v>
      </c>
      <c r="N904" s="358" t="s">
        <v>1407</v>
      </c>
      <c r="O904" s="326" t="s">
        <v>387</v>
      </c>
      <c r="P904" s="332" t="s">
        <v>1879</v>
      </c>
      <c r="Q904" s="363" t="s">
        <v>675</v>
      </c>
      <c r="R904" s="364"/>
      <c r="S904" s="364"/>
      <c r="T904" s="13" t="str">
        <f t="shared" si="130"/>
        <v>23調査結果-避難施設等-5（4）-改善（予定）年月-未定</v>
      </c>
      <c r="V904" s="202"/>
      <c r="W904" s="202"/>
      <c r="X904" s="202"/>
    </row>
    <row r="905" spans="2:24">
      <c r="B905" s="107">
        <f>'1_入力シート【基本情報】'!$AF$430</f>
        <v>0</v>
      </c>
      <c r="C905" s="4" t="str">
        <f t="shared" si="146"/>
        <v/>
      </c>
      <c r="D905" s="107" t="str">
        <f>C905</f>
        <v/>
      </c>
      <c r="E905" s="564" t="str">
        <f>D905</f>
        <v/>
      </c>
      <c r="F905" s="564" t="str">
        <f t="shared" si="151"/>
        <v/>
      </c>
      <c r="G905" s="24"/>
      <c r="H905" s="565">
        <v>23</v>
      </c>
      <c r="I905" s="334" t="s">
        <v>33</v>
      </c>
      <c r="J905" s="357" t="s">
        <v>1407</v>
      </c>
      <c r="K905" s="322" t="s">
        <v>113</v>
      </c>
      <c r="L905" s="358" t="s">
        <v>1407</v>
      </c>
      <c r="M905" s="335" t="s">
        <v>2118</v>
      </c>
      <c r="N905" s="358" t="s">
        <v>1407</v>
      </c>
      <c r="O905" s="334" t="s">
        <v>33</v>
      </c>
      <c r="P905" s="332"/>
      <c r="Q905" s="363"/>
      <c r="R905" s="364"/>
      <c r="S905" s="364"/>
      <c r="T905" s="13" t="str">
        <f t="shared" si="130"/>
        <v>23調査結果-避難施設等-5（5）-調査結果</v>
      </c>
      <c r="V905" s="202"/>
      <c r="W905" s="202"/>
      <c r="X905" s="202"/>
    </row>
    <row r="906" spans="2:24">
      <c r="B906" s="107">
        <f>'1_入力シート【基本情報】'!$AR$430</f>
        <v>0</v>
      </c>
      <c r="C906" s="4" t="str">
        <f t="shared" si="146"/>
        <v/>
      </c>
      <c r="D906" s="107">
        <f>'1_入力シート【基本情報】'!$AR$430</f>
        <v>0</v>
      </c>
      <c r="E906" s="564">
        <f>'1_入力シート【基本情報】'!$AR$430</f>
        <v>0</v>
      </c>
      <c r="F906" s="564" t="str">
        <f t="shared" si="151"/>
        <v>0</v>
      </c>
      <c r="G906" s="24"/>
      <c r="H906" s="565">
        <v>23</v>
      </c>
      <c r="I906" s="334" t="s">
        <v>33</v>
      </c>
      <c r="J906" s="357" t="s">
        <v>1407</v>
      </c>
      <c r="K906" s="322" t="s">
        <v>113</v>
      </c>
      <c r="L906" s="358" t="s">
        <v>1407</v>
      </c>
      <c r="M906" s="335" t="s">
        <v>2118</v>
      </c>
      <c r="N906" s="358" t="s">
        <v>1407</v>
      </c>
      <c r="O906" s="334" t="s">
        <v>30</v>
      </c>
      <c r="P906" s="332"/>
      <c r="Q906" s="363"/>
      <c r="R906" s="364"/>
      <c r="S906" s="364"/>
      <c r="T906" s="13" t="str">
        <f t="shared" si="130"/>
        <v>23調査結果-避難施設等-5（5）-調査者番号</v>
      </c>
      <c r="V906" s="202"/>
      <c r="W906" s="202"/>
      <c r="X906" s="202"/>
    </row>
    <row r="907" spans="2:24">
      <c r="B907" s="107">
        <f>'1_入力シート【基本情報】'!$AT$430</f>
        <v>0</v>
      </c>
      <c r="C907" s="4" t="str">
        <f t="shared" si="146"/>
        <v/>
      </c>
      <c r="D907" s="107">
        <f>'1_入力シート【基本情報】'!$AT$430</f>
        <v>0</v>
      </c>
      <c r="E907" s="564">
        <f>'1_入力シート【基本情報】'!$AT$430</f>
        <v>0</v>
      </c>
      <c r="F907" s="564" t="str">
        <f t="shared" si="151"/>
        <v>0</v>
      </c>
      <c r="G907" s="24"/>
      <c r="H907" s="565">
        <v>23</v>
      </c>
      <c r="I907" s="334" t="s">
        <v>33</v>
      </c>
      <c r="J907" s="357" t="s">
        <v>1407</v>
      </c>
      <c r="K907" s="322" t="s">
        <v>113</v>
      </c>
      <c r="L907" s="358" t="s">
        <v>1407</v>
      </c>
      <c r="M907" s="335" t="s">
        <v>2118</v>
      </c>
      <c r="N907" s="358" t="s">
        <v>1407</v>
      </c>
      <c r="O907" s="334" t="s">
        <v>2028</v>
      </c>
      <c r="P907" s="332"/>
      <c r="Q907" s="363"/>
      <c r="R907" s="364"/>
      <c r="S907" s="364"/>
      <c r="T907" s="13" t="str">
        <f t="shared" si="130"/>
        <v>23調査結果-避難施設等-5（5）-指摘の具体的内容等</v>
      </c>
      <c r="V907" s="202"/>
      <c r="W907" s="202"/>
      <c r="X907" s="202"/>
    </row>
    <row r="908" spans="2:24">
      <c r="B908" s="107">
        <f>'1_入力シート【基本情報】'!$BD$430</f>
        <v>0</v>
      </c>
      <c r="C908" s="4" t="str">
        <f t="shared" si="146"/>
        <v/>
      </c>
      <c r="D908" s="107">
        <f>'1_入力シート【基本情報】'!$BD$430</f>
        <v>0</v>
      </c>
      <c r="E908" s="564">
        <f>'1_入力シート【基本情報】'!$BD$430</f>
        <v>0</v>
      </c>
      <c r="F908" s="564" t="str">
        <f t="shared" si="151"/>
        <v>0</v>
      </c>
      <c r="G908" s="24"/>
      <c r="H908" s="565">
        <v>23</v>
      </c>
      <c r="I908" s="334" t="s">
        <v>33</v>
      </c>
      <c r="J908" s="357" t="s">
        <v>1407</v>
      </c>
      <c r="K908" s="322" t="s">
        <v>113</v>
      </c>
      <c r="L908" s="358" t="s">
        <v>1407</v>
      </c>
      <c r="M908" s="335" t="s">
        <v>2118</v>
      </c>
      <c r="N908" s="358" t="s">
        <v>1407</v>
      </c>
      <c r="O908" s="326" t="s">
        <v>2029</v>
      </c>
      <c r="P908" s="327"/>
      <c r="Q908" s="336"/>
      <c r="R908" s="364"/>
      <c r="S908" s="364"/>
      <c r="T908" s="13" t="str">
        <f t="shared" si="130"/>
        <v>23調査結果-避難施設等-5（5）-改善策の具体的内容等</v>
      </c>
      <c r="V908" s="202"/>
      <c r="W908" s="202"/>
      <c r="X908" s="202"/>
    </row>
    <row r="909" spans="2:24" ht="19">
      <c r="B909" s="107">
        <f>'1_入力シート【基本情報】'!$BS$430</f>
        <v>0</v>
      </c>
      <c r="C909" s="493" t="str">
        <f t="shared" ref="C909:E910" si="153">ASC($D909)</f>
        <v>0</v>
      </c>
      <c r="D909" s="107">
        <f>'1_入力シート【基本情報】'!$BS$430</f>
        <v>0</v>
      </c>
      <c r="E909" s="7" t="str">
        <f t="shared" si="153"/>
        <v>0</v>
      </c>
      <c r="F909" s="7" t="str">
        <f t="shared" si="151"/>
        <v>0</v>
      </c>
      <c r="G909" s="24"/>
      <c r="H909" s="565">
        <v>23</v>
      </c>
      <c r="I909" s="334" t="s">
        <v>33</v>
      </c>
      <c r="J909" s="357" t="s">
        <v>1407</v>
      </c>
      <c r="K909" s="322" t="s">
        <v>113</v>
      </c>
      <c r="L909" s="358" t="s">
        <v>1407</v>
      </c>
      <c r="M909" s="335" t="s">
        <v>2118</v>
      </c>
      <c r="N909" s="358" t="s">
        <v>1407</v>
      </c>
      <c r="O909" s="326" t="s">
        <v>387</v>
      </c>
      <c r="P909" s="332" t="s">
        <v>1879</v>
      </c>
      <c r="Q909" s="363" t="s">
        <v>1966</v>
      </c>
      <c r="R909" s="364"/>
      <c r="S909" s="364"/>
      <c r="T909" s="13" t="str">
        <f t="shared" si="130"/>
        <v>23調査結果-避難施設等-5（5）-改善（予定）年月-年（令和）</v>
      </c>
      <c r="V909" s="202"/>
      <c r="W909" s="202"/>
      <c r="X909" s="202"/>
    </row>
    <row r="910" spans="2:24" ht="19">
      <c r="B910" s="107">
        <f>'1_入力シート【基本情報】'!$BV$430</f>
        <v>0</v>
      </c>
      <c r="C910" s="493" t="str">
        <f t="shared" si="153"/>
        <v>0</v>
      </c>
      <c r="D910" s="107">
        <f>'1_入力シート【基本情報】'!$BV$430</f>
        <v>0</v>
      </c>
      <c r="E910" s="7" t="str">
        <f t="shared" si="153"/>
        <v>0</v>
      </c>
      <c r="F910" s="7" t="str">
        <f t="shared" si="151"/>
        <v>0</v>
      </c>
      <c r="G910" s="24"/>
      <c r="H910" s="565">
        <v>23</v>
      </c>
      <c r="I910" s="334" t="s">
        <v>33</v>
      </c>
      <c r="J910" s="357" t="s">
        <v>1407</v>
      </c>
      <c r="K910" s="322" t="s">
        <v>113</v>
      </c>
      <c r="L910" s="358" t="s">
        <v>1407</v>
      </c>
      <c r="M910" s="335" t="s">
        <v>2118</v>
      </c>
      <c r="N910" s="358" t="s">
        <v>1407</v>
      </c>
      <c r="O910" s="326" t="s">
        <v>387</v>
      </c>
      <c r="P910" s="332" t="s">
        <v>1879</v>
      </c>
      <c r="Q910" s="363" t="s">
        <v>383</v>
      </c>
      <c r="R910" s="364"/>
      <c r="S910" s="364"/>
      <c r="T910" s="13" t="str">
        <f t="shared" si="130"/>
        <v>23調査結果-避難施設等-5（5）-改善（予定）年月-月</v>
      </c>
      <c r="V910" s="202"/>
      <c r="W910" s="202"/>
      <c r="X910" s="202"/>
    </row>
    <row r="911" spans="2:24">
      <c r="B911" s="107">
        <f>'1_入力シート【基本情報】'!$BY$430</f>
        <v>0</v>
      </c>
      <c r="C911" s="4" t="str">
        <f t="shared" si="146"/>
        <v/>
      </c>
      <c r="D911" s="107">
        <f>'1_入力シート【基本情報】'!$BY$430</f>
        <v>0</v>
      </c>
      <c r="E911" s="564">
        <f>'1_入力シート【基本情報】'!$BY$430</f>
        <v>0</v>
      </c>
      <c r="F911" s="564" t="str">
        <f t="shared" si="151"/>
        <v>0</v>
      </c>
      <c r="G911" s="24"/>
      <c r="H911" s="565">
        <v>23</v>
      </c>
      <c r="I911" s="334" t="s">
        <v>33</v>
      </c>
      <c r="J911" s="357" t="s">
        <v>1407</v>
      </c>
      <c r="K911" s="322" t="s">
        <v>113</v>
      </c>
      <c r="L911" s="358" t="s">
        <v>1407</v>
      </c>
      <c r="M911" s="335" t="s">
        <v>2118</v>
      </c>
      <c r="N911" s="358" t="s">
        <v>1407</v>
      </c>
      <c r="O911" s="326" t="s">
        <v>387</v>
      </c>
      <c r="P911" s="332" t="s">
        <v>1879</v>
      </c>
      <c r="Q911" s="363" t="s">
        <v>675</v>
      </c>
      <c r="R911" s="203"/>
      <c r="S911" s="203"/>
      <c r="T911" s="13" t="str">
        <f t="shared" si="130"/>
        <v>23調査結果-避難施設等-5（5）-改善（予定）年月-未定</v>
      </c>
      <c r="V911" s="202"/>
      <c r="W911" s="202"/>
      <c r="X911" s="202"/>
    </row>
    <row r="912" spans="2:24">
      <c r="B912" s="107">
        <f>'1_入力シート【基本情報】'!$AF$431</f>
        <v>0</v>
      </c>
      <c r="C912" s="4" t="str">
        <f t="shared" si="146"/>
        <v/>
      </c>
      <c r="D912" s="107" t="str">
        <f>C912</f>
        <v/>
      </c>
      <c r="E912" s="564" t="str">
        <f>D912</f>
        <v/>
      </c>
      <c r="F912" s="564" t="str">
        <f t="shared" si="151"/>
        <v/>
      </c>
      <c r="G912" s="24"/>
      <c r="H912" s="565">
        <v>23</v>
      </c>
      <c r="I912" s="334" t="s">
        <v>33</v>
      </c>
      <c r="J912" s="357" t="s">
        <v>1407</v>
      </c>
      <c r="K912" s="322" t="s">
        <v>113</v>
      </c>
      <c r="L912" s="358" t="s">
        <v>1407</v>
      </c>
      <c r="M912" s="335" t="s">
        <v>2119</v>
      </c>
      <c r="N912" s="358" t="s">
        <v>1407</v>
      </c>
      <c r="O912" s="326" t="s">
        <v>33</v>
      </c>
      <c r="P912" s="332"/>
      <c r="Q912" s="363"/>
      <c r="R912" s="364"/>
      <c r="S912" s="364"/>
      <c r="T912" s="13" t="str">
        <f t="shared" si="130"/>
        <v>23調査結果-避難施設等-5（6）-調査結果</v>
      </c>
      <c r="V912" s="202"/>
      <c r="W912" s="202"/>
      <c r="X912" s="202"/>
    </row>
    <row r="913" spans="2:24">
      <c r="B913" s="107">
        <f>'1_入力シート【基本情報】'!$AR$431</f>
        <v>0</v>
      </c>
      <c r="C913" s="4" t="str">
        <f t="shared" si="146"/>
        <v/>
      </c>
      <c r="D913" s="107">
        <f>'1_入力シート【基本情報】'!$AR$431</f>
        <v>0</v>
      </c>
      <c r="E913" s="564">
        <f>'1_入力シート【基本情報】'!$AR$431</f>
        <v>0</v>
      </c>
      <c r="F913" s="564" t="str">
        <f t="shared" si="151"/>
        <v>0</v>
      </c>
      <c r="G913" s="24"/>
      <c r="H913" s="565">
        <v>23</v>
      </c>
      <c r="I913" s="334" t="s">
        <v>33</v>
      </c>
      <c r="J913" s="357" t="s">
        <v>1407</v>
      </c>
      <c r="K913" s="322" t="s">
        <v>113</v>
      </c>
      <c r="L913" s="358" t="s">
        <v>1407</v>
      </c>
      <c r="M913" s="335" t="s">
        <v>2119</v>
      </c>
      <c r="N913" s="358" t="s">
        <v>1407</v>
      </c>
      <c r="O913" s="334" t="s">
        <v>30</v>
      </c>
      <c r="P913" s="332"/>
      <c r="Q913" s="363"/>
      <c r="R913" s="364"/>
      <c r="S913" s="364"/>
      <c r="T913" s="13" t="str">
        <f t="shared" si="130"/>
        <v>23調査結果-避難施設等-5（6）-調査者番号</v>
      </c>
      <c r="V913" s="202"/>
      <c r="W913" s="202"/>
      <c r="X913" s="202"/>
    </row>
    <row r="914" spans="2:24">
      <c r="B914" s="107">
        <f>'1_入力シート【基本情報】'!$AT$431</f>
        <v>0</v>
      </c>
      <c r="C914" s="4" t="str">
        <f t="shared" si="146"/>
        <v/>
      </c>
      <c r="D914" s="107">
        <f>'1_入力シート【基本情報】'!$AT$431</f>
        <v>0</v>
      </c>
      <c r="E914" s="564">
        <f>'1_入力シート【基本情報】'!$AT$431</f>
        <v>0</v>
      </c>
      <c r="F914" s="564" t="str">
        <f t="shared" si="151"/>
        <v>0</v>
      </c>
      <c r="G914" s="24"/>
      <c r="H914" s="565">
        <v>23</v>
      </c>
      <c r="I914" s="334" t="s">
        <v>33</v>
      </c>
      <c r="J914" s="357" t="s">
        <v>1407</v>
      </c>
      <c r="K914" s="322" t="s">
        <v>113</v>
      </c>
      <c r="L914" s="358" t="s">
        <v>1407</v>
      </c>
      <c r="M914" s="335" t="s">
        <v>2119</v>
      </c>
      <c r="N914" s="358" t="s">
        <v>1407</v>
      </c>
      <c r="O914" s="334" t="s">
        <v>2028</v>
      </c>
      <c r="P914" s="332"/>
      <c r="Q914" s="363"/>
      <c r="R914" s="364"/>
      <c r="S914" s="364"/>
      <c r="T914" s="13" t="str">
        <f t="shared" si="130"/>
        <v>23調査結果-避難施設等-5（6）-指摘の具体的内容等</v>
      </c>
      <c r="V914" s="202"/>
      <c r="W914" s="202"/>
      <c r="X914" s="202"/>
    </row>
    <row r="915" spans="2:24">
      <c r="B915" s="107">
        <f>'1_入力シート【基本情報】'!$BD$431</f>
        <v>0</v>
      </c>
      <c r="C915" s="4" t="str">
        <f t="shared" si="146"/>
        <v/>
      </c>
      <c r="D915" s="107">
        <f>'1_入力シート【基本情報】'!$BD$431</f>
        <v>0</v>
      </c>
      <c r="E915" s="564">
        <f>'1_入力シート【基本情報】'!$BD$431</f>
        <v>0</v>
      </c>
      <c r="F915" s="564" t="str">
        <f t="shared" si="151"/>
        <v>0</v>
      </c>
      <c r="G915" s="24"/>
      <c r="H915" s="565">
        <v>23</v>
      </c>
      <c r="I915" s="334" t="s">
        <v>33</v>
      </c>
      <c r="J915" s="357" t="s">
        <v>1407</v>
      </c>
      <c r="K915" s="322" t="s">
        <v>113</v>
      </c>
      <c r="L915" s="358" t="s">
        <v>1407</v>
      </c>
      <c r="M915" s="335" t="s">
        <v>2119</v>
      </c>
      <c r="N915" s="358" t="s">
        <v>1407</v>
      </c>
      <c r="O915" s="334" t="s">
        <v>2029</v>
      </c>
      <c r="P915" s="332"/>
      <c r="Q915" s="363"/>
      <c r="R915" s="364"/>
      <c r="S915" s="364"/>
      <c r="T915" s="13" t="str">
        <f t="shared" si="130"/>
        <v>23調査結果-避難施設等-5（6）-改善策の具体的内容等</v>
      </c>
      <c r="V915" s="202"/>
      <c r="W915" s="202"/>
      <c r="X915" s="202"/>
    </row>
    <row r="916" spans="2:24" ht="19">
      <c r="B916" s="107">
        <f>'1_入力シート【基本情報】'!$BS$431</f>
        <v>0</v>
      </c>
      <c r="C916" s="493" t="str">
        <f t="shared" ref="C916:E917" si="154">ASC($D916)</f>
        <v>0</v>
      </c>
      <c r="D916" s="107">
        <f>'1_入力シート【基本情報】'!$BS$431</f>
        <v>0</v>
      </c>
      <c r="E916" s="7" t="str">
        <f t="shared" si="154"/>
        <v>0</v>
      </c>
      <c r="F916" s="7" t="str">
        <f t="shared" si="151"/>
        <v>0</v>
      </c>
      <c r="G916" s="24"/>
      <c r="H916" s="565">
        <v>23</v>
      </c>
      <c r="I916" s="334" t="s">
        <v>33</v>
      </c>
      <c r="J916" s="357" t="s">
        <v>1407</v>
      </c>
      <c r="K916" s="322" t="s">
        <v>113</v>
      </c>
      <c r="L916" s="358" t="s">
        <v>1407</v>
      </c>
      <c r="M916" s="335" t="s">
        <v>2119</v>
      </c>
      <c r="N916" s="358" t="s">
        <v>1407</v>
      </c>
      <c r="O916" s="326" t="s">
        <v>387</v>
      </c>
      <c r="P916" s="327" t="s">
        <v>1879</v>
      </c>
      <c r="Q916" s="336" t="s">
        <v>1966</v>
      </c>
      <c r="R916" s="364"/>
      <c r="S916" s="364"/>
      <c r="T916" s="13" t="str">
        <f t="shared" si="130"/>
        <v>23調査結果-避難施設等-5（6）-改善（予定）年月-年（令和）</v>
      </c>
      <c r="V916" s="202"/>
      <c r="W916" s="202"/>
      <c r="X916" s="202"/>
    </row>
    <row r="917" spans="2:24" ht="19">
      <c r="B917" s="107">
        <f>'1_入力シート【基本情報】'!$BV$431</f>
        <v>0</v>
      </c>
      <c r="C917" s="493" t="str">
        <f t="shared" si="154"/>
        <v>0</v>
      </c>
      <c r="D917" s="107">
        <f>'1_入力シート【基本情報】'!$BV$431</f>
        <v>0</v>
      </c>
      <c r="E917" s="7" t="str">
        <f t="shared" si="154"/>
        <v>0</v>
      </c>
      <c r="F917" s="7" t="str">
        <f t="shared" si="151"/>
        <v>0</v>
      </c>
      <c r="G917" s="24"/>
      <c r="H917" s="565">
        <v>23</v>
      </c>
      <c r="I917" s="334" t="s">
        <v>33</v>
      </c>
      <c r="J917" s="357" t="s">
        <v>1407</v>
      </c>
      <c r="K917" s="322" t="s">
        <v>113</v>
      </c>
      <c r="L917" s="358" t="s">
        <v>1407</v>
      </c>
      <c r="M917" s="335" t="s">
        <v>2119</v>
      </c>
      <c r="N917" s="358" t="s">
        <v>1407</v>
      </c>
      <c r="O917" s="326" t="s">
        <v>387</v>
      </c>
      <c r="P917" s="332" t="s">
        <v>1879</v>
      </c>
      <c r="Q917" s="363" t="s">
        <v>383</v>
      </c>
      <c r="R917" s="364"/>
      <c r="S917" s="364"/>
      <c r="T917" s="13" t="str">
        <f t="shared" si="130"/>
        <v>23調査結果-避難施設等-5（6）-改善（予定）年月-月</v>
      </c>
      <c r="V917" s="202"/>
      <c r="W917" s="202"/>
      <c r="X917" s="202"/>
    </row>
    <row r="918" spans="2:24">
      <c r="B918" s="107">
        <f>'1_入力シート【基本情報】'!$BY$431</f>
        <v>0</v>
      </c>
      <c r="C918" s="4" t="str">
        <f t="shared" si="146"/>
        <v/>
      </c>
      <c r="D918" s="107">
        <f>'1_入力シート【基本情報】'!$BY$431</f>
        <v>0</v>
      </c>
      <c r="E918" s="564">
        <f>'1_入力シート【基本情報】'!$BY$431</f>
        <v>0</v>
      </c>
      <c r="F918" s="564" t="str">
        <f t="shared" si="151"/>
        <v>0</v>
      </c>
      <c r="G918" s="24"/>
      <c r="H918" s="565">
        <v>23</v>
      </c>
      <c r="I918" s="334" t="s">
        <v>33</v>
      </c>
      <c r="J918" s="357" t="s">
        <v>1407</v>
      </c>
      <c r="K918" s="322" t="s">
        <v>113</v>
      </c>
      <c r="L918" s="358" t="s">
        <v>1407</v>
      </c>
      <c r="M918" s="335" t="s">
        <v>2119</v>
      </c>
      <c r="N918" s="358" t="s">
        <v>1407</v>
      </c>
      <c r="O918" s="326" t="s">
        <v>387</v>
      </c>
      <c r="P918" s="332" t="s">
        <v>1879</v>
      </c>
      <c r="Q918" s="363" t="s">
        <v>675</v>
      </c>
      <c r="R918" s="364"/>
      <c r="S918" s="364"/>
      <c r="T918" s="13" t="str">
        <f t="shared" si="130"/>
        <v>23調査結果-避難施設等-5（6）-改善（予定）年月-未定</v>
      </c>
      <c r="V918" s="202"/>
      <c r="W918" s="202"/>
      <c r="X918" s="202"/>
    </row>
    <row r="919" spans="2:24">
      <c r="B919" s="107">
        <f>'1_入力シート【基本情報】'!$AF$432</f>
        <v>0</v>
      </c>
      <c r="C919" s="4" t="str">
        <f t="shared" si="146"/>
        <v/>
      </c>
      <c r="D919" s="107" t="str">
        <f>C919</f>
        <v/>
      </c>
      <c r="E919" s="564" t="str">
        <f>D919</f>
        <v/>
      </c>
      <c r="F919" s="564" t="str">
        <f t="shared" si="151"/>
        <v/>
      </c>
      <c r="G919" s="24"/>
      <c r="H919" s="565">
        <v>23</v>
      </c>
      <c r="I919" s="334" t="s">
        <v>33</v>
      </c>
      <c r="J919" s="357" t="s">
        <v>1407</v>
      </c>
      <c r="K919" s="322" t="s">
        <v>113</v>
      </c>
      <c r="L919" s="358" t="s">
        <v>1407</v>
      </c>
      <c r="M919" s="335" t="s">
        <v>2120</v>
      </c>
      <c r="N919" s="358" t="s">
        <v>1407</v>
      </c>
      <c r="O919" s="326" t="s">
        <v>33</v>
      </c>
      <c r="P919" s="332"/>
      <c r="Q919" s="363"/>
      <c r="R919" s="203"/>
      <c r="S919" s="203"/>
      <c r="T919" s="13" t="str">
        <f t="shared" si="130"/>
        <v>23調査結果-避難施設等-5（7）-調査結果</v>
      </c>
      <c r="V919" s="202"/>
      <c r="W919" s="202"/>
      <c r="X919" s="202"/>
    </row>
    <row r="920" spans="2:24">
      <c r="B920" s="107">
        <f>'1_入力シート【基本情報】'!$AR$432</f>
        <v>0</v>
      </c>
      <c r="C920" s="4" t="str">
        <f t="shared" si="146"/>
        <v/>
      </c>
      <c r="D920" s="107">
        <f>'1_入力シート【基本情報】'!$AR$432</f>
        <v>0</v>
      </c>
      <c r="E920" s="564">
        <f>'1_入力シート【基本情報】'!$AR$432</f>
        <v>0</v>
      </c>
      <c r="F920" s="564" t="str">
        <f t="shared" si="151"/>
        <v>0</v>
      </c>
      <c r="G920" s="24"/>
      <c r="H920" s="565">
        <v>23</v>
      </c>
      <c r="I920" s="334" t="s">
        <v>33</v>
      </c>
      <c r="J920" s="357" t="s">
        <v>1407</v>
      </c>
      <c r="K920" s="322" t="s">
        <v>113</v>
      </c>
      <c r="L920" s="358" t="s">
        <v>1407</v>
      </c>
      <c r="M920" s="335" t="s">
        <v>2120</v>
      </c>
      <c r="N920" s="358" t="s">
        <v>1407</v>
      </c>
      <c r="O920" s="326" t="s">
        <v>30</v>
      </c>
      <c r="P920" s="332"/>
      <c r="Q920" s="363"/>
      <c r="R920" s="364"/>
      <c r="S920" s="364"/>
      <c r="T920" s="13" t="str">
        <f t="shared" si="130"/>
        <v>23調査結果-避難施設等-5（7）-調査者番号</v>
      </c>
      <c r="V920" s="202"/>
      <c r="W920" s="202"/>
      <c r="X920" s="202"/>
    </row>
    <row r="921" spans="2:24">
      <c r="B921" s="107">
        <f>'1_入力シート【基本情報】'!$AT$432</f>
        <v>0</v>
      </c>
      <c r="C921" s="4" t="str">
        <f t="shared" si="146"/>
        <v/>
      </c>
      <c r="D921" s="107">
        <f>'1_入力シート【基本情報】'!$AT$432</f>
        <v>0</v>
      </c>
      <c r="E921" s="564">
        <f>'1_入力シート【基本情報】'!$AT$432</f>
        <v>0</v>
      </c>
      <c r="F921" s="564" t="str">
        <f t="shared" si="151"/>
        <v>0</v>
      </c>
      <c r="G921" s="24"/>
      <c r="H921" s="565">
        <v>23</v>
      </c>
      <c r="I921" s="334" t="s">
        <v>33</v>
      </c>
      <c r="J921" s="357" t="s">
        <v>1407</v>
      </c>
      <c r="K921" s="322" t="s">
        <v>113</v>
      </c>
      <c r="L921" s="358" t="s">
        <v>1407</v>
      </c>
      <c r="M921" s="335" t="s">
        <v>2120</v>
      </c>
      <c r="N921" s="358" t="s">
        <v>1407</v>
      </c>
      <c r="O921" s="334" t="s">
        <v>2028</v>
      </c>
      <c r="P921" s="332"/>
      <c r="Q921" s="363"/>
      <c r="R921" s="364"/>
      <c r="S921" s="364"/>
      <c r="T921" s="13" t="str">
        <f t="shared" ref="T921:T984" si="155">CONCATENATE(H921,I921,J921,K921,L921,M921,N921,O921,P921,Q921)</f>
        <v>23調査結果-避難施設等-5（7）-指摘の具体的内容等</v>
      </c>
      <c r="V921" s="202"/>
      <c r="W921" s="202"/>
      <c r="X921" s="202"/>
    </row>
    <row r="922" spans="2:24">
      <c r="B922" s="107">
        <f>'1_入力シート【基本情報】'!$BD$432</f>
        <v>0</v>
      </c>
      <c r="C922" s="4" t="str">
        <f t="shared" si="146"/>
        <v/>
      </c>
      <c r="D922" s="107">
        <f>'1_入力シート【基本情報】'!$BD$432</f>
        <v>0</v>
      </c>
      <c r="E922" s="564">
        <f>'1_入力シート【基本情報】'!$BD$432</f>
        <v>0</v>
      </c>
      <c r="F922" s="564" t="str">
        <f t="shared" si="151"/>
        <v>0</v>
      </c>
      <c r="G922" s="24"/>
      <c r="H922" s="565">
        <v>23</v>
      </c>
      <c r="I922" s="334" t="s">
        <v>33</v>
      </c>
      <c r="J922" s="357" t="s">
        <v>1407</v>
      </c>
      <c r="K922" s="322" t="s">
        <v>113</v>
      </c>
      <c r="L922" s="358" t="s">
        <v>1407</v>
      </c>
      <c r="M922" s="335" t="s">
        <v>2120</v>
      </c>
      <c r="N922" s="358" t="s">
        <v>1407</v>
      </c>
      <c r="O922" s="334" t="s">
        <v>2029</v>
      </c>
      <c r="P922" s="332"/>
      <c r="Q922" s="363"/>
      <c r="R922" s="364"/>
      <c r="S922" s="364"/>
      <c r="T922" s="13" t="str">
        <f t="shared" si="155"/>
        <v>23調査結果-避難施設等-5（7）-改善策の具体的内容等</v>
      </c>
      <c r="V922" s="202"/>
      <c r="W922" s="202"/>
      <c r="X922" s="202"/>
    </row>
    <row r="923" spans="2:24" ht="19">
      <c r="B923" s="107">
        <f>'1_入力シート【基本情報】'!$BS$432</f>
        <v>0</v>
      </c>
      <c r="C923" s="493" t="str">
        <f t="shared" ref="C923:E924" si="156">ASC($D923)</f>
        <v>0</v>
      </c>
      <c r="D923" s="107">
        <f>'1_入力シート【基本情報】'!$BS$432</f>
        <v>0</v>
      </c>
      <c r="E923" s="7" t="str">
        <f t="shared" si="156"/>
        <v>0</v>
      </c>
      <c r="F923" s="7" t="str">
        <f t="shared" si="151"/>
        <v>0</v>
      </c>
      <c r="G923" s="24"/>
      <c r="H923" s="565">
        <v>23</v>
      </c>
      <c r="I923" s="334" t="s">
        <v>33</v>
      </c>
      <c r="J923" s="357" t="s">
        <v>1407</v>
      </c>
      <c r="K923" s="322" t="s">
        <v>113</v>
      </c>
      <c r="L923" s="358" t="s">
        <v>1407</v>
      </c>
      <c r="M923" s="335" t="s">
        <v>2120</v>
      </c>
      <c r="N923" s="358" t="s">
        <v>1407</v>
      </c>
      <c r="O923" s="334" t="s">
        <v>387</v>
      </c>
      <c r="P923" s="332" t="s">
        <v>1879</v>
      </c>
      <c r="Q923" s="363" t="s">
        <v>1966</v>
      </c>
      <c r="R923" s="364"/>
      <c r="S923" s="364"/>
      <c r="T923" s="13" t="str">
        <f t="shared" si="155"/>
        <v>23調査結果-避難施設等-5（7）-改善（予定）年月-年（令和）</v>
      </c>
      <c r="V923" s="202"/>
      <c r="W923" s="202"/>
      <c r="X923" s="202"/>
    </row>
    <row r="924" spans="2:24" ht="19">
      <c r="B924" s="107">
        <f>'1_入力シート【基本情報】'!$BV$432</f>
        <v>0</v>
      </c>
      <c r="C924" s="493" t="str">
        <f t="shared" si="156"/>
        <v>0</v>
      </c>
      <c r="D924" s="107">
        <f>'1_入力シート【基本情報】'!$BV$432</f>
        <v>0</v>
      </c>
      <c r="E924" s="7" t="str">
        <f t="shared" si="156"/>
        <v>0</v>
      </c>
      <c r="F924" s="7" t="str">
        <f t="shared" si="151"/>
        <v>0</v>
      </c>
      <c r="G924" s="24"/>
      <c r="H924" s="565">
        <v>23</v>
      </c>
      <c r="I924" s="334" t="s">
        <v>33</v>
      </c>
      <c r="J924" s="357" t="s">
        <v>1407</v>
      </c>
      <c r="K924" s="322" t="s">
        <v>113</v>
      </c>
      <c r="L924" s="358" t="s">
        <v>1407</v>
      </c>
      <c r="M924" s="335" t="s">
        <v>2120</v>
      </c>
      <c r="N924" s="358" t="s">
        <v>1407</v>
      </c>
      <c r="O924" s="326" t="s">
        <v>387</v>
      </c>
      <c r="P924" s="327" t="s">
        <v>1879</v>
      </c>
      <c r="Q924" s="336" t="s">
        <v>383</v>
      </c>
      <c r="R924" s="364"/>
      <c r="S924" s="364"/>
      <c r="T924" s="13" t="str">
        <f t="shared" si="155"/>
        <v>23調査結果-避難施設等-5（7）-改善（予定）年月-月</v>
      </c>
      <c r="V924" s="202"/>
      <c r="W924" s="202"/>
      <c r="X924" s="202"/>
    </row>
    <row r="925" spans="2:24">
      <c r="B925" s="107">
        <f>'1_入力シート【基本情報】'!$BY$432</f>
        <v>0</v>
      </c>
      <c r="C925" s="4" t="str">
        <f t="shared" si="146"/>
        <v/>
      </c>
      <c r="D925" s="107">
        <f>'1_入力シート【基本情報】'!$BY$432</f>
        <v>0</v>
      </c>
      <c r="E925" s="564">
        <f>'1_入力シート【基本情報】'!$BY$432</f>
        <v>0</v>
      </c>
      <c r="F925" s="564" t="str">
        <f t="shared" si="151"/>
        <v>0</v>
      </c>
      <c r="G925" s="24"/>
      <c r="H925" s="565">
        <v>23</v>
      </c>
      <c r="I925" s="334" t="s">
        <v>33</v>
      </c>
      <c r="J925" s="357" t="s">
        <v>1407</v>
      </c>
      <c r="K925" s="322" t="s">
        <v>113</v>
      </c>
      <c r="L925" s="358" t="s">
        <v>1407</v>
      </c>
      <c r="M925" s="335" t="s">
        <v>2120</v>
      </c>
      <c r="N925" s="358" t="s">
        <v>1407</v>
      </c>
      <c r="O925" s="326" t="s">
        <v>387</v>
      </c>
      <c r="P925" s="332" t="s">
        <v>1879</v>
      </c>
      <c r="Q925" s="363" t="s">
        <v>675</v>
      </c>
      <c r="R925" s="364"/>
      <c r="S925" s="364"/>
      <c r="T925" s="13" t="str">
        <f t="shared" si="155"/>
        <v>23調査結果-避難施設等-5（7）-改善（予定）年月-未定</v>
      </c>
      <c r="V925" s="202"/>
      <c r="W925" s="202"/>
      <c r="X925" s="202"/>
    </row>
    <row r="926" spans="2:24">
      <c r="B926" s="107">
        <f>'1_入力シート【基本情報】'!$AF$433</f>
        <v>0</v>
      </c>
      <c r="C926" s="4" t="str">
        <f t="shared" si="146"/>
        <v/>
      </c>
      <c r="D926" s="107" t="str">
        <f>C926</f>
        <v/>
      </c>
      <c r="E926" s="564" t="str">
        <f>D926</f>
        <v/>
      </c>
      <c r="F926" s="564" t="str">
        <f t="shared" si="151"/>
        <v/>
      </c>
      <c r="G926" s="24"/>
      <c r="H926" s="565">
        <v>23</v>
      </c>
      <c r="I926" s="334" t="s">
        <v>33</v>
      </c>
      <c r="J926" s="357" t="s">
        <v>1407</v>
      </c>
      <c r="K926" s="322" t="s">
        <v>113</v>
      </c>
      <c r="L926" s="358" t="s">
        <v>1407</v>
      </c>
      <c r="M926" s="335" t="s">
        <v>2121</v>
      </c>
      <c r="N926" s="358" t="s">
        <v>1407</v>
      </c>
      <c r="O926" s="326" t="s">
        <v>33</v>
      </c>
      <c r="P926" s="332"/>
      <c r="Q926" s="363"/>
      <c r="R926" s="364"/>
      <c r="S926" s="364"/>
      <c r="T926" s="13" t="str">
        <f t="shared" si="155"/>
        <v>23調査結果-避難施設等-5（8）-調査結果</v>
      </c>
      <c r="V926" s="202"/>
      <c r="W926" s="202"/>
      <c r="X926" s="202"/>
    </row>
    <row r="927" spans="2:24">
      <c r="B927" s="107">
        <f>'1_入力シート【基本情報】'!$AR$433</f>
        <v>0</v>
      </c>
      <c r="C927" s="4" t="str">
        <f t="shared" si="146"/>
        <v/>
      </c>
      <c r="D927" s="107">
        <f>'1_入力シート【基本情報】'!$AR$433</f>
        <v>0</v>
      </c>
      <c r="E927" s="564">
        <f>'1_入力シート【基本情報】'!$AR$433</f>
        <v>0</v>
      </c>
      <c r="F927" s="564" t="str">
        <f t="shared" si="151"/>
        <v>0</v>
      </c>
      <c r="G927" s="24"/>
      <c r="H927" s="565">
        <v>23</v>
      </c>
      <c r="I927" s="334" t="s">
        <v>33</v>
      </c>
      <c r="J927" s="357" t="s">
        <v>1407</v>
      </c>
      <c r="K927" s="322" t="s">
        <v>113</v>
      </c>
      <c r="L927" s="358" t="s">
        <v>1407</v>
      </c>
      <c r="M927" s="335" t="s">
        <v>2121</v>
      </c>
      <c r="N927" s="358" t="s">
        <v>1407</v>
      </c>
      <c r="O927" s="326" t="s">
        <v>30</v>
      </c>
      <c r="P927" s="332"/>
      <c r="Q927" s="363"/>
      <c r="R927" s="203"/>
      <c r="S927" s="203"/>
      <c r="T927" s="13" t="str">
        <f t="shared" si="155"/>
        <v>23調査結果-避難施設等-5（8）-調査者番号</v>
      </c>
      <c r="V927" s="202"/>
      <c r="W927" s="202"/>
      <c r="X927" s="202"/>
    </row>
    <row r="928" spans="2:24">
      <c r="B928" s="107">
        <f>'1_入力シート【基本情報】'!$AT$433</f>
        <v>0</v>
      </c>
      <c r="C928" s="4" t="str">
        <f t="shared" si="146"/>
        <v/>
      </c>
      <c r="D928" s="107">
        <f>'1_入力シート【基本情報】'!$AT$433</f>
        <v>0</v>
      </c>
      <c r="E928" s="564">
        <f>'1_入力シート【基本情報】'!$AT$433</f>
        <v>0</v>
      </c>
      <c r="F928" s="564" t="str">
        <f t="shared" si="151"/>
        <v>0</v>
      </c>
      <c r="G928" s="24"/>
      <c r="H928" s="565">
        <v>23</v>
      </c>
      <c r="I928" s="334" t="s">
        <v>33</v>
      </c>
      <c r="J928" s="357" t="s">
        <v>1407</v>
      </c>
      <c r="K928" s="322" t="s">
        <v>113</v>
      </c>
      <c r="L928" s="358" t="s">
        <v>1407</v>
      </c>
      <c r="M928" s="335" t="s">
        <v>2121</v>
      </c>
      <c r="N928" s="358" t="s">
        <v>1407</v>
      </c>
      <c r="O928" s="326" t="s">
        <v>2028</v>
      </c>
      <c r="P928" s="332"/>
      <c r="Q928" s="363"/>
      <c r="R928" s="364"/>
      <c r="S928" s="364"/>
      <c r="T928" s="13" t="str">
        <f t="shared" si="155"/>
        <v>23調査結果-避難施設等-5（8）-指摘の具体的内容等</v>
      </c>
      <c r="V928" s="202"/>
      <c r="W928" s="202"/>
      <c r="X928" s="202"/>
    </row>
    <row r="929" spans="2:24">
      <c r="B929" s="107">
        <f>'1_入力シート【基本情報】'!$BD$433</f>
        <v>0</v>
      </c>
      <c r="C929" s="4" t="str">
        <f t="shared" si="146"/>
        <v/>
      </c>
      <c r="D929" s="107">
        <f>'1_入力シート【基本情報】'!$BD$433</f>
        <v>0</v>
      </c>
      <c r="E929" s="564">
        <f>'1_入力シート【基本情報】'!$BD$433</f>
        <v>0</v>
      </c>
      <c r="F929" s="564" t="str">
        <f t="shared" si="151"/>
        <v>0</v>
      </c>
      <c r="G929" s="24"/>
      <c r="H929" s="565">
        <v>23</v>
      </c>
      <c r="I929" s="334" t="s">
        <v>33</v>
      </c>
      <c r="J929" s="357" t="s">
        <v>1407</v>
      </c>
      <c r="K929" s="322" t="s">
        <v>113</v>
      </c>
      <c r="L929" s="358" t="s">
        <v>1407</v>
      </c>
      <c r="M929" s="335" t="s">
        <v>2121</v>
      </c>
      <c r="N929" s="358" t="s">
        <v>1407</v>
      </c>
      <c r="O929" s="334" t="s">
        <v>2029</v>
      </c>
      <c r="P929" s="332"/>
      <c r="Q929" s="363"/>
      <c r="R929" s="364"/>
      <c r="S929" s="364"/>
      <c r="T929" s="13" t="str">
        <f t="shared" si="155"/>
        <v>23調査結果-避難施設等-5（8）-改善策の具体的内容等</v>
      </c>
      <c r="V929" s="202"/>
      <c r="W929" s="202"/>
      <c r="X929" s="202"/>
    </row>
    <row r="930" spans="2:24" ht="19">
      <c r="B930" s="107">
        <f>'1_入力シート【基本情報】'!$BS$433</f>
        <v>0</v>
      </c>
      <c r="C930" s="493" t="str">
        <f t="shared" ref="C930:E931" si="157">ASC($D930)</f>
        <v>0</v>
      </c>
      <c r="D930" s="107">
        <f>'1_入力シート【基本情報】'!$BS$433</f>
        <v>0</v>
      </c>
      <c r="E930" s="7" t="str">
        <f t="shared" si="157"/>
        <v>0</v>
      </c>
      <c r="F930" s="7" t="str">
        <f t="shared" si="151"/>
        <v>0</v>
      </c>
      <c r="G930" s="24"/>
      <c r="H930" s="565">
        <v>23</v>
      </c>
      <c r="I930" s="334" t="s">
        <v>33</v>
      </c>
      <c r="J930" s="357" t="s">
        <v>1407</v>
      </c>
      <c r="K930" s="322" t="s">
        <v>113</v>
      </c>
      <c r="L930" s="358" t="s">
        <v>1407</v>
      </c>
      <c r="M930" s="335" t="s">
        <v>2121</v>
      </c>
      <c r="N930" s="358" t="s">
        <v>1407</v>
      </c>
      <c r="O930" s="334" t="s">
        <v>387</v>
      </c>
      <c r="P930" s="332" t="s">
        <v>1879</v>
      </c>
      <c r="Q930" s="363" t="s">
        <v>1966</v>
      </c>
      <c r="R930" s="364"/>
      <c r="S930" s="364"/>
      <c r="T930" s="13" t="str">
        <f t="shared" si="155"/>
        <v>23調査結果-避難施設等-5（8）-改善（予定）年月-年（令和）</v>
      </c>
      <c r="V930" s="202"/>
      <c r="W930" s="202"/>
      <c r="X930" s="202"/>
    </row>
    <row r="931" spans="2:24" ht="19">
      <c r="B931" s="107">
        <f>'1_入力シート【基本情報】'!$BV$433</f>
        <v>0</v>
      </c>
      <c r="C931" s="493" t="str">
        <f t="shared" si="157"/>
        <v>0</v>
      </c>
      <c r="D931" s="107">
        <f>'1_入力シート【基本情報】'!$BV$433</f>
        <v>0</v>
      </c>
      <c r="E931" s="7" t="str">
        <f t="shared" si="157"/>
        <v>0</v>
      </c>
      <c r="F931" s="7" t="str">
        <f t="shared" si="151"/>
        <v>0</v>
      </c>
      <c r="G931" s="24"/>
      <c r="H931" s="565">
        <v>23</v>
      </c>
      <c r="I931" s="334" t="s">
        <v>33</v>
      </c>
      <c r="J931" s="357" t="s">
        <v>1407</v>
      </c>
      <c r="K931" s="322" t="s">
        <v>113</v>
      </c>
      <c r="L931" s="358" t="s">
        <v>1407</v>
      </c>
      <c r="M931" s="335" t="s">
        <v>2121</v>
      </c>
      <c r="N931" s="358" t="s">
        <v>1407</v>
      </c>
      <c r="O931" s="334" t="s">
        <v>387</v>
      </c>
      <c r="P931" s="332" t="s">
        <v>1879</v>
      </c>
      <c r="Q931" s="363" t="s">
        <v>383</v>
      </c>
      <c r="R931" s="364"/>
      <c r="S931" s="364"/>
      <c r="T931" s="13" t="str">
        <f t="shared" si="155"/>
        <v>23調査結果-避難施設等-5（8）-改善（予定）年月-月</v>
      </c>
      <c r="V931" s="202"/>
      <c r="W931" s="202"/>
      <c r="X931" s="202"/>
    </row>
    <row r="932" spans="2:24">
      <c r="B932" s="107">
        <f>'1_入力シート【基本情報】'!$BY$433</f>
        <v>0</v>
      </c>
      <c r="C932" s="4" t="str">
        <f t="shared" si="146"/>
        <v/>
      </c>
      <c r="D932" s="107">
        <f>'1_入力シート【基本情報】'!$BY$433</f>
        <v>0</v>
      </c>
      <c r="E932" s="564">
        <f>'1_入力シート【基本情報】'!$BY$433</f>
        <v>0</v>
      </c>
      <c r="F932" s="564" t="str">
        <f t="shared" si="151"/>
        <v>0</v>
      </c>
      <c r="G932" s="24"/>
      <c r="H932" s="565">
        <v>23</v>
      </c>
      <c r="I932" s="334" t="s">
        <v>33</v>
      </c>
      <c r="J932" s="357" t="s">
        <v>1407</v>
      </c>
      <c r="K932" s="322" t="s">
        <v>113</v>
      </c>
      <c r="L932" s="358" t="s">
        <v>1407</v>
      </c>
      <c r="M932" s="335" t="s">
        <v>2121</v>
      </c>
      <c r="N932" s="358" t="s">
        <v>1407</v>
      </c>
      <c r="O932" s="326" t="s">
        <v>387</v>
      </c>
      <c r="P932" s="327" t="s">
        <v>1879</v>
      </c>
      <c r="Q932" s="336" t="s">
        <v>675</v>
      </c>
      <c r="R932" s="364"/>
      <c r="S932" s="364"/>
      <c r="T932" s="13" t="str">
        <f t="shared" si="155"/>
        <v>23調査結果-避難施設等-5（8）-改善（予定）年月-未定</v>
      </c>
      <c r="V932" s="202"/>
      <c r="W932" s="202"/>
      <c r="X932" s="202"/>
    </row>
    <row r="933" spans="2:24">
      <c r="B933" s="107">
        <f>'1_入力シート【基本情報】'!$AF$434</f>
        <v>0</v>
      </c>
      <c r="C933" s="4" t="str">
        <f t="shared" si="146"/>
        <v/>
      </c>
      <c r="D933" s="107" t="str">
        <f>C933</f>
        <v/>
      </c>
      <c r="E933" s="564" t="str">
        <f>D933</f>
        <v/>
      </c>
      <c r="F933" s="564" t="str">
        <f t="shared" si="151"/>
        <v/>
      </c>
      <c r="G933" s="24"/>
      <c r="H933" s="565">
        <v>23</v>
      </c>
      <c r="I933" s="334" t="s">
        <v>33</v>
      </c>
      <c r="J933" s="357" t="s">
        <v>1407</v>
      </c>
      <c r="K933" s="322" t="s">
        <v>113</v>
      </c>
      <c r="L933" s="358" t="s">
        <v>1407</v>
      </c>
      <c r="M933" s="335" t="s">
        <v>2122</v>
      </c>
      <c r="N933" s="358" t="s">
        <v>1407</v>
      </c>
      <c r="O933" s="326" t="s">
        <v>33</v>
      </c>
      <c r="P933" s="332"/>
      <c r="Q933" s="363"/>
      <c r="R933" s="364"/>
      <c r="S933" s="364"/>
      <c r="T933" s="13" t="str">
        <f t="shared" si="155"/>
        <v>23調査結果-避難施設等-5（9）-調査結果</v>
      </c>
      <c r="V933" s="202"/>
      <c r="W933" s="202"/>
      <c r="X933" s="202"/>
    </row>
    <row r="934" spans="2:24">
      <c r="B934" s="107">
        <f>'1_入力シート【基本情報】'!$AR$434</f>
        <v>0</v>
      </c>
      <c r="C934" s="4" t="str">
        <f t="shared" ref="C934:C997" si="158">MID(B934,2,14)</f>
        <v/>
      </c>
      <c r="D934" s="107">
        <f>'1_入力シート【基本情報】'!$AR$434</f>
        <v>0</v>
      </c>
      <c r="E934" s="564">
        <f>'1_入力シート【基本情報】'!$AR$434</f>
        <v>0</v>
      </c>
      <c r="F934" s="564" t="str">
        <f t="shared" si="151"/>
        <v>0</v>
      </c>
      <c r="G934" s="24"/>
      <c r="H934" s="565">
        <v>23</v>
      </c>
      <c r="I934" s="334" t="s">
        <v>33</v>
      </c>
      <c r="J934" s="357" t="s">
        <v>1407</v>
      </c>
      <c r="K934" s="322" t="s">
        <v>113</v>
      </c>
      <c r="L934" s="358" t="s">
        <v>1407</v>
      </c>
      <c r="M934" s="335" t="s">
        <v>2122</v>
      </c>
      <c r="N934" s="358" t="s">
        <v>1407</v>
      </c>
      <c r="O934" s="326" t="s">
        <v>30</v>
      </c>
      <c r="P934" s="332"/>
      <c r="Q934" s="363"/>
      <c r="R934" s="364"/>
      <c r="S934" s="364"/>
      <c r="T934" s="13" t="str">
        <f t="shared" si="155"/>
        <v>23調査結果-避難施設等-5（9）-調査者番号</v>
      </c>
      <c r="V934" s="202"/>
      <c r="W934" s="202"/>
      <c r="X934" s="202"/>
    </row>
    <row r="935" spans="2:24">
      <c r="B935" s="107">
        <f>'1_入力シート【基本情報】'!$AT$434</f>
        <v>0</v>
      </c>
      <c r="C935" s="4" t="str">
        <f t="shared" si="158"/>
        <v/>
      </c>
      <c r="D935" s="107">
        <f>'1_入力シート【基本情報】'!$AT$434</f>
        <v>0</v>
      </c>
      <c r="E935" s="564">
        <f>'1_入力シート【基本情報】'!$AT$434</f>
        <v>0</v>
      </c>
      <c r="F935" s="564" t="str">
        <f t="shared" si="151"/>
        <v>0</v>
      </c>
      <c r="G935" s="24"/>
      <c r="H935" s="565">
        <v>23</v>
      </c>
      <c r="I935" s="334" t="s">
        <v>33</v>
      </c>
      <c r="J935" s="357" t="s">
        <v>1407</v>
      </c>
      <c r="K935" s="322" t="s">
        <v>113</v>
      </c>
      <c r="L935" s="358" t="s">
        <v>1407</v>
      </c>
      <c r="M935" s="335" t="s">
        <v>2122</v>
      </c>
      <c r="N935" s="358" t="s">
        <v>1407</v>
      </c>
      <c r="O935" s="326" t="s">
        <v>2028</v>
      </c>
      <c r="P935" s="332"/>
      <c r="Q935" s="363"/>
      <c r="R935" s="203"/>
      <c r="S935" s="203"/>
      <c r="T935" s="13" t="str">
        <f t="shared" si="155"/>
        <v>23調査結果-避難施設等-5（9）-指摘の具体的内容等</v>
      </c>
      <c r="V935" s="202"/>
      <c r="W935" s="202"/>
      <c r="X935" s="202"/>
    </row>
    <row r="936" spans="2:24">
      <c r="B936" s="107">
        <f>'1_入力シート【基本情報】'!$BD$434</f>
        <v>0</v>
      </c>
      <c r="C936" s="4" t="str">
        <f t="shared" si="158"/>
        <v/>
      </c>
      <c r="D936" s="107">
        <f>'1_入力シート【基本情報】'!$BD$434</f>
        <v>0</v>
      </c>
      <c r="E936" s="564">
        <f>'1_入力シート【基本情報】'!$BD$434</f>
        <v>0</v>
      </c>
      <c r="F936" s="564" t="str">
        <f t="shared" si="151"/>
        <v>0</v>
      </c>
      <c r="G936" s="24"/>
      <c r="H936" s="565">
        <v>23</v>
      </c>
      <c r="I936" s="334" t="s">
        <v>33</v>
      </c>
      <c r="J936" s="357" t="s">
        <v>1407</v>
      </c>
      <c r="K936" s="322" t="s">
        <v>113</v>
      </c>
      <c r="L936" s="358" t="s">
        <v>1407</v>
      </c>
      <c r="M936" s="335" t="s">
        <v>2122</v>
      </c>
      <c r="N936" s="358" t="s">
        <v>1407</v>
      </c>
      <c r="O936" s="326" t="s">
        <v>2029</v>
      </c>
      <c r="P936" s="332"/>
      <c r="Q936" s="363"/>
      <c r="R936" s="364"/>
      <c r="S936" s="364"/>
      <c r="T936" s="13" t="str">
        <f t="shared" si="155"/>
        <v>23調査結果-避難施設等-5（9）-改善策の具体的内容等</v>
      </c>
      <c r="V936" s="202"/>
      <c r="W936" s="202"/>
      <c r="X936" s="202"/>
    </row>
    <row r="937" spans="2:24" ht="19">
      <c r="B937" s="107">
        <f>'1_入力シート【基本情報】'!$BS$434</f>
        <v>0</v>
      </c>
      <c r="C937" s="493" t="str">
        <f t="shared" ref="C937:E938" si="159">ASC($D937)</f>
        <v>0</v>
      </c>
      <c r="D937" s="107">
        <f>'1_入力シート【基本情報】'!$BS$434</f>
        <v>0</v>
      </c>
      <c r="E937" s="7" t="str">
        <f t="shared" si="159"/>
        <v>0</v>
      </c>
      <c r="F937" s="7" t="str">
        <f t="shared" si="151"/>
        <v>0</v>
      </c>
      <c r="G937" s="24"/>
      <c r="H937" s="565">
        <v>23</v>
      </c>
      <c r="I937" s="334" t="s">
        <v>33</v>
      </c>
      <c r="J937" s="357" t="s">
        <v>1407</v>
      </c>
      <c r="K937" s="322" t="s">
        <v>113</v>
      </c>
      <c r="L937" s="358" t="s">
        <v>1407</v>
      </c>
      <c r="M937" s="335" t="s">
        <v>2122</v>
      </c>
      <c r="N937" s="358" t="s">
        <v>1407</v>
      </c>
      <c r="O937" s="334" t="s">
        <v>387</v>
      </c>
      <c r="P937" s="332" t="s">
        <v>1879</v>
      </c>
      <c r="Q937" s="363" t="s">
        <v>1966</v>
      </c>
      <c r="R937" s="364"/>
      <c r="S937" s="364"/>
      <c r="T937" s="13" t="str">
        <f t="shared" si="155"/>
        <v>23調査結果-避難施設等-5（9）-改善（予定）年月-年（令和）</v>
      </c>
      <c r="V937" s="202"/>
      <c r="W937" s="202"/>
      <c r="X937" s="202"/>
    </row>
    <row r="938" spans="2:24" ht="19">
      <c r="B938" s="107">
        <f>'1_入力シート【基本情報】'!$BV$434</f>
        <v>0</v>
      </c>
      <c r="C938" s="493" t="str">
        <f t="shared" si="159"/>
        <v>0</v>
      </c>
      <c r="D938" s="107">
        <f>'1_入力シート【基本情報】'!$BV$434</f>
        <v>0</v>
      </c>
      <c r="E938" s="7" t="str">
        <f t="shared" si="159"/>
        <v>0</v>
      </c>
      <c r="F938" s="7" t="str">
        <f t="shared" si="151"/>
        <v>0</v>
      </c>
      <c r="G938" s="24"/>
      <c r="H938" s="565">
        <v>23</v>
      </c>
      <c r="I938" s="334" t="s">
        <v>33</v>
      </c>
      <c r="J938" s="357" t="s">
        <v>1407</v>
      </c>
      <c r="K938" s="322" t="s">
        <v>113</v>
      </c>
      <c r="L938" s="358" t="s">
        <v>1407</v>
      </c>
      <c r="M938" s="335" t="s">
        <v>2122</v>
      </c>
      <c r="N938" s="358" t="s">
        <v>1407</v>
      </c>
      <c r="O938" s="334" t="s">
        <v>387</v>
      </c>
      <c r="P938" s="332" t="s">
        <v>1879</v>
      </c>
      <c r="Q938" s="363" t="s">
        <v>383</v>
      </c>
      <c r="R938" s="364"/>
      <c r="S938" s="364"/>
      <c r="T938" s="13" t="str">
        <f t="shared" si="155"/>
        <v>23調査結果-避難施設等-5（9）-改善（予定）年月-月</v>
      </c>
      <c r="V938" s="202"/>
      <c r="W938" s="202"/>
      <c r="X938" s="202"/>
    </row>
    <row r="939" spans="2:24">
      <c r="B939" s="107">
        <f>'1_入力シート【基本情報】'!$BY$434</f>
        <v>0</v>
      </c>
      <c r="C939" s="4" t="str">
        <f t="shared" si="158"/>
        <v/>
      </c>
      <c r="D939" s="107">
        <f>'1_入力シート【基本情報】'!$BY$434</f>
        <v>0</v>
      </c>
      <c r="E939" s="564">
        <f>'1_入力シート【基本情報】'!$BY$434</f>
        <v>0</v>
      </c>
      <c r="F939" s="564" t="str">
        <f t="shared" si="151"/>
        <v>0</v>
      </c>
      <c r="G939" s="24"/>
      <c r="H939" s="565">
        <v>23</v>
      </c>
      <c r="I939" s="334" t="s">
        <v>33</v>
      </c>
      <c r="J939" s="357" t="s">
        <v>1407</v>
      </c>
      <c r="K939" s="322" t="s">
        <v>113</v>
      </c>
      <c r="L939" s="358" t="s">
        <v>1407</v>
      </c>
      <c r="M939" s="335" t="s">
        <v>2122</v>
      </c>
      <c r="N939" s="358" t="s">
        <v>1407</v>
      </c>
      <c r="O939" s="334" t="s">
        <v>387</v>
      </c>
      <c r="P939" s="332" t="s">
        <v>1879</v>
      </c>
      <c r="Q939" s="363" t="s">
        <v>675</v>
      </c>
      <c r="R939" s="364"/>
      <c r="S939" s="364"/>
      <c r="T939" s="13" t="str">
        <f t="shared" si="155"/>
        <v>23調査結果-避難施設等-5（9）-改善（予定）年月-未定</v>
      </c>
      <c r="V939" s="202"/>
      <c r="W939" s="202"/>
      <c r="X939" s="202"/>
    </row>
    <row r="940" spans="2:24">
      <c r="B940" s="107">
        <f>'1_入力シート【基本情報】'!$AF$435</f>
        <v>0</v>
      </c>
      <c r="C940" s="4" t="str">
        <f t="shared" si="158"/>
        <v/>
      </c>
      <c r="D940" s="107" t="str">
        <f>C940</f>
        <v/>
      </c>
      <c r="E940" s="564" t="str">
        <f>D940</f>
        <v/>
      </c>
      <c r="F940" s="564" t="str">
        <f t="shared" si="151"/>
        <v/>
      </c>
      <c r="G940" s="24"/>
      <c r="H940" s="565">
        <v>23</v>
      </c>
      <c r="I940" s="334" t="s">
        <v>33</v>
      </c>
      <c r="J940" s="357" t="s">
        <v>1407</v>
      </c>
      <c r="K940" s="322" t="s">
        <v>113</v>
      </c>
      <c r="L940" s="358" t="s">
        <v>1407</v>
      </c>
      <c r="M940" s="335" t="s">
        <v>2123</v>
      </c>
      <c r="N940" s="358" t="s">
        <v>1407</v>
      </c>
      <c r="O940" s="326" t="s">
        <v>33</v>
      </c>
      <c r="P940" s="327"/>
      <c r="Q940" s="336"/>
      <c r="R940" s="364"/>
      <c r="S940" s="364"/>
      <c r="T940" s="13" t="str">
        <f t="shared" si="155"/>
        <v>23調査結果-避難施設等-5（10）-調査結果</v>
      </c>
      <c r="V940" s="202"/>
      <c r="W940" s="202"/>
      <c r="X940" s="202"/>
    </row>
    <row r="941" spans="2:24">
      <c r="B941" s="107">
        <f>'1_入力シート【基本情報】'!$AR$435</f>
        <v>0</v>
      </c>
      <c r="C941" s="4" t="str">
        <f t="shared" si="158"/>
        <v/>
      </c>
      <c r="D941" s="107">
        <f>'1_入力シート【基本情報】'!$AR$435</f>
        <v>0</v>
      </c>
      <c r="E941" s="564">
        <f>'1_入力シート【基本情報】'!$AR$435</f>
        <v>0</v>
      </c>
      <c r="F941" s="564" t="str">
        <f t="shared" si="151"/>
        <v>0</v>
      </c>
      <c r="G941" s="24"/>
      <c r="H941" s="565">
        <v>23</v>
      </c>
      <c r="I941" s="334" t="s">
        <v>33</v>
      </c>
      <c r="J941" s="357" t="s">
        <v>1407</v>
      </c>
      <c r="K941" s="322" t="s">
        <v>113</v>
      </c>
      <c r="L941" s="358" t="s">
        <v>1407</v>
      </c>
      <c r="M941" s="335" t="s">
        <v>2123</v>
      </c>
      <c r="N941" s="358" t="s">
        <v>1407</v>
      </c>
      <c r="O941" s="326" t="s">
        <v>30</v>
      </c>
      <c r="P941" s="332"/>
      <c r="Q941" s="363"/>
      <c r="R941" s="364"/>
      <c r="S941" s="364"/>
      <c r="T941" s="13" t="str">
        <f t="shared" si="155"/>
        <v>23調査結果-避難施設等-5（10）-調査者番号</v>
      </c>
      <c r="V941" s="202"/>
      <c r="W941" s="202"/>
      <c r="X941" s="202"/>
    </row>
    <row r="942" spans="2:24">
      <c r="B942" s="107">
        <f>'1_入力シート【基本情報】'!$AT$435</f>
        <v>0</v>
      </c>
      <c r="C942" s="4" t="str">
        <f t="shared" si="158"/>
        <v/>
      </c>
      <c r="D942" s="107">
        <f>'1_入力シート【基本情報】'!$AT$435</f>
        <v>0</v>
      </c>
      <c r="E942" s="564">
        <f>'1_入力シート【基本情報】'!$AT$435</f>
        <v>0</v>
      </c>
      <c r="F942" s="564" t="str">
        <f t="shared" si="151"/>
        <v>0</v>
      </c>
      <c r="G942" s="24"/>
      <c r="H942" s="565">
        <v>23</v>
      </c>
      <c r="I942" s="334" t="s">
        <v>33</v>
      </c>
      <c r="J942" s="357" t="s">
        <v>1407</v>
      </c>
      <c r="K942" s="322" t="s">
        <v>113</v>
      </c>
      <c r="L942" s="358" t="s">
        <v>1407</v>
      </c>
      <c r="M942" s="335" t="s">
        <v>2123</v>
      </c>
      <c r="N942" s="358" t="s">
        <v>1407</v>
      </c>
      <c r="O942" s="326" t="s">
        <v>2028</v>
      </c>
      <c r="P942" s="332"/>
      <c r="Q942" s="363"/>
      <c r="R942" s="364"/>
      <c r="S942" s="364"/>
      <c r="T942" s="13" t="str">
        <f t="shared" si="155"/>
        <v>23調査結果-避難施設等-5（10）-指摘の具体的内容等</v>
      </c>
      <c r="V942" s="202"/>
      <c r="W942" s="202"/>
      <c r="X942" s="202"/>
    </row>
    <row r="943" spans="2:24">
      <c r="B943" s="107">
        <f>'1_入力シート【基本情報】'!$BD$435</f>
        <v>0</v>
      </c>
      <c r="C943" s="4" t="str">
        <f t="shared" si="158"/>
        <v/>
      </c>
      <c r="D943" s="107">
        <f>'1_入力シート【基本情報】'!$BD$435</f>
        <v>0</v>
      </c>
      <c r="E943" s="564">
        <f>'1_入力シート【基本情報】'!$BD$435</f>
        <v>0</v>
      </c>
      <c r="F943" s="564" t="str">
        <f t="shared" si="151"/>
        <v>0</v>
      </c>
      <c r="G943" s="24"/>
      <c r="H943" s="565">
        <v>23</v>
      </c>
      <c r="I943" s="334" t="s">
        <v>33</v>
      </c>
      <c r="J943" s="357" t="s">
        <v>1407</v>
      </c>
      <c r="K943" s="322" t="s">
        <v>113</v>
      </c>
      <c r="L943" s="358" t="s">
        <v>1407</v>
      </c>
      <c r="M943" s="335" t="s">
        <v>2123</v>
      </c>
      <c r="N943" s="358" t="s">
        <v>1407</v>
      </c>
      <c r="O943" s="326" t="s">
        <v>2029</v>
      </c>
      <c r="P943" s="332"/>
      <c r="Q943" s="363"/>
      <c r="R943" s="203"/>
      <c r="S943" s="203"/>
      <c r="T943" s="13" t="str">
        <f t="shared" si="155"/>
        <v>23調査結果-避難施設等-5（10）-改善策の具体的内容等</v>
      </c>
      <c r="V943" s="202"/>
      <c r="W943" s="202"/>
      <c r="X943" s="202"/>
    </row>
    <row r="944" spans="2:24" ht="19">
      <c r="B944" s="107">
        <f>'1_入力シート【基本情報】'!$BS$435</f>
        <v>0</v>
      </c>
      <c r="C944" s="493" t="str">
        <f t="shared" ref="C944:E945" si="160">ASC($D944)</f>
        <v>0</v>
      </c>
      <c r="D944" s="107">
        <f>'1_入力シート【基本情報】'!$BS$435</f>
        <v>0</v>
      </c>
      <c r="E944" s="7" t="str">
        <f t="shared" si="160"/>
        <v>0</v>
      </c>
      <c r="F944" s="7" t="str">
        <f t="shared" si="151"/>
        <v>0</v>
      </c>
      <c r="G944" s="24"/>
      <c r="H944" s="565">
        <v>23</v>
      </c>
      <c r="I944" s="334" t="s">
        <v>33</v>
      </c>
      <c r="J944" s="357" t="s">
        <v>1407</v>
      </c>
      <c r="K944" s="322" t="s">
        <v>113</v>
      </c>
      <c r="L944" s="358" t="s">
        <v>1407</v>
      </c>
      <c r="M944" s="335" t="s">
        <v>2123</v>
      </c>
      <c r="N944" s="358" t="s">
        <v>1407</v>
      </c>
      <c r="O944" s="326" t="s">
        <v>387</v>
      </c>
      <c r="P944" s="332" t="s">
        <v>1879</v>
      </c>
      <c r="Q944" s="363" t="s">
        <v>1966</v>
      </c>
      <c r="R944" s="364"/>
      <c r="S944" s="364"/>
      <c r="T944" s="13" t="str">
        <f t="shared" si="155"/>
        <v>23調査結果-避難施設等-5（10）-改善（予定）年月-年（令和）</v>
      </c>
      <c r="V944" s="202"/>
      <c r="W944" s="202"/>
      <c r="X944" s="202"/>
    </row>
    <row r="945" spans="2:24" ht="19">
      <c r="B945" s="107">
        <f>'1_入力シート【基本情報】'!$BV$435</f>
        <v>0</v>
      </c>
      <c r="C945" s="493" t="str">
        <f t="shared" si="160"/>
        <v>0</v>
      </c>
      <c r="D945" s="107">
        <f>'1_入力シート【基本情報】'!$BV$435</f>
        <v>0</v>
      </c>
      <c r="E945" s="7" t="str">
        <f t="shared" si="160"/>
        <v>0</v>
      </c>
      <c r="F945" s="7" t="str">
        <f t="shared" si="151"/>
        <v>0</v>
      </c>
      <c r="G945" s="24"/>
      <c r="H945" s="565">
        <v>23</v>
      </c>
      <c r="I945" s="334" t="s">
        <v>33</v>
      </c>
      <c r="J945" s="357" t="s">
        <v>1407</v>
      </c>
      <c r="K945" s="322" t="s">
        <v>113</v>
      </c>
      <c r="L945" s="358" t="s">
        <v>1407</v>
      </c>
      <c r="M945" s="335" t="s">
        <v>2123</v>
      </c>
      <c r="N945" s="358" t="s">
        <v>1407</v>
      </c>
      <c r="O945" s="334" t="s">
        <v>387</v>
      </c>
      <c r="P945" s="332" t="s">
        <v>1879</v>
      </c>
      <c r="Q945" s="363" t="s">
        <v>383</v>
      </c>
      <c r="R945" s="364"/>
      <c r="S945" s="364"/>
      <c r="T945" s="13" t="str">
        <f t="shared" si="155"/>
        <v>23調査結果-避難施設等-5（10）-改善（予定）年月-月</v>
      </c>
      <c r="V945" s="202"/>
      <c r="W945" s="202"/>
      <c r="X945" s="202"/>
    </row>
    <row r="946" spans="2:24">
      <c r="B946" s="107">
        <f>'1_入力シート【基本情報】'!$BY$435</f>
        <v>0</v>
      </c>
      <c r="C946" s="4" t="str">
        <f t="shared" si="158"/>
        <v/>
      </c>
      <c r="D946" s="107">
        <f>'1_入力シート【基本情報】'!$BY$435</f>
        <v>0</v>
      </c>
      <c r="E946" s="564">
        <f>'1_入力シート【基本情報】'!$BY$435</f>
        <v>0</v>
      </c>
      <c r="F946" s="564" t="str">
        <f t="shared" si="151"/>
        <v>0</v>
      </c>
      <c r="G946" s="24"/>
      <c r="H946" s="565">
        <v>23</v>
      </c>
      <c r="I946" s="334" t="s">
        <v>33</v>
      </c>
      <c r="J946" s="357" t="s">
        <v>1407</v>
      </c>
      <c r="K946" s="322" t="s">
        <v>113</v>
      </c>
      <c r="L946" s="358" t="s">
        <v>1407</v>
      </c>
      <c r="M946" s="335" t="s">
        <v>2123</v>
      </c>
      <c r="N946" s="358" t="s">
        <v>1407</v>
      </c>
      <c r="O946" s="334" t="s">
        <v>387</v>
      </c>
      <c r="P946" s="332" t="s">
        <v>1879</v>
      </c>
      <c r="Q946" s="363" t="s">
        <v>675</v>
      </c>
      <c r="R946" s="364"/>
      <c r="S946" s="364"/>
      <c r="T946" s="13" t="str">
        <f t="shared" si="155"/>
        <v>23調査結果-避難施設等-5（10）-改善（予定）年月-未定</v>
      </c>
      <c r="V946" s="202"/>
      <c r="W946" s="202"/>
      <c r="X946" s="202"/>
    </row>
    <row r="947" spans="2:24">
      <c r="B947" s="107">
        <f>'1_入力シート【基本情報】'!$AF$436</f>
        <v>0</v>
      </c>
      <c r="C947" s="4" t="str">
        <f t="shared" si="158"/>
        <v/>
      </c>
      <c r="D947" s="107" t="str">
        <f>C947</f>
        <v/>
      </c>
      <c r="E947" s="564" t="str">
        <f>D947</f>
        <v/>
      </c>
      <c r="F947" s="564" t="str">
        <f t="shared" si="151"/>
        <v/>
      </c>
      <c r="G947" s="24"/>
      <c r="H947" s="565">
        <v>23</v>
      </c>
      <c r="I947" s="334" t="s">
        <v>33</v>
      </c>
      <c r="J947" s="357" t="s">
        <v>1407</v>
      </c>
      <c r="K947" s="322" t="s">
        <v>113</v>
      </c>
      <c r="L947" s="358" t="s">
        <v>1407</v>
      </c>
      <c r="M947" s="335" t="s">
        <v>2124</v>
      </c>
      <c r="N947" s="358" t="s">
        <v>1407</v>
      </c>
      <c r="O947" s="334" t="s">
        <v>33</v>
      </c>
      <c r="P947" s="332"/>
      <c r="Q947" s="363"/>
      <c r="R947" s="364"/>
      <c r="S947" s="364"/>
      <c r="T947" s="13" t="str">
        <f t="shared" si="155"/>
        <v>23調査結果-避難施設等-5（11）-調査結果</v>
      </c>
      <c r="V947" s="202"/>
      <c r="W947" s="202"/>
      <c r="X947" s="202"/>
    </row>
    <row r="948" spans="2:24">
      <c r="B948" s="107">
        <f>'1_入力シート【基本情報】'!$AR$436</f>
        <v>0</v>
      </c>
      <c r="C948" s="4" t="str">
        <f t="shared" si="158"/>
        <v/>
      </c>
      <c r="D948" s="107">
        <f>'1_入力シート【基本情報】'!$AR$436</f>
        <v>0</v>
      </c>
      <c r="E948" s="564">
        <f>'1_入力シート【基本情報】'!$AR$436</f>
        <v>0</v>
      </c>
      <c r="F948" s="564" t="str">
        <f t="shared" si="151"/>
        <v>0</v>
      </c>
      <c r="G948" s="24"/>
      <c r="H948" s="565">
        <v>23</v>
      </c>
      <c r="I948" s="334" t="s">
        <v>33</v>
      </c>
      <c r="J948" s="357" t="s">
        <v>1407</v>
      </c>
      <c r="K948" s="322" t="s">
        <v>113</v>
      </c>
      <c r="L948" s="358" t="s">
        <v>1407</v>
      </c>
      <c r="M948" s="325" t="s">
        <v>2124</v>
      </c>
      <c r="N948" s="358" t="s">
        <v>1407</v>
      </c>
      <c r="O948" s="326" t="s">
        <v>30</v>
      </c>
      <c r="P948" s="327"/>
      <c r="Q948" s="336"/>
      <c r="R948" s="364"/>
      <c r="S948" s="364"/>
      <c r="T948" s="13" t="str">
        <f t="shared" si="155"/>
        <v>23調査結果-避難施設等-5（11）-調査者番号</v>
      </c>
      <c r="V948" s="202"/>
      <c r="W948" s="202"/>
      <c r="X948" s="202"/>
    </row>
    <row r="949" spans="2:24">
      <c r="B949" s="107">
        <f>'1_入力シート【基本情報】'!$AT$436</f>
        <v>0</v>
      </c>
      <c r="C949" s="4" t="str">
        <f t="shared" si="158"/>
        <v/>
      </c>
      <c r="D949" s="107">
        <f>'1_入力シート【基本情報】'!$AT$436</f>
        <v>0</v>
      </c>
      <c r="E949" s="564">
        <f>'1_入力シート【基本情報】'!$AT$436</f>
        <v>0</v>
      </c>
      <c r="F949" s="564" t="str">
        <f t="shared" si="151"/>
        <v>0</v>
      </c>
      <c r="G949" s="24"/>
      <c r="H949" s="565">
        <v>23</v>
      </c>
      <c r="I949" s="334" t="s">
        <v>33</v>
      </c>
      <c r="J949" s="357" t="s">
        <v>1407</v>
      </c>
      <c r="K949" s="322" t="s">
        <v>113</v>
      </c>
      <c r="L949" s="358" t="s">
        <v>1407</v>
      </c>
      <c r="M949" s="325" t="s">
        <v>2124</v>
      </c>
      <c r="N949" s="358" t="s">
        <v>1407</v>
      </c>
      <c r="O949" s="326" t="s">
        <v>2028</v>
      </c>
      <c r="P949" s="332"/>
      <c r="Q949" s="363"/>
      <c r="R949" s="364"/>
      <c r="S949" s="364"/>
      <c r="T949" s="13" t="str">
        <f t="shared" si="155"/>
        <v>23調査結果-避難施設等-5（11）-指摘の具体的内容等</v>
      </c>
      <c r="V949" s="202"/>
      <c r="W949" s="202"/>
      <c r="X949" s="202"/>
    </row>
    <row r="950" spans="2:24">
      <c r="B950" s="107">
        <f>'1_入力シート【基本情報】'!$BD$436</f>
        <v>0</v>
      </c>
      <c r="C950" s="4" t="str">
        <f t="shared" si="158"/>
        <v/>
      </c>
      <c r="D950" s="107">
        <f>'1_入力シート【基本情報】'!$BD$436</f>
        <v>0</v>
      </c>
      <c r="E950" s="564">
        <f>'1_入力シート【基本情報】'!$BD$436</f>
        <v>0</v>
      </c>
      <c r="F950" s="564" t="str">
        <f t="shared" si="151"/>
        <v>0</v>
      </c>
      <c r="G950" s="24"/>
      <c r="H950" s="565">
        <v>23</v>
      </c>
      <c r="I950" s="334" t="s">
        <v>33</v>
      </c>
      <c r="J950" s="357" t="s">
        <v>1407</v>
      </c>
      <c r="K950" s="322" t="s">
        <v>113</v>
      </c>
      <c r="L950" s="358" t="s">
        <v>1407</v>
      </c>
      <c r="M950" s="325" t="s">
        <v>2124</v>
      </c>
      <c r="N950" s="358" t="s">
        <v>1407</v>
      </c>
      <c r="O950" s="326" t="s">
        <v>2029</v>
      </c>
      <c r="P950" s="332"/>
      <c r="Q950" s="363"/>
      <c r="R950" s="364"/>
      <c r="S950" s="364"/>
      <c r="T950" s="13" t="str">
        <f t="shared" si="155"/>
        <v>23調査結果-避難施設等-5（11）-改善策の具体的内容等</v>
      </c>
      <c r="V950" s="202"/>
      <c r="W950" s="202"/>
      <c r="X950" s="202"/>
    </row>
    <row r="951" spans="2:24" ht="19">
      <c r="B951" s="107">
        <f>'1_入力シート【基本情報】'!$BS$436</f>
        <v>0</v>
      </c>
      <c r="C951" s="493" t="str">
        <f t="shared" ref="C951:E952" si="161">ASC($D951)</f>
        <v>0</v>
      </c>
      <c r="D951" s="107">
        <f>'1_入力シート【基本情報】'!$BS$436</f>
        <v>0</v>
      </c>
      <c r="E951" s="7" t="str">
        <f t="shared" si="161"/>
        <v>0</v>
      </c>
      <c r="F951" s="7" t="str">
        <f t="shared" si="151"/>
        <v>0</v>
      </c>
      <c r="G951" s="24"/>
      <c r="H951" s="565">
        <v>23</v>
      </c>
      <c r="I951" s="334" t="s">
        <v>33</v>
      </c>
      <c r="J951" s="357" t="s">
        <v>1407</v>
      </c>
      <c r="K951" s="322" t="s">
        <v>113</v>
      </c>
      <c r="L951" s="358" t="s">
        <v>1407</v>
      </c>
      <c r="M951" s="325" t="s">
        <v>2124</v>
      </c>
      <c r="N951" s="358" t="s">
        <v>1407</v>
      </c>
      <c r="O951" s="326" t="s">
        <v>387</v>
      </c>
      <c r="P951" s="332" t="s">
        <v>1879</v>
      </c>
      <c r="Q951" s="363" t="s">
        <v>1966</v>
      </c>
      <c r="R951" s="203"/>
      <c r="S951" s="203"/>
      <c r="T951" s="13" t="str">
        <f t="shared" si="155"/>
        <v>23調査結果-避難施設等-5（11）-改善（予定）年月-年（令和）</v>
      </c>
      <c r="V951" s="202"/>
      <c r="W951" s="202"/>
      <c r="X951" s="202"/>
    </row>
    <row r="952" spans="2:24" ht="19">
      <c r="B952" s="107">
        <f>'1_入力シート【基本情報】'!$BV$436</f>
        <v>0</v>
      </c>
      <c r="C952" s="493" t="str">
        <f t="shared" si="161"/>
        <v>0</v>
      </c>
      <c r="D952" s="107">
        <f>'1_入力シート【基本情報】'!$BV$436</f>
        <v>0</v>
      </c>
      <c r="E952" s="7" t="str">
        <f t="shared" si="161"/>
        <v>0</v>
      </c>
      <c r="F952" s="7" t="str">
        <f t="shared" si="151"/>
        <v>0</v>
      </c>
      <c r="G952" s="24"/>
      <c r="H952" s="565">
        <v>23</v>
      </c>
      <c r="I952" s="334" t="s">
        <v>33</v>
      </c>
      <c r="J952" s="357" t="s">
        <v>1407</v>
      </c>
      <c r="K952" s="322" t="s">
        <v>113</v>
      </c>
      <c r="L952" s="358" t="s">
        <v>1407</v>
      </c>
      <c r="M952" s="325" t="s">
        <v>2124</v>
      </c>
      <c r="N952" s="358" t="s">
        <v>1407</v>
      </c>
      <c r="O952" s="326" t="s">
        <v>387</v>
      </c>
      <c r="P952" s="332" t="s">
        <v>1879</v>
      </c>
      <c r="Q952" s="363" t="s">
        <v>383</v>
      </c>
      <c r="R952" s="364"/>
      <c r="S952" s="364"/>
      <c r="T952" s="13" t="str">
        <f t="shared" si="155"/>
        <v>23調査結果-避難施設等-5（11）-改善（予定）年月-月</v>
      </c>
      <c r="V952" s="202"/>
      <c r="W952" s="202"/>
      <c r="X952" s="202"/>
    </row>
    <row r="953" spans="2:24">
      <c r="B953" s="107">
        <f>'1_入力シート【基本情報】'!$BY$436</f>
        <v>0</v>
      </c>
      <c r="C953" s="4" t="str">
        <f t="shared" si="158"/>
        <v/>
      </c>
      <c r="D953" s="107">
        <f>'1_入力シート【基本情報】'!$BY$436</f>
        <v>0</v>
      </c>
      <c r="E953" s="564">
        <f>'1_入力シート【基本情報】'!$BY$436</f>
        <v>0</v>
      </c>
      <c r="F953" s="564" t="str">
        <f t="shared" si="151"/>
        <v>0</v>
      </c>
      <c r="G953" s="24"/>
      <c r="H953" s="565">
        <v>23</v>
      </c>
      <c r="I953" s="334" t="s">
        <v>33</v>
      </c>
      <c r="J953" s="357" t="s">
        <v>1407</v>
      </c>
      <c r="K953" s="322" t="s">
        <v>113</v>
      </c>
      <c r="L953" s="358" t="s">
        <v>1407</v>
      </c>
      <c r="M953" s="325" t="s">
        <v>2124</v>
      </c>
      <c r="N953" s="358" t="s">
        <v>1407</v>
      </c>
      <c r="O953" s="334" t="s">
        <v>387</v>
      </c>
      <c r="P953" s="332" t="s">
        <v>1879</v>
      </c>
      <c r="Q953" s="363" t="s">
        <v>675</v>
      </c>
      <c r="R953" s="364"/>
      <c r="S953" s="364"/>
      <c r="T953" s="13" t="str">
        <f t="shared" si="155"/>
        <v>23調査結果-避難施設等-5（11）-改善（予定）年月-未定</v>
      </c>
      <c r="V953" s="202"/>
      <c r="W953" s="202"/>
      <c r="X953" s="202"/>
    </row>
    <row r="954" spans="2:24">
      <c r="B954" s="107">
        <f>'1_入力シート【基本情報】'!$AF$437</f>
        <v>0</v>
      </c>
      <c r="C954" s="4" t="str">
        <f t="shared" si="158"/>
        <v/>
      </c>
      <c r="D954" s="107" t="str">
        <f>C954</f>
        <v/>
      </c>
      <c r="E954" s="564" t="str">
        <f>D954</f>
        <v/>
      </c>
      <c r="F954" s="564" t="str">
        <f t="shared" si="151"/>
        <v/>
      </c>
      <c r="G954" s="24"/>
      <c r="H954" s="565">
        <v>23</v>
      </c>
      <c r="I954" s="334" t="s">
        <v>33</v>
      </c>
      <c r="J954" s="357" t="s">
        <v>1407</v>
      </c>
      <c r="K954" s="322" t="s">
        <v>113</v>
      </c>
      <c r="L954" s="358" t="s">
        <v>1407</v>
      </c>
      <c r="M954" s="325" t="s">
        <v>2125</v>
      </c>
      <c r="N954" s="358" t="s">
        <v>1407</v>
      </c>
      <c r="O954" s="334" t="s">
        <v>33</v>
      </c>
      <c r="P954" s="332"/>
      <c r="Q954" s="363"/>
      <c r="R954" s="364"/>
      <c r="S954" s="364"/>
      <c r="T954" s="13" t="str">
        <f t="shared" si="155"/>
        <v>23調査結果-避難施設等-5（12）-調査結果</v>
      </c>
      <c r="V954" s="202"/>
      <c r="W954" s="202"/>
      <c r="X954" s="202"/>
    </row>
    <row r="955" spans="2:24">
      <c r="B955" s="107">
        <f>'1_入力シート【基本情報】'!$AR$437</f>
        <v>0</v>
      </c>
      <c r="C955" s="4" t="str">
        <f t="shared" si="158"/>
        <v/>
      </c>
      <c r="D955" s="107">
        <f>'1_入力シート【基本情報】'!$AR$437</f>
        <v>0</v>
      </c>
      <c r="E955" s="564">
        <f>'1_入力シート【基本情報】'!$AR$437</f>
        <v>0</v>
      </c>
      <c r="F955" s="564" t="str">
        <f t="shared" si="151"/>
        <v>0</v>
      </c>
      <c r="G955" s="24"/>
      <c r="H955" s="565">
        <v>23</v>
      </c>
      <c r="I955" s="334" t="s">
        <v>33</v>
      </c>
      <c r="J955" s="357" t="s">
        <v>1407</v>
      </c>
      <c r="K955" s="322" t="s">
        <v>113</v>
      </c>
      <c r="L955" s="358" t="s">
        <v>1407</v>
      </c>
      <c r="M955" s="325" t="s">
        <v>2125</v>
      </c>
      <c r="N955" s="358" t="s">
        <v>1407</v>
      </c>
      <c r="O955" s="334" t="s">
        <v>30</v>
      </c>
      <c r="P955" s="332"/>
      <c r="Q955" s="363"/>
      <c r="R955" s="364"/>
      <c r="S955" s="364"/>
      <c r="T955" s="13" t="str">
        <f t="shared" si="155"/>
        <v>23調査結果-避難施設等-5（12）-調査者番号</v>
      </c>
      <c r="V955" s="202"/>
      <c r="W955" s="202"/>
      <c r="X955" s="202"/>
    </row>
    <row r="956" spans="2:24">
      <c r="B956" s="107">
        <f>'1_入力シート【基本情報】'!$AT$437</f>
        <v>0</v>
      </c>
      <c r="C956" s="4" t="str">
        <f t="shared" si="158"/>
        <v/>
      </c>
      <c r="D956" s="107">
        <f>'1_入力シート【基本情報】'!$AT$437</f>
        <v>0</v>
      </c>
      <c r="E956" s="564">
        <f>'1_入力シート【基本情報】'!$AT$437</f>
        <v>0</v>
      </c>
      <c r="F956" s="564" t="str">
        <f t="shared" si="151"/>
        <v>0</v>
      </c>
      <c r="G956" s="24"/>
      <c r="H956" s="565">
        <v>23</v>
      </c>
      <c r="I956" s="334" t="s">
        <v>33</v>
      </c>
      <c r="J956" s="357" t="s">
        <v>1407</v>
      </c>
      <c r="K956" s="322" t="s">
        <v>113</v>
      </c>
      <c r="L956" s="358" t="s">
        <v>1407</v>
      </c>
      <c r="M956" s="325" t="s">
        <v>2125</v>
      </c>
      <c r="N956" s="358" t="s">
        <v>1407</v>
      </c>
      <c r="O956" s="326" t="s">
        <v>2028</v>
      </c>
      <c r="P956" s="327"/>
      <c r="Q956" s="336"/>
      <c r="R956" s="364"/>
      <c r="S956" s="364"/>
      <c r="T956" s="13" t="str">
        <f t="shared" si="155"/>
        <v>23調査結果-避難施設等-5（12）-指摘の具体的内容等</v>
      </c>
      <c r="V956" s="202"/>
      <c r="W956" s="202"/>
      <c r="X956" s="202"/>
    </row>
    <row r="957" spans="2:24">
      <c r="B957" s="107">
        <f>'1_入力シート【基本情報】'!$BD$437</f>
        <v>0</v>
      </c>
      <c r="C957" s="4" t="str">
        <f t="shared" si="158"/>
        <v/>
      </c>
      <c r="D957" s="107">
        <f>'1_入力シート【基本情報】'!$BD$437</f>
        <v>0</v>
      </c>
      <c r="E957" s="564">
        <f>'1_入力シート【基本情報】'!$BD$437</f>
        <v>0</v>
      </c>
      <c r="F957" s="564" t="str">
        <f t="shared" si="151"/>
        <v>0</v>
      </c>
      <c r="G957" s="24"/>
      <c r="H957" s="565">
        <v>23</v>
      </c>
      <c r="I957" s="334" t="s">
        <v>33</v>
      </c>
      <c r="J957" s="357" t="s">
        <v>1407</v>
      </c>
      <c r="K957" s="322" t="s">
        <v>113</v>
      </c>
      <c r="L957" s="358" t="s">
        <v>1407</v>
      </c>
      <c r="M957" s="325" t="s">
        <v>2125</v>
      </c>
      <c r="N957" s="358" t="s">
        <v>1407</v>
      </c>
      <c r="O957" s="326" t="s">
        <v>2029</v>
      </c>
      <c r="P957" s="332"/>
      <c r="Q957" s="363"/>
      <c r="R957" s="364"/>
      <c r="S957" s="364"/>
      <c r="T957" s="13" t="str">
        <f t="shared" si="155"/>
        <v>23調査結果-避難施設等-5（12）-改善策の具体的内容等</v>
      </c>
      <c r="V957" s="202"/>
      <c r="W957" s="202"/>
      <c r="X957" s="202"/>
    </row>
    <row r="958" spans="2:24" ht="19">
      <c r="B958" s="107">
        <f>'1_入力シート【基本情報】'!$BS$437</f>
        <v>0</v>
      </c>
      <c r="C958" s="493" t="str">
        <f t="shared" ref="C958:E959" si="162">ASC($D958)</f>
        <v>0</v>
      </c>
      <c r="D958" s="107">
        <f>'1_入力シート【基本情報】'!$BS$437</f>
        <v>0</v>
      </c>
      <c r="E958" s="7" t="str">
        <f t="shared" si="162"/>
        <v>0</v>
      </c>
      <c r="F958" s="7" t="str">
        <f t="shared" si="151"/>
        <v>0</v>
      </c>
      <c r="G958" s="24"/>
      <c r="H958" s="565">
        <v>23</v>
      </c>
      <c r="I958" s="334" t="s">
        <v>33</v>
      </c>
      <c r="J958" s="357" t="s">
        <v>1407</v>
      </c>
      <c r="K958" s="322" t="s">
        <v>113</v>
      </c>
      <c r="L958" s="358" t="s">
        <v>1407</v>
      </c>
      <c r="M958" s="325" t="s">
        <v>2125</v>
      </c>
      <c r="N958" s="358" t="s">
        <v>1407</v>
      </c>
      <c r="O958" s="326" t="s">
        <v>387</v>
      </c>
      <c r="P958" s="332" t="s">
        <v>1879</v>
      </c>
      <c r="Q958" s="363" t="s">
        <v>1966</v>
      </c>
      <c r="R958" s="364"/>
      <c r="S958" s="364"/>
      <c r="T958" s="13" t="str">
        <f t="shared" si="155"/>
        <v>23調査結果-避難施設等-5（12）-改善（予定）年月-年（令和）</v>
      </c>
      <c r="V958" s="202"/>
      <c r="W958" s="202"/>
      <c r="X958" s="202"/>
    </row>
    <row r="959" spans="2:24" ht="19">
      <c r="B959" s="107">
        <f>'1_入力シート【基本情報】'!$BV$437</f>
        <v>0</v>
      </c>
      <c r="C959" s="493" t="str">
        <f t="shared" si="162"/>
        <v>0</v>
      </c>
      <c r="D959" s="107">
        <f>'1_入力シート【基本情報】'!$BV$437</f>
        <v>0</v>
      </c>
      <c r="E959" s="7" t="str">
        <f t="shared" si="162"/>
        <v>0</v>
      </c>
      <c r="F959" s="7" t="str">
        <f t="shared" si="151"/>
        <v>0</v>
      </c>
      <c r="G959" s="24"/>
      <c r="H959" s="565">
        <v>23</v>
      </c>
      <c r="I959" s="334" t="s">
        <v>33</v>
      </c>
      <c r="J959" s="357" t="s">
        <v>1407</v>
      </c>
      <c r="K959" s="322" t="s">
        <v>113</v>
      </c>
      <c r="L959" s="358" t="s">
        <v>1407</v>
      </c>
      <c r="M959" s="325" t="s">
        <v>2125</v>
      </c>
      <c r="N959" s="358" t="s">
        <v>1407</v>
      </c>
      <c r="O959" s="326" t="s">
        <v>387</v>
      </c>
      <c r="P959" s="332" t="s">
        <v>1879</v>
      </c>
      <c r="Q959" s="363" t="s">
        <v>383</v>
      </c>
      <c r="R959" s="203"/>
      <c r="S959" s="203"/>
      <c r="T959" s="13" t="str">
        <f t="shared" si="155"/>
        <v>23調査結果-避難施設等-5（12）-改善（予定）年月-月</v>
      </c>
      <c r="V959" s="202"/>
      <c r="W959" s="202"/>
      <c r="X959" s="202"/>
    </row>
    <row r="960" spans="2:24">
      <c r="B960" s="107">
        <f>'1_入力シート【基本情報】'!$BY$437</f>
        <v>0</v>
      </c>
      <c r="C960" s="4" t="str">
        <f t="shared" si="158"/>
        <v/>
      </c>
      <c r="D960" s="107">
        <f>'1_入力シート【基本情報】'!$BY$437</f>
        <v>0</v>
      </c>
      <c r="E960" s="564">
        <f>'1_入力シート【基本情報】'!$BY$437</f>
        <v>0</v>
      </c>
      <c r="F960" s="564" t="str">
        <f t="shared" si="151"/>
        <v>0</v>
      </c>
      <c r="G960" s="24"/>
      <c r="H960" s="565">
        <v>23</v>
      </c>
      <c r="I960" s="334" t="s">
        <v>33</v>
      </c>
      <c r="J960" s="357" t="s">
        <v>1407</v>
      </c>
      <c r="K960" s="322" t="s">
        <v>113</v>
      </c>
      <c r="L960" s="358" t="s">
        <v>1407</v>
      </c>
      <c r="M960" s="325" t="s">
        <v>2125</v>
      </c>
      <c r="N960" s="358" t="s">
        <v>1407</v>
      </c>
      <c r="O960" s="326" t="s">
        <v>387</v>
      </c>
      <c r="P960" s="332" t="s">
        <v>1879</v>
      </c>
      <c r="Q960" s="363" t="s">
        <v>675</v>
      </c>
      <c r="R960" s="364"/>
      <c r="S960" s="364"/>
      <c r="T960" s="13" t="str">
        <f t="shared" si="155"/>
        <v>23調査結果-避難施設等-5（12）-改善（予定）年月-未定</v>
      </c>
      <c r="V960" s="202"/>
      <c r="W960" s="202"/>
      <c r="X960" s="202"/>
    </row>
    <row r="961" spans="2:24">
      <c r="B961" s="107">
        <f>'1_入力シート【基本情報】'!$AF$438</f>
        <v>0</v>
      </c>
      <c r="C961" s="4" t="str">
        <f t="shared" si="158"/>
        <v/>
      </c>
      <c r="D961" s="107" t="str">
        <f>C961</f>
        <v/>
      </c>
      <c r="E961" s="564" t="str">
        <f>D961</f>
        <v/>
      </c>
      <c r="F961" s="564" t="str">
        <f t="shared" si="151"/>
        <v/>
      </c>
      <c r="G961" s="24"/>
      <c r="H961" s="565">
        <v>23</v>
      </c>
      <c r="I961" s="334" t="s">
        <v>33</v>
      </c>
      <c r="J961" s="357" t="s">
        <v>1407</v>
      </c>
      <c r="K961" s="322" t="s">
        <v>113</v>
      </c>
      <c r="L961" s="358" t="s">
        <v>1407</v>
      </c>
      <c r="M961" s="325" t="s">
        <v>2126</v>
      </c>
      <c r="N961" s="358" t="s">
        <v>1407</v>
      </c>
      <c r="O961" s="334" t="s">
        <v>33</v>
      </c>
      <c r="P961" s="332"/>
      <c r="Q961" s="363"/>
      <c r="R961" s="364"/>
      <c r="S961" s="364"/>
      <c r="T961" s="13" t="str">
        <f t="shared" si="155"/>
        <v>23調査結果-避難施設等-5（13）-調査結果</v>
      </c>
      <c r="V961" s="202"/>
      <c r="W961" s="202"/>
      <c r="X961" s="202"/>
    </row>
    <row r="962" spans="2:24">
      <c r="B962" s="107">
        <f>'1_入力シート【基本情報】'!$AR$438</f>
        <v>0</v>
      </c>
      <c r="C962" s="4" t="str">
        <f t="shared" si="158"/>
        <v/>
      </c>
      <c r="D962" s="107">
        <f>'1_入力シート【基本情報】'!$AR$438</f>
        <v>0</v>
      </c>
      <c r="E962" s="564">
        <f>'1_入力シート【基本情報】'!$AR$438</f>
        <v>0</v>
      </c>
      <c r="F962" s="564" t="str">
        <f t="shared" si="151"/>
        <v>0</v>
      </c>
      <c r="G962" s="24"/>
      <c r="H962" s="565">
        <v>23</v>
      </c>
      <c r="I962" s="334" t="s">
        <v>33</v>
      </c>
      <c r="J962" s="357" t="s">
        <v>1407</v>
      </c>
      <c r="K962" s="322" t="s">
        <v>113</v>
      </c>
      <c r="L962" s="358" t="s">
        <v>1407</v>
      </c>
      <c r="M962" s="325" t="s">
        <v>2126</v>
      </c>
      <c r="N962" s="358" t="s">
        <v>1407</v>
      </c>
      <c r="O962" s="334" t="s">
        <v>30</v>
      </c>
      <c r="P962" s="332"/>
      <c r="Q962" s="363"/>
      <c r="R962" s="364"/>
      <c r="S962" s="364"/>
      <c r="T962" s="13" t="str">
        <f t="shared" si="155"/>
        <v>23調査結果-避難施設等-5（13）-調査者番号</v>
      </c>
      <c r="V962" s="202"/>
      <c r="W962" s="202"/>
      <c r="X962" s="202"/>
    </row>
    <row r="963" spans="2:24">
      <c r="B963" s="107">
        <f>'1_入力シート【基本情報】'!$AT$438</f>
        <v>0</v>
      </c>
      <c r="C963" s="4" t="str">
        <f t="shared" si="158"/>
        <v/>
      </c>
      <c r="D963" s="107">
        <f>'1_入力シート【基本情報】'!$AT$438</f>
        <v>0</v>
      </c>
      <c r="E963" s="564">
        <f>'1_入力シート【基本情報】'!$AT$438</f>
        <v>0</v>
      </c>
      <c r="F963" s="564" t="str">
        <f t="shared" si="151"/>
        <v>0</v>
      </c>
      <c r="G963" s="24"/>
      <c r="H963" s="565">
        <v>23</v>
      </c>
      <c r="I963" s="334" t="s">
        <v>33</v>
      </c>
      <c r="J963" s="357" t="s">
        <v>1407</v>
      </c>
      <c r="K963" s="322" t="s">
        <v>113</v>
      </c>
      <c r="L963" s="358" t="s">
        <v>1407</v>
      </c>
      <c r="M963" s="325" t="s">
        <v>2126</v>
      </c>
      <c r="N963" s="358" t="s">
        <v>1407</v>
      </c>
      <c r="O963" s="334" t="s">
        <v>2028</v>
      </c>
      <c r="P963" s="332"/>
      <c r="Q963" s="363"/>
      <c r="R963" s="364"/>
      <c r="S963" s="364"/>
      <c r="T963" s="13" t="str">
        <f t="shared" si="155"/>
        <v>23調査結果-避難施設等-5（13）-指摘の具体的内容等</v>
      </c>
      <c r="V963" s="202"/>
      <c r="W963" s="202"/>
      <c r="X963" s="202"/>
    </row>
    <row r="964" spans="2:24">
      <c r="B964" s="107">
        <f>'1_入力シート【基本情報】'!$BD$438</f>
        <v>0</v>
      </c>
      <c r="C964" s="4" t="str">
        <f t="shared" si="158"/>
        <v/>
      </c>
      <c r="D964" s="107">
        <f>'1_入力シート【基本情報】'!$BD$438</f>
        <v>0</v>
      </c>
      <c r="E964" s="564">
        <f>'1_入力シート【基本情報】'!$BD$438</f>
        <v>0</v>
      </c>
      <c r="F964" s="564" t="str">
        <f t="shared" si="151"/>
        <v>0</v>
      </c>
      <c r="G964" s="24"/>
      <c r="H964" s="565">
        <v>23</v>
      </c>
      <c r="I964" s="334" t="s">
        <v>33</v>
      </c>
      <c r="J964" s="357" t="s">
        <v>1407</v>
      </c>
      <c r="K964" s="322" t="s">
        <v>113</v>
      </c>
      <c r="L964" s="358" t="s">
        <v>1407</v>
      </c>
      <c r="M964" s="325" t="s">
        <v>2126</v>
      </c>
      <c r="N964" s="358" t="s">
        <v>1407</v>
      </c>
      <c r="O964" s="326" t="s">
        <v>2029</v>
      </c>
      <c r="P964" s="327"/>
      <c r="Q964" s="336"/>
      <c r="R964" s="364"/>
      <c r="S964" s="364"/>
      <c r="T964" s="13" t="str">
        <f t="shared" si="155"/>
        <v>23調査結果-避難施設等-5（13）-改善策の具体的内容等</v>
      </c>
      <c r="V964" s="202"/>
      <c r="W964" s="202"/>
      <c r="X964" s="202"/>
    </row>
    <row r="965" spans="2:24" ht="19">
      <c r="B965" s="107">
        <f>'1_入力シート【基本情報】'!$BS$438</f>
        <v>0</v>
      </c>
      <c r="C965" s="493" t="str">
        <f t="shared" ref="C965:E966" si="163">ASC($D965)</f>
        <v>0</v>
      </c>
      <c r="D965" s="107">
        <f>'1_入力シート【基本情報】'!$BS$438</f>
        <v>0</v>
      </c>
      <c r="E965" s="7" t="str">
        <f t="shared" si="163"/>
        <v>0</v>
      </c>
      <c r="F965" s="7" t="str">
        <f t="shared" ref="F965:F1028" si="164">SUBSTITUTE(E965,CHAR(10),"")</f>
        <v>0</v>
      </c>
      <c r="G965" s="24"/>
      <c r="H965" s="565">
        <v>23</v>
      </c>
      <c r="I965" s="334" t="s">
        <v>33</v>
      </c>
      <c r="J965" s="357" t="s">
        <v>1407</v>
      </c>
      <c r="K965" s="322" t="s">
        <v>113</v>
      </c>
      <c r="L965" s="358" t="s">
        <v>1407</v>
      </c>
      <c r="M965" s="325" t="s">
        <v>2126</v>
      </c>
      <c r="N965" s="358" t="s">
        <v>1407</v>
      </c>
      <c r="O965" s="326" t="s">
        <v>387</v>
      </c>
      <c r="P965" s="332" t="s">
        <v>1879</v>
      </c>
      <c r="Q965" s="363" t="s">
        <v>1966</v>
      </c>
      <c r="R965" s="364"/>
      <c r="S965" s="364"/>
      <c r="T965" s="13" t="str">
        <f t="shared" si="155"/>
        <v>23調査結果-避難施設等-5（13）-改善（予定）年月-年（令和）</v>
      </c>
      <c r="V965" s="202"/>
      <c r="W965" s="202"/>
      <c r="X965" s="202"/>
    </row>
    <row r="966" spans="2:24" ht="19">
      <c r="B966" s="107">
        <f>'1_入力シート【基本情報】'!$BV$438</f>
        <v>0</v>
      </c>
      <c r="C966" s="493" t="str">
        <f t="shared" si="163"/>
        <v>0</v>
      </c>
      <c r="D966" s="107">
        <f>'1_入力シート【基本情報】'!$BV$438</f>
        <v>0</v>
      </c>
      <c r="E966" s="7" t="str">
        <f t="shared" si="163"/>
        <v>0</v>
      </c>
      <c r="F966" s="7" t="str">
        <f t="shared" si="164"/>
        <v>0</v>
      </c>
      <c r="G966" s="24"/>
      <c r="H966" s="565">
        <v>23</v>
      </c>
      <c r="I966" s="334" t="s">
        <v>33</v>
      </c>
      <c r="J966" s="357" t="s">
        <v>1407</v>
      </c>
      <c r="K966" s="322" t="s">
        <v>113</v>
      </c>
      <c r="L966" s="358" t="s">
        <v>1407</v>
      </c>
      <c r="M966" s="325" t="s">
        <v>2126</v>
      </c>
      <c r="N966" s="358" t="s">
        <v>1407</v>
      </c>
      <c r="O966" s="326" t="s">
        <v>387</v>
      </c>
      <c r="P966" s="332" t="s">
        <v>1879</v>
      </c>
      <c r="Q966" s="363" t="s">
        <v>383</v>
      </c>
      <c r="R966" s="364"/>
      <c r="S966" s="364"/>
      <c r="T966" s="13" t="str">
        <f t="shared" si="155"/>
        <v>23調査結果-避難施設等-5（13）-改善（予定）年月-月</v>
      </c>
      <c r="V966" s="202"/>
      <c r="W966" s="202"/>
      <c r="X966" s="202"/>
    </row>
    <row r="967" spans="2:24">
      <c r="B967" s="107">
        <f>'1_入力シート【基本情報】'!$BY$438</f>
        <v>0</v>
      </c>
      <c r="C967" s="4" t="str">
        <f t="shared" si="158"/>
        <v/>
      </c>
      <c r="D967" s="107">
        <f>'1_入力シート【基本情報】'!$BY$438</f>
        <v>0</v>
      </c>
      <c r="E967" s="564">
        <f>'1_入力シート【基本情報】'!$BY$438</f>
        <v>0</v>
      </c>
      <c r="F967" s="564" t="str">
        <f t="shared" si="164"/>
        <v>0</v>
      </c>
      <c r="G967" s="24"/>
      <c r="H967" s="565">
        <v>23</v>
      </c>
      <c r="I967" s="334" t="s">
        <v>33</v>
      </c>
      <c r="J967" s="357" t="s">
        <v>1407</v>
      </c>
      <c r="K967" s="322" t="s">
        <v>113</v>
      </c>
      <c r="L967" s="358" t="s">
        <v>1407</v>
      </c>
      <c r="M967" s="325" t="s">
        <v>2126</v>
      </c>
      <c r="N967" s="358" t="s">
        <v>1407</v>
      </c>
      <c r="O967" s="326" t="s">
        <v>387</v>
      </c>
      <c r="P967" s="332" t="s">
        <v>1879</v>
      </c>
      <c r="Q967" s="363" t="s">
        <v>675</v>
      </c>
      <c r="R967" s="203"/>
      <c r="S967" s="203"/>
      <c r="T967" s="13" t="str">
        <f t="shared" si="155"/>
        <v>23調査結果-避難施設等-5（13）-改善（予定）年月-未定</v>
      </c>
      <c r="V967" s="202"/>
      <c r="W967" s="202"/>
      <c r="X967" s="202"/>
    </row>
    <row r="968" spans="2:24">
      <c r="B968" s="107">
        <f>'1_入力シート【基本情報】'!$AF$439</f>
        <v>0</v>
      </c>
      <c r="C968" s="4" t="str">
        <f t="shared" si="158"/>
        <v/>
      </c>
      <c r="D968" s="107" t="str">
        <f>C968</f>
        <v/>
      </c>
      <c r="E968" s="564" t="str">
        <f>D968</f>
        <v/>
      </c>
      <c r="F968" s="564" t="str">
        <f t="shared" si="164"/>
        <v/>
      </c>
      <c r="G968" s="24"/>
      <c r="H968" s="565">
        <v>23</v>
      </c>
      <c r="I968" s="334" t="s">
        <v>33</v>
      </c>
      <c r="J968" s="357" t="s">
        <v>1407</v>
      </c>
      <c r="K968" s="322" t="s">
        <v>113</v>
      </c>
      <c r="L968" s="358" t="s">
        <v>1407</v>
      </c>
      <c r="M968" s="325" t="s">
        <v>2127</v>
      </c>
      <c r="N968" s="358" t="s">
        <v>1407</v>
      </c>
      <c r="O968" s="326" t="s">
        <v>33</v>
      </c>
      <c r="P968" s="332"/>
      <c r="Q968" s="363"/>
      <c r="R968" s="364"/>
      <c r="S968" s="364"/>
      <c r="T968" s="13" t="str">
        <f t="shared" si="155"/>
        <v>23調査結果-避難施設等-5（14）-調査結果</v>
      </c>
      <c r="V968" s="202"/>
      <c r="W968" s="202"/>
      <c r="X968" s="202"/>
    </row>
    <row r="969" spans="2:24">
      <c r="B969" s="107">
        <f>'1_入力シート【基本情報】'!$AR$439</f>
        <v>0</v>
      </c>
      <c r="C969" s="4" t="str">
        <f t="shared" si="158"/>
        <v/>
      </c>
      <c r="D969" s="107">
        <f>'1_入力シート【基本情報】'!$AR$439</f>
        <v>0</v>
      </c>
      <c r="E969" s="564">
        <f>'1_入力シート【基本情報】'!$AR$439</f>
        <v>0</v>
      </c>
      <c r="F969" s="564" t="str">
        <f t="shared" si="164"/>
        <v>0</v>
      </c>
      <c r="G969" s="24"/>
      <c r="H969" s="565">
        <v>23</v>
      </c>
      <c r="I969" s="334" t="s">
        <v>33</v>
      </c>
      <c r="J969" s="357" t="s">
        <v>1407</v>
      </c>
      <c r="K969" s="322" t="s">
        <v>113</v>
      </c>
      <c r="L969" s="358" t="s">
        <v>1407</v>
      </c>
      <c r="M969" s="325" t="s">
        <v>2127</v>
      </c>
      <c r="N969" s="358" t="s">
        <v>1407</v>
      </c>
      <c r="O969" s="334" t="s">
        <v>30</v>
      </c>
      <c r="P969" s="332"/>
      <c r="Q969" s="363"/>
      <c r="R969" s="364"/>
      <c r="S969" s="364"/>
      <c r="T969" s="13" t="str">
        <f t="shared" si="155"/>
        <v>23調査結果-避難施設等-5（14）-調査者番号</v>
      </c>
      <c r="V969" s="202"/>
      <c r="W969" s="202"/>
      <c r="X969" s="202"/>
    </row>
    <row r="970" spans="2:24">
      <c r="B970" s="107">
        <f>'1_入力シート【基本情報】'!$AT$439</f>
        <v>0</v>
      </c>
      <c r="C970" s="4" t="str">
        <f t="shared" si="158"/>
        <v/>
      </c>
      <c r="D970" s="107">
        <f>'1_入力シート【基本情報】'!$AT$439</f>
        <v>0</v>
      </c>
      <c r="E970" s="564">
        <f>'1_入力シート【基本情報】'!$AT$439</f>
        <v>0</v>
      </c>
      <c r="F970" s="564" t="str">
        <f t="shared" si="164"/>
        <v>0</v>
      </c>
      <c r="G970" s="24"/>
      <c r="H970" s="565">
        <v>23</v>
      </c>
      <c r="I970" s="334" t="s">
        <v>33</v>
      </c>
      <c r="J970" s="357" t="s">
        <v>1407</v>
      </c>
      <c r="K970" s="322" t="s">
        <v>113</v>
      </c>
      <c r="L970" s="358" t="s">
        <v>1407</v>
      </c>
      <c r="M970" s="325" t="s">
        <v>2127</v>
      </c>
      <c r="N970" s="358" t="s">
        <v>1407</v>
      </c>
      <c r="O970" s="334" t="s">
        <v>2028</v>
      </c>
      <c r="P970" s="332"/>
      <c r="Q970" s="363"/>
      <c r="R970" s="364"/>
      <c r="S970" s="364"/>
      <c r="T970" s="13" t="str">
        <f t="shared" si="155"/>
        <v>23調査結果-避難施設等-5（14）-指摘の具体的内容等</v>
      </c>
      <c r="V970" s="202"/>
      <c r="W970" s="202"/>
      <c r="X970" s="202"/>
    </row>
    <row r="971" spans="2:24">
      <c r="B971" s="107">
        <f>'1_入力シート【基本情報】'!$BD$439</f>
        <v>0</v>
      </c>
      <c r="C971" s="4" t="str">
        <f t="shared" si="158"/>
        <v/>
      </c>
      <c r="D971" s="107">
        <f>'1_入力シート【基本情報】'!$BD$439</f>
        <v>0</v>
      </c>
      <c r="E971" s="564">
        <f>'1_入力シート【基本情報】'!$BD$439</f>
        <v>0</v>
      </c>
      <c r="F971" s="564" t="str">
        <f t="shared" si="164"/>
        <v>0</v>
      </c>
      <c r="G971" s="24"/>
      <c r="H971" s="565">
        <v>23</v>
      </c>
      <c r="I971" s="334" t="s">
        <v>33</v>
      </c>
      <c r="J971" s="357" t="s">
        <v>1407</v>
      </c>
      <c r="K971" s="322" t="s">
        <v>113</v>
      </c>
      <c r="L971" s="358" t="s">
        <v>1407</v>
      </c>
      <c r="M971" s="325" t="s">
        <v>2127</v>
      </c>
      <c r="N971" s="358" t="s">
        <v>1407</v>
      </c>
      <c r="O971" s="334" t="s">
        <v>2029</v>
      </c>
      <c r="P971" s="332"/>
      <c r="Q971" s="363"/>
      <c r="R971" s="364"/>
      <c r="S971" s="364"/>
      <c r="T971" s="13" t="str">
        <f t="shared" si="155"/>
        <v>23調査結果-避難施設等-5（14）-改善策の具体的内容等</v>
      </c>
      <c r="V971" s="202"/>
      <c r="W971" s="202"/>
      <c r="X971" s="202"/>
    </row>
    <row r="972" spans="2:24" ht="19">
      <c r="B972" s="107">
        <f>'1_入力シート【基本情報】'!$BS$439</f>
        <v>0</v>
      </c>
      <c r="C972" s="493" t="str">
        <f t="shared" ref="C972:E973" si="165">ASC($D972)</f>
        <v>0</v>
      </c>
      <c r="D972" s="107">
        <f>'1_入力シート【基本情報】'!$BS$439</f>
        <v>0</v>
      </c>
      <c r="E972" s="7" t="str">
        <f t="shared" si="165"/>
        <v>0</v>
      </c>
      <c r="F972" s="7" t="str">
        <f t="shared" si="164"/>
        <v>0</v>
      </c>
      <c r="G972" s="24"/>
      <c r="H972" s="565">
        <v>23</v>
      </c>
      <c r="I972" s="334" t="s">
        <v>33</v>
      </c>
      <c r="J972" s="357" t="s">
        <v>1407</v>
      </c>
      <c r="K972" s="322" t="s">
        <v>113</v>
      </c>
      <c r="L972" s="358" t="s">
        <v>1407</v>
      </c>
      <c r="M972" s="325" t="s">
        <v>2127</v>
      </c>
      <c r="N972" s="358" t="s">
        <v>1407</v>
      </c>
      <c r="O972" s="326" t="s">
        <v>387</v>
      </c>
      <c r="P972" s="327" t="s">
        <v>1879</v>
      </c>
      <c r="Q972" s="336" t="s">
        <v>1966</v>
      </c>
      <c r="R972" s="364"/>
      <c r="S972" s="364"/>
      <c r="T972" s="13" t="str">
        <f t="shared" si="155"/>
        <v>23調査結果-避難施設等-5（14）-改善（予定）年月-年（令和）</v>
      </c>
      <c r="V972" s="202"/>
      <c r="W972" s="202"/>
      <c r="X972" s="202"/>
    </row>
    <row r="973" spans="2:24" ht="19">
      <c r="B973" s="107">
        <f>'1_入力シート【基本情報】'!$BV$439</f>
        <v>0</v>
      </c>
      <c r="C973" s="493" t="str">
        <f t="shared" si="165"/>
        <v>0</v>
      </c>
      <c r="D973" s="107">
        <f>'1_入力シート【基本情報】'!$BV$439</f>
        <v>0</v>
      </c>
      <c r="E973" s="7" t="str">
        <f t="shared" si="165"/>
        <v>0</v>
      </c>
      <c r="F973" s="7" t="str">
        <f t="shared" si="164"/>
        <v>0</v>
      </c>
      <c r="G973" s="24"/>
      <c r="H973" s="565">
        <v>23</v>
      </c>
      <c r="I973" s="334" t="s">
        <v>33</v>
      </c>
      <c r="J973" s="357" t="s">
        <v>1407</v>
      </c>
      <c r="K973" s="322" t="s">
        <v>113</v>
      </c>
      <c r="L973" s="358" t="s">
        <v>1407</v>
      </c>
      <c r="M973" s="325" t="s">
        <v>2127</v>
      </c>
      <c r="N973" s="358" t="s">
        <v>1407</v>
      </c>
      <c r="O973" s="326" t="s">
        <v>387</v>
      </c>
      <c r="P973" s="332" t="s">
        <v>1879</v>
      </c>
      <c r="Q973" s="363" t="s">
        <v>383</v>
      </c>
      <c r="R973" s="364"/>
      <c r="S973" s="364"/>
      <c r="T973" s="13" t="str">
        <f t="shared" si="155"/>
        <v>23調査結果-避難施設等-5（14）-改善（予定）年月-月</v>
      </c>
      <c r="V973" s="202"/>
      <c r="W973" s="202"/>
      <c r="X973" s="202"/>
    </row>
    <row r="974" spans="2:24">
      <c r="B974" s="107">
        <f>'1_入力シート【基本情報】'!$BY$439</f>
        <v>0</v>
      </c>
      <c r="C974" s="4" t="str">
        <f t="shared" si="158"/>
        <v/>
      </c>
      <c r="D974" s="107">
        <f>'1_入力シート【基本情報】'!$BY$439</f>
        <v>0</v>
      </c>
      <c r="E974" s="564">
        <f>'1_入力シート【基本情報】'!$BY$439</f>
        <v>0</v>
      </c>
      <c r="F974" s="564" t="str">
        <f t="shared" si="164"/>
        <v>0</v>
      </c>
      <c r="G974" s="24"/>
      <c r="H974" s="565">
        <v>23</v>
      </c>
      <c r="I974" s="334" t="s">
        <v>33</v>
      </c>
      <c r="J974" s="357" t="s">
        <v>1407</v>
      </c>
      <c r="K974" s="322" t="s">
        <v>113</v>
      </c>
      <c r="L974" s="358" t="s">
        <v>1407</v>
      </c>
      <c r="M974" s="325" t="s">
        <v>2127</v>
      </c>
      <c r="N974" s="358" t="s">
        <v>1407</v>
      </c>
      <c r="O974" s="326" t="s">
        <v>387</v>
      </c>
      <c r="P974" s="332" t="s">
        <v>1879</v>
      </c>
      <c r="Q974" s="363" t="s">
        <v>675</v>
      </c>
      <c r="R974" s="364"/>
      <c r="S974" s="364"/>
      <c r="T974" s="13" t="str">
        <f t="shared" si="155"/>
        <v>23調査結果-避難施設等-5（14）-改善（予定）年月-未定</v>
      </c>
      <c r="V974" s="202"/>
      <c r="W974" s="202"/>
      <c r="X974" s="202"/>
    </row>
    <row r="975" spans="2:24">
      <c r="B975" s="107">
        <f>'1_入力シート【基本情報】'!$AF$440</f>
        <v>0</v>
      </c>
      <c r="C975" s="4" t="str">
        <f t="shared" si="158"/>
        <v/>
      </c>
      <c r="D975" s="107" t="str">
        <f>C975</f>
        <v/>
      </c>
      <c r="E975" s="564" t="str">
        <f>D975</f>
        <v/>
      </c>
      <c r="F975" s="564" t="str">
        <f t="shared" si="164"/>
        <v/>
      </c>
      <c r="G975" s="24"/>
      <c r="H975" s="565">
        <v>23</v>
      </c>
      <c r="I975" s="334" t="s">
        <v>33</v>
      </c>
      <c r="J975" s="357" t="s">
        <v>1407</v>
      </c>
      <c r="K975" s="322" t="s">
        <v>113</v>
      </c>
      <c r="L975" s="358" t="s">
        <v>1407</v>
      </c>
      <c r="M975" s="325" t="s">
        <v>2128</v>
      </c>
      <c r="N975" s="358" t="s">
        <v>1407</v>
      </c>
      <c r="O975" s="326" t="s">
        <v>33</v>
      </c>
      <c r="P975" s="332"/>
      <c r="Q975" s="363"/>
      <c r="R975" s="203"/>
      <c r="S975" s="203"/>
      <c r="T975" s="13" t="str">
        <f t="shared" si="155"/>
        <v>23調査結果-避難施設等-5（15）-調査結果</v>
      </c>
      <c r="V975" s="202"/>
      <c r="W975" s="202"/>
      <c r="X975" s="202"/>
    </row>
    <row r="976" spans="2:24">
      <c r="B976" s="107">
        <f>'1_入力シート【基本情報】'!$AR$440</f>
        <v>0</v>
      </c>
      <c r="C976" s="4" t="str">
        <f t="shared" si="158"/>
        <v/>
      </c>
      <c r="D976" s="107">
        <f>'1_入力シート【基本情報】'!$AR$440</f>
        <v>0</v>
      </c>
      <c r="E976" s="564">
        <f>'1_入力シート【基本情報】'!$AR$440</f>
        <v>0</v>
      </c>
      <c r="F976" s="564" t="str">
        <f t="shared" si="164"/>
        <v>0</v>
      </c>
      <c r="G976" s="24"/>
      <c r="H976" s="565">
        <v>23</v>
      </c>
      <c r="I976" s="334" t="s">
        <v>33</v>
      </c>
      <c r="J976" s="357" t="s">
        <v>1407</v>
      </c>
      <c r="K976" s="322" t="s">
        <v>113</v>
      </c>
      <c r="L976" s="358" t="s">
        <v>1407</v>
      </c>
      <c r="M976" s="325" t="s">
        <v>2128</v>
      </c>
      <c r="N976" s="358" t="s">
        <v>1407</v>
      </c>
      <c r="O976" s="326" t="s">
        <v>30</v>
      </c>
      <c r="P976" s="332"/>
      <c r="Q976" s="363"/>
      <c r="R976" s="364"/>
      <c r="S976" s="364"/>
      <c r="T976" s="13" t="str">
        <f t="shared" si="155"/>
        <v>23調査結果-避難施設等-5（15）-調査者番号</v>
      </c>
      <c r="V976" s="202"/>
      <c r="W976" s="202"/>
      <c r="X976" s="202"/>
    </row>
    <row r="977" spans="2:24">
      <c r="B977" s="107">
        <f>'1_入力シート【基本情報】'!$AT$440</f>
        <v>0</v>
      </c>
      <c r="C977" s="4" t="str">
        <f t="shared" si="158"/>
        <v/>
      </c>
      <c r="D977" s="107">
        <f>'1_入力シート【基本情報】'!$AT$440</f>
        <v>0</v>
      </c>
      <c r="E977" s="564">
        <f>'1_入力シート【基本情報】'!$AT$440</f>
        <v>0</v>
      </c>
      <c r="F977" s="564" t="str">
        <f t="shared" si="164"/>
        <v>0</v>
      </c>
      <c r="G977" s="24"/>
      <c r="H977" s="565">
        <v>23</v>
      </c>
      <c r="I977" s="334" t="s">
        <v>33</v>
      </c>
      <c r="J977" s="357" t="s">
        <v>1407</v>
      </c>
      <c r="K977" s="322" t="s">
        <v>113</v>
      </c>
      <c r="L977" s="358" t="s">
        <v>1407</v>
      </c>
      <c r="M977" s="325" t="s">
        <v>2128</v>
      </c>
      <c r="N977" s="358" t="s">
        <v>1407</v>
      </c>
      <c r="O977" s="334" t="s">
        <v>2028</v>
      </c>
      <c r="P977" s="332"/>
      <c r="Q977" s="363"/>
      <c r="R977" s="364"/>
      <c r="S977" s="364"/>
      <c r="T977" s="13" t="str">
        <f t="shared" si="155"/>
        <v>23調査結果-避難施設等-5（15）-指摘の具体的内容等</v>
      </c>
      <c r="V977" s="202"/>
      <c r="W977" s="202"/>
      <c r="X977" s="202"/>
    </row>
    <row r="978" spans="2:24">
      <c r="B978" s="107">
        <f>'1_入力シート【基本情報】'!$BD$440</f>
        <v>0</v>
      </c>
      <c r="C978" s="4" t="str">
        <f t="shared" si="158"/>
        <v/>
      </c>
      <c r="D978" s="107">
        <f>'1_入力シート【基本情報】'!$BD$440</f>
        <v>0</v>
      </c>
      <c r="E978" s="564">
        <f>'1_入力シート【基本情報】'!$BD$440</f>
        <v>0</v>
      </c>
      <c r="F978" s="564" t="str">
        <f t="shared" si="164"/>
        <v>0</v>
      </c>
      <c r="G978" s="24"/>
      <c r="H978" s="565">
        <v>23</v>
      </c>
      <c r="I978" s="334" t="s">
        <v>33</v>
      </c>
      <c r="J978" s="357" t="s">
        <v>1407</v>
      </c>
      <c r="K978" s="322" t="s">
        <v>113</v>
      </c>
      <c r="L978" s="358" t="s">
        <v>1407</v>
      </c>
      <c r="M978" s="325" t="s">
        <v>2128</v>
      </c>
      <c r="N978" s="358" t="s">
        <v>1407</v>
      </c>
      <c r="O978" s="334" t="s">
        <v>2029</v>
      </c>
      <c r="P978" s="332"/>
      <c r="Q978" s="363"/>
      <c r="R978" s="364"/>
      <c r="S978" s="364"/>
      <c r="T978" s="13" t="str">
        <f t="shared" si="155"/>
        <v>23調査結果-避難施設等-5（15）-改善策の具体的内容等</v>
      </c>
      <c r="V978" s="202"/>
      <c r="W978" s="202"/>
      <c r="X978" s="202"/>
    </row>
    <row r="979" spans="2:24" ht="19">
      <c r="B979" s="107">
        <f>'1_入力シート【基本情報】'!$BS$440</f>
        <v>0</v>
      </c>
      <c r="C979" s="493" t="str">
        <f t="shared" ref="C979:E980" si="166">ASC($D979)</f>
        <v>0</v>
      </c>
      <c r="D979" s="107">
        <f>'1_入力シート【基本情報】'!$BS$440</f>
        <v>0</v>
      </c>
      <c r="E979" s="7" t="str">
        <f t="shared" si="166"/>
        <v>0</v>
      </c>
      <c r="F979" s="7" t="str">
        <f t="shared" si="164"/>
        <v>0</v>
      </c>
      <c r="G979" s="24"/>
      <c r="H979" s="565">
        <v>23</v>
      </c>
      <c r="I979" s="334" t="s">
        <v>33</v>
      </c>
      <c r="J979" s="357" t="s">
        <v>1407</v>
      </c>
      <c r="K979" s="322" t="s">
        <v>113</v>
      </c>
      <c r="L979" s="358" t="s">
        <v>1407</v>
      </c>
      <c r="M979" s="325" t="s">
        <v>2128</v>
      </c>
      <c r="N979" s="358" t="s">
        <v>1407</v>
      </c>
      <c r="O979" s="334" t="s">
        <v>387</v>
      </c>
      <c r="P979" s="332" t="s">
        <v>1879</v>
      </c>
      <c r="Q979" s="363" t="s">
        <v>1966</v>
      </c>
      <c r="R979" s="364"/>
      <c r="S979" s="364"/>
      <c r="T979" s="13" t="str">
        <f t="shared" si="155"/>
        <v>23調査結果-避難施設等-5（15）-改善（予定）年月-年（令和）</v>
      </c>
      <c r="V979" s="202"/>
      <c r="W979" s="202"/>
      <c r="X979" s="202"/>
    </row>
    <row r="980" spans="2:24" ht="19">
      <c r="B980" s="107">
        <f>'1_入力シート【基本情報】'!$BV$440</f>
        <v>0</v>
      </c>
      <c r="C980" s="493" t="str">
        <f t="shared" si="166"/>
        <v>0</v>
      </c>
      <c r="D980" s="107">
        <f>'1_入力シート【基本情報】'!$BV$440</f>
        <v>0</v>
      </c>
      <c r="E980" s="7" t="str">
        <f t="shared" si="166"/>
        <v>0</v>
      </c>
      <c r="F980" s="7" t="str">
        <f t="shared" si="164"/>
        <v>0</v>
      </c>
      <c r="G980" s="24"/>
      <c r="H980" s="565">
        <v>23</v>
      </c>
      <c r="I980" s="334" t="s">
        <v>33</v>
      </c>
      <c r="J980" s="357" t="s">
        <v>1407</v>
      </c>
      <c r="K980" s="322" t="s">
        <v>113</v>
      </c>
      <c r="L980" s="358" t="s">
        <v>1407</v>
      </c>
      <c r="M980" s="325" t="s">
        <v>2128</v>
      </c>
      <c r="N980" s="358" t="s">
        <v>1407</v>
      </c>
      <c r="O980" s="326" t="s">
        <v>387</v>
      </c>
      <c r="P980" s="327" t="s">
        <v>1879</v>
      </c>
      <c r="Q980" s="336" t="s">
        <v>383</v>
      </c>
      <c r="R980" s="364"/>
      <c r="S980" s="364"/>
      <c r="T980" s="13" t="str">
        <f t="shared" si="155"/>
        <v>23調査結果-避難施設等-5（15）-改善（予定）年月-月</v>
      </c>
      <c r="V980" s="202"/>
      <c r="W980" s="202"/>
      <c r="X980" s="202"/>
    </row>
    <row r="981" spans="2:24">
      <c r="B981" s="107">
        <f>'1_入力シート【基本情報】'!$BY$440</f>
        <v>0</v>
      </c>
      <c r="C981" s="4" t="str">
        <f t="shared" si="158"/>
        <v/>
      </c>
      <c r="D981" s="107">
        <f>'1_入力シート【基本情報】'!$BY$440</f>
        <v>0</v>
      </c>
      <c r="E981" s="564">
        <f>'1_入力シート【基本情報】'!$BY$440</f>
        <v>0</v>
      </c>
      <c r="F981" s="564" t="str">
        <f t="shared" si="164"/>
        <v>0</v>
      </c>
      <c r="G981" s="24"/>
      <c r="H981" s="565">
        <v>23</v>
      </c>
      <c r="I981" s="334" t="s">
        <v>33</v>
      </c>
      <c r="J981" s="357" t="s">
        <v>1407</v>
      </c>
      <c r="K981" s="322" t="s">
        <v>113</v>
      </c>
      <c r="L981" s="358" t="s">
        <v>1407</v>
      </c>
      <c r="M981" s="325" t="s">
        <v>2128</v>
      </c>
      <c r="N981" s="358" t="s">
        <v>1407</v>
      </c>
      <c r="O981" s="326" t="s">
        <v>387</v>
      </c>
      <c r="P981" s="332" t="s">
        <v>1879</v>
      </c>
      <c r="Q981" s="363" t="s">
        <v>675</v>
      </c>
      <c r="R981" s="364"/>
      <c r="S981" s="364"/>
      <c r="T981" s="13" t="str">
        <f t="shared" si="155"/>
        <v>23調査結果-避難施設等-5（15）-改善（予定）年月-未定</v>
      </c>
      <c r="V981" s="202"/>
      <c r="W981" s="202"/>
      <c r="X981" s="202"/>
    </row>
    <row r="982" spans="2:24">
      <c r="B982" s="107">
        <f>'1_入力シート【基本情報】'!$AF$441</f>
        <v>0</v>
      </c>
      <c r="C982" s="4" t="str">
        <f t="shared" si="158"/>
        <v/>
      </c>
      <c r="D982" s="107" t="str">
        <f>C982</f>
        <v/>
      </c>
      <c r="E982" s="564" t="str">
        <f>D982</f>
        <v/>
      </c>
      <c r="F982" s="564" t="str">
        <f t="shared" si="164"/>
        <v/>
      </c>
      <c r="G982" s="24"/>
      <c r="H982" s="565">
        <v>23</v>
      </c>
      <c r="I982" s="334" t="s">
        <v>33</v>
      </c>
      <c r="J982" s="357" t="s">
        <v>1407</v>
      </c>
      <c r="K982" s="322" t="s">
        <v>113</v>
      </c>
      <c r="L982" s="358" t="s">
        <v>1407</v>
      </c>
      <c r="M982" s="325" t="s">
        <v>2129</v>
      </c>
      <c r="N982" s="358" t="s">
        <v>1407</v>
      </c>
      <c r="O982" s="326" t="s">
        <v>33</v>
      </c>
      <c r="P982" s="332"/>
      <c r="Q982" s="363"/>
      <c r="R982" s="364"/>
      <c r="S982" s="364"/>
      <c r="T982" s="13" t="str">
        <f t="shared" si="155"/>
        <v>23調査結果-避難施設等-5（16）-調査結果</v>
      </c>
      <c r="V982" s="202"/>
      <c r="W982" s="202"/>
      <c r="X982" s="202"/>
    </row>
    <row r="983" spans="2:24">
      <c r="B983" s="107">
        <f>'1_入力シート【基本情報】'!$AR$441</f>
        <v>0</v>
      </c>
      <c r="C983" s="4" t="str">
        <f t="shared" si="158"/>
        <v/>
      </c>
      <c r="D983" s="107">
        <f>'1_入力シート【基本情報】'!$AR$441</f>
        <v>0</v>
      </c>
      <c r="E983" s="564">
        <f>'1_入力シート【基本情報】'!$AR$441</f>
        <v>0</v>
      </c>
      <c r="F983" s="564" t="str">
        <f t="shared" si="164"/>
        <v>0</v>
      </c>
      <c r="G983" s="24"/>
      <c r="H983" s="565">
        <v>23</v>
      </c>
      <c r="I983" s="334" t="s">
        <v>33</v>
      </c>
      <c r="J983" s="357" t="s">
        <v>1407</v>
      </c>
      <c r="K983" s="322" t="s">
        <v>113</v>
      </c>
      <c r="L983" s="358" t="s">
        <v>1407</v>
      </c>
      <c r="M983" s="325" t="s">
        <v>2129</v>
      </c>
      <c r="N983" s="358" t="s">
        <v>1407</v>
      </c>
      <c r="O983" s="326" t="s">
        <v>30</v>
      </c>
      <c r="P983" s="332"/>
      <c r="Q983" s="363"/>
      <c r="R983" s="203"/>
      <c r="S983" s="203"/>
      <c r="T983" s="13" t="str">
        <f t="shared" si="155"/>
        <v>23調査結果-避難施設等-5（16）-調査者番号</v>
      </c>
      <c r="V983" s="202"/>
      <c r="W983" s="202"/>
      <c r="X983" s="202"/>
    </row>
    <row r="984" spans="2:24">
      <c r="B984" s="107">
        <f>'1_入力シート【基本情報】'!$AT$441</f>
        <v>0</v>
      </c>
      <c r="C984" s="4" t="str">
        <f t="shared" si="158"/>
        <v/>
      </c>
      <c r="D984" s="107">
        <f>'1_入力シート【基本情報】'!$AT$441</f>
        <v>0</v>
      </c>
      <c r="E984" s="564">
        <f>'1_入力シート【基本情報】'!$AT$441</f>
        <v>0</v>
      </c>
      <c r="F984" s="564" t="str">
        <f t="shared" si="164"/>
        <v>0</v>
      </c>
      <c r="G984" s="24"/>
      <c r="H984" s="565">
        <v>23</v>
      </c>
      <c r="I984" s="334" t="s">
        <v>33</v>
      </c>
      <c r="J984" s="357" t="s">
        <v>1407</v>
      </c>
      <c r="K984" s="322" t="s">
        <v>113</v>
      </c>
      <c r="L984" s="358" t="s">
        <v>1407</v>
      </c>
      <c r="M984" s="325" t="s">
        <v>2129</v>
      </c>
      <c r="N984" s="358" t="s">
        <v>1407</v>
      </c>
      <c r="O984" s="326" t="s">
        <v>2028</v>
      </c>
      <c r="P984" s="332"/>
      <c r="Q984" s="363"/>
      <c r="R984" s="364"/>
      <c r="S984" s="364"/>
      <c r="T984" s="13" t="str">
        <f t="shared" si="155"/>
        <v>23調査結果-避難施設等-5（16）-指摘の具体的内容等</v>
      </c>
      <c r="V984" s="202"/>
      <c r="W984" s="202"/>
      <c r="X984" s="202"/>
    </row>
    <row r="985" spans="2:24">
      <c r="B985" s="107">
        <f>'1_入力シート【基本情報】'!$BD$441</f>
        <v>0</v>
      </c>
      <c r="C985" s="4" t="str">
        <f t="shared" si="158"/>
        <v/>
      </c>
      <c r="D985" s="107">
        <f>'1_入力シート【基本情報】'!$BD$441</f>
        <v>0</v>
      </c>
      <c r="E985" s="564">
        <f>'1_入力シート【基本情報】'!$BD$441</f>
        <v>0</v>
      </c>
      <c r="F985" s="564" t="str">
        <f t="shared" si="164"/>
        <v>0</v>
      </c>
      <c r="G985" s="24"/>
      <c r="H985" s="565">
        <v>23</v>
      </c>
      <c r="I985" s="334" t="s">
        <v>33</v>
      </c>
      <c r="J985" s="357" t="s">
        <v>1407</v>
      </c>
      <c r="K985" s="322" t="s">
        <v>113</v>
      </c>
      <c r="L985" s="358" t="s">
        <v>1407</v>
      </c>
      <c r="M985" s="325" t="s">
        <v>2129</v>
      </c>
      <c r="N985" s="358" t="s">
        <v>1407</v>
      </c>
      <c r="O985" s="334" t="s">
        <v>2029</v>
      </c>
      <c r="P985" s="332"/>
      <c r="Q985" s="363"/>
      <c r="R985" s="364"/>
      <c r="S985" s="364"/>
      <c r="T985" s="13" t="str">
        <f t="shared" ref="T985:T1048" si="167">CONCATENATE(H985,I985,J985,K985,L985,M985,N985,O985,P985,Q985)</f>
        <v>23調査結果-避難施設等-5（16）-改善策の具体的内容等</v>
      </c>
      <c r="V985" s="202"/>
      <c r="W985" s="202"/>
      <c r="X985" s="202"/>
    </row>
    <row r="986" spans="2:24" ht="19">
      <c r="B986" s="107">
        <f>'1_入力シート【基本情報】'!$BS$441</f>
        <v>0</v>
      </c>
      <c r="C986" s="493" t="str">
        <f t="shared" ref="C986:E987" si="168">ASC($D986)</f>
        <v>0</v>
      </c>
      <c r="D986" s="107">
        <f>'1_入力シート【基本情報】'!$BS$441</f>
        <v>0</v>
      </c>
      <c r="E986" s="7" t="str">
        <f t="shared" si="168"/>
        <v>0</v>
      </c>
      <c r="F986" s="7" t="str">
        <f t="shared" si="164"/>
        <v>0</v>
      </c>
      <c r="G986" s="24"/>
      <c r="H986" s="565">
        <v>23</v>
      </c>
      <c r="I986" s="334" t="s">
        <v>33</v>
      </c>
      <c r="J986" s="357" t="s">
        <v>1407</v>
      </c>
      <c r="K986" s="322" t="s">
        <v>113</v>
      </c>
      <c r="L986" s="358" t="s">
        <v>1407</v>
      </c>
      <c r="M986" s="325" t="s">
        <v>2129</v>
      </c>
      <c r="N986" s="358" t="s">
        <v>1407</v>
      </c>
      <c r="O986" s="334" t="s">
        <v>387</v>
      </c>
      <c r="P986" s="332" t="s">
        <v>1879</v>
      </c>
      <c r="Q986" s="363" t="s">
        <v>1966</v>
      </c>
      <c r="R986" s="364"/>
      <c r="S986" s="364"/>
      <c r="T986" s="13" t="str">
        <f t="shared" si="167"/>
        <v>23調査結果-避難施設等-5（16）-改善（予定）年月-年（令和）</v>
      </c>
      <c r="V986" s="202"/>
      <c r="W986" s="202"/>
      <c r="X986" s="202"/>
    </row>
    <row r="987" spans="2:24" ht="19">
      <c r="B987" s="107">
        <f>'1_入力シート【基本情報】'!$BV$441</f>
        <v>0</v>
      </c>
      <c r="C987" s="493" t="str">
        <f t="shared" si="168"/>
        <v>0</v>
      </c>
      <c r="D987" s="107">
        <f>'1_入力シート【基本情報】'!$BV$441</f>
        <v>0</v>
      </c>
      <c r="E987" s="7" t="str">
        <f t="shared" si="168"/>
        <v>0</v>
      </c>
      <c r="F987" s="7" t="str">
        <f t="shared" si="164"/>
        <v>0</v>
      </c>
      <c r="G987" s="24"/>
      <c r="H987" s="565">
        <v>23</v>
      </c>
      <c r="I987" s="334" t="s">
        <v>33</v>
      </c>
      <c r="J987" s="357" t="s">
        <v>1407</v>
      </c>
      <c r="K987" s="322" t="s">
        <v>113</v>
      </c>
      <c r="L987" s="358" t="s">
        <v>1407</v>
      </c>
      <c r="M987" s="325" t="s">
        <v>2129</v>
      </c>
      <c r="N987" s="358" t="s">
        <v>1407</v>
      </c>
      <c r="O987" s="334" t="s">
        <v>387</v>
      </c>
      <c r="P987" s="332" t="s">
        <v>1879</v>
      </c>
      <c r="Q987" s="363" t="s">
        <v>383</v>
      </c>
      <c r="R987" s="364"/>
      <c r="S987" s="364"/>
      <c r="T987" s="13" t="str">
        <f t="shared" si="167"/>
        <v>23調査結果-避難施設等-5（16）-改善（予定）年月-月</v>
      </c>
      <c r="V987" s="202"/>
      <c r="W987" s="202"/>
      <c r="X987" s="202"/>
    </row>
    <row r="988" spans="2:24">
      <c r="B988" s="107">
        <f>'1_入力シート【基本情報】'!$BY$441</f>
        <v>0</v>
      </c>
      <c r="C988" s="4" t="str">
        <f t="shared" si="158"/>
        <v/>
      </c>
      <c r="D988" s="107">
        <f>'1_入力シート【基本情報】'!$BY$441</f>
        <v>0</v>
      </c>
      <c r="E988" s="564">
        <f>'1_入力シート【基本情報】'!$BY$441</f>
        <v>0</v>
      </c>
      <c r="F988" s="564" t="str">
        <f t="shared" si="164"/>
        <v>0</v>
      </c>
      <c r="G988" s="24"/>
      <c r="H988" s="565">
        <v>23</v>
      </c>
      <c r="I988" s="334" t="s">
        <v>33</v>
      </c>
      <c r="J988" s="357" t="s">
        <v>1407</v>
      </c>
      <c r="K988" s="322" t="s">
        <v>113</v>
      </c>
      <c r="L988" s="358" t="s">
        <v>1407</v>
      </c>
      <c r="M988" s="325" t="s">
        <v>2129</v>
      </c>
      <c r="N988" s="358" t="s">
        <v>1407</v>
      </c>
      <c r="O988" s="326" t="s">
        <v>387</v>
      </c>
      <c r="P988" s="327" t="s">
        <v>1879</v>
      </c>
      <c r="Q988" s="336" t="s">
        <v>675</v>
      </c>
      <c r="R988" s="364"/>
      <c r="S988" s="364"/>
      <c r="T988" s="13" t="str">
        <f t="shared" si="167"/>
        <v>23調査結果-避難施設等-5（16）-改善（予定）年月-未定</v>
      </c>
      <c r="V988" s="202"/>
      <c r="W988" s="202"/>
      <c r="X988" s="202"/>
    </row>
    <row r="989" spans="2:24">
      <c r="B989" s="107">
        <f>'1_入力シート【基本情報】'!$AF$442</f>
        <v>0</v>
      </c>
      <c r="C989" s="4" t="str">
        <f t="shared" si="158"/>
        <v/>
      </c>
      <c r="D989" s="107" t="str">
        <f>C989</f>
        <v/>
      </c>
      <c r="E989" s="564" t="str">
        <f>D989</f>
        <v/>
      </c>
      <c r="F989" s="564" t="str">
        <f t="shared" si="164"/>
        <v/>
      </c>
      <c r="G989" s="24"/>
      <c r="H989" s="565">
        <v>23</v>
      </c>
      <c r="I989" s="334" t="s">
        <v>33</v>
      </c>
      <c r="J989" s="357" t="s">
        <v>1407</v>
      </c>
      <c r="K989" s="322" t="s">
        <v>113</v>
      </c>
      <c r="L989" s="358" t="s">
        <v>1407</v>
      </c>
      <c r="M989" s="325" t="s">
        <v>2130</v>
      </c>
      <c r="N989" s="358" t="s">
        <v>1407</v>
      </c>
      <c r="O989" s="326" t="s">
        <v>33</v>
      </c>
      <c r="P989" s="332"/>
      <c r="Q989" s="363"/>
      <c r="R989" s="364"/>
      <c r="S989" s="364"/>
      <c r="T989" s="13" t="str">
        <f t="shared" si="167"/>
        <v>23調査結果-避難施設等-5（17）-調査結果</v>
      </c>
      <c r="V989" s="202"/>
      <c r="W989" s="202"/>
      <c r="X989" s="202"/>
    </row>
    <row r="990" spans="2:24">
      <c r="B990" s="107">
        <f>'1_入力シート【基本情報】'!$AR$442</f>
        <v>0</v>
      </c>
      <c r="C990" s="4" t="str">
        <f t="shared" si="158"/>
        <v/>
      </c>
      <c r="D990" s="107">
        <f>'1_入力シート【基本情報】'!$AR$442</f>
        <v>0</v>
      </c>
      <c r="E990" s="564">
        <f>'1_入力シート【基本情報】'!$AR$442</f>
        <v>0</v>
      </c>
      <c r="F990" s="564" t="str">
        <f t="shared" si="164"/>
        <v>0</v>
      </c>
      <c r="G990" s="24"/>
      <c r="H990" s="565">
        <v>23</v>
      </c>
      <c r="I990" s="334" t="s">
        <v>33</v>
      </c>
      <c r="J990" s="357" t="s">
        <v>1407</v>
      </c>
      <c r="K990" s="322" t="s">
        <v>113</v>
      </c>
      <c r="L990" s="358" t="s">
        <v>1407</v>
      </c>
      <c r="M990" s="325" t="s">
        <v>2130</v>
      </c>
      <c r="N990" s="358" t="s">
        <v>1407</v>
      </c>
      <c r="O990" s="326" t="s">
        <v>30</v>
      </c>
      <c r="P990" s="332"/>
      <c r="Q990" s="363"/>
      <c r="R990" s="364"/>
      <c r="S990" s="364"/>
      <c r="T990" s="13" t="str">
        <f t="shared" si="167"/>
        <v>23調査結果-避難施設等-5（17）-調査者番号</v>
      </c>
      <c r="V990" s="202"/>
      <c r="W990" s="202"/>
      <c r="X990" s="202"/>
    </row>
    <row r="991" spans="2:24">
      <c r="B991" s="107">
        <f>'1_入力シート【基本情報】'!$AT$442</f>
        <v>0</v>
      </c>
      <c r="C991" s="4" t="str">
        <f t="shared" si="158"/>
        <v/>
      </c>
      <c r="D991" s="107">
        <f>'1_入力シート【基本情報】'!$AT$442</f>
        <v>0</v>
      </c>
      <c r="E991" s="564">
        <f>'1_入力シート【基本情報】'!$AT$442</f>
        <v>0</v>
      </c>
      <c r="F991" s="564" t="str">
        <f t="shared" si="164"/>
        <v>0</v>
      </c>
      <c r="G991" s="24"/>
      <c r="H991" s="565">
        <v>23</v>
      </c>
      <c r="I991" s="334" t="s">
        <v>33</v>
      </c>
      <c r="J991" s="357" t="s">
        <v>1407</v>
      </c>
      <c r="K991" s="322" t="s">
        <v>113</v>
      </c>
      <c r="L991" s="358" t="s">
        <v>1407</v>
      </c>
      <c r="M991" s="325" t="s">
        <v>2130</v>
      </c>
      <c r="N991" s="358" t="s">
        <v>1407</v>
      </c>
      <c r="O991" s="326" t="s">
        <v>2028</v>
      </c>
      <c r="P991" s="332"/>
      <c r="Q991" s="363"/>
      <c r="R991" s="203"/>
      <c r="S991" s="203"/>
      <c r="T991" s="13" t="str">
        <f t="shared" si="167"/>
        <v>23調査結果-避難施設等-5（17）-指摘の具体的内容等</v>
      </c>
      <c r="V991" s="202"/>
      <c r="W991" s="202"/>
      <c r="X991" s="202"/>
    </row>
    <row r="992" spans="2:24">
      <c r="B992" s="107">
        <f>'1_入力シート【基本情報】'!$BD$442</f>
        <v>0</v>
      </c>
      <c r="C992" s="4" t="str">
        <f t="shared" si="158"/>
        <v/>
      </c>
      <c r="D992" s="107">
        <f>'1_入力シート【基本情報】'!$BD$442</f>
        <v>0</v>
      </c>
      <c r="E992" s="564">
        <f>'1_入力シート【基本情報】'!$BD$442</f>
        <v>0</v>
      </c>
      <c r="F992" s="564" t="str">
        <f t="shared" si="164"/>
        <v>0</v>
      </c>
      <c r="G992" s="24"/>
      <c r="H992" s="565">
        <v>23</v>
      </c>
      <c r="I992" s="334" t="s">
        <v>33</v>
      </c>
      <c r="J992" s="357" t="s">
        <v>1407</v>
      </c>
      <c r="K992" s="322" t="s">
        <v>113</v>
      </c>
      <c r="L992" s="358" t="s">
        <v>1407</v>
      </c>
      <c r="M992" s="325" t="s">
        <v>2130</v>
      </c>
      <c r="N992" s="358" t="s">
        <v>1407</v>
      </c>
      <c r="O992" s="326" t="s">
        <v>2029</v>
      </c>
      <c r="P992" s="332"/>
      <c r="Q992" s="363"/>
      <c r="R992" s="364"/>
      <c r="S992" s="364"/>
      <c r="T992" s="13" t="str">
        <f t="shared" si="167"/>
        <v>23調査結果-避難施設等-5（17）-改善策の具体的内容等</v>
      </c>
      <c r="V992" s="202"/>
      <c r="W992" s="202"/>
      <c r="X992" s="202"/>
    </row>
    <row r="993" spans="2:24" ht="19">
      <c r="B993" s="107">
        <f>'1_入力シート【基本情報】'!$BS$442</f>
        <v>0</v>
      </c>
      <c r="C993" s="493" t="str">
        <f t="shared" ref="C993:E994" si="169">ASC($D993)</f>
        <v>0</v>
      </c>
      <c r="D993" s="107">
        <f>'1_入力シート【基本情報】'!$BS$442</f>
        <v>0</v>
      </c>
      <c r="E993" s="7" t="str">
        <f t="shared" si="169"/>
        <v>0</v>
      </c>
      <c r="F993" s="7" t="str">
        <f t="shared" si="164"/>
        <v>0</v>
      </c>
      <c r="G993" s="24"/>
      <c r="H993" s="565">
        <v>23</v>
      </c>
      <c r="I993" s="334" t="s">
        <v>33</v>
      </c>
      <c r="J993" s="357" t="s">
        <v>1407</v>
      </c>
      <c r="K993" s="322" t="s">
        <v>113</v>
      </c>
      <c r="L993" s="358" t="s">
        <v>1407</v>
      </c>
      <c r="M993" s="325" t="s">
        <v>2130</v>
      </c>
      <c r="N993" s="358" t="s">
        <v>1407</v>
      </c>
      <c r="O993" s="334" t="s">
        <v>387</v>
      </c>
      <c r="P993" s="332" t="s">
        <v>1879</v>
      </c>
      <c r="Q993" s="363" t="s">
        <v>1966</v>
      </c>
      <c r="R993" s="364"/>
      <c r="S993" s="364"/>
      <c r="T993" s="13" t="str">
        <f t="shared" si="167"/>
        <v>23調査結果-避難施設等-5（17）-改善（予定）年月-年（令和）</v>
      </c>
      <c r="V993" s="202"/>
      <c r="W993" s="202"/>
      <c r="X993" s="202"/>
    </row>
    <row r="994" spans="2:24" ht="19">
      <c r="B994" s="107">
        <f>'1_入力シート【基本情報】'!$BV$442</f>
        <v>0</v>
      </c>
      <c r="C994" s="493" t="str">
        <f t="shared" si="169"/>
        <v>0</v>
      </c>
      <c r="D994" s="107">
        <f>'1_入力シート【基本情報】'!$BV$442</f>
        <v>0</v>
      </c>
      <c r="E994" s="7" t="str">
        <f t="shared" si="169"/>
        <v>0</v>
      </c>
      <c r="F994" s="7" t="str">
        <f t="shared" si="164"/>
        <v>0</v>
      </c>
      <c r="G994" s="24"/>
      <c r="H994" s="565">
        <v>23</v>
      </c>
      <c r="I994" s="334" t="s">
        <v>33</v>
      </c>
      <c r="J994" s="357" t="s">
        <v>1407</v>
      </c>
      <c r="K994" s="322" t="s">
        <v>113</v>
      </c>
      <c r="L994" s="358" t="s">
        <v>1407</v>
      </c>
      <c r="M994" s="325" t="s">
        <v>2130</v>
      </c>
      <c r="N994" s="358" t="s">
        <v>1407</v>
      </c>
      <c r="O994" s="334" t="s">
        <v>387</v>
      </c>
      <c r="P994" s="332" t="s">
        <v>1879</v>
      </c>
      <c r="Q994" s="363" t="s">
        <v>383</v>
      </c>
      <c r="R994" s="364"/>
      <c r="S994" s="364"/>
      <c r="T994" s="13" t="str">
        <f t="shared" si="167"/>
        <v>23調査結果-避難施設等-5（17）-改善（予定）年月-月</v>
      </c>
      <c r="V994" s="202"/>
      <c r="W994" s="202"/>
      <c r="X994" s="202"/>
    </row>
    <row r="995" spans="2:24">
      <c r="B995" s="107">
        <f>'1_入力シート【基本情報】'!$BY$442</f>
        <v>0</v>
      </c>
      <c r="C995" s="4" t="str">
        <f t="shared" si="158"/>
        <v/>
      </c>
      <c r="D995" s="107">
        <f>'1_入力シート【基本情報】'!$BY$442</f>
        <v>0</v>
      </c>
      <c r="E995" s="564">
        <f>'1_入力シート【基本情報】'!$BY$442</f>
        <v>0</v>
      </c>
      <c r="F995" s="564" t="str">
        <f t="shared" si="164"/>
        <v>0</v>
      </c>
      <c r="G995" s="24"/>
      <c r="H995" s="565">
        <v>23</v>
      </c>
      <c r="I995" s="334" t="s">
        <v>33</v>
      </c>
      <c r="J995" s="357" t="s">
        <v>1407</v>
      </c>
      <c r="K995" s="322" t="s">
        <v>113</v>
      </c>
      <c r="L995" s="358" t="s">
        <v>1407</v>
      </c>
      <c r="M995" s="325" t="s">
        <v>2130</v>
      </c>
      <c r="N995" s="358" t="s">
        <v>1407</v>
      </c>
      <c r="O995" s="334" t="s">
        <v>387</v>
      </c>
      <c r="P995" s="332" t="s">
        <v>1879</v>
      </c>
      <c r="Q995" s="363" t="s">
        <v>675</v>
      </c>
      <c r="R995" s="364"/>
      <c r="S995" s="364"/>
      <c r="T995" s="13" t="str">
        <f t="shared" si="167"/>
        <v>23調査結果-避難施設等-5（17）-改善（予定）年月-未定</v>
      </c>
      <c r="V995" s="202"/>
      <c r="W995" s="202"/>
      <c r="X995" s="202"/>
    </row>
    <row r="996" spans="2:24">
      <c r="B996" s="107">
        <f>'1_入力シート【基本情報】'!$AF$443</f>
        <v>0</v>
      </c>
      <c r="C996" s="4" t="str">
        <f t="shared" si="158"/>
        <v/>
      </c>
      <c r="D996" s="107" t="str">
        <f>C996</f>
        <v/>
      </c>
      <c r="E996" s="564" t="str">
        <f>D996</f>
        <v/>
      </c>
      <c r="F996" s="564" t="str">
        <f t="shared" si="164"/>
        <v/>
      </c>
      <c r="G996" s="24"/>
      <c r="H996" s="565">
        <v>23</v>
      </c>
      <c r="I996" s="334" t="s">
        <v>33</v>
      </c>
      <c r="J996" s="357" t="s">
        <v>1407</v>
      </c>
      <c r="K996" s="322" t="s">
        <v>113</v>
      </c>
      <c r="L996" s="358" t="s">
        <v>1407</v>
      </c>
      <c r="M996" s="325" t="s">
        <v>2131</v>
      </c>
      <c r="N996" s="358" t="s">
        <v>1407</v>
      </c>
      <c r="O996" s="326" t="s">
        <v>33</v>
      </c>
      <c r="P996" s="327"/>
      <c r="Q996" s="336"/>
      <c r="R996" s="364"/>
      <c r="S996" s="364"/>
      <c r="T996" s="13" t="str">
        <f t="shared" si="167"/>
        <v>23調査結果-避難施設等-5（18）-調査結果</v>
      </c>
      <c r="V996" s="202"/>
      <c r="W996" s="202"/>
      <c r="X996" s="202"/>
    </row>
    <row r="997" spans="2:24">
      <c r="B997" s="107">
        <f>'1_入力シート【基本情報】'!$AR$443</f>
        <v>0</v>
      </c>
      <c r="C997" s="4" t="str">
        <f t="shared" si="158"/>
        <v/>
      </c>
      <c r="D997" s="107">
        <f>'1_入力シート【基本情報】'!$AR$443</f>
        <v>0</v>
      </c>
      <c r="E997" s="564">
        <f>'1_入力シート【基本情報】'!$AR$443</f>
        <v>0</v>
      </c>
      <c r="F997" s="564" t="str">
        <f t="shared" si="164"/>
        <v>0</v>
      </c>
      <c r="G997" s="24"/>
      <c r="H997" s="565">
        <v>23</v>
      </c>
      <c r="I997" s="334" t="s">
        <v>33</v>
      </c>
      <c r="J997" s="357" t="s">
        <v>1407</v>
      </c>
      <c r="K997" s="322" t="s">
        <v>113</v>
      </c>
      <c r="L997" s="358" t="s">
        <v>1407</v>
      </c>
      <c r="M997" s="325" t="s">
        <v>2131</v>
      </c>
      <c r="N997" s="358" t="s">
        <v>1407</v>
      </c>
      <c r="O997" s="326" t="s">
        <v>30</v>
      </c>
      <c r="P997" s="332"/>
      <c r="Q997" s="363"/>
      <c r="R997" s="364"/>
      <c r="S997" s="364"/>
      <c r="T997" s="13" t="str">
        <f t="shared" si="167"/>
        <v>23調査結果-避難施設等-5（18）-調査者番号</v>
      </c>
      <c r="V997" s="202"/>
      <c r="W997" s="202"/>
      <c r="X997" s="202"/>
    </row>
    <row r="998" spans="2:24">
      <c r="B998" s="107">
        <f>'1_入力シート【基本情報】'!$AT$443</f>
        <v>0</v>
      </c>
      <c r="C998" s="4" t="str">
        <f t="shared" ref="C998:C1061" si="170">MID(B998,2,14)</f>
        <v/>
      </c>
      <c r="D998" s="107">
        <f>'1_入力シート【基本情報】'!$AT$443</f>
        <v>0</v>
      </c>
      <c r="E998" s="564">
        <f>'1_入力シート【基本情報】'!$AT$443</f>
        <v>0</v>
      </c>
      <c r="F998" s="564" t="str">
        <f t="shared" si="164"/>
        <v>0</v>
      </c>
      <c r="G998" s="24"/>
      <c r="H998" s="565">
        <v>23</v>
      </c>
      <c r="I998" s="334" t="s">
        <v>33</v>
      </c>
      <c r="J998" s="357" t="s">
        <v>1407</v>
      </c>
      <c r="K998" s="322" t="s">
        <v>113</v>
      </c>
      <c r="L998" s="358" t="s">
        <v>1407</v>
      </c>
      <c r="M998" s="325" t="s">
        <v>2131</v>
      </c>
      <c r="N998" s="358" t="s">
        <v>1407</v>
      </c>
      <c r="O998" s="326" t="s">
        <v>2028</v>
      </c>
      <c r="P998" s="332"/>
      <c r="Q998" s="363"/>
      <c r="R998" s="364"/>
      <c r="S998" s="364"/>
      <c r="T998" s="13" t="str">
        <f t="shared" si="167"/>
        <v>23調査結果-避難施設等-5（18）-指摘の具体的内容等</v>
      </c>
      <c r="V998" s="202"/>
      <c r="W998" s="202"/>
      <c r="X998" s="202"/>
    </row>
    <row r="999" spans="2:24">
      <c r="B999" s="107">
        <f>'1_入力シート【基本情報】'!$BD$443</f>
        <v>0</v>
      </c>
      <c r="C999" s="4" t="str">
        <f t="shared" si="170"/>
        <v/>
      </c>
      <c r="D999" s="107">
        <f>'1_入力シート【基本情報】'!$BD$443</f>
        <v>0</v>
      </c>
      <c r="E999" s="564">
        <f>'1_入力シート【基本情報】'!$BD$443</f>
        <v>0</v>
      </c>
      <c r="F999" s="564" t="str">
        <f t="shared" si="164"/>
        <v>0</v>
      </c>
      <c r="G999" s="24"/>
      <c r="H999" s="565">
        <v>23</v>
      </c>
      <c r="I999" s="334" t="s">
        <v>33</v>
      </c>
      <c r="J999" s="357" t="s">
        <v>1407</v>
      </c>
      <c r="K999" s="322" t="s">
        <v>113</v>
      </c>
      <c r="L999" s="358" t="s">
        <v>1407</v>
      </c>
      <c r="M999" s="325" t="s">
        <v>2131</v>
      </c>
      <c r="N999" s="358" t="s">
        <v>1407</v>
      </c>
      <c r="O999" s="326" t="s">
        <v>2029</v>
      </c>
      <c r="P999" s="332"/>
      <c r="Q999" s="363"/>
      <c r="R999" s="203"/>
      <c r="S999" s="203"/>
      <c r="T999" s="13" t="str">
        <f t="shared" si="167"/>
        <v>23調査結果-避難施設等-5（18）-改善策の具体的内容等</v>
      </c>
      <c r="V999" s="202"/>
      <c r="W999" s="202"/>
      <c r="X999" s="202"/>
    </row>
    <row r="1000" spans="2:24" ht="19">
      <c r="B1000" s="107">
        <f>'1_入力シート【基本情報】'!$BS$443</f>
        <v>0</v>
      </c>
      <c r="C1000" s="493" t="str">
        <f t="shared" ref="C1000:E1001" si="171">ASC($D1000)</f>
        <v>0</v>
      </c>
      <c r="D1000" s="107">
        <f>'1_入力シート【基本情報】'!$BS$443</f>
        <v>0</v>
      </c>
      <c r="E1000" s="7" t="str">
        <f t="shared" si="171"/>
        <v>0</v>
      </c>
      <c r="F1000" s="7" t="str">
        <f t="shared" si="164"/>
        <v>0</v>
      </c>
      <c r="G1000" s="24"/>
      <c r="H1000" s="565">
        <v>23</v>
      </c>
      <c r="I1000" s="334" t="s">
        <v>33</v>
      </c>
      <c r="J1000" s="357" t="s">
        <v>1407</v>
      </c>
      <c r="K1000" s="322" t="s">
        <v>113</v>
      </c>
      <c r="L1000" s="358" t="s">
        <v>1407</v>
      </c>
      <c r="M1000" s="325" t="s">
        <v>2131</v>
      </c>
      <c r="N1000" s="358" t="s">
        <v>1407</v>
      </c>
      <c r="O1000" s="326" t="s">
        <v>387</v>
      </c>
      <c r="P1000" s="332" t="s">
        <v>1879</v>
      </c>
      <c r="Q1000" s="363" t="s">
        <v>1966</v>
      </c>
      <c r="R1000" s="364"/>
      <c r="S1000" s="364"/>
      <c r="T1000" s="13" t="str">
        <f t="shared" si="167"/>
        <v>23調査結果-避難施設等-5（18）-改善（予定）年月-年（令和）</v>
      </c>
      <c r="V1000" s="202"/>
      <c r="W1000" s="202"/>
      <c r="X1000" s="202"/>
    </row>
    <row r="1001" spans="2:24" ht="19">
      <c r="B1001" s="107">
        <f>'1_入力シート【基本情報】'!$BV$443</f>
        <v>0</v>
      </c>
      <c r="C1001" s="493" t="str">
        <f t="shared" si="171"/>
        <v>0</v>
      </c>
      <c r="D1001" s="107">
        <f>'1_入力シート【基本情報】'!$BV$443</f>
        <v>0</v>
      </c>
      <c r="E1001" s="7" t="str">
        <f t="shared" si="171"/>
        <v>0</v>
      </c>
      <c r="F1001" s="7" t="str">
        <f t="shared" si="164"/>
        <v>0</v>
      </c>
      <c r="G1001" s="24"/>
      <c r="H1001" s="565">
        <v>23</v>
      </c>
      <c r="I1001" s="334" t="s">
        <v>33</v>
      </c>
      <c r="J1001" s="357" t="s">
        <v>1407</v>
      </c>
      <c r="K1001" s="322" t="s">
        <v>113</v>
      </c>
      <c r="L1001" s="358" t="s">
        <v>1407</v>
      </c>
      <c r="M1001" s="325" t="s">
        <v>2131</v>
      </c>
      <c r="N1001" s="358" t="s">
        <v>1407</v>
      </c>
      <c r="O1001" s="334" t="s">
        <v>387</v>
      </c>
      <c r="P1001" s="332" t="s">
        <v>1879</v>
      </c>
      <c r="Q1001" s="363" t="s">
        <v>383</v>
      </c>
      <c r="R1001" s="364"/>
      <c r="S1001" s="364"/>
      <c r="T1001" s="13" t="str">
        <f t="shared" si="167"/>
        <v>23調査結果-避難施設等-5（18）-改善（予定）年月-月</v>
      </c>
      <c r="V1001" s="202"/>
      <c r="W1001" s="202"/>
      <c r="X1001" s="202"/>
    </row>
    <row r="1002" spans="2:24">
      <c r="B1002" s="107">
        <f>'1_入力シート【基本情報】'!$BY$443</f>
        <v>0</v>
      </c>
      <c r="C1002" s="4" t="str">
        <f t="shared" si="170"/>
        <v/>
      </c>
      <c r="D1002" s="107">
        <f>'1_入力シート【基本情報】'!$BY$443</f>
        <v>0</v>
      </c>
      <c r="E1002" s="564">
        <f>'1_入力シート【基本情報】'!$BY$443</f>
        <v>0</v>
      </c>
      <c r="F1002" s="564" t="str">
        <f t="shared" si="164"/>
        <v>0</v>
      </c>
      <c r="G1002" s="24"/>
      <c r="H1002" s="565">
        <v>23</v>
      </c>
      <c r="I1002" s="334" t="s">
        <v>33</v>
      </c>
      <c r="J1002" s="357" t="s">
        <v>1407</v>
      </c>
      <c r="K1002" s="322" t="s">
        <v>113</v>
      </c>
      <c r="L1002" s="358" t="s">
        <v>1407</v>
      </c>
      <c r="M1002" s="325" t="s">
        <v>2131</v>
      </c>
      <c r="N1002" s="358" t="s">
        <v>1407</v>
      </c>
      <c r="O1002" s="334" t="s">
        <v>387</v>
      </c>
      <c r="P1002" s="332" t="s">
        <v>1879</v>
      </c>
      <c r="Q1002" s="363" t="s">
        <v>675</v>
      </c>
      <c r="R1002" s="364"/>
      <c r="S1002" s="364"/>
      <c r="T1002" s="13" t="str">
        <f t="shared" si="167"/>
        <v>23調査結果-避難施設等-5（18）-改善（予定）年月-未定</v>
      </c>
      <c r="V1002" s="202"/>
      <c r="W1002" s="202"/>
      <c r="X1002" s="202"/>
    </row>
    <row r="1003" spans="2:24">
      <c r="B1003" s="107">
        <f>'1_入力シート【基本情報】'!$AF$444</f>
        <v>0</v>
      </c>
      <c r="C1003" s="4" t="str">
        <f t="shared" si="170"/>
        <v/>
      </c>
      <c r="D1003" s="107" t="str">
        <f>C1003</f>
        <v/>
      </c>
      <c r="E1003" s="564" t="str">
        <f>D1003</f>
        <v/>
      </c>
      <c r="F1003" s="564" t="str">
        <f t="shared" si="164"/>
        <v/>
      </c>
      <c r="G1003" s="24"/>
      <c r="H1003" s="565">
        <v>23</v>
      </c>
      <c r="I1003" s="334" t="s">
        <v>33</v>
      </c>
      <c r="J1003" s="357" t="s">
        <v>1407</v>
      </c>
      <c r="K1003" s="322" t="s">
        <v>113</v>
      </c>
      <c r="L1003" s="358" t="s">
        <v>1407</v>
      </c>
      <c r="M1003" s="325" t="s">
        <v>2132</v>
      </c>
      <c r="N1003" s="358" t="s">
        <v>1407</v>
      </c>
      <c r="O1003" s="334" t="s">
        <v>33</v>
      </c>
      <c r="P1003" s="332"/>
      <c r="Q1003" s="363"/>
      <c r="R1003" s="364"/>
      <c r="S1003" s="364"/>
      <c r="T1003" s="13" t="str">
        <f t="shared" si="167"/>
        <v>23調査結果-避難施設等-5（19）-調査結果</v>
      </c>
      <c r="V1003" s="202"/>
      <c r="W1003" s="202"/>
      <c r="X1003" s="202"/>
    </row>
    <row r="1004" spans="2:24">
      <c r="B1004" s="107">
        <f>'1_入力シート【基本情報】'!$AR$444</f>
        <v>0</v>
      </c>
      <c r="C1004" s="4" t="str">
        <f t="shared" si="170"/>
        <v/>
      </c>
      <c r="D1004" s="107">
        <f>'1_入力シート【基本情報】'!$AR$444</f>
        <v>0</v>
      </c>
      <c r="E1004" s="564">
        <f>'1_入力シート【基本情報】'!$AR$444</f>
        <v>0</v>
      </c>
      <c r="F1004" s="564" t="str">
        <f t="shared" si="164"/>
        <v>0</v>
      </c>
      <c r="G1004" s="24"/>
      <c r="H1004" s="565">
        <v>23</v>
      </c>
      <c r="I1004" s="334" t="s">
        <v>33</v>
      </c>
      <c r="J1004" s="357" t="s">
        <v>1407</v>
      </c>
      <c r="K1004" s="322" t="s">
        <v>113</v>
      </c>
      <c r="L1004" s="358" t="s">
        <v>1407</v>
      </c>
      <c r="M1004" s="325" t="s">
        <v>2132</v>
      </c>
      <c r="N1004" s="358" t="s">
        <v>1407</v>
      </c>
      <c r="O1004" s="326" t="s">
        <v>30</v>
      </c>
      <c r="P1004" s="327"/>
      <c r="Q1004" s="336"/>
      <c r="R1004" s="364"/>
      <c r="S1004" s="364"/>
      <c r="T1004" s="13" t="str">
        <f t="shared" si="167"/>
        <v>23調査結果-避難施設等-5（19）-調査者番号</v>
      </c>
      <c r="V1004" s="202"/>
      <c r="W1004" s="202"/>
      <c r="X1004" s="202"/>
    </row>
    <row r="1005" spans="2:24">
      <c r="B1005" s="107">
        <f>'1_入力シート【基本情報】'!$AT$444</f>
        <v>0</v>
      </c>
      <c r="C1005" s="4" t="str">
        <f t="shared" si="170"/>
        <v/>
      </c>
      <c r="D1005" s="107">
        <f>'1_入力シート【基本情報】'!$AT$444</f>
        <v>0</v>
      </c>
      <c r="E1005" s="564">
        <f>'1_入力シート【基本情報】'!$AT$444</f>
        <v>0</v>
      </c>
      <c r="F1005" s="564" t="str">
        <f t="shared" si="164"/>
        <v>0</v>
      </c>
      <c r="G1005" s="24"/>
      <c r="H1005" s="565">
        <v>23</v>
      </c>
      <c r="I1005" s="334" t="s">
        <v>33</v>
      </c>
      <c r="J1005" s="357" t="s">
        <v>1407</v>
      </c>
      <c r="K1005" s="322" t="s">
        <v>113</v>
      </c>
      <c r="L1005" s="358" t="s">
        <v>1407</v>
      </c>
      <c r="M1005" s="325" t="s">
        <v>2132</v>
      </c>
      <c r="N1005" s="358" t="s">
        <v>1407</v>
      </c>
      <c r="O1005" s="326" t="s">
        <v>2028</v>
      </c>
      <c r="P1005" s="332"/>
      <c r="Q1005" s="363"/>
      <c r="R1005" s="364"/>
      <c r="S1005" s="364"/>
      <c r="T1005" s="13" t="str">
        <f t="shared" si="167"/>
        <v>23調査結果-避難施設等-5（19）-指摘の具体的内容等</v>
      </c>
      <c r="V1005" s="202"/>
      <c r="W1005" s="202"/>
      <c r="X1005" s="202"/>
    </row>
    <row r="1006" spans="2:24">
      <c r="B1006" s="107">
        <f>'1_入力シート【基本情報】'!$BD$444</f>
        <v>0</v>
      </c>
      <c r="C1006" s="4" t="str">
        <f t="shared" si="170"/>
        <v/>
      </c>
      <c r="D1006" s="107">
        <f>'1_入力シート【基本情報】'!$BD$444</f>
        <v>0</v>
      </c>
      <c r="E1006" s="564">
        <f>'1_入力シート【基本情報】'!$BD$444</f>
        <v>0</v>
      </c>
      <c r="F1006" s="564" t="str">
        <f t="shared" si="164"/>
        <v>0</v>
      </c>
      <c r="G1006" s="24"/>
      <c r="H1006" s="565">
        <v>23</v>
      </c>
      <c r="I1006" s="334" t="s">
        <v>33</v>
      </c>
      <c r="J1006" s="357" t="s">
        <v>1407</v>
      </c>
      <c r="K1006" s="322" t="s">
        <v>113</v>
      </c>
      <c r="L1006" s="358" t="s">
        <v>1407</v>
      </c>
      <c r="M1006" s="325" t="s">
        <v>2132</v>
      </c>
      <c r="N1006" s="358" t="s">
        <v>1407</v>
      </c>
      <c r="O1006" s="326" t="s">
        <v>2029</v>
      </c>
      <c r="P1006" s="332"/>
      <c r="Q1006" s="363"/>
      <c r="R1006" s="364"/>
      <c r="S1006" s="364"/>
      <c r="T1006" s="13" t="str">
        <f t="shared" si="167"/>
        <v>23調査結果-避難施設等-5（19）-改善策の具体的内容等</v>
      </c>
      <c r="V1006" s="202"/>
      <c r="W1006" s="202"/>
      <c r="X1006" s="202"/>
    </row>
    <row r="1007" spans="2:24" ht="19">
      <c r="B1007" s="107">
        <f>'1_入力シート【基本情報】'!$BS$444</f>
        <v>0</v>
      </c>
      <c r="C1007" s="493" t="str">
        <f t="shared" ref="C1007:E1008" si="172">ASC($D1007)</f>
        <v>0</v>
      </c>
      <c r="D1007" s="107">
        <f>'1_入力シート【基本情報】'!$BS$444</f>
        <v>0</v>
      </c>
      <c r="E1007" s="7" t="str">
        <f t="shared" si="172"/>
        <v>0</v>
      </c>
      <c r="F1007" s="7" t="str">
        <f t="shared" si="164"/>
        <v>0</v>
      </c>
      <c r="G1007" s="24"/>
      <c r="H1007" s="565">
        <v>23</v>
      </c>
      <c r="I1007" s="334" t="s">
        <v>33</v>
      </c>
      <c r="J1007" s="357" t="s">
        <v>1407</v>
      </c>
      <c r="K1007" s="322" t="s">
        <v>113</v>
      </c>
      <c r="L1007" s="358" t="s">
        <v>1407</v>
      </c>
      <c r="M1007" s="325" t="s">
        <v>2132</v>
      </c>
      <c r="N1007" s="358" t="s">
        <v>1407</v>
      </c>
      <c r="O1007" s="326" t="s">
        <v>387</v>
      </c>
      <c r="P1007" s="332" t="s">
        <v>1879</v>
      </c>
      <c r="Q1007" s="363" t="s">
        <v>1966</v>
      </c>
      <c r="R1007" s="203"/>
      <c r="S1007" s="203"/>
      <c r="T1007" s="13" t="str">
        <f t="shared" si="167"/>
        <v>23調査結果-避難施設等-5（19）-改善（予定）年月-年（令和）</v>
      </c>
      <c r="V1007" s="202"/>
      <c r="W1007" s="202"/>
      <c r="X1007" s="202"/>
    </row>
    <row r="1008" spans="2:24" ht="19">
      <c r="B1008" s="107">
        <f>'1_入力シート【基本情報】'!$BV$444</f>
        <v>0</v>
      </c>
      <c r="C1008" s="493" t="str">
        <f t="shared" si="172"/>
        <v>0</v>
      </c>
      <c r="D1008" s="107">
        <f>'1_入力シート【基本情報】'!$BV$444</f>
        <v>0</v>
      </c>
      <c r="E1008" s="7" t="str">
        <f t="shared" si="172"/>
        <v>0</v>
      </c>
      <c r="F1008" s="7" t="str">
        <f t="shared" si="164"/>
        <v>0</v>
      </c>
      <c r="G1008" s="24"/>
      <c r="H1008" s="565">
        <v>23</v>
      </c>
      <c r="I1008" s="334" t="s">
        <v>33</v>
      </c>
      <c r="J1008" s="357" t="s">
        <v>1407</v>
      </c>
      <c r="K1008" s="322" t="s">
        <v>113</v>
      </c>
      <c r="L1008" s="358" t="s">
        <v>1407</v>
      </c>
      <c r="M1008" s="325" t="s">
        <v>2132</v>
      </c>
      <c r="N1008" s="358" t="s">
        <v>1407</v>
      </c>
      <c r="O1008" s="326" t="s">
        <v>387</v>
      </c>
      <c r="P1008" s="332" t="s">
        <v>1879</v>
      </c>
      <c r="Q1008" s="363" t="s">
        <v>383</v>
      </c>
      <c r="R1008" s="364"/>
      <c r="S1008" s="364"/>
      <c r="T1008" s="13" t="str">
        <f t="shared" si="167"/>
        <v>23調査結果-避難施設等-5（19）-改善（予定）年月-月</v>
      </c>
      <c r="V1008" s="202"/>
      <c r="W1008" s="202"/>
      <c r="X1008" s="202"/>
    </row>
    <row r="1009" spans="2:24">
      <c r="B1009" s="107">
        <f>'1_入力シート【基本情報】'!$BY$444</f>
        <v>0</v>
      </c>
      <c r="C1009" s="4" t="str">
        <f t="shared" si="170"/>
        <v/>
      </c>
      <c r="D1009" s="107">
        <f>'1_入力シート【基本情報】'!$BY$444</f>
        <v>0</v>
      </c>
      <c r="E1009" s="564">
        <f>'1_入力シート【基本情報】'!$BY$444</f>
        <v>0</v>
      </c>
      <c r="F1009" s="564" t="str">
        <f t="shared" si="164"/>
        <v>0</v>
      </c>
      <c r="G1009" s="24"/>
      <c r="H1009" s="565">
        <v>23</v>
      </c>
      <c r="I1009" s="334" t="s">
        <v>33</v>
      </c>
      <c r="J1009" s="357" t="s">
        <v>1407</v>
      </c>
      <c r="K1009" s="322" t="s">
        <v>113</v>
      </c>
      <c r="L1009" s="358" t="s">
        <v>1407</v>
      </c>
      <c r="M1009" s="325" t="s">
        <v>2132</v>
      </c>
      <c r="N1009" s="358" t="s">
        <v>1407</v>
      </c>
      <c r="O1009" s="334" t="s">
        <v>387</v>
      </c>
      <c r="P1009" s="332" t="s">
        <v>1879</v>
      </c>
      <c r="Q1009" s="363" t="s">
        <v>675</v>
      </c>
      <c r="R1009" s="364"/>
      <c r="S1009" s="364"/>
      <c r="T1009" s="13" t="str">
        <f t="shared" si="167"/>
        <v>23調査結果-避難施設等-5（19）-改善（予定）年月-未定</v>
      </c>
      <c r="V1009" s="202"/>
      <c r="W1009" s="202"/>
      <c r="X1009" s="202"/>
    </row>
    <row r="1010" spans="2:24">
      <c r="B1010" s="107">
        <f>'1_入力シート【基本情報】'!$AF$445</f>
        <v>0</v>
      </c>
      <c r="C1010" s="4" t="str">
        <f t="shared" si="170"/>
        <v/>
      </c>
      <c r="D1010" s="107" t="str">
        <f>C1010</f>
        <v/>
      </c>
      <c r="E1010" s="564" t="str">
        <f>D1010</f>
        <v/>
      </c>
      <c r="F1010" s="564" t="str">
        <f t="shared" si="164"/>
        <v/>
      </c>
      <c r="G1010" s="24"/>
      <c r="H1010" s="565">
        <v>23</v>
      </c>
      <c r="I1010" s="334" t="s">
        <v>33</v>
      </c>
      <c r="J1010" s="357" t="s">
        <v>1407</v>
      </c>
      <c r="K1010" s="322" t="s">
        <v>113</v>
      </c>
      <c r="L1010" s="358" t="s">
        <v>1407</v>
      </c>
      <c r="M1010" s="325" t="s">
        <v>2133</v>
      </c>
      <c r="N1010" s="358" t="s">
        <v>1407</v>
      </c>
      <c r="O1010" s="334" t="s">
        <v>33</v>
      </c>
      <c r="P1010" s="332"/>
      <c r="Q1010" s="363"/>
      <c r="R1010" s="364"/>
      <c r="S1010" s="364"/>
      <c r="T1010" s="13" t="str">
        <f t="shared" si="167"/>
        <v>23調査結果-避難施設等-5（20）-調査結果</v>
      </c>
      <c r="V1010" s="202"/>
      <c r="W1010" s="202"/>
      <c r="X1010" s="202"/>
    </row>
    <row r="1011" spans="2:24">
      <c r="B1011" s="107">
        <f>'1_入力シート【基本情報】'!$AR$445</f>
        <v>0</v>
      </c>
      <c r="C1011" s="4" t="str">
        <f t="shared" si="170"/>
        <v/>
      </c>
      <c r="D1011" s="107">
        <f>'1_入力シート【基本情報】'!$AR$445</f>
        <v>0</v>
      </c>
      <c r="E1011" s="564">
        <f>'1_入力シート【基本情報】'!$AR$445</f>
        <v>0</v>
      </c>
      <c r="F1011" s="564" t="str">
        <f t="shared" si="164"/>
        <v>0</v>
      </c>
      <c r="G1011" s="24"/>
      <c r="H1011" s="565">
        <v>23</v>
      </c>
      <c r="I1011" s="334" t="s">
        <v>33</v>
      </c>
      <c r="J1011" s="357" t="s">
        <v>1407</v>
      </c>
      <c r="K1011" s="322" t="s">
        <v>113</v>
      </c>
      <c r="L1011" s="358" t="s">
        <v>1407</v>
      </c>
      <c r="M1011" s="325" t="s">
        <v>2133</v>
      </c>
      <c r="N1011" s="358" t="s">
        <v>1407</v>
      </c>
      <c r="O1011" s="334" t="s">
        <v>30</v>
      </c>
      <c r="P1011" s="332"/>
      <c r="Q1011" s="363"/>
      <c r="R1011" s="364"/>
      <c r="S1011" s="364"/>
      <c r="T1011" s="13" t="str">
        <f t="shared" si="167"/>
        <v>23調査結果-避難施設等-5（20）-調査者番号</v>
      </c>
      <c r="V1011" s="202"/>
      <c r="W1011" s="202"/>
      <c r="X1011" s="202"/>
    </row>
    <row r="1012" spans="2:24">
      <c r="B1012" s="107">
        <f>'1_入力シート【基本情報】'!$AT$445</f>
        <v>0</v>
      </c>
      <c r="C1012" s="4" t="str">
        <f t="shared" si="170"/>
        <v/>
      </c>
      <c r="D1012" s="107">
        <f>'1_入力シート【基本情報】'!$AT$445</f>
        <v>0</v>
      </c>
      <c r="E1012" s="564">
        <f>'1_入力シート【基本情報】'!$AT$445</f>
        <v>0</v>
      </c>
      <c r="F1012" s="564" t="str">
        <f t="shared" si="164"/>
        <v>0</v>
      </c>
      <c r="G1012" s="24"/>
      <c r="H1012" s="565">
        <v>23</v>
      </c>
      <c r="I1012" s="334" t="s">
        <v>33</v>
      </c>
      <c r="J1012" s="357" t="s">
        <v>1407</v>
      </c>
      <c r="K1012" s="322" t="s">
        <v>113</v>
      </c>
      <c r="L1012" s="358" t="s">
        <v>1407</v>
      </c>
      <c r="M1012" s="325" t="s">
        <v>2133</v>
      </c>
      <c r="N1012" s="358" t="s">
        <v>1407</v>
      </c>
      <c r="O1012" s="326" t="s">
        <v>2028</v>
      </c>
      <c r="P1012" s="327"/>
      <c r="Q1012" s="336"/>
      <c r="R1012" s="364"/>
      <c r="S1012" s="364"/>
      <c r="T1012" s="13" t="str">
        <f t="shared" si="167"/>
        <v>23調査結果-避難施設等-5（20）-指摘の具体的内容等</v>
      </c>
      <c r="V1012" s="202"/>
      <c r="W1012" s="202"/>
      <c r="X1012" s="202"/>
    </row>
    <row r="1013" spans="2:24">
      <c r="B1013" s="107">
        <f>'1_入力シート【基本情報】'!$BD$445</f>
        <v>0</v>
      </c>
      <c r="C1013" s="4" t="str">
        <f t="shared" si="170"/>
        <v/>
      </c>
      <c r="D1013" s="107">
        <f>'1_入力シート【基本情報】'!$BD$445</f>
        <v>0</v>
      </c>
      <c r="E1013" s="564">
        <f>'1_入力シート【基本情報】'!$BD$445</f>
        <v>0</v>
      </c>
      <c r="F1013" s="564" t="str">
        <f t="shared" si="164"/>
        <v>0</v>
      </c>
      <c r="G1013" s="24"/>
      <c r="H1013" s="565">
        <v>23</v>
      </c>
      <c r="I1013" s="334" t="s">
        <v>33</v>
      </c>
      <c r="J1013" s="357" t="s">
        <v>1407</v>
      </c>
      <c r="K1013" s="322" t="s">
        <v>113</v>
      </c>
      <c r="L1013" s="358" t="s">
        <v>1407</v>
      </c>
      <c r="M1013" s="325" t="s">
        <v>2133</v>
      </c>
      <c r="N1013" s="358" t="s">
        <v>1407</v>
      </c>
      <c r="O1013" s="326" t="s">
        <v>2029</v>
      </c>
      <c r="P1013" s="332"/>
      <c r="Q1013" s="363"/>
      <c r="R1013" s="364"/>
      <c r="S1013" s="364"/>
      <c r="T1013" s="13" t="str">
        <f t="shared" si="167"/>
        <v>23調査結果-避難施設等-5（20）-改善策の具体的内容等</v>
      </c>
      <c r="V1013" s="202"/>
      <c r="W1013" s="202"/>
      <c r="X1013" s="202"/>
    </row>
    <row r="1014" spans="2:24" ht="19">
      <c r="B1014" s="107">
        <f>'1_入力シート【基本情報】'!$BS$445</f>
        <v>0</v>
      </c>
      <c r="C1014" s="493" t="str">
        <f t="shared" ref="C1014:E1015" si="173">ASC($D1014)</f>
        <v>0</v>
      </c>
      <c r="D1014" s="107">
        <f>'1_入力シート【基本情報】'!$BS$445</f>
        <v>0</v>
      </c>
      <c r="E1014" s="7" t="str">
        <f t="shared" si="173"/>
        <v>0</v>
      </c>
      <c r="F1014" s="7" t="str">
        <f t="shared" si="164"/>
        <v>0</v>
      </c>
      <c r="G1014" s="24"/>
      <c r="H1014" s="565">
        <v>23</v>
      </c>
      <c r="I1014" s="334" t="s">
        <v>33</v>
      </c>
      <c r="J1014" s="357" t="s">
        <v>1407</v>
      </c>
      <c r="K1014" s="322" t="s">
        <v>113</v>
      </c>
      <c r="L1014" s="358" t="s">
        <v>1407</v>
      </c>
      <c r="M1014" s="325" t="s">
        <v>2133</v>
      </c>
      <c r="N1014" s="358" t="s">
        <v>1407</v>
      </c>
      <c r="O1014" s="326" t="s">
        <v>387</v>
      </c>
      <c r="P1014" s="332" t="s">
        <v>1879</v>
      </c>
      <c r="Q1014" s="363" t="s">
        <v>1966</v>
      </c>
      <c r="R1014" s="364"/>
      <c r="S1014" s="364"/>
      <c r="T1014" s="13" t="str">
        <f t="shared" si="167"/>
        <v>23調査結果-避難施設等-5（20）-改善（予定）年月-年（令和）</v>
      </c>
      <c r="V1014" s="202"/>
      <c r="W1014" s="202"/>
      <c r="X1014" s="202"/>
    </row>
    <row r="1015" spans="2:24" ht="19">
      <c r="B1015" s="107">
        <f>'1_入力シート【基本情報】'!$BV$445</f>
        <v>0</v>
      </c>
      <c r="C1015" s="493" t="str">
        <f t="shared" si="173"/>
        <v>0</v>
      </c>
      <c r="D1015" s="107">
        <f>'1_入力シート【基本情報】'!$BV$445</f>
        <v>0</v>
      </c>
      <c r="E1015" s="7" t="str">
        <f t="shared" si="173"/>
        <v>0</v>
      </c>
      <c r="F1015" s="7" t="str">
        <f t="shared" si="164"/>
        <v>0</v>
      </c>
      <c r="G1015" s="24"/>
      <c r="H1015" s="565">
        <v>23</v>
      </c>
      <c r="I1015" s="334" t="s">
        <v>33</v>
      </c>
      <c r="J1015" s="357" t="s">
        <v>1407</v>
      </c>
      <c r="K1015" s="322" t="s">
        <v>113</v>
      </c>
      <c r="L1015" s="358" t="s">
        <v>1407</v>
      </c>
      <c r="M1015" s="325" t="s">
        <v>2133</v>
      </c>
      <c r="N1015" s="358" t="s">
        <v>1407</v>
      </c>
      <c r="O1015" s="326" t="s">
        <v>387</v>
      </c>
      <c r="P1015" s="332" t="s">
        <v>1879</v>
      </c>
      <c r="Q1015" s="363" t="s">
        <v>383</v>
      </c>
      <c r="R1015" s="203"/>
      <c r="S1015" s="203"/>
      <c r="T1015" s="13" t="str">
        <f t="shared" si="167"/>
        <v>23調査結果-避難施設等-5（20）-改善（予定）年月-月</v>
      </c>
      <c r="V1015" s="202"/>
      <c r="W1015" s="202"/>
      <c r="X1015" s="202"/>
    </row>
    <row r="1016" spans="2:24">
      <c r="B1016" s="107">
        <f>'1_入力シート【基本情報】'!$BY$445</f>
        <v>0</v>
      </c>
      <c r="C1016" s="4" t="str">
        <f t="shared" si="170"/>
        <v/>
      </c>
      <c r="D1016" s="107">
        <f>'1_入力シート【基本情報】'!$BY$445</f>
        <v>0</v>
      </c>
      <c r="E1016" s="564">
        <f>'1_入力シート【基本情報】'!$BY$445</f>
        <v>0</v>
      </c>
      <c r="F1016" s="564" t="str">
        <f t="shared" si="164"/>
        <v>0</v>
      </c>
      <c r="G1016" s="24"/>
      <c r="H1016" s="565">
        <v>23</v>
      </c>
      <c r="I1016" s="334" t="s">
        <v>33</v>
      </c>
      <c r="J1016" s="357" t="s">
        <v>1407</v>
      </c>
      <c r="K1016" s="322" t="s">
        <v>113</v>
      </c>
      <c r="L1016" s="358" t="s">
        <v>1407</v>
      </c>
      <c r="M1016" s="325" t="s">
        <v>2133</v>
      </c>
      <c r="N1016" s="358" t="s">
        <v>1407</v>
      </c>
      <c r="O1016" s="326" t="s">
        <v>387</v>
      </c>
      <c r="P1016" s="332" t="s">
        <v>1879</v>
      </c>
      <c r="Q1016" s="363" t="s">
        <v>675</v>
      </c>
      <c r="R1016" s="364"/>
      <c r="S1016" s="364"/>
      <c r="T1016" s="13" t="str">
        <f t="shared" si="167"/>
        <v>23調査結果-避難施設等-5（20）-改善（予定）年月-未定</v>
      </c>
      <c r="V1016" s="202"/>
      <c r="W1016" s="202"/>
      <c r="X1016" s="202"/>
    </row>
    <row r="1017" spans="2:24">
      <c r="B1017" s="107">
        <f>'1_入力シート【基本情報】'!$AF$446</f>
        <v>0</v>
      </c>
      <c r="C1017" s="4" t="str">
        <f t="shared" si="170"/>
        <v/>
      </c>
      <c r="D1017" s="107" t="str">
        <f>C1017</f>
        <v/>
      </c>
      <c r="E1017" s="564" t="str">
        <f>D1017</f>
        <v/>
      </c>
      <c r="F1017" s="564" t="str">
        <f t="shared" si="164"/>
        <v/>
      </c>
      <c r="G1017" s="24"/>
      <c r="H1017" s="565">
        <v>23</v>
      </c>
      <c r="I1017" s="334" t="s">
        <v>33</v>
      </c>
      <c r="J1017" s="357" t="s">
        <v>1407</v>
      </c>
      <c r="K1017" s="322" t="s">
        <v>113</v>
      </c>
      <c r="L1017" s="358" t="s">
        <v>1407</v>
      </c>
      <c r="M1017" s="325" t="s">
        <v>2134</v>
      </c>
      <c r="N1017" s="358" t="s">
        <v>1407</v>
      </c>
      <c r="O1017" s="334" t="s">
        <v>33</v>
      </c>
      <c r="P1017" s="332"/>
      <c r="Q1017" s="363"/>
      <c r="R1017" s="364"/>
      <c r="S1017" s="364"/>
      <c r="T1017" s="13" t="str">
        <f t="shared" si="167"/>
        <v>23調査結果-避難施設等-5（21）-調査結果</v>
      </c>
      <c r="V1017" s="202"/>
      <c r="W1017" s="202"/>
      <c r="X1017" s="202"/>
    </row>
    <row r="1018" spans="2:24">
      <c r="B1018" s="107">
        <f>'1_入力シート【基本情報】'!$AR$446</f>
        <v>0</v>
      </c>
      <c r="C1018" s="4" t="str">
        <f t="shared" si="170"/>
        <v/>
      </c>
      <c r="D1018" s="107">
        <f>'1_入力シート【基本情報】'!$AR$446</f>
        <v>0</v>
      </c>
      <c r="E1018" s="564">
        <f>'1_入力シート【基本情報】'!$AR$446</f>
        <v>0</v>
      </c>
      <c r="F1018" s="564" t="str">
        <f t="shared" si="164"/>
        <v>0</v>
      </c>
      <c r="G1018" s="24"/>
      <c r="H1018" s="565">
        <v>23</v>
      </c>
      <c r="I1018" s="334" t="s">
        <v>33</v>
      </c>
      <c r="J1018" s="357" t="s">
        <v>1407</v>
      </c>
      <c r="K1018" s="322" t="s">
        <v>113</v>
      </c>
      <c r="L1018" s="358" t="s">
        <v>1407</v>
      </c>
      <c r="M1018" s="325" t="s">
        <v>2134</v>
      </c>
      <c r="N1018" s="358" t="s">
        <v>1407</v>
      </c>
      <c r="O1018" s="334" t="s">
        <v>30</v>
      </c>
      <c r="P1018" s="332"/>
      <c r="Q1018" s="363"/>
      <c r="R1018" s="364"/>
      <c r="S1018" s="364"/>
      <c r="T1018" s="13" t="str">
        <f t="shared" si="167"/>
        <v>23調査結果-避難施設等-5（21）-調査者番号</v>
      </c>
      <c r="V1018" s="202"/>
      <c r="W1018" s="202"/>
      <c r="X1018" s="202"/>
    </row>
    <row r="1019" spans="2:24">
      <c r="B1019" s="107">
        <f>'1_入力シート【基本情報】'!$AT$446</f>
        <v>0</v>
      </c>
      <c r="C1019" s="4" t="str">
        <f t="shared" si="170"/>
        <v/>
      </c>
      <c r="D1019" s="107">
        <f>'1_入力シート【基本情報】'!$AT$446</f>
        <v>0</v>
      </c>
      <c r="E1019" s="564">
        <f>'1_入力シート【基本情報】'!$AT$446</f>
        <v>0</v>
      </c>
      <c r="F1019" s="564" t="str">
        <f t="shared" si="164"/>
        <v>0</v>
      </c>
      <c r="G1019" s="24"/>
      <c r="H1019" s="565">
        <v>23</v>
      </c>
      <c r="I1019" s="334" t="s">
        <v>33</v>
      </c>
      <c r="J1019" s="357" t="s">
        <v>1407</v>
      </c>
      <c r="K1019" s="322" t="s">
        <v>113</v>
      </c>
      <c r="L1019" s="358" t="s">
        <v>1407</v>
      </c>
      <c r="M1019" s="325" t="s">
        <v>2134</v>
      </c>
      <c r="N1019" s="358" t="s">
        <v>1407</v>
      </c>
      <c r="O1019" s="334" t="s">
        <v>2028</v>
      </c>
      <c r="P1019" s="332"/>
      <c r="Q1019" s="363"/>
      <c r="R1019" s="364"/>
      <c r="S1019" s="364"/>
      <c r="T1019" s="13" t="str">
        <f t="shared" si="167"/>
        <v>23調査結果-避難施設等-5（21）-指摘の具体的内容等</v>
      </c>
      <c r="V1019" s="202"/>
      <c r="W1019" s="202"/>
      <c r="X1019" s="202"/>
    </row>
    <row r="1020" spans="2:24">
      <c r="B1020" s="107">
        <f>'1_入力シート【基本情報】'!$BD$446</f>
        <v>0</v>
      </c>
      <c r="C1020" s="4" t="str">
        <f t="shared" si="170"/>
        <v/>
      </c>
      <c r="D1020" s="107">
        <f>'1_入力シート【基本情報】'!$BD$446</f>
        <v>0</v>
      </c>
      <c r="E1020" s="564">
        <f>'1_入力シート【基本情報】'!$BD$446</f>
        <v>0</v>
      </c>
      <c r="F1020" s="564" t="str">
        <f t="shared" si="164"/>
        <v>0</v>
      </c>
      <c r="G1020" s="24"/>
      <c r="H1020" s="565">
        <v>23</v>
      </c>
      <c r="I1020" s="334" t="s">
        <v>33</v>
      </c>
      <c r="J1020" s="357" t="s">
        <v>1407</v>
      </c>
      <c r="K1020" s="322" t="s">
        <v>113</v>
      </c>
      <c r="L1020" s="358" t="s">
        <v>1407</v>
      </c>
      <c r="M1020" s="325" t="s">
        <v>2134</v>
      </c>
      <c r="N1020" s="358" t="s">
        <v>1407</v>
      </c>
      <c r="O1020" s="326" t="s">
        <v>2029</v>
      </c>
      <c r="P1020" s="327"/>
      <c r="Q1020" s="336"/>
      <c r="R1020" s="364"/>
      <c r="S1020" s="364"/>
      <c r="T1020" s="13" t="str">
        <f t="shared" si="167"/>
        <v>23調査結果-避難施設等-5（21）-改善策の具体的内容等</v>
      </c>
      <c r="V1020" s="202"/>
      <c r="W1020" s="202"/>
      <c r="X1020" s="202"/>
    </row>
    <row r="1021" spans="2:24" ht="19">
      <c r="B1021" s="107">
        <f>'1_入力シート【基本情報】'!$BS$446</f>
        <v>0</v>
      </c>
      <c r="C1021" s="493" t="str">
        <f t="shared" ref="C1021:E1022" si="174">ASC($D1021)</f>
        <v>0</v>
      </c>
      <c r="D1021" s="107">
        <f>'1_入力シート【基本情報】'!$BS$446</f>
        <v>0</v>
      </c>
      <c r="E1021" s="7" t="str">
        <f t="shared" si="174"/>
        <v>0</v>
      </c>
      <c r="F1021" s="7" t="str">
        <f t="shared" si="164"/>
        <v>0</v>
      </c>
      <c r="G1021" s="24"/>
      <c r="H1021" s="565">
        <v>23</v>
      </c>
      <c r="I1021" s="334" t="s">
        <v>33</v>
      </c>
      <c r="J1021" s="357" t="s">
        <v>1407</v>
      </c>
      <c r="K1021" s="322" t="s">
        <v>113</v>
      </c>
      <c r="L1021" s="358" t="s">
        <v>1407</v>
      </c>
      <c r="M1021" s="325" t="s">
        <v>2134</v>
      </c>
      <c r="N1021" s="358" t="s">
        <v>1407</v>
      </c>
      <c r="O1021" s="326" t="s">
        <v>387</v>
      </c>
      <c r="P1021" s="332" t="s">
        <v>1879</v>
      </c>
      <c r="Q1021" s="363" t="s">
        <v>1966</v>
      </c>
      <c r="R1021" s="364"/>
      <c r="S1021" s="364"/>
      <c r="T1021" s="13" t="str">
        <f t="shared" si="167"/>
        <v>23調査結果-避難施設等-5（21）-改善（予定）年月-年（令和）</v>
      </c>
      <c r="V1021" s="202"/>
      <c r="W1021" s="202"/>
      <c r="X1021" s="202"/>
    </row>
    <row r="1022" spans="2:24" ht="19">
      <c r="B1022" s="107">
        <f>'1_入力シート【基本情報】'!$BV$446</f>
        <v>0</v>
      </c>
      <c r="C1022" s="493" t="str">
        <f t="shared" si="174"/>
        <v>0</v>
      </c>
      <c r="D1022" s="107">
        <f>'1_入力シート【基本情報】'!$BV$446</f>
        <v>0</v>
      </c>
      <c r="E1022" s="7" t="str">
        <f t="shared" si="174"/>
        <v>0</v>
      </c>
      <c r="F1022" s="7" t="str">
        <f t="shared" si="164"/>
        <v>0</v>
      </c>
      <c r="G1022" s="24"/>
      <c r="H1022" s="565">
        <v>23</v>
      </c>
      <c r="I1022" s="334" t="s">
        <v>33</v>
      </c>
      <c r="J1022" s="357" t="s">
        <v>1407</v>
      </c>
      <c r="K1022" s="322" t="s">
        <v>113</v>
      </c>
      <c r="L1022" s="358" t="s">
        <v>1407</v>
      </c>
      <c r="M1022" s="325" t="s">
        <v>2134</v>
      </c>
      <c r="N1022" s="358" t="s">
        <v>1407</v>
      </c>
      <c r="O1022" s="326" t="s">
        <v>387</v>
      </c>
      <c r="P1022" s="332" t="s">
        <v>1879</v>
      </c>
      <c r="Q1022" s="363" t="s">
        <v>383</v>
      </c>
      <c r="R1022" s="364"/>
      <c r="S1022" s="364"/>
      <c r="T1022" s="13" t="str">
        <f t="shared" si="167"/>
        <v>23調査結果-避難施設等-5（21）-改善（予定）年月-月</v>
      </c>
      <c r="V1022" s="202"/>
      <c r="W1022" s="202"/>
      <c r="X1022" s="202"/>
    </row>
    <row r="1023" spans="2:24">
      <c r="B1023" s="107">
        <f>'1_入力シート【基本情報】'!$BY$446</f>
        <v>0</v>
      </c>
      <c r="C1023" s="4" t="str">
        <f t="shared" si="170"/>
        <v/>
      </c>
      <c r="D1023" s="107">
        <f>'1_入力シート【基本情報】'!$BY$446</f>
        <v>0</v>
      </c>
      <c r="E1023" s="564">
        <f>'1_入力シート【基本情報】'!$BY$446</f>
        <v>0</v>
      </c>
      <c r="F1023" s="564" t="str">
        <f t="shared" si="164"/>
        <v>0</v>
      </c>
      <c r="G1023" s="24"/>
      <c r="H1023" s="565">
        <v>23</v>
      </c>
      <c r="I1023" s="334" t="s">
        <v>33</v>
      </c>
      <c r="J1023" s="357" t="s">
        <v>1407</v>
      </c>
      <c r="K1023" s="322" t="s">
        <v>113</v>
      </c>
      <c r="L1023" s="358" t="s">
        <v>1407</v>
      </c>
      <c r="M1023" s="325" t="s">
        <v>2134</v>
      </c>
      <c r="N1023" s="358" t="s">
        <v>1407</v>
      </c>
      <c r="O1023" s="326" t="s">
        <v>387</v>
      </c>
      <c r="P1023" s="332" t="s">
        <v>1879</v>
      </c>
      <c r="Q1023" s="363" t="s">
        <v>675</v>
      </c>
      <c r="R1023" s="203"/>
      <c r="S1023" s="203"/>
      <c r="T1023" s="13" t="str">
        <f t="shared" si="167"/>
        <v>23調査結果-避難施設等-5（21）-改善（予定）年月-未定</v>
      </c>
      <c r="V1023" s="202"/>
      <c r="W1023" s="202"/>
      <c r="X1023" s="202"/>
    </row>
    <row r="1024" spans="2:24">
      <c r="B1024" s="107">
        <f>'1_入力シート【基本情報】'!$AF$447</f>
        <v>0</v>
      </c>
      <c r="C1024" s="4" t="str">
        <f t="shared" si="170"/>
        <v/>
      </c>
      <c r="D1024" s="107" t="str">
        <f>C1024</f>
        <v/>
      </c>
      <c r="E1024" s="564" t="str">
        <f>D1024</f>
        <v/>
      </c>
      <c r="F1024" s="564" t="str">
        <f t="shared" si="164"/>
        <v/>
      </c>
      <c r="G1024" s="24"/>
      <c r="H1024" s="565">
        <v>23</v>
      </c>
      <c r="I1024" s="334" t="s">
        <v>33</v>
      </c>
      <c r="J1024" s="357" t="s">
        <v>1407</v>
      </c>
      <c r="K1024" s="322" t="s">
        <v>113</v>
      </c>
      <c r="L1024" s="358" t="s">
        <v>1407</v>
      </c>
      <c r="M1024" s="325" t="s">
        <v>2135</v>
      </c>
      <c r="N1024" s="358" t="s">
        <v>1407</v>
      </c>
      <c r="O1024" s="326" t="s">
        <v>33</v>
      </c>
      <c r="P1024" s="332"/>
      <c r="Q1024" s="363"/>
      <c r="R1024" s="364"/>
      <c r="S1024" s="364"/>
      <c r="T1024" s="13" t="str">
        <f t="shared" si="167"/>
        <v>23調査結果-避難施設等-5（22）-調査結果</v>
      </c>
      <c r="V1024" s="202"/>
      <c r="W1024" s="202"/>
      <c r="X1024" s="202"/>
    </row>
    <row r="1025" spans="2:24">
      <c r="B1025" s="107">
        <f>'1_入力シート【基本情報】'!$AR$447</f>
        <v>0</v>
      </c>
      <c r="C1025" s="4" t="str">
        <f t="shared" si="170"/>
        <v/>
      </c>
      <c r="D1025" s="107">
        <f>'1_入力シート【基本情報】'!$AR$447</f>
        <v>0</v>
      </c>
      <c r="E1025" s="564">
        <f>'1_入力シート【基本情報】'!$AR$447</f>
        <v>0</v>
      </c>
      <c r="F1025" s="564" t="str">
        <f t="shared" si="164"/>
        <v>0</v>
      </c>
      <c r="G1025" s="24"/>
      <c r="H1025" s="565">
        <v>23</v>
      </c>
      <c r="I1025" s="334" t="s">
        <v>33</v>
      </c>
      <c r="J1025" s="357" t="s">
        <v>1407</v>
      </c>
      <c r="K1025" s="322" t="s">
        <v>113</v>
      </c>
      <c r="L1025" s="358" t="s">
        <v>1407</v>
      </c>
      <c r="M1025" s="325" t="s">
        <v>2135</v>
      </c>
      <c r="N1025" s="358" t="s">
        <v>1407</v>
      </c>
      <c r="O1025" s="334" t="s">
        <v>30</v>
      </c>
      <c r="P1025" s="332"/>
      <c r="Q1025" s="363"/>
      <c r="R1025" s="364"/>
      <c r="S1025" s="364"/>
      <c r="T1025" s="13" t="str">
        <f t="shared" si="167"/>
        <v>23調査結果-避難施設等-5（22）-調査者番号</v>
      </c>
      <c r="V1025" s="202"/>
      <c r="W1025" s="202"/>
      <c r="X1025" s="202"/>
    </row>
    <row r="1026" spans="2:24">
      <c r="B1026" s="107">
        <f>'1_入力シート【基本情報】'!$AT$447</f>
        <v>0</v>
      </c>
      <c r="C1026" s="4" t="str">
        <f t="shared" si="170"/>
        <v/>
      </c>
      <c r="D1026" s="107">
        <f>'1_入力シート【基本情報】'!$AT$447</f>
        <v>0</v>
      </c>
      <c r="E1026" s="564">
        <f>'1_入力シート【基本情報】'!$AT$447</f>
        <v>0</v>
      </c>
      <c r="F1026" s="564" t="str">
        <f t="shared" si="164"/>
        <v>0</v>
      </c>
      <c r="G1026" s="24"/>
      <c r="H1026" s="565">
        <v>23</v>
      </c>
      <c r="I1026" s="334" t="s">
        <v>33</v>
      </c>
      <c r="J1026" s="357" t="s">
        <v>1407</v>
      </c>
      <c r="K1026" s="322" t="s">
        <v>113</v>
      </c>
      <c r="L1026" s="358" t="s">
        <v>1407</v>
      </c>
      <c r="M1026" s="325" t="s">
        <v>2135</v>
      </c>
      <c r="N1026" s="358" t="s">
        <v>1407</v>
      </c>
      <c r="O1026" s="334" t="s">
        <v>2028</v>
      </c>
      <c r="P1026" s="332"/>
      <c r="Q1026" s="363"/>
      <c r="R1026" s="364"/>
      <c r="S1026" s="364"/>
      <c r="T1026" s="13" t="str">
        <f t="shared" si="167"/>
        <v>23調査結果-避難施設等-5（22）-指摘の具体的内容等</v>
      </c>
      <c r="V1026" s="202"/>
      <c r="W1026" s="202"/>
      <c r="X1026" s="202"/>
    </row>
    <row r="1027" spans="2:24">
      <c r="B1027" s="107">
        <f>'1_入力シート【基本情報】'!$BD$447</f>
        <v>0</v>
      </c>
      <c r="C1027" s="4" t="str">
        <f t="shared" si="170"/>
        <v/>
      </c>
      <c r="D1027" s="107">
        <f>'1_入力シート【基本情報】'!$BD$447</f>
        <v>0</v>
      </c>
      <c r="E1027" s="564">
        <f>'1_入力シート【基本情報】'!$BD$447</f>
        <v>0</v>
      </c>
      <c r="F1027" s="564" t="str">
        <f t="shared" si="164"/>
        <v>0</v>
      </c>
      <c r="G1027" s="24"/>
      <c r="H1027" s="565">
        <v>23</v>
      </c>
      <c r="I1027" s="334" t="s">
        <v>33</v>
      </c>
      <c r="J1027" s="357" t="s">
        <v>1407</v>
      </c>
      <c r="K1027" s="322" t="s">
        <v>113</v>
      </c>
      <c r="L1027" s="358" t="s">
        <v>1407</v>
      </c>
      <c r="M1027" s="325" t="s">
        <v>2135</v>
      </c>
      <c r="N1027" s="358" t="s">
        <v>1407</v>
      </c>
      <c r="O1027" s="334" t="s">
        <v>2029</v>
      </c>
      <c r="P1027" s="332"/>
      <c r="Q1027" s="363"/>
      <c r="R1027" s="364"/>
      <c r="S1027" s="364"/>
      <c r="T1027" s="13" t="str">
        <f t="shared" si="167"/>
        <v>23調査結果-避難施設等-5（22）-改善策の具体的内容等</v>
      </c>
      <c r="V1027" s="202"/>
      <c r="W1027" s="202"/>
      <c r="X1027" s="202"/>
    </row>
    <row r="1028" spans="2:24" ht="19">
      <c r="B1028" s="107">
        <f>'1_入力シート【基本情報】'!$BS$447</f>
        <v>0</v>
      </c>
      <c r="C1028" s="493" t="str">
        <f t="shared" ref="C1028:E1029" si="175">ASC($D1028)</f>
        <v>0</v>
      </c>
      <c r="D1028" s="107">
        <f>'1_入力シート【基本情報】'!$BS$447</f>
        <v>0</v>
      </c>
      <c r="E1028" s="7" t="str">
        <f t="shared" si="175"/>
        <v>0</v>
      </c>
      <c r="F1028" s="7" t="str">
        <f t="shared" si="164"/>
        <v>0</v>
      </c>
      <c r="G1028" s="24"/>
      <c r="H1028" s="565">
        <v>23</v>
      </c>
      <c r="I1028" s="334" t="s">
        <v>33</v>
      </c>
      <c r="J1028" s="357" t="s">
        <v>1407</v>
      </c>
      <c r="K1028" s="322" t="s">
        <v>113</v>
      </c>
      <c r="L1028" s="358" t="s">
        <v>1407</v>
      </c>
      <c r="M1028" s="325" t="s">
        <v>2135</v>
      </c>
      <c r="N1028" s="358" t="s">
        <v>1407</v>
      </c>
      <c r="O1028" s="326" t="s">
        <v>387</v>
      </c>
      <c r="P1028" s="327" t="s">
        <v>1879</v>
      </c>
      <c r="Q1028" s="336" t="s">
        <v>1966</v>
      </c>
      <c r="R1028" s="364"/>
      <c r="S1028" s="364"/>
      <c r="T1028" s="13" t="str">
        <f t="shared" si="167"/>
        <v>23調査結果-避難施設等-5（22）-改善（予定）年月-年（令和）</v>
      </c>
      <c r="V1028" s="202"/>
      <c r="W1028" s="202"/>
      <c r="X1028" s="202"/>
    </row>
    <row r="1029" spans="2:24" ht="19">
      <c r="B1029" s="107">
        <f>'1_入力シート【基本情報】'!$BV$447</f>
        <v>0</v>
      </c>
      <c r="C1029" s="493" t="str">
        <f t="shared" si="175"/>
        <v>0</v>
      </c>
      <c r="D1029" s="107">
        <f>'1_入力シート【基本情報】'!$BV$447</f>
        <v>0</v>
      </c>
      <c r="E1029" s="7" t="str">
        <f t="shared" si="175"/>
        <v>0</v>
      </c>
      <c r="F1029" s="7" t="str">
        <f t="shared" ref="F1029:F1092" si="176">SUBSTITUTE(E1029,CHAR(10),"")</f>
        <v>0</v>
      </c>
      <c r="G1029" s="24"/>
      <c r="H1029" s="565">
        <v>23</v>
      </c>
      <c r="I1029" s="334" t="s">
        <v>33</v>
      </c>
      <c r="J1029" s="357" t="s">
        <v>1407</v>
      </c>
      <c r="K1029" s="322" t="s">
        <v>113</v>
      </c>
      <c r="L1029" s="358" t="s">
        <v>1407</v>
      </c>
      <c r="M1029" s="325" t="s">
        <v>2135</v>
      </c>
      <c r="N1029" s="358" t="s">
        <v>1407</v>
      </c>
      <c r="O1029" s="326" t="s">
        <v>387</v>
      </c>
      <c r="P1029" s="332" t="s">
        <v>1879</v>
      </c>
      <c r="Q1029" s="363" t="s">
        <v>383</v>
      </c>
      <c r="R1029" s="364"/>
      <c r="S1029" s="364"/>
      <c r="T1029" s="13" t="str">
        <f t="shared" si="167"/>
        <v>23調査結果-避難施設等-5（22）-改善（予定）年月-月</v>
      </c>
      <c r="V1029" s="202"/>
      <c r="W1029" s="202"/>
      <c r="X1029" s="202"/>
    </row>
    <row r="1030" spans="2:24">
      <c r="B1030" s="107">
        <f>'1_入力シート【基本情報】'!$BY$447</f>
        <v>0</v>
      </c>
      <c r="C1030" s="4" t="str">
        <f t="shared" si="170"/>
        <v/>
      </c>
      <c r="D1030" s="107">
        <f>'1_入力シート【基本情報】'!$BY$447</f>
        <v>0</v>
      </c>
      <c r="E1030" s="564">
        <f>'1_入力シート【基本情報】'!$BY$447</f>
        <v>0</v>
      </c>
      <c r="F1030" s="564" t="str">
        <f t="shared" si="176"/>
        <v>0</v>
      </c>
      <c r="G1030" s="24"/>
      <c r="H1030" s="565">
        <v>23</v>
      </c>
      <c r="I1030" s="334" t="s">
        <v>33</v>
      </c>
      <c r="J1030" s="357" t="s">
        <v>1407</v>
      </c>
      <c r="K1030" s="322" t="s">
        <v>113</v>
      </c>
      <c r="L1030" s="358" t="s">
        <v>1407</v>
      </c>
      <c r="M1030" s="325" t="s">
        <v>2135</v>
      </c>
      <c r="N1030" s="358" t="s">
        <v>1407</v>
      </c>
      <c r="O1030" s="326" t="s">
        <v>387</v>
      </c>
      <c r="P1030" s="332" t="s">
        <v>1879</v>
      </c>
      <c r="Q1030" s="363" t="s">
        <v>675</v>
      </c>
      <c r="R1030" s="364"/>
      <c r="S1030" s="364"/>
      <c r="T1030" s="13" t="str">
        <f t="shared" si="167"/>
        <v>23調査結果-避難施設等-5（22）-改善（予定）年月-未定</v>
      </c>
      <c r="V1030" s="202"/>
      <c r="W1030" s="202"/>
      <c r="X1030" s="202"/>
    </row>
    <row r="1031" spans="2:24">
      <c r="B1031" s="107">
        <f>'1_入力シート【基本情報】'!$AF$448</f>
        <v>0</v>
      </c>
      <c r="C1031" s="4" t="str">
        <f t="shared" si="170"/>
        <v/>
      </c>
      <c r="D1031" s="107" t="str">
        <f>C1031</f>
        <v/>
      </c>
      <c r="E1031" s="564" t="str">
        <f>D1031</f>
        <v/>
      </c>
      <c r="F1031" s="564" t="str">
        <f t="shared" si="176"/>
        <v/>
      </c>
      <c r="G1031" s="24"/>
      <c r="H1031" s="565">
        <v>23</v>
      </c>
      <c r="I1031" s="334" t="s">
        <v>33</v>
      </c>
      <c r="J1031" s="357" t="s">
        <v>1407</v>
      </c>
      <c r="K1031" s="322" t="s">
        <v>113</v>
      </c>
      <c r="L1031" s="358" t="s">
        <v>1407</v>
      </c>
      <c r="M1031" s="325" t="s">
        <v>2136</v>
      </c>
      <c r="N1031" s="358" t="s">
        <v>1407</v>
      </c>
      <c r="O1031" s="326" t="s">
        <v>33</v>
      </c>
      <c r="P1031" s="332"/>
      <c r="Q1031" s="363"/>
      <c r="R1031" s="203"/>
      <c r="S1031" s="203"/>
      <c r="T1031" s="13" t="str">
        <f t="shared" si="167"/>
        <v>23調査結果-避難施設等-5（23）-調査結果</v>
      </c>
      <c r="V1031" s="202"/>
      <c r="W1031" s="202"/>
      <c r="X1031" s="202"/>
    </row>
    <row r="1032" spans="2:24">
      <c r="B1032" s="107">
        <f>'1_入力シート【基本情報】'!$AR$448</f>
        <v>0</v>
      </c>
      <c r="C1032" s="4" t="str">
        <f t="shared" si="170"/>
        <v/>
      </c>
      <c r="D1032" s="107">
        <f>'1_入力シート【基本情報】'!$AR$448</f>
        <v>0</v>
      </c>
      <c r="E1032" s="564">
        <f>'1_入力シート【基本情報】'!$AR$448</f>
        <v>0</v>
      </c>
      <c r="F1032" s="564" t="str">
        <f t="shared" si="176"/>
        <v>0</v>
      </c>
      <c r="G1032" s="24"/>
      <c r="H1032" s="565">
        <v>23</v>
      </c>
      <c r="I1032" s="334" t="s">
        <v>33</v>
      </c>
      <c r="J1032" s="357" t="s">
        <v>1407</v>
      </c>
      <c r="K1032" s="322" t="s">
        <v>113</v>
      </c>
      <c r="L1032" s="358" t="s">
        <v>1407</v>
      </c>
      <c r="M1032" s="325" t="s">
        <v>2136</v>
      </c>
      <c r="N1032" s="358" t="s">
        <v>1407</v>
      </c>
      <c r="O1032" s="326" t="s">
        <v>30</v>
      </c>
      <c r="P1032" s="332"/>
      <c r="Q1032" s="363"/>
      <c r="R1032" s="364"/>
      <c r="S1032" s="364"/>
      <c r="T1032" s="13" t="str">
        <f t="shared" si="167"/>
        <v>23調査結果-避難施設等-5（23）-調査者番号</v>
      </c>
      <c r="V1032" s="202"/>
      <c r="W1032" s="202"/>
      <c r="X1032" s="202"/>
    </row>
    <row r="1033" spans="2:24">
      <c r="B1033" s="107">
        <f>'1_入力シート【基本情報】'!$AT$448</f>
        <v>0</v>
      </c>
      <c r="C1033" s="4" t="str">
        <f t="shared" si="170"/>
        <v/>
      </c>
      <c r="D1033" s="107">
        <f>'1_入力シート【基本情報】'!$AT$448</f>
        <v>0</v>
      </c>
      <c r="E1033" s="564">
        <f>'1_入力シート【基本情報】'!$AT$448</f>
        <v>0</v>
      </c>
      <c r="F1033" s="564" t="str">
        <f t="shared" si="176"/>
        <v>0</v>
      </c>
      <c r="G1033" s="24"/>
      <c r="H1033" s="565">
        <v>23</v>
      </c>
      <c r="I1033" s="334" t="s">
        <v>33</v>
      </c>
      <c r="J1033" s="357" t="s">
        <v>1407</v>
      </c>
      <c r="K1033" s="322" t="s">
        <v>113</v>
      </c>
      <c r="L1033" s="358" t="s">
        <v>1407</v>
      </c>
      <c r="M1033" s="325" t="s">
        <v>2136</v>
      </c>
      <c r="N1033" s="358" t="s">
        <v>1407</v>
      </c>
      <c r="O1033" s="334" t="s">
        <v>2028</v>
      </c>
      <c r="P1033" s="332"/>
      <c r="Q1033" s="363"/>
      <c r="R1033" s="364"/>
      <c r="S1033" s="364"/>
      <c r="T1033" s="13" t="str">
        <f t="shared" si="167"/>
        <v>23調査結果-避難施設等-5（23）-指摘の具体的内容等</v>
      </c>
      <c r="V1033" s="202"/>
      <c r="W1033" s="202"/>
      <c r="X1033" s="202"/>
    </row>
    <row r="1034" spans="2:24">
      <c r="B1034" s="107">
        <f>'1_入力シート【基本情報】'!$BD$448</f>
        <v>0</v>
      </c>
      <c r="C1034" s="4" t="str">
        <f t="shared" si="170"/>
        <v/>
      </c>
      <c r="D1034" s="107">
        <f>'1_入力シート【基本情報】'!$BD$448</f>
        <v>0</v>
      </c>
      <c r="E1034" s="564">
        <f>'1_入力シート【基本情報】'!$BD$448</f>
        <v>0</v>
      </c>
      <c r="F1034" s="564" t="str">
        <f t="shared" si="176"/>
        <v>0</v>
      </c>
      <c r="G1034" s="24"/>
      <c r="H1034" s="565">
        <v>23</v>
      </c>
      <c r="I1034" s="334" t="s">
        <v>33</v>
      </c>
      <c r="J1034" s="357" t="s">
        <v>1407</v>
      </c>
      <c r="K1034" s="322" t="s">
        <v>113</v>
      </c>
      <c r="L1034" s="358" t="s">
        <v>1407</v>
      </c>
      <c r="M1034" s="325" t="s">
        <v>2136</v>
      </c>
      <c r="N1034" s="358" t="s">
        <v>1407</v>
      </c>
      <c r="O1034" s="334" t="s">
        <v>2029</v>
      </c>
      <c r="P1034" s="332"/>
      <c r="Q1034" s="363"/>
      <c r="R1034" s="364"/>
      <c r="S1034" s="364"/>
      <c r="T1034" s="13" t="str">
        <f t="shared" si="167"/>
        <v>23調査結果-避難施設等-5（23）-改善策の具体的内容等</v>
      </c>
      <c r="V1034" s="202"/>
      <c r="W1034" s="202"/>
      <c r="X1034" s="202"/>
    </row>
    <row r="1035" spans="2:24" ht="19">
      <c r="B1035" s="107">
        <f>'1_入力シート【基本情報】'!$BS$448</f>
        <v>0</v>
      </c>
      <c r="C1035" s="493" t="str">
        <f t="shared" ref="C1035:E1036" si="177">ASC($D1035)</f>
        <v>0</v>
      </c>
      <c r="D1035" s="107">
        <f>'1_入力シート【基本情報】'!$BS$448</f>
        <v>0</v>
      </c>
      <c r="E1035" s="7" t="str">
        <f t="shared" si="177"/>
        <v>0</v>
      </c>
      <c r="F1035" s="7" t="str">
        <f t="shared" si="176"/>
        <v>0</v>
      </c>
      <c r="G1035" s="24"/>
      <c r="H1035" s="565">
        <v>23</v>
      </c>
      <c r="I1035" s="334" t="s">
        <v>33</v>
      </c>
      <c r="J1035" s="357" t="s">
        <v>1407</v>
      </c>
      <c r="K1035" s="322" t="s">
        <v>113</v>
      </c>
      <c r="L1035" s="358" t="s">
        <v>1407</v>
      </c>
      <c r="M1035" s="325" t="s">
        <v>2136</v>
      </c>
      <c r="N1035" s="358" t="s">
        <v>1407</v>
      </c>
      <c r="O1035" s="334" t="s">
        <v>387</v>
      </c>
      <c r="P1035" s="332" t="s">
        <v>1879</v>
      </c>
      <c r="Q1035" s="363" t="s">
        <v>1966</v>
      </c>
      <c r="R1035" s="364"/>
      <c r="S1035" s="364"/>
      <c r="T1035" s="13" t="str">
        <f t="shared" si="167"/>
        <v>23調査結果-避難施設等-5（23）-改善（予定）年月-年（令和）</v>
      </c>
      <c r="V1035" s="202"/>
      <c r="W1035" s="202"/>
      <c r="X1035" s="202"/>
    </row>
    <row r="1036" spans="2:24" ht="19">
      <c r="B1036" s="107">
        <f>'1_入力シート【基本情報】'!$BV$448</f>
        <v>0</v>
      </c>
      <c r="C1036" s="493" t="str">
        <f t="shared" si="177"/>
        <v>0</v>
      </c>
      <c r="D1036" s="107">
        <f>'1_入力シート【基本情報】'!$BV$448</f>
        <v>0</v>
      </c>
      <c r="E1036" s="7" t="str">
        <f t="shared" si="177"/>
        <v>0</v>
      </c>
      <c r="F1036" s="7" t="str">
        <f t="shared" si="176"/>
        <v>0</v>
      </c>
      <c r="G1036" s="24"/>
      <c r="H1036" s="565">
        <v>23</v>
      </c>
      <c r="I1036" s="334" t="s">
        <v>33</v>
      </c>
      <c r="J1036" s="357" t="s">
        <v>1407</v>
      </c>
      <c r="K1036" s="322" t="s">
        <v>113</v>
      </c>
      <c r="L1036" s="358" t="s">
        <v>1407</v>
      </c>
      <c r="M1036" s="325" t="s">
        <v>2136</v>
      </c>
      <c r="N1036" s="358" t="s">
        <v>1407</v>
      </c>
      <c r="O1036" s="326" t="s">
        <v>387</v>
      </c>
      <c r="P1036" s="327" t="s">
        <v>1879</v>
      </c>
      <c r="Q1036" s="336" t="s">
        <v>383</v>
      </c>
      <c r="R1036" s="364"/>
      <c r="S1036" s="364"/>
      <c r="T1036" s="13" t="str">
        <f t="shared" si="167"/>
        <v>23調査結果-避難施設等-5（23）-改善（予定）年月-月</v>
      </c>
      <c r="V1036" s="202"/>
      <c r="W1036" s="202"/>
      <c r="X1036" s="202"/>
    </row>
    <row r="1037" spans="2:24">
      <c r="B1037" s="107">
        <f>'1_入力シート【基本情報】'!$BY$448</f>
        <v>0</v>
      </c>
      <c r="C1037" s="4" t="str">
        <f t="shared" si="170"/>
        <v/>
      </c>
      <c r="D1037" s="107">
        <f>'1_入力シート【基本情報】'!$BY$448</f>
        <v>0</v>
      </c>
      <c r="E1037" s="564">
        <f>'1_入力シート【基本情報】'!$BY$448</f>
        <v>0</v>
      </c>
      <c r="F1037" s="564" t="str">
        <f t="shared" si="176"/>
        <v>0</v>
      </c>
      <c r="G1037" s="24"/>
      <c r="H1037" s="565">
        <v>23</v>
      </c>
      <c r="I1037" s="334" t="s">
        <v>33</v>
      </c>
      <c r="J1037" s="357" t="s">
        <v>1407</v>
      </c>
      <c r="K1037" s="322" t="s">
        <v>113</v>
      </c>
      <c r="L1037" s="358" t="s">
        <v>1407</v>
      </c>
      <c r="M1037" s="325" t="s">
        <v>2136</v>
      </c>
      <c r="N1037" s="358" t="s">
        <v>1407</v>
      </c>
      <c r="O1037" s="326" t="s">
        <v>387</v>
      </c>
      <c r="P1037" s="332" t="s">
        <v>1879</v>
      </c>
      <c r="Q1037" s="363" t="s">
        <v>675</v>
      </c>
      <c r="R1037" s="364"/>
      <c r="S1037" s="364"/>
      <c r="T1037" s="13" t="str">
        <f t="shared" si="167"/>
        <v>23調査結果-避難施設等-5（23）-改善（予定）年月-未定</v>
      </c>
      <c r="V1037" s="202"/>
      <c r="W1037" s="202"/>
      <c r="X1037" s="202"/>
    </row>
    <row r="1038" spans="2:24">
      <c r="B1038" s="107">
        <f>'1_入力シート【基本情報】'!$AF$449</f>
        <v>0</v>
      </c>
      <c r="C1038" s="4" t="str">
        <f t="shared" si="170"/>
        <v/>
      </c>
      <c r="D1038" s="107" t="str">
        <f>C1038</f>
        <v/>
      </c>
      <c r="E1038" s="564" t="str">
        <f>D1038</f>
        <v/>
      </c>
      <c r="F1038" s="564" t="str">
        <f t="shared" si="176"/>
        <v/>
      </c>
      <c r="G1038" s="24"/>
      <c r="H1038" s="565">
        <v>23</v>
      </c>
      <c r="I1038" s="334" t="s">
        <v>33</v>
      </c>
      <c r="J1038" s="357" t="s">
        <v>1407</v>
      </c>
      <c r="K1038" s="322" t="s">
        <v>113</v>
      </c>
      <c r="L1038" s="358" t="s">
        <v>1407</v>
      </c>
      <c r="M1038" s="325" t="s">
        <v>2137</v>
      </c>
      <c r="N1038" s="358" t="s">
        <v>1407</v>
      </c>
      <c r="O1038" s="326" t="s">
        <v>33</v>
      </c>
      <c r="P1038" s="332"/>
      <c r="Q1038" s="363"/>
      <c r="R1038" s="364"/>
      <c r="S1038" s="364"/>
      <c r="T1038" s="13" t="str">
        <f t="shared" si="167"/>
        <v>23調査結果-避難施設等-5（24）-調査結果</v>
      </c>
      <c r="V1038" s="202"/>
      <c r="W1038" s="202"/>
      <c r="X1038" s="202"/>
    </row>
    <row r="1039" spans="2:24">
      <c r="B1039" s="107">
        <f>'1_入力シート【基本情報】'!$AR$449</f>
        <v>0</v>
      </c>
      <c r="C1039" s="4" t="str">
        <f t="shared" si="170"/>
        <v/>
      </c>
      <c r="D1039" s="107">
        <f>'1_入力シート【基本情報】'!$AR$449</f>
        <v>0</v>
      </c>
      <c r="E1039" s="564">
        <f>'1_入力シート【基本情報】'!$AR$449</f>
        <v>0</v>
      </c>
      <c r="F1039" s="564" t="str">
        <f t="shared" si="176"/>
        <v>0</v>
      </c>
      <c r="G1039" s="24"/>
      <c r="H1039" s="565">
        <v>23</v>
      </c>
      <c r="I1039" s="334" t="s">
        <v>33</v>
      </c>
      <c r="J1039" s="357" t="s">
        <v>1407</v>
      </c>
      <c r="K1039" s="322" t="s">
        <v>113</v>
      </c>
      <c r="L1039" s="358" t="s">
        <v>1407</v>
      </c>
      <c r="M1039" s="325" t="s">
        <v>2137</v>
      </c>
      <c r="N1039" s="358" t="s">
        <v>1407</v>
      </c>
      <c r="O1039" s="326" t="s">
        <v>30</v>
      </c>
      <c r="P1039" s="332"/>
      <c r="Q1039" s="363"/>
      <c r="R1039" s="203"/>
      <c r="S1039" s="203"/>
      <c r="T1039" s="13" t="str">
        <f t="shared" si="167"/>
        <v>23調査結果-避難施設等-5（24）-調査者番号</v>
      </c>
      <c r="V1039" s="202"/>
      <c r="W1039" s="202"/>
      <c r="X1039" s="202"/>
    </row>
    <row r="1040" spans="2:24">
      <c r="B1040" s="107">
        <f>'1_入力シート【基本情報】'!$AT$449</f>
        <v>0</v>
      </c>
      <c r="C1040" s="4" t="str">
        <f t="shared" si="170"/>
        <v/>
      </c>
      <c r="D1040" s="107">
        <f>'1_入力シート【基本情報】'!$AT$449</f>
        <v>0</v>
      </c>
      <c r="E1040" s="564">
        <f>'1_入力シート【基本情報】'!$AT$449</f>
        <v>0</v>
      </c>
      <c r="F1040" s="564" t="str">
        <f t="shared" si="176"/>
        <v>0</v>
      </c>
      <c r="G1040" s="24"/>
      <c r="H1040" s="565">
        <v>23</v>
      </c>
      <c r="I1040" s="334" t="s">
        <v>33</v>
      </c>
      <c r="J1040" s="357" t="s">
        <v>1407</v>
      </c>
      <c r="K1040" s="322" t="s">
        <v>113</v>
      </c>
      <c r="L1040" s="358" t="s">
        <v>1407</v>
      </c>
      <c r="M1040" s="325" t="s">
        <v>2137</v>
      </c>
      <c r="N1040" s="358" t="s">
        <v>1407</v>
      </c>
      <c r="O1040" s="326" t="s">
        <v>2028</v>
      </c>
      <c r="P1040" s="332"/>
      <c r="Q1040" s="363"/>
      <c r="R1040" s="364"/>
      <c r="S1040" s="364"/>
      <c r="T1040" s="13" t="str">
        <f t="shared" si="167"/>
        <v>23調査結果-避難施設等-5（24）-指摘の具体的内容等</v>
      </c>
      <c r="V1040" s="202"/>
      <c r="W1040" s="202"/>
      <c r="X1040" s="202"/>
    </row>
    <row r="1041" spans="2:24">
      <c r="B1041" s="107">
        <f>'1_入力シート【基本情報】'!$BD$449</f>
        <v>0</v>
      </c>
      <c r="C1041" s="4" t="str">
        <f t="shared" si="170"/>
        <v/>
      </c>
      <c r="D1041" s="107">
        <f>'1_入力シート【基本情報】'!$BD$449</f>
        <v>0</v>
      </c>
      <c r="E1041" s="564">
        <f>'1_入力シート【基本情報】'!$BD$449</f>
        <v>0</v>
      </c>
      <c r="F1041" s="564" t="str">
        <f t="shared" si="176"/>
        <v>0</v>
      </c>
      <c r="G1041" s="24"/>
      <c r="H1041" s="565">
        <v>23</v>
      </c>
      <c r="I1041" s="334" t="s">
        <v>33</v>
      </c>
      <c r="J1041" s="357" t="s">
        <v>1407</v>
      </c>
      <c r="K1041" s="322" t="s">
        <v>113</v>
      </c>
      <c r="L1041" s="358" t="s">
        <v>1407</v>
      </c>
      <c r="M1041" s="325" t="s">
        <v>2137</v>
      </c>
      <c r="N1041" s="358" t="s">
        <v>1407</v>
      </c>
      <c r="O1041" s="334" t="s">
        <v>2029</v>
      </c>
      <c r="P1041" s="332"/>
      <c r="Q1041" s="363"/>
      <c r="R1041" s="364"/>
      <c r="S1041" s="364"/>
      <c r="T1041" s="13" t="str">
        <f t="shared" si="167"/>
        <v>23調査結果-避難施設等-5（24）-改善策の具体的内容等</v>
      </c>
      <c r="V1041" s="202"/>
      <c r="W1041" s="202"/>
      <c r="X1041" s="202"/>
    </row>
    <row r="1042" spans="2:24" ht="19">
      <c r="B1042" s="107">
        <f>'1_入力シート【基本情報】'!$BS$449</f>
        <v>0</v>
      </c>
      <c r="C1042" s="493" t="str">
        <f t="shared" ref="C1042:E1043" si="178">ASC($D1042)</f>
        <v>0</v>
      </c>
      <c r="D1042" s="107">
        <f>'1_入力シート【基本情報】'!$BS$449</f>
        <v>0</v>
      </c>
      <c r="E1042" s="7" t="str">
        <f t="shared" si="178"/>
        <v>0</v>
      </c>
      <c r="F1042" s="7" t="str">
        <f t="shared" si="176"/>
        <v>0</v>
      </c>
      <c r="G1042" s="24"/>
      <c r="H1042" s="565">
        <v>23</v>
      </c>
      <c r="I1042" s="334" t="s">
        <v>33</v>
      </c>
      <c r="J1042" s="357" t="s">
        <v>1407</v>
      </c>
      <c r="K1042" s="322" t="s">
        <v>113</v>
      </c>
      <c r="L1042" s="358" t="s">
        <v>1407</v>
      </c>
      <c r="M1042" s="325" t="s">
        <v>2137</v>
      </c>
      <c r="N1042" s="358" t="s">
        <v>1407</v>
      </c>
      <c r="O1042" s="334" t="s">
        <v>387</v>
      </c>
      <c r="P1042" s="332" t="s">
        <v>1879</v>
      </c>
      <c r="Q1042" s="363" t="s">
        <v>1966</v>
      </c>
      <c r="R1042" s="364"/>
      <c r="S1042" s="364"/>
      <c r="T1042" s="13" t="str">
        <f t="shared" si="167"/>
        <v>23調査結果-避難施設等-5（24）-改善（予定）年月-年（令和）</v>
      </c>
      <c r="V1042" s="202"/>
      <c r="W1042" s="202"/>
      <c r="X1042" s="202"/>
    </row>
    <row r="1043" spans="2:24" ht="19">
      <c r="B1043" s="107">
        <f>'1_入力シート【基本情報】'!$BV$449</f>
        <v>0</v>
      </c>
      <c r="C1043" s="493" t="str">
        <f t="shared" si="178"/>
        <v>0</v>
      </c>
      <c r="D1043" s="107">
        <f>'1_入力シート【基本情報】'!$BV$449</f>
        <v>0</v>
      </c>
      <c r="E1043" s="7" t="str">
        <f t="shared" si="178"/>
        <v>0</v>
      </c>
      <c r="F1043" s="7" t="str">
        <f t="shared" si="176"/>
        <v>0</v>
      </c>
      <c r="G1043" s="24"/>
      <c r="H1043" s="565">
        <v>23</v>
      </c>
      <c r="I1043" s="334" t="s">
        <v>33</v>
      </c>
      <c r="J1043" s="357" t="s">
        <v>1407</v>
      </c>
      <c r="K1043" s="322" t="s">
        <v>113</v>
      </c>
      <c r="L1043" s="358" t="s">
        <v>1407</v>
      </c>
      <c r="M1043" s="325" t="s">
        <v>2137</v>
      </c>
      <c r="N1043" s="358" t="s">
        <v>1407</v>
      </c>
      <c r="O1043" s="334" t="s">
        <v>387</v>
      </c>
      <c r="P1043" s="332" t="s">
        <v>1879</v>
      </c>
      <c r="Q1043" s="363" t="s">
        <v>383</v>
      </c>
      <c r="R1043" s="364"/>
      <c r="S1043" s="364"/>
      <c r="T1043" s="13" t="str">
        <f t="shared" si="167"/>
        <v>23調査結果-避難施設等-5（24）-改善（予定）年月-月</v>
      </c>
      <c r="V1043" s="202"/>
      <c r="W1043" s="202"/>
      <c r="X1043" s="202"/>
    </row>
    <row r="1044" spans="2:24">
      <c r="B1044" s="107">
        <f>'1_入力シート【基本情報】'!$BY$449</f>
        <v>0</v>
      </c>
      <c r="C1044" s="4" t="str">
        <f t="shared" si="170"/>
        <v/>
      </c>
      <c r="D1044" s="107">
        <f>'1_入力シート【基本情報】'!$BY$449</f>
        <v>0</v>
      </c>
      <c r="E1044" s="564">
        <f>'1_入力シート【基本情報】'!$BY$449</f>
        <v>0</v>
      </c>
      <c r="F1044" s="564" t="str">
        <f t="shared" si="176"/>
        <v>0</v>
      </c>
      <c r="G1044" s="24"/>
      <c r="H1044" s="565">
        <v>23</v>
      </c>
      <c r="I1044" s="334" t="s">
        <v>33</v>
      </c>
      <c r="J1044" s="357" t="s">
        <v>1407</v>
      </c>
      <c r="K1044" s="322" t="s">
        <v>113</v>
      </c>
      <c r="L1044" s="358" t="s">
        <v>1407</v>
      </c>
      <c r="M1044" s="325" t="s">
        <v>2137</v>
      </c>
      <c r="N1044" s="358" t="s">
        <v>1407</v>
      </c>
      <c r="O1044" s="326" t="s">
        <v>387</v>
      </c>
      <c r="P1044" s="327" t="s">
        <v>1879</v>
      </c>
      <c r="Q1044" s="336" t="s">
        <v>675</v>
      </c>
      <c r="R1044" s="364"/>
      <c r="S1044" s="364"/>
      <c r="T1044" s="13" t="str">
        <f t="shared" si="167"/>
        <v>23調査結果-避難施設等-5（24）-改善（予定）年月-未定</v>
      </c>
      <c r="V1044" s="202"/>
      <c r="W1044" s="202"/>
      <c r="X1044" s="202"/>
    </row>
    <row r="1045" spans="2:24">
      <c r="B1045" s="107">
        <f>'1_入力シート【基本情報】'!$AF$450</f>
        <v>0</v>
      </c>
      <c r="C1045" s="4" t="str">
        <f t="shared" si="170"/>
        <v/>
      </c>
      <c r="D1045" s="107" t="str">
        <f>C1045</f>
        <v/>
      </c>
      <c r="E1045" s="564" t="str">
        <f>D1045</f>
        <v/>
      </c>
      <c r="F1045" s="564" t="str">
        <f t="shared" si="176"/>
        <v/>
      </c>
      <c r="G1045" s="24"/>
      <c r="H1045" s="565">
        <v>23</v>
      </c>
      <c r="I1045" s="334" t="s">
        <v>33</v>
      </c>
      <c r="J1045" s="357" t="s">
        <v>1407</v>
      </c>
      <c r="K1045" s="322" t="s">
        <v>113</v>
      </c>
      <c r="L1045" s="358" t="s">
        <v>1407</v>
      </c>
      <c r="M1045" s="325" t="s">
        <v>2138</v>
      </c>
      <c r="N1045" s="358" t="s">
        <v>1407</v>
      </c>
      <c r="O1045" s="326" t="s">
        <v>33</v>
      </c>
      <c r="P1045" s="332"/>
      <c r="Q1045" s="363"/>
      <c r="R1045" s="364"/>
      <c r="S1045" s="364"/>
      <c r="T1045" s="13" t="str">
        <f t="shared" si="167"/>
        <v>23調査結果-避難施設等-5（25）-調査結果</v>
      </c>
      <c r="V1045" s="202"/>
      <c r="W1045" s="202"/>
      <c r="X1045" s="202"/>
    </row>
    <row r="1046" spans="2:24">
      <c r="B1046" s="107">
        <f>'1_入力シート【基本情報】'!$AR$450</f>
        <v>0</v>
      </c>
      <c r="C1046" s="4" t="str">
        <f t="shared" si="170"/>
        <v/>
      </c>
      <c r="D1046" s="107">
        <f>'1_入力シート【基本情報】'!$AR$450</f>
        <v>0</v>
      </c>
      <c r="E1046" s="564">
        <f>'1_入力シート【基本情報】'!$AR$450</f>
        <v>0</v>
      </c>
      <c r="F1046" s="564" t="str">
        <f t="shared" si="176"/>
        <v>0</v>
      </c>
      <c r="G1046" s="24"/>
      <c r="H1046" s="565">
        <v>23</v>
      </c>
      <c r="I1046" s="334" t="s">
        <v>33</v>
      </c>
      <c r="J1046" s="357" t="s">
        <v>1407</v>
      </c>
      <c r="K1046" s="322" t="s">
        <v>113</v>
      </c>
      <c r="L1046" s="358" t="s">
        <v>1407</v>
      </c>
      <c r="M1046" s="325" t="s">
        <v>2138</v>
      </c>
      <c r="N1046" s="358" t="s">
        <v>1407</v>
      </c>
      <c r="O1046" s="326" t="s">
        <v>30</v>
      </c>
      <c r="P1046" s="332"/>
      <c r="Q1046" s="363"/>
      <c r="R1046" s="364"/>
      <c r="S1046" s="364"/>
      <c r="T1046" s="13" t="str">
        <f t="shared" si="167"/>
        <v>23調査結果-避難施設等-5（25）-調査者番号</v>
      </c>
      <c r="V1046" s="202"/>
      <c r="W1046" s="202"/>
      <c r="X1046" s="202"/>
    </row>
    <row r="1047" spans="2:24">
      <c r="B1047" s="107">
        <f>'1_入力シート【基本情報】'!$AT$450</f>
        <v>0</v>
      </c>
      <c r="C1047" s="4" t="str">
        <f t="shared" si="170"/>
        <v/>
      </c>
      <c r="D1047" s="107">
        <f>'1_入力シート【基本情報】'!$AT$450</f>
        <v>0</v>
      </c>
      <c r="E1047" s="564">
        <f>'1_入力シート【基本情報】'!$AT$450</f>
        <v>0</v>
      </c>
      <c r="F1047" s="564" t="str">
        <f t="shared" si="176"/>
        <v>0</v>
      </c>
      <c r="G1047" s="24"/>
      <c r="H1047" s="565">
        <v>23</v>
      </c>
      <c r="I1047" s="334" t="s">
        <v>33</v>
      </c>
      <c r="J1047" s="357" t="s">
        <v>1407</v>
      </c>
      <c r="K1047" s="322" t="s">
        <v>113</v>
      </c>
      <c r="L1047" s="358" t="s">
        <v>1407</v>
      </c>
      <c r="M1047" s="325" t="s">
        <v>2138</v>
      </c>
      <c r="N1047" s="358" t="s">
        <v>1407</v>
      </c>
      <c r="O1047" s="326" t="s">
        <v>2028</v>
      </c>
      <c r="P1047" s="332"/>
      <c r="Q1047" s="363"/>
      <c r="R1047" s="203"/>
      <c r="S1047" s="203"/>
      <c r="T1047" s="13" t="str">
        <f t="shared" si="167"/>
        <v>23調査結果-避難施設等-5（25）-指摘の具体的内容等</v>
      </c>
      <c r="V1047" s="202"/>
      <c r="W1047" s="202"/>
      <c r="X1047" s="202"/>
    </row>
    <row r="1048" spans="2:24">
      <c r="B1048" s="107">
        <f>'1_入力シート【基本情報】'!$BD$450</f>
        <v>0</v>
      </c>
      <c r="C1048" s="4" t="str">
        <f t="shared" si="170"/>
        <v/>
      </c>
      <c r="D1048" s="107">
        <f>'1_入力シート【基本情報】'!$BD$450</f>
        <v>0</v>
      </c>
      <c r="E1048" s="564">
        <f>'1_入力シート【基本情報】'!$BD$450</f>
        <v>0</v>
      </c>
      <c r="F1048" s="564" t="str">
        <f t="shared" si="176"/>
        <v>0</v>
      </c>
      <c r="G1048" s="24"/>
      <c r="H1048" s="565">
        <v>23</v>
      </c>
      <c r="I1048" s="334" t="s">
        <v>33</v>
      </c>
      <c r="J1048" s="357" t="s">
        <v>1407</v>
      </c>
      <c r="K1048" s="322" t="s">
        <v>113</v>
      </c>
      <c r="L1048" s="358" t="s">
        <v>1407</v>
      </c>
      <c r="M1048" s="325" t="s">
        <v>2138</v>
      </c>
      <c r="N1048" s="358" t="s">
        <v>1407</v>
      </c>
      <c r="O1048" s="326" t="s">
        <v>2029</v>
      </c>
      <c r="P1048" s="332"/>
      <c r="Q1048" s="363"/>
      <c r="R1048" s="364"/>
      <c r="S1048" s="364"/>
      <c r="T1048" s="13" t="str">
        <f t="shared" si="167"/>
        <v>23調査結果-避難施設等-5（25）-改善策の具体的内容等</v>
      </c>
      <c r="V1048" s="202"/>
      <c r="W1048" s="202"/>
      <c r="X1048" s="202"/>
    </row>
    <row r="1049" spans="2:24" ht="19">
      <c r="B1049" s="107">
        <f>'1_入力シート【基本情報】'!$BS$450</f>
        <v>0</v>
      </c>
      <c r="C1049" s="493" t="str">
        <f t="shared" ref="C1049:E1050" si="179">ASC($D1049)</f>
        <v>0</v>
      </c>
      <c r="D1049" s="107">
        <f>'1_入力シート【基本情報】'!$BS$450</f>
        <v>0</v>
      </c>
      <c r="E1049" s="7" t="str">
        <f t="shared" si="179"/>
        <v>0</v>
      </c>
      <c r="F1049" s="7" t="str">
        <f t="shared" si="176"/>
        <v>0</v>
      </c>
      <c r="G1049" s="24"/>
      <c r="H1049" s="565">
        <v>23</v>
      </c>
      <c r="I1049" s="334" t="s">
        <v>33</v>
      </c>
      <c r="J1049" s="357" t="s">
        <v>1407</v>
      </c>
      <c r="K1049" s="322" t="s">
        <v>113</v>
      </c>
      <c r="L1049" s="358" t="s">
        <v>1407</v>
      </c>
      <c r="M1049" s="325" t="s">
        <v>2138</v>
      </c>
      <c r="N1049" s="358" t="s">
        <v>1407</v>
      </c>
      <c r="O1049" s="334" t="s">
        <v>387</v>
      </c>
      <c r="P1049" s="332" t="s">
        <v>1879</v>
      </c>
      <c r="Q1049" s="363" t="s">
        <v>1966</v>
      </c>
      <c r="R1049" s="364"/>
      <c r="S1049" s="364"/>
      <c r="T1049" s="13" t="str">
        <f t="shared" ref="T1049:T1112" si="180">CONCATENATE(H1049,I1049,J1049,K1049,L1049,M1049,N1049,O1049,P1049,Q1049)</f>
        <v>23調査結果-避難施設等-5（25）-改善（予定）年月-年（令和）</v>
      </c>
      <c r="V1049" s="202"/>
      <c r="W1049" s="202"/>
      <c r="X1049" s="202"/>
    </row>
    <row r="1050" spans="2:24" ht="19">
      <c r="B1050" s="107">
        <f>'1_入力シート【基本情報】'!$BV$450</f>
        <v>0</v>
      </c>
      <c r="C1050" s="493" t="str">
        <f t="shared" si="179"/>
        <v>0</v>
      </c>
      <c r="D1050" s="107">
        <f>'1_入力シート【基本情報】'!$BV$450</f>
        <v>0</v>
      </c>
      <c r="E1050" s="7" t="str">
        <f t="shared" si="179"/>
        <v>0</v>
      </c>
      <c r="F1050" s="7" t="str">
        <f t="shared" si="176"/>
        <v>0</v>
      </c>
      <c r="G1050" s="24"/>
      <c r="H1050" s="565">
        <v>23</v>
      </c>
      <c r="I1050" s="334" t="s">
        <v>33</v>
      </c>
      <c r="J1050" s="357" t="s">
        <v>1407</v>
      </c>
      <c r="K1050" s="322" t="s">
        <v>113</v>
      </c>
      <c r="L1050" s="358" t="s">
        <v>1407</v>
      </c>
      <c r="M1050" s="325" t="s">
        <v>2138</v>
      </c>
      <c r="N1050" s="358" t="s">
        <v>1407</v>
      </c>
      <c r="O1050" s="334" t="s">
        <v>387</v>
      </c>
      <c r="P1050" s="332" t="s">
        <v>1879</v>
      </c>
      <c r="Q1050" s="363" t="s">
        <v>383</v>
      </c>
      <c r="R1050" s="364"/>
      <c r="S1050" s="364"/>
      <c r="T1050" s="13" t="str">
        <f t="shared" si="180"/>
        <v>23調査結果-避難施設等-5（25）-改善（予定）年月-月</v>
      </c>
      <c r="V1050" s="202"/>
      <c r="W1050" s="202"/>
      <c r="X1050" s="202"/>
    </row>
    <row r="1051" spans="2:24">
      <c r="B1051" s="107">
        <f>'1_入力シート【基本情報】'!$BY$450</f>
        <v>0</v>
      </c>
      <c r="C1051" s="4" t="str">
        <f t="shared" si="170"/>
        <v/>
      </c>
      <c r="D1051" s="107">
        <f>'1_入力シート【基本情報】'!$BY$450</f>
        <v>0</v>
      </c>
      <c r="E1051" s="564">
        <f>'1_入力シート【基本情報】'!$BY$450</f>
        <v>0</v>
      </c>
      <c r="F1051" s="564" t="str">
        <f t="shared" si="176"/>
        <v>0</v>
      </c>
      <c r="G1051" s="24"/>
      <c r="H1051" s="565">
        <v>23</v>
      </c>
      <c r="I1051" s="334" t="s">
        <v>33</v>
      </c>
      <c r="J1051" s="357" t="s">
        <v>1407</v>
      </c>
      <c r="K1051" s="322" t="s">
        <v>113</v>
      </c>
      <c r="L1051" s="358" t="s">
        <v>1407</v>
      </c>
      <c r="M1051" s="325" t="s">
        <v>2138</v>
      </c>
      <c r="N1051" s="358" t="s">
        <v>1407</v>
      </c>
      <c r="O1051" s="334" t="s">
        <v>387</v>
      </c>
      <c r="P1051" s="332" t="s">
        <v>1879</v>
      </c>
      <c r="Q1051" s="363" t="s">
        <v>675</v>
      </c>
      <c r="R1051" s="364"/>
      <c r="S1051" s="364"/>
      <c r="T1051" s="13" t="str">
        <f t="shared" si="180"/>
        <v>23調査結果-避難施設等-5（25）-改善（予定）年月-未定</v>
      </c>
      <c r="V1051" s="202"/>
      <c r="W1051" s="202"/>
      <c r="X1051" s="202"/>
    </row>
    <row r="1052" spans="2:24">
      <c r="B1052" s="107">
        <f>'1_入力シート【基本情報】'!$AF$451</f>
        <v>0</v>
      </c>
      <c r="C1052" s="4" t="str">
        <f t="shared" si="170"/>
        <v/>
      </c>
      <c r="D1052" s="107" t="str">
        <f>C1052</f>
        <v/>
      </c>
      <c r="E1052" s="564" t="str">
        <f>D1052</f>
        <v/>
      </c>
      <c r="F1052" s="564" t="str">
        <f t="shared" si="176"/>
        <v/>
      </c>
      <c r="G1052" s="24"/>
      <c r="H1052" s="565">
        <v>23</v>
      </c>
      <c r="I1052" s="334" t="s">
        <v>33</v>
      </c>
      <c r="J1052" s="357" t="s">
        <v>1407</v>
      </c>
      <c r="K1052" s="322" t="s">
        <v>113</v>
      </c>
      <c r="L1052" s="358" t="s">
        <v>1407</v>
      </c>
      <c r="M1052" s="325" t="s">
        <v>2139</v>
      </c>
      <c r="N1052" s="358" t="s">
        <v>1407</v>
      </c>
      <c r="O1052" s="326" t="s">
        <v>33</v>
      </c>
      <c r="P1052" s="327"/>
      <c r="Q1052" s="336"/>
      <c r="R1052" s="364"/>
      <c r="S1052" s="364"/>
      <c r="T1052" s="13" t="str">
        <f t="shared" si="180"/>
        <v>23調査結果-避難施設等-5（26）-調査結果</v>
      </c>
      <c r="V1052" s="202"/>
      <c r="W1052" s="202"/>
      <c r="X1052" s="202"/>
    </row>
    <row r="1053" spans="2:24">
      <c r="B1053" s="107">
        <f>'1_入力シート【基本情報】'!$AR$451</f>
        <v>0</v>
      </c>
      <c r="C1053" s="4" t="str">
        <f t="shared" si="170"/>
        <v/>
      </c>
      <c r="D1053" s="107">
        <f>'1_入力シート【基本情報】'!$AR$451</f>
        <v>0</v>
      </c>
      <c r="E1053" s="564">
        <f>'1_入力シート【基本情報】'!$AR$451</f>
        <v>0</v>
      </c>
      <c r="F1053" s="564" t="str">
        <f t="shared" si="176"/>
        <v>0</v>
      </c>
      <c r="G1053" s="24"/>
      <c r="H1053" s="565">
        <v>23</v>
      </c>
      <c r="I1053" s="334" t="s">
        <v>33</v>
      </c>
      <c r="J1053" s="357" t="s">
        <v>1407</v>
      </c>
      <c r="K1053" s="322" t="s">
        <v>113</v>
      </c>
      <c r="L1053" s="358" t="s">
        <v>1407</v>
      </c>
      <c r="M1053" s="325" t="s">
        <v>2139</v>
      </c>
      <c r="N1053" s="358" t="s">
        <v>1407</v>
      </c>
      <c r="O1053" s="326" t="s">
        <v>30</v>
      </c>
      <c r="P1053" s="332"/>
      <c r="Q1053" s="363"/>
      <c r="R1053" s="364"/>
      <c r="S1053" s="364"/>
      <c r="T1053" s="13" t="str">
        <f t="shared" si="180"/>
        <v>23調査結果-避難施設等-5（26）-調査者番号</v>
      </c>
      <c r="V1053" s="202"/>
      <c r="W1053" s="202"/>
      <c r="X1053" s="202"/>
    </row>
    <row r="1054" spans="2:24">
      <c r="B1054" s="107">
        <f>'1_入力シート【基本情報】'!$AT$451</f>
        <v>0</v>
      </c>
      <c r="C1054" s="4" t="str">
        <f t="shared" si="170"/>
        <v/>
      </c>
      <c r="D1054" s="107">
        <f>'1_入力シート【基本情報】'!$AT$451</f>
        <v>0</v>
      </c>
      <c r="E1054" s="564">
        <f>'1_入力シート【基本情報】'!$AT$451</f>
        <v>0</v>
      </c>
      <c r="F1054" s="564" t="str">
        <f t="shared" si="176"/>
        <v>0</v>
      </c>
      <c r="G1054" s="24"/>
      <c r="H1054" s="565">
        <v>23</v>
      </c>
      <c r="I1054" s="334" t="s">
        <v>33</v>
      </c>
      <c r="J1054" s="357" t="s">
        <v>1407</v>
      </c>
      <c r="K1054" s="322" t="s">
        <v>113</v>
      </c>
      <c r="L1054" s="358" t="s">
        <v>1407</v>
      </c>
      <c r="M1054" s="325" t="s">
        <v>2139</v>
      </c>
      <c r="N1054" s="358" t="s">
        <v>1407</v>
      </c>
      <c r="O1054" s="326" t="s">
        <v>2028</v>
      </c>
      <c r="P1054" s="332"/>
      <c r="Q1054" s="363"/>
      <c r="R1054" s="364"/>
      <c r="S1054" s="364"/>
      <c r="T1054" s="13" t="str">
        <f t="shared" si="180"/>
        <v>23調査結果-避難施設等-5（26）-指摘の具体的内容等</v>
      </c>
      <c r="V1054" s="202"/>
      <c r="W1054" s="202"/>
      <c r="X1054" s="202"/>
    </row>
    <row r="1055" spans="2:24">
      <c r="B1055" s="107">
        <f>'1_入力シート【基本情報】'!$BD$451</f>
        <v>0</v>
      </c>
      <c r="C1055" s="4" t="str">
        <f t="shared" si="170"/>
        <v/>
      </c>
      <c r="D1055" s="107">
        <f>'1_入力シート【基本情報】'!$BD$451</f>
        <v>0</v>
      </c>
      <c r="E1055" s="564">
        <f>'1_入力シート【基本情報】'!$BD$451</f>
        <v>0</v>
      </c>
      <c r="F1055" s="564" t="str">
        <f t="shared" si="176"/>
        <v>0</v>
      </c>
      <c r="G1055" s="24"/>
      <c r="H1055" s="565">
        <v>23</v>
      </c>
      <c r="I1055" s="334" t="s">
        <v>33</v>
      </c>
      <c r="J1055" s="357" t="s">
        <v>1407</v>
      </c>
      <c r="K1055" s="322" t="s">
        <v>113</v>
      </c>
      <c r="L1055" s="358" t="s">
        <v>1407</v>
      </c>
      <c r="M1055" s="325" t="s">
        <v>2139</v>
      </c>
      <c r="N1055" s="358" t="s">
        <v>1407</v>
      </c>
      <c r="O1055" s="326" t="s">
        <v>2029</v>
      </c>
      <c r="P1055" s="332"/>
      <c r="Q1055" s="363"/>
      <c r="R1055" s="203"/>
      <c r="S1055" s="203"/>
      <c r="T1055" s="13" t="str">
        <f t="shared" si="180"/>
        <v>23調査結果-避難施設等-5（26）-改善策の具体的内容等</v>
      </c>
      <c r="V1055" s="202"/>
      <c r="W1055" s="202"/>
      <c r="X1055" s="202"/>
    </row>
    <row r="1056" spans="2:24" ht="19">
      <c r="B1056" s="107">
        <f>'1_入力シート【基本情報】'!$BS$451</f>
        <v>0</v>
      </c>
      <c r="C1056" s="493" t="str">
        <f t="shared" ref="C1056:E1057" si="181">ASC($D1056)</f>
        <v>0</v>
      </c>
      <c r="D1056" s="107">
        <f>'1_入力シート【基本情報】'!$BS$451</f>
        <v>0</v>
      </c>
      <c r="E1056" s="7" t="str">
        <f t="shared" si="181"/>
        <v>0</v>
      </c>
      <c r="F1056" s="7" t="str">
        <f t="shared" si="176"/>
        <v>0</v>
      </c>
      <c r="G1056" s="24"/>
      <c r="H1056" s="565">
        <v>23</v>
      </c>
      <c r="I1056" s="334" t="s">
        <v>33</v>
      </c>
      <c r="J1056" s="357" t="s">
        <v>1407</v>
      </c>
      <c r="K1056" s="322" t="s">
        <v>113</v>
      </c>
      <c r="L1056" s="358" t="s">
        <v>1407</v>
      </c>
      <c r="M1056" s="325" t="s">
        <v>2139</v>
      </c>
      <c r="N1056" s="358" t="s">
        <v>1407</v>
      </c>
      <c r="O1056" s="326" t="s">
        <v>387</v>
      </c>
      <c r="P1056" s="332" t="s">
        <v>1879</v>
      </c>
      <c r="Q1056" s="363" t="s">
        <v>1966</v>
      </c>
      <c r="R1056" s="364"/>
      <c r="S1056" s="364"/>
      <c r="T1056" s="13" t="str">
        <f t="shared" si="180"/>
        <v>23調査結果-避難施設等-5（26）-改善（予定）年月-年（令和）</v>
      </c>
      <c r="V1056" s="202"/>
      <c r="W1056" s="202"/>
      <c r="X1056" s="202"/>
    </row>
    <row r="1057" spans="2:24" ht="19">
      <c r="B1057" s="107">
        <f>'1_入力シート【基本情報】'!$BV$451</f>
        <v>0</v>
      </c>
      <c r="C1057" s="493" t="str">
        <f t="shared" si="181"/>
        <v>0</v>
      </c>
      <c r="D1057" s="107">
        <f>'1_入力シート【基本情報】'!$BV$451</f>
        <v>0</v>
      </c>
      <c r="E1057" s="7" t="str">
        <f t="shared" si="181"/>
        <v>0</v>
      </c>
      <c r="F1057" s="7" t="str">
        <f t="shared" si="176"/>
        <v>0</v>
      </c>
      <c r="G1057" s="24"/>
      <c r="H1057" s="565">
        <v>23</v>
      </c>
      <c r="I1057" s="334" t="s">
        <v>33</v>
      </c>
      <c r="J1057" s="357" t="s">
        <v>1407</v>
      </c>
      <c r="K1057" s="322" t="s">
        <v>113</v>
      </c>
      <c r="L1057" s="358" t="s">
        <v>1407</v>
      </c>
      <c r="M1057" s="325" t="s">
        <v>2139</v>
      </c>
      <c r="N1057" s="358" t="s">
        <v>1407</v>
      </c>
      <c r="O1057" s="334" t="s">
        <v>387</v>
      </c>
      <c r="P1057" s="332" t="s">
        <v>1879</v>
      </c>
      <c r="Q1057" s="363" t="s">
        <v>383</v>
      </c>
      <c r="R1057" s="364"/>
      <c r="S1057" s="364"/>
      <c r="T1057" s="13" t="str">
        <f t="shared" si="180"/>
        <v>23調査結果-避難施設等-5（26）-改善（予定）年月-月</v>
      </c>
      <c r="V1057" s="202"/>
      <c r="W1057" s="202"/>
      <c r="X1057" s="202"/>
    </row>
    <row r="1058" spans="2:24">
      <c r="B1058" s="107">
        <f>'1_入力シート【基本情報】'!$BY$451</f>
        <v>0</v>
      </c>
      <c r="C1058" s="4" t="str">
        <f t="shared" si="170"/>
        <v/>
      </c>
      <c r="D1058" s="107">
        <f>'1_入力シート【基本情報】'!$BY$451</f>
        <v>0</v>
      </c>
      <c r="E1058" s="564">
        <f>'1_入力シート【基本情報】'!$BY$451</f>
        <v>0</v>
      </c>
      <c r="F1058" s="564" t="str">
        <f t="shared" si="176"/>
        <v>0</v>
      </c>
      <c r="G1058" s="24"/>
      <c r="H1058" s="565">
        <v>23</v>
      </c>
      <c r="I1058" s="334" t="s">
        <v>33</v>
      </c>
      <c r="J1058" s="357" t="s">
        <v>1407</v>
      </c>
      <c r="K1058" s="322" t="s">
        <v>113</v>
      </c>
      <c r="L1058" s="358" t="s">
        <v>1407</v>
      </c>
      <c r="M1058" s="325" t="s">
        <v>2139</v>
      </c>
      <c r="N1058" s="358" t="s">
        <v>1407</v>
      </c>
      <c r="O1058" s="334" t="s">
        <v>387</v>
      </c>
      <c r="P1058" s="332" t="s">
        <v>1879</v>
      </c>
      <c r="Q1058" s="363" t="s">
        <v>675</v>
      </c>
      <c r="R1058" s="364"/>
      <c r="S1058" s="364"/>
      <c r="T1058" s="13" t="str">
        <f t="shared" si="180"/>
        <v>23調査結果-避難施設等-5（26）-改善（予定）年月-未定</v>
      </c>
      <c r="V1058" s="202"/>
      <c r="W1058" s="202"/>
      <c r="X1058" s="202"/>
    </row>
    <row r="1059" spans="2:24">
      <c r="B1059" s="107">
        <f>'1_入力シート【基本情報】'!$AF$452</f>
        <v>0</v>
      </c>
      <c r="C1059" s="4" t="str">
        <f t="shared" si="170"/>
        <v/>
      </c>
      <c r="D1059" s="107" t="str">
        <f>C1059</f>
        <v/>
      </c>
      <c r="E1059" s="564" t="str">
        <f>D1059</f>
        <v/>
      </c>
      <c r="F1059" s="564" t="str">
        <f t="shared" si="176"/>
        <v/>
      </c>
      <c r="G1059" s="24"/>
      <c r="H1059" s="565">
        <v>23</v>
      </c>
      <c r="I1059" s="334" t="s">
        <v>33</v>
      </c>
      <c r="J1059" s="357" t="s">
        <v>1407</v>
      </c>
      <c r="K1059" s="322" t="s">
        <v>113</v>
      </c>
      <c r="L1059" s="358" t="s">
        <v>1407</v>
      </c>
      <c r="M1059" s="325" t="s">
        <v>2140</v>
      </c>
      <c r="N1059" s="358" t="s">
        <v>1407</v>
      </c>
      <c r="O1059" s="334" t="s">
        <v>33</v>
      </c>
      <c r="P1059" s="332"/>
      <c r="Q1059" s="363"/>
      <c r="R1059" s="364"/>
      <c r="S1059" s="364"/>
      <c r="T1059" s="13" t="str">
        <f t="shared" si="180"/>
        <v>23調査結果-避難施設等-5（27）-調査結果</v>
      </c>
      <c r="V1059" s="202"/>
      <c r="W1059" s="202"/>
      <c r="X1059" s="202"/>
    </row>
    <row r="1060" spans="2:24">
      <c r="B1060" s="107">
        <f>'1_入力シート【基本情報】'!$AR$452</f>
        <v>0</v>
      </c>
      <c r="C1060" s="4" t="str">
        <f t="shared" si="170"/>
        <v/>
      </c>
      <c r="D1060" s="107">
        <f>'1_入力シート【基本情報】'!$AR$452</f>
        <v>0</v>
      </c>
      <c r="E1060" s="564">
        <f>'1_入力シート【基本情報】'!$AR$452</f>
        <v>0</v>
      </c>
      <c r="F1060" s="564" t="str">
        <f t="shared" si="176"/>
        <v>0</v>
      </c>
      <c r="G1060" s="24"/>
      <c r="H1060" s="565">
        <v>23</v>
      </c>
      <c r="I1060" s="334" t="s">
        <v>33</v>
      </c>
      <c r="J1060" s="357" t="s">
        <v>1407</v>
      </c>
      <c r="K1060" s="322" t="s">
        <v>113</v>
      </c>
      <c r="L1060" s="358" t="s">
        <v>1407</v>
      </c>
      <c r="M1060" s="325" t="s">
        <v>2140</v>
      </c>
      <c r="N1060" s="358" t="s">
        <v>1407</v>
      </c>
      <c r="O1060" s="326" t="s">
        <v>30</v>
      </c>
      <c r="P1060" s="327"/>
      <c r="Q1060" s="336"/>
      <c r="R1060" s="364"/>
      <c r="S1060" s="364"/>
      <c r="T1060" s="13" t="str">
        <f t="shared" si="180"/>
        <v>23調査結果-避難施設等-5（27）-調査者番号</v>
      </c>
      <c r="V1060" s="202"/>
      <c r="W1060" s="202"/>
      <c r="X1060" s="202"/>
    </row>
    <row r="1061" spans="2:24">
      <c r="B1061" s="107">
        <f>'1_入力シート【基本情報】'!$AT$452</f>
        <v>0</v>
      </c>
      <c r="C1061" s="4" t="str">
        <f t="shared" si="170"/>
        <v/>
      </c>
      <c r="D1061" s="107">
        <f>'1_入力シート【基本情報】'!$AT$452</f>
        <v>0</v>
      </c>
      <c r="E1061" s="564">
        <f>'1_入力シート【基本情報】'!$AT$452</f>
        <v>0</v>
      </c>
      <c r="F1061" s="564" t="str">
        <f t="shared" si="176"/>
        <v>0</v>
      </c>
      <c r="G1061" s="24"/>
      <c r="H1061" s="565">
        <v>23</v>
      </c>
      <c r="I1061" s="334" t="s">
        <v>33</v>
      </c>
      <c r="J1061" s="357" t="s">
        <v>1407</v>
      </c>
      <c r="K1061" s="322" t="s">
        <v>113</v>
      </c>
      <c r="L1061" s="358" t="s">
        <v>1407</v>
      </c>
      <c r="M1061" s="325" t="s">
        <v>2140</v>
      </c>
      <c r="N1061" s="358" t="s">
        <v>1407</v>
      </c>
      <c r="O1061" s="326" t="s">
        <v>2028</v>
      </c>
      <c r="P1061" s="332"/>
      <c r="Q1061" s="363"/>
      <c r="R1061" s="364"/>
      <c r="S1061" s="364"/>
      <c r="T1061" s="13" t="str">
        <f t="shared" si="180"/>
        <v>23調査結果-避難施設等-5（27）-指摘の具体的内容等</v>
      </c>
      <c r="V1061" s="202"/>
      <c r="W1061" s="202"/>
      <c r="X1061" s="202"/>
    </row>
    <row r="1062" spans="2:24">
      <c r="B1062" s="107">
        <f>'1_入力シート【基本情報】'!$BD$452</f>
        <v>0</v>
      </c>
      <c r="C1062" s="4" t="str">
        <f t="shared" ref="C1062:C1125" si="182">MID(B1062,2,14)</f>
        <v/>
      </c>
      <c r="D1062" s="107">
        <f>'1_入力シート【基本情報】'!$BD$452</f>
        <v>0</v>
      </c>
      <c r="E1062" s="564">
        <f>'1_入力シート【基本情報】'!$BD$452</f>
        <v>0</v>
      </c>
      <c r="F1062" s="564" t="str">
        <f t="shared" si="176"/>
        <v>0</v>
      </c>
      <c r="G1062" s="24"/>
      <c r="H1062" s="565">
        <v>23</v>
      </c>
      <c r="I1062" s="334" t="s">
        <v>33</v>
      </c>
      <c r="J1062" s="357" t="s">
        <v>1407</v>
      </c>
      <c r="K1062" s="322" t="s">
        <v>113</v>
      </c>
      <c r="L1062" s="358" t="s">
        <v>1407</v>
      </c>
      <c r="M1062" s="325" t="s">
        <v>2140</v>
      </c>
      <c r="N1062" s="358" t="s">
        <v>1407</v>
      </c>
      <c r="O1062" s="326" t="s">
        <v>2029</v>
      </c>
      <c r="P1062" s="332"/>
      <c r="Q1062" s="363"/>
      <c r="R1062" s="364"/>
      <c r="S1062" s="364"/>
      <c r="T1062" s="13" t="str">
        <f t="shared" si="180"/>
        <v>23調査結果-避難施設等-5（27）-改善策の具体的内容等</v>
      </c>
      <c r="V1062" s="202"/>
      <c r="W1062" s="202"/>
      <c r="X1062" s="202"/>
    </row>
    <row r="1063" spans="2:24" ht="19">
      <c r="B1063" s="107">
        <f>'1_入力シート【基本情報】'!$BS$452</f>
        <v>0</v>
      </c>
      <c r="C1063" s="493" t="str">
        <f t="shared" ref="C1063:E1064" si="183">ASC($D1063)</f>
        <v>0</v>
      </c>
      <c r="D1063" s="107">
        <f>'1_入力シート【基本情報】'!$BS$452</f>
        <v>0</v>
      </c>
      <c r="E1063" s="7" t="str">
        <f t="shared" si="183"/>
        <v>0</v>
      </c>
      <c r="F1063" s="7" t="str">
        <f t="shared" si="176"/>
        <v>0</v>
      </c>
      <c r="G1063" s="24"/>
      <c r="H1063" s="565">
        <v>23</v>
      </c>
      <c r="I1063" s="334" t="s">
        <v>33</v>
      </c>
      <c r="J1063" s="357" t="s">
        <v>1407</v>
      </c>
      <c r="K1063" s="322" t="s">
        <v>113</v>
      </c>
      <c r="L1063" s="358" t="s">
        <v>1407</v>
      </c>
      <c r="M1063" s="325" t="s">
        <v>2140</v>
      </c>
      <c r="N1063" s="358" t="s">
        <v>1407</v>
      </c>
      <c r="O1063" s="326" t="s">
        <v>387</v>
      </c>
      <c r="P1063" s="332" t="s">
        <v>1879</v>
      </c>
      <c r="Q1063" s="363" t="s">
        <v>1966</v>
      </c>
      <c r="R1063" s="203"/>
      <c r="S1063" s="203"/>
      <c r="T1063" s="13" t="str">
        <f t="shared" si="180"/>
        <v>23調査結果-避難施設等-5（27）-改善（予定）年月-年（令和）</v>
      </c>
      <c r="V1063" s="202"/>
      <c r="W1063" s="202"/>
      <c r="X1063" s="202"/>
    </row>
    <row r="1064" spans="2:24" ht="19">
      <c r="B1064" s="107">
        <f>'1_入力シート【基本情報】'!$BV$452</f>
        <v>0</v>
      </c>
      <c r="C1064" s="493" t="str">
        <f t="shared" si="183"/>
        <v>0</v>
      </c>
      <c r="D1064" s="107">
        <f>'1_入力シート【基本情報】'!$BV$452</f>
        <v>0</v>
      </c>
      <c r="E1064" s="7" t="str">
        <f t="shared" si="183"/>
        <v>0</v>
      </c>
      <c r="F1064" s="7" t="str">
        <f t="shared" si="176"/>
        <v>0</v>
      </c>
      <c r="G1064" s="24"/>
      <c r="H1064" s="565">
        <v>23</v>
      </c>
      <c r="I1064" s="334" t="s">
        <v>33</v>
      </c>
      <c r="J1064" s="357" t="s">
        <v>1407</v>
      </c>
      <c r="K1064" s="322" t="s">
        <v>113</v>
      </c>
      <c r="L1064" s="358" t="s">
        <v>1407</v>
      </c>
      <c r="M1064" s="325" t="s">
        <v>2140</v>
      </c>
      <c r="N1064" s="358" t="s">
        <v>1407</v>
      </c>
      <c r="O1064" s="326" t="s">
        <v>387</v>
      </c>
      <c r="P1064" s="332" t="s">
        <v>1879</v>
      </c>
      <c r="Q1064" s="363" t="s">
        <v>383</v>
      </c>
      <c r="R1064" s="364"/>
      <c r="S1064" s="364"/>
      <c r="T1064" s="13" t="str">
        <f t="shared" si="180"/>
        <v>23調査結果-避難施設等-5（27）-改善（予定）年月-月</v>
      </c>
      <c r="V1064" s="202"/>
      <c r="W1064" s="202"/>
      <c r="X1064" s="202"/>
    </row>
    <row r="1065" spans="2:24">
      <c r="B1065" s="107">
        <f>'1_入力シート【基本情報】'!$BY$452</f>
        <v>0</v>
      </c>
      <c r="C1065" s="4" t="str">
        <f t="shared" si="182"/>
        <v/>
      </c>
      <c r="D1065" s="107">
        <f>'1_入力シート【基本情報】'!$BY$452</f>
        <v>0</v>
      </c>
      <c r="E1065" s="564">
        <f>'1_入力シート【基本情報】'!$BY$452</f>
        <v>0</v>
      </c>
      <c r="F1065" s="564" t="str">
        <f t="shared" si="176"/>
        <v>0</v>
      </c>
      <c r="G1065" s="24"/>
      <c r="H1065" s="565">
        <v>23</v>
      </c>
      <c r="I1065" s="334" t="s">
        <v>33</v>
      </c>
      <c r="J1065" s="357" t="s">
        <v>1407</v>
      </c>
      <c r="K1065" s="322" t="s">
        <v>113</v>
      </c>
      <c r="L1065" s="358" t="s">
        <v>1407</v>
      </c>
      <c r="M1065" s="325" t="s">
        <v>2140</v>
      </c>
      <c r="N1065" s="358" t="s">
        <v>1407</v>
      </c>
      <c r="O1065" s="334" t="s">
        <v>387</v>
      </c>
      <c r="P1065" s="332" t="s">
        <v>1879</v>
      </c>
      <c r="Q1065" s="363" t="s">
        <v>675</v>
      </c>
      <c r="R1065" s="364"/>
      <c r="S1065" s="364"/>
      <c r="T1065" s="13" t="str">
        <f t="shared" si="180"/>
        <v>23調査結果-避難施設等-5（27）-改善（予定）年月-未定</v>
      </c>
      <c r="V1065" s="202"/>
      <c r="W1065" s="202"/>
      <c r="X1065" s="202"/>
    </row>
    <row r="1066" spans="2:24">
      <c r="B1066" s="107">
        <f>'1_入力シート【基本情報】'!$AF$453</f>
        <v>0</v>
      </c>
      <c r="C1066" s="4" t="str">
        <f t="shared" si="182"/>
        <v/>
      </c>
      <c r="D1066" s="107" t="str">
        <f>C1066</f>
        <v/>
      </c>
      <c r="E1066" s="564" t="str">
        <f>D1066</f>
        <v/>
      </c>
      <c r="F1066" s="564" t="str">
        <f t="shared" si="176"/>
        <v/>
      </c>
      <c r="G1066" s="24"/>
      <c r="H1066" s="565">
        <v>23</v>
      </c>
      <c r="I1066" s="334" t="s">
        <v>33</v>
      </c>
      <c r="J1066" s="357" t="s">
        <v>1407</v>
      </c>
      <c r="K1066" s="322" t="s">
        <v>113</v>
      </c>
      <c r="L1066" s="358" t="s">
        <v>1407</v>
      </c>
      <c r="M1066" s="325" t="s">
        <v>2141</v>
      </c>
      <c r="N1066" s="358" t="s">
        <v>1407</v>
      </c>
      <c r="O1066" s="334" t="s">
        <v>33</v>
      </c>
      <c r="P1066" s="332"/>
      <c r="Q1066" s="363"/>
      <c r="R1066" s="364"/>
      <c r="S1066" s="364"/>
      <c r="T1066" s="13" t="str">
        <f t="shared" si="180"/>
        <v>23調査結果-避難施設等-5（28）-調査結果</v>
      </c>
      <c r="V1066" s="202"/>
      <c r="W1066" s="202"/>
      <c r="X1066" s="202"/>
    </row>
    <row r="1067" spans="2:24">
      <c r="B1067" s="107">
        <f>'1_入力シート【基本情報】'!$AR$453</f>
        <v>0</v>
      </c>
      <c r="C1067" s="4" t="str">
        <f t="shared" si="182"/>
        <v/>
      </c>
      <c r="D1067" s="107">
        <f>'1_入力シート【基本情報】'!$AR$453</f>
        <v>0</v>
      </c>
      <c r="E1067" s="564">
        <f>'1_入力シート【基本情報】'!$AR$453</f>
        <v>0</v>
      </c>
      <c r="F1067" s="564" t="str">
        <f t="shared" si="176"/>
        <v>0</v>
      </c>
      <c r="G1067" s="24"/>
      <c r="H1067" s="565">
        <v>23</v>
      </c>
      <c r="I1067" s="334" t="s">
        <v>33</v>
      </c>
      <c r="J1067" s="357" t="s">
        <v>1407</v>
      </c>
      <c r="K1067" s="322" t="s">
        <v>113</v>
      </c>
      <c r="L1067" s="358" t="s">
        <v>1407</v>
      </c>
      <c r="M1067" s="325" t="s">
        <v>2141</v>
      </c>
      <c r="N1067" s="358" t="s">
        <v>1407</v>
      </c>
      <c r="O1067" s="334" t="s">
        <v>30</v>
      </c>
      <c r="P1067" s="332"/>
      <c r="Q1067" s="363"/>
      <c r="R1067" s="364"/>
      <c r="S1067" s="364"/>
      <c r="T1067" s="13" t="str">
        <f t="shared" si="180"/>
        <v>23調査結果-避難施設等-5（28）-調査者番号</v>
      </c>
      <c r="V1067" s="202"/>
      <c r="W1067" s="202"/>
      <c r="X1067" s="202"/>
    </row>
    <row r="1068" spans="2:24">
      <c r="B1068" s="107">
        <f>'1_入力シート【基本情報】'!$AT$453</f>
        <v>0</v>
      </c>
      <c r="C1068" s="4" t="str">
        <f t="shared" si="182"/>
        <v/>
      </c>
      <c r="D1068" s="107">
        <f>'1_入力シート【基本情報】'!$AT$453</f>
        <v>0</v>
      </c>
      <c r="E1068" s="564">
        <f>'1_入力シート【基本情報】'!$AT$453</f>
        <v>0</v>
      </c>
      <c r="F1068" s="564" t="str">
        <f t="shared" si="176"/>
        <v>0</v>
      </c>
      <c r="G1068" s="24"/>
      <c r="H1068" s="565">
        <v>23</v>
      </c>
      <c r="I1068" s="334" t="s">
        <v>33</v>
      </c>
      <c r="J1068" s="357" t="s">
        <v>1407</v>
      </c>
      <c r="K1068" s="322" t="s">
        <v>113</v>
      </c>
      <c r="L1068" s="358" t="s">
        <v>1407</v>
      </c>
      <c r="M1068" s="325" t="s">
        <v>2141</v>
      </c>
      <c r="N1068" s="358" t="s">
        <v>1407</v>
      </c>
      <c r="O1068" s="326" t="s">
        <v>2028</v>
      </c>
      <c r="P1068" s="327"/>
      <c r="Q1068" s="336"/>
      <c r="R1068" s="364"/>
      <c r="S1068" s="364"/>
      <c r="T1068" s="13" t="str">
        <f t="shared" si="180"/>
        <v>23調査結果-避難施設等-5（28）-指摘の具体的内容等</v>
      </c>
      <c r="V1068" s="202"/>
      <c r="W1068" s="202"/>
      <c r="X1068" s="202"/>
    </row>
    <row r="1069" spans="2:24">
      <c r="B1069" s="107">
        <f>'1_入力シート【基本情報】'!$BD$453</f>
        <v>0</v>
      </c>
      <c r="C1069" s="4" t="str">
        <f t="shared" si="182"/>
        <v/>
      </c>
      <c r="D1069" s="107">
        <f>'1_入力シート【基本情報】'!$BD$453</f>
        <v>0</v>
      </c>
      <c r="E1069" s="564">
        <f>'1_入力シート【基本情報】'!$BD$453</f>
        <v>0</v>
      </c>
      <c r="F1069" s="564" t="str">
        <f t="shared" si="176"/>
        <v>0</v>
      </c>
      <c r="G1069" s="24"/>
      <c r="H1069" s="565">
        <v>23</v>
      </c>
      <c r="I1069" s="334" t="s">
        <v>33</v>
      </c>
      <c r="J1069" s="357" t="s">
        <v>1407</v>
      </c>
      <c r="K1069" s="322" t="s">
        <v>113</v>
      </c>
      <c r="L1069" s="358" t="s">
        <v>1407</v>
      </c>
      <c r="M1069" s="325" t="s">
        <v>2141</v>
      </c>
      <c r="N1069" s="358" t="s">
        <v>1407</v>
      </c>
      <c r="O1069" s="326" t="s">
        <v>2029</v>
      </c>
      <c r="P1069" s="332"/>
      <c r="Q1069" s="363"/>
      <c r="R1069" s="364"/>
      <c r="S1069" s="364"/>
      <c r="T1069" s="13" t="str">
        <f t="shared" si="180"/>
        <v>23調査結果-避難施設等-5（28）-改善策の具体的内容等</v>
      </c>
      <c r="V1069" s="202"/>
      <c r="W1069" s="202"/>
      <c r="X1069" s="202"/>
    </row>
    <row r="1070" spans="2:24" ht="19">
      <c r="B1070" s="107">
        <f>'1_入力シート【基本情報】'!$BS$453</f>
        <v>0</v>
      </c>
      <c r="C1070" s="493" t="str">
        <f t="shared" ref="C1070:E1071" si="184">ASC($D1070)</f>
        <v>0</v>
      </c>
      <c r="D1070" s="107">
        <f>'1_入力シート【基本情報】'!$BS$453</f>
        <v>0</v>
      </c>
      <c r="E1070" s="7" t="str">
        <f t="shared" si="184"/>
        <v>0</v>
      </c>
      <c r="F1070" s="7" t="str">
        <f t="shared" si="176"/>
        <v>0</v>
      </c>
      <c r="G1070" s="24"/>
      <c r="H1070" s="565">
        <v>23</v>
      </c>
      <c r="I1070" s="334" t="s">
        <v>33</v>
      </c>
      <c r="J1070" s="357" t="s">
        <v>1407</v>
      </c>
      <c r="K1070" s="322" t="s">
        <v>113</v>
      </c>
      <c r="L1070" s="358" t="s">
        <v>1407</v>
      </c>
      <c r="M1070" s="325" t="s">
        <v>2141</v>
      </c>
      <c r="N1070" s="358" t="s">
        <v>1407</v>
      </c>
      <c r="O1070" s="326" t="s">
        <v>387</v>
      </c>
      <c r="P1070" s="332" t="s">
        <v>1879</v>
      </c>
      <c r="Q1070" s="363" t="s">
        <v>1966</v>
      </c>
      <c r="R1070" s="364"/>
      <c r="S1070" s="364"/>
      <c r="T1070" s="13" t="str">
        <f t="shared" si="180"/>
        <v>23調査結果-避難施設等-5（28）-改善（予定）年月-年（令和）</v>
      </c>
      <c r="V1070" s="202"/>
      <c r="W1070" s="202"/>
      <c r="X1070" s="202"/>
    </row>
    <row r="1071" spans="2:24" ht="19">
      <c r="B1071" s="107">
        <f>'1_入力シート【基本情報】'!$BV$453</f>
        <v>0</v>
      </c>
      <c r="C1071" s="493" t="str">
        <f t="shared" si="184"/>
        <v>0</v>
      </c>
      <c r="D1071" s="107">
        <f>'1_入力シート【基本情報】'!$BV$453</f>
        <v>0</v>
      </c>
      <c r="E1071" s="7" t="str">
        <f t="shared" si="184"/>
        <v>0</v>
      </c>
      <c r="F1071" s="7" t="str">
        <f t="shared" si="176"/>
        <v>0</v>
      </c>
      <c r="G1071" s="24"/>
      <c r="H1071" s="565">
        <v>23</v>
      </c>
      <c r="I1071" s="334" t="s">
        <v>33</v>
      </c>
      <c r="J1071" s="357" t="s">
        <v>1407</v>
      </c>
      <c r="K1071" s="322" t="s">
        <v>113</v>
      </c>
      <c r="L1071" s="358" t="s">
        <v>1407</v>
      </c>
      <c r="M1071" s="325" t="s">
        <v>2141</v>
      </c>
      <c r="N1071" s="358" t="s">
        <v>1407</v>
      </c>
      <c r="O1071" s="326" t="s">
        <v>387</v>
      </c>
      <c r="P1071" s="332" t="s">
        <v>1879</v>
      </c>
      <c r="Q1071" s="363" t="s">
        <v>383</v>
      </c>
      <c r="R1071" s="203"/>
      <c r="S1071" s="203"/>
      <c r="T1071" s="13" t="str">
        <f t="shared" si="180"/>
        <v>23調査結果-避難施設等-5（28）-改善（予定）年月-月</v>
      </c>
      <c r="V1071" s="202"/>
      <c r="W1071" s="202"/>
      <c r="X1071" s="202"/>
    </row>
    <row r="1072" spans="2:24">
      <c r="B1072" s="107">
        <f>'1_入力シート【基本情報】'!$BY$453</f>
        <v>0</v>
      </c>
      <c r="C1072" s="4" t="str">
        <f t="shared" si="182"/>
        <v/>
      </c>
      <c r="D1072" s="107">
        <f>'1_入力シート【基本情報】'!$BY$453</f>
        <v>0</v>
      </c>
      <c r="E1072" s="564">
        <f>'1_入力シート【基本情報】'!$BY$453</f>
        <v>0</v>
      </c>
      <c r="F1072" s="564" t="str">
        <f t="shared" si="176"/>
        <v>0</v>
      </c>
      <c r="G1072" s="24"/>
      <c r="H1072" s="565">
        <v>23</v>
      </c>
      <c r="I1072" s="334" t="s">
        <v>33</v>
      </c>
      <c r="J1072" s="357" t="s">
        <v>1407</v>
      </c>
      <c r="K1072" s="322" t="s">
        <v>113</v>
      </c>
      <c r="L1072" s="358" t="s">
        <v>1407</v>
      </c>
      <c r="M1072" s="325" t="s">
        <v>2141</v>
      </c>
      <c r="N1072" s="358" t="s">
        <v>1407</v>
      </c>
      <c r="O1072" s="326" t="s">
        <v>387</v>
      </c>
      <c r="P1072" s="332" t="s">
        <v>1879</v>
      </c>
      <c r="Q1072" s="363" t="s">
        <v>675</v>
      </c>
      <c r="R1072" s="364"/>
      <c r="S1072" s="364"/>
      <c r="T1072" s="13" t="str">
        <f t="shared" si="180"/>
        <v>23調査結果-避難施設等-5（28）-改善（予定）年月-未定</v>
      </c>
      <c r="V1072" s="202"/>
      <c r="W1072" s="202"/>
      <c r="X1072" s="202"/>
    </row>
    <row r="1073" spans="2:24">
      <c r="B1073" s="107">
        <f>'1_入力シート【基本情報】'!$AF$454</f>
        <v>0</v>
      </c>
      <c r="C1073" s="4" t="str">
        <f t="shared" si="182"/>
        <v/>
      </c>
      <c r="D1073" s="107" t="str">
        <f>C1073</f>
        <v/>
      </c>
      <c r="E1073" s="564" t="str">
        <f>D1073</f>
        <v/>
      </c>
      <c r="F1073" s="564" t="str">
        <f t="shared" si="176"/>
        <v/>
      </c>
      <c r="G1073" s="24"/>
      <c r="H1073" s="565">
        <v>23</v>
      </c>
      <c r="I1073" s="334" t="s">
        <v>33</v>
      </c>
      <c r="J1073" s="357" t="s">
        <v>1407</v>
      </c>
      <c r="K1073" s="322" t="s">
        <v>113</v>
      </c>
      <c r="L1073" s="358" t="s">
        <v>1407</v>
      </c>
      <c r="M1073" s="325" t="s">
        <v>2142</v>
      </c>
      <c r="N1073" s="358" t="s">
        <v>1407</v>
      </c>
      <c r="O1073" s="334" t="s">
        <v>33</v>
      </c>
      <c r="P1073" s="332"/>
      <c r="Q1073" s="363"/>
      <c r="R1073" s="364"/>
      <c r="S1073" s="364"/>
      <c r="T1073" s="13" t="str">
        <f t="shared" si="180"/>
        <v>23調査結果-避難施設等-5（29）-調査結果</v>
      </c>
      <c r="V1073" s="202"/>
      <c r="W1073" s="202"/>
      <c r="X1073" s="202"/>
    </row>
    <row r="1074" spans="2:24">
      <c r="B1074" s="107">
        <f>'1_入力シート【基本情報】'!$AR$454</f>
        <v>0</v>
      </c>
      <c r="C1074" s="4" t="str">
        <f t="shared" si="182"/>
        <v/>
      </c>
      <c r="D1074" s="107">
        <f>'1_入力シート【基本情報】'!$AR$454</f>
        <v>0</v>
      </c>
      <c r="E1074" s="564">
        <f>'1_入力シート【基本情報】'!$AR$454</f>
        <v>0</v>
      </c>
      <c r="F1074" s="564" t="str">
        <f t="shared" si="176"/>
        <v>0</v>
      </c>
      <c r="G1074" s="24"/>
      <c r="H1074" s="565">
        <v>23</v>
      </c>
      <c r="I1074" s="334" t="s">
        <v>33</v>
      </c>
      <c r="J1074" s="357" t="s">
        <v>1407</v>
      </c>
      <c r="K1074" s="322" t="s">
        <v>113</v>
      </c>
      <c r="L1074" s="358" t="s">
        <v>1407</v>
      </c>
      <c r="M1074" s="325" t="s">
        <v>2142</v>
      </c>
      <c r="N1074" s="358" t="s">
        <v>1407</v>
      </c>
      <c r="O1074" s="334" t="s">
        <v>30</v>
      </c>
      <c r="P1074" s="332"/>
      <c r="Q1074" s="363"/>
      <c r="R1074" s="364"/>
      <c r="S1074" s="364"/>
      <c r="T1074" s="13" t="str">
        <f t="shared" si="180"/>
        <v>23調査結果-避難施設等-5（29）-調査者番号</v>
      </c>
      <c r="V1074" s="202"/>
      <c r="W1074" s="202"/>
      <c r="X1074" s="202"/>
    </row>
    <row r="1075" spans="2:24">
      <c r="B1075" s="107">
        <f>'1_入力シート【基本情報】'!$AT$454</f>
        <v>0</v>
      </c>
      <c r="C1075" s="4" t="str">
        <f t="shared" si="182"/>
        <v/>
      </c>
      <c r="D1075" s="107">
        <f>'1_入力シート【基本情報】'!$AT$454</f>
        <v>0</v>
      </c>
      <c r="E1075" s="564">
        <f>'1_入力シート【基本情報】'!$AT$454</f>
        <v>0</v>
      </c>
      <c r="F1075" s="564" t="str">
        <f t="shared" si="176"/>
        <v>0</v>
      </c>
      <c r="G1075" s="24"/>
      <c r="H1075" s="565">
        <v>23</v>
      </c>
      <c r="I1075" s="334" t="s">
        <v>33</v>
      </c>
      <c r="J1075" s="357" t="s">
        <v>1407</v>
      </c>
      <c r="K1075" s="322" t="s">
        <v>113</v>
      </c>
      <c r="L1075" s="358" t="s">
        <v>1407</v>
      </c>
      <c r="M1075" s="325" t="s">
        <v>2142</v>
      </c>
      <c r="N1075" s="358" t="s">
        <v>1407</v>
      </c>
      <c r="O1075" s="334" t="s">
        <v>2028</v>
      </c>
      <c r="P1075" s="332"/>
      <c r="Q1075" s="363"/>
      <c r="R1075" s="364"/>
      <c r="S1075" s="364"/>
      <c r="T1075" s="13" t="str">
        <f t="shared" si="180"/>
        <v>23調査結果-避難施設等-5（29）-指摘の具体的内容等</v>
      </c>
      <c r="V1075" s="202"/>
      <c r="W1075" s="202"/>
      <c r="X1075" s="202"/>
    </row>
    <row r="1076" spans="2:24">
      <c r="B1076" s="107">
        <f>'1_入力シート【基本情報】'!$BD$454</f>
        <v>0</v>
      </c>
      <c r="C1076" s="4" t="str">
        <f t="shared" si="182"/>
        <v/>
      </c>
      <c r="D1076" s="107">
        <f>'1_入力シート【基本情報】'!$BD$454</f>
        <v>0</v>
      </c>
      <c r="E1076" s="564">
        <f>'1_入力シート【基本情報】'!$BD$454</f>
        <v>0</v>
      </c>
      <c r="F1076" s="564" t="str">
        <f t="shared" si="176"/>
        <v>0</v>
      </c>
      <c r="G1076" s="24"/>
      <c r="H1076" s="565">
        <v>23</v>
      </c>
      <c r="I1076" s="334" t="s">
        <v>33</v>
      </c>
      <c r="J1076" s="357" t="s">
        <v>1407</v>
      </c>
      <c r="K1076" s="322" t="s">
        <v>113</v>
      </c>
      <c r="L1076" s="358" t="s">
        <v>1407</v>
      </c>
      <c r="M1076" s="325" t="s">
        <v>2142</v>
      </c>
      <c r="N1076" s="358" t="s">
        <v>1407</v>
      </c>
      <c r="O1076" s="326" t="s">
        <v>2029</v>
      </c>
      <c r="P1076" s="327"/>
      <c r="Q1076" s="336"/>
      <c r="R1076" s="364"/>
      <c r="S1076" s="364"/>
      <c r="T1076" s="13" t="str">
        <f t="shared" si="180"/>
        <v>23調査結果-避難施設等-5（29）-改善策の具体的内容等</v>
      </c>
      <c r="V1076" s="202"/>
      <c r="W1076" s="202"/>
      <c r="X1076" s="202"/>
    </row>
    <row r="1077" spans="2:24" ht="19">
      <c r="B1077" s="107">
        <f>'1_入力シート【基本情報】'!$BS$454</f>
        <v>0</v>
      </c>
      <c r="C1077" s="493" t="str">
        <f t="shared" ref="C1077:E1078" si="185">ASC($D1077)</f>
        <v>0</v>
      </c>
      <c r="D1077" s="107">
        <f>'1_入力シート【基本情報】'!$BS$454</f>
        <v>0</v>
      </c>
      <c r="E1077" s="7" t="str">
        <f t="shared" si="185"/>
        <v>0</v>
      </c>
      <c r="F1077" s="7" t="str">
        <f t="shared" si="176"/>
        <v>0</v>
      </c>
      <c r="G1077" s="24"/>
      <c r="H1077" s="565">
        <v>23</v>
      </c>
      <c r="I1077" s="334" t="s">
        <v>33</v>
      </c>
      <c r="J1077" s="357" t="s">
        <v>1407</v>
      </c>
      <c r="K1077" s="322" t="s">
        <v>113</v>
      </c>
      <c r="L1077" s="358" t="s">
        <v>1407</v>
      </c>
      <c r="M1077" s="325" t="s">
        <v>2142</v>
      </c>
      <c r="N1077" s="358" t="s">
        <v>1407</v>
      </c>
      <c r="O1077" s="326" t="s">
        <v>387</v>
      </c>
      <c r="P1077" s="332" t="s">
        <v>1879</v>
      </c>
      <c r="Q1077" s="363" t="s">
        <v>1966</v>
      </c>
      <c r="R1077" s="364"/>
      <c r="S1077" s="364"/>
      <c r="T1077" s="13" t="str">
        <f t="shared" si="180"/>
        <v>23調査結果-避難施設等-5（29）-改善（予定）年月-年（令和）</v>
      </c>
      <c r="V1077" s="202"/>
      <c r="W1077" s="202"/>
      <c r="X1077" s="202"/>
    </row>
    <row r="1078" spans="2:24" ht="19">
      <c r="B1078" s="107">
        <f>'1_入力シート【基本情報】'!$BV$454</f>
        <v>0</v>
      </c>
      <c r="C1078" s="493" t="str">
        <f t="shared" si="185"/>
        <v>0</v>
      </c>
      <c r="D1078" s="107">
        <f>'1_入力シート【基本情報】'!$BV$454</f>
        <v>0</v>
      </c>
      <c r="E1078" s="7" t="str">
        <f t="shared" si="185"/>
        <v>0</v>
      </c>
      <c r="F1078" s="7" t="str">
        <f t="shared" si="176"/>
        <v>0</v>
      </c>
      <c r="G1078" s="24"/>
      <c r="H1078" s="565">
        <v>23</v>
      </c>
      <c r="I1078" s="334" t="s">
        <v>33</v>
      </c>
      <c r="J1078" s="357" t="s">
        <v>1407</v>
      </c>
      <c r="K1078" s="322" t="s">
        <v>113</v>
      </c>
      <c r="L1078" s="358" t="s">
        <v>1407</v>
      </c>
      <c r="M1078" s="325" t="s">
        <v>2142</v>
      </c>
      <c r="N1078" s="358" t="s">
        <v>1407</v>
      </c>
      <c r="O1078" s="326" t="s">
        <v>387</v>
      </c>
      <c r="P1078" s="332" t="s">
        <v>1879</v>
      </c>
      <c r="Q1078" s="363" t="s">
        <v>383</v>
      </c>
      <c r="R1078" s="364"/>
      <c r="S1078" s="364"/>
      <c r="T1078" s="13" t="str">
        <f t="shared" si="180"/>
        <v>23調査結果-避難施設等-5（29）-改善（予定）年月-月</v>
      </c>
      <c r="V1078" s="202"/>
      <c r="W1078" s="202"/>
      <c r="X1078" s="202"/>
    </row>
    <row r="1079" spans="2:24">
      <c r="B1079" s="107">
        <f>'1_入力シート【基本情報】'!$BY$454</f>
        <v>0</v>
      </c>
      <c r="C1079" s="4" t="str">
        <f t="shared" si="182"/>
        <v/>
      </c>
      <c r="D1079" s="107">
        <f>'1_入力シート【基本情報】'!$BY$454</f>
        <v>0</v>
      </c>
      <c r="E1079" s="564">
        <f>'1_入力シート【基本情報】'!$BY$454</f>
        <v>0</v>
      </c>
      <c r="F1079" s="564" t="str">
        <f t="shared" si="176"/>
        <v>0</v>
      </c>
      <c r="G1079" s="24"/>
      <c r="H1079" s="565">
        <v>23</v>
      </c>
      <c r="I1079" s="334" t="s">
        <v>33</v>
      </c>
      <c r="J1079" s="357" t="s">
        <v>1407</v>
      </c>
      <c r="K1079" s="322" t="s">
        <v>113</v>
      </c>
      <c r="L1079" s="358" t="s">
        <v>1407</v>
      </c>
      <c r="M1079" s="325" t="s">
        <v>2142</v>
      </c>
      <c r="N1079" s="358" t="s">
        <v>1407</v>
      </c>
      <c r="O1079" s="326" t="s">
        <v>387</v>
      </c>
      <c r="P1079" s="332" t="s">
        <v>1879</v>
      </c>
      <c r="Q1079" s="363" t="s">
        <v>675</v>
      </c>
      <c r="R1079" s="203"/>
      <c r="S1079" s="203"/>
      <c r="T1079" s="13" t="str">
        <f t="shared" si="180"/>
        <v>23調査結果-避難施設等-5（29）-改善（予定）年月-未定</v>
      </c>
      <c r="V1079" s="202"/>
      <c r="W1079" s="202"/>
      <c r="X1079" s="202"/>
    </row>
    <row r="1080" spans="2:24">
      <c r="B1080" s="107">
        <f>'1_入力シート【基本情報】'!$AF$455</f>
        <v>0</v>
      </c>
      <c r="C1080" s="4" t="str">
        <f t="shared" si="182"/>
        <v/>
      </c>
      <c r="D1080" s="107" t="str">
        <f>C1080</f>
        <v/>
      </c>
      <c r="E1080" s="564" t="str">
        <f>D1080</f>
        <v/>
      </c>
      <c r="F1080" s="564" t="str">
        <f t="shared" si="176"/>
        <v/>
      </c>
      <c r="G1080" s="24"/>
      <c r="H1080" s="565">
        <v>23</v>
      </c>
      <c r="I1080" s="334" t="s">
        <v>33</v>
      </c>
      <c r="J1080" s="357" t="s">
        <v>1407</v>
      </c>
      <c r="K1080" s="322" t="s">
        <v>113</v>
      </c>
      <c r="L1080" s="358" t="s">
        <v>1407</v>
      </c>
      <c r="M1080" s="325" t="s">
        <v>2143</v>
      </c>
      <c r="N1080" s="358" t="s">
        <v>1407</v>
      </c>
      <c r="O1080" s="326" t="s">
        <v>33</v>
      </c>
      <c r="P1080" s="332"/>
      <c r="Q1080" s="363"/>
      <c r="R1080" s="364"/>
      <c r="S1080" s="364"/>
      <c r="T1080" s="13" t="str">
        <f t="shared" si="180"/>
        <v>23調査結果-避難施設等-5（30）-調査結果</v>
      </c>
      <c r="V1080" s="202"/>
      <c r="W1080" s="202"/>
      <c r="X1080" s="202"/>
    </row>
    <row r="1081" spans="2:24">
      <c r="B1081" s="107">
        <f>'1_入力シート【基本情報】'!$AR$455</f>
        <v>0</v>
      </c>
      <c r="C1081" s="4" t="str">
        <f t="shared" si="182"/>
        <v/>
      </c>
      <c r="D1081" s="107">
        <f>'1_入力シート【基本情報】'!$AR$455</f>
        <v>0</v>
      </c>
      <c r="E1081" s="564">
        <f>'1_入力シート【基本情報】'!$AR$455</f>
        <v>0</v>
      </c>
      <c r="F1081" s="564" t="str">
        <f t="shared" si="176"/>
        <v>0</v>
      </c>
      <c r="G1081" s="24"/>
      <c r="H1081" s="565">
        <v>23</v>
      </c>
      <c r="I1081" s="334" t="s">
        <v>33</v>
      </c>
      <c r="J1081" s="357" t="s">
        <v>1407</v>
      </c>
      <c r="K1081" s="322" t="s">
        <v>113</v>
      </c>
      <c r="L1081" s="358" t="s">
        <v>1407</v>
      </c>
      <c r="M1081" s="325" t="s">
        <v>2143</v>
      </c>
      <c r="N1081" s="358" t="s">
        <v>1407</v>
      </c>
      <c r="O1081" s="334" t="s">
        <v>30</v>
      </c>
      <c r="P1081" s="332"/>
      <c r="Q1081" s="363"/>
      <c r="R1081" s="364"/>
      <c r="S1081" s="364"/>
      <c r="T1081" s="13" t="str">
        <f t="shared" si="180"/>
        <v>23調査結果-避難施設等-5（30）-調査者番号</v>
      </c>
      <c r="V1081" s="202"/>
      <c r="W1081" s="202"/>
      <c r="X1081" s="202"/>
    </row>
    <row r="1082" spans="2:24">
      <c r="B1082" s="107">
        <f>'1_入力シート【基本情報】'!$AT$455</f>
        <v>0</v>
      </c>
      <c r="C1082" s="4" t="str">
        <f t="shared" si="182"/>
        <v/>
      </c>
      <c r="D1082" s="107">
        <f>'1_入力シート【基本情報】'!$AT$455</f>
        <v>0</v>
      </c>
      <c r="E1082" s="564">
        <f>'1_入力シート【基本情報】'!$AT$455</f>
        <v>0</v>
      </c>
      <c r="F1082" s="564" t="str">
        <f t="shared" si="176"/>
        <v>0</v>
      </c>
      <c r="G1082" s="24"/>
      <c r="H1082" s="565">
        <v>23</v>
      </c>
      <c r="I1082" s="334" t="s">
        <v>33</v>
      </c>
      <c r="J1082" s="357" t="s">
        <v>1407</v>
      </c>
      <c r="K1082" s="322" t="s">
        <v>113</v>
      </c>
      <c r="L1082" s="358" t="s">
        <v>1407</v>
      </c>
      <c r="M1082" s="325" t="s">
        <v>2143</v>
      </c>
      <c r="N1082" s="358" t="s">
        <v>1407</v>
      </c>
      <c r="O1082" s="334" t="s">
        <v>2028</v>
      </c>
      <c r="P1082" s="332"/>
      <c r="Q1082" s="363"/>
      <c r="R1082" s="364"/>
      <c r="S1082" s="364"/>
      <c r="T1082" s="13" t="str">
        <f t="shared" si="180"/>
        <v>23調査結果-避難施設等-5（30）-指摘の具体的内容等</v>
      </c>
      <c r="V1082" s="202"/>
      <c r="W1082" s="202"/>
      <c r="X1082" s="202"/>
    </row>
    <row r="1083" spans="2:24">
      <c r="B1083" s="107">
        <f>'1_入力シート【基本情報】'!$BD$455</f>
        <v>0</v>
      </c>
      <c r="C1083" s="4" t="str">
        <f t="shared" si="182"/>
        <v/>
      </c>
      <c r="D1083" s="107">
        <f>'1_入力シート【基本情報】'!$BD$455</f>
        <v>0</v>
      </c>
      <c r="E1083" s="564">
        <f>'1_入力シート【基本情報】'!$BD$455</f>
        <v>0</v>
      </c>
      <c r="F1083" s="564" t="str">
        <f t="shared" si="176"/>
        <v>0</v>
      </c>
      <c r="G1083" s="24"/>
      <c r="H1083" s="565">
        <v>23</v>
      </c>
      <c r="I1083" s="334" t="s">
        <v>33</v>
      </c>
      <c r="J1083" s="357" t="s">
        <v>1407</v>
      </c>
      <c r="K1083" s="322" t="s">
        <v>113</v>
      </c>
      <c r="L1083" s="358" t="s">
        <v>1407</v>
      </c>
      <c r="M1083" s="325" t="s">
        <v>2143</v>
      </c>
      <c r="N1083" s="358" t="s">
        <v>1407</v>
      </c>
      <c r="O1083" s="334" t="s">
        <v>2029</v>
      </c>
      <c r="P1083" s="332"/>
      <c r="Q1083" s="363"/>
      <c r="R1083" s="364"/>
      <c r="S1083" s="364"/>
      <c r="T1083" s="13" t="str">
        <f t="shared" si="180"/>
        <v>23調査結果-避難施設等-5（30）-改善策の具体的内容等</v>
      </c>
      <c r="V1083" s="202"/>
      <c r="W1083" s="202"/>
      <c r="X1083" s="202"/>
    </row>
    <row r="1084" spans="2:24" ht="19">
      <c r="B1084" s="107">
        <f>'1_入力シート【基本情報】'!$BS$455</f>
        <v>0</v>
      </c>
      <c r="C1084" s="493" t="str">
        <f t="shared" ref="C1084:E1085" si="186">ASC($D1084)</f>
        <v>0</v>
      </c>
      <c r="D1084" s="107">
        <f>'1_入力シート【基本情報】'!$BS$455</f>
        <v>0</v>
      </c>
      <c r="E1084" s="7" t="str">
        <f t="shared" si="186"/>
        <v>0</v>
      </c>
      <c r="F1084" s="7" t="str">
        <f t="shared" si="176"/>
        <v>0</v>
      </c>
      <c r="G1084" s="24"/>
      <c r="H1084" s="565">
        <v>23</v>
      </c>
      <c r="I1084" s="334" t="s">
        <v>33</v>
      </c>
      <c r="J1084" s="357" t="s">
        <v>1407</v>
      </c>
      <c r="K1084" s="322" t="s">
        <v>113</v>
      </c>
      <c r="L1084" s="358" t="s">
        <v>1407</v>
      </c>
      <c r="M1084" s="325" t="s">
        <v>2143</v>
      </c>
      <c r="N1084" s="358" t="s">
        <v>1407</v>
      </c>
      <c r="O1084" s="326" t="s">
        <v>387</v>
      </c>
      <c r="P1084" s="327" t="s">
        <v>1879</v>
      </c>
      <c r="Q1084" s="336" t="s">
        <v>1966</v>
      </c>
      <c r="R1084" s="364"/>
      <c r="S1084" s="364"/>
      <c r="T1084" s="13" t="str">
        <f t="shared" si="180"/>
        <v>23調査結果-避難施設等-5（30）-改善（予定）年月-年（令和）</v>
      </c>
      <c r="V1084" s="202"/>
      <c r="W1084" s="202"/>
      <c r="X1084" s="202"/>
    </row>
    <row r="1085" spans="2:24" ht="19">
      <c r="B1085" s="107">
        <f>'1_入力シート【基本情報】'!$BV$455</f>
        <v>0</v>
      </c>
      <c r="C1085" s="493" t="str">
        <f t="shared" si="186"/>
        <v>0</v>
      </c>
      <c r="D1085" s="107">
        <f>'1_入力シート【基本情報】'!$BV$455</f>
        <v>0</v>
      </c>
      <c r="E1085" s="7" t="str">
        <f t="shared" si="186"/>
        <v>0</v>
      </c>
      <c r="F1085" s="7" t="str">
        <f t="shared" si="176"/>
        <v>0</v>
      </c>
      <c r="G1085" s="24"/>
      <c r="H1085" s="565">
        <v>23</v>
      </c>
      <c r="I1085" s="334" t="s">
        <v>33</v>
      </c>
      <c r="J1085" s="357" t="s">
        <v>1407</v>
      </c>
      <c r="K1085" s="322" t="s">
        <v>113</v>
      </c>
      <c r="L1085" s="358" t="s">
        <v>1407</v>
      </c>
      <c r="M1085" s="325" t="s">
        <v>2143</v>
      </c>
      <c r="N1085" s="358" t="s">
        <v>1407</v>
      </c>
      <c r="O1085" s="326" t="s">
        <v>387</v>
      </c>
      <c r="P1085" s="332" t="s">
        <v>1879</v>
      </c>
      <c r="Q1085" s="363" t="s">
        <v>383</v>
      </c>
      <c r="R1085" s="364"/>
      <c r="S1085" s="364"/>
      <c r="T1085" s="13" t="str">
        <f t="shared" si="180"/>
        <v>23調査結果-避難施設等-5（30）-改善（予定）年月-月</v>
      </c>
      <c r="V1085" s="202"/>
      <c r="W1085" s="202"/>
      <c r="X1085" s="202"/>
    </row>
    <row r="1086" spans="2:24">
      <c r="B1086" s="107">
        <f>'1_入力シート【基本情報】'!$BY$455</f>
        <v>0</v>
      </c>
      <c r="C1086" s="4" t="str">
        <f t="shared" si="182"/>
        <v/>
      </c>
      <c r="D1086" s="107">
        <f>'1_入力シート【基本情報】'!$BY$455</f>
        <v>0</v>
      </c>
      <c r="E1086" s="564">
        <f>'1_入力シート【基本情報】'!$BY$455</f>
        <v>0</v>
      </c>
      <c r="F1086" s="564" t="str">
        <f t="shared" si="176"/>
        <v>0</v>
      </c>
      <c r="G1086" s="24"/>
      <c r="H1086" s="565">
        <v>23</v>
      </c>
      <c r="I1086" s="334" t="s">
        <v>33</v>
      </c>
      <c r="J1086" s="357" t="s">
        <v>1407</v>
      </c>
      <c r="K1086" s="322" t="s">
        <v>113</v>
      </c>
      <c r="L1086" s="358" t="s">
        <v>1407</v>
      </c>
      <c r="M1086" s="325" t="s">
        <v>2143</v>
      </c>
      <c r="N1086" s="358" t="s">
        <v>1407</v>
      </c>
      <c r="O1086" s="326" t="s">
        <v>387</v>
      </c>
      <c r="P1086" s="332" t="s">
        <v>1879</v>
      </c>
      <c r="Q1086" s="363" t="s">
        <v>675</v>
      </c>
      <c r="R1086" s="364"/>
      <c r="S1086" s="364"/>
      <c r="T1086" s="13" t="str">
        <f t="shared" si="180"/>
        <v>23調査結果-避難施設等-5（30）-改善（予定）年月-未定</v>
      </c>
      <c r="V1086" s="202"/>
      <c r="W1086" s="202"/>
      <c r="X1086" s="202"/>
    </row>
    <row r="1087" spans="2:24">
      <c r="B1087" s="107">
        <f>'1_入力シート【基本情報】'!$AF$456</f>
        <v>0</v>
      </c>
      <c r="C1087" s="4" t="str">
        <f t="shared" si="182"/>
        <v/>
      </c>
      <c r="D1087" s="107" t="str">
        <f>C1087</f>
        <v/>
      </c>
      <c r="E1087" s="564" t="str">
        <f>D1087</f>
        <v/>
      </c>
      <c r="F1087" s="564" t="str">
        <f t="shared" si="176"/>
        <v/>
      </c>
      <c r="G1087" s="24"/>
      <c r="H1087" s="565">
        <v>23</v>
      </c>
      <c r="I1087" s="334" t="s">
        <v>33</v>
      </c>
      <c r="J1087" s="357" t="s">
        <v>1407</v>
      </c>
      <c r="K1087" s="322" t="s">
        <v>113</v>
      </c>
      <c r="L1087" s="358" t="s">
        <v>1407</v>
      </c>
      <c r="M1087" s="325" t="s">
        <v>2144</v>
      </c>
      <c r="N1087" s="358" t="s">
        <v>1407</v>
      </c>
      <c r="O1087" s="326" t="s">
        <v>33</v>
      </c>
      <c r="P1087" s="332"/>
      <c r="Q1087" s="363"/>
      <c r="R1087" s="203"/>
      <c r="S1087" s="203"/>
      <c r="T1087" s="13" t="str">
        <f t="shared" si="180"/>
        <v>23調査結果-避難施設等-5（31）-調査結果</v>
      </c>
      <c r="V1087" s="202"/>
      <c r="W1087" s="202"/>
      <c r="X1087" s="202"/>
    </row>
    <row r="1088" spans="2:24">
      <c r="B1088" s="107">
        <f>'1_入力シート【基本情報】'!$AR$456</f>
        <v>0</v>
      </c>
      <c r="C1088" s="4" t="str">
        <f t="shared" si="182"/>
        <v/>
      </c>
      <c r="D1088" s="107">
        <f>'1_入力シート【基本情報】'!$AR$456</f>
        <v>0</v>
      </c>
      <c r="E1088" s="564">
        <f>'1_入力シート【基本情報】'!$AR$456</f>
        <v>0</v>
      </c>
      <c r="F1088" s="564" t="str">
        <f t="shared" si="176"/>
        <v>0</v>
      </c>
      <c r="G1088" s="24"/>
      <c r="H1088" s="565">
        <v>23</v>
      </c>
      <c r="I1088" s="334" t="s">
        <v>33</v>
      </c>
      <c r="J1088" s="357" t="s">
        <v>1407</v>
      </c>
      <c r="K1088" s="322" t="s">
        <v>113</v>
      </c>
      <c r="L1088" s="358" t="s">
        <v>1407</v>
      </c>
      <c r="M1088" s="325" t="s">
        <v>2144</v>
      </c>
      <c r="N1088" s="358" t="s">
        <v>1407</v>
      </c>
      <c r="O1088" s="326" t="s">
        <v>30</v>
      </c>
      <c r="P1088" s="332"/>
      <c r="Q1088" s="363"/>
      <c r="R1088" s="364"/>
      <c r="S1088" s="364"/>
      <c r="T1088" s="13" t="str">
        <f t="shared" si="180"/>
        <v>23調査結果-避難施設等-5（31）-調査者番号</v>
      </c>
      <c r="V1088" s="202"/>
      <c r="W1088" s="202"/>
      <c r="X1088" s="202"/>
    </row>
    <row r="1089" spans="2:24">
      <c r="B1089" s="107">
        <f>'1_入力シート【基本情報】'!$AT$456</f>
        <v>0</v>
      </c>
      <c r="C1089" s="4" t="str">
        <f t="shared" si="182"/>
        <v/>
      </c>
      <c r="D1089" s="107">
        <f>'1_入力シート【基本情報】'!$AT$456</f>
        <v>0</v>
      </c>
      <c r="E1089" s="564">
        <f>'1_入力シート【基本情報】'!$AT$456</f>
        <v>0</v>
      </c>
      <c r="F1089" s="564" t="str">
        <f t="shared" si="176"/>
        <v>0</v>
      </c>
      <c r="G1089" s="24"/>
      <c r="H1089" s="565">
        <v>23</v>
      </c>
      <c r="I1089" s="334" t="s">
        <v>33</v>
      </c>
      <c r="J1089" s="357" t="s">
        <v>1407</v>
      </c>
      <c r="K1089" s="322" t="s">
        <v>113</v>
      </c>
      <c r="L1089" s="358" t="s">
        <v>1407</v>
      </c>
      <c r="M1089" s="325" t="s">
        <v>2144</v>
      </c>
      <c r="N1089" s="358" t="s">
        <v>1407</v>
      </c>
      <c r="O1089" s="334" t="s">
        <v>2028</v>
      </c>
      <c r="P1089" s="332"/>
      <c r="Q1089" s="363"/>
      <c r="R1089" s="364"/>
      <c r="S1089" s="364"/>
      <c r="T1089" s="13" t="str">
        <f t="shared" si="180"/>
        <v>23調査結果-避難施設等-5（31）-指摘の具体的内容等</v>
      </c>
      <c r="V1089" s="202"/>
      <c r="W1089" s="202"/>
      <c r="X1089" s="202"/>
    </row>
    <row r="1090" spans="2:24">
      <c r="B1090" s="107">
        <f>'1_入力シート【基本情報】'!$BD$456</f>
        <v>0</v>
      </c>
      <c r="C1090" s="4" t="str">
        <f t="shared" si="182"/>
        <v/>
      </c>
      <c r="D1090" s="107">
        <f>'1_入力シート【基本情報】'!$BD$456</f>
        <v>0</v>
      </c>
      <c r="E1090" s="564">
        <f>'1_入力シート【基本情報】'!$BD$456</f>
        <v>0</v>
      </c>
      <c r="F1090" s="564" t="str">
        <f t="shared" si="176"/>
        <v>0</v>
      </c>
      <c r="G1090" s="24"/>
      <c r="H1090" s="565">
        <v>23</v>
      </c>
      <c r="I1090" s="334" t="s">
        <v>33</v>
      </c>
      <c r="J1090" s="357" t="s">
        <v>1407</v>
      </c>
      <c r="K1090" s="322" t="s">
        <v>113</v>
      </c>
      <c r="L1090" s="358" t="s">
        <v>1407</v>
      </c>
      <c r="M1090" s="325" t="s">
        <v>2144</v>
      </c>
      <c r="N1090" s="358" t="s">
        <v>1407</v>
      </c>
      <c r="O1090" s="334" t="s">
        <v>2029</v>
      </c>
      <c r="P1090" s="332"/>
      <c r="Q1090" s="363"/>
      <c r="R1090" s="364"/>
      <c r="S1090" s="364"/>
      <c r="T1090" s="13" t="str">
        <f t="shared" si="180"/>
        <v>23調査結果-避難施設等-5（31）-改善策の具体的内容等</v>
      </c>
      <c r="V1090" s="202"/>
      <c r="W1090" s="202"/>
      <c r="X1090" s="202"/>
    </row>
    <row r="1091" spans="2:24" ht="19">
      <c r="B1091" s="107">
        <f>'1_入力シート【基本情報】'!$BS$456</f>
        <v>0</v>
      </c>
      <c r="C1091" s="493" t="str">
        <f t="shared" ref="C1091:E1092" si="187">ASC($D1091)</f>
        <v>0</v>
      </c>
      <c r="D1091" s="107">
        <f>'1_入力シート【基本情報】'!$BS$456</f>
        <v>0</v>
      </c>
      <c r="E1091" s="7" t="str">
        <f t="shared" si="187"/>
        <v>0</v>
      </c>
      <c r="F1091" s="7" t="str">
        <f t="shared" si="176"/>
        <v>0</v>
      </c>
      <c r="G1091" s="24"/>
      <c r="H1091" s="565">
        <v>23</v>
      </c>
      <c r="I1091" s="334" t="s">
        <v>33</v>
      </c>
      <c r="J1091" s="357" t="s">
        <v>1407</v>
      </c>
      <c r="K1091" s="322" t="s">
        <v>113</v>
      </c>
      <c r="L1091" s="358" t="s">
        <v>1407</v>
      </c>
      <c r="M1091" s="325" t="s">
        <v>2144</v>
      </c>
      <c r="N1091" s="358" t="s">
        <v>1407</v>
      </c>
      <c r="O1091" s="334" t="s">
        <v>387</v>
      </c>
      <c r="P1091" s="332" t="s">
        <v>1879</v>
      </c>
      <c r="Q1091" s="363" t="s">
        <v>1966</v>
      </c>
      <c r="R1091" s="364"/>
      <c r="S1091" s="364"/>
      <c r="T1091" s="13" t="str">
        <f t="shared" si="180"/>
        <v>23調査結果-避難施設等-5（31）-改善（予定）年月-年（令和）</v>
      </c>
      <c r="V1091" s="202"/>
      <c r="W1091" s="202"/>
      <c r="X1091" s="202"/>
    </row>
    <row r="1092" spans="2:24" ht="19">
      <c r="B1092" s="107">
        <f>'1_入力シート【基本情報】'!$BV$456</f>
        <v>0</v>
      </c>
      <c r="C1092" s="493" t="str">
        <f t="shared" si="187"/>
        <v>0</v>
      </c>
      <c r="D1092" s="107">
        <f>'1_入力シート【基本情報】'!$BV$456</f>
        <v>0</v>
      </c>
      <c r="E1092" s="7" t="str">
        <f t="shared" si="187"/>
        <v>0</v>
      </c>
      <c r="F1092" s="7" t="str">
        <f t="shared" si="176"/>
        <v>0</v>
      </c>
      <c r="G1092" s="24"/>
      <c r="H1092" s="565">
        <v>23</v>
      </c>
      <c r="I1092" s="334" t="s">
        <v>33</v>
      </c>
      <c r="J1092" s="357" t="s">
        <v>1407</v>
      </c>
      <c r="K1092" s="322" t="s">
        <v>113</v>
      </c>
      <c r="L1092" s="358" t="s">
        <v>1407</v>
      </c>
      <c r="M1092" s="325" t="s">
        <v>2144</v>
      </c>
      <c r="N1092" s="358" t="s">
        <v>1407</v>
      </c>
      <c r="O1092" s="326" t="s">
        <v>387</v>
      </c>
      <c r="P1092" s="327" t="s">
        <v>1879</v>
      </c>
      <c r="Q1092" s="336" t="s">
        <v>383</v>
      </c>
      <c r="R1092" s="364"/>
      <c r="S1092" s="364"/>
      <c r="T1092" s="13" t="str">
        <f t="shared" si="180"/>
        <v>23調査結果-避難施設等-5（31）-改善（予定）年月-月</v>
      </c>
      <c r="V1092" s="202"/>
      <c r="W1092" s="202"/>
      <c r="X1092" s="202"/>
    </row>
    <row r="1093" spans="2:24">
      <c r="B1093" s="107">
        <f>'1_入力シート【基本情報】'!$BY$456</f>
        <v>0</v>
      </c>
      <c r="C1093" s="4" t="str">
        <f t="shared" si="182"/>
        <v/>
      </c>
      <c r="D1093" s="107">
        <f>'1_入力シート【基本情報】'!$BY$456</f>
        <v>0</v>
      </c>
      <c r="E1093" s="564">
        <f>'1_入力シート【基本情報】'!$BY$456</f>
        <v>0</v>
      </c>
      <c r="F1093" s="564" t="str">
        <f t="shared" ref="F1093:F1156" si="188">SUBSTITUTE(E1093,CHAR(10),"")</f>
        <v>0</v>
      </c>
      <c r="G1093" s="24"/>
      <c r="H1093" s="565">
        <v>23</v>
      </c>
      <c r="I1093" s="334" t="s">
        <v>33</v>
      </c>
      <c r="J1093" s="357" t="s">
        <v>1407</v>
      </c>
      <c r="K1093" s="322" t="s">
        <v>113</v>
      </c>
      <c r="L1093" s="358" t="s">
        <v>1407</v>
      </c>
      <c r="M1093" s="325" t="s">
        <v>2144</v>
      </c>
      <c r="N1093" s="358" t="s">
        <v>1407</v>
      </c>
      <c r="O1093" s="326" t="s">
        <v>387</v>
      </c>
      <c r="P1093" s="332" t="s">
        <v>1879</v>
      </c>
      <c r="Q1093" s="363" t="s">
        <v>675</v>
      </c>
      <c r="R1093" s="364"/>
      <c r="S1093" s="364"/>
      <c r="T1093" s="13" t="str">
        <f t="shared" si="180"/>
        <v>23調査結果-避難施設等-5（31）-改善（予定）年月-未定</v>
      </c>
      <c r="V1093" s="202"/>
      <c r="W1093" s="202"/>
      <c r="X1093" s="202"/>
    </row>
    <row r="1094" spans="2:24">
      <c r="B1094" s="107">
        <f>'1_入力シート【基本情報】'!$AF$457</f>
        <v>0</v>
      </c>
      <c r="C1094" s="4" t="str">
        <f t="shared" si="182"/>
        <v/>
      </c>
      <c r="D1094" s="107" t="str">
        <f>C1094</f>
        <v/>
      </c>
      <c r="E1094" s="564" t="str">
        <f>D1094</f>
        <v/>
      </c>
      <c r="F1094" s="564" t="str">
        <f t="shared" si="188"/>
        <v/>
      </c>
      <c r="G1094" s="24"/>
      <c r="H1094" s="565">
        <v>23</v>
      </c>
      <c r="I1094" s="334" t="s">
        <v>33</v>
      </c>
      <c r="J1094" s="357" t="s">
        <v>1407</v>
      </c>
      <c r="K1094" s="322" t="s">
        <v>113</v>
      </c>
      <c r="L1094" s="358" t="s">
        <v>1407</v>
      </c>
      <c r="M1094" s="325" t="s">
        <v>2145</v>
      </c>
      <c r="N1094" s="358" t="s">
        <v>1407</v>
      </c>
      <c r="O1094" s="326" t="s">
        <v>33</v>
      </c>
      <c r="P1094" s="332"/>
      <c r="Q1094" s="363"/>
      <c r="R1094" s="364"/>
      <c r="S1094" s="364"/>
      <c r="T1094" s="13" t="str">
        <f t="shared" si="180"/>
        <v>23調査結果-避難施設等-5（32）-調査結果</v>
      </c>
      <c r="V1094" s="202"/>
      <c r="W1094" s="202"/>
      <c r="X1094" s="202"/>
    </row>
    <row r="1095" spans="2:24">
      <c r="B1095" s="107">
        <f>'1_入力シート【基本情報】'!$AR$457</f>
        <v>0</v>
      </c>
      <c r="C1095" s="4" t="str">
        <f t="shared" si="182"/>
        <v/>
      </c>
      <c r="D1095" s="107">
        <f>'1_入力シート【基本情報】'!$AR$457</f>
        <v>0</v>
      </c>
      <c r="E1095" s="564">
        <f>'1_入力シート【基本情報】'!$AR$457</f>
        <v>0</v>
      </c>
      <c r="F1095" s="564" t="str">
        <f t="shared" si="188"/>
        <v>0</v>
      </c>
      <c r="G1095" s="24"/>
      <c r="H1095" s="565">
        <v>23</v>
      </c>
      <c r="I1095" s="334" t="s">
        <v>33</v>
      </c>
      <c r="J1095" s="357" t="s">
        <v>1407</v>
      </c>
      <c r="K1095" s="322" t="s">
        <v>113</v>
      </c>
      <c r="L1095" s="358" t="s">
        <v>1407</v>
      </c>
      <c r="M1095" s="325" t="s">
        <v>2145</v>
      </c>
      <c r="N1095" s="358" t="s">
        <v>1407</v>
      </c>
      <c r="O1095" s="326" t="s">
        <v>30</v>
      </c>
      <c r="P1095" s="332"/>
      <c r="Q1095" s="363"/>
      <c r="R1095" s="203"/>
      <c r="S1095" s="203"/>
      <c r="T1095" s="13" t="str">
        <f t="shared" si="180"/>
        <v>23調査結果-避難施設等-5（32）-調査者番号</v>
      </c>
      <c r="V1095" s="202"/>
      <c r="W1095" s="202"/>
      <c r="X1095" s="202"/>
    </row>
    <row r="1096" spans="2:24">
      <c r="B1096" s="107">
        <f>'1_入力シート【基本情報】'!$AT$457</f>
        <v>0</v>
      </c>
      <c r="C1096" s="4" t="str">
        <f t="shared" si="182"/>
        <v/>
      </c>
      <c r="D1096" s="107">
        <f>'1_入力シート【基本情報】'!$AT$457</f>
        <v>0</v>
      </c>
      <c r="E1096" s="564">
        <f>'1_入力シート【基本情報】'!$AT$457</f>
        <v>0</v>
      </c>
      <c r="F1096" s="564" t="str">
        <f t="shared" si="188"/>
        <v>0</v>
      </c>
      <c r="G1096" s="24"/>
      <c r="H1096" s="565">
        <v>23</v>
      </c>
      <c r="I1096" s="334" t="s">
        <v>33</v>
      </c>
      <c r="J1096" s="357" t="s">
        <v>1407</v>
      </c>
      <c r="K1096" s="322" t="s">
        <v>113</v>
      </c>
      <c r="L1096" s="358" t="s">
        <v>1407</v>
      </c>
      <c r="M1096" s="325" t="s">
        <v>2145</v>
      </c>
      <c r="N1096" s="358" t="s">
        <v>1407</v>
      </c>
      <c r="O1096" s="326" t="s">
        <v>2028</v>
      </c>
      <c r="P1096" s="332"/>
      <c r="Q1096" s="363"/>
      <c r="R1096" s="364"/>
      <c r="S1096" s="364"/>
      <c r="T1096" s="13" t="str">
        <f t="shared" si="180"/>
        <v>23調査結果-避難施設等-5（32）-指摘の具体的内容等</v>
      </c>
      <c r="V1096" s="202"/>
      <c r="W1096" s="202"/>
      <c r="X1096" s="202"/>
    </row>
    <row r="1097" spans="2:24">
      <c r="B1097" s="107">
        <f>'1_入力シート【基本情報】'!$BD$457</f>
        <v>0</v>
      </c>
      <c r="C1097" s="4" t="str">
        <f t="shared" si="182"/>
        <v/>
      </c>
      <c r="D1097" s="107">
        <f>'1_入力シート【基本情報】'!$BD$457</f>
        <v>0</v>
      </c>
      <c r="E1097" s="564">
        <f>'1_入力シート【基本情報】'!$BD$457</f>
        <v>0</v>
      </c>
      <c r="F1097" s="564" t="str">
        <f t="shared" si="188"/>
        <v>0</v>
      </c>
      <c r="G1097" s="24"/>
      <c r="H1097" s="565">
        <v>23</v>
      </c>
      <c r="I1097" s="334" t="s">
        <v>33</v>
      </c>
      <c r="J1097" s="357" t="s">
        <v>1407</v>
      </c>
      <c r="K1097" s="322" t="s">
        <v>113</v>
      </c>
      <c r="L1097" s="358" t="s">
        <v>1407</v>
      </c>
      <c r="M1097" s="325" t="s">
        <v>2145</v>
      </c>
      <c r="N1097" s="358" t="s">
        <v>1407</v>
      </c>
      <c r="O1097" s="334" t="s">
        <v>2029</v>
      </c>
      <c r="P1097" s="332"/>
      <c r="Q1097" s="363"/>
      <c r="R1097" s="364"/>
      <c r="S1097" s="364"/>
      <c r="T1097" s="13" t="str">
        <f t="shared" si="180"/>
        <v>23調査結果-避難施設等-5（32）-改善策の具体的内容等</v>
      </c>
      <c r="V1097" s="202"/>
      <c r="W1097" s="202"/>
      <c r="X1097" s="202"/>
    </row>
    <row r="1098" spans="2:24" ht="19">
      <c r="B1098" s="107">
        <f>'1_入力シート【基本情報】'!$BS$457</f>
        <v>0</v>
      </c>
      <c r="C1098" s="493" t="str">
        <f t="shared" ref="C1098:E1099" si="189">ASC($D1098)</f>
        <v>0</v>
      </c>
      <c r="D1098" s="107">
        <f>'1_入力シート【基本情報】'!$BS$457</f>
        <v>0</v>
      </c>
      <c r="E1098" s="7" t="str">
        <f t="shared" si="189"/>
        <v>0</v>
      </c>
      <c r="F1098" s="7" t="str">
        <f t="shared" si="188"/>
        <v>0</v>
      </c>
      <c r="G1098" s="24"/>
      <c r="H1098" s="565">
        <v>23</v>
      </c>
      <c r="I1098" s="334" t="s">
        <v>33</v>
      </c>
      <c r="J1098" s="357" t="s">
        <v>1407</v>
      </c>
      <c r="K1098" s="322" t="s">
        <v>113</v>
      </c>
      <c r="L1098" s="358" t="s">
        <v>1407</v>
      </c>
      <c r="M1098" s="325" t="s">
        <v>2145</v>
      </c>
      <c r="N1098" s="358" t="s">
        <v>1407</v>
      </c>
      <c r="O1098" s="334" t="s">
        <v>387</v>
      </c>
      <c r="P1098" s="332" t="s">
        <v>1879</v>
      </c>
      <c r="Q1098" s="363" t="s">
        <v>1966</v>
      </c>
      <c r="R1098" s="364"/>
      <c r="S1098" s="364"/>
      <c r="T1098" s="13" t="str">
        <f t="shared" si="180"/>
        <v>23調査結果-避難施設等-5（32）-改善（予定）年月-年（令和）</v>
      </c>
      <c r="V1098" s="202"/>
      <c r="W1098" s="202"/>
      <c r="X1098" s="202"/>
    </row>
    <row r="1099" spans="2:24" ht="19">
      <c r="B1099" s="107">
        <f>'1_入力シート【基本情報】'!$BV$457</f>
        <v>0</v>
      </c>
      <c r="C1099" s="493" t="str">
        <f t="shared" si="189"/>
        <v>0</v>
      </c>
      <c r="D1099" s="107">
        <f>'1_入力シート【基本情報】'!$BV$457</f>
        <v>0</v>
      </c>
      <c r="E1099" s="7" t="str">
        <f t="shared" si="189"/>
        <v>0</v>
      </c>
      <c r="F1099" s="7" t="str">
        <f t="shared" si="188"/>
        <v>0</v>
      </c>
      <c r="G1099" s="24"/>
      <c r="H1099" s="565">
        <v>23</v>
      </c>
      <c r="I1099" s="334" t="s">
        <v>33</v>
      </c>
      <c r="J1099" s="357" t="s">
        <v>1407</v>
      </c>
      <c r="K1099" s="322" t="s">
        <v>113</v>
      </c>
      <c r="L1099" s="358" t="s">
        <v>1407</v>
      </c>
      <c r="M1099" s="325" t="s">
        <v>2145</v>
      </c>
      <c r="N1099" s="358" t="s">
        <v>1407</v>
      </c>
      <c r="O1099" s="334" t="s">
        <v>387</v>
      </c>
      <c r="P1099" s="332" t="s">
        <v>1879</v>
      </c>
      <c r="Q1099" s="363" t="s">
        <v>383</v>
      </c>
      <c r="R1099" s="364"/>
      <c r="S1099" s="364"/>
      <c r="T1099" s="13" t="str">
        <f t="shared" si="180"/>
        <v>23調査結果-避難施設等-5（32）-改善（予定）年月-月</v>
      </c>
      <c r="V1099" s="202"/>
      <c r="W1099" s="202"/>
      <c r="X1099" s="202"/>
    </row>
    <row r="1100" spans="2:24">
      <c r="B1100" s="107">
        <f>'1_入力シート【基本情報】'!$BY$457</f>
        <v>0</v>
      </c>
      <c r="C1100" s="4" t="str">
        <f t="shared" si="182"/>
        <v/>
      </c>
      <c r="D1100" s="107">
        <f>'1_入力シート【基本情報】'!$BY$457</f>
        <v>0</v>
      </c>
      <c r="E1100" s="564">
        <f>'1_入力シート【基本情報】'!$BY$457</f>
        <v>0</v>
      </c>
      <c r="F1100" s="564" t="str">
        <f t="shared" si="188"/>
        <v>0</v>
      </c>
      <c r="G1100" s="24"/>
      <c r="H1100" s="565">
        <v>23</v>
      </c>
      <c r="I1100" s="334" t="s">
        <v>33</v>
      </c>
      <c r="J1100" s="357" t="s">
        <v>1407</v>
      </c>
      <c r="K1100" s="322" t="s">
        <v>113</v>
      </c>
      <c r="L1100" s="358" t="s">
        <v>1407</v>
      </c>
      <c r="M1100" s="325" t="s">
        <v>2145</v>
      </c>
      <c r="N1100" s="358" t="s">
        <v>1407</v>
      </c>
      <c r="O1100" s="326" t="s">
        <v>387</v>
      </c>
      <c r="P1100" s="327" t="s">
        <v>1879</v>
      </c>
      <c r="Q1100" s="336" t="s">
        <v>675</v>
      </c>
      <c r="R1100" s="364"/>
      <c r="S1100" s="364"/>
      <c r="T1100" s="13" t="str">
        <f t="shared" si="180"/>
        <v>23調査結果-避難施設等-5（32）-改善（予定）年月-未定</v>
      </c>
      <c r="V1100" s="202"/>
      <c r="W1100" s="202"/>
      <c r="X1100" s="202"/>
    </row>
    <row r="1101" spans="2:24">
      <c r="B1101" s="107">
        <f>'1_入力シート【基本情報】'!$AF$458</f>
        <v>0</v>
      </c>
      <c r="C1101" s="4" t="str">
        <f t="shared" si="182"/>
        <v/>
      </c>
      <c r="D1101" s="107" t="str">
        <f>C1101</f>
        <v/>
      </c>
      <c r="E1101" s="564" t="str">
        <f>D1101</f>
        <v/>
      </c>
      <c r="F1101" s="564" t="str">
        <f t="shared" si="188"/>
        <v/>
      </c>
      <c r="G1101" s="24"/>
      <c r="H1101" s="565">
        <v>23</v>
      </c>
      <c r="I1101" s="334" t="s">
        <v>33</v>
      </c>
      <c r="J1101" s="357" t="s">
        <v>1407</v>
      </c>
      <c r="K1101" s="322" t="s">
        <v>113</v>
      </c>
      <c r="L1101" s="358" t="s">
        <v>1407</v>
      </c>
      <c r="M1101" s="325" t="s">
        <v>2146</v>
      </c>
      <c r="N1101" s="358" t="s">
        <v>1407</v>
      </c>
      <c r="O1101" s="326" t="s">
        <v>33</v>
      </c>
      <c r="P1101" s="332"/>
      <c r="Q1101" s="363"/>
      <c r="R1101" s="364"/>
      <c r="S1101" s="364"/>
      <c r="T1101" s="13" t="str">
        <f t="shared" si="180"/>
        <v>23調査結果-避難施設等-5（33）-調査結果</v>
      </c>
      <c r="V1101" s="202"/>
      <c r="W1101" s="202"/>
      <c r="X1101" s="202"/>
    </row>
    <row r="1102" spans="2:24">
      <c r="B1102" s="107">
        <f>'1_入力シート【基本情報】'!$AR$458</f>
        <v>0</v>
      </c>
      <c r="C1102" s="4" t="str">
        <f t="shared" si="182"/>
        <v/>
      </c>
      <c r="D1102" s="107">
        <f>'1_入力シート【基本情報】'!$AR$458</f>
        <v>0</v>
      </c>
      <c r="E1102" s="564">
        <f>'1_入力シート【基本情報】'!$AR$458</f>
        <v>0</v>
      </c>
      <c r="F1102" s="564" t="str">
        <f t="shared" si="188"/>
        <v>0</v>
      </c>
      <c r="G1102" s="24"/>
      <c r="H1102" s="565">
        <v>23</v>
      </c>
      <c r="I1102" s="334" t="s">
        <v>33</v>
      </c>
      <c r="J1102" s="357" t="s">
        <v>1407</v>
      </c>
      <c r="K1102" s="322" t="s">
        <v>113</v>
      </c>
      <c r="L1102" s="358" t="s">
        <v>1407</v>
      </c>
      <c r="M1102" s="325" t="s">
        <v>2146</v>
      </c>
      <c r="N1102" s="358" t="s">
        <v>1407</v>
      </c>
      <c r="O1102" s="326" t="s">
        <v>30</v>
      </c>
      <c r="P1102" s="332"/>
      <c r="Q1102" s="363"/>
      <c r="R1102" s="364"/>
      <c r="S1102" s="364"/>
      <c r="T1102" s="13" t="str">
        <f t="shared" si="180"/>
        <v>23調査結果-避難施設等-5（33）-調査者番号</v>
      </c>
      <c r="V1102" s="202"/>
      <c r="W1102" s="202"/>
      <c r="X1102" s="202"/>
    </row>
    <row r="1103" spans="2:24">
      <c r="B1103" s="107">
        <f>'1_入力シート【基本情報】'!$AT$458</f>
        <v>0</v>
      </c>
      <c r="C1103" s="4" t="str">
        <f t="shared" si="182"/>
        <v/>
      </c>
      <c r="D1103" s="107">
        <f>'1_入力シート【基本情報】'!$AT$458</f>
        <v>0</v>
      </c>
      <c r="E1103" s="564">
        <f>'1_入力シート【基本情報】'!$AT$458</f>
        <v>0</v>
      </c>
      <c r="F1103" s="564" t="str">
        <f t="shared" si="188"/>
        <v>0</v>
      </c>
      <c r="G1103" s="24"/>
      <c r="H1103" s="565">
        <v>23</v>
      </c>
      <c r="I1103" s="334" t="s">
        <v>33</v>
      </c>
      <c r="J1103" s="357" t="s">
        <v>1407</v>
      </c>
      <c r="K1103" s="322" t="s">
        <v>113</v>
      </c>
      <c r="L1103" s="358" t="s">
        <v>1407</v>
      </c>
      <c r="M1103" s="325" t="s">
        <v>2146</v>
      </c>
      <c r="N1103" s="358" t="s">
        <v>1407</v>
      </c>
      <c r="O1103" s="326" t="s">
        <v>2028</v>
      </c>
      <c r="P1103" s="332"/>
      <c r="Q1103" s="363"/>
      <c r="R1103" s="203"/>
      <c r="S1103" s="203"/>
      <c r="T1103" s="13" t="str">
        <f t="shared" si="180"/>
        <v>23調査結果-避難施設等-5（33）-指摘の具体的内容等</v>
      </c>
      <c r="V1103" s="202"/>
      <c r="W1103" s="202"/>
      <c r="X1103" s="202"/>
    </row>
    <row r="1104" spans="2:24">
      <c r="B1104" s="107">
        <f>'1_入力シート【基本情報】'!$BD$458</f>
        <v>0</v>
      </c>
      <c r="C1104" s="4" t="str">
        <f t="shared" si="182"/>
        <v/>
      </c>
      <c r="D1104" s="107">
        <f>'1_入力シート【基本情報】'!$BD$458</f>
        <v>0</v>
      </c>
      <c r="E1104" s="564">
        <f>'1_入力シート【基本情報】'!$BD$458</f>
        <v>0</v>
      </c>
      <c r="F1104" s="564" t="str">
        <f t="shared" si="188"/>
        <v>0</v>
      </c>
      <c r="G1104" s="24"/>
      <c r="H1104" s="565">
        <v>23</v>
      </c>
      <c r="I1104" s="334" t="s">
        <v>33</v>
      </c>
      <c r="J1104" s="357" t="s">
        <v>1407</v>
      </c>
      <c r="K1104" s="322" t="s">
        <v>113</v>
      </c>
      <c r="L1104" s="358" t="s">
        <v>1407</v>
      </c>
      <c r="M1104" s="325" t="s">
        <v>2146</v>
      </c>
      <c r="N1104" s="358" t="s">
        <v>1407</v>
      </c>
      <c r="O1104" s="326" t="s">
        <v>2029</v>
      </c>
      <c r="P1104" s="332"/>
      <c r="Q1104" s="363"/>
      <c r="R1104" s="364"/>
      <c r="S1104" s="364"/>
      <c r="T1104" s="13" t="str">
        <f t="shared" si="180"/>
        <v>23調査結果-避難施設等-5（33）-改善策の具体的内容等</v>
      </c>
      <c r="V1104" s="202"/>
      <c r="W1104" s="202"/>
      <c r="X1104" s="202"/>
    </row>
    <row r="1105" spans="2:24" ht="19">
      <c r="B1105" s="107">
        <f>'1_入力シート【基本情報】'!$BS$458</f>
        <v>0</v>
      </c>
      <c r="C1105" s="493" t="str">
        <f t="shared" ref="C1105:E1106" si="190">ASC($D1105)</f>
        <v>0</v>
      </c>
      <c r="D1105" s="107">
        <f>'1_入力シート【基本情報】'!$BS$458</f>
        <v>0</v>
      </c>
      <c r="E1105" s="7" t="str">
        <f t="shared" si="190"/>
        <v>0</v>
      </c>
      <c r="F1105" s="7" t="str">
        <f t="shared" si="188"/>
        <v>0</v>
      </c>
      <c r="G1105" s="24"/>
      <c r="H1105" s="565">
        <v>23</v>
      </c>
      <c r="I1105" s="334" t="s">
        <v>33</v>
      </c>
      <c r="J1105" s="357" t="s">
        <v>1407</v>
      </c>
      <c r="K1105" s="322" t="s">
        <v>113</v>
      </c>
      <c r="L1105" s="358" t="s">
        <v>1407</v>
      </c>
      <c r="M1105" s="325" t="s">
        <v>2146</v>
      </c>
      <c r="N1105" s="358" t="s">
        <v>1407</v>
      </c>
      <c r="O1105" s="334" t="s">
        <v>387</v>
      </c>
      <c r="P1105" s="332" t="s">
        <v>1879</v>
      </c>
      <c r="Q1105" s="363" t="s">
        <v>1966</v>
      </c>
      <c r="R1105" s="364"/>
      <c r="S1105" s="364"/>
      <c r="T1105" s="13" t="str">
        <f t="shared" si="180"/>
        <v>23調査結果-避難施設等-5（33）-改善（予定）年月-年（令和）</v>
      </c>
      <c r="V1105" s="202"/>
      <c r="W1105" s="202"/>
      <c r="X1105" s="202"/>
    </row>
    <row r="1106" spans="2:24" ht="19">
      <c r="B1106" s="107">
        <f>'1_入力シート【基本情報】'!$BV$458</f>
        <v>0</v>
      </c>
      <c r="C1106" s="493" t="str">
        <f t="shared" si="190"/>
        <v>0</v>
      </c>
      <c r="D1106" s="107">
        <f>'1_入力シート【基本情報】'!$BV$458</f>
        <v>0</v>
      </c>
      <c r="E1106" s="7" t="str">
        <f t="shared" si="190"/>
        <v>0</v>
      </c>
      <c r="F1106" s="7" t="str">
        <f t="shared" si="188"/>
        <v>0</v>
      </c>
      <c r="G1106" s="24"/>
      <c r="H1106" s="565">
        <v>23</v>
      </c>
      <c r="I1106" s="334" t="s">
        <v>33</v>
      </c>
      <c r="J1106" s="357" t="s">
        <v>1407</v>
      </c>
      <c r="K1106" s="322" t="s">
        <v>113</v>
      </c>
      <c r="L1106" s="358" t="s">
        <v>1407</v>
      </c>
      <c r="M1106" s="325" t="s">
        <v>2146</v>
      </c>
      <c r="N1106" s="358" t="s">
        <v>1407</v>
      </c>
      <c r="O1106" s="334" t="s">
        <v>387</v>
      </c>
      <c r="P1106" s="332" t="s">
        <v>1879</v>
      </c>
      <c r="Q1106" s="363" t="s">
        <v>383</v>
      </c>
      <c r="R1106" s="364"/>
      <c r="S1106" s="364"/>
      <c r="T1106" s="13" t="str">
        <f t="shared" si="180"/>
        <v>23調査結果-避難施設等-5（33）-改善（予定）年月-月</v>
      </c>
      <c r="V1106" s="202"/>
      <c r="W1106" s="202"/>
      <c r="X1106" s="202"/>
    </row>
    <row r="1107" spans="2:24">
      <c r="B1107" s="107">
        <f>'1_入力シート【基本情報】'!$BY$458</f>
        <v>0</v>
      </c>
      <c r="C1107" s="4" t="str">
        <f t="shared" si="182"/>
        <v/>
      </c>
      <c r="D1107" s="107">
        <f>'1_入力シート【基本情報】'!$BY$458</f>
        <v>0</v>
      </c>
      <c r="E1107" s="564">
        <f>'1_入力シート【基本情報】'!$BY$458</f>
        <v>0</v>
      </c>
      <c r="F1107" s="564" t="str">
        <f t="shared" si="188"/>
        <v>0</v>
      </c>
      <c r="G1107" s="24"/>
      <c r="H1107" s="565">
        <v>23</v>
      </c>
      <c r="I1107" s="334" t="s">
        <v>33</v>
      </c>
      <c r="J1107" s="357" t="s">
        <v>1407</v>
      </c>
      <c r="K1107" s="322" t="s">
        <v>113</v>
      </c>
      <c r="L1107" s="358" t="s">
        <v>1407</v>
      </c>
      <c r="M1107" s="325" t="s">
        <v>2146</v>
      </c>
      <c r="N1107" s="358" t="s">
        <v>1407</v>
      </c>
      <c r="O1107" s="334" t="s">
        <v>387</v>
      </c>
      <c r="P1107" s="332" t="s">
        <v>1879</v>
      </c>
      <c r="Q1107" s="363" t="s">
        <v>675</v>
      </c>
      <c r="R1107" s="364"/>
      <c r="S1107" s="364"/>
      <c r="T1107" s="13" t="str">
        <f t="shared" si="180"/>
        <v>23調査結果-避難施設等-5（33）-改善（予定）年月-未定</v>
      </c>
      <c r="V1107" s="202"/>
      <c r="W1107" s="202"/>
      <c r="X1107" s="202"/>
    </row>
    <row r="1108" spans="2:24">
      <c r="B1108" s="107">
        <f>'1_入力シート【基本情報】'!$AF$459</f>
        <v>0</v>
      </c>
      <c r="C1108" s="4" t="str">
        <f t="shared" si="182"/>
        <v/>
      </c>
      <c r="D1108" s="107" t="str">
        <f>C1108</f>
        <v/>
      </c>
      <c r="E1108" s="564" t="str">
        <f>D1108</f>
        <v/>
      </c>
      <c r="F1108" s="564" t="str">
        <f t="shared" si="188"/>
        <v/>
      </c>
      <c r="G1108" s="24"/>
      <c r="H1108" s="565">
        <v>23</v>
      </c>
      <c r="I1108" s="334" t="s">
        <v>33</v>
      </c>
      <c r="J1108" s="357" t="s">
        <v>1407</v>
      </c>
      <c r="K1108" s="322" t="s">
        <v>113</v>
      </c>
      <c r="L1108" s="358" t="s">
        <v>1407</v>
      </c>
      <c r="M1108" s="325" t="s">
        <v>2147</v>
      </c>
      <c r="N1108" s="358" t="s">
        <v>1407</v>
      </c>
      <c r="O1108" s="326" t="s">
        <v>33</v>
      </c>
      <c r="P1108" s="327"/>
      <c r="Q1108" s="336"/>
      <c r="R1108" s="364"/>
      <c r="S1108" s="364"/>
      <c r="T1108" s="13" t="str">
        <f t="shared" si="180"/>
        <v>23調査結果-避難施設等-5（34）-調査結果</v>
      </c>
      <c r="V1108" s="202"/>
      <c r="W1108" s="202"/>
      <c r="X1108" s="202"/>
    </row>
    <row r="1109" spans="2:24">
      <c r="B1109" s="107">
        <f>'1_入力シート【基本情報】'!$AR$459</f>
        <v>0</v>
      </c>
      <c r="C1109" s="4" t="str">
        <f t="shared" si="182"/>
        <v/>
      </c>
      <c r="D1109" s="107">
        <f>'1_入力シート【基本情報】'!$AR$459</f>
        <v>0</v>
      </c>
      <c r="E1109" s="564">
        <f>'1_入力シート【基本情報】'!$AR$459</f>
        <v>0</v>
      </c>
      <c r="F1109" s="564" t="str">
        <f t="shared" si="188"/>
        <v>0</v>
      </c>
      <c r="G1109" s="24"/>
      <c r="H1109" s="565">
        <v>23</v>
      </c>
      <c r="I1109" s="334" t="s">
        <v>33</v>
      </c>
      <c r="J1109" s="357" t="s">
        <v>1407</v>
      </c>
      <c r="K1109" s="322" t="s">
        <v>113</v>
      </c>
      <c r="L1109" s="358" t="s">
        <v>1407</v>
      </c>
      <c r="M1109" s="325" t="s">
        <v>2147</v>
      </c>
      <c r="N1109" s="358" t="s">
        <v>1407</v>
      </c>
      <c r="O1109" s="326" t="s">
        <v>30</v>
      </c>
      <c r="P1109" s="332"/>
      <c r="Q1109" s="363"/>
      <c r="R1109" s="364"/>
      <c r="S1109" s="364"/>
      <c r="T1109" s="13" t="str">
        <f t="shared" si="180"/>
        <v>23調査結果-避難施設等-5（34）-調査者番号</v>
      </c>
      <c r="V1109" s="202"/>
      <c r="W1109" s="202"/>
      <c r="X1109" s="202"/>
    </row>
    <row r="1110" spans="2:24">
      <c r="B1110" s="107">
        <f>'1_入力シート【基本情報】'!$AT$459</f>
        <v>0</v>
      </c>
      <c r="C1110" s="4" t="str">
        <f t="shared" si="182"/>
        <v/>
      </c>
      <c r="D1110" s="107">
        <f>'1_入力シート【基本情報】'!$AT$459</f>
        <v>0</v>
      </c>
      <c r="E1110" s="564">
        <f>'1_入力シート【基本情報】'!$AT$459</f>
        <v>0</v>
      </c>
      <c r="F1110" s="564" t="str">
        <f t="shared" si="188"/>
        <v>0</v>
      </c>
      <c r="G1110" s="24"/>
      <c r="H1110" s="565">
        <v>23</v>
      </c>
      <c r="I1110" s="334" t="s">
        <v>33</v>
      </c>
      <c r="J1110" s="357" t="s">
        <v>1407</v>
      </c>
      <c r="K1110" s="322" t="s">
        <v>113</v>
      </c>
      <c r="L1110" s="358" t="s">
        <v>1407</v>
      </c>
      <c r="M1110" s="325" t="s">
        <v>2147</v>
      </c>
      <c r="N1110" s="358" t="s">
        <v>1407</v>
      </c>
      <c r="O1110" s="326" t="s">
        <v>2028</v>
      </c>
      <c r="P1110" s="332"/>
      <c r="Q1110" s="363"/>
      <c r="R1110" s="364"/>
      <c r="S1110" s="364"/>
      <c r="T1110" s="13" t="str">
        <f t="shared" si="180"/>
        <v>23調査結果-避難施設等-5（34）-指摘の具体的内容等</v>
      </c>
      <c r="V1110" s="202"/>
      <c r="W1110" s="202"/>
      <c r="X1110" s="202"/>
    </row>
    <row r="1111" spans="2:24">
      <c r="B1111" s="107">
        <f>'1_入力シート【基本情報】'!$BD$459</f>
        <v>0</v>
      </c>
      <c r="C1111" s="4" t="str">
        <f t="shared" si="182"/>
        <v/>
      </c>
      <c r="D1111" s="107">
        <f>'1_入力シート【基本情報】'!$BD$459</f>
        <v>0</v>
      </c>
      <c r="E1111" s="564">
        <f>'1_入力シート【基本情報】'!$BD$459</f>
        <v>0</v>
      </c>
      <c r="F1111" s="564" t="str">
        <f t="shared" si="188"/>
        <v>0</v>
      </c>
      <c r="G1111" s="24"/>
      <c r="H1111" s="565">
        <v>23</v>
      </c>
      <c r="I1111" s="334" t="s">
        <v>33</v>
      </c>
      <c r="J1111" s="357" t="s">
        <v>1407</v>
      </c>
      <c r="K1111" s="322" t="s">
        <v>113</v>
      </c>
      <c r="L1111" s="358" t="s">
        <v>1407</v>
      </c>
      <c r="M1111" s="325" t="s">
        <v>2147</v>
      </c>
      <c r="N1111" s="358" t="s">
        <v>1407</v>
      </c>
      <c r="O1111" s="326" t="s">
        <v>2029</v>
      </c>
      <c r="P1111" s="332"/>
      <c r="Q1111" s="363"/>
      <c r="R1111" s="203"/>
      <c r="S1111" s="203"/>
      <c r="T1111" s="13" t="str">
        <f t="shared" si="180"/>
        <v>23調査結果-避難施設等-5（34）-改善策の具体的内容等</v>
      </c>
      <c r="V1111" s="202"/>
      <c r="W1111" s="202"/>
      <c r="X1111" s="202"/>
    </row>
    <row r="1112" spans="2:24" ht="19">
      <c r="B1112" s="107">
        <f>'1_入力シート【基本情報】'!$BS$459</f>
        <v>0</v>
      </c>
      <c r="C1112" s="493" t="str">
        <f t="shared" ref="C1112:E1113" si="191">ASC($D1112)</f>
        <v>0</v>
      </c>
      <c r="D1112" s="107">
        <f>'1_入力シート【基本情報】'!$BS$459</f>
        <v>0</v>
      </c>
      <c r="E1112" s="7" t="str">
        <f t="shared" si="191"/>
        <v>0</v>
      </c>
      <c r="F1112" s="7" t="str">
        <f t="shared" si="188"/>
        <v>0</v>
      </c>
      <c r="G1112" s="24"/>
      <c r="H1112" s="565">
        <v>23</v>
      </c>
      <c r="I1112" s="334" t="s">
        <v>33</v>
      </c>
      <c r="J1112" s="357" t="s">
        <v>1407</v>
      </c>
      <c r="K1112" s="322" t="s">
        <v>113</v>
      </c>
      <c r="L1112" s="358" t="s">
        <v>1407</v>
      </c>
      <c r="M1112" s="325" t="s">
        <v>2147</v>
      </c>
      <c r="N1112" s="358" t="s">
        <v>1407</v>
      </c>
      <c r="O1112" s="326" t="s">
        <v>387</v>
      </c>
      <c r="P1112" s="332" t="s">
        <v>1879</v>
      </c>
      <c r="Q1112" s="363" t="s">
        <v>1966</v>
      </c>
      <c r="R1112" s="364"/>
      <c r="S1112" s="364"/>
      <c r="T1112" s="13" t="str">
        <f t="shared" si="180"/>
        <v>23調査結果-避難施設等-5（34）-改善（予定）年月-年（令和）</v>
      </c>
      <c r="V1112" s="202"/>
      <c r="W1112" s="202"/>
      <c r="X1112" s="202"/>
    </row>
    <row r="1113" spans="2:24" ht="19">
      <c r="B1113" s="107">
        <f>'1_入力シート【基本情報】'!$BV$459</f>
        <v>0</v>
      </c>
      <c r="C1113" s="493" t="str">
        <f t="shared" si="191"/>
        <v>0</v>
      </c>
      <c r="D1113" s="107">
        <f>'1_入力シート【基本情報】'!$BV$459</f>
        <v>0</v>
      </c>
      <c r="E1113" s="7" t="str">
        <f t="shared" si="191"/>
        <v>0</v>
      </c>
      <c r="F1113" s="7" t="str">
        <f t="shared" si="188"/>
        <v>0</v>
      </c>
      <c r="G1113" s="24"/>
      <c r="H1113" s="565">
        <v>23</v>
      </c>
      <c r="I1113" s="334" t="s">
        <v>33</v>
      </c>
      <c r="J1113" s="357" t="s">
        <v>1407</v>
      </c>
      <c r="K1113" s="322" t="s">
        <v>113</v>
      </c>
      <c r="L1113" s="358" t="s">
        <v>1407</v>
      </c>
      <c r="M1113" s="325" t="s">
        <v>2147</v>
      </c>
      <c r="N1113" s="358" t="s">
        <v>1407</v>
      </c>
      <c r="O1113" s="334" t="s">
        <v>387</v>
      </c>
      <c r="P1113" s="332" t="s">
        <v>1879</v>
      </c>
      <c r="Q1113" s="363" t="s">
        <v>383</v>
      </c>
      <c r="R1113" s="364"/>
      <c r="S1113" s="364"/>
      <c r="T1113" s="13" t="str">
        <f t="shared" ref="T1113:T1176" si="192">CONCATENATE(H1113,I1113,J1113,K1113,L1113,M1113,N1113,O1113,P1113,Q1113)</f>
        <v>23調査結果-避難施設等-5（34）-改善（予定）年月-月</v>
      </c>
      <c r="V1113" s="202"/>
      <c r="W1113" s="202"/>
      <c r="X1113" s="202"/>
    </row>
    <row r="1114" spans="2:24">
      <c r="B1114" s="107">
        <f>'1_入力シート【基本情報】'!$BY$459</f>
        <v>0</v>
      </c>
      <c r="C1114" s="4" t="str">
        <f t="shared" si="182"/>
        <v/>
      </c>
      <c r="D1114" s="107">
        <f>'1_入力シート【基本情報】'!$BY$459</f>
        <v>0</v>
      </c>
      <c r="E1114" s="564">
        <f>'1_入力シート【基本情報】'!$BY$459</f>
        <v>0</v>
      </c>
      <c r="F1114" s="564" t="str">
        <f t="shared" si="188"/>
        <v>0</v>
      </c>
      <c r="G1114" s="24"/>
      <c r="H1114" s="565">
        <v>23</v>
      </c>
      <c r="I1114" s="334" t="s">
        <v>33</v>
      </c>
      <c r="J1114" s="357" t="s">
        <v>1407</v>
      </c>
      <c r="K1114" s="322" t="s">
        <v>113</v>
      </c>
      <c r="L1114" s="358" t="s">
        <v>1407</v>
      </c>
      <c r="M1114" s="325" t="s">
        <v>2147</v>
      </c>
      <c r="N1114" s="358" t="s">
        <v>1407</v>
      </c>
      <c r="O1114" s="334" t="s">
        <v>387</v>
      </c>
      <c r="P1114" s="332" t="s">
        <v>1879</v>
      </c>
      <c r="Q1114" s="363" t="s">
        <v>675</v>
      </c>
      <c r="R1114" s="364"/>
      <c r="S1114" s="364"/>
      <c r="T1114" s="13" t="str">
        <f t="shared" si="192"/>
        <v>23調査結果-避難施設等-5（34）-改善（予定）年月-未定</v>
      </c>
      <c r="V1114" s="202"/>
      <c r="W1114" s="202"/>
      <c r="X1114" s="202"/>
    </row>
    <row r="1115" spans="2:24">
      <c r="B1115" s="107">
        <f>'1_入力シート【基本情報】'!$AF$460</f>
        <v>0</v>
      </c>
      <c r="C1115" s="4" t="str">
        <f t="shared" si="182"/>
        <v/>
      </c>
      <c r="D1115" s="107" t="str">
        <f>C1115</f>
        <v/>
      </c>
      <c r="E1115" s="564" t="str">
        <f>D1115</f>
        <v/>
      </c>
      <c r="F1115" s="564" t="str">
        <f t="shared" si="188"/>
        <v/>
      </c>
      <c r="G1115" s="24"/>
      <c r="H1115" s="565">
        <v>23</v>
      </c>
      <c r="I1115" s="334" t="s">
        <v>33</v>
      </c>
      <c r="J1115" s="357" t="s">
        <v>1407</v>
      </c>
      <c r="K1115" s="322" t="s">
        <v>113</v>
      </c>
      <c r="L1115" s="358" t="s">
        <v>1407</v>
      </c>
      <c r="M1115" s="325" t="s">
        <v>2148</v>
      </c>
      <c r="N1115" s="358" t="s">
        <v>1407</v>
      </c>
      <c r="O1115" s="334" t="s">
        <v>33</v>
      </c>
      <c r="P1115" s="332"/>
      <c r="Q1115" s="363"/>
      <c r="R1115" s="364"/>
      <c r="S1115" s="364"/>
      <c r="T1115" s="13" t="str">
        <f t="shared" si="192"/>
        <v>23調査結果-避難施設等-5（35）-調査結果</v>
      </c>
      <c r="V1115" s="202"/>
      <c r="W1115" s="202"/>
      <c r="X1115" s="202"/>
    </row>
    <row r="1116" spans="2:24">
      <c r="B1116" s="107">
        <f>'1_入力シート【基本情報】'!$AR$460</f>
        <v>0</v>
      </c>
      <c r="C1116" s="4" t="str">
        <f t="shared" si="182"/>
        <v/>
      </c>
      <c r="D1116" s="107">
        <f>'1_入力シート【基本情報】'!$AR$460</f>
        <v>0</v>
      </c>
      <c r="E1116" s="564">
        <f>'1_入力シート【基本情報】'!$AR$460</f>
        <v>0</v>
      </c>
      <c r="F1116" s="564" t="str">
        <f t="shared" si="188"/>
        <v>0</v>
      </c>
      <c r="G1116" s="24"/>
      <c r="H1116" s="565">
        <v>23</v>
      </c>
      <c r="I1116" s="334" t="s">
        <v>33</v>
      </c>
      <c r="J1116" s="357" t="s">
        <v>1407</v>
      </c>
      <c r="K1116" s="322" t="s">
        <v>113</v>
      </c>
      <c r="L1116" s="358" t="s">
        <v>1407</v>
      </c>
      <c r="M1116" s="325" t="s">
        <v>2148</v>
      </c>
      <c r="N1116" s="358" t="s">
        <v>1407</v>
      </c>
      <c r="O1116" s="326" t="s">
        <v>30</v>
      </c>
      <c r="P1116" s="327"/>
      <c r="Q1116" s="336"/>
      <c r="R1116" s="364"/>
      <c r="S1116" s="364"/>
      <c r="T1116" s="13" t="str">
        <f t="shared" si="192"/>
        <v>23調査結果-避難施設等-5（35）-調査者番号</v>
      </c>
      <c r="V1116" s="202"/>
      <c r="W1116" s="202"/>
      <c r="X1116" s="202"/>
    </row>
    <row r="1117" spans="2:24">
      <c r="B1117" s="107">
        <f>'1_入力シート【基本情報】'!$AT$460</f>
        <v>0</v>
      </c>
      <c r="C1117" s="4" t="str">
        <f t="shared" si="182"/>
        <v/>
      </c>
      <c r="D1117" s="107">
        <f>'1_入力シート【基本情報】'!$AT$460</f>
        <v>0</v>
      </c>
      <c r="E1117" s="564">
        <f>'1_入力シート【基本情報】'!$AT$460</f>
        <v>0</v>
      </c>
      <c r="F1117" s="564" t="str">
        <f t="shared" si="188"/>
        <v>0</v>
      </c>
      <c r="G1117" s="24"/>
      <c r="H1117" s="565">
        <v>23</v>
      </c>
      <c r="I1117" s="334" t="s">
        <v>33</v>
      </c>
      <c r="J1117" s="357" t="s">
        <v>1407</v>
      </c>
      <c r="K1117" s="322" t="s">
        <v>113</v>
      </c>
      <c r="L1117" s="358" t="s">
        <v>1407</v>
      </c>
      <c r="M1117" s="325" t="s">
        <v>2148</v>
      </c>
      <c r="N1117" s="358" t="s">
        <v>1407</v>
      </c>
      <c r="O1117" s="326" t="s">
        <v>2028</v>
      </c>
      <c r="P1117" s="332"/>
      <c r="Q1117" s="363"/>
      <c r="R1117" s="364"/>
      <c r="S1117" s="364"/>
      <c r="T1117" s="13" t="str">
        <f t="shared" si="192"/>
        <v>23調査結果-避難施設等-5（35）-指摘の具体的内容等</v>
      </c>
      <c r="V1117" s="202"/>
      <c r="W1117" s="202"/>
      <c r="X1117" s="202"/>
    </row>
    <row r="1118" spans="2:24">
      <c r="B1118" s="107">
        <f>'1_入力シート【基本情報】'!$BD$460</f>
        <v>0</v>
      </c>
      <c r="C1118" s="4" t="str">
        <f t="shared" si="182"/>
        <v/>
      </c>
      <c r="D1118" s="107">
        <f>'1_入力シート【基本情報】'!$BD$460</f>
        <v>0</v>
      </c>
      <c r="E1118" s="564">
        <f>'1_入力シート【基本情報】'!$BD$460</f>
        <v>0</v>
      </c>
      <c r="F1118" s="564" t="str">
        <f t="shared" si="188"/>
        <v>0</v>
      </c>
      <c r="G1118" s="24"/>
      <c r="H1118" s="565">
        <v>23</v>
      </c>
      <c r="I1118" s="334" t="s">
        <v>33</v>
      </c>
      <c r="J1118" s="357" t="s">
        <v>1407</v>
      </c>
      <c r="K1118" s="322" t="s">
        <v>113</v>
      </c>
      <c r="L1118" s="358" t="s">
        <v>1407</v>
      </c>
      <c r="M1118" s="325" t="s">
        <v>2148</v>
      </c>
      <c r="N1118" s="358" t="s">
        <v>1407</v>
      </c>
      <c r="O1118" s="326" t="s">
        <v>2029</v>
      </c>
      <c r="P1118" s="332"/>
      <c r="Q1118" s="363"/>
      <c r="R1118" s="364"/>
      <c r="S1118" s="364"/>
      <c r="T1118" s="13" t="str">
        <f t="shared" si="192"/>
        <v>23調査結果-避難施設等-5（35）-改善策の具体的内容等</v>
      </c>
      <c r="V1118" s="202"/>
      <c r="W1118" s="202"/>
      <c r="X1118" s="202"/>
    </row>
    <row r="1119" spans="2:24" ht="19">
      <c r="B1119" s="107">
        <f>'1_入力シート【基本情報】'!$BS$460</f>
        <v>0</v>
      </c>
      <c r="C1119" s="493" t="str">
        <f t="shared" ref="C1119:E1120" si="193">ASC($D1119)</f>
        <v>0</v>
      </c>
      <c r="D1119" s="107">
        <f>'1_入力シート【基本情報】'!$BS$460</f>
        <v>0</v>
      </c>
      <c r="E1119" s="7" t="str">
        <f t="shared" si="193"/>
        <v>0</v>
      </c>
      <c r="F1119" s="7" t="str">
        <f t="shared" si="188"/>
        <v>0</v>
      </c>
      <c r="G1119" s="24"/>
      <c r="H1119" s="565">
        <v>23</v>
      </c>
      <c r="I1119" s="334" t="s">
        <v>33</v>
      </c>
      <c r="J1119" s="357" t="s">
        <v>1407</v>
      </c>
      <c r="K1119" s="322" t="s">
        <v>113</v>
      </c>
      <c r="L1119" s="358" t="s">
        <v>1407</v>
      </c>
      <c r="M1119" s="325" t="s">
        <v>2148</v>
      </c>
      <c r="N1119" s="358" t="s">
        <v>1407</v>
      </c>
      <c r="O1119" s="326" t="s">
        <v>387</v>
      </c>
      <c r="P1119" s="332" t="s">
        <v>1879</v>
      </c>
      <c r="Q1119" s="363" t="s">
        <v>1966</v>
      </c>
      <c r="R1119" s="203"/>
      <c r="S1119" s="203"/>
      <c r="T1119" s="13" t="str">
        <f t="shared" si="192"/>
        <v>23調査結果-避難施設等-5（35）-改善（予定）年月-年（令和）</v>
      </c>
      <c r="V1119" s="202"/>
      <c r="W1119" s="202"/>
      <c r="X1119" s="202"/>
    </row>
    <row r="1120" spans="2:24" ht="19">
      <c r="B1120" s="107">
        <f>'1_入力シート【基本情報】'!$BV$460</f>
        <v>0</v>
      </c>
      <c r="C1120" s="493" t="str">
        <f t="shared" si="193"/>
        <v>0</v>
      </c>
      <c r="D1120" s="107">
        <f>'1_入力シート【基本情報】'!$BV$460</f>
        <v>0</v>
      </c>
      <c r="E1120" s="7" t="str">
        <f t="shared" si="193"/>
        <v>0</v>
      </c>
      <c r="F1120" s="7" t="str">
        <f t="shared" si="188"/>
        <v>0</v>
      </c>
      <c r="G1120" s="24"/>
      <c r="H1120" s="565">
        <v>23</v>
      </c>
      <c r="I1120" s="334" t="s">
        <v>33</v>
      </c>
      <c r="J1120" s="357" t="s">
        <v>1407</v>
      </c>
      <c r="K1120" s="322" t="s">
        <v>113</v>
      </c>
      <c r="L1120" s="358" t="s">
        <v>1407</v>
      </c>
      <c r="M1120" s="325" t="s">
        <v>2148</v>
      </c>
      <c r="N1120" s="358" t="s">
        <v>1407</v>
      </c>
      <c r="O1120" s="326" t="s">
        <v>387</v>
      </c>
      <c r="P1120" s="332" t="s">
        <v>1879</v>
      </c>
      <c r="Q1120" s="363" t="s">
        <v>383</v>
      </c>
      <c r="R1120" s="364"/>
      <c r="S1120" s="364"/>
      <c r="T1120" s="13" t="str">
        <f t="shared" si="192"/>
        <v>23調査結果-避難施設等-5（35）-改善（予定）年月-月</v>
      </c>
      <c r="V1120" s="202"/>
      <c r="W1120" s="202"/>
      <c r="X1120" s="202"/>
    </row>
    <row r="1121" spans="2:24">
      <c r="B1121" s="107">
        <f>'1_入力シート【基本情報】'!$BY$460</f>
        <v>0</v>
      </c>
      <c r="C1121" s="4" t="str">
        <f t="shared" si="182"/>
        <v/>
      </c>
      <c r="D1121" s="107">
        <f>'1_入力シート【基本情報】'!$BY$460</f>
        <v>0</v>
      </c>
      <c r="E1121" s="564">
        <f>'1_入力シート【基本情報】'!$BY$460</f>
        <v>0</v>
      </c>
      <c r="F1121" s="564" t="str">
        <f t="shared" si="188"/>
        <v>0</v>
      </c>
      <c r="G1121" s="24"/>
      <c r="H1121" s="565">
        <v>23</v>
      </c>
      <c r="I1121" s="334" t="s">
        <v>33</v>
      </c>
      <c r="J1121" s="357" t="s">
        <v>1407</v>
      </c>
      <c r="K1121" s="322" t="s">
        <v>113</v>
      </c>
      <c r="L1121" s="358" t="s">
        <v>1407</v>
      </c>
      <c r="M1121" s="325" t="s">
        <v>2148</v>
      </c>
      <c r="N1121" s="358" t="s">
        <v>1407</v>
      </c>
      <c r="O1121" s="334" t="s">
        <v>387</v>
      </c>
      <c r="P1121" s="332" t="s">
        <v>1879</v>
      </c>
      <c r="Q1121" s="363" t="s">
        <v>675</v>
      </c>
      <c r="R1121" s="364"/>
      <c r="S1121" s="364"/>
      <c r="T1121" s="13" t="str">
        <f t="shared" si="192"/>
        <v>23調査結果-避難施設等-5（35）-改善（予定）年月-未定</v>
      </c>
      <c r="V1121" s="202"/>
      <c r="W1121" s="202"/>
      <c r="X1121" s="202"/>
    </row>
    <row r="1122" spans="2:24">
      <c r="B1122" s="107">
        <f>'1_入力シート【基本情報】'!$AF$461</f>
        <v>0</v>
      </c>
      <c r="C1122" s="4" t="str">
        <f t="shared" si="182"/>
        <v/>
      </c>
      <c r="D1122" s="107" t="str">
        <f>C1122</f>
        <v/>
      </c>
      <c r="E1122" s="564" t="str">
        <f>D1122</f>
        <v/>
      </c>
      <c r="F1122" s="564" t="str">
        <f t="shared" si="188"/>
        <v/>
      </c>
      <c r="G1122" s="24"/>
      <c r="H1122" s="565">
        <v>23</v>
      </c>
      <c r="I1122" s="334" t="s">
        <v>33</v>
      </c>
      <c r="J1122" s="357" t="s">
        <v>1407</v>
      </c>
      <c r="K1122" s="322" t="s">
        <v>113</v>
      </c>
      <c r="L1122" s="358" t="s">
        <v>1407</v>
      </c>
      <c r="M1122" s="325" t="s">
        <v>2149</v>
      </c>
      <c r="N1122" s="358" t="s">
        <v>1407</v>
      </c>
      <c r="O1122" s="334" t="s">
        <v>33</v>
      </c>
      <c r="P1122" s="332"/>
      <c r="Q1122" s="363"/>
      <c r="R1122" s="364"/>
      <c r="S1122" s="364"/>
      <c r="T1122" s="13" t="str">
        <f t="shared" si="192"/>
        <v>23調査結果-避難施設等-5（36）-調査結果</v>
      </c>
      <c r="V1122" s="202"/>
      <c r="W1122" s="202"/>
      <c r="X1122" s="202"/>
    </row>
    <row r="1123" spans="2:24">
      <c r="B1123" s="107">
        <f>'1_入力シート【基本情報】'!$AR$461</f>
        <v>0</v>
      </c>
      <c r="C1123" s="4" t="str">
        <f t="shared" si="182"/>
        <v/>
      </c>
      <c r="D1123" s="107">
        <f>'1_入力シート【基本情報】'!$AR$461</f>
        <v>0</v>
      </c>
      <c r="E1123" s="564">
        <f>'1_入力シート【基本情報】'!$AR$461</f>
        <v>0</v>
      </c>
      <c r="F1123" s="564" t="str">
        <f t="shared" si="188"/>
        <v>0</v>
      </c>
      <c r="G1123" s="24"/>
      <c r="H1123" s="565">
        <v>23</v>
      </c>
      <c r="I1123" s="334" t="s">
        <v>33</v>
      </c>
      <c r="J1123" s="357" t="s">
        <v>1407</v>
      </c>
      <c r="K1123" s="322" t="s">
        <v>113</v>
      </c>
      <c r="L1123" s="358" t="s">
        <v>1407</v>
      </c>
      <c r="M1123" s="325" t="s">
        <v>2149</v>
      </c>
      <c r="N1123" s="358" t="s">
        <v>1407</v>
      </c>
      <c r="O1123" s="334" t="s">
        <v>30</v>
      </c>
      <c r="P1123" s="332"/>
      <c r="Q1123" s="363"/>
      <c r="R1123" s="364"/>
      <c r="S1123" s="364"/>
      <c r="T1123" s="13" t="str">
        <f t="shared" si="192"/>
        <v>23調査結果-避難施設等-5（36）-調査者番号</v>
      </c>
      <c r="V1123" s="202"/>
      <c r="W1123" s="202"/>
      <c r="X1123" s="202"/>
    </row>
    <row r="1124" spans="2:24">
      <c r="B1124" s="107">
        <f>'1_入力シート【基本情報】'!$AT$461</f>
        <v>0</v>
      </c>
      <c r="C1124" s="4" t="str">
        <f t="shared" si="182"/>
        <v/>
      </c>
      <c r="D1124" s="107">
        <f>'1_入力シート【基本情報】'!$AT$461</f>
        <v>0</v>
      </c>
      <c r="E1124" s="564">
        <f>'1_入力シート【基本情報】'!$AT$461</f>
        <v>0</v>
      </c>
      <c r="F1124" s="564" t="str">
        <f t="shared" si="188"/>
        <v>0</v>
      </c>
      <c r="G1124" s="24"/>
      <c r="H1124" s="565">
        <v>23</v>
      </c>
      <c r="I1124" s="334" t="s">
        <v>33</v>
      </c>
      <c r="J1124" s="357" t="s">
        <v>1407</v>
      </c>
      <c r="K1124" s="322" t="s">
        <v>113</v>
      </c>
      <c r="L1124" s="358" t="s">
        <v>1407</v>
      </c>
      <c r="M1124" s="325" t="s">
        <v>2149</v>
      </c>
      <c r="N1124" s="358" t="s">
        <v>1407</v>
      </c>
      <c r="O1124" s="326" t="s">
        <v>2028</v>
      </c>
      <c r="P1124" s="327"/>
      <c r="Q1124" s="336"/>
      <c r="R1124" s="364"/>
      <c r="S1124" s="364"/>
      <c r="T1124" s="13" t="str">
        <f t="shared" si="192"/>
        <v>23調査結果-避難施設等-5（36）-指摘の具体的内容等</v>
      </c>
      <c r="V1124" s="202"/>
      <c r="W1124" s="202"/>
      <c r="X1124" s="202"/>
    </row>
    <row r="1125" spans="2:24">
      <c r="B1125" s="107">
        <f>'1_入力シート【基本情報】'!$BD$461</f>
        <v>0</v>
      </c>
      <c r="C1125" s="4" t="str">
        <f t="shared" si="182"/>
        <v/>
      </c>
      <c r="D1125" s="107">
        <f>'1_入力シート【基本情報】'!$BD$461</f>
        <v>0</v>
      </c>
      <c r="E1125" s="564">
        <f>'1_入力シート【基本情報】'!$BD$461</f>
        <v>0</v>
      </c>
      <c r="F1125" s="564" t="str">
        <f t="shared" si="188"/>
        <v>0</v>
      </c>
      <c r="G1125" s="24"/>
      <c r="H1125" s="565">
        <v>23</v>
      </c>
      <c r="I1125" s="334" t="s">
        <v>33</v>
      </c>
      <c r="J1125" s="357" t="s">
        <v>1407</v>
      </c>
      <c r="K1125" s="322" t="s">
        <v>113</v>
      </c>
      <c r="L1125" s="358" t="s">
        <v>1407</v>
      </c>
      <c r="M1125" s="325" t="s">
        <v>2149</v>
      </c>
      <c r="N1125" s="358" t="s">
        <v>1407</v>
      </c>
      <c r="O1125" s="326" t="s">
        <v>2029</v>
      </c>
      <c r="P1125" s="332"/>
      <c r="Q1125" s="363"/>
      <c r="R1125" s="364"/>
      <c r="S1125" s="364"/>
      <c r="T1125" s="13" t="str">
        <f t="shared" si="192"/>
        <v>23調査結果-避難施設等-5（36）-改善策の具体的内容等</v>
      </c>
      <c r="V1125" s="202"/>
      <c r="W1125" s="202"/>
      <c r="X1125" s="202"/>
    </row>
    <row r="1126" spans="2:24" ht="19">
      <c r="B1126" s="107">
        <f>'1_入力シート【基本情報】'!$BS$461</f>
        <v>0</v>
      </c>
      <c r="C1126" s="493" t="str">
        <f t="shared" ref="C1126:E1127" si="194">ASC($D1126)</f>
        <v>0</v>
      </c>
      <c r="D1126" s="107">
        <f>'1_入力シート【基本情報】'!$BS$461</f>
        <v>0</v>
      </c>
      <c r="E1126" s="7" t="str">
        <f t="shared" si="194"/>
        <v>0</v>
      </c>
      <c r="F1126" s="7" t="str">
        <f t="shared" si="188"/>
        <v>0</v>
      </c>
      <c r="G1126" s="24"/>
      <c r="H1126" s="565">
        <v>23</v>
      </c>
      <c r="I1126" s="334" t="s">
        <v>33</v>
      </c>
      <c r="J1126" s="357" t="s">
        <v>1407</v>
      </c>
      <c r="K1126" s="322" t="s">
        <v>113</v>
      </c>
      <c r="L1126" s="358" t="s">
        <v>1407</v>
      </c>
      <c r="M1126" s="325" t="s">
        <v>2149</v>
      </c>
      <c r="N1126" s="358" t="s">
        <v>1407</v>
      </c>
      <c r="O1126" s="326" t="s">
        <v>387</v>
      </c>
      <c r="P1126" s="332" t="s">
        <v>1879</v>
      </c>
      <c r="Q1126" s="363" t="s">
        <v>1966</v>
      </c>
      <c r="R1126" s="364"/>
      <c r="S1126" s="364"/>
      <c r="T1126" s="13" t="str">
        <f t="shared" si="192"/>
        <v>23調査結果-避難施設等-5（36）-改善（予定）年月-年（令和）</v>
      </c>
      <c r="V1126" s="202"/>
      <c r="W1126" s="202"/>
      <c r="X1126" s="202"/>
    </row>
    <row r="1127" spans="2:24" ht="19">
      <c r="B1127" s="107">
        <f>'1_入力シート【基本情報】'!$BV$461</f>
        <v>0</v>
      </c>
      <c r="C1127" s="493" t="str">
        <f t="shared" si="194"/>
        <v>0</v>
      </c>
      <c r="D1127" s="107">
        <f>'1_入力シート【基本情報】'!$BV$461</f>
        <v>0</v>
      </c>
      <c r="E1127" s="7" t="str">
        <f t="shared" si="194"/>
        <v>0</v>
      </c>
      <c r="F1127" s="7" t="str">
        <f t="shared" si="188"/>
        <v>0</v>
      </c>
      <c r="G1127" s="24"/>
      <c r="H1127" s="565">
        <v>23</v>
      </c>
      <c r="I1127" s="334" t="s">
        <v>33</v>
      </c>
      <c r="J1127" s="357" t="s">
        <v>1407</v>
      </c>
      <c r="K1127" s="322" t="s">
        <v>113</v>
      </c>
      <c r="L1127" s="358" t="s">
        <v>1407</v>
      </c>
      <c r="M1127" s="325" t="s">
        <v>2149</v>
      </c>
      <c r="N1127" s="358" t="s">
        <v>1407</v>
      </c>
      <c r="O1127" s="326" t="s">
        <v>387</v>
      </c>
      <c r="P1127" s="332" t="s">
        <v>1879</v>
      </c>
      <c r="Q1127" s="363" t="s">
        <v>383</v>
      </c>
      <c r="R1127" s="203"/>
      <c r="S1127" s="203"/>
      <c r="T1127" s="13" t="str">
        <f t="shared" si="192"/>
        <v>23調査結果-避難施設等-5（36）-改善（予定）年月-月</v>
      </c>
      <c r="V1127" s="202"/>
      <c r="W1127" s="202"/>
      <c r="X1127" s="202"/>
    </row>
    <row r="1128" spans="2:24">
      <c r="B1128" s="107">
        <f>'1_入力シート【基本情報】'!$BY$461</f>
        <v>0</v>
      </c>
      <c r="C1128" s="4" t="str">
        <f t="shared" ref="C1128:C1188" si="195">MID(B1128,2,14)</f>
        <v/>
      </c>
      <c r="D1128" s="107">
        <f>'1_入力シート【基本情報】'!$BY$461</f>
        <v>0</v>
      </c>
      <c r="E1128" s="564">
        <f>'1_入力シート【基本情報】'!$BY$461</f>
        <v>0</v>
      </c>
      <c r="F1128" s="564" t="str">
        <f t="shared" si="188"/>
        <v>0</v>
      </c>
      <c r="G1128" s="24"/>
      <c r="H1128" s="565">
        <v>23</v>
      </c>
      <c r="I1128" s="334" t="s">
        <v>33</v>
      </c>
      <c r="J1128" s="357" t="s">
        <v>1407</v>
      </c>
      <c r="K1128" s="322" t="s">
        <v>113</v>
      </c>
      <c r="L1128" s="358" t="s">
        <v>1407</v>
      </c>
      <c r="M1128" s="325" t="s">
        <v>2149</v>
      </c>
      <c r="N1128" s="358" t="s">
        <v>1407</v>
      </c>
      <c r="O1128" s="326" t="s">
        <v>387</v>
      </c>
      <c r="P1128" s="332" t="s">
        <v>1879</v>
      </c>
      <c r="Q1128" s="363" t="s">
        <v>675</v>
      </c>
      <c r="R1128" s="364"/>
      <c r="S1128" s="364"/>
      <c r="T1128" s="13" t="str">
        <f t="shared" si="192"/>
        <v>23調査結果-避難施設等-5（36）-改善（予定）年月-未定</v>
      </c>
      <c r="V1128" s="202"/>
      <c r="W1128" s="202"/>
      <c r="X1128" s="202"/>
    </row>
    <row r="1129" spans="2:24">
      <c r="B1129" s="107">
        <f>'1_入力シート【基本情報】'!$AF$462</f>
        <v>0</v>
      </c>
      <c r="C1129" s="4" t="str">
        <f t="shared" si="195"/>
        <v/>
      </c>
      <c r="D1129" s="107" t="str">
        <f>C1129</f>
        <v/>
      </c>
      <c r="E1129" s="564" t="str">
        <f>D1129</f>
        <v/>
      </c>
      <c r="F1129" s="564" t="str">
        <f t="shared" si="188"/>
        <v/>
      </c>
      <c r="G1129" s="24"/>
      <c r="H1129" s="565">
        <v>23</v>
      </c>
      <c r="I1129" s="334" t="s">
        <v>33</v>
      </c>
      <c r="J1129" s="357" t="s">
        <v>1407</v>
      </c>
      <c r="K1129" s="322" t="s">
        <v>113</v>
      </c>
      <c r="L1129" s="358" t="s">
        <v>1407</v>
      </c>
      <c r="M1129" s="325" t="s">
        <v>2150</v>
      </c>
      <c r="N1129" s="358" t="s">
        <v>1407</v>
      </c>
      <c r="O1129" s="334" t="s">
        <v>33</v>
      </c>
      <c r="P1129" s="332"/>
      <c r="Q1129" s="363"/>
      <c r="R1129" s="364"/>
      <c r="S1129" s="364"/>
      <c r="T1129" s="13" t="str">
        <f t="shared" si="192"/>
        <v>23調査結果-避難施設等-5（37）-調査結果</v>
      </c>
      <c r="V1129" s="202"/>
      <c r="W1129" s="202"/>
      <c r="X1129" s="202"/>
    </row>
    <row r="1130" spans="2:24">
      <c r="B1130" s="107">
        <f>'1_入力シート【基本情報】'!$AR$462</f>
        <v>0</v>
      </c>
      <c r="C1130" s="4" t="str">
        <f t="shared" si="195"/>
        <v/>
      </c>
      <c r="D1130" s="107">
        <f>'1_入力シート【基本情報】'!$AR$462</f>
        <v>0</v>
      </c>
      <c r="E1130" s="564">
        <f>'1_入力シート【基本情報】'!$AR$462</f>
        <v>0</v>
      </c>
      <c r="F1130" s="564" t="str">
        <f t="shared" si="188"/>
        <v>0</v>
      </c>
      <c r="G1130" s="24"/>
      <c r="H1130" s="565">
        <v>23</v>
      </c>
      <c r="I1130" s="334" t="s">
        <v>33</v>
      </c>
      <c r="J1130" s="357" t="s">
        <v>1407</v>
      </c>
      <c r="K1130" s="322" t="s">
        <v>113</v>
      </c>
      <c r="L1130" s="358" t="s">
        <v>1407</v>
      </c>
      <c r="M1130" s="325" t="s">
        <v>2150</v>
      </c>
      <c r="N1130" s="358" t="s">
        <v>1407</v>
      </c>
      <c r="O1130" s="334" t="s">
        <v>30</v>
      </c>
      <c r="P1130" s="332"/>
      <c r="Q1130" s="363"/>
      <c r="R1130" s="364"/>
      <c r="S1130" s="364"/>
      <c r="T1130" s="13" t="str">
        <f t="shared" si="192"/>
        <v>23調査結果-避難施設等-5（37）-調査者番号</v>
      </c>
      <c r="V1130" s="202"/>
      <c r="W1130" s="202"/>
      <c r="X1130" s="202"/>
    </row>
    <row r="1131" spans="2:24">
      <c r="B1131" s="107">
        <f>'1_入力シート【基本情報】'!$AT$462</f>
        <v>0</v>
      </c>
      <c r="C1131" s="4" t="str">
        <f t="shared" si="195"/>
        <v/>
      </c>
      <c r="D1131" s="107">
        <f>'1_入力シート【基本情報】'!$AT$462</f>
        <v>0</v>
      </c>
      <c r="E1131" s="564">
        <f>'1_入力シート【基本情報】'!$AT$462</f>
        <v>0</v>
      </c>
      <c r="F1131" s="564" t="str">
        <f t="shared" si="188"/>
        <v>0</v>
      </c>
      <c r="G1131" s="24"/>
      <c r="H1131" s="565">
        <v>23</v>
      </c>
      <c r="I1131" s="334" t="s">
        <v>33</v>
      </c>
      <c r="J1131" s="357" t="s">
        <v>1407</v>
      </c>
      <c r="K1131" s="322" t="s">
        <v>113</v>
      </c>
      <c r="L1131" s="358" t="s">
        <v>1407</v>
      </c>
      <c r="M1131" s="325" t="s">
        <v>2150</v>
      </c>
      <c r="N1131" s="358" t="s">
        <v>1407</v>
      </c>
      <c r="O1131" s="334" t="s">
        <v>2028</v>
      </c>
      <c r="P1131" s="332"/>
      <c r="Q1131" s="363"/>
      <c r="R1131" s="364"/>
      <c r="S1131" s="364"/>
      <c r="T1131" s="13" t="str">
        <f t="shared" si="192"/>
        <v>23調査結果-避難施設等-5（37）-指摘の具体的内容等</v>
      </c>
      <c r="V1131" s="202"/>
      <c r="W1131" s="202"/>
      <c r="X1131" s="202"/>
    </row>
    <row r="1132" spans="2:24">
      <c r="B1132" s="107">
        <f>'1_入力シート【基本情報】'!$BD$462</f>
        <v>0</v>
      </c>
      <c r="C1132" s="4" t="str">
        <f t="shared" si="195"/>
        <v/>
      </c>
      <c r="D1132" s="107">
        <f>'1_入力シート【基本情報】'!$BD$462</f>
        <v>0</v>
      </c>
      <c r="E1132" s="564">
        <f>'1_入力シート【基本情報】'!$BD$462</f>
        <v>0</v>
      </c>
      <c r="F1132" s="564" t="str">
        <f t="shared" si="188"/>
        <v>0</v>
      </c>
      <c r="G1132" s="24"/>
      <c r="H1132" s="565">
        <v>23</v>
      </c>
      <c r="I1132" s="334" t="s">
        <v>33</v>
      </c>
      <c r="J1132" s="357" t="s">
        <v>1407</v>
      </c>
      <c r="K1132" s="322" t="s">
        <v>113</v>
      </c>
      <c r="L1132" s="358" t="s">
        <v>1407</v>
      </c>
      <c r="M1132" s="325" t="s">
        <v>2150</v>
      </c>
      <c r="N1132" s="358" t="s">
        <v>1407</v>
      </c>
      <c r="O1132" s="326" t="s">
        <v>2029</v>
      </c>
      <c r="P1132" s="327"/>
      <c r="Q1132" s="336"/>
      <c r="R1132" s="364"/>
      <c r="S1132" s="364"/>
      <c r="T1132" s="13" t="str">
        <f t="shared" si="192"/>
        <v>23調査結果-避難施設等-5（37）-改善策の具体的内容等</v>
      </c>
      <c r="V1132" s="202"/>
      <c r="W1132" s="202"/>
      <c r="X1132" s="202"/>
    </row>
    <row r="1133" spans="2:24" ht="19">
      <c r="B1133" s="107">
        <f>'1_入力シート【基本情報】'!$BS$462</f>
        <v>0</v>
      </c>
      <c r="C1133" s="493" t="str">
        <f t="shared" ref="C1133:E1134" si="196">ASC($D1133)</f>
        <v>0</v>
      </c>
      <c r="D1133" s="107">
        <f>'1_入力シート【基本情報】'!$BS$462</f>
        <v>0</v>
      </c>
      <c r="E1133" s="7" t="str">
        <f t="shared" si="196"/>
        <v>0</v>
      </c>
      <c r="F1133" s="7" t="str">
        <f t="shared" si="188"/>
        <v>0</v>
      </c>
      <c r="G1133" s="24"/>
      <c r="H1133" s="565">
        <v>23</v>
      </c>
      <c r="I1133" s="334" t="s">
        <v>33</v>
      </c>
      <c r="J1133" s="357" t="s">
        <v>1407</v>
      </c>
      <c r="K1133" s="322" t="s">
        <v>113</v>
      </c>
      <c r="L1133" s="358" t="s">
        <v>1407</v>
      </c>
      <c r="M1133" s="325" t="s">
        <v>2150</v>
      </c>
      <c r="N1133" s="358" t="s">
        <v>1407</v>
      </c>
      <c r="O1133" s="326" t="s">
        <v>387</v>
      </c>
      <c r="P1133" s="332" t="s">
        <v>1879</v>
      </c>
      <c r="Q1133" s="363" t="s">
        <v>1966</v>
      </c>
      <c r="R1133" s="364"/>
      <c r="S1133" s="364"/>
      <c r="T1133" s="13" t="str">
        <f t="shared" si="192"/>
        <v>23調査結果-避難施設等-5（37）-改善（予定）年月-年（令和）</v>
      </c>
      <c r="V1133" s="202"/>
      <c r="W1133" s="202"/>
      <c r="X1133" s="202"/>
    </row>
    <row r="1134" spans="2:24" ht="19">
      <c r="B1134" s="107">
        <f>'1_入力シート【基本情報】'!$BV$462</f>
        <v>0</v>
      </c>
      <c r="C1134" s="493" t="str">
        <f t="shared" si="196"/>
        <v>0</v>
      </c>
      <c r="D1134" s="107">
        <f>'1_入力シート【基本情報】'!$BV$462</f>
        <v>0</v>
      </c>
      <c r="E1134" s="7" t="str">
        <f t="shared" si="196"/>
        <v>0</v>
      </c>
      <c r="F1134" s="7" t="str">
        <f t="shared" si="188"/>
        <v>0</v>
      </c>
      <c r="G1134" s="24"/>
      <c r="H1134" s="565">
        <v>23</v>
      </c>
      <c r="I1134" s="334" t="s">
        <v>33</v>
      </c>
      <c r="J1134" s="357" t="s">
        <v>1407</v>
      </c>
      <c r="K1134" s="322" t="s">
        <v>113</v>
      </c>
      <c r="L1134" s="358" t="s">
        <v>1407</v>
      </c>
      <c r="M1134" s="325" t="s">
        <v>2150</v>
      </c>
      <c r="N1134" s="358" t="s">
        <v>1407</v>
      </c>
      <c r="O1134" s="326" t="s">
        <v>387</v>
      </c>
      <c r="P1134" s="332" t="s">
        <v>1879</v>
      </c>
      <c r="Q1134" s="363" t="s">
        <v>383</v>
      </c>
      <c r="R1134" s="364"/>
      <c r="S1134" s="364"/>
      <c r="T1134" s="13" t="str">
        <f t="shared" si="192"/>
        <v>23調査結果-避難施設等-5（37）-改善（予定）年月-月</v>
      </c>
      <c r="V1134" s="202"/>
      <c r="W1134" s="202"/>
      <c r="X1134" s="202"/>
    </row>
    <row r="1135" spans="2:24">
      <c r="B1135" s="107">
        <f>'1_入力シート【基本情報】'!$BY$462</f>
        <v>0</v>
      </c>
      <c r="C1135" s="4" t="str">
        <f t="shared" si="195"/>
        <v/>
      </c>
      <c r="D1135" s="107">
        <f>'1_入力シート【基本情報】'!$BY$462</f>
        <v>0</v>
      </c>
      <c r="E1135" s="564">
        <f>'1_入力シート【基本情報】'!$BY$462</f>
        <v>0</v>
      </c>
      <c r="F1135" s="564" t="str">
        <f t="shared" si="188"/>
        <v>0</v>
      </c>
      <c r="G1135" s="24"/>
      <c r="H1135" s="565">
        <v>23</v>
      </c>
      <c r="I1135" s="334" t="s">
        <v>33</v>
      </c>
      <c r="J1135" s="357" t="s">
        <v>1407</v>
      </c>
      <c r="K1135" s="322" t="s">
        <v>113</v>
      </c>
      <c r="L1135" s="358" t="s">
        <v>1407</v>
      </c>
      <c r="M1135" s="325" t="s">
        <v>2150</v>
      </c>
      <c r="N1135" s="358" t="s">
        <v>1407</v>
      </c>
      <c r="O1135" s="326" t="s">
        <v>387</v>
      </c>
      <c r="P1135" s="332" t="s">
        <v>1879</v>
      </c>
      <c r="Q1135" s="363" t="s">
        <v>675</v>
      </c>
      <c r="R1135" s="203"/>
      <c r="S1135" s="203"/>
      <c r="T1135" s="13" t="str">
        <f t="shared" si="192"/>
        <v>23調査結果-避難施設等-5（37）-改善（予定）年月-未定</v>
      </c>
      <c r="V1135" s="202"/>
      <c r="W1135" s="202"/>
      <c r="X1135" s="202"/>
    </row>
    <row r="1136" spans="2:24">
      <c r="B1136" s="107">
        <f>'1_入力シート【基本情報】'!$AF$463</f>
        <v>0</v>
      </c>
      <c r="C1136" s="4" t="str">
        <f t="shared" si="195"/>
        <v/>
      </c>
      <c r="D1136" s="107" t="str">
        <f>C1136</f>
        <v/>
      </c>
      <c r="E1136" s="564" t="str">
        <f>D1136</f>
        <v/>
      </c>
      <c r="F1136" s="564" t="str">
        <f t="shared" si="188"/>
        <v/>
      </c>
      <c r="G1136" s="24"/>
      <c r="H1136" s="565">
        <v>23</v>
      </c>
      <c r="I1136" s="334" t="s">
        <v>33</v>
      </c>
      <c r="J1136" s="357" t="s">
        <v>1407</v>
      </c>
      <c r="K1136" s="322" t="s">
        <v>113</v>
      </c>
      <c r="L1136" s="358" t="s">
        <v>1407</v>
      </c>
      <c r="M1136" s="325" t="s">
        <v>2151</v>
      </c>
      <c r="N1136" s="358" t="s">
        <v>1407</v>
      </c>
      <c r="O1136" s="326" t="s">
        <v>33</v>
      </c>
      <c r="P1136" s="332"/>
      <c r="Q1136" s="363"/>
      <c r="R1136" s="364"/>
      <c r="S1136" s="364"/>
      <c r="T1136" s="13" t="str">
        <f t="shared" si="192"/>
        <v>23調査結果-避難施設等-5（38）-調査結果</v>
      </c>
      <c r="V1136" s="202"/>
      <c r="W1136" s="202"/>
      <c r="X1136" s="202"/>
    </row>
    <row r="1137" spans="2:24">
      <c r="B1137" s="107">
        <f>'1_入力シート【基本情報】'!$AR$463</f>
        <v>0</v>
      </c>
      <c r="C1137" s="4" t="str">
        <f t="shared" si="195"/>
        <v/>
      </c>
      <c r="D1137" s="107">
        <f>'1_入力シート【基本情報】'!$AR$463</f>
        <v>0</v>
      </c>
      <c r="E1137" s="564">
        <f>'1_入力シート【基本情報】'!$AR$463</f>
        <v>0</v>
      </c>
      <c r="F1137" s="564" t="str">
        <f t="shared" si="188"/>
        <v>0</v>
      </c>
      <c r="G1137" s="24"/>
      <c r="H1137" s="565">
        <v>23</v>
      </c>
      <c r="I1137" s="334" t="s">
        <v>33</v>
      </c>
      <c r="J1137" s="357" t="s">
        <v>1407</v>
      </c>
      <c r="K1137" s="322" t="s">
        <v>113</v>
      </c>
      <c r="L1137" s="358" t="s">
        <v>1407</v>
      </c>
      <c r="M1137" s="325" t="s">
        <v>2151</v>
      </c>
      <c r="N1137" s="358" t="s">
        <v>1407</v>
      </c>
      <c r="O1137" s="334" t="s">
        <v>30</v>
      </c>
      <c r="P1137" s="332"/>
      <c r="Q1137" s="363"/>
      <c r="R1137" s="364"/>
      <c r="S1137" s="364"/>
      <c r="T1137" s="13" t="str">
        <f t="shared" si="192"/>
        <v>23調査結果-避難施設等-5（38）-調査者番号</v>
      </c>
      <c r="V1137" s="202"/>
      <c r="W1137" s="202"/>
      <c r="X1137" s="202"/>
    </row>
    <row r="1138" spans="2:24">
      <c r="B1138" s="107">
        <f>'1_入力シート【基本情報】'!$AT$463</f>
        <v>0</v>
      </c>
      <c r="C1138" s="4" t="str">
        <f t="shared" si="195"/>
        <v/>
      </c>
      <c r="D1138" s="107">
        <f>'1_入力シート【基本情報】'!$AT$463</f>
        <v>0</v>
      </c>
      <c r="E1138" s="564">
        <f>'1_入力シート【基本情報】'!$AT$463</f>
        <v>0</v>
      </c>
      <c r="F1138" s="564" t="str">
        <f t="shared" si="188"/>
        <v>0</v>
      </c>
      <c r="G1138" s="24"/>
      <c r="H1138" s="565">
        <v>23</v>
      </c>
      <c r="I1138" s="334" t="s">
        <v>33</v>
      </c>
      <c r="J1138" s="357" t="s">
        <v>1407</v>
      </c>
      <c r="K1138" s="322" t="s">
        <v>113</v>
      </c>
      <c r="L1138" s="358" t="s">
        <v>1407</v>
      </c>
      <c r="M1138" s="325" t="s">
        <v>2151</v>
      </c>
      <c r="N1138" s="358" t="s">
        <v>1407</v>
      </c>
      <c r="O1138" s="334" t="s">
        <v>2028</v>
      </c>
      <c r="P1138" s="332"/>
      <c r="Q1138" s="363"/>
      <c r="R1138" s="364"/>
      <c r="S1138" s="364"/>
      <c r="T1138" s="13" t="str">
        <f t="shared" si="192"/>
        <v>23調査結果-避難施設等-5（38）-指摘の具体的内容等</v>
      </c>
      <c r="V1138" s="202"/>
      <c r="W1138" s="202"/>
      <c r="X1138" s="202"/>
    </row>
    <row r="1139" spans="2:24">
      <c r="B1139" s="107">
        <f>'1_入力シート【基本情報】'!$BD$463</f>
        <v>0</v>
      </c>
      <c r="C1139" s="4" t="str">
        <f t="shared" si="195"/>
        <v/>
      </c>
      <c r="D1139" s="107">
        <f>'1_入力シート【基本情報】'!$BD$463</f>
        <v>0</v>
      </c>
      <c r="E1139" s="564">
        <f>'1_入力シート【基本情報】'!$BD$463</f>
        <v>0</v>
      </c>
      <c r="F1139" s="564" t="str">
        <f t="shared" si="188"/>
        <v>0</v>
      </c>
      <c r="G1139" s="24"/>
      <c r="H1139" s="565">
        <v>23</v>
      </c>
      <c r="I1139" s="334" t="s">
        <v>33</v>
      </c>
      <c r="J1139" s="357" t="s">
        <v>1407</v>
      </c>
      <c r="K1139" s="322" t="s">
        <v>113</v>
      </c>
      <c r="L1139" s="358" t="s">
        <v>1407</v>
      </c>
      <c r="M1139" s="325" t="s">
        <v>2151</v>
      </c>
      <c r="N1139" s="358" t="s">
        <v>1407</v>
      </c>
      <c r="O1139" s="334" t="s">
        <v>2029</v>
      </c>
      <c r="P1139" s="332"/>
      <c r="Q1139" s="363"/>
      <c r="R1139" s="364"/>
      <c r="S1139" s="364"/>
      <c r="T1139" s="13" t="str">
        <f t="shared" si="192"/>
        <v>23調査結果-避難施設等-5（38）-改善策の具体的内容等</v>
      </c>
      <c r="V1139" s="202"/>
      <c r="W1139" s="202"/>
      <c r="X1139" s="202"/>
    </row>
    <row r="1140" spans="2:24" ht="19">
      <c r="B1140" s="107">
        <f>'1_入力シート【基本情報】'!$BS$463</f>
        <v>0</v>
      </c>
      <c r="C1140" s="493" t="str">
        <f t="shared" ref="C1140:E1141" si="197">ASC($D1140)</f>
        <v>0</v>
      </c>
      <c r="D1140" s="107">
        <f>'1_入力シート【基本情報】'!$BS$463</f>
        <v>0</v>
      </c>
      <c r="E1140" s="7" t="str">
        <f t="shared" si="197"/>
        <v>0</v>
      </c>
      <c r="F1140" s="7" t="str">
        <f t="shared" si="188"/>
        <v>0</v>
      </c>
      <c r="G1140" s="24"/>
      <c r="H1140" s="565">
        <v>23</v>
      </c>
      <c r="I1140" s="334" t="s">
        <v>33</v>
      </c>
      <c r="J1140" s="357" t="s">
        <v>1407</v>
      </c>
      <c r="K1140" s="322" t="s">
        <v>113</v>
      </c>
      <c r="L1140" s="358" t="s">
        <v>1407</v>
      </c>
      <c r="M1140" s="325" t="s">
        <v>2151</v>
      </c>
      <c r="N1140" s="358" t="s">
        <v>1407</v>
      </c>
      <c r="O1140" s="326" t="s">
        <v>387</v>
      </c>
      <c r="P1140" s="327" t="s">
        <v>1879</v>
      </c>
      <c r="Q1140" s="336" t="s">
        <v>1966</v>
      </c>
      <c r="R1140" s="364"/>
      <c r="S1140" s="364"/>
      <c r="T1140" s="13" t="str">
        <f t="shared" si="192"/>
        <v>23調査結果-避難施設等-5（38）-改善（予定）年月-年（令和）</v>
      </c>
      <c r="V1140" s="202"/>
      <c r="W1140" s="202"/>
      <c r="X1140" s="202"/>
    </row>
    <row r="1141" spans="2:24" ht="19">
      <c r="B1141" s="107">
        <f>'1_入力シート【基本情報】'!$BV$463</f>
        <v>0</v>
      </c>
      <c r="C1141" s="493" t="str">
        <f t="shared" si="197"/>
        <v>0</v>
      </c>
      <c r="D1141" s="107">
        <f>'1_入力シート【基本情報】'!$BV$463</f>
        <v>0</v>
      </c>
      <c r="E1141" s="7" t="str">
        <f t="shared" si="197"/>
        <v>0</v>
      </c>
      <c r="F1141" s="7" t="str">
        <f t="shared" si="188"/>
        <v>0</v>
      </c>
      <c r="G1141" s="24"/>
      <c r="H1141" s="565">
        <v>23</v>
      </c>
      <c r="I1141" s="334" t="s">
        <v>33</v>
      </c>
      <c r="J1141" s="357" t="s">
        <v>1407</v>
      </c>
      <c r="K1141" s="322" t="s">
        <v>113</v>
      </c>
      <c r="L1141" s="358" t="s">
        <v>1407</v>
      </c>
      <c r="M1141" s="325" t="s">
        <v>2151</v>
      </c>
      <c r="N1141" s="358" t="s">
        <v>1407</v>
      </c>
      <c r="O1141" s="326" t="s">
        <v>387</v>
      </c>
      <c r="P1141" s="332" t="s">
        <v>1879</v>
      </c>
      <c r="Q1141" s="363" t="s">
        <v>383</v>
      </c>
      <c r="R1141" s="364"/>
      <c r="S1141" s="364"/>
      <c r="T1141" s="13" t="str">
        <f t="shared" si="192"/>
        <v>23調査結果-避難施設等-5（38）-改善（予定）年月-月</v>
      </c>
      <c r="V1141" s="202"/>
      <c r="W1141" s="202"/>
      <c r="X1141" s="202"/>
    </row>
    <row r="1142" spans="2:24">
      <c r="B1142" s="107">
        <f>'1_入力シート【基本情報】'!$BY$463</f>
        <v>0</v>
      </c>
      <c r="C1142" s="4" t="str">
        <f t="shared" si="195"/>
        <v/>
      </c>
      <c r="D1142" s="107">
        <f>'1_入力シート【基本情報】'!$BY$463</f>
        <v>0</v>
      </c>
      <c r="E1142" s="564">
        <f>'1_入力シート【基本情報】'!$BY$463</f>
        <v>0</v>
      </c>
      <c r="F1142" s="564" t="str">
        <f t="shared" si="188"/>
        <v>0</v>
      </c>
      <c r="G1142" s="24"/>
      <c r="H1142" s="565">
        <v>23</v>
      </c>
      <c r="I1142" s="334" t="s">
        <v>33</v>
      </c>
      <c r="J1142" s="357" t="s">
        <v>1407</v>
      </c>
      <c r="K1142" s="322" t="s">
        <v>113</v>
      </c>
      <c r="L1142" s="358" t="s">
        <v>1407</v>
      </c>
      <c r="M1142" s="325" t="s">
        <v>2151</v>
      </c>
      <c r="N1142" s="358" t="s">
        <v>1407</v>
      </c>
      <c r="O1142" s="326" t="s">
        <v>387</v>
      </c>
      <c r="P1142" s="332" t="s">
        <v>1879</v>
      </c>
      <c r="Q1142" s="363" t="s">
        <v>675</v>
      </c>
      <c r="R1142" s="364"/>
      <c r="S1142" s="364"/>
      <c r="T1142" s="13" t="str">
        <f t="shared" si="192"/>
        <v>23調査結果-避難施設等-5（38）-改善（予定）年月-未定</v>
      </c>
      <c r="V1142" s="202"/>
      <c r="W1142" s="202"/>
      <c r="X1142" s="202"/>
    </row>
    <row r="1143" spans="2:24">
      <c r="B1143" s="107">
        <f>'1_入力シート【基本情報】'!$AF$464</f>
        <v>0</v>
      </c>
      <c r="C1143" s="4" t="str">
        <f t="shared" si="195"/>
        <v/>
      </c>
      <c r="D1143" s="107" t="str">
        <f>C1143</f>
        <v/>
      </c>
      <c r="E1143" s="564" t="str">
        <f>D1143</f>
        <v/>
      </c>
      <c r="F1143" s="564" t="str">
        <f t="shared" si="188"/>
        <v/>
      </c>
      <c r="G1143" s="24"/>
      <c r="H1143" s="565">
        <v>23</v>
      </c>
      <c r="I1143" s="334" t="s">
        <v>33</v>
      </c>
      <c r="J1143" s="357" t="s">
        <v>1407</v>
      </c>
      <c r="K1143" s="322" t="s">
        <v>113</v>
      </c>
      <c r="L1143" s="358" t="s">
        <v>1407</v>
      </c>
      <c r="M1143" s="325" t="s">
        <v>2152</v>
      </c>
      <c r="N1143" s="358" t="s">
        <v>1407</v>
      </c>
      <c r="O1143" s="326" t="s">
        <v>33</v>
      </c>
      <c r="P1143" s="332"/>
      <c r="Q1143" s="363"/>
      <c r="R1143" s="203"/>
      <c r="S1143" s="203"/>
      <c r="T1143" s="13" t="str">
        <f t="shared" si="192"/>
        <v>23調査結果-避難施設等-5（39）-調査結果</v>
      </c>
      <c r="V1143" s="202"/>
      <c r="W1143" s="202"/>
      <c r="X1143" s="202"/>
    </row>
    <row r="1144" spans="2:24">
      <c r="B1144" s="107">
        <f>'1_入力シート【基本情報】'!$AR$464</f>
        <v>0</v>
      </c>
      <c r="C1144" s="4" t="str">
        <f t="shared" si="195"/>
        <v/>
      </c>
      <c r="D1144" s="107">
        <f>'1_入力シート【基本情報】'!$AR$464</f>
        <v>0</v>
      </c>
      <c r="E1144" s="564">
        <f>'1_入力シート【基本情報】'!$AR$464</f>
        <v>0</v>
      </c>
      <c r="F1144" s="564" t="str">
        <f t="shared" si="188"/>
        <v>0</v>
      </c>
      <c r="G1144" s="24"/>
      <c r="H1144" s="565">
        <v>23</v>
      </c>
      <c r="I1144" s="334" t="s">
        <v>33</v>
      </c>
      <c r="J1144" s="357" t="s">
        <v>1407</v>
      </c>
      <c r="K1144" s="322" t="s">
        <v>113</v>
      </c>
      <c r="L1144" s="358" t="s">
        <v>1407</v>
      </c>
      <c r="M1144" s="325" t="s">
        <v>2152</v>
      </c>
      <c r="N1144" s="358" t="s">
        <v>1407</v>
      </c>
      <c r="O1144" s="326" t="s">
        <v>30</v>
      </c>
      <c r="P1144" s="332"/>
      <c r="Q1144" s="363"/>
      <c r="R1144" s="364"/>
      <c r="S1144" s="364"/>
      <c r="T1144" s="13" t="str">
        <f t="shared" si="192"/>
        <v>23調査結果-避難施設等-5（39）-調査者番号</v>
      </c>
      <c r="V1144" s="202"/>
      <c r="W1144" s="202"/>
      <c r="X1144" s="202"/>
    </row>
    <row r="1145" spans="2:24">
      <c r="B1145" s="107">
        <f>'1_入力シート【基本情報】'!$AT$464</f>
        <v>0</v>
      </c>
      <c r="C1145" s="4" t="str">
        <f t="shared" si="195"/>
        <v/>
      </c>
      <c r="D1145" s="107">
        <f>'1_入力シート【基本情報】'!$AT$464</f>
        <v>0</v>
      </c>
      <c r="E1145" s="564">
        <f>'1_入力シート【基本情報】'!$AT$464</f>
        <v>0</v>
      </c>
      <c r="F1145" s="564" t="str">
        <f t="shared" si="188"/>
        <v>0</v>
      </c>
      <c r="G1145" s="24"/>
      <c r="H1145" s="565">
        <v>23</v>
      </c>
      <c r="I1145" s="334" t="s">
        <v>33</v>
      </c>
      <c r="J1145" s="357" t="s">
        <v>1407</v>
      </c>
      <c r="K1145" s="322" t="s">
        <v>113</v>
      </c>
      <c r="L1145" s="358" t="s">
        <v>1407</v>
      </c>
      <c r="M1145" s="325" t="s">
        <v>2152</v>
      </c>
      <c r="N1145" s="358" t="s">
        <v>1407</v>
      </c>
      <c r="O1145" s="334" t="s">
        <v>2028</v>
      </c>
      <c r="P1145" s="332"/>
      <c r="Q1145" s="363"/>
      <c r="R1145" s="364"/>
      <c r="S1145" s="364"/>
      <c r="T1145" s="13" t="str">
        <f t="shared" si="192"/>
        <v>23調査結果-避難施設等-5（39）-指摘の具体的内容等</v>
      </c>
      <c r="V1145" s="202"/>
      <c r="W1145" s="202"/>
      <c r="X1145" s="202"/>
    </row>
    <row r="1146" spans="2:24">
      <c r="B1146" s="107">
        <f>'1_入力シート【基本情報】'!$BD$464</f>
        <v>0</v>
      </c>
      <c r="C1146" s="4" t="str">
        <f t="shared" si="195"/>
        <v/>
      </c>
      <c r="D1146" s="107">
        <f>'1_入力シート【基本情報】'!$BD$464</f>
        <v>0</v>
      </c>
      <c r="E1146" s="564">
        <f>'1_入力シート【基本情報】'!$BD$464</f>
        <v>0</v>
      </c>
      <c r="F1146" s="564" t="str">
        <f t="shared" si="188"/>
        <v>0</v>
      </c>
      <c r="G1146" s="24"/>
      <c r="H1146" s="565">
        <v>23</v>
      </c>
      <c r="I1146" s="334" t="s">
        <v>33</v>
      </c>
      <c r="J1146" s="357" t="s">
        <v>1407</v>
      </c>
      <c r="K1146" s="322" t="s">
        <v>113</v>
      </c>
      <c r="L1146" s="358" t="s">
        <v>1407</v>
      </c>
      <c r="M1146" s="325" t="s">
        <v>2152</v>
      </c>
      <c r="N1146" s="358" t="s">
        <v>1407</v>
      </c>
      <c r="O1146" s="334" t="s">
        <v>2029</v>
      </c>
      <c r="P1146" s="332"/>
      <c r="Q1146" s="363"/>
      <c r="R1146" s="364"/>
      <c r="S1146" s="364"/>
      <c r="T1146" s="13" t="str">
        <f t="shared" si="192"/>
        <v>23調査結果-避難施設等-5（39）-改善策の具体的内容等</v>
      </c>
      <c r="V1146" s="202"/>
      <c r="W1146" s="202"/>
      <c r="X1146" s="202"/>
    </row>
    <row r="1147" spans="2:24" ht="19">
      <c r="B1147" s="107">
        <f>'1_入力シート【基本情報】'!$BS$464</f>
        <v>0</v>
      </c>
      <c r="C1147" s="493" t="str">
        <f t="shared" ref="C1147:E1148" si="198">ASC($D1147)</f>
        <v>0</v>
      </c>
      <c r="D1147" s="107">
        <f>'1_入力シート【基本情報】'!$BS$464</f>
        <v>0</v>
      </c>
      <c r="E1147" s="7" t="str">
        <f t="shared" si="198"/>
        <v>0</v>
      </c>
      <c r="F1147" s="7" t="str">
        <f t="shared" si="188"/>
        <v>0</v>
      </c>
      <c r="G1147" s="24"/>
      <c r="H1147" s="565">
        <v>23</v>
      </c>
      <c r="I1147" s="334" t="s">
        <v>33</v>
      </c>
      <c r="J1147" s="357" t="s">
        <v>1407</v>
      </c>
      <c r="K1147" s="322" t="s">
        <v>113</v>
      </c>
      <c r="L1147" s="358" t="s">
        <v>1407</v>
      </c>
      <c r="M1147" s="325" t="s">
        <v>2152</v>
      </c>
      <c r="N1147" s="358" t="s">
        <v>1407</v>
      </c>
      <c r="O1147" s="334" t="s">
        <v>387</v>
      </c>
      <c r="P1147" s="332" t="s">
        <v>1879</v>
      </c>
      <c r="Q1147" s="363" t="s">
        <v>1966</v>
      </c>
      <c r="R1147" s="364"/>
      <c r="S1147" s="364"/>
      <c r="T1147" s="13" t="str">
        <f t="shared" si="192"/>
        <v>23調査結果-避難施設等-5（39）-改善（予定）年月-年（令和）</v>
      </c>
      <c r="V1147" s="202"/>
      <c r="W1147" s="202"/>
      <c r="X1147" s="202"/>
    </row>
    <row r="1148" spans="2:24" ht="19">
      <c r="B1148" s="107">
        <f>'1_入力シート【基本情報】'!$BV$464</f>
        <v>0</v>
      </c>
      <c r="C1148" s="493" t="str">
        <f t="shared" si="198"/>
        <v>0</v>
      </c>
      <c r="D1148" s="107">
        <f>'1_入力シート【基本情報】'!$BV$464</f>
        <v>0</v>
      </c>
      <c r="E1148" s="7" t="str">
        <f t="shared" si="198"/>
        <v>0</v>
      </c>
      <c r="F1148" s="7" t="str">
        <f t="shared" si="188"/>
        <v>0</v>
      </c>
      <c r="G1148" s="24"/>
      <c r="H1148" s="565">
        <v>23</v>
      </c>
      <c r="I1148" s="334" t="s">
        <v>33</v>
      </c>
      <c r="J1148" s="357" t="s">
        <v>1407</v>
      </c>
      <c r="K1148" s="322" t="s">
        <v>113</v>
      </c>
      <c r="L1148" s="358" t="s">
        <v>1407</v>
      </c>
      <c r="M1148" s="325" t="s">
        <v>2152</v>
      </c>
      <c r="N1148" s="358" t="s">
        <v>1407</v>
      </c>
      <c r="O1148" s="326" t="s">
        <v>387</v>
      </c>
      <c r="P1148" s="327" t="s">
        <v>1879</v>
      </c>
      <c r="Q1148" s="336" t="s">
        <v>383</v>
      </c>
      <c r="R1148" s="364"/>
      <c r="S1148" s="364"/>
      <c r="T1148" s="13" t="str">
        <f t="shared" si="192"/>
        <v>23調査結果-避難施設等-5（39）-改善（予定）年月-月</v>
      </c>
      <c r="V1148" s="202"/>
      <c r="W1148" s="202"/>
      <c r="X1148" s="202"/>
    </row>
    <row r="1149" spans="2:24">
      <c r="B1149" s="107">
        <f>'1_入力シート【基本情報】'!$BY$464</f>
        <v>0</v>
      </c>
      <c r="C1149" s="4" t="str">
        <f t="shared" si="195"/>
        <v/>
      </c>
      <c r="D1149" s="107">
        <f>'1_入力シート【基本情報】'!$BY$464</f>
        <v>0</v>
      </c>
      <c r="E1149" s="564">
        <f>'1_入力シート【基本情報】'!$BY$464</f>
        <v>0</v>
      </c>
      <c r="F1149" s="564" t="str">
        <f t="shared" si="188"/>
        <v>0</v>
      </c>
      <c r="G1149" s="24"/>
      <c r="H1149" s="565">
        <v>23</v>
      </c>
      <c r="I1149" s="334" t="s">
        <v>33</v>
      </c>
      <c r="J1149" s="357" t="s">
        <v>1407</v>
      </c>
      <c r="K1149" s="322" t="s">
        <v>113</v>
      </c>
      <c r="L1149" s="358" t="s">
        <v>1407</v>
      </c>
      <c r="M1149" s="325" t="s">
        <v>2152</v>
      </c>
      <c r="N1149" s="358" t="s">
        <v>1407</v>
      </c>
      <c r="O1149" s="326" t="s">
        <v>387</v>
      </c>
      <c r="P1149" s="332" t="s">
        <v>1879</v>
      </c>
      <c r="Q1149" s="363" t="s">
        <v>675</v>
      </c>
      <c r="R1149" s="364"/>
      <c r="S1149" s="364"/>
      <c r="T1149" s="13" t="str">
        <f t="shared" si="192"/>
        <v>23調査結果-避難施設等-5（39）-改善（予定）年月-未定</v>
      </c>
      <c r="V1149" s="202"/>
      <c r="W1149" s="202"/>
      <c r="X1149" s="202"/>
    </row>
    <row r="1150" spans="2:24">
      <c r="B1150" s="107">
        <f>'1_入力シート【基本情報】'!$AF$465</f>
        <v>0</v>
      </c>
      <c r="C1150" s="4" t="str">
        <f t="shared" si="195"/>
        <v/>
      </c>
      <c r="D1150" s="107" t="str">
        <f>C1150</f>
        <v/>
      </c>
      <c r="E1150" s="564" t="str">
        <f>D1150</f>
        <v/>
      </c>
      <c r="F1150" s="564" t="str">
        <f t="shared" si="188"/>
        <v/>
      </c>
      <c r="G1150" s="24"/>
      <c r="H1150" s="565">
        <v>23</v>
      </c>
      <c r="I1150" s="334" t="s">
        <v>33</v>
      </c>
      <c r="J1150" s="357" t="s">
        <v>1407</v>
      </c>
      <c r="K1150" s="322" t="s">
        <v>113</v>
      </c>
      <c r="L1150" s="358" t="s">
        <v>1407</v>
      </c>
      <c r="M1150" s="325" t="s">
        <v>2153</v>
      </c>
      <c r="N1150" s="358" t="s">
        <v>1407</v>
      </c>
      <c r="O1150" s="326" t="s">
        <v>33</v>
      </c>
      <c r="P1150" s="332"/>
      <c r="Q1150" s="363"/>
      <c r="R1150" s="364"/>
      <c r="S1150" s="364"/>
      <c r="T1150" s="13" t="str">
        <f t="shared" si="192"/>
        <v>23調査結果-避難施設等-5（40）-調査結果</v>
      </c>
      <c r="V1150" s="202"/>
      <c r="W1150" s="202"/>
      <c r="X1150" s="202"/>
    </row>
    <row r="1151" spans="2:24">
      <c r="B1151" s="107">
        <f>'1_入力シート【基本情報】'!$AR$465</f>
        <v>0</v>
      </c>
      <c r="C1151" s="4" t="str">
        <f t="shared" si="195"/>
        <v/>
      </c>
      <c r="D1151" s="107">
        <f>'1_入力シート【基本情報】'!$AR$465</f>
        <v>0</v>
      </c>
      <c r="E1151" s="564">
        <f>'1_入力シート【基本情報】'!$AR$465</f>
        <v>0</v>
      </c>
      <c r="F1151" s="564" t="str">
        <f t="shared" si="188"/>
        <v>0</v>
      </c>
      <c r="G1151" s="24"/>
      <c r="H1151" s="565">
        <v>23</v>
      </c>
      <c r="I1151" s="334" t="s">
        <v>33</v>
      </c>
      <c r="J1151" s="357" t="s">
        <v>1407</v>
      </c>
      <c r="K1151" s="322" t="s">
        <v>113</v>
      </c>
      <c r="L1151" s="358" t="s">
        <v>1407</v>
      </c>
      <c r="M1151" s="325" t="s">
        <v>2153</v>
      </c>
      <c r="N1151" s="358" t="s">
        <v>1407</v>
      </c>
      <c r="O1151" s="326" t="s">
        <v>30</v>
      </c>
      <c r="P1151" s="332"/>
      <c r="Q1151" s="363"/>
      <c r="R1151" s="203"/>
      <c r="S1151" s="203"/>
      <c r="T1151" s="13" t="str">
        <f t="shared" si="192"/>
        <v>23調査結果-避難施設等-5（40）-調査者番号</v>
      </c>
      <c r="V1151" s="202"/>
      <c r="W1151" s="202"/>
      <c r="X1151" s="202"/>
    </row>
    <row r="1152" spans="2:24">
      <c r="B1152" s="107">
        <f>'1_入力シート【基本情報】'!$AT$465</f>
        <v>0</v>
      </c>
      <c r="C1152" s="4" t="str">
        <f t="shared" si="195"/>
        <v/>
      </c>
      <c r="D1152" s="107">
        <f>'1_入力シート【基本情報】'!$AT$465</f>
        <v>0</v>
      </c>
      <c r="E1152" s="564">
        <f>'1_入力シート【基本情報】'!$AT$465</f>
        <v>0</v>
      </c>
      <c r="F1152" s="564" t="str">
        <f t="shared" si="188"/>
        <v>0</v>
      </c>
      <c r="G1152" s="24"/>
      <c r="H1152" s="565">
        <v>23</v>
      </c>
      <c r="I1152" s="334" t="s">
        <v>33</v>
      </c>
      <c r="J1152" s="357" t="s">
        <v>1407</v>
      </c>
      <c r="K1152" s="322" t="s">
        <v>113</v>
      </c>
      <c r="L1152" s="358" t="s">
        <v>1407</v>
      </c>
      <c r="M1152" s="325" t="s">
        <v>2153</v>
      </c>
      <c r="N1152" s="358" t="s">
        <v>1407</v>
      </c>
      <c r="O1152" s="326" t="s">
        <v>2028</v>
      </c>
      <c r="P1152" s="332"/>
      <c r="Q1152" s="363"/>
      <c r="R1152" s="364"/>
      <c r="S1152" s="364"/>
      <c r="T1152" s="13" t="str">
        <f t="shared" si="192"/>
        <v>23調査結果-避難施設等-5（40）-指摘の具体的内容等</v>
      </c>
      <c r="V1152" s="202"/>
      <c r="W1152" s="202"/>
      <c r="X1152" s="202"/>
    </row>
    <row r="1153" spans="2:24">
      <c r="B1153" s="107">
        <f>'1_入力シート【基本情報】'!$BD$465</f>
        <v>0</v>
      </c>
      <c r="C1153" s="4" t="str">
        <f t="shared" si="195"/>
        <v/>
      </c>
      <c r="D1153" s="107">
        <f>'1_入力シート【基本情報】'!$BD$465</f>
        <v>0</v>
      </c>
      <c r="E1153" s="564">
        <f>'1_入力シート【基本情報】'!$BD$465</f>
        <v>0</v>
      </c>
      <c r="F1153" s="564" t="str">
        <f t="shared" si="188"/>
        <v>0</v>
      </c>
      <c r="G1153" s="24"/>
      <c r="H1153" s="565">
        <v>23</v>
      </c>
      <c r="I1153" s="334" t="s">
        <v>33</v>
      </c>
      <c r="J1153" s="357" t="s">
        <v>1407</v>
      </c>
      <c r="K1153" s="322" t="s">
        <v>113</v>
      </c>
      <c r="L1153" s="358" t="s">
        <v>1407</v>
      </c>
      <c r="M1153" s="325" t="s">
        <v>2153</v>
      </c>
      <c r="N1153" s="358" t="s">
        <v>1407</v>
      </c>
      <c r="O1153" s="334" t="s">
        <v>2029</v>
      </c>
      <c r="P1153" s="332"/>
      <c r="Q1153" s="363"/>
      <c r="R1153" s="364"/>
      <c r="S1153" s="364"/>
      <c r="T1153" s="13" t="str">
        <f t="shared" si="192"/>
        <v>23調査結果-避難施設等-5（40）-改善策の具体的内容等</v>
      </c>
      <c r="V1153" s="202"/>
      <c r="W1153" s="202"/>
      <c r="X1153" s="202"/>
    </row>
    <row r="1154" spans="2:24" ht="19">
      <c r="B1154" s="107">
        <f>'1_入力シート【基本情報】'!$BS$465</f>
        <v>0</v>
      </c>
      <c r="C1154" s="493" t="str">
        <f t="shared" ref="C1154:E1155" si="199">ASC($D1154)</f>
        <v>0</v>
      </c>
      <c r="D1154" s="107">
        <f>'1_入力シート【基本情報】'!$BS$465</f>
        <v>0</v>
      </c>
      <c r="E1154" s="7" t="str">
        <f t="shared" si="199"/>
        <v>0</v>
      </c>
      <c r="F1154" s="7" t="str">
        <f t="shared" si="188"/>
        <v>0</v>
      </c>
      <c r="G1154" s="24"/>
      <c r="H1154" s="565">
        <v>23</v>
      </c>
      <c r="I1154" s="334" t="s">
        <v>33</v>
      </c>
      <c r="J1154" s="357" t="s">
        <v>1407</v>
      </c>
      <c r="K1154" s="322" t="s">
        <v>113</v>
      </c>
      <c r="L1154" s="358" t="s">
        <v>1407</v>
      </c>
      <c r="M1154" s="325" t="s">
        <v>2153</v>
      </c>
      <c r="N1154" s="358" t="s">
        <v>1407</v>
      </c>
      <c r="O1154" s="334" t="s">
        <v>387</v>
      </c>
      <c r="P1154" s="332" t="s">
        <v>1879</v>
      </c>
      <c r="Q1154" s="363" t="s">
        <v>1966</v>
      </c>
      <c r="R1154" s="364"/>
      <c r="S1154" s="364"/>
      <c r="T1154" s="13" t="str">
        <f t="shared" si="192"/>
        <v>23調査結果-避難施設等-5（40）-改善（予定）年月-年（令和）</v>
      </c>
      <c r="V1154" s="202"/>
      <c r="W1154" s="202"/>
      <c r="X1154" s="202"/>
    </row>
    <row r="1155" spans="2:24" ht="19">
      <c r="B1155" s="107">
        <f>'1_入力シート【基本情報】'!$BV$465</f>
        <v>0</v>
      </c>
      <c r="C1155" s="493" t="str">
        <f t="shared" si="199"/>
        <v>0</v>
      </c>
      <c r="D1155" s="107">
        <f>'1_入力シート【基本情報】'!$BV$465</f>
        <v>0</v>
      </c>
      <c r="E1155" s="7" t="str">
        <f t="shared" si="199"/>
        <v>0</v>
      </c>
      <c r="F1155" s="7" t="str">
        <f t="shared" si="188"/>
        <v>0</v>
      </c>
      <c r="G1155" s="24"/>
      <c r="H1155" s="565">
        <v>23</v>
      </c>
      <c r="I1155" s="334" t="s">
        <v>33</v>
      </c>
      <c r="J1155" s="357" t="s">
        <v>1407</v>
      </c>
      <c r="K1155" s="322" t="s">
        <v>113</v>
      </c>
      <c r="L1155" s="358" t="s">
        <v>1407</v>
      </c>
      <c r="M1155" s="325" t="s">
        <v>2153</v>
      </c>
      <c r="N1155" s="358" t="s">
        <v>1407</v>
      </c>
      <c r="O1155" s="334" t="s">
        <v>387</v>
      </c>
      <c r="P1155" s="332" t="s">
        <v>1879</v>
      </c>
      <c r="Q1155" s="363" t="s">
        <v>383</v>
      </c>
      <c r="R1155" s="364"/>
      <c r="S1155" s="364"/>
      <c r="T1155" s="13" t="str">
        <f t="shared" si="192"/>
        <v>23調査結果-避難施設等-5（40）-改善（予定）年月-月</v>
      </c>
      <c r="V1155" s="202"/>
      <c r="W1155" s="202"/>
      <c r="X1155" s="202"/>
    </row>
    <row r="1156" spans="2:24">
      <c r="B1156" s="107">
        <f>'1_入力シート【基本情報】'!$BY$465</f>
        <v>0</v>
      </c>
      <c r="C1156" s="4" t="str">
        <f t="shared" si="195"/>
        <v/>
      </c>
      <c r="D1156" s="107">
        <f>'1_入力シート【基本情報】'!$BY$465</f>
        <v>0</v>
      </c>
      <c r="E1156" s="564">
        <f>'1_入力シート【基本情報】'!$BY$465</f>
        <v>0</v>
      </c>
      <c r="F1156" s="564" t="str">
        <f t="shared" si="188"/>
        <v>0</v>
      </c>
      <c r="G1156" s="24"/>
      <c r="H1156" s="565">
        <v>23</v>
      </c>
      <c r="I1156" s="334" t="s">
        <v>33</v>
      </c>
      <c r="J1156" s="357" t="s">
        <v>1407</v>
      </c>
      <c r="K1156" s="322" t="s">
        <v>113</v>
      </c>
      <c r="L1156" s="358" t="s">
        <v>1407</v>
      </c>
      <c r="M1156" s="325" t="s">
        <v>2153</v>
      </c>
      <c r="N1156" s="358" t="s">
        <v>1407</v>
      </c>
      <c r="O1156" s="326" t="s">
        <v>387</v>
      </c>
      <c r="P1156" s="327" t="s">
        <v>1879</v>
      </c>
      <c r="Q1156" s="336" t="s">
        <v>675</v>
      </c>
      <c r="R1156" s="364"/>
      <c r="S1156" s="364"/>
      <c r="T1156" s="13" t="str">
        <f t="shared" si="192"/>
        <v>23調査結果-避難施設等-5（40）-改善（予定）年月-未定</v>
      </c>
      <c r="V1156" s="202"/>
      <c r="W1156" s="202"/>
      <c r="X1156" s="202"/>
    </row>
    <row r="1157" spans="2:24">
      <c r="B1157" s="107">
        <f>'1_入力シート【基本情報】'!$AF$475</f>
        <v>0</v>
      </c>
      <c r="C1157" s="4" t="str">
        <f t="shared" si="195"/>
        <v/>
      </c>
      <c r="D1157" s="107" t="str">
        <f>C1157</f>
        <v/>
      </c>
      <c r="E1157" s="564" t="str">
        <f>D1157</f>
        <v/>
      </c>
      <c r="F1157" s="564" t="str">
        <f t="shared" ref="F1157:F1220" si="200">SUBSTITUTE(E1157,CHAR(10),"")</f>
        <v/>
      </c>
      <c r="G1157" s="24"/>
      <c r="H1157" s="565">
        <v>23</v>
      </c>
      <c r="I1157" s="334" t="s">
        <v>33</v>
      </c>
      <c r="J1157" s="357" t="s">
        <v>1407</v>
      </c>
      <c r="K1157" s="322" t="s">
        <v>144</v>
      </c>
      <c r="L1157" s="358" t="s">
        <v>1407</v>
      </c>
      <c r="M1157" s="325" t="s">
        <v>2154</v>
      </c>
      <c r="N1157" s="358" t="s">
        <v>1407</v>
      </c>
      <c r="O1157" s="326" t="s">
        <v>33</v>
      </c>
      <c r="P1157" s="332"/>
      <c r="Q1157" s="363"/>
      <c r="R1157" s="364"/>
      <c r="S1157" s="364"/>
      <c r="T1157" s="13" t="str">
        <f t="shared" si="192"/>
        <v>23調査結果-その他-6（1）-調査結果</v>
      </c>
      <c r="V1157" s="202"/>
      <c r="W1157" s="202"/>
      <c r="X1157" s="202"/>
    </row>
    <row r="1158" spans="2:24">
      <c r="B1158" s="107">
        <f>'1_入力シート【基本情報】'!$AR$475</f>
        <v>0</v>
      </c>
      <c r="C1158" s="4" t="str">
        <f t="shared" si="195"/>
        <v/>
      </c>
      <c r="D1158" s="107">
        <f>'1_入力シート【基本情報】'!$AR$475</f>
        <v>0</v>
      </c>
      <c r="E1158" s="564">
        <f>'1_入力シート【基本情報】'!$AR$475</f>
        <v>0</v>
      </c>
      <c r="F1158" s="564" t="str">
        <f t="shared" si="200"/>
        <v>0</v>
      </c>
      <c r="G1158" s="24"/>
      <c r="H1158" s="565">
        <v>23</v>
      </c>
      <c r="I1158" s="334" t="s">
        <v>33</v>
      </c>
      <c r="J1158" s="357" t="s">
        <v>1407</v>
      </c>
      <c r="K1158" s="322" t="s">
        <v>144</v>
      </c>
      <c r="L1158" s="358" t="s">
        <v>1407</v>
      </c>
      <c r="M1158" s="325" t="s">
        <v>2154</v>
      </c>
      <c r="N1158" s="358" t="s">
        <v>1407</v>
      </c>
      <c r="O1158" s="326" t="s">
        <v>30</v>
      </c>
      <c r="P1158" s="332"/>
      <c r="Q1158" s="363"/>
      <c r="R1158" s="364"/>
      <c r="S1158" s="364"/>
      <c r="T1158" s="13" t="str">
        <f t="shared" si="192"/>
        <v>23調査結果-その他-6（1）-調査者番号</v>
      </c>
      <c r="V1158" s="202"/>
      <c r="W1158" s="202"/>
      <c r="X1158" s="202"/>
    </row>
    <row r="1159" spans="2:24">
      <c r="B1159" s="503">
        <f>'1_入力シート【基本情報】'!$AT$475</f>
        <v>0</v>
      </c>
      <c r="C1159" s="4" t="str">
        <f t="shared" si="195"/>
        <v/>
      </c>
      <c r="D1159" s="503">
        <f>'1_入力シート【基本情報】'!$AT$475</f>
        <v>0</v>
      </c>
      <c r="E1159" s="576">
        <f>'1_入力シート【基本情報】'!$AT$475</f>
        <v>0</v>
      </c>
      <c r="F1159" s="576" t="str">
        <f t="shared" si="200"/>
        <v>0</v>
      </c>
      <c r="G1159" s="24"/>
      <c r="H1159" s="565">
        <v>23</v>
      </c>
      <c r="I1159" s="334" t="s">
        <v>33</v>
      </c>
      <c r="J1159" s="357" t="s">
        <v>1407</v>
      </c>
      <c r="K1159" s="322" t="s">
        <v>144</v>
      </c>
      <c r="L1159" s="358" t="s">
        <v>1407</v>
      </c>
      <c r="M1159" s="325" t="s">
        <v>2154</v>
      </c>
      <c r="N1159" s="358" t="s">
        <v>1407</v>
      </c>
      <c r="O1159" s="326" t="s">
        <v>2028</v>
      </c>
      <c r="P1159" s="332"/>
      <c r="Q1159" s="363"/>
      <c r="R1159" s="203"/>
      <c r="S1159" s="203"/>
      <c r="T1159" s="13" t="str">
        <f t="shared" si="192"/>
        <v>23調査結果-その他-6（1）-指摘の具体的内容等</v>
      </c>
      <c r="V1159" s="202"/>
      <c r="W1159" s="202"/>
      <c r="X1159" s="202"/>
    </row>
    <row r="1160" spans="2:24">
      <c r="B1160" s="107">
        <f>'1_入力シート【基本情報】'!$BD$475</f>
        <v>0</v>
      </c>
      <c r="C1160" s="4" t="str">
        <f t="shared" si="195"/>
        <v/>
      </c>
      <c r="D1160" s="107">
        <f>'1_入力シート【基本情報】'!$BD$475</f>
        <v>0</v>
      </c>
      <c r="E1160" s="564">
        <f>'1_入力シート【基本情報】'!$BD$475</f>
        <v>0</v>
      </c>
      <c r="F1160" s="564" t="str">
        <f t="shared" si="200"/>
        <v>0</v>
      </c>
      <c r="G1160" s="24"/>
      <c r="H1160" s="565">
        <v>23</v>
      </c>
      <c r="I1160" s="334" t="s">
        <v>33</v>
      </c>
      <c r="J1160" s="357" t="s">
        <v>1407</v>
      </c>
      <c r="K1160" s="322" t="s">
        <v>144</v>
      </c>
      <c r="L1160" s="358" t="s">
        <v>1407</v>
      </c>
      <c r="M1160" s="325" t="s">
        <v>2154</v>
      </c>
      <c r="N1160" s="358" t="s">
        <v>1407</v>
      </c>
      <c r="O1160" s="326" t="s">
        <v>2029</v>
      </c>
      <c r="P1160" s="332"/>
      <c r="Q1160" s="363"/>
      <c r="R1160" s="364"/>
      <c r="S1160" s="364"/>
      <c r="T1160" s="13" t="str">
        <f t="shared" si="192"/>
        <v>23調査結果-その他-6（1）-改善策の具体的内容等</v>
      </c>
      <c r="V1160" s="202"/>
      <c r="W1160" s="202"/>
      <c r="X1160" s="202"/>
    </row>
    <row r="1161" spans="2:24" ht="19">
      <c r="B1161" s="107">
        <f>'1_入力シート【基本情報】'!$BS$475</f>
        <v>0</v>
      </c>
      <c r="C1161" s="493" t="str">
        <f t="shared" ref="C1161:E1162" si="201">ASC($D1161)</f>
        <v>0</v>
      </c>
      <c r="D1161" s="107">
        <f>'1_入力シート【基本情報】'!$BS$475</f>
        <v>0</v>
      </c>
      <c r="E1161" s="7" t="str">
        <f t="shared" si="201"/>
        <v>0</v>
      </c>
      <c r="F1161" s="7" t="str">
        <f t="shared" si="200"/>
        <v>0</v>
      </c>
      <c r="G1161" s="24"/>
      <c r="H1161" s="565">
        <v>23</v>
      </c>
      <c r="I1161" s="334" t="s">
        <v>33</v>
      </c>
      <c r="J1161" s="357" t="s">
        <v>1407</v>
      </c>
      <c r="K1161" s="322" t="s">
        <v>144</v>
      </c>
      <c r="L1161" s="358" t="s">
        <v>1407</v>
      </c>
      <c r="M1161" s="325" t="s">
        <v>2154</v>
      </c>
      <c r="N1161" s="358" t="s">
        <v>1407</v>
      </c>
      <c r="O1161" s="334" t="s">
        <v>387</v>
      </c>
      <c r="P1161" s="332" t="s">
        <v>1879</v>
      </c>
      <c r="Q1161" s="363" t="s">
        <v>1966</v>
      </c>
      <c r="R1161" s="364"/>
      <c r="S1161" s="364"/>
      <c r="T1161" s="13" t="str">
        <f t="shared" si="192"/>
        <v>23調査結果-その他-6（1）-改善（予定）年月-年（令和）</v>
      </c>
      <c r="V1161" s="202"/>
      <c r="W1161" s="202"/>
      <c r="X1161" s="202"/>
    </row>
    <row r="1162" spans="2:24" ht="19">
      <c r="B1162" s="107">
        <f>'1_入力シート【基本情報】'!$BV$475</f>
        <v>0</v>
      </c>
      <c r="C1162" s="493" t="str">
        <f t="shared" si="201"/>
        <v>0</v>
      </c>
      <c r="D1162" s="107">
        <f>'1_入力シート【基本情報】'!$BV$475</f>
        <v>0</v>
      </c>
      <c r="E1162" s="7" t="str">
        <f t="shared" si="201"/>
        <v>0</v>
      </c>
      <c r="F1162" s="7" t="str">
        <f t="shared" si="200"/>
        <v>0</v>
      </c>
      <c r="G1162" s="24"/>
      <c r="H1162" s="565">
        <v>23</v>
      </c>
      <c r="I1162" s="334" t="s">
        <v>33</v>
      </c>
      <c r="J1162" s="357" t="s">
        <v>1407</v>
      </c>
      <c r="K1162" s="322" t="s">
        <v>144</v>
      </c>
      <c r="L1162" s="358" t="s">
        <v>1407</v>
      </c>
      <c r="M1162" s="325" t="s">
        <v>2154</v>
      </c>
      <c r="N1162" s="358" t="s">
        <v>1407</v>
      </c>
      <c r="O1162" s="334" t="s">
        <v>387</v>
      </c>
      <c r="P1162" s="332" t="s">
        <v>1879</v>
      </c>
      <c r="Q1162" s="363" t="s">
        <v>383</v>
      </c>
      <c r="R1162" s="364"/>
      <c r="S1162" s="364"/>
      <c r="T1162" s="13" t="str">
        <f t="shared" si="192"/>
        <v>23調査結果-その他-6（1）-改善（予定）年月-月</v>
      </c>
      <c r="V1162" s="202"/>
      <c r="W1162" s="202"/>
      <c r="X1162" s="202"/>
    </row>
    <row r="1163" spans="2:24">
      <c r="B1163" s="107">
        <f>'1_入力シート【基本情報】'!$BY$475</f>
        <v>0</v>
      </c>
      <c r="C1163" s="4" t="str">
        <f t="shared" si="195"/>
        <v/>
      </c>
      <c r="D1163" s="107">
        <f>'1_入力シート【基本情報】'!$BY$475</f>
        <v>0</v>
      </c>
      <c r="E1163" s="564">
        <f>'1_入力シート【基本情報】'!$BY$475</f>
        <v>0</v>
      </c>
      <c r="F1163" s="564" t="str">
        <f t="shared" si="200"/>
        <v>0</v>
      </c>
      <c r="G1163" s="24"/>
      <c r="H1163" s="565">
        <v>23</v>
      </c>
      <c r="I1163" s="334" t="s">
        <v>33</v>
      </c>
      <c r="J1163" s="357" t="s">
        <v>1407</v>
      </c>
      <c r="K1163" s="322" t="s">
        <v>144</v>
      </c>
      <c r="L1163" s="358" t="s">
        <v>1407</v>
      </c>
      <c r="M1163" s="325" t="s">
        <v>2154</v>
      </c>
      <c r="N1163" s="358" t="s">
        <v>1407</v>
      </c>
      <c r="O1163" s="334" t="s">
        <v>387</v>
      </c>
      <c r="P1163" s="332" t="s">
        <v>1879</v>
      </c>
      <c r="Q1163" s="363" t="s">
        <v>675</v>
      </c>
      <c r="R1163" s="364"/>
      <c r="S1163" s="364"/>
      <c r="T1163" s="13" t="str">
        <f t="shared" si="192"/>
        <v>23調査結果-その他-6（1）-改善（予定）年月-未定</v>
      </c>
      <c r="V1163" s="202"/>
      <c r="W1163" s="202"/>
      <c r="X1163" s="202"/>
    </row>
    <row r="1164" spans="2:24">
      <c r="B1164" s="107">
        <f>'1_入力シート【基本情報】'!$AF$476</f>
        <v>0</v>
      </c>
      <c r="C1164" s="4" t="str">
        <f t="shared" si="195"/>
        <v/>
      </c>
      <c r="D1164" s="107" t="str">
        <f>C1164</f>
        <v/>
      </c>
      <c r="E1164" s="564" t="str">
        <f>D1164</f>
        <v/>
      </c>
      <c r="F1164" s="564" t="str">
        <f t="shared" si="200"/>
        <v/>
      </c>
      <c r="G1164" s="24"/>
      <c r="H1164" s="565">
        <v>23</v>
      </c>
      <c r="I1164" s="334" t="s">
        <v>33</v>
      </c>
      <c r="J1164" s="357" t="s">
        <v>1407</v>
      </c>
      <c r="K1164" s="322" t="s">
        <v>144</v>
      </c>
      <c r="L1164" s="358" t="s">
        <v>1407</v>
      </c>
      <c r="M1164" s="325" t="s">
        <v>2155</v>
      </c>
      <c r="N1164" s="358" t="s">
        <v>1407</v>
      </c>
      <c r="O1164" s="326" t="s">
        <v>33</v>
      </c>
      <c r="P1164" s="327"/>
      <c r="Q1164" s="336"/>
      <c r="R1164" s="364"/>
      <c r="S1164" s="364"/>
      <c r="T1164" s="13" t="str">
        <f t="shared" si="192"/>
        <v>23調査結果-その他-6（2）-調査結果</v>
      </c>
      <c r="V1164" s="202"/>
      <c r="W1164" s="202"/>
      <c r="X1164" s="202"/>
    </row>
    <row r="1165" spans="2:24">
      <c r="B1165" s="107">
        <f>'1_入力シート【基本情報】'!$AR$476</f>
        <v>0</v>
      </c>
      <c r="C1165" s="4" t="str">
        <f t="shared" si="195"/>
        <v/>
      </c>
      <c r="D1165" s="107">
        <f>'1_入力シート【基本情報】'!$AR$476</f>
        <v>0</v>
      </c>
      <c r="E1165" s="564">
        <f>'1_入力シート【基本情報】'!$AR$476</f>
        <v>0</v>
      </c>
      <c r="F1165" s="564" t="str">
        <f t="shared" si="200"/>
        <v>0</v>
      </c>
      <c r="G1165" s="24"/>
      <c r="H1165" s="565">
        <v>23</v>
      </c>
      <c r="I1165" s="334" t="s">
        <v>33</v>
      </c>
      <c r="J1165" s="357" t="s">
        <v>1407</v>
      </c>
      <c r="K1165" s="322" t="s">
        <v>144</v>
      </c>
      <c r="L1165" s="358" t="s">
        <v>1407</v>
      </c>
      <c r="M1165" s="325" t="s">
        <v>2155</v>
      </c>
      <c r="N1165" s="358" t="s">
        <v>1407</v>
      </c>
      <c r="O1165" s="326" t="s">
        <v>30</v>
      </c>
      <c r="P1165" s="332"/>
      <c r="Q1165" s="363"/>
      <c r="R1165" s="364"/>
      <c r="S1165" s="364"/>
      <c r="T1165" s="13" t="str">
        <f t="shared" si="192"/>
        <v>23調査結果-その他-6（2）-調査者番号</v>
      </c>
      <c r="V1165" s="202"/>
      <c r="W1165" s="202"/>
      <c r="X1165" s="202"/>
    </row>
    <row r="1166" spans="2:24">
      <c r="B1166" s="107">
        <f>'1_入力シート【基本情報】'!$AT$476</f>
        <v>0</v>
      </c>
      <c r="C1166" s="4" t="str">
        <f t="shared" si="195"/>
        <v/>
      </c>
      <c r="D1166" s="107">
        <f>'1_入力シート【基本情報】'!$AT$476</f>
        <v>0</v>
      </c>
      <c r="E1166" s="564">
        <f>'1_入力シート【基本情報】'!$AT$476</f>
        <v>0</v>
      </c>
      <c r="F1166" s="564" t="str">
        <f t="shared" si="200"/>
        <v>0</v>
      </c>
      <c r="G1166" s="24"/>
      <c r="H1166" s="565">
        <v>23</v>
      </c>
      <c r="I1166" s="334" t="s">
        <v>33</v>
      </c>
      <c r="J1166" s="357" t="s">
        <v>1407</v>
      </c>
      <c r="K1166" s="322" t="s">
        <v>144</v>
      </c>
      <c r="L1166" s="358" t="s">
        <v>1407</v>
      </c>
      <c r="M1166" s="325" t="s">
        <v>2155</v>
      </c>
      <c r="N1166" s="358" t="s">
        <v>1407</v>
      </c>
      <c r="O1166" s="326" t="s">
        <v>2028</v>
      </c>
      <c r="P1166" s="332"/>
      <c r="Q1166" s="363"/>
      <c r="R1166" s="364"/>
      <c r="S1166" s="364"/>
      <c r="T1166" s="13" t="str">
        <f t="shared" si="192"/>
        <v>23調査結果-その他-6（2）-指摘の具体的内容等</v>
      </c>
      <c r="V1166" s="202"/>
      <c r="W1166" s="202"/>
      <c r="X1166" s="202"/>
    </row>
    <row r="1167" spans="2:24">
      <c r="B1167" s="107">
        <f>'1_入力シート【基本情報】'!$BD$476</f>
        <v>0</v>
      </c>
      <c r="C1167" s="4" t="str">
        <f t="shared" si="195"/>
        <v/>
      </c>
      <c r="D1167" s="107">
        <f>'1_入力シート【基本情報】'!$BD$476</f>
        <v>0</v>
      </c>
      <c r="E1167" s="564">
        <f>'1_入力シート【基本情報】'!$BD$476</f>
        <v>0</v>
      </c>
      <c r="F1167" s="564" t="str">
        <f t="shared" si="200"/>
        <v>0</v>
      </c>
      <c r="G1167" s="24"/>
      <c r="H1167" s="565">
        <v>23</v>
      </c>
      <c r="I1167" s="334" t="s">
        <v>33</v>
      </c>
      <c r="J1167" s="357" t="s">
        <v>1407</v>
      </c>
      <c r="K1167" s="322" t="s">
        <v>144</v>
      </c>
      <c r="L1167" s="358" t="s">
        <v>1407</v>
      </c>
      <c r="M1167" s="325" t="s">
        <v>2155</v>
      </c>
      <c r="N1167" s="358" t="s">
        <v>1407</v>
      </c>
      <c r="O1167" s="326" t="s">
        <v>2029</v>
      </c>
      <c r="P1167" s="332"/>
      <c r="Q1167" s="363"/>
      <c r="R1167" s="203"/>
      <c r="S1167" s="203"/>
      <c r="T1167" s="13" t="str">
        <f t="shared" si="192"/>
        <v>23調査結果-その他-6（2）-改善策の具体的内容等</v>
      </c>
      <c r="V1167" s="202"/>
      <c r="W1167" s="202"/>
      <c r="X1167" s="202"/>
    </row>
    <row r="1168" spans="2:24" ht="19">
      <c r="B1168" s="107">
        <f>'1_入力シート【基本情報】'!$BS$476</f>
        <v>0</v>
      </c>
      <c r="C1168" s="493" t="str">
        <f t="shared" ref="C1168:E1169" si="202">ASC($D1168)</f>
        <v>0</v>
      </c>
      <c r="D1168" s="107">
        <f>'1_入力シート【基本情報】'!$BS$476</f>
        <v>0</v>
      </c>
      <c r="E1168" s="7" t="str">
        <f t="shared" si="202"/>
        <v>0</v>
      </c>
      <c r="F1168" s="7" t="str">
        <f t="shared" si="200"/>
        <v>0</v>
      </c>
      <c r="G1168" s="24"/>
      <c r="H1168" s="565">
        <v>23</v>
      </c>
      <c r="I1168" s="334" t="s">
        <v>33</v>
      </c>
      <c r="J1168" s="357" t="s">
        <v>1407</v>
      </c>
      <c r="K1168" s="322" t="s">
        <v>144</v>
      </c>
      <c r="L1168" s="358" t="s">
        <v>1407</v>
      </c>
      <c r="M1168" s="325" t="s">
        <v>2155</v>
      </c>
      <c r="N1168" s="358" t="s">
        <v>1407</v>
      </c>
      <c r="O1168" s="326" t="s">
        <v>387</v>
      </c>
      <c r="P1168" s="332" t="s">
        <v>1879</v>
      </c>
      <c r="Q1168" s="363" t="s">
        <v>1966</v>
      </c>
      <c r="R1168" s="364"/>
      <c r="S1168" s="364"/>
      <c r="T1168" s="13" t="str">
        <f t="shared" si="192"/>
        <v>23調査結果-その他-6（2）-改善（予定）年月-年（令和）</v>
      </c>
      <c r="V1168" s="202"/>
      <c r="W1168" s="202"/>
      <c r="X1168" s="202"/>
    </row>
    <row r="1169" spans="2:24" ht="19">
      <c r="B1169" s="107">
        <f>'1_入力シート【基本情報】'!$BV$476</f>
        <v>0</v>
      </c>
      <c r="C1169" s="493" t="str">
        <f t="shared" si="202"/>
        <v>0</v>
      </c>
      <c r="D1169" s="107">
        <f>'1_入力シート【基本情報】'!$BV$476</f>
        <v>0</v>
      </c>
      <c r="E1169" s="7" t="str">
        <f t="shared" si="202"/>
        <v>0</v>
      </c>
      <c r="F1169" s="7" t="str">
        <f t="shared" si="200"/>
        <v>0</v>
      </c>
      <c r="G1169" s="24"/>
      <c r="H1169" s="565">
        <v>23</v>
      </c>
      <c r="I1169" s="334" t="s">
        <v>33</v>
      </c>
      <c r="J1169" s="357" t="s">
        <v>1407</v>
      </c>
      <c r="K1169" s="322" t="s">
        <v>144</v>
      </c>
      <c r="L1169" s="358" t="s">
        <v>1407</v>
      </c>
      <c r="M1169" s="325" t="s">
        <v>2155</v>
      </c>
      <c r="N1169" s="358" t="s">
        <v>1407</v>
      </c>
      <c r="O1169" s="334" t="s">
        <v>387</v>
      </c>
      <c r="P1169" s="332" t="s">
        <v>1879</v>
      </c>
      <c r="Q1169" s="363" t="s">
        <v>383</v>
      </c>
      <c r="R1169" s="364"/>
      <c r="S1169" s="364"/>
      <c r="T1169" s="13" t="str">
        <f t="shared" si="192"/>
        <v>23調査結果-その他-6（2）-改善（予定）年月-月</v>
      </c>
      <c r="V1169" s="202"/>
      <c r="W1169" s="202"/>
      <c r="X1169" s="202"/>
    </row>
    <row r="1170" spans="2:24">
      <c r="B1170" s="107">
        <f>'1_入力シート【基本情報】'!$BY$476</f>
        <v>0</v>
      </c>
      <c r="C1170" s="4" t="str">
        <f t="shared" si="195"/>
        <v/>
      </c>
      <c r="D1170" s="107">
        <f>'1_入力シート【基本情報】'!$BY$476</f>
        <v>0</v>
      </c>
      <c r="E1170" s="564">
        <f>'1_入力シート【基本情報】'!$BY$476</f>
        <v>0</v>
      </c>
      <c r="F1170" s="564" t="str">
        <f t="shared" si="200"/>
        <v>0</v>
      </c>
      <c r="G1170" s="24"/>
      <c r="H1170" s="565">
        <v>23</v>
      </c>
      <c r="I1170" s="334" t="s">
        <v>33</v>
      </c>
      <c r="J1170" s="357" t="s">
        <v>1407</v>
      </c>
      <c r="K1170" s="322" t="s">
        <v>144</v>
      </c>
      <c r="L1170" s="358" t="s">
        <v>1407</v>
      </c>
      <c r="M1170" s="325" t="s">
        <v>2155</v>
      </c>
      <c r="N1170" s="358" t="s">
        <v>1407</v>
      </c>
      <c r="O1170" s="334" t="s">
        <v>387</v>
      </c>
      <c r="P1170" s="332" t="s">
        <v>1879</v>
      </c>
      <c r="Q1170" s="363" t="s">
        <v>675</v>
      </c>
      <c r="R1170" s="364"/>
      <c r="S1170" s="364"/>
      <c r="T1170" s="13" t="str">
        <f t="shared" si="192"/>
        <v>23調査結果-その他-6（2）-改善（予定）年月-未定</v>
      </c>
      <c r="V1170" s="202"/>
      <c r="W1170" s="202"/>
      <c r="X1170" s="202"/>
    </row>
    <row r="1171" spans="2:24">
      <c r="B1171" s="107">
        <f>'1_入力シート【基本情報】'!$AF$477</f>
        <v>0</v>
      </c>
      <c r="C1171" s="4" t="str">
        <f t="shared" si="195"/>
        <v/>
      </c>
      <c r="D1171" s="107" t="str">
        <f>C1171</f>
        <v/>
      </c>
      <c r="E1171" s="564" t="str">
        <f>D1171</f>
        <v/>
      </c>
      <c r="F1171" s="564" t="str">
        <f t="shared" si="200"/>
        <v/>
      </c>
      <c r="G1171" s="24"/>
      <c r="H1171" s="565">
        <v>23</v>
      </c>
      <c r="I1171" s="334" t="s">
        <v>33</v>
      </c>
      <c r="J1171" s="357" t="s">
        <v>1407</v>
      </c>
      <c r="K1171" s="322" t="s">
        <v>144</v>
      </c>
      <c r="L1171" s="358" t="s">
        <v>1407</v>
      </c>
      <c r="M1171" s="325" t="s">
        <v>2156</v>
      </c>
      <c r="N1171" s="358" t="s">
        <v>1407</v>
      </c>
      <c r="O1171" s="334" t="s">
        <v>33</v>
      </c>
      <c r="P1171" s="332"/>
      <c r="Q1171" s="363"/>
      <c r="R1171" s="364"/>
      <c r="S1171" s="364"/>
      <c r="T1171" s="13" t="str">
        <f t="shared" si="192"/>
        <v>23調査結果-その他-6（3）-調査結果</v>
      </c>
      <c r="V1171" s="202"/>
      <c r="W1171" s="202"/>
      <c r="X1171" s="202"/>
    </row>
    <row r="1172" spans="2:24">
      <c r="B1172" s="107">
        <f>'1_入力シート【基本情報】'!$AR$477</f>
        <v>0</v>
      </c>
      <c r="C1172" s="4" t="str">
        <f t="shared" si="195"/>
        <v/>
      </c>
      <c r="D1172" s="107">
        <f>'1_入力シート【基本情報】'!$AR$477</f>
        <v>0</v>
      </c>
      <c r="E1172" s="564">
        <f>'1_入力シート【基本情報】'!$AR$477</f>
        <v>0</v>
      </c>
      <c r="F1172" s="564" t="str">
        <f t="shared" si="200"/>
        <v>0</v>
      </c>
      <c r="G1172" s="24"/>
      <c r="H1172" s="565">
        <v>23</v>
      </c>
      <c r="I1172" s="334" t="s">
        <v>33</v>
      </c>
      <c r="J1172" s="357" t="s">
        <v>1407</v>
      </c>
      <c r="K1172" s="322" t="s">
        <v>144</v>
      </c>
      <c r="L1172" s="358" t="s">
        <v>1407</v>
      </c>
      <c r="M1172" s="325" t="s">
        <v>2156</v>
      </c>
      <c r="N1172" s="358" t="s">
        <v>1407</v>
      </c>
      <c r="O1172" s="326" t="s">
        <v>30</v>
      </c>
      <c r="P1172" s="327"/>
      <c r="Q1172" s="336"/>
      <c r="R1172" s="364"/>
      <c r="S1172" s="364"/>
      <c r="T1172" s="13" t="str">
        <f t="shared" si="192"/>
        <v>23調査結果-その他-6（3）-調査者番号</v>
      </c>
      <c r="V1172" s="202"/>
      <c r="W1172" s="202"/>
      <c r="X1172" s="202"/>
    </row>
    <row r="1173" spans="2:24">
      <c r="B1173" s="107">
        <f>'1_入力シート【基本情報】'!$AT$477</f>
        <v>0</v>
      </c>
      <c r="C1173" s="4" t="str">
        <f t="shared" si="195"/>
        <v/>
      </c>
      <c r="D1173" s="107">
        <f>'1_入力シート【基本情報】'!$AT$477</f>
        <v>0</v>
      </c>
      <c r="E1173" s="564">
        <f>'1_入力シート【基本情報】'!$AT$477</f>
        <v>0</v>
      </c>
      <c r="F1173" s="564" t="str">
        <f t="shared" si="200"/>
        <v>0</v>
      </c>
      <c r="G1173" s="24"/>
      <c r="H1173" s="565">
        <v>23</v>
      </c>
      <c r="I1173" s="334" t="s">
        <v>33</v>
      </c>
      <c r="J1173" s="357" t="s">
        <v>1407</v>
      </c>
      <c r="K1173" s="322" t="s">
        <v>144</v>
      </c>
      <c r="L1173" s="358" t="s">
        <v>1407</v>
      </c>
      <c r="M1173" s="325" t="s">
        <v>2156</v>
      </c>
      <c r="N1173" s="358" t="s">
        <v>1407</v>
      </c>
      <c r="O1173" s="326" t="s">
        <v>2028</v>
      </c>
      <c r="P1173" s="332"/>
      <c r="Q1173" s="363"/>
      <c r="R1173" s="364"/>
      <c r="S1173" s="364"/>
      <c r="T1173" s="13" t="str">
        <f t="shared" si="192"/>
        <v>23調査結果-その他-6（3）-指摘の具体的内容等</v>
      </c>
      <c r="V1173" s="202"/>
      <c r="W1173" s="202"/>
      <c r="X1173" s="202"/>
    </row>
    <row r="1174" spans="2:24">
      <c r="B1174" s="107">
        <f>'1_入力シート【基本情報】'!$BD$477</f>
        <v>0</v>
      </c>
      <c r="C1174" s="4" t="str">
        <f t="shared" si="195"/>
        <v/>
      </c>
      <c r="D1174" s="107">
        <f>'1_入力シート【基本情報】'!$BD$477</f>
        <v>0</v>
      </c>
      <c r="E1174" s="564">
        <f>'1_入力シート【基本情報】'!$BD$477</f>
        <v>0</v>
      </c>
      <c r="F1174" s="564" t="str">
        <f t="shared" si="200"/>
        <v>0</v>
      </c>
      <c r="G1174" s="24"/>
      <c r="H1174" s="565">
        <v>23</v>
      </c>
      <c r="I1174" s="334" t="s">
        <v>33</v>
      </c>
      <c r="J1174" s="357" t="s">
        <v>1407</v>
      </c>
      <c r="K1174" s="322" t="s">
        <v>144</v>
      </c>
      <c r="L1174" s="358" t="s">
        <v>1407</v>
      </c>
      <c r="M1174" s="325" t="s">
        <v>2156</v>
      </c>
      <c r="N1174" s="358" t="s">
        <v>1407</v>
      </c>
      <c r="O1174" s="326" t="s">
        <v>2029</v>
      </c>
      <c r="P1174" s="332"/>
      <c r="Q1174" s="363"/>
      <c r="R1174" s="364"/>
      <c r="S1174" s="364"/>
      <c r="T1174" s="13" t="str">
        <f t="shared" si="192"/>
        <v>23調査結果-その他-6（3）-改善策の具体的内容等</v>
      </c>
      <c r="V1174" s="202"/>
      <c r="W1174" s="202"/>
      <c r="X1174" s="202"/>
    </row>
    <row r="1175" spans="2:24" ht="19">
      <c r="B1175" s="107">
        <f>'1_入力シート【基本情報】'!$BS$477</f>
        <v>0</v>
      </c>
      <c r="C1175" s="493" t="str">
        <f t="shared" ref="C1175:E1176" si="203">ASC($D1175)</f>
        <v>0</v>
      </c>
      <c r="D1175" s="107">
        <f>'1_入力シート【基本情報】'!$BS$477</f>
        <v>0</v>
      </c>
      <c r="E1175" s="7" t="str">
        <f t="shared" si="203"/>
        <v>0</v>
      </c>
      <c r="F1175" s="7" t="str">
        <f t="shared" si="200"/>
        <v>0</v>
      </c>
      <c r="G1175" s="24"/>
      <c r="H1175" s="565">
        <v>23</v>
      </c>
      <c r="I1175" s="334" t="s">
        <v>33</v>
      </c>
      <c r="J1175" s="357" t="s">
        <v>1407</v>
      </c>
      <c r="K1175" s="322" t="s">
        <v>144</v>
      </c>
      <c r="L1175" s="358" t="s">
        <v>1407</v>
      </c>
      <c r="M1175" s="325" t="s">
        <v>2156</v>
      </c>
      <c r="N1175" s="358" t="s">
        <v>1407</v>
      </c>
      <c r="O1175" s="326" t="s">
        <v>387</v>
      </c>
      <c r="P1175" s="332" t="s">
        <v>1879</v>
      </c>
      <c r="Q1175" s="363" t="s">
        <v>1966</v>
      </c>
      <c r="R1175" s="203"/>
      <c r="S1175" s="203"/>
      <c r="T1175" s="13" t="str">
        <f t="shared" si="192"/>
        <v>23調査結果-その他-6（3）-改善（予定）年月-年（令和）</v>
      </c>
      <c r="V1175" s="202"/>
      <c r="W1175" s="202"/>
      <c r="X1175" s="202"/>
    </row>
    <row r="1176" spans="2:24" ht="19">
      <c r="B1176" s="107">
        <f>'1_入力シート【基本情報】'!$BV$477</f>
        <v>0</v>
      </c>
      <c r="C1176" s="493" t="str">
        <f t="shared" si="203"/>
        <v>0</v>
      </c>
      <c r="D1176" s="107">
        <f>'1_入力シート【基本情報】'!$BV$477</f>
        <v>0</v>
      </c>
      <c r="E1176" s="7" t="str">
        <f t="shared" si="203"/>
        <v>0</v>
      </c>
      <c r="F1176" s="7" t="str">
        <f t="shared" si="200"/>
        <v>0</v>
      </c>
      <c r="G1176" s="24"/>
      <c r="H1176" s="565">
        <v>23</v>
      </c>
      <c r="I1176" s="334" t="s">
        <v>33</v>
      </c>
      <c r="J1176" s="357" t="s">
        <v>1407</v>
      </c>
      <c r="K1176" s="322" t="s">
        <v>144</v>
      </c>
      <c r="L1176" s="358" t="s">
        <v>1407</v>
      </c>
      <c r="M1176" s="325" t="s">
        <v>2156</v>
      </c>
      <c r="N1176" s="358" t="s">
        <v>1407</v>
      </c>
      <c r="O1176" s="326" t="s">
        <v>387</v>
      </c>
      <c r="P1176" s="332" t="s">
        <v>1879</v>
      </c>
      <c r="Q1176" s="363" t="s">
        <v>383</v>
      </c>
      <c r="R1176" s="364"/>
      <c r="S1176" s="364"/>
      <c r="T1176" s="13" t="str">
        <f t="shared" si="192"/>
        <v>23調査結果-その他-6（3）-改善（予定）年月-月</v>
      </c>
      <c r="V1176" s="202"/>
      <c r="W1176" s="202"/>
      <c r="X1176" s="202"/>
    </row>
    <row r="1177" spans="2:24">
      <c r="B1177" s="107">
        <f>'1_入力シート【基本情報】'!$BY$477</f>
        <v>0</v>
      </c>
      <c r="C1177" s="4" t="str">
        <f t="shared" si="195"/>
        <v/>
      </c>
      <c r="D1177" s="107">
        <f>'1_入力シート【基本情報】'!$BY$477</f>
        <v>0</v>
      </c>
      <c r="E1177" s="564">
        <f>'1_入力シート【基本情報】'!$BY$477</f>
        <v>0</v>
      </c>
      <c r="F1177" s="564" t="str">
        <f t="shared" si="200"/>
        <v>0</v>
      </c>
      <c r="G1177" s="24"/>
      <c r="H1177" s="565">
        <v>23</v>
      </c>
      <c r="I1177" s="334" t="s">
        <v>33</v>
      </c>
      <c r="J1177" s="357" t="s">
        <v>1407</v>
      </c>
      <c r="K1177" s="322" t="s">
        <v>144</v>
      </c>
      <c r="L1177" s="358" t="s">
        <v>1407</v>
      </c>
      <c r="M1177" s="325" t="s">
        <v>2156</v>
      </c>
      <c r="N1177" s="358" t="s">
        <v>1407</v>
      </c>
      <c r="O1177" s="334" t="s">
        <v>387</v>
      </c>
      <c r="P1177" s="332" t="s">
        <v>1879</v>
      </c>
      <c r="Q1177" s="363" t="s">
        <v>675</v>
      </c>
      <c r="R1177" s="364"/>
      <c r="S1177" s="364"/>
      <c r="T1177" s="13" t="str">
        <f t="shared" ref="T1177:T1247" si="204">CONCATENATE(H1177,I1177,J1177,K1177,L1177,M1177,N1177,O1177,P1177,Q1177)</f>
        <v>23調査結果-その他-6（3）-改善（予定）年月-未定</v>
      </c>
      <c r="V1177" s="202"/>
      <c r="W1177" s="202"/>
      <c r="X1177" s="202"/>
    </row>
    <row r="1178" spans="2:24">
      <c r="B1178" s="107">
        <f>'1_入力シート【基本情報】'!$AF$478</f>
        <v>0</v>
      </c>
      <c r="C1178" s="4" t="str">
        <f t="shared" si="195"/>
        <v/>
      </c>
      <c r="D1178" s="107" t="str">
        <f>C1178</f>
        <v/>
      </c>
      <c r="E1178" s="564" t="str">
        <f>D1178</f>
        <v/>
      </c>
      <c r="F1178" s="564" t="str">
        <f t="shared" si="200"/>
        <v/>
      </c>
      <c r="G1178" s="24"/>
      <c r="H1178" s="565">
        <v>23</v>
      </c>
      <c r="I1178" s="334" t="s">
        <v>33</v>
      </c>
      <c r="J1178" s="357" t="s">
        <v>1407</v>
      </c>
      <c r="K1178" s="322" t="s">
        <v>144</v>
      </c>
      <c r="L1178" s="358" t="s">
        <v>1407</v>
      </c>
      <c r="M1178" s="325" t="s">
        <v>2157</v>
      </c>
      <c r="N1178" s="358" t="s">
        <v>1407</v>
      </c>
      <c r="O1178" s="334" t="s">
        <v>33</v>
      </c>
      <c r="P1178" s="332"/>
      <c r="Q1178" s="363"/>
      <c r="R1178" s="364"/>
      <c r="S1178" s="364"/>
      <c r="T1178" s="13" t="str">
        <f t="shared" si="204"/>
        <v>23調査結果-その他-6（4）-調査結果</v>
      </c>
      <c r="V1178" s="202"/>
      <c r="W1178" s="202"/>
      <c r="X1178" s="202"/>
    </row>
    <row r="1179" spans="2:24">
      <c r="B1179" s="107">
        <f>'1_入力シート【基本情報】'!$AR$478</f>
        <v>0</v>
      </c>
      <c r="C1179" s="4" t="str">
        <f t="shared" si="195"/>
        <v/>
      </c>
      <c r="D1179" s="107">
        <f>'1_入力シート【基本情報】'!$AR$478</f>
        <v>0</v>
      </c>
      <c r="E1179" s="564">
        <f>'1_入力シート【基本情報】'!$AR$478</f>
        <v>0</v>
      </c>
      <c r="F1179" s="564" t="str">
        <f t="shared" si="200"/>
        <v>0</v>
      </c>
      <c r="G1179" s="24"/>
      <c r="H1179" s="565">
        <v>23</v>
      </c>
      <c r="I1179" s="334" t="s">
        <v>33</v>
      </c>
      <c r="J1179" s="357" t="s">
        <v>1407</v>
      </c>
      <c r="K1179" s="322" t="s">
        <v>144</v>
      </c>
      <c r="L1179" s="358" t="s">
        <v>1407</v>
      </c>
      <c r="M1179" s="325" t="s">
        <v>2157</v>
      </c>
      <c r="N1179" s="358" t="s">
        <v>1407</v>
      </c>
      <c r="O1179" s="334" t="s">
        <v>30</v>
      </c>
      <c r="P1179" s="332"/>
      <c r="Q1179" s="363"/>
      <c r="R1179" s="364"/>
      <c r="S1179" s="364"/>
      <c r="T1179" s="13" t="str">
        <f t="shared" si="204"/>
        <v>23調査結果-その他-6（4）-調査者番号</v>
      </c>
      <c r="V1179" s="202"/>
      <c r="W1179" s="202"/>
      <c r="X1179" s="202"/>
    </row>
    <row r="1180" spans="2:24">
      <c r="B1180" s="107">
        <f>'1_入力シート【基本情報】'!$AT$478</f>
        <v>0</v>
      </c>
      <c r="C1180" s="4" t="str">
        <f t="shared" si="195"/>
        <v/>
      </c>
      <c r="D1180" s="107">
        <f>'1_入力シート【基本情報】'!$AT$478</f>
        <v>0</v>
      </c>
      <c r="E1180" s="564">
        <f>'1_入力シート【基本情報】'!$AT$478</f>
        <v>0</v>
      </c>
      <c r="F1180" s="564" t="str">
        <f t="shared" si="200"/>
        <v>0</v>
      </c>
      <c r="G1180" s="24"/>
      <c r="H1180" s="565">
        <v>23</v>
      </c>
      <c r="I1180" s="334" t="s">
        <v>33</v>
      </c>
      <c r="J1180" s="357" t="s">
        <v>1407</v>
      </c>
      <c r="K1180" s="322" t="s">
        <v>144</v>
      </c>
      <c r="L1180" s="358" t="s">
        <v>1407</v>
      </c>
      <c r="M1180" s="325" t="s">
        <v>2157</v>
      </c>
      <c r="N1180" s="358" t="s">
        <v>1407</v>
      </c>
      <c r="O1180" s="326" t="s">
        <v>2028</v>
      </c>
      <c r="P1180" s="327"/>
      <c r="Q1180" s="336"/>
      <c r="R1180" s="364"/>
      <c r="S1180" s="364"/>
      <c r="T1180" s="13" t="str">
        <f t="shared" si="204"/>
        <v>23調査結果-その他-6（4）-指摘の具体的内容等</v>
      </c>
      <c r="V1180" s="202"/>
      <c r="W1180" s="202"/>
      <c r="X1180" s="202"/>
    </row>
    <row r="1181" spans="2:24">
      <c r="B1181" s="107">
        <f>'1_入力シート【基本情報】'!$BD$478</f>
        <v>0</v>
      </c>
      <c r="C1181" s="4" t="str">
        <f t="shared" si="195"/>
        <v/>
      </c>
      <c r="D1181" s="107">
        <f>'1_入力シート【基本情報】'!$BD$478</f>
        <v>0</v>
      </c>
      <c r="E1181" s="564">
        <f>'1_入力シート【基本情報】'!$BD$478</f>
        <v>0</v>
      </c>
      <c r="F1181" s="564" t="str">
        <f t="shared" si="200"/>
        <v>0</v>
      </c>
      <c r="G1181" s="24"/>
      <c r="H1181" s="565">
        <v>23</v>
      </c>
      <c r="I1181" s="334" t="s">
        <v>33</v>
      </c>
      <c r="J1181" s="357" t="s">
        <v>1407</v>
      </c>
      <c r="K1181" s="322" t="s">
        <v>144</v>
      </c>
      <c r="L1181" s="358" t="s">
        <v>1407</v>
      </c>
      <c r="M1181" s="325" t="s">
        <v>2157</v>
      </c>
      <c r="N1181" s="358" t="s">
        <v>1407</v>
      </c>
      <c r="O1181" s="326" t="s">
        <v>2029</v>
      </c>
      <c r="P1181" s="332"/>
      <c r="Q1181" s="363"/>
      <c r="R1181" s="364"/>
      <c r="S1181" s="364"/>
      <c r="T1181" s="13" t="str">
        <f t="shared" si="204"/>
        <v>23調査結果-その他-6（4）-改善策の具体的内容等</v>
      </c>
      <c r="V1181" s="202"/>
      <c r="W1181" s="202"/>
      <c r="X1181" s="202"/>
    </row>
    <row r="1182" spans="2:24" ht="19">
      <c r="B1182" s="107">
        <f>'1_入力シート【基本情報】'!$BS$478</f>
        <v>0</v>
      </c>
      <c r="C1182" s="493" t="str">
        <f t="shared" ref="C1182:E1183" si="205">ASC($D1182)</f>
        <v>0</v>
      </c>
      <c r="D1182" s="107">
        <f>'1_入力シート【基本情報】'!$BS$478</f>
        <v>0</v>
      </c>
      <c r="E1182" s="7" t="str">
        <f t="shared" si="205"/>
        <v>0</v>
      </c>
      <c r="F1182" s="7" t="str">
        <f t="shared" si="200"/>
        <v>0</v>
      </c>
      <c r="G1182" s="24"/>
      <c r="H1182" s="565">
        <v>23</v>
      </c>
      <c r="I1182" s="334" t="s">
        <v>33</v>
      </c>
      <c r="J1182" s="357" t="s">
        <v>1407</v>
      </c>
      <c r="K1182" s="322" t="s">
        <v>144</v>
      </c>
      <c r="L1182" s="358" t="s">
        <v>1407</v>
      </c>
      <c r="M1182" s="325" t="s">
        <v>2157</v>
      </c>
      <c r="N1182" s="358" t="s">
        <v>1407</v>
      </c>
      <c r="O1182" s="326" t="s">
        <v>387</v>
      </c>
      <c r="P1182" s="332" t="s">
        <v>1879</v>
      </c>
      <c r="Q1182" s="363" t="s">
        <v>1966</v>
      </c>
      <c r="R1182" s="364"/>
      <c r="S1182" s="364"/>
      <c r="T1182" s="13" t="str">
        <f t="shared" si="204"/>
        <v>23調査結果-その他-6（4）-改善（予定）年月-年（令和）</v>
      </c>
      <c r="V1182" s="202"/>
      <c r="W1182" s="202"/>
      <c r="X1182" s="202"/>
    </row>
    <row r="1183" spans="2:24" ht="19">
      <c r="B1183" s="107">
        <f>'1_入力シート【基本情報】'!$BV$478</f>
        <v>0</v>
      </c>
      <c r="C1183" s="493" t="str">
        <f t="shared" si="205"/>
        <v>0</v>
      </c>
      <c r="D1183" s="107">
        <f>'1_入力シート【基本情報】'!$BV$478</f>
        <v>0</v>
      </c>
      <c r="E1183" s="7" t="str">
        <f t="shared" si="205"/>
        <v>0</v>
      </c>
      <c r="F1183" s="7" t="str">
        <f t="shared" si="200"/>
        <v>0</v>
      </c>
      <c r="G1183" s="24"/>
      <c r="H1183" s="565">
        <v>23</v>
      </c>
      <c r="I1183" s="334" t="s">
        <v>33</v>
      </c>
      <c r="J1183" s="357" t="s">
        <v>1407</v>
      </c>
      <c r="K1183" s="322" t="s">
        <v>144</v>
      </c>
      <c r="L1183" s="358" t="s">
        <v>1407</v>
      </c>
      <c r="M1183" s="325" t="s">
        <v>2157</v>
      </c>
      <c r="N1183" s="358" t="s">
        <v>1407</v>
      </c>
      <c r="O1183" s="326" t="s">
        <v>387</v>
      </c>
      <c r="P1183" s="332" t="s">
        <v>1879</v>
      </c>
      <c r="Q1183" s="363" t="s">
        <v>383</v>
      </c>
      <c r="R1183" s="203"/>
      <c r="S1183" s="203"/>
      <c r="T1183" s="13" t="str">
        <f t="shared" si="204"/>
        <v>23調査結果-その他-6（4）-改善（予定）年月-月</v>
      </c>
      <c r="V1183" s="202"/>
      <c r="W1183" s="202"/>
      <c r="X1183" s="202"/>
    </row>
    <row r="1184" spans="2:24">
      <c r="B1184" s="107">
        <f>'1_入力シート【基本情報】'!$BY$478</f>
        <v>0</v>
      </c>
      <c r="C1184" s="4" t="str">
        <f t="shared" si="195"/>
        <v/>
      </c>
      <c r="D1184" s="107">
        <f>'1_入力シート【基本情報】'!$BY$478</f>
        <v>0</v>
      </c>
      <c r="E1184" s="564">
        <f>'1_入力シート【基本情報】'!$BY$478</f>
        <v>0</v>
      </c>
      <c r="F1184" s="564" t="str">
        <f t="shared" si="200"/>
        <v>0</v>
      </c>
      <c r="G1184" s="24"/>
      <c r="H1184" s="565">
        <v>23</v>
      </c>
      <c r="I1184" s="334" t="s">
        <v>33</v>
      </c>
      <c r="J1184" s="357" t="s">
        <v>1407</v>
      </c>
      <c r="K1184" s="322" t="s">
        <v>144</v>
      </c>
      <c r="L1184" s="358" t="s">
        <v>1407</v>
      </c>
      <c r="M1184" s="325" t="s">
        <v>2157</v>
      </c>
      <c r="N1184" s="358" t="s">
        <v>1407</v>
      </c>
      <c r="O1184" s="326" t="s">
        <v>387</v>
      </c>
      <c r="P1184" s="332" t="s">
        <v>1879</v>
      </c>
      <c r="Q1184" s="363" t="s">
        <v>675</v>
      </c>
      <c r="R1184" s="364"/>
      <c r="S1184" s="364"/>
      <c r="T1184" s="13" t="str">
        <f t="shared" si="204"/>
        <v>23調査結果-その他-6（4）-改善（予定）年月-未定</v>
      </c>
      <c r="V1184" s="202"/>
      <c r="W1184" s="202"/>
      <c r="X1184" s="202"/>
    </row>
    <row r="1185" spans="2:24">
      <c r="B1185" s="107">
        <f>'1_入力シート【基本情報】'!$AF$479</f>
        <v>0</v>
      </c>
      <c r="C1185" s="4" t="str">
        <f t="shared" si="195"/>
        <v/>
      </c>
      <c r="D1185" s="107" t="str">
        <f>C1185</f>
        <v/>
      </c>
      <c r="E1185" s="564" t="str">
        <f>D1185</f>
        <v/>
      </c>
      <c r="F1185" s="564" t="str">
        <f t="shared" si="200"/>
        <v/>
      </c>
      <c r="G1185" s="24"/>
      <c r="H1185" s="565">
        <v>23</v>
      </c>
      <c r="I1185" s="334" t="s">
        <v>33</v>
      </c>
      <c r="J1185" s="357" t="s">
        <v>1407</v>
      </c>
      <c r="K1185" s="322" t="s">
        <v>144</v>
      </c>
      <c r="L1185" s="358" t="s">
        <v>1407</v>
      </c>
      <c r="M1185" s="325" t="s">
        <v>2158</v>
      </c>
      <c r="N1185" s="358" t="s">
        <v>1407</v>
      </c>
      <c r="O1185" s="334" t="s">
        <v>33</v>
      </c>
      <c r="P1185" s="332"/>
      <c r="Q1185" s="363"/>
      <c r="R1185" s="364"/>
      <c r="S1185" s="364"/>
      <c r="T1185" s="13" t="str">
        <f t="shared" si="204"/>
        <v>23調査結果-その他-6（5）-調査結果</v>
      </c>
      <c r="V1185" s="202"/>
      <c r="W1185" s="202"/>
      <c r="X1185" s="202"/>
    </row>
    <row r="1186" spans="2:24">
      <c r="B1186" s="107">
        <f>'1_入力シート【基本情報】'!$AR$479</f>
        <v>0</v>
      </c>
      <c r="C1186" s="4" t="str">
        <f t="shared" si="195"/>
        <v/>
      </c>
      <c r="D1186" s="107">
        <f>'1_入力シート【基本情報】'!$AR$479</f>
        <v>0</v>
      </c>
      <c r="E1186" s="564">
        <f>'1_入力シート【基本情報】'!$AR$479</f>
        <v>0</v>
      </c>
      <c r="F1186" s="564" t="str">
        <f t="shared" si="200"/>
        <v>0</v>
      </c>
      <c r="G1186" s="24"/>
      <c r="H1186" s="565">
        <v>23</v>
      </c>
      <c r="I1186" s="334" t="s">
        <v>33</v>
      </c>
      <c r="J1186" s="357" t="s">
        <v>1407</v>
      </c>
      <c r="K1186" s="322" t="s">
        <v>144</v>
      </c>
      <c r="L1186" s="358" t="s">
        <v>1407</v>
      </c>
      <c r="M1186" s="325" t="s">
        <v>2158</v>
      </c>
      <c r="N1186" s="358" t="s">
        <v>1407</v>
      </c>
      <c r="O1186" s="334" t="s">
        <v>30</v>
      </c>
      <c r="P1186" s="332"/>
      <c r="Q1186" s="363"/>
      <c r="R1186" s="364"/>
      <c r="S1186" s="364"/>
      <c r="T1186" s="13" t="str">
        <f t="shared" si="204"/>
        <v>23調査結果-その他-6（5）-調査者番号</v>
      </c>
      <c r="V1186" s="202"/>
      <c r="W1186" s="202"/>
      <c r="X1186" s="202"/>
    </row>
    <row r="1187" spans="2:24">
      <c r="B1187" s="107">
        <f>'1_入力シート【基本情報】'!$AT$479</f>
        <v>0</v>
      </c>
      <c r="C1187" s="4" t="str">
        <f t="shared" si="195"/>
        <v/>
      </c>
      <c r="D1187" s="107">
        <f>'1_入力シート【基本情報】'!$AT$479</f>
        <v>0</v>
      </c>
      <c r="E1187" s="564">
        <f>'1_入力シート【基本情報】'!$AT$479</f>
        <v>0</v>
      </c>
      <c r="F1187" s="564" t="str">
        <f t="shared" si="200"/>
        <v>0</v>
      </c>
      <c r="G1187" s="24"/>
      <c r="H1187" s="565">
        <v>23</v>
      </c>
      <c r="I1187" s="334" t="s">
        <v>33</v>
      </c>
      <c r="J1187" s="357" t="s">
        <v>1407</v>
      </c>
      <c r="K1187" s="322" t="s">
        <v>144</v>
      </c>
      <c r="L1187" s="358" t="s">
        <v>1407</v>
      </c>
      <c r="M1187" s="325" t="s">
        <v>2158</v>
      </c>
      <c r="N1187" s="358" t="s">
        <v>1407</v>
      </c>
      <c r="O1187" s="334" t="s">
        <v>2028</v>
      </c>
      <c r="P1187" s="332"/>
      <c r="Q1187" s="363"/>
      <c r="R1187" s="364"/>
      <c r="S1187" s="364"/>
      <c r="T1187" s="13" t="str">
        <f t="shared" si="204"/>
        <v>23調査結果-その他-6（5）-指摘の具体的内容等</v>
      </c>
      <c r="V1187" s="202"/>
      <c r="W1187" s="202"/>
      <c r="X1187" s="202"/>
    </row>
    <row r="1188" spans="2:24">
      <c r="B1188" s="107">
        <f>'1_入力シート【基本情報】'!$BD$479</f>
        <v>0</v>
      </c>
      <c r="C1188" s="4" t="str">
        <f t="shared" si="195"/>
        <v/>
      </c>
      <c r="D1188" s="107">
        <f>'1_入力シート【基本情報】'!$BD$479</f>
        <v>0</v>
      </c>
      <c r="E1188" s="564">
        <f>'1_入力シート【基本情報】'!$BD$479</f>
        <v>0</v>
      </c>
      <c r="F1188" s="564" t="str">
        <f t="shared" si="200"/>
        <v>0</v>
      </c>
      <c r="G1188" s="24"/>
      <c r="H1188" s="565">
        <v>23</v>
      </c>
      <c r="I1188" s="334" t="s">
        <v>33</v>
      </c>
      <c r="J1188" s="357" t="s">
        <v>1407</v>
      </c>
      <c r="K1188" s="322" t="s">
        <v>144</v>
      </c>
      <c r="L1188" s="358" t="s">
        <v>1407</v>
      </c>
      <c r="M1188" s="325" t="s">
        <v>2158</v>
      </c>
      <c r="N1188" s="358" t="s">
        <v>1407</v>
      </c>
      <c r="O1188" s="326" t="s">
        <v>2029</v>
      </c>
      <c r="P1188" s="327"/>
      <c r="Q1188" s="336"/>
      <c r="R1188" s="364"/>
      <c r="S1188" s="364"/>
      <c r="T1188" s="13" t="str">
        <f t="shared" si="204"/>
        <v>23調査結果-その他-6（5）-改善策の具体的内容等</v>
      </c>
      <c r="V1188" s="202"/>
      <c r="W1188" s="202"/>
      <c r="X1188" s="202"/>
    </row>
    <row r="1189" spans="2:24" ht="19">
      <c r="B1189" s="107">
        <f>'1_入力シート【基本情報】'!$BS$479</f>
        <v>0</v>
      </c>
      <c r="C1189" s="493" t="str">
        <f t="shared" ref="C1189:E1190" si="206">ASC($D1189)</f>
        <v>0</v>
      </c>
      <c r="D1189" s="107">
        <f>'1_入力シート【基本情報】'!$BS$479</f>
        <v>0</v>
      </c>
      <c r="E1189" s="7" t="str">
        <f t="shared" si="206"/>
        <v>0</v>
      </c>
      <c r="F1189" s="7" t="str">
        <f t="shared" si="200"/>
        <v>0</v>
      </c>
      <c r="G1189" s="24"/>
      <c r="H1189" s="565">
        <v>23</v>
      </c>
      <c r="I1189" s="334" t="s">
        <v>33</v>
      </c>
      <c r="J1189" s="357" t="s">
        <v>1407</v>
      </c>
      <c r="K1189" s="322" t="s">
        <v>144</v>
      </c>
      <c r="L1189" s="358" t="s">
        <v>1407</v>
      </c>
      <c r="M1189" s="325" t="s">
        <v>2158</v>
      </c>
      <c r="N1189" s="358" t="s">
        <v>1407</v>
      </c>
      <c r="O1189" s="326" t="s">
        <v>387</v>
      </c>
      <c r="P1189" s="332" t="s">
        <v>1879</v>
      </c>
      <c r="Q1189" s="363" t="s">
        <v>1966</v>
      </c>
      <c r="R1189" s="364"/>
      <c r="S1189" s="364"/>
      <c r="T1189" s="13" t="str">
        <f t="shared" si="204"/>
        <v>23調査結果-その他-6（5）-改善（予定）年月-年（令和）</v>
      </c>
      <c r="V1189" s="202"/>
      <c r="W1189" s="202"/>
      <c r="X1189" s="202"/>
    </row>
    <row r="1190" spans="2:24" ht="19">
      <c r="B1190" s="107">
        <f>'1_入力シート【基本情報】'!$BV$479</f>
        <v>0</v>
      </c>
      <c r="C1190" s="493" t="str">
        <f t="shared" si="206"/>
        <v>0</v>
      </c>
      <c r="D1190" s="107">
        <f>'1_入力シート【基本情報】'!$BV$479</f>
        <v>0</v>
      </c>
      <c r="E1190" s="7" t="str">
        <f t="shared" si="206"/>
        <v>0</v>
      </c>
      <c r="F1190" s="7" t="str">
        <f t="shared" si="200"/>
        <v>0</v>
      </c>
      <c r="G1190" s="24"/>
      <c r="H1190" s="565">
        <v>23</v>
      </c>
      <c r="I1190" s="334" t="s">
        <v>33</v>
      </c>
      <c r="J1190" s="357" t="s">
        <v>1407</v>
      </c>
      <c r="K1190" s="322" t="s">
        <v>144</v>
      </c>
      <c r="L1190" s="358" t="s">
        <v>1407</v>
      </c>
      <c r="M1190" s="325" t="s">
        <v>2158</v>
      </c>
      <c r="N1190" s="358" t="s">
        <v>1407</v>
      </c>
      <c r="O1190" s="326" t="s">
        <v>387</v>
      </c>
      <c r="P1190" s="332" t="s">
        <v>1879</v>
      </c>
      <c r="Q1190" s="363" t="s">
        <v>383</v>
      </c>
      <c r="R1190" s="364"/>
      <c r="S1190" s="364"/>
      <c r="T1190" s="13" t="str">
        <f t="shared" si="204"/>
        <v>23調査結果-その他-6（5）-改善（予定）年月-月</v>
      </c>
      <c r="V1190" s="202"/>
      <c r="W1190" s="202"/>
      <c r="X1190" s="202"/>
    </row>
    <row r="1191" spans="2:24">
      <c r="B1191" s="107">
        <f>'1_入力シート【基本情報】'!$BY$479</f>
        <v>0</v>
      </c>
      <c r="C1191" s="4" t="str">
        <f t="shared" ref="C1191:C1251" si="207">MID(B1191,2,14)</f>
        <v/>
      </c>
      <c r="D1191" s="107">
        <f>'1_入力シート【基本情報】'!$BY$479</f>
        <v>0</v>
      </c>
      <c r="E1191" s="564">
        <f>'1_入力シート【基本情報】'!$BY$479</f>
        <v>0</v>
      </c>
      <c r="F1191" s="564" t="str">
        <f t="shared" si="200"/>
        <v>0</v>
      </c>
      <c r="G1191" s="24"/>
      <c r="H1191" s="565">
        <v>23</v>
      </c>
      <c r="I1191" s="334" t="s">
        <v>33</v>
      </c>
      <c r="J1191" s="357" t="s">
        <v>1407</v>
      </c>
      <c r="K1191" s="322" t="s">
        <v>144</v>
      </c>
      <c r="L1191" s="358" t="s">
        <v>1407</v>
      </c>
      <c r="M1191" s="325" t="s">
        <v>2158</v>
      </c>
      <c r="N1191" s="358" t="s">
        <v>1407</v>
      </c>
      <c r="O1191" s="326" t="s">
        <v>387</v>
      </c>
      <c r="P1191" s="332" t="s">
        <v>1879</v>
      </c>
      <c r="Q1191" s="363" t="s">
        <v>675</v>
      </c>
      <c r="R1191" s="203"/>
      <c r="S1191" s="203"/>
      <c r="T1191" s="13" t="str">
        <f t="shared" si="204"/>
        <v>23調査結果-その他-6（5）-改善（予定）年月-未定</v>
      </c>
      <c r="V1191" s="202"/>
      <c r="W1191" s="202"/>
      <c r="X1191" s="202"/>
    </row>
    <row r="1192" spans="2:24">
      <c r="B1192" s="107">
        <f>'1_入力シート【基本情報】'!$AF$480</f>
        <v>0</v>
      </c>
      <c r="C1192" s="4" t="str">
        <f t="shared" si="207"/>
        <v/>
      </c>
      <c r="D1192" s="107" t="str">
        <f>C1192</f>
        <v/>
      </c>
      <c r="E1192" s="564" t="str">
        <f>D1192</f>
        <v/>
      </c>
      <c r="F1192" s="564" t="str">
        <f t="shared" si="200"/>
        <v/>
      </c>
      <c r="G1192" s="24"/>
      <c r="H1192" s="565">
        <v>23</v>
      </c>
      <c r="I1192" s="334" t="s">
        <v>33</v>
      </c>
      <c r="J1192" s="357" t="s">
        <v>1407</v>
      </c>
      <c r="K1192" s="322" t="s">
        <v>144</v>
      </c>
      <c r="L1192" s="358" t="s">
        <v>1407</v>
      </c>
      <c r="M1192" s="325" t="s">
        <v>2159</v>
      </c>
      <c r="N1192" s="358" t="s">
        <v>1407</v>
      </c>
      <c r="O1192" s="326" t="s">
        <v>33</v>
      </c>
      <c r="P1192" s="332"/>
      <c r="Q1192" s="363"/>
      <c r="R1192" s="364"/>
      <c r="S1192" s="364"/>
      <c r="T1192" s="13" t="str">
        <f t="shared" si="204"/>
        <v>23調査結果-その他-6（6）-調査結果</v>
      </c>
      <c r="V1192" s="202"/>
      <c r="W1192" s="202"/>
      <c r="X1192" s="202"/>
    </row>
    <row r="1193" spans="2:24">
      <c r="B1193" s="107">
        <f>'1_入力シート【基本情報】'!$AR$480</f>
        <v>0</v>
      </c>
      <c r="C1193" s="4" t="str">
        <f t="shared" si="207"/>
        <v/>
      </c>
      <c r="D1193" s="107">
        <f>'1_入力シート【基本情報】'!$AR$480</f>
        <v>0</v>
      </c>
      <c r="E1193" s="564">
        <f>'1_入力シート【基本情報】'!$AR$480</f>
        <v>0</v>
      </c>
      <c r="F1193" s="564" t="str">
        <f t="shared" si="200"/>
        <v>0</v>
      </c>
      <c r="G1193" s="24"/>
      <c r="H1193" s="565">
        <v>23</v>
      </c>
      <c r="I1193" s="334" t="s">
        <v>33</v>
      </c>
      <c r="J1193" s="357" t="s">
        <v>1407</v>
      </c>
      <c r="K1193" s="322" t="s">
        <v>144</v>
      </c>
      <c r="L1193" s="358" t="s">
        <v>1407</v>
      </c>
      <c r="M1193" s="325" t="s">
        <v>2159</v>
      </c>
      <c r="N1193" s="358" t="s">
        <v>1407</v>
      </c>
      <c r="O1193" s="334" t="s">
        <v>30</v>
      </c>
      <c r="P1193" s="332"/>
      <c r="Q1193" s="363"/>
      <c r="R1193" s="364"/>
      <c r="S1193" s="364"/>
      <c r="T1193" s="13" t="str">
        <f t="shared" si="204"/>
        <v>23調査結果-その他-6（6）-調査者番号</v>
      </c>
      <c r="V1193" s="202"/>
      <c r="W1193" s="202"/>
      <c r="X1193" s="202"/>
    </row>
    <row r="1194" spans="2:24">
      <c r="B1194" s="107">
        <f>'1_入力シート【基本情報】'!$AT$480</f>
        <v>0</v>
      </c>
      <c r="C1194" s="4" t="str">
        <f t="shared" si="207"/>
        <v/>
      </c>
      <c r="D1194" s="107">
        <f>'1_入力シート【基本情報】'!$AT$480</f>
        <v>0</v>
      </c>
      <c r="E1194" s="564">
        <f>'1_入力シート【基本情報】'!$AT$480</f>
        <v>0</v>
      </c>
      <c r="F1194" s="564" t="str">
        <f t="shared" si="200"/>
        <v>0</v>
      </c>
      <c r="G1194" s="24"/>
      <c r="H1194" s="565">
        <v>23</v>
      </c>
      <c r="I1194" s="334" t="s">
        <v>33</v>
      </c>
      <c r="J1194" s="357" t="s">
        <v>1407</v>
      </c>
      <c r="K1194" s="322" t="s">
        <v>144</v>
      </c>
      <c r="L1194" s="358" t="s">
        <v>1407</v>
      </c>
      <c r="M1194" s="325" t="s">
        <v>2159</v>
      </c>
      <c r="N1194" s="358" t="s">
        <v>1407</v>
      </c>
      <c r="O1194" s="334" t="s">
        <v>2028</v>
      </c>
      <c r="P1194" s="332"/>
      <c r="Q1194" s="363"/>
      <c r="R1194" s="364"/>
      <c r="S1194" s="364"/>
      <c r="T1194" s="13" t="str">
        <f t="shared" si="204"/>
        <v>23調査結果-その他-6（6）-指摘の具体的内容等</v>
      </c>
      <c r="V1194" s="202"/>
      <c r="W1194" s="202"/>
      <c r="X1194" s="202"/>
    </row>
    <row r="1195" spans="2:24">
      <c r="B1195" s="107">
        <f>'1_入力シート【基本情報】'!$BD$480</f>
        <v>0</v>
      </c>
      <c r="C1195" s="4" t="str">
        <f t="shared" si="207"/>
        <v/>
      </c>
      <c r="D1195" s="107">
        <f>'1_入力シート【基本情報】'!$BD$480</f>
        <v>0</v>
      </c>
      <c r="E1195" s="564">
        <f>'1_入力シート【基本情報】'!$BD$480</f>
        <v>0</v>
      </c>
      <c r="F1195" s="564" t="str">
        <f t="shared" si="200"/>
        <v>0</v>
      </c>
      <c r="G1195" s="24"/>
      <c r="H1195" s="565">
        <v>23</v>
      </c>
      <c r="I1195" s="334" t="s">
        <v>33</v>
      </c>
      <c r="J1195" s="357" t="s">
        <v>1407</v>
      </c>
      <c r="K1195" s="322" t="s">
        <v>144</v>
      </c>
      <c r="L1195" s="358" t="s">
        <v>1407</v>
      </c>
      <c r="M1195" s="325" t="s">
        <v>2159</v>
      </c>
      <c r="N1195" s="358" t="s">
        <v>1407</v>
      </c>
      <c r="O1195" s="334" t="s">
        <v>2029</v>
      </c>
      <c r="P1195" s="332"/>
      <c r="Q1195" s="363"/>
      <c r="R1195" s="364"/>
      <c r="S1195" s="364"/>
      <c r="T1195" s="13" t="str">
        <f t="shared" si="204"/>
        <v>23調査結果-その他-6（6）-改善策の具体的内容等</v>
      </c>
      <c r="V1195" s="202"/>
      <c r="W1195" s="202"/>
      <c r="X1195" s="202"/>
    </row>
    <row r="1196" spans="2:24" ht="19">
      <c r="B1196" s="107">
        <f>'1_入力シート【基本情報】'!$BS$480</f>
        <v>0</v>
      </c>
      <c r="C1196" s="493" t="str">
        <f t="shared" ref="C1196:E1197" si="208">ASC($D1196)</f>
        <v>0</v>
      </c>
      <c r="D1196" s="107">
        <f>'1_入力シート【基本情報】'!$BS$480</f>
        <v>0</v>
      </c>
      <c r="E1196" s="7" t="str">
        <f t="shared" si="208"/>
        <v>0</v>
      </c>
      <c r="F1196" s="7" t="str">
        <f t="shared" si="200"/>
        <v>0</v>
      </c>
      <c r="G1196" s="24"/>
      <c r="H1196" s="565">
        <v>23</v>
      </c>
      <c r="I1196" s="334" t="s">
        <v>33</v>
      </c>
      <c r="J1196" s="357" t="s">
        <v>1407</v>
      </c>
      <c r="K1196" s="322" t="s">
        <v>144</v>
      </c>
      <c r="L1196" s="358" t="s">
        <v>1407</v>
      </c>
      <c r="M1196" s="325" t="s">
        <v>2159</v>
      </c>
      <c r="N1196" s="358" t="s">
        <v>1407</v>
      </c>
      <c r="O1196" s="326" t="s">
        <v>387</v>
      </c>
      <c r="P1196" s="327" t="s">
        <v>1879</v>
      </c>
      <c r="Q1196" s="336" t="s">
        <v>1966</v>
      </c>
      <c r="R1196" s="364"/>
      <c r="S1196" s="364"/>
      <c r="T1196" s="13" t="str">
        <f t="shared" si="204"/>
        <v>23調査結果-その他-6（6）-改善（予定）年月-年（令和）</v>
      </c>
      <c r="V1196" s="202"/>
      <c r="W1196" s="202"/>
      <c r="X1196" s="202"/>
    </row>
    <row r="1197" spans="2:24" ht="19">
      <c r="B1197" s="107">
        <f>'1_入力シート【基本情報】'!$BV$480</f>
        <v>0</v>
      </c>
      <c r="C1197" s="493" t="str">
        <f t="shared" si="208"/>
        <v>0</v>
      </c>
      <c r="D1197" s="107">
        <f>'1_入力シート【基本情報】'!$BV$480</f>
        <v>0</v>
      </c>
      <c r="E1197" s="7" t="str">
        <f t="shared" si="208"/>
        <v>0</v>
      </c>
      <c r="F1197" s="7" t="str">
        <f t="shared" si="200"/>
        <v>0</v>
      </c>
      <c r="G1197" s="24"/>
      <c r="H1197" s="565">
        <v>23</v>
      </c>
      <c r="I1197" s="334" t="s">
        <v>33</v>
      </c>
      <c r="J1197" s="357" t="s">
        <v>1407</v>
      </c>
      <c r="K1197" s="322" t="s">
        <v>144</v>
      </c>
      <c r="L1197" s="358" t="s">
        <v>1407</v>
      </c>
      <c r="M1197" s="325" t="s">
        <v>2159</v>
      </c>
      <c r="N1197" s="358" t="s">
        <v>1407</v>
      </c>
      <c r="O1197" s="326" t="s">
        <v>387</v>
      </c>
      <c r="P1197" s="332" t="s">
        <v>1879</v>
      </c>
      <c r="Q1197" s="363" t="s">
        <v>383</v>
      </c>
      <c r="R1197" s="364"/>
      <c r="S1197" s="364"/>
      <c r="T1197" s="13" t="str">
        <f t="shared" si="204"/>
        <v>23調査結果-その他-6（6）-改善（予定）年月-月</v>
      </c>
      <c r="V1197" s="202"/>
      <c r="W1197" s="202"/>
      <c r="X1197" s="202"/>
    </row>
    <row r="1198" spans="2:24">
      <c r="B1198" s="107">
        <f>'1_入力シート【基本情報】'!$BY$480</f>
        <v>0</v>
      </c>
      <c r="C1198" s="4" t="str">
        <f t="shared" si="207"/>
        <v/>
      </c>
      <c r="D1198" s="107">
        <f>'1_入力シート【基本情報】'!$BY$480</f>
        <v>0</v>
      </c>
      <c r="E1198" s="564">
        <f>'1_入力シート【基本情報】'!$BY$480</f>
        <v>0</v>
      </c>
      <c r="F1198" s="564" t="str">
        <f t="shared" si="200"/>
        <v>0</v>
      </c>
      <c r="G1198" s="24"/>
      <c r="H1198" s="565">
        <v>23</v>
      </c>
      <c r="I1198" s="334" t="s">
        <v>33</v>
      </c>
      <c r="J1198" s="357" t="s">
        <v>1407</v>
      </c>
      <c r="K1198" s="322" t="s">
        <v>144</v>
      </c>
      <c r="L1198" s="358" t="s">
        <v>1407</v>
      </c>
      <c r="M1198" s="325" t="s">
        <v>2159</v>
      </c>
      <c r="N1198" s="358" t="s">
        <v>1407</v>
      </c>
      <c r="O1198" s="326" t="s">
        <v>387</v>
      </c>
      <c r="P1198" s="332" t="s">
        <v>1879</v>
      </c>
      <c r="Q1198" s="363" t="s">
        <v>675</v>
      </c>
      <c r="R1198" s="364"/>
      <c r="S1198" s="364"/>
      <c r="T1198" s="13" t="str">
        <f t="shared" si="204"/>
        <v>23調査結果-その他-6（6）-改善（予定）年月-未定</v>
      </c>
      <c r="V1198" s="202"/>
      <c r="W1198" s="202"/>
      <c r="X1198" s="202"/>
    </row>
    <row r="1199" spans="2:24">
      <c r="B1199" s="107">
        <f>'1_入力シート【基本情報】'!$AF$481</f>
        <v>0</v>
      </c>
      <c r="C1199" s="4" t="str">
        <f t="shared" si="207"/>
        <v/>
      </c>
      <c r="D1199" s="107" t="str">
        <f>C1199</f>
        <v/>
      </c>
      <c r="E1199" s="564" t="str">
        <f>D1199</f>
        <v/>
      </c>
      <c r="F1199" s="564" t="str">
        <f t="shared" si="200"/>
        <v/>
      </c>
      <c r="G1199" s="24"/>
      <c r="H1199" s="565">
        <v>23</v>
      </c>
      <c r="I1199" s="334" t="s">
        <v>33</v>
      </c>
      <c r="J1199" s="357" t="s">
        <v>1407</v>
      </c>
      <c r="K1199" s="322" t="s">
        <v>144</v>
      </c>
      <c r="L1199" s="358" t="s">
        <v>1407</v>
      </c>
      <c r="M1199" s="325" t="s">
        <v>2160</v>
      </c>
      <c r="N1199" s="358" t="s">
        <v>1407</v>
      </c>
      <c r="O1199" s="326" t="s">
        <v>33</v>
      </c>
      <c r="P1199" s="332"/>
      <c r="Q1199" s="363"/>
      <c r="R1199" s="203"/>
      <c r="S1199" s="203"/>
      <c r="T1199" s="13" t="str">
        <f t="shared" si="204"/>
        <v>23調査結果-その他-6（7）-調査結果</v>
      </c>
      <c r="V1199" s="202"/>
      <c r="W1199" s="202"/>
      <c r="X1199" s="202"/>
    </row>
    <row r="1200" spans="2:24">
      <c r="B1200" s="107">
        <f>'1_入力シート【基本情報】'!$AR$481</f>
        <v>0</v>
      </c>
      <c r="C1200" s="4" t="str">
        <f t="shared" si="207"/>
        <v/>
      </c>
      <c r="D1200" s="107">
        <f>'1_入力シート【基本情報】'!$AR$481</f>
        <v>0</v>
      </c>
      <c r="E1200" s="564">
        <f>'1_入力シート【基本情報】'!$AR$481</f>
        <v>0</v>
      </c>
      <c r="F1200" s="564" t="str">
        <f t="shared" si="200"/>
        <v>0</v>
      </c>
      <c r="G1200" s="24"/>
      <c r="H1200" s="565">
        <v>23</v>
      </c>
      <c r="I1200" s="334" t="s">
        <v>33</v>
      </c>
      <c r="J1200" s="357" t="s">
        <v>1407</v>
      </c>
      <c r="K1200" s="322" t="s">
        <v>144</v>
      </c>
      <c r="L1200" s="358" t="s">
        <v>1407</v>
      </c>
      <c r="M1200" s="325" t="s">
        <v>2160</v>
      </c>
      <c r="N1200" s="358" t="s">
        <v>1407</v>
      </c>
      <c r="O1200" s="326" t="s">
        <v>30</v>
      </c>
      <c r="P1200" s="332"/>
      <c r="Q1200" s="363"/>
      <c r="R1200" s="364"/>
      <c r="S1200" s="364"/>
      <c r="T1200" s="13" t="str">
        <f t="shared" si="204"/>
        <v>23調査結果-その他-6（7）-調査者番号</v>
      </c>
      <c r="V1200" s="202"/>
      <c r="W1200" s="202"/>
      <c r="X1200" s="202"/>
    </row>
    <row r="1201" spans="2:24">
      <c r="B1201" s="107">
        <f>'1_入力シート【基本情報】'!$AT$481</f>
        <v>0</v>
      </c>
      <c r="C1201" s="4" t="str">
        <f t="shared" si="207"/>
        <v/>
      </c>
      <c r="D1201" s="107">
        <f>'1_入力シート【基本情報】'!$AT$481</f>
        <v>0</v>
      </c>
      <c r="E1201" s="564">
        <f>'1_入力シート【基本情報】'!$AT$481</f>
        <v>0</v>
      </c>
      <c r="F1201" s="564" t="str">
        <f t="shared" si="200"/>
        <v>0</v>
      </c>
      <c r="G1201" s="24"/>
      <c r="H1201" s="565">
        <v>23</v>
      </c>
      <c r="I1201" s="334" t="s">
        <v>33</v>
      </c>
      <c r="J1201" s="357" t="s">
        <v>1407</v>
      </c>
      <c r="K1201" s="322" t="s">
        <v>144</v>
      </c>
      <c r="L1201" s="358" t="s">
        <v>1407</v>
      </c>
      <c r="M1201" s="325" t="s">
        <v>2160</v>
      </c>
      <c r="N1201" s="358" t="s">
        <v>1407</v>
      </c>
      <c r="O1201" s="334" t="s">
        <v>2028</v>
      </c>
      <c r="P1201" s="332"/>
      <c r="Q1201" s="363"/>
      <c r="R1201" s="364"/>
      <c r="S1201" s="364"/>
      <c r="T1201" s="13" t="str">
        <f t="shared" si="204"/>
        <v>23調査結果-その他-6（7）-指摘の具体的内容等</v>
      </c>
      <c r="V1201" s="202"/>
      <c r="W1201" s="202"/>
      <c r="X1201" s="202"/>
    </row>
    <row r="1202" spans="2:24">
      <c r="B1202" s="107">
        <f>'1_入力シート【基本情報】'!$BD$481</f>
        <v>0</v>
      </c>
      <c r="C1202" s="4" t="str">
        <f t="shared" si="207"/>
        <v/>
      </c>
      <c r="D1202" s="107">
        <f>'1_入力シート【基本情報】'!$BD$481</f>
        <v>0</v>
      </c>
      <c r="E1202" s="564">
        <f>'1_入力シート【基本情報】'!$BD$481</f>
        <v>0</v>
      </c>
      <c r="F1202" s="564" t="str">
        <f t="shared" si="200"/>
        <v>0</v>
      </c>
      <c r="G1202" s="24"/>
      <c r="H1202" s="565">
        <v>23</v>
      </c>
      <c r="I1202" s="334" t="s">
        <v>33</v>
      </c>
      <c r="J1202" s="357" t="s">
        <v>1407</v>
      </c>
      <c r="K1202" s="322" t="s">
        <v>144</v>
      </c>
      <c r="L1202" s="358" t="s">
        <v>1407</v>
      </c>
      <c r="M1202" s="325" t="s">
        <v>2160</v>
      </c>
      <c r="N1202" s="358" t="s">
        <v>1407</v>
      </c>
      <c r="O1202" s="334" t="s">
        <v>2029</v>
      </c>
      <c r="P1202" s="332"/>
      <c r="Q1202" s="363"/>
      <c r="R1202" s="364"/>
      <c r="S1202" s="364"/>
      <c r="T1202" s="13" t="str">
        <f t="shared" si="204"/>
        <v>23調査結果-その他-6（7）-改善策の具体的内容等</v>
      </c>
      <c r="V1202" s="202"/>
      <c r="W1202" s="202"/>
      <c r="X1202" s="202"/>
    </row>
    <row r="1203" spans="2:24" ht="19">
      <c r="B1203" s="107">
        <f>'1_入力シート【基本情報】'!$BS$481</f>
        <v>0</v>
      </c>
      <c r="C1203" s="493" t="str">
        <f t="shared" ref="C1203:E1204" si="209">ASC($D1203)</f>
        <v>0</v>
      </c>
      <c r="D1203" s="107">
        <f>'1_入力シート【基本情報】'!$BS$481</f>
        <v>0</v>
      </c>
      <c r="E1203" s="7" t="str">
        <f t="shared" si="209"/>
        <v>0</v>
      </c>
      <c r="F1203" s="7" t="str">
        <f t="shared" si="200"/>
        <v>0</v>
      </c>
      <c r="G1203" s="24"/>
      <c r="H1203" s="565">
        <v>23</v>
      </c>
      <c r="I1203" s="334" t="s">
        <v>33</v>
      </c>
      <c r="J1203" s="357" t="s">
        <v>1407</v>
      </c>
      <c r="K1203" s="322" t="s">
        <v>144</v>
      </c>
      <c r="L1203" s="358" t="s">
        <v>1407</v>
      </c>
      <c r="M1203" s="325" t="s">
        <v>2160</v>
      </c>
      <c r="N1203" s="358" t="s">
        <v>1407</v>
      </c>
      <c r="O1203" s="334" t="s">
        <v>387</v>
      </c>
      <c r="P1203" s="332" t="s">
        <v>1879</v>
      </c>
      <c r="Q1203" s="363" t="s">
        <v>1966</v>
      </c>
      <c r="R1203" s="364"/>
      <c r="S1203" s="364"/>
      <c r="T1203" s="13" t="str">
        <f t="shared" si="204"/>
        <v>23調査結果-その他-6（7）-改善（予定）年月-年（令和）</v>
      </c>
      <c r="V1203" s="202"/>
      <c r="W1203" s="202"/>
      <c r="X1203" s="202"/>
    </row>
    <row r="1204" spans="2:24" ht="19">
      <c r="B1204" s="107">
        <f>'1_入力シート【基本情報】'!$BV$481</f>
        <v>0</v>
      </c>
      <c r="C1204" s="493" t="str">
        <f t="shared" si="209"/>
        <v>0</v>
      </c>
      <c r="D1204" s="107">
        <f>'1_入力シート【基本情報】'!$BV$481</f>
        <v>0</v>
      </c>
      <c r="E1204" s="7" t="str">
        <f t="shared" si="209"/>
        <v>0</v>
      </c>
      <c r="F1204" s="7" t="str">
        <f t="shared" si="200"/>
        <v>0</v>
      </c>
      <c r="G1204" s="24"/>
      <c r="H1204" s="565">
        <v>23</v>
      </c>
      <c r="I1204" s="334" t="s">
        <v>33</v>
      </c>
      <c r="J1204" s="357" t="s">
        <v>1407</v>
      </c>
      <c r="K1204" s="322" t="s">
        <v>144</v>
      </c>
      <c r="L1204" s="358" t="s">
        <v>1407</v>
      </c>
      <c r="M1204" s="325" t="s">
        <v>2160</v>
      </c>
      <c r="N1204" s="358" t="s">
        <v>1407</v>
      </c>
      <c r="O1204" s="326" t="s">
        <v>387</v>
      </c>
      <c r="P1204" s="327" t="s">
        <v>1879</v>
      </c>
      <c r="Q1204" s="336" t="s">
        <v>383</v>
      </c>
      <c r="R1204" s="364"/>
      <c r="S1204" s="364"/>
      <c r="T1204" s="13" t="str">
        <f t="shared" si="204"/>
        <v>23調査結果-その他-6（7）-改善（予定）年月-月</v>
      </c>
      <c r="V1204" s="202"/>
      <c r="W1204" s="202"/>
      <c r="X1204" s="202"/>
    </row>
    <row r="1205" spans="2:24">
      <c r="B1205" s="107">
        <f>'1_入力シート【基本情報】'!$BY$481</f>
        <v>0</v>
      </c>
      <c r="C1205" s="4" t="str">
        <f t="shared" si="207"/>
        <v/>
      </c>
      <c r="D1205" s="107">
        <f>'1_入力シート【基本情報】'!$BY$481</f>
        <v>0</v>
      </c>
      <c r="E1205" s="564">
        <f>'1_入力シート【基本情報】'!$BY$481</f>
        <v>0</v>
      </c>
      <c r="F1205" s="564" t="str">
        <f t="shared" si="200"/>
        <v>0</v>
      </c>
      <c r="G1205" s="24"/>
      <c r="H1205" s="565">
        <v>23</v>
      </c>
      <c r="I1205" s="334" t="s">
        <v>33</v>
      </c>
      <c r="J1205" s="357" t="s">
        <v>1407</v>
      </c>
      <c r="K1205" s="322" t="s">
        <v>144</v>
      </c>
      <c r="L1205" s="358" t="s">
        <v>1407</v>
      </c>
      <c r="M1205" s="325" t="s">
        <v>2160</v>
      </c>
      <c r="N1205" s="358" t="s">
        <v>1407</v>
      </c>
      <c r="O1205" s="326" t="s">
        <v>387</v>
      </c>
      <c r="P1205" s="332" t="s">
        <v>1879</v>
      </c>
      <c r="Q1205" s="363" t="s">
        <v>675</v>
      </c>
      <c r="R1205" s="364"/>
      <c r="S1205" s="364"/>
      <c r="T1205" s="13" t="str">
        <f t="shared" si="204"/>
        <v>23調査結果-その他-6（7）-改善（予定）年月-未定</v>
      </c>
      <c r="V1205" s="202"/>
      <c r="W1205" s="202"/>
      <c r="X1205" s="202"/>
    </row>
    <row r="1206" spans="2:24">
      <c r="B1206" s="107">
        <f>'1_入力シート【基本情報】'!$AF$482</f>
        <v>0</v>
      </c>
      <c r="C1206" s="4" t="str">
        <f t="shared" si="207"/>
        <v/>
      </c>
      <c r="D1206" s="107" t="str">
        <f>C1206</f>
        <v/>
      </c>
      <c r="E1206" s="564" t="str">
        <f>D1206</f>
        <v/>
      </c>
      <c r="F1206" s="564" t="str">
        <f t="shared" si="200"/>
        <v/>
      </c>
      <c r="G1206" s="24"/>
      <c r="H1206" s="565">
        <v>23</v>
      </c>
      <c r="I1206" s="334" t="s">
        <v>33</v>
      </c>
      <c r="J1206" s="357" t="s">
        <v>1407</v>
      </c>
      <c r="K1206" s="322" t="s">
        <v>144</v>
      </c>
      <c r="L1206" s="358" t="s">
        <v>1407</v>
      </c>
      <c r="M1206" s="325" t="s">
        <v>2161</v>
      </c>
      <c r="N1206" s="358" t="s">
        <v>1407</v>
      </c>
      <c r="O1206" s="326" t="s">
        <v>33</v>
      </c>
      <c r="P1206" s="332"/>
      <c r="Q1206" s="363"/>
      <c r="R1206" s="364"/>
      <c r="S1206" s="364"/>
      <c r="T1206" s="13" t="str">
        <f t="shared" si="204"/>
        <v>23調査結果-その他-6（8）-調査結果</v>
      </c>
      <c r="V1206" s="202"/>
      <c r="W1206" s="202"/>
      <c r="X1206" s="202"/>
    </row>
    <row r="1207" spans="2:24">
      <c r="B1207" s="107">
        <f>'1_入力シート【基本情報】'!$AR$482</f>
        <v>0</v>
      </c>
      <c r="C1207" s="4" t="str">
        <f t="shared" si="207"/>
        <v/>
      </c>
      <c r="D1207" s="107">
        <f>'1_入力シート【基本情報】'!$AR$482</f>
        <v>0</v>
      </c>
      <c r="E1207" s="564">
        <f>'1_入力シート【基本情報】'!$AR$482</f>
        <v>0</v>
      </c>
      <c r="F1207" s="564" t="str">
        <f t="shared" si="200"/>
        <v>0</v>
      </c>
      <c r="G1207" s="24"/>
      <c r="H1207" s="565">
        <v>23</v>
      </c>
      <c r="I1207" s="334" t="s">
        <v>33</v>
      </c>
      <c r="J1207" s="357" t="s">
        <v>1407</v>
      </c>
      <c r="K1207" s="322" t="s">
        <v>144</v>
      </c>
      <c r="L1207" s="358" t="s">
        <v>1407</v>
      </c>
      <c r="M1207" s="325" t="s">
        <v>2161</v>
      </c>
      <c r="N1207" s="358" t="s">
        <v>1407</v>
      </c>
      <c r="O1207" s="326" t="s">
        <v>30</v>
      </c>
      <c r="P1207" s="332"/>
      <c r="Q1207" s="363"/>
      <c r="R1207" s="203"/>
      <c r="S1207" s="203"/>
      <c r="T1207" s="13" t="str">
        <f t="shared" si="204"/>
        <v>23調査結果-その他-6（8）-調査者番号</v>
      </c>
      <c r="V1207" s="202"/>
      <c r="W1207" s="202"/>
      <c r="X1207" s="202"/>
    </row>
    <row r="1208" spans="2:24">
      <c r="B1208" s="503">
        <f>'1_入力シート【基本情報】'!$AT$482</f>
        <v>0</v>
      </c>
      <c r="C1208" s="4" t="str">
        <f t="shared" si="207"/>
        <v/>
      </c>
      <c r="D1208" s="503">
        <f>'1_入力シート【基本情報】'!$AT$482</f>
        <v>0</v>
      </c>
      <c r="E1208" s="576">
        <f>'1_入力シート【基本情報】'!$AT$482</f>
        <v>0</v>
      </c>
      <c r="F1208" s="576" t="str">
        <f t="shared" si="200"/>
        <v>0</v>
      </c>
      <c r="G1208" s="24"/>
      <c r="H1208" s="565">
        <v>23</v>
      </c>
      <c r="I1208" s="334" t="s">
        <v>33</v>
      </c>
      <c r="J1208" s="357" t="s">
        <v>1407</v>
      </c>
      <c r="K1208" s="322" t="s">
        <v>144</v>
      </c>
      <c r="L1208" s="358" t="s">
        <v>1407</v>
      </c>
      <c r="M1208" s="325" t="s">
        <v>2161</v>
      </c>
      <c r="N1208" s="358" t="s">
        <v>1407</v>
      </c>
      <c r="O1208" s="326" t="s">
        <v>2028</v>
      </c>
      <c r="P1208" s="332"/>
      <c r="Q1208" s="363"/>
      <c r="R1208" s="364"/>
      <c r="S1208" s="364"/>
      <c r="T1208" s="13" t="str">
        <f t="shared" si="204"/>
        <v>23調査結果-その他-6（8）-指摘の具体的内容等</v>
      </c>
      <c r="V1208" s="202"/>
      <c r="W1208" s="202"/>
      <c r="X1208" s="202"/>
    </row>
    <row r="1209" spans="2:24">
      <c r="B1209" s="107">
        <f>'1_入力シート【基本情報】'!$BD$482</f>
        <v>0</v>
      </c>
      <c r="C1209" s="4" t="str">
        <f t="shared" si="207"/>
        <v/>
      </c>
      <c r="D1209" s="107">
        <f>'1_入力シート【基本情報】'!$BD$482</f>
        <v>0</v>
      </c>
      <c r="E1209" s="564">
        <f>'1_入力シート【基本情報】'!$BD$482</f>
        <v>0</v>
      </c>
      <c r="F1209" s="564" t="str">
        <f t="shared" si="200"/>
        <v>0</v>
      </c>
      <c r="G1209" s="24"/>
      <c r="H1209" s="565">
        <v>23</v>
      </c>
      <c r="I1209" s="334" t="s">
        <v>33</v>
      </c>
      <c r="J1209" s="357" t="s">
        <v>1407</v>
      </c>
      <c r="K1209" s="322" t="s">
        <v>144</v>
      </c>
      <c r="L1209" s="358" t="s">
        <v>1407</v>
      </c>
      <c r="M1209" s="325" t="s">
        <v>2161</v>
      </c>
      <c r="N1209" s="358" t="s">
        <v>1407</v>
      </c>
      <c r="O1209" s="334" t="s">
        <v>2029</v>
      </c>
      <c r="P1209" s="332"/>
      <c r="Q1209" s="363"/>
      <c r="R1209" s="364"/>
      <c r="S1209" s="364"/>
      <c r="T1209" s="13" t="str">
        <f t="shared" si="204"/>
        <v>23調査結果-その他-6（8）-改善策の具体的内容等</v>
      </c>
      <c r="V1209" s="202"/>
      <c r="W1209" s="202"/>
      <c r="X1209" s="202"/>
    </row>
    <row r="1210" spans="2:24" ht="19">
      <c r="B1210" s="107">
        <f>'1_入力シート【基本情報】'!$BS$482</f>
        <v>0</v>
      </c>
      <c r="C1210" s="493" t="str">
        <f t="shared" ref="C1210:E1211" si="210">ASC($D1210)</f>
        <v>0</v>
      </c>
      <c r="D1210" s="107">
        <f>'1_入力シート【基本情報】'!$BS$482</f>
        <v>0</v>
      </c>
      <c r="E1210" s="7" t="str">
        <f t="shared" si="210"/>
        <v>0</v>
      </c>
      <c r="F1210" s="7" t="str">
        <f t="shared" si="200"/>
        <v>0</v>
      </c>
      <c r="G1210" s="24"/>
      <c r="H1210" s="565">
        <v>23</v>
      </c>
      <c r="I1210" s="334" t="s">
        <v>33</v>
      </c>
      <c r="J1210" s="357" t="s">
        <v>1407</v>
      </c>
      <c r="K1210" s="322" t="s">
        <v>144</v>
      </c>
      <c r="L1210" s="358" t="s">
        <v>1407</v>
      </c>
      <c r="M1210" s="325" t="s">
        <v>2161</v>
      </c>
      <c r="N1210" s="358" t="s">
        <v>1407</v>
      </c>
      <c r="O1210" s="334" t="s">
        <v>387</v>
      </c>
      <c r="P1210" s="332" t="s">
        <v>1879</v>
      </c>
      <c r="Q1210" s="363" t="s">
        <v>1966</v>
      </c>
      <c r="R1210" s="364"/>
      <c r="S1210" s="364"/>
      <c r="T1210" s="13" t="str">
        <f t="shared" si="204"/>
        <v>23調査結果-その他-6（8）-改善（予定）年月-年（令和）</v>
      </c>
      <c r="V1210" s="202"/>
      <c r="W1210" s="202"/>
      <c r="X1210" s="202"/>
    </row>
    <row r="1211" spans="2:24" ht="19">
      <c r="B1211" s="107">
        <f>'1_入力シート【基本情報】'!$BV$482</f>
        <v>0</v>
      </c>
      <c r="C1211" s="493" t="str">
        <f t="shared" si="210"/>
        <v>0</v>
      </c>
      <c r="D1211" s="107">
        <f>'1_入力シート【基本情報】'!$BV$482</f>
        <v>0</v>
      </c>
      <c r="E1211" s="7" t="str">
        <f t="shared" si="210"/>
        <v>0</v>
      </c>
      <c r="F1211" s="7" t="str">
        <f t="shared" si="200"/>
        <v>0</v>
      </c>
      <c r="G1211" s="24"/>
      <c r="H1211" s="565">
        <v>23</v>
      </c>
      <c r="I1211" s="334" t="s">
        <v>33</v>
      </c>
      <c r="J1211" s="357" t="s">
        <v>1407</v>
      </c>
      <c r="K1211" s="322" t="s">
        <v>144</v>
      </c>
      <c r="L1211" s="358" t="s">
        <v>1407</v>
      </c>
      <c r="M1211" s="325" t="s">
        <v>2161</v>
      </c>
      <c r="N1211" s="358" t="s">
        <v>1407</v>
      </c>
      <c r="O1211" s="334" t="s">
        <v>387</v>
      </c>
      <c r="P1211" s="332" t="s">
        <v>1879</v>
      </c>
      <c r="Q1211" s="363" t="s">
        <v>383</v>
      </c>
      <c r="R1211" s="364"/>
      <c r="S1211" s="364"/>
      <c r="T1211" s="13" t="str">
        <f t="shared" si="204"/>
        <v>23調査結果-その他-6（8）-改善（予定）年月-月</v>
      </c>
      <c r="V1211" s="202"/>
      <c r="W1211" s="202"/>
      <c r="X1211" s="202"/>
    </row>
    <row r="1212" spans="2:24">
      <c r="B1212" s="107">
        <f>'1_入力シート【基本情報】'!$BY$482</f>
        <v>0</v>
      </c>
      <c r="C1212" s="4" t="str">
        <f t="shared" si="207"/>
        <v/>
      </c>
      <c r="D1212" s="107">
        <f>'1_入力シート【基本情報】'!$BY$482</f>
        <v>0</v>
      </c>
      <c r="E1212" s="564">
        <f>'1_入力シート【基本情報】'!$BY$482</f>
        <v>0</v>
      </c>
      <c r="F1212" s="564" t="str">
        <f t="shared" si="200"/>
        <v>0</v>
      </c>
      <c r="G1212" s="24"/>
      <c r="H1212" s="565">
        <v>23</v>
      </c>
      <c r="I1212" s="334" t="s">
        <v>33</v>
      </c>
      <c r="J1212" s="357" t="s">
        <v>1407</v>
      </c>
      <c r="K1212" s="322" t="s">
        <v>144</v>
      </c>
      <c r="L1212" s="358" t="s">
        <v>1407</v>
      </c>
      <c r="M1212" s="325" t="s">
        <v>2161</v>
      </c>
      <c r="N1212" s="358" t="s">
        <v>1407</v>
      </c>
      <c r="O1212" s="326" t="s">
        <v>387</v>
      </c>
      <c r="P1212" s="327" t="s">
        <v>1879</v>
      </c>
      <c r="Q1212" s="336" t="s">
        <v>675</v>
      </c>
      <c r="R1212" s="364"/>
      <c r="S1212" s="364"/>
      <c r="T1212" s="13" t="str">
        <f t="shared" si="204"/>
        <v>23調査結果-その他-6（8）-改善（予定）年月-未定</v>
      </c>
      <c r="V1212" s="202"/>
      <c r="W1212" s="202"/>
      <c r="X1212" s="202"/>
    </row>
    <row r="1213" spans="2:24">
      <c r="B1213" s="107">
        <f>'1_入力シート【基本情報】'!$AF$483</f>
        <v>0</v>
      </c>
      <c r="C1213" s="4" t="str">
        <f t="shared" si="207"/>
        <v/>
      </c>
      <c r="D1213" s="107" t="str">
        <f>C1213</f>
        <v/>
      </c>
      <c r="E1213" s="564" t="str">
        <f>D1213</f>
        <v/>
      </c>
      <c r="F1213" s="564" t="str">
        <f t="shared" si="200"/>
        <v/>
      </c>
      <c r="G1213" s="24"/>
      <c r="H1213" s="565">
        <v>23</v>
      </c>
      <c r="I1213" s="334" t="s">
        <v>33</v>
      </c>
      <c r="J1213" s="357" t="s">
        <v>1407</v>
      </c>
      <c r="K1213" s="322" t="s">
        <v>144</v>
      </c>
      <c r="L1213" s="358" t="s">
        <v>1407</v>
      </c>
      <c r="M1213" s="325" t="s">
        <v>2162</v>
      </c>
      <c r="N1213" s="358" t="s">
        <v>1407</v>
      </c>
      <c r="O1213" s="326" t="s">
        <v>33</v>
      </c>
      <c r="P1213" s="332"/>
      <c r="Q1213" s="363"/>
      <c r="R1213" s="364"/>
      <c r="S1213" s="364"/>
      <c r="T1213" s="13" t="str">
        <f t="shared" si="204"/>
        <v>23調査結果-その他-6（9）-調査結果</v>
      </c>
      <c r="V1213" s="202"/>
      <c r="W1213" s="202"/>
      <c r="X1213" s="202"/>
    </row>
    <row r="1214" spans="2:24">
      <c r="B1214" s="107">
        <f>'1_入力シート【基本情報】'!$AR$483</f>
        <v>0</v>
      </c>
      <c r="C1214" s="4" t="str">
        <f t="shared" si="207"/>
        <v/>
      </c>
      <c r="D1214" s="107">
        <f>'1_入力シート【基本情報】'!$AR$483</f>
        <v>0</v>
      </c>
      <c r="E1214" s="564">
        <f>'1_入力シート【基本情報】'!$AR$483</f>
        <v>0</v>
      </c>
      <c r="F1214" s="564" t="str">
        <f t="shared" si="200"/>
        <v>0</v>
      </c>
      <c r="G1214" s="24"/>
      <c r="H1214" s="565">
        <v>23</v>
      </c>
      <c r="I1214" s="334" t="s">
        <v>33</v>
      </c>
      <c r="J1214" s="357" t="s">
        <v>1407</v>
      </c>
      <c r="K1214" s="322" t="s">
        <v>144</v>
      </c>
      <c r="L1214" s="358" t="s">
        <v>1407</v>
      </c>
      <c r="M1214" s="325" t="s">
        <v>2162</v>
      </c>
      <c r="N1214" s="358" t="s">
        <v>1407</v>
      </c>
      <c r="O1214" s="326" t="s">
        <v>30</v>
      </c>
      <c r="P1214" s="332"/>
      <c r="Q1214" s="363"/>
      <c r="R1214" s="364"/>
      <c r="S1214" s="364"/>
      <c r="T1214" s="13" t="str">
        <f t="shared" si="204"/>
        <v>23調査結果-その他-6（9）-調査者番号</v>
      </c>
      <c r="V1214" s="202"/>
      <c r="W1214" s="202"/>
      <c r="X1214" s="202"/>
    </row>
    <row r="1215" spans="2:24">
      <c r="B1215" s="107">
        <f>'1_入力シート【基本情報】'!$AT$483</f>
        <v>0</v>
      </c>
      <c r="C1215" s="4" t="str">
        <f t="shared" si="207"/>
        <v/>
      </c>
      <c r="D1215" s="107">
        <f>'1_入力シート【基本情報】'!$AT$483</f>
        <v>0</v>
      </c>
      <c r="E1215" s="564">
        <f>'1_入力シート【基本情報】'!$AT$483</f>
        <v>0</v>
      </c>
      <c r="F1215" s="564" t="str">
        <f t="shared" si="200"/>
        <v>0</v>
      </c>
      <c r="G1215" s="24"/>
      <c r="H1215" s="565">
        <v>23</v>
      </c>
      <c r="I1215" s="334" t="s">
        <v>33</v>
      </c>
      <c r="J1215" s="357" t="s">
        <v>1407</v>
      </c>
      <c r="K1215" s="322" t="s">
        <v>144</v>
      </c>
      <c r="L1215" s="358" t="s">
        <v>1407</v>
      </c>
      <c r="M1215" s="325" t="s">
        <v>2162</v>
      </c>
      <c r="N1215" s="358" t="s">
        <v>1407</v>
      </c>
      <c r="O1215" s="326" t="s">
        <v>2028</v>
      </c>
      <c r="P1215" s="332"/>
      <c r="Q1215" s="363"/>
      <c r="R1215" s="364"/>
      <c r="S1215" s="364"/>
      <c r="T1215" s="13" t="str">
        <f t="shared" si="204"/>
        <v>23調査結果-その他-6（9）-指摘の具体的内容等</v>
      </c>
      <c r="V1215" s="202"/>
      <c r="W1215" s="202"/>
      <c r="X1215" s="202"/>
    </row>
    <row r="1216" spans="2:24">
      <c r="B1216" s="107">
        <f>'1_入力シート【基本情報】'!$BD$483</f>
        <v>0</v>
      </c>
      <c r="C1216" s="4" t="str">
        <f t="shared" si="207"/>
        <v/>
      </c>
      <c r="D1216" s="107">
        <f>'1_入力シート【基本情報】'!$BD$483</f>
        <v>0</v>
      </c>
      <c r="E1216" s="564">
        <f>'1_入力シート【基本情報】'!$BD$483</f>
        <v>0</v>
      </c>
      <c r="F1216" s="564" t="str">
        <f t="shared" si="200"/>
        <v>0</v>
      </c>
      <c r="G1216" s="24"/>
      <c r="H1216" s="565">
        <v>23</v>
      </c>
      <c r="I1216" s="334" t="s">
        <v>33</v>
      </c>
      <c r="J1216" s="357" t="s">
        <v>1407</v>
      </c>
      <c r="K1216" s="322" t="s">
        <v>144</v>
      </c>
      <c r="L1216" s="358" t="s">
        <v>1407</v>
      </c>
      <c r="M1216" s="325" t="s">
        <v>2162</v>
      </c>
      <c r="N1216" s="358" t="s">
        <v>1407</v>
      </c>
      <c r="O1216" s="326" t="s">
        <v>2029</v>
      </c>
      <c r="P1216" s="332"/>
      <c r="Q1216" s="363"/>
      <c r="R1216" s="364"/>
      <c r="S1216" s="364"/>
      <c r="T1216" s="13" t="str">
        <f t="shared" si="204"/>
        <v>23調査結果-その他-6（9）-改善策の具体的内容等</v>
      </c>
      <c r="V1216" s="202"/>
      <c r="W1216" s="202"/>
      <c r="X1216" s="202"/>
    </row>
    <row r="1217" spans="2:24" ht="19">
      <c r="B1217" s="107">
        <f>'1_入力シート【基本情報】'!$BS$483</f>
        <v>0</v>
      </c>
      <c r="C1217" s="493" t="str">
        <f t="shared" ref="C1217:E1218" si="211">ASC($D1217)</f>
        <v>0</v>
      </c>
      <c r="D1217" s="107">
        <f>'1_入力シート【基本情報】'!$BS$483</f>
        <v>0</v>
      </c>
      <c r="E1217" s="7" t="str">
        <f t="shared" si="211"/>
        <v>0</v>
      </c>
      <c r="F1217" s="7" t="str">
        <f t="shared" si="200"/>
        <v>0</v>
      </c>
      <c r="G1217" s="24"/>
      <c r="H1217" s="565">
        <v>23</v>
      </c>
      <c r="I1217" s="334" t="s">
        <v>33</v>
      </c>
      <c r="J1217" s="357" t="s">
        <v>1407</v>
      </c>
      <c r="K1217" s="322" t="s">
        <v>144</v>
      </c>
      <c r="L1217" s="358" t="s">
        <v>1407</v>
      </c>
      <c r="M1217" s="325" t="s">
        <v>2162</v>
      </c>
      <c r="N1217" s="358" t="s">
        <v>1407</v>
      </c>
      <c r="O1217" s="326" t="s">
        <v>387</v>
      </c>
      <c r="P1217" s="332" t="s">
        <v>1879</v>
      </c>
      <c r="Q1217" s="363" t="s">
        <v>1966</v>
      </c>
      <c r="R1217" s="364"/>
      <c r="S1217" s="364"/>
      <c r="T1217" s="13" t="str">
        <f t="shared" si="204"/>
        <v>23調査結果-その他-6（9）-改善（予定）年月-年（令和）</v>
      </c>
      <c r="V1217" s="202"/>
      <c r="W1217" s="202"/>
      <c r="X1217" s="202"/>
    </row>
    <row r="1218" spans="2:24" ht="19">
      <c r="B1218" s="107">
        <f>'1_入力シート【基本情報】'!$BV$483</f>
        <v>0</v>
      </c>
      <c r="C1218" s="493" t="str">
        <f t="shared" si="211"/>
        <v>0</v>
      </c>
      <c r="D1218" s="107">
        <f>'1_入力シート【基本情報】'!$BV$483</f>
        <v>0</v>
      </c>
      <c r="E1218" s="7" t="str">
        <f t="shared" si="211"/>
        <v>0</v>
      </c>
      <c r="F1218" s="7" t="str">
        <f t="shared" si="200"/>
        <v>0</v>
      </c>
      <c r="G1218" s="24"/>
      <c r="H1218" s="565">
        <v>23</v>
      </c>
      <c r="I1218" s="334" t="s">
        <v>33</v>
      </c>
      <c r="J1218" s="357" t="s">
        <v>1407</v>
      </c>
      <c r="K1218" s="322" t="s">
        <v>144</v>
      </c>
      <c r="L1218" s="358" t="s">
        <v>1407</v>
      </c>
      <c r="M1218" s="325" t="s">
        <v>2162</v>
      </c>
      <c r="N1218" s="358" t="s">
        <v>1407</v>
      </c>
      <c r="O1218" s="326" t="s">
        <v>387</v>
      </c>
      <c r="P1218" s="332" t="s">
        <v>1879</v>
      </c>
      <c r="Q1218" s="363" t="s">
        <v>383</v>
      </c>
      <c r="R1218" s="364"/>
      <c r="S1218" s="364"/>
      <c r="T1218" s="13" t="str">
        <f t="shared" si="204"/>
        <v>23調査結果-その他-6（9）-改善（予定）年月-月</v>
      </c>
      <c r="V1218" s="202"/>
      <c r="W1218" s="202"/>
      <c r="X1218" s="202"/>
    </row>
    <row r="1219" spans="2:24">
      <c r="B1219" s="107">
        <f>'1_入力シート【基本情報】'!$BY$483</f>
        <v>0</v>
      </c>
      <c r="C1219" s="4" t="str">
        <f t="shared" si="207"/>
        <v/>
      </c>
      <c r="D1219" s="107">
        <f>'1_入力シート【基本情報】'!$BY$483</f>
        <v>0</v>
      </c>
      <c r="E1219" s="564">
        <f>'1_入力シート【基本情報】'!$BY$483</f>
        <v>0</v>
      </c>
      <c r="F1219" s="564" t="str">
        <f t="shared" si="200"/>
        <v>0</v>
      </c>
      <c r="G1219" s="24"/>
      <c r="H1219" s="565">
        <v>23</v>
      </c>
      <c r="I1219" s="334" t="s">
        <v>33</v>
      </c>
      <c r="J1219" s="357" t="s">
        <v>1407</v>
      </c>
      <c r="K1219" s="322" t="s">
        <v>144</v>
      </c>
      <c r="L1219" s="358" t="s">
        <v>1407</v>
      </c>
      <c r="M1219" s="325" t="s">
        <v>2162</v>
      </c>
      <c r="N1219" s="358" t="s">
        <v>1407</v>
      </c>
      <c r="O1219" s="326" t="s">
        <v>387</v>
      </c>
      <c r="P1219" s="332" t="s">
        <v>1879</v>
      </c>
      <c r="Q1219" s="363" t="s">
        <v>675</v>
      </c>
      <c r="R1219" s="364"/>
      <c r="S1219" s="364"/>
      <c r="T1219" s="13" t="str">
        <f t="shared" si="204"/>
        <v>23調査結果-その他-6（9）-改善（予定）年月-未定</v>
      </c>
      <c r="V1219" s="202"/>
      <c r="W1219" s="202"/>
      <c r="X1219" s="202"/>
    </row>
    <row r="1220" spans="2:24">
      <c r="B1220" s="107">
        <f>'1_入力シート【基本情報】'!$AF$493</f>
        <v>0</v>
      </c>
      <c r="C1220" s="4" t="str">
        <f t="shared" si="207"/>
        <v/>
      </c>
      <c r="D1220" s="107" t="str">
        <f>C1220</f>
        <v/>
      </c>
      <c r="E1220" s="564" t="str">
        <f>D1220</f>
        <v/>
      </c>
      <c r="F1220" s="564" t="str">
        <f t="shared" si="200"/>
        <v/>
      </c>
      <c r="G1220" s="24"/>
      <c r="H1220" s="565">
        <v>23</v>
      </c>
      <c r="I1220" s="334" t="s">
        <v>33</v>
      </c>
      <c r="J1220" s="357" t="s">
        <v>1879</v>
      </c>
      <c r="K1220" s="322" t="s">
        <v>155</v>
      </c>
      <c r="L1220" s="358" t="s">
        <v>1879</v>
      </c>
      <c r="M1220" s="325" t="s">
        <v>5617</v>
      </c>
      <c r="N1220" s="358" t="s">
        <v>1879</v>
      </c>
      <c r="O1220" s="326" t="s">
        <v>33</v>
      </c>
      <c r="P1220" s="332"/>
      <c r="Q1220" s="363"/>
      <c r="R1220" s="364"/>
      <c r="S1220" s="364"/>
      <c r="T1220" s="13" t="str">
        <f t="shared" si="204"/>
        <v>23調査結果-上記以外の調査項目-7（1）-調査結果</v>
      </c>
      <c r="V1220" s="202"/>
      <c r="W1220" s="202"/>
      <c r="X1220" s="202"/>
    </row>
    <row r="1221" spans="2:24">
      <c r="B1221" s="107">
        <f>'1_入力シート【基本情報】'!$AR$493</f>
        <v>0</v>
      </c>
      <c r="C1221" s="4" t="str">
        <f t="shared" si="207"/>
        <v/>
      </c>
      <c r="D1221" s="107">
        <f>'1_入力シート【基本情報】'!$AR$493</f>
        <v>0</v>
      </c>
      <c r="E1221" s="564">
        <f>'1_入力シート【基本情報】'!$AR$493</f>
        <v>0</v>
      </c>
      <c r="F1221" s="564" t="str">
        <f t="shared" ref="F1221:F1284" si="212">SUBSTITUTE(E1221,CHAR(10),"")</f>
        <v>0</v>
      </c>
      <c r="G1221" s="24"/>
      <c r="H1221" s="565">
        <v>23</v>
      </c>
      <c r="I1221" s="334" t="s">
        <v>33</v>
      </c>
      <c r="J1221" s="357" t="s">
        <v>1407</v>
      </c>
      <c r="K1221" s="322" t="s">
        <v>155</v>
      </c>
      <c r="L1221" s="358" t="s">
        <v>1407</v>
      </c>
      <c r="M1221" s="325" t="s">
        <v>2163</v>
      </c>
      <c r="N1221" s="358" t="s">
        <v>1407</v>
      </c>
      <c r="O1221" s="326" t="s">
        <v>30</v>
      </c>
      <c r="P1221" s="332"/>
      <c r="Q1221" s="363"/>
      <c r="R1221" s="364"/>
      <c r="S1221" s="364"/>
      <c r="T1221" s="13" t="str">
        <f t="shared" si="204"/>
        <v>23調査結果-上記以外の調査項目-7（1）-調査者番号</v>
      </c>
      <c r="V1221" s="202"/>
      <c r="W1221" s="202"/>
      <c r="X1221" s="202"/>
    </row>
    <row r="1222" spans="2:24">
      <c r="B1222" s="503">
        <f>'1_入力シート【基本情報】'!$AT$493</f>
        <v>0</v>
      </c>
      <c r="C1222" s="4" t="str">
        <f t="shared" si="207"/>
        <v/>
      </c>
      <c r="D1222" s="503">
        <f>'1_入力シート【基本情報】'!$AT$493</f>
        <v>0</v>
      </c>
      <c r="E1222" s="576">
        <f>'1_入力シート【基本情報】'!$AT$493</f>
        <v>0</v>
      </c>
      <c r="F1222" s="576" t="str">
        <f t="shared" si="212"/>
        <v>0</v>
      </c>
      <c r="G1222" s="24"/>
      <c r="H1222" s="565">
        <v>23</v>
      </c>
      <c r="I1222" s="334" t="s">
        <v>33</v>
      </c>
      <c r="J1222" s="357" t="s">
        <v>1407</v>
      </c>
      <c r="K1222" s="322" t="s">
        <v>155</v>
      </c>
      <c r="L1222" s="358" t="s">
        <v>1407</v>
      </c>
      <c r="M1222" s="325" t="s">
        <v>2163</v>
      </c>
      <c r="N1222" s="358" t="s">
        <v>1407</v>
      </c>
      <c r="O1222" s="326" t="s">
        <v>2028</v>
      </c>
      <c r="P1222" s="332"/>
      <c r="Q1222" s="363"/>
      <c r="R1222" s="203"/>
      <c r="S1222" s="203"/>
      <c r="T1222" s="13" t="str">
        <f t="shared" si="204"/>
        <v>23調査結果-上記以外の調査項目-7（1）-指摘の具体的内容等</v>
      </c>
      <c r="V1222" s="202"/>
      <c r="W1222" s="202"/>
      <c r="X1222" s="202"/>
    </row>
    <row r="1223" spans="2:24">
      <c r="B1223" s="502">
        <f>'1_入力シート【基本情報】'!$BD$493</f>
        <v>0</v>
      </c>
      <c r="C1223" s="4" t="str">
        <f t="shared" si="207"/>
        <v/>
      </c>
      <c r="D1223" s="502">
        <f>'1_入力シート【基本情報】'!$BD$493</f>
        <v>0</v>
      </c>
      <c r="E1223" s="573">
        <f>'1_入力シート【基本情報】'!$BD$493</f>
        <v>0</v>
      </c>
      <c r="F1223" s="573" t="str">
        <f t="shared" si="212"/>
        <v>0</v>
      </c>
      <c r="G1223" s="24"/>
      <c r="H1223" s="565">
        <v>23</v>
      </c>
      <c r="I1223" s="334" t="s">
        <v>33</v>
      </c>
      <c r="J1223" s="357" t="s">
        <v>1407</v>
      </c>
      <c r="K1223" s="322" t="s">
        <v>155</v>
      </c>
      <c r="L1223" s="358" t="s">
        <v>1407</v>
      </c>
      <c r="M1223" s="325" t="s">
        <v>2163</v>
      </c>
      <c r="N1223" s="358" t="s">
        <v>1407</v>
      </c>
      <c r="O1223" s="326" t="s">
        <v>2029</v>
      </c>
      <c r="P1223" s="332"/>
      <c r="Q1223" s="363"/>
      <c r="R1223" s="364"/>
      <c r="S1223" s="364"/>
      <c r="T1223" s="13" t="str">
        <f t="shared" si="204"/>
        <v>23調査結果-上記以外の調査項目-7（1）-改善策の具体的内容等</v>
      </c>
      <c r="V1223" s="202"/>
      <c r="W1223" s="202"/>
      <c r="X1223" s="202"/>
    </row>
    <row r="1224" spans="2:24" ht="19">
      <c r="B1224" s="107">
        <f>'1_入力シート【基本情報】'!$BS$493</f>
        <v>0</v>
      </c>
      <c r="C1224" s="493" t="str">
        <f t="shared" ref="C1224:E1225" si="213">ASC($D1224)</f>
        <v>0</v>
      </c>
      <c r="D1224" s="107">
        <f>'1_入力シート【基本情報】'!$BS$493</f>
        <v>0</v>
      </c>
      <c r="E1224" s="7" t="str">
        <f t="shared" si="213"/>
        <v>0</v>
      </c>
      <c r="F1224" s="7" t="str">
        <f t="shared" si="212"/>
        <v>0</v>
      </c>
      <c r="G1224" s="24"/>
      <c r="H1224" s="565">
        <v>23</v>
      </c>
      <c r="I1224" s="334" t="s">
        <v>33</v>
      </c>
      <c r="J1224" s="357" t="s">
        <v>1407</v>
      </c>
      <c r="K1224" s="322" t="s">
        <v>155</v>
      </c>
      <c r="L1224" s="358" t="s">
        <v>1407</v>
      </c>
      <c r="M1224" s="325" t="s">
        <v>2163</v>
      </c>
      <c r="N1224" s="358" t="s">
        <v>1407</v>
      </c>
      <c r="O1224" s="334" t="s">
        <v>387</v>
      </c>
      <c r="P1224" s="332" t="s">
        <v>1879</v>
      </c>
      <c r="Q1224" s="363" t="s">
        <v>1966</v>
      </c>
      <c r="R1224" s="364"/>
      <c r="S1224" s="364"/>
      <c r="T1224" s="13" t="str">
        <f t="shared" si="204"/>
        <v>23調査結果-上記以外の調査項目-7（1）-改善（予定）年月-年（令和）</v>
      </c>
      <c r="V1224" s="202"/>
      <c r="W1224" s="202"/>
      <c r="X1224" s="202"/>
    </row>
    <row r="1225" spans="2:24" ht="19">
      <c r="B1225" s="107">
        <f>'1_入力シート【基本情報】'!$BV$493</f>
        <v>0</v>
      </c>
      <c r="C1225" s="493" t="str">
        <f t="shared" si="213"/>
        <v>0</v>
      </c>
      <c r="D1225" s="107">
        <f>'1_入力シート【基本情報】'!$BV$493</f>
        <v>0</v>
      </c>
      <c r="E1225" s="7" t="str">
        <f t="shared" si="213"/>
        <v>0</v>
      </c>
      <c r="F1225" s="7" t="str">
        <f t="shared" si="212"/>
        <v>0</v>
      </c>
      <c r="G1225" s="24"/>
      <c r="H1225" s="565">
        <v>23</v>
      </c>
      <c r="I1225" s="334" t="s">
        <v>33</v>
      </c>
      <c r="J1225" s="357" t="s">
        <v>1407</v>
      </c>
      <c r="K1225" s="322" t="s">
        <v>155</v>
      </c>
      <c r="L1225" s="358" t="s">
        <v>1407</v>
      </c>
      <c r="M1225" s="325" t="s">
        <v>2163</v>
      </c>
      <c r="N1225" s="358" t="s">
        <v>1407</v>
      </c>
      <c r="O1225" s="334" t="s">
        <v>387</v>
      </c>
      <c r="P1225" s="332" t="s">
        <v>1879</v>
      </c>
      <c r="Q1225" s="363" t="s">
        <v>383</v>
      </c>
      <c r="R1225" s="364"/>
      <c r="S1225" s="364"/>
      <c r="T1225" s="13" t="str">
        <f t="shared" si="204"/>
        <v>23調査結果-上記以外の調査項目-7（1）-改善（予定）年月-月</v>
      </c>
      <c r="V1225" s="202"/>
      <c r="W1225" s="202"/>
      <c r="X1225" s="202"/>
    </row>
    <row r="1226" spans="2:24">
      <c r="B1226" s="107">
        <f>'1_入力シート【基本情報】'!$BY$493</f>
        <v>0</v>
      </c>
      <c r="C1226" s="4" t="str">
        <f t="shared" si="207"/>
        <v/>
      </c>
      <c r="D1226" s="107">
        <f>'1_入力シート【基本情報】'!$BY$493</f>
        <v>0</v>
      </c>
      <c r="E1226" s="564">
        <f>'1_入力シート【基本情報】'!$BY$493</f>
        <v>0</v>
      </c>
      <c r="F1226" s="564" t="str">
        <f t="shared" si="212"/>
        <v>0</v>
      </c>
      <c r="G1226" s="24"/>
      <c r="H1226" s="565">
        <v>23</v>
      </c>
      <c r="I1226" s="334" t="s">
        <v>33</v>
      </c>
      <c r="J1226" s="357" t="s">
        <v>1407</v>
      </c>
      <c r="K1226" s="322" t="s">
        <v>155</v>
      </c>
      <c r="L1226" s="358" t="s">
        <v>1407</v>
      </c>
      <c r="M1226" s="325" t="s">
        <v>2163</v>
      </c>
      <c r="N1226" s="358" t="s">
        <v>1407</v>
      </c>
      <c r="O1226" s="334" t="s">
        <v>387</v>
      </c>
      <c r="P1226" s="332" t="s">
        <v>1879</v>
      </c>
      <c r="Q1226" s="363" t="s">
        <v>675</v>
      </c>
      <c r="R1226" s="364"/>
      <c r="S1226" s="364"/>
      <c r="T1226" s="13" t="str">
        <f t="shared" si="204"/>
        <v>23調査結果-上記以外の調査項目-7（1）-改善（予定）年月-未定</v>
      </c>
      <c r="V1226" s="202"/>
      <c r="W1226" s="202"/>
      <c r="X1226" s="202"/>
    </row>
    <row r="1227" spans="2:24">
      <c r="B1227" s="107">
        <f>'1_入力シート【基本情報】'!$AF$494</f>
        <v>0</v>
      </c>
      <c r="C1227" s="4" t="str">
        <f t="shared" si="207"/>
        <v/>
      </c>
      <c r="D1227" s="107" t="str">
        <f>C1227</f>
        <v/>
      </c>
      <c r="E1227" s="564" t="str">
        <f>D1227</f>
        <v/>
      </c>
      <c r="F1227" s="564" t="str">
        <f t="shared" si="212"/>
        <v/>
      </c>
      <c r="G1227" s="24"/>
      <c r="H1227" s="565">
        <v>23</v>
      </c>
      <c r="I1227" s="334" t="s">
        <v>33</v>
      </c>
      <c r="J1227" s="357" t="s">
        <v>1407</v>
      </c>
      <c r="K1227" s="322" t="s">
        <v>155</v>
      </c>
      <c r="L1227" s="358" t="s">
        <v>1407</v>
      </c>
      <c r="M1227" s="325" t="s">
        <v>2164</v>
      </c>
      <c r="N1227" s="358" t="s">
        <v>1407</v>
      </c>
      <c r="O1227" s="326" t="s">
        <v>33</v>
      </c>
      <c r="P1227" s="327"/>
      <c r="Q1227" s="336"/>
      <c r="R1227" s="364"/>
      <c r="S1227" s="364"/>
      <c r="T1227" s="13" t="str">
        <f t="shared" si="204"/>
        <v>23調査結果-上記以外の調査項目-7（2）-調査結果</v>
      </c>
      <c r="V1227" s="202"/>
      <c r="W1227" s="202"/>
      <c r="X1227" s="202"/>
    </row>
    <row r="1228" spans="2:24">
      <c r="B1228" s="107">
        <f>'1_入力シート【基本情報】'!$AR$494</f>
        <v>0</v>
      </c>
      <c r="C1228" s="4" t="str">
        <f t="shared" si="207"/>
        <v/>
      </c>
      <c r="D1228" s="107">
        <f>'1_入力シート【基本情報】'!$AR$494</f>
        <v>0</v>
      </c>
      <c r="E1228" s="564">
        <f>'1_入力シート【基本情報】'!$AR$494</f>
        <v>0</v>
      </c>
      <c r="F1228" s="564" t="str">
        <f t="shared" si="212"/>
        <v>0</v>
      </c>
      <c r="G1228" s="24"/>
      <c r="H1228" s="565">
        <v>23</v>
      </c>
      <c r="I1228" s="334" t="s">
        <v>33</v>
      </c>
      <c r="J1228" s="357" t="s">
        <v>1407</v>
      </c>
      <c r="K1228" s="322" t="s">
        <v>155</v>
      </c>
      <c r="L1228" s="358" t="s">
        <v>1407</v>
      </c>
      <c r="M1228" s="325" t="s">
        <v>2164</v>
      </c>
      <c r="N1228" s="358" t="s">
        <v>1407</v>
      </c>
      <c r="O1228" s="326" t="s">
        <v>30</v>
      </c>
      <c r="P1228" s="332"/>
      <c r="Q1228" s="363"/>
      <c r="R1228" s="364"/>
      <c r="S1228" s="364"/>
      <c r="T1228" s="13" t="str">
        <f t="shared" si="204"/>
        <v>23調査結果-上記以外の調査項目-7（2）-調査者番号</v>
      </c>
      <c r="V1228" s="202"/>
      <c r="W1228" s="202"/>
      <c r="X1228" s="202"/>
    </row>
    <row r="1229" spans="2:24">
      <c r="B1229" s="107">
        <f>'1_入力シート【基本情報】'!$AT$494</f>
        <v>0</v>
      </c>
      <c r="C1229" s="4" t="str">
        <f t="shared" si="207"/>
        <v/>
      </c>
      <c r="D1229" s="107">
        <f>'1_入力シート【基本情報】'!$AT$494</f>
        <v>0</v>
      </c>
      <c r="E1229" s="564">
        <f>'1_入力シート【基本情報】'!$AT$494</f>
        <v>0</v>
      </c>
      <c r="F1229" s="564" t="str">
        <f t="shared" si="212"/>
        <v>0</v>
      </c>
      <c r="G1229" s="24"/>
      <c r="H1229" s="565">
        <v>23</v>
      </c>
      <c r="I1229" s="334" t="s">
        <v>33</v>
      </c>
      <c r="J1229" s="357" t="s">
        <v>1407</v>
      </c>
      <c r="K1229" s="322" t="s">
        <v>155</v>
      </c>
      <c r="L1229" s="358" t="s">
        <v>1407</v>
      </c>
      <c r="M1229" s="325" t="s">
        <v>2164</v>
      </c>
      <c r="N1229" s="358" t="s">
        <v>1407</v>
      </c>
      <c r="O1229" s="326" t="s">
        <v>2028</v>
      </c>
      <c r="P1229" s="332"/>
      <c r="Q1229" s="363"/>
      <c r="R1229" s="364"/>
      <c r="S1229" s="364"/>
      <c r="T1229" s="13" t="str">
        <f t="shared" si="204"/>
        <v>23調査結果-上記以外の調査項目-7（2）-指摘の具体的内容等</v>
      </c>
      <c r="V1229" s="202"/>
      <c r="W1229" s="202"/>
      <c r="X1229" s="202"/>
    </row>
    <row r="1230" spans="2:24">
      <c r="B1230" s="107">
        <f>'1_入力シート【基本情報】'!$BD$494</f>
        <v>0</v>
      </c>
      <c r="C1230" s="4" t="str">
        <f t="shared" si="207"/>
        <v/>
      </c>
      <c r="D1230" s="107">
        <f>'1_入力シート【基本情報】'!$BD$494</f>
        <v>0</v>
      </c>
      <c r="E1230" s="564">
        <f>'1_入力シート【基本情報】'!$BD$494</f>
        <v>0</v>
      </c>
      <c r="F1230" s="564" t="str">
        <f t="shared" si="212"/>
        <v>0</v>
      </c>
      <c r="G1230" s="24"/>
      <c r="H1230" s="565">
        <v>23</v>
      </c>
      <c r="I1230" s="334" t="s">
        <v>33</v>
      </c>
      <c r="J1230" s="357" t="s">
        <v>1407</v>
      </c>
      <c r="K1230" s="322" t="s">
        <v>155</v>
      </c>
      <c r="L1230" s="358" t="s">
        <v>1407</v>
      </c>
      <c r="M1230" s="325" t="s">
        <v>2164</v>
      </c>
      <c r="N1230" s="358" t="s">
        <v>1407</v>
      </c>
      <c r="O1230" s="326" t="s">
        <v>2029</v>
      </c>
      <c r="P1230" s="332"/>
      <c r="Q1230" s="363"/>
      <c r="R1230" s="203"/>
      <c r="S1230" s="203"/>
      <c r="T1230" s="13" t="str">
        <f t="shared" si="204"/>
        <v>23調査結果-上記以外の調査項目-7（2）-改善策の具体的内容等</v>
      </c>
      <c r="V1230" s="202"/>
      <c r="W1230" s="202"/>
      <c r="X1230" s="202"/>
    </row>
    <row r="1231" spans="2:24" ht="19">
      <c r="B1231" s="107">
        <f>'1_入力シート【基本情報】'!$BS$494</f>
        <v>0</v>
      </c>
      <c r="C1231" s="493" t="str">
        <f t="shared" ref="C1231:E1232" si="214">ASC($D1231)</f>
        <v>0</v>
      </c>
      <c r="D1231" s="107">
        <f>'1_入力シート【基本情報】'!$BS$494</f>
        <v>0</v>
      </c>
      <c r="E1231" s="7" t="str">
        <f t="shared" si="214"/>
        <v>0</v>
      </c>
      <c r="F1231" s="7" t="str">
        <f t="shared" si="212"/>
        <v>0</v>
      </c>
      <c r="G1231" s="24"/>
      <c r="H1231" s="565">
        <v>23</v>
      </c>
      <c r="I1231" s="334" t="s">
        <v>33</v>
      </c>
      <c r="J1231" s="357" t="s">
        <v>1407</v>
      </c>
      <c r="K1231" s="322" t="s">
        <v>155</v>
      </c>
      <c r="L1231" s="358" t="s">
        <v>1407</v>
      </c>
      <c r="M1231" s="325" t="s">
        <v>2164</v>
      </c>
      <c r="N1231" s="358" t="s">
        <v>1407</v>
      </c>
      <c r="O1231" s="326" t="s">
        <v>387</v>
      </c>
      <c r="P1231" s="332" t="s">
        <v>1879</v>
      </c>
      <c r="Q1231" s="363" t="s">
        <v>1966</v>
      </c>
      <c r="R1231" s="364"/>
      <c r="S1231" s="364"/>
      <c r="T1231" s="13" t="str">
        <f t="shared" si="204"/>
        <v>23調査結果-上記以外の調査項目-7（2）-改善（予定）年月-年（令和）</v>
      </c>
      <c r="V1231" s="202"/>
      <c r="W1231" s="202"/>
      <c r="X1231" s="202"/>
    </row>
    <row r="1232" spans="2:24" ht="19">
      <c r="B1232" s="107">
        <f>'1_入力シート【基本情報】'!$BV$494</f>
        <v>0</v>
      </c>
      <c r="C1232" s="493" t="str">
        <f t="shared" si="214"/>
        <v>0</v>
      </c>
      <c r="D1232" s="107">
        <f>'1_入力シート【基本情報】'!$BV$494</f>
        <v>0</v>
      </c>
      <c r="E1232" s="7" t="str">
        <f t="shared" si="214"/>
        <v>0</v>
      </c>
      <c r="F1232" s="7" t="str">
        <f t="shared" si="212"/>
        <v>0</v>
      </c>
      <c r="G1232" s="24"/>
      <c r="H1232" s="565">
        <v>23</v>
      </c>
      <c r="I1232" s="334" t="s">
        <v>33</v>
      </c>
      <c r="J1232" s="357" t="s">
        <v>1407</v>
      </c>
      <c r="K1232" s="322" t="s">
        <v>155</v>
      </c>
      <c r="L1232" s="358" t="s">
        <v>1407</v>
      </c>
      <c r="M1232" s="325" t="s">
        <v>2164</v>
      </c>
      <c r="N1232" s="358" t="s">
        <v>1407</v>
      </c>
      <c r="O1232" s="334" t="s">
        <v>387</v>
      </c>
      <c r="P1232" s="332" t="s">
        <v>1879</v>
      </c>
      <c r="Q1232" s="363" t="s">
        <v>383</v>
      </c>
      <c r="R1232" s="364"/>
      <c r="S1232" s="364"/>
      <c r="T1232" s="13" t="str">
        <f t="shared" si="204"/>
        <v>23調査結果-上記以外の調査項目-7（2）-改善（予定）年月-月</v>
      </c>
      <c r="V1232" s="202"/>
      <c r="W1232" s="202"/>
      <c r="X1232" s="202"/>
    </row>
    <row r="1233" spans="2:24">
      <c r="B1233" s="107">
        <f>'1_入力シート【基本情報】'!$BY$494</f>
        <v>0</v>
      </c>
      <c r="C1233" s="4" t="str">
        <f t="shared" si="207"/>
        <v/>
      </c>
      <c r="D1233" s="107">
        <f>'1_入力シート【基本情報】'!$BY$494</f>
        <v>0</v>
      </c>
      <c r="E1233" s="564">
        <f>'1_入力シート【基本情報】'!$BY$494</f>
        <v>0</v>
      </c>
      <c r="F1233" s="564" t="str">
        <f t="shared" si="212"/>
        <v>0</v>
      </c>
      <c r="G1233" s="24"/>
      <c r="H1233" s="565">
        <v>23</v>
      </c>
      <c r="I1233" s="334" t="s">
        <v>33</v>
      </c>
      <c r="J1233" s="357" t="s">
        <v>1407</v>
      </c>
      <c r="K1233" s="322" t="s">
        <v>155</v>
      </c>
      <c r="L1233" s="358" t="s">
        <v>1407</v>
      </c>
      <c r="M1233" s="325" t="s">
        <v>2164</v>
      </c>
      <c r="N1233" s="358" t="s">
        <v>1407</v>
      </c>
      <c r="O1233" s="334" t="s">
        <v>387</v>
      </c>
      <c r="P1233" s="332" t="s">
        <v>1879</v>
      </c>
      <c r="Q1233" s="363" t="s">
        <v>675</v>
      </c>
      <c r="R1233" s="364"/>
      <c r="S1233" s="364"/>
      <c r="T1233" s="13" t="str">
        <f t="shared" si="204"/>
        <v>23調査結果-上記以外の調査項目-7（2）-改善（予定）年月-未定</v>
      </c>
      <c r="V1233" s="202"/>
      <c r="W1233" s="202"/>
      <c r="X1233" s="202"/>
    </row>
    <row r="1234" spans="2:24">
      <c r="B1234" s="107">
        <f>'1_入力シート【基本情報】'!$AF$495</f>
        <v>0</v>
      </c>
      <c r="C1234" s="4" t="str">
        <f t="shared" si="207"/>
        <v/>
      </c>
      <c r="D1234" s="107" t="str">
        <f>C1234</f>
        <v/>
      </c>
      <c r="E1234" s="564" t="str">
        <f>D1234</f>
        <v/>
      </c>
      <c r="F1234" s="564" t="str">
        <f t="shared" si="212"/>
        <v/>
      </c>
      <c r="G1234" s="24"/>
      <c r="H1234" s="565">
        <v>23</v>
      </c>
      <c r="I1234" s="334" t="s">
        <v>33</v>
      </c>
      <c r="J1234" s="357" t="s">
        <v>1407</v>
      </c>
      <c r="K1234" s="322" t="s">
        <v>155</v>
      </c>
      <c r="L1234" s="358" t="s">
        <v>1407</v>
      </c>
      <c r="M1234" s="325" t="s">
        <v>2165</v>
      </c>
      <c r="N1234" s="358" t="s">
        <v>1407</v>
      </c>
      <c r="O1234" s="334" t="s">
        <v>33</v>
      </c>
      <c r="P1234" s="332"/>
      <c r="Q1234" s="363"/>
      <c r="R1234" s="364"/>
      <c r="S1234" s="364"/>
      <c r="T1234" s="13" t="str">
        <f t="shared" si="204"/>
        <v>23調査結果-上記以外の調査項目-7（3）-調査結果</v>
      </c>
      <c r="V1234" s="202"/>
      <c r="W1234" s="202"/>
      <c r="X1234" s="202"/>
    </row>
    <row r="1235" spans="2:24">
      <c r="B1235" s="107">
        <f>'1_入力シート【基本情報】'!$AR$495</f>
        <v>0</v>
      </c>
      <c r="C1235" s="4" t="str">
        <f t="shared" si="207"/>
        <v/>
      </c>
      <c r="D1235" s="107">
        <f>'1_入力シート【基本情報】'!$AR$495</f>
        <v>0</v>
      </c>
      <c r="E1235" s="564">
        <f>'1_入力シート【基本情報】'!$AR$495</f>
        <v>0</v>
      </c>
      <c r="F1235" s="564" t="str">
        <f t="shared" si="212"/>
        <v>0</v>
      </c>
      <c r="G1235" s="24"/>
      <c r="H1235" s="565">
        <v>23</v>
      </c>
      <c r="I1235" s="334" t="s">
        <v>33</v>
      </c>
      <c r="J1235" s="357" t="s">
        <v>1407</v>
      </c>
      <c r="K1235" s="322" t="s">
        <v>155</v>
      </c>
      <c r="L1235" s="358" t="s">
        <v>1407</v>
      </c>
      <c r="M1235" s="325" t="s">
        <v>2165</v>
      </c>
      <c r="N1235" s="358" t="s">
        <v>1407</v>
      </c>
      <c r="O1235" s="326" t="s">
        <v>30</v>
      </c>
      <c r="P1235" s="327"/>
      <c r="Q1235" s="336"/>
      <c r="R1235" s="364"/>
      <c r="S1235" s="364"/>
      <c r="T1235" s="13" t="str">
        <f t="shared" si="204"/>
        <v>23調査結果-上記以外の調査項目-7（3）-調査者番号</v>
      </c>
      <c r="V1235" s="202"/>
      <c r="W1235" s="202"/>
      <c r="X1235" s="202"/>
    </row>
    <row r="1236" spans="2:24">
      <c r="B1236" s="107">
        <f>'1_入力シート【基本情報】'!$AT$495</f>
        <v>0</v>
      </c>
      <c r="C1236" s="4" t="str">
        <f t="shared" si="207"/>
        <v/>
      </c>
      <c r="D1236" s="107">
        <f>'1_入力シート【基本情報】'!$AT$495</f>
        <v>0</v>
      </c>
      <c r="E1236" s="564">
        <f>'1_入力シート【基本情報】'!$AT$495</f>
        <v>0</v>
      </c>
      <c r="F1236" s="564" t="str">
        <f t="shared" si="212"/>
        <v>0</v>
      </c>
      <c r="G1236" s="24"/>
      <c r="H1236" s="565">
        <v>23</v>
      </c>
      <c r="I1236" s="334" t="s">
        <v>33</v>
      </c>
      <c r="J1236" s="357" t="s">
        <v>1407</v>
      </c>
      <c r="K1236" s="322" t="s">
        <v>155</v>
      </c>
      <c r="L1236" s="358" t="s">
        <v>1407</v>
      </c>
      <c r="M1236" s="325" t="s">
        <v>2165</v>
      </c>
      <c r="N1236" s="358" t="s">
        <v>1407</v>
      </c>
      <c r="O1236" s="326" t="s">
        <v>2028</v>
      </c>
      <c r="P1236" s="332"/>
      <c r="Q1236" s="363"/>
      <c r="R1236" s="364"/>
      <c r="S1236" s="364"/>
      <c r="T1236" s="13" t="str">
        <f t="shared" si="204"/>
        <v>23調査結果-上記以外の調査項目-7（3）-指摘の具体的内容等</v>
      </c>
      <c r="V1236" s="202"/>
      <c r="W1236" s="202"/>
      <c r="X1236" s="202"/>
    </row>
    <row r="1237" spans="2:24">
      <c r="B1237" s="107">
        <f>'1_入力シート【基本情報】'!$BD$495</f>
        <v>0</v>
      </c>
      <c r="C1237" s="4" t="str">
        <f t="shared" si="207"/>
        <v/>
      </c>
      <c r="D1237" s="107">
        <f>'1_入力シート【基本情報】'!$BD$495</f>
        <v>0</v>
      </c>
      <c r="E1237" s="564">
        <f>'1_入力シート【基本情報】'!$BD$495</f>
        <v>0</v>
      </c>
      <c r="F1237" s="564" t="str">
        <f t="shared" si="212"/>
        <v>0</v>
      </c>
      <c r="G1237" s="24"/>
      <c r="H1237" s="565">
        <v>23</v>
      </c>
      <c r="I1237" s="334" t="s">
        <v>33</v>
      </c>
      <c r="J1237" s="357" t="s">
        <v>1407</v>
      </c>
      <c r="K1237" s="322" t="s">
        <v>155</v>
      </c>
      <c r="L1237" s="358" t="s">
        <v>1407</v>
      </c>
      <c r="M1237" s="325" t="s">
        <v>2165</v>
      </c>
      <c r="N1237" s="358" t="s">
        <v>1407</v>
      </c>
      <c r="O1237" s="326" t="s">
        <v>2029</v>
      </c>
      <c r="P1237" s="332"/>
      <c r="Q1237" s="363"/>
      <c r="R1237" s="364"/>
      <c r="S1237" s="364"/>
      <c r="T1237" s="13" t="str">
        <f t="shared" si="204"/>
        <v>23調査結果-上記以外の調査項目-7（3）-改善策の具体的内容等</v>
      </c>
      <c r="V1237" s="202"/>
      <c r="W1237" s="202"/>
      <c r="X1237" s="202"/>
    </row>
    <row r="1238" spans="2:24" ht="19">
      <c r="B1238" s="107">
        <f>'1_入力シート【基本情報】'!$BS$495</f>
        <v>0</v>
      </c>
      <c r="C1238" s="493" t="str">
        <f t="shared" ref="C1238:E1239" si="215">ASC($D1238)</f>
        <v>0</v>
      </c>
      <c r="D1238" s="107">
        <f>'1_入力シート【基本情報】'!$BS$495</f>
        <v>0</v>
      </c>
      <c r="E1238" s="7" t="str">
        <f t="shared" si="215"/>
        <v>0</v>
      </c>
      <c r="F1238" s="7" t="str">
        <f t="shared" si="212"/>
        <v>0</v>
      </c>
      <c r="G1238" s="24"/>
      <c r="H1238" s="565">
        <v>23</v>
      </c>
      <c r="I1238" s="334" t="s">
        <v>33</v>
      </c>
      <c r="J1238" s="357" t="s">
        <v>1407</v>
      </c>
      <c r="K1238" s="322" t="s">
        <v>155</v>
      </c>
      <c r="L1238" s="358" t="s">
        <v>1407</v>
      </c>
      <c r="M1238" s="325" t="s">
        <v>2165</v>
      </c>
      <c r="N1238" s="358" t="s">
        <v>1407</v>
      </c>
      <c r="O1238" s="326" t="s">
        <v>387</v>
      </c>
      <c r="P1238" s="332" t="s">
        <v>1879</v>
      </c>
      <c r="Q1238" s="363" t="s">
        <v>1966</v>
      </c>
      <c r="R1238" s="203"/>
      <c r="S1238" s="203"/>
      <c r="T1238" s="13" t="str">
        <f t="shared" si="204"/>
        <v>23調査結果-上記以外の調査項目-7（3）-改善（予定）年月-年（令和）</v>
      </c>
      <c r="V1238" s="202"/>
      <c r="W1238" s="202"/>
      <c r="X1238" s="202"/>
    </row>
    <row r="1239" spans="2:24" ht="19">
      <c r="B1239" s="107">
        <f>'1_入力シート【基本情報】'!$BV$495</f>
        <v>0</v>
      </c>
      <c r="C1239" s="493" t="str">
        <f t="shared" si="215"/>
        <v>0</v>
      </c>
      <c r="D1239" s="107">
        <f>'1_入力シート【基本情報】'!$BV$495</f>
        <v>0</v>
      </c>
      <c r="E1239" s="7" t="str">
        <f t="shared" si="215"/>
        <v>0</v>
      </c>
      <c r="F1239" s="7" t="str">
        <f t="shared" si="212"/>
        <v>0</v>
      </c>
      <c r="G1239" s="24"/>
      <c r="H1239" s="565">
        <v>23</v>
      </c>
      <c r="I1239" s="334" t="s">
        <v>33</v>
      </c>
      <c r="J1239" s="357" t="s">
        <v>1407</v>
      </c>
      <c r="K1239" s="322" t="s">
        <v>155</v>
      </c>
      <c r="L1239" s="358" t="s">
        <v>1407</v>
      </c>
      <c r="M1239" s="325" t="s">
        <v>2165</v>
      </c>
      <c r="N1239" s="358" t="s">
        <v>1407</v>
      </c>
      <c r="O1239" s="326" t="s">
        <v>387</v>
      </c>
      <c r="P1239" s="332" t="s">
        <v>1879</v>
      </c>
      <c r="Q1239" s="363" t="s">
        <v>383</v>
      </c>
      <c r="R1239" s="364"/>
      <c r="S1239" s="364"/>
      <c r="T1239" s="13" t="str">
        <f t="shared" si="204"/>
        <v>23調査結果-上記以外の調査項目-7（3）-改善（予定）年月-月</v>
      </c>
      <c r="V1239" s="202"/>
      <c r="W1239" s="202"/>
      <c r="X1239" s="202"/>
    </row>
    <row r="1240" spans="2:24">
      <c r="B1240" s="107">
        <f>'1_入力シート【基本情報】'!$BY$495</f>
        <v>0</v>
      </c>
      <c r="C1240" s="4" t="str">
        <f t="shared" si="207"/>
        <v/>
      </c>
      <c r="D1240" s="107">
        <f>'1_入力シート【基本情報】'!$BY$495</f>
        <v>0</v>
      </c>
      <c r="E1240" s="564">
        <f>'1_入力シート【基本情報】'!$BY$495</f>
        <v>0</v>
      </c>
      <c r="F1240" s="564" t="str">
        <f t="shared" si="212"/>
        <v>0</v>
      </c>
      <c r="G1240" s="24"/>
      <c r="H1240" s="565">
        <v>23</v>
      </c>
      <c r="I1240" s="334" t="s">
        <v>33</v>
      </c>
      <c r="J1240" s="357" t="s">
        <v>1407</v>
      </c>
      <c r="K1240" s="322" t="s">
        <v>155</v>
      </c>
      <c r="L1240" s="358" t="s">
        <v>1407</v>
      </c>
      <c r="M1240" s="325" t="s">
        <v>2165</v>
      </c>
      <c r="N1240" s="358" t="s">
        <v>1407</v>
      </c>
      <c r="O1240" s="334" t="s">
        <v>387</v>
      </c>
      <c r="P1240" s="332" t="s">
        <v>1879</v>
      </c>
      <c r="Q1240" s="363" t="s">
        <v>675</v>
      </c>
      <c r="R1240" s="364"/>
      <c r="S1240" s="364"/>
      <c r="T1240" s="13" t="str">
        <f t="shared" si="204"/>
        <v>23調査結果-上記以外の調査項目-7（3）-改善（予定）年月-未定</v>
      </c>
      <c r="V1240" s="202"/>
      <c r="W1240" s="202"/>
      <c r="X1240" s="202"/>
    </row>
    <row r="1241" spans="2:24">
      <c r="B1241" s="107">
        <f>'1_入力シート【基本情報】'!$AF$496</f>
        <v>0</v>
      </c>
      <c r="C1241" s="4" t="str">
        <f t="shared" si="207"/>
        <v/>
      </c>
      <c r="D1241" s="107" t="str">
        <f>C1241</f>
        <v/>
      </c>
      <c r="E1241" s="564" t="str">
        <f>D1241</f>
        <v/>
      </c>
      <c r="F1241" s="564" t="str">
        <f t="shared" si="212"/>
        <v/>
      </c>
      <c r="G1241" s="24"/>
      <c r="H1241" s="565">
        <v>23</v>
      </c>
      <c r="I1241" s="334" t="s">
        <v>33</v>
      </c>
      <c r="J1241" s="357" t="s">
        <v>1407</v>
      </c>
      <c r="K1241" s="322" t="s">
        <v>155</v>
      </c>
      <c r="L1241" s="358" t="s">
        <v>1407</v>
      </c>
      <c r="M1241" s="325" t="s">
        <v>2166</v>
      </c>
      <c r="N1241" s="358" t="s">
        <v>1407</v>
      </c>
      <c r="O1241" s="334" t="s">
        <v>33</v>
      </c>
      <c r="P1241" s="332"/>
      <c r="Q1241" s="363"/>
      <c r="R1241" s="364"/>
      <c r="S1241" s="364"/>
      <c r="T1241" s="13" t="str">
        <f t="shared" si="204"/>
        <v>23調査結果-上記以外の調査項目-7（4）-調査結果</v>
      </c>
      <c r="V1241" s="202"/>
      <c r="W1241" s="202"/>
      <c r="X1241" s="202"/>
    </row>
    <row r="1242" spans="2:24">
      <c r="B1242" s="107">
        <f>'1_入力シート【基本情報】'!$AR$496</f>
        <v>0</v>
      </c>
      <c r="C1242" s="4" t="str">
        <f t="shared" si="207"/>
        <v/>
      </c>
      <c r="D1242" s="107">
        <f>'1_入力シート【基本情報】'!$AR$496</f>
        <v>0</v>
      </c>
      <c r="E1242" s="564">
        <f>'1_入力シート【基本情報】'!$AR$496</f>
        <v>0</v>
      </c>
      <c r="F1242" s="564" t="str">
        <f t="shared" si="212"/>
        <v>0</v>
      </c>
      <c r="G1242" s="24"/>
      <c r="H1242" s="565">
        <v>23</v>
      </c>
      <c r="I1242" s="334" t="s">
        <v>33</v>
      </c>
      <c r="J1242" s="357" t="s">
        <v>1407</v>
      </c>
      <c r="K1242" s="322" t="s">
        <v>155</v>
      </c>
      <c r="L1242" s="358" t="s">
        <v>1407</v>
      </c>
      <c r="M1242" s="325" t="s">
        <v>2166</v>
      </c>
      <c r="N1242" s="358" t="s">
        <v>1407</v>
      </c>
      <c r="O1242" s="334" t="s">
        <v>30</v>
      </c>
      <c r="P1242" s="332"/>
      <c r="Q1242" s="363"/>
      <c r="R1242" s="364"/>
      <c r="S1242" s="364"/>
      <c r="T1242" s="13" t="str">
        <f t="shared" si="204"/>
        <v>23調査結果-上記以外の調査項目-7（4）-調査者番号</v>
      </c>
      <c r="V1242" s="202"/>
      <c r="W1242" s="202"/>
      <c r="X1242" s="202"/>
    </row>
    <row r="1243" spans="2:24">
      <c r="B1243" s="107">
        <f>'1_入力シート【基本情報】'!$AT$496</f>
        <v>0</v>
      </c>
      <c r="C1243" s="4" t="str">
        <f t="shared" si="207"/>
        <v/>
      </c>
      <c r="D1243" s="107">
        <f>'1_入力シート【基本情報】'!$AT$496</f>
        <v>0</v>
      </c>
      <c r="E1243" s="564">
        <f>'1_入力シート【基本情報】'!$AT$496</f>
        <v>0</v>
      </c>
      <c r="F1243" s="564" t="str">
        <f t="shared" si="212"/>
        <v>0</v>
      </c>
      <c r="G1243" s="24"/>
      <c r="H1243" s="565">
        <v>23</v>
      </c>
      <c r="I1243" s="334" t="s">
        <v>33</v>
      </c>
      <c r="J1243" s="357" t="s">
        <v>1407</v>
      </c>
      <c r="K1243" s="322" t="s">
        <v>155</v>
      </c>
      <c r="L1243" s="358" t="s">
        <v>1407</v>
      </c>
      <c r="M1243" s="325" t="s">
        <v>2166</v>
      </c>
      <c r="N1243" s="358" t="s">
        <v>1407</v>
      </c>
      <c r="O1243" s="326" t="s">
        <v>2028</v>
      </c>
      <c r="P1243" s="327"/>
      <c r="Q1243" s="336"/>
      <c r="R1243" s="364"/>
      <c r="S1243" s="364"/>
      <c r="T1243" s="13" t="str">
        <f t="shared" si="204"/>
        <v>23調査結果-上記以外の調査項目-7（4）-指摘の具体的内容等</v>
      </c>
      <c r="V1243" s="202"/>
      <c r="W1243" s="202"/>
      <c r="X1243" s="202"/>
    </row>
    <row r="1244" spans="2:24">
      <c r="B1244" s="107">
        <f>'1_入力シート【基本情報】'!$BD$496</f>
        <v>0</v>
      </c>
      <c r="C1244" s="4" t="str">
        <f t="shared" si="207"/>
        <v/>
      </c>
      <c r="D1244" s="107">
        <f>'1_入力シート【基本情報】'!$BD$496</f>
        <v>0</v>
      </c>
      <c r="E1244" s="564">
        <f>'1_入力シート【基本情報】'!$BD$496</f>
        <v>0</v>
      </c>
      <c r="F1244" s="564" t="str">
        <f t="shared" si="212"/>
        <v>0</v>
      </c>
      <c r="G1244" s="24"/>
      <c r="H1244" s="565">
        <v>23</v>
      </c>
      <c r="I1244" s="334" t="s">
        <v>33</v>
      </c>
      <c r="J1244" s="357" t="s">
        <v>1407</v>
      </c>
      <c r="K1244" s="322" t="s">
        <v>155</v>
      </c>
      <c r="L1244" s="358" t="s">
        <v>1407</v>
      </c>
      <c r="M1244" s="325" t="s">
        <v>2166</v>
      </c>
      <c r="N1244" s="358" t="s">
        <v>1407</v>
      </c>
      <c r="O1244" s="326" t="s">
        <v>2029</v>
      </c>
      <c r="P1244" s="332"/>
      <c r="Q1244" s="363"/>
      <c r="R1244" s="364"/>
      <c r="S1244" s="364"/>
      <c r="T1244" s="13" t="str">
        <f t="shared" si="204"/>
        <v>23調査結果-上記以外の調査項目-7（4）-改善策の具体的内容等</v>
      </c>
      <c r="V1244" s="202"/>
      <c r="W1244" s="202"/>
      <c r="X1244" s="202"/>
    </row>
    <row r="1245" spans="2:24" ht="19">
      <c r="B1245" s="107">
        <f>'1_入力シート【基本情報】'!$BS$496</f>
        <v>0</v>
      </c>
      <c r="C1245" s="493" t="str">
        <f t="shared" ref="C1245:E1246" si="216">ASC($D1245)</f>
        <v>0</v>
      </c>
      <c r="D1245" s="107">
        <f>'1_入力シート【基本情報】'!$BS$496</f>
        <v>0</v>
      </c>
      <c r="E1245" s="7" t="str">
        <f t="shared" si="216"/>
        <v>0</v>
      </c>
      <c r="F1245" s="7" t="str">
        <f t="shared" si="212"/>
        <v>0</v>
      </c>
      <c r="G1245" s="24"/>
      <c r="H1245" s="565">
        <v>23</v>
      </c>
      <c r="I1245" s="334" t="s">
        <v>33</v>
      </c>
      <c r="J1245" s="357" t="s">
        <v>1407</v>
      </c>
      <c r="K1245" s="322" t="s">
        <v>155</v>
      </c>
      <c r="L1245" s="358" t="s">
        <v>1407</v>
      </c>
      <c r="M1245" s="325" t="s">
        <v>2166</v>
      </c>
      <c r="N1245" s="358" t="s">
        <v>1407</v>
      </c>
      <c r="O1245" s="326" t="s">
        <v>387</v>
      </c>
      <c r="P1245" s="332" t="s">
        <v>1879</v>
      </c>
      <c r="Q1245" s="363" t="s">
        <v>1966</v>
      </c>
      <c r="R1245" s="364"/>
      <c r="S1245" s="364"/>
      <c r="T1245" s="13" t="str">
        <f t="shared" si="204"/>
        <v>23調査結果-上記以外の調査項目-7（4）-改善（予定）年月-年（令和）</v>
      </c>
      <c r="V1245" s="202"/>
      <c r="W1245" s="202"/>
      <c r="X1245" s="202"/>
    </row>
    <row r="1246" spans="2:24" ht="19">
      <c r="B1246" s="107">
        <f>'1_入力シート【基本情報】'!$BV$496</f>
        <v>0</v>
      </c>
      <c r="C1246" s="493" t="str">
        <f t="shared" si="216"/>
        <v>0</v>
      </c>
      <c r="D1246" s="107">
        <f>'1_入力シート【基本情報】'!$BV$496</f>
        <v>0</v>
      </c>
      <c r="E1246" s="7" t="str">
        <f t="shared" si="216"/>
        <v>0</v>
      </c>
      <c r="F1246" s="7" t="str">
        <f t="shared" si="212"/>
        <v>0</v>
      </c>
      <c r="G1246" s="24"/>
      <c r="H1246" s="565">
        <v>23</v>
      </c>
      <c r="I1246" s="334" t="s">
        <v>33</v>
      </c>
      <c r="J1246" s="357" t="s">
        <v>1407</v>
      </c>
      <c r="K1246" s="322" t="s">
        <v>155</v>
      </c>
      <c r="L1246" s="358" t="s">
        <v>1407</v>
      </c>
      <c r="M1246" s="325" t="s">
        <v>2166</v>
      </c>
      <c r="N1246" s="358" t="s">
        <v>1407</v>
      </c>
      <c r="O1246" s="326" t="s">
        <v>387</v>
      </c>
      <c r="P1246" s="332" t="s">
        <v>1879</v>
      </c>
      <c r="Q1246" s="363" t="s">
        <v>383</v>
      </c>
      <c r="R1246" s="203"/>
      <c r="S1246" s="203"/>
      <c r="T1246" s="13" t="str">
        <f t="shared" si="204"/>
        <v>23調査結果-上記以外の調査項目-7（4）-改善（予定）年月-月</v>
      </c>
      <c r="V1246" s="202"/>
      <c r="W1246" s="202"/>
      <c r="X1246" s="202"/>
    </row>
    <row r="1247" spans="2:24">
      <c r="B1247" s="107">
        <f>'1_入力シート【基本情報】'!$BY$496</f>
        <v>0</v>
      </c>
      <c r="C1247" s="4" t="str">
        <f t="shared" si="207"/>
        <v/>
      </c>
      <c r="D1247" s="107">
        <f>'1_入力シート【基本情報】'!$BY$496</f>
        <v>0</v>
      </c>
      <c r="E1247" s="564">
        <f>'1_入力シート【基本情報】'!$BY$496</f>
        <v>0</v>
      </c>
      <c r="F1247" s="564" t="str">
        <f t="shared" si="212"/>
        <v>0</v>
      </c>
      <c r="G1247" s="24"/>
      <c r="H1247" s="565">
        <v>23</v>
      </c>
      <c r="I1247" s="334" t="s">
        <v>33</v>
      </c>
      <c r="J1247" s="357" t="s">
        <v>1407</v>
      </c>
      <c r="K1247" s="322" t="s">
        <v>155</v>
      </c>
      <c r="L1247" s="358" t="s">
        <v>1407</v>
      </c>
      <c r="M1247" s="325" t="s">
        <v>2166</v>
      </c>
      <c r="N1247" s="358" t="s">
        <v>1407</v>
      </c>
      <c r="O1247" s="326" t="s">
        <v>387</v>
      </c>
      <c r="P1247" s="332" t="s">
        <v>1879</v>
      </c>
      <c r="Q1247" s="363" t="s">
        <v>675</v>
      </c>
      <c r="R1247" s="364"/>
      <c r="S1247" s="364"/>
      <c r="T1247" s="13" t="str">
        <f t="shared" si="204"/>
        <v>23調査結果-上記以外の調査項目-7（4）-改善（予定）年月-未定</v>
      </c>
      <c r="V1247" s="202"/>
      <c r="W1247" s="202"/>
      <c r="X1247" s="202"/>
    </row>
    <row r="1248" spans="2:24">
      <c r="B1248" s="107">
        <f>'1_入力シート【基本情報】'!$AF$497</f>
        <v>0</v>
      </c>
      <c r="C1248" s="4" t="str">
        <f t="shared" si="207"/>
        <v/>
      </c>
      <c r="D1248" s="107" t="str">
        <f>C1248</f>
        <v/>
      </c>
      <c r="E1248" s="564" t="str">
        <f>D1248</f>
        <v/>
      </c>
      <c r="F1248" s="564" t="str">
        <f t="shared" si="212"/>
        <v/>
      </c>
      <c r="G1248" s="24"/>
      <c r="H1248" s="565">
        <v>23</v>
      </c>
      <c r="I1248" s="334" t="s">
        <v>33</v>
      </c>
      <c r="J1248" s="357" t="s">
        <v>1407</v>
      </c>
      <c r="K1248" s="322" t="s">
        <v>155</v>
      </c>
      <c r="L1248" s="358" t="s">
        <v>1407</v>
      </c>
      <c r="M1248" s="325" t="s">
        <v>2167</v>
      </c>
      <c r="N1248" s="358" t="s">
        <v>1407</v>
      </c>
      <c r="O1248" s="334" t="s">
        <v>33</v>
      </c>
      <c r="P1248" s="332"/>
      <c r="Q1248" s="363"/>
      <c r="R1248" s="364"/>
      <c r="S1248" s="364"/>
      <c r="T1248" s="13" t="str">
        <f t="shared" ref="T1248:T1319" si="217">CONCATENATE(H1248,I1248,J1248,K1248,L1248,M1248,N1248,O1248,P1248,Q1248)</f>
        <v>23調査結果-上記以外の調査項目-7（5）-調査結果</v>
      </c>
      <c r="V1248" s="202"/>
      <c r="W1248" s="202"/>
      <c r="X1248" s="202"/>
    </row>
    <row r="1249" spans="2:24">
      <c r="B1249" s="107">
        <f>'1_入力シート【基本情報】'!$AR$497</f>
        <v>0</v>
      </c>
      <c r="C1249" s="4" t="str">
        <f t="shared" si="207"/>
        <v/>
      </c>
      <c r="D1249" s="107">
        <f>'1_入力シート【基本情報】'!$AR$497</f>
        <v>0</v>
      </c>
      <c r="E1249" s="564">
        <f>'1_入力シート【基本情報】'!$AR$497</f>
        <v>0</v>
      </c>
      <c r="F1249" s="564" t="str">
        <f t="shared" si="212"/>
        <v>0</v>
      </c>
      <c r="G1249" s="24"/>
      <c r="H1249" s="565">
        <v>23</v>
      </c>
      <c r="I1249" s="334" t="s">
        <v>33</v>
      </c>
      <c r="J1249" s="357" t="s">
        <v>1407</v>
      </c>
      <c r="K1249" s="322" t="s">
        <v>155</v>
      </c>
      <c r="L1249" s="358" t="s">
        <v>1407</v>
      </c>
      <c r="M1249" s="325" t="s">
        <v>2167</v>
      </c>
      <c r="N1249" s="358" t="s">
        <v>1407</v>
      </c>
      <c r="O1249" s="334" t="s">
        <v>30</v>
      </c>
      <c r="P1249" s="332"/>
      <c r="Q1249" s="363"/>
      <c r="R1249" s="364"/>
      <c r="S1249" s="364"/>
      <c r="T1249" s="13" t="str">
        <f t="shared" si="217"/>
        <v>23調査結果-上記以外の調査項目-7（5）-調査者番号</v>
      </c>
      <c r="V1249" s="202"/>
      <c r="W1249" s="202"/>
      <c r="X1249" s="202"/>
    </row>
    <row r="1250" spans="2:24">
      <c r="B1250" s="107">
        <f>'1_入力シート【基本情報】'!$AT$497</f>
        <v>0</v>
      </c>
      <c r="C1250" s="4" t="str">
        <f t="shared" si="207"/>
        <v/>
      </c>
      <c r="D1250" s="107">
        <f>'1_入力シート【基本情報】'!$AT$497</f>
        <v>0</v>
      </c>
      <c r="E1250" s="564">
        <f>'1_入力シート【基本情報】'!$AT$497</f>
        <v>0</v>
      </c>
      <c r="F1250" s="564" t="str">
        <f t="shared" si="212"/>
        <v>0</v>
      </c>
      <c r="G1250" s="24"/>
      <c r="H1250" s="565">
        <v>23</v>
      </c>
      <c r="I1250" s="334" t="s">
        <v>33</v>
      </c>
      <c r="J1250" s="357" t="s">
        <v>1407</v>
      </c>
      <c r="K1250" s="322" t="s">
        <v>155</v>
      </c>
      <c r="L1250" s="358" t="s">
        <v>1407</v>
      </c>
      <c r="M1250" s="325" t="s">
        <v>2167</v>
      </c>
      <c r="N1250" s="358" t="s">
        <v>1407</v>
      </c>
      <c r="O1250" s="334" t="s">
        <v>2028</v>
      </c>
      <c r="P1250" s="332"/>
      <c r="Q1250" s="363"/>
      <c r="R1250" s="364"/>
      <c r="S1250" s="364"/>
      <c r="T1250" s="13" t="str">
        <f t="shared" si="217"/>
        <v>23調査結果-上記以外の調査項目-7（5）-指摘の具体的内容等</v>
      </c>
      <c r="V1250" s="202"/>
      <c r="W1250" s="202"/>
      <c r="X1250" s="202"/>
    </row>
    <row r="1251" spans="2:24">
      <c r="B1251" s="107">
        <f>'1_入力シート【基本情報】'!$BD$497</f>
        <v>0</v>
      </c>
      <c r="C1251" s="4" t="str">
        <f t="shared" si="207"/>
        <v/>
      </c>
      <c r="D1251" s="107">
        <f>'1_入力シート【基本情報】'!$BD$497</f>
        <v>0</v>
      </c>
      <c r="E1251" s="564">
        <f>'1_入力シート【基本情報】'!$BD$497</f>
        <v>0</v>
      </c>
      <c r="F1251" s="564" t="str">
        <f t="shared" si="212"/>
        <v>0</v>
      </c>
      <c r="G1251" s="24"/>
      <c r="H1251" s="565">
        <v>23</v>
      </c>
      <c r="I1251" s="334" t="s">
        <v>33</v>
      </c>
      <c r="J1251" s="357" t="s">
        <v>1407</v>
      </c>
      <c r="K1251" s="322" t="s">
        <v>155</v>
      </c>
      <c r="L1251" s="358" t="s">
        <v>1407</v>
      </c>
      <c r="M1251" s="325" t="s">
        <v>2167</v>
      </c>
      <c r="N1251" s="358" t="s">
        <v>1407</v>
      </c>
      <c r="O1251" s="326" t="s">
        <v>2029</v>
      </c>
      <c r="P1251" s="327"/>
      <c r="Q1251" s="336"/>
      <c r="R1251" s="364"/>
      <c r="S1251" s="364"/>
      <c r="T1251" s="13" t="str">
        <f t="shared" si="217"/>
        <v>23調査結果-上記以外の調査項目-7（5）-改善策の具体的内容等</v>
      </c>
      <c r="V1251" s="202"/>
      <c r="W1251" s="202"/>
      <c r="X1251" s="202"/>
    </row>
    <row r="1252" spans="2:24" ht="19">
      <c r="B1252" s="107">
        <f>'1_入力シート【基本情報】'!$BS$497</f>
        <v>0</v>
      </c>
      <c r="C1252" s="493" t="str">
        <f t="shared" ref="C1252:E1253" si="218">ASC($D1252)</f>
        <v>0</v>
      </c>
      <c r="D1252" s="107">
        <f>'1_入力シート【基本情報】'!$BS$497</f>
        <v>0</v>
      </c>
      <c r="E1252" s="7" t="str">
        <f t="shared" si="218"/>
        <v>0</v>
      </c>
      <c r="F1252" s="7" t="str">
        <f t="shared" si="212"/>
        <v>0</v>
      </c>
      <c r="G1252" s="24"/>
      <c r="H1252" s="565">
        <v>23</v>
      </c>
      <c r="I1252" s="334" t="s">
        <v>33</v>
      </c>
      <c r="J1252" s="357" t="s">
        <v>1407</v>
      </c>
      <c r="K1252" s="322" t="s">
        <v>155</v>
      </c>
      <c r="L1252" s="358" t="s">
        <v>1407</v>
      </c>
      <c r="M1252" s="325" t="s">
        <v>2167</v>
      </c>
      <c r="N1252" s="358" t="s">
        <v>1407</v>
      </c>
      <c r="O1252" s="326" t="s">
        <v>387</v>
      </c>
      <c r="P1252" s="332" t="s">
        <v>1879</v>
      </c>
      <c r="Q1252" s="363" t="s">
        <v>1966</v>
      </c>
      <c r="R1252" s="364"/>
      <c r="S1252" s="364"/>
      <c r="T1252" s="13" t="str">
        <f t="shared" si="217"/>
        <v>23調査結果-上記以外の調査項目-7（5）-改善（予定）年月-年（令和）</v>
      </c>
      <c r="V1252" s="202"/>
      <c r="W1252" s="202"/>
      <c r="X1252" s="202"/>
    </row>
    <row r="1253" spans="2:24" ht="19">
      <c r="B1253" s="107">
        <f>'1_入力シート【基本情報】'!$BV$497</f>
        <v>0</v>
      </c>
      <c r="C1253" s="493" t="str">
        <f t="shared" si="218"/>
        <v>0</v>
      </c>
      <c r="D1253" s="107">
        <f>'1_入力シート【基本情報】'!$BV$497</f>
        <v>0</v>
      </c>
      <c r="E1253" s="7" t="str">
        <f t="shared" si="218"/>
        <v>0</v>
      </c>
      <c r="F1253" s="7" t="str">
        <f t="shared" si="212"/>
        <v>0</v>
      </c>
      <c r="G1253" s="24"/>
      <c r="H1253" s="565">
        <v>23</v>
      </c>
      <c r="I1253" s="334" t="s">
        <v>33</v>
      </c>
      <c r="J1253" s="357" t="s">
        <v>1407</v>
      </c>
      <c r="K1253" s="322" t="s">
        <v>155</v>
      </c>
      <c r="L1253" s="358" t="s">
        <v>1407</v>
      </c>
      <c r="M1253" s="325" t="s">
        <v>2167</v>
      </c>
      <c r="N1253" s="358" t="s">
        <v>1407</v>
      </c>
      <c r="O1253" s="326" t="s">
        <v>387</v>
      </c>
      <c r="P1253" s="332" t="s">
        <v>1879</v>
      </c>
      <c r="Q1253" s="363" t="s">
        <v>383</v>
      </c>
      <c r="R1253" s="364"/>
      <c r="S1253" s="364"/>
      <c r="T1253" s="13" t="str">
        <f t="shared" si="217"/>
        <v>23調査結果-上記以外の調査項目-7（5）-改善（予定）年月-月</v>
      </c>
      <c r="V1253" s="202"/>
      <c r="W1253" s="202"/>
      <c r="X1253" s="202"/>
    </row>
    <row r="1254" spans="2:24">
      <c r="B1254" s="107">
        <f>'1_入力シート【基本情報】'!$BY$497</f>
        <v>0</v>
      </c>
      <c r="C1254" s="4" t="str">
        <f t="shared" ref="C1254:C1325" si="219">MID(B1254,2,14)</f>
        <v/>
      </c>
      <c r="D1254" s="107">
        <f>'1_入力シート【基本情報】'!$BY$497</f>
        <v>0</v>
      </c>
      <c r="E1254" s="564">
        <f>'1_入力シート【基本情報】'!$BY$497</f>
        <v>0</v>
      </c>
      <c r="F1254" s="564" t="str">
        <f t="shared" si="212"/>
        <v>0</v>
      </c>
      <c r="G1254" s="24"/>
      <c r="H1254" s="565">
        <v>23</v>
      </c>
      <c r="I1254" s="334" t="s">
        <v>33</v>
      </c>
      <c r="J1254" s="357" t="s">
        <v>1407</v>
      </c>
      <c r="K1254" s="322" t="s">
        <v>155</v>
      </c>
      <c r="L1254" s="358" t="s">
        <v>1407</v>
      </c>
      <c r="M1254" s="325" t="s">
        <v>2167</v>
      </c>
      <c r="N1254" s="358" t="s">
        <v>1407</v>
      </c>
      <c r="O1254" s="326" t="s">
        <v>387</v>
      </c>
      <c r="P1254" s="332" t="s">
        <v>1879</v>
      </c>
      <c r="Q1254" s="363" t="s">
        <v>675</v>
      </c>
      <c r="R1254" s="203"/>
      <c r="S1254" s="203"/>
      <c r="T1254" s="13" t="str">
        <f t="shared" si="217"/>
        <v>23調査結果-上記以外の調査項目-7（5）-改善（予定）年月-未定</v>
      </c>
      <c r="V1254" s="202"/>
      <c r="W1254" s="202"/>
      <c r="X1254" s="202"/>
    </row>
    <row r="1255" spans="2:24">
      <c r="B1255" s="107">
        <f>'1_入力シート【基本情報】'!$AF$498</f>
        <v>0</v>
      </c>
      <c r="C1255" s="4" t="str">
        <f t="shared" si="219"/>
        <v/>
      </c>
      <c r="D1255" s="107" t="str">
        <f>C1255</f>
        <v/>
      </c>
      <c r="E1255" s="564" t="str">
        <f>D1255</f>
        <v/>
      </c>
      <c r="F1255" s="564" t="str">
        <f t="shared" si="212"/>
        <v/>
      </c>
      <c r="G1255" s="24"/>
      <c r="H1255" s="565">
        <v>23</v>
      </c>
      <c r="I1255" s="334" t="s">
        <v>33</v>
      </c>
      <c r="J1255" s="357" t="s">
        <v>1407</v>
      </c>
      <c r="K1255" s="322" t="s">
        <v>155</v>
      </c>
      <c r="L1255" s="358" t="s">
        <v>1407</v>
      </c>
      <c r="M1255" s="325" t="s">
        <v>2168</v>
      </c>
      <c r="N1255" s="358" t="s">
        <v>1407</v>
      </c>
      <c r="O1255" s="326" t="s">
        <v>33</v>
      </c>
      <c r="P1255" s="332"/>
      <c r="Q1255" s="363"/>
      <c r="R1255" s="364"/>
      <c r="S1255" s="364"/>
      <c r="T1255" s="13" t="str">
        <f t="shared" si="217"/>
        <v>23調査結果-上記以外の調査項目-7（6）-調査結果</v>
      </c>
      <c r="V1255" s="202"/>
      <c r="W1255" s="202"/>
      <c r="X1255" s="202"/>
    </row>
    <row r="1256" spans="2:24">
      <c r="B1256" s="107">
        <f>'1_入力シート【基本情報】'!$AR$498</f>
        <v>0</v>
      </c>
      <c r="C1256" s="4" t="str">
        <f t="shared" si="219"/>
        <v/>
      </c>
      <c r="D1256" s="107">
        <f>'1_入力シート【基本情報】'!$AR$498</f>
        <v>0</v>
      </c>
      <c r="E1256" s="564">
        <f>'1_入力シート【基本情報】'!$AR$498</f>
        <v>0</v>
      </c>
      <c r="F1256" s="564" t="str">
        <f t="shared" si="212"/>
        <v>0</v>
      </c>
      <c r="G1256" s="24"/>
      <c r="H1256" s="565">
        <v>23</v>
      </c>
      <c r="I1256" s="334" t="s">
        <v>33</v>
      </c>
      <c r="J1256" s="357" t="s">
        <v>1407</v>
      </c>
      <c r="K1256" s="322" t="s">
        <v>155</v>
      </c>
      <c r="L1256" s="358" t="s">
        <v>1407</v>
      </c>
      <c r="M1256" s="325" t="s">
        <v>2168</v>
      </c>
      <c r="N1256" s="358" t="s">
        <v>1407</v>
      </c>
      <c r="O1256" s="334" t="s">
        <v>30</v>
      </c>
      <c r="P1256" s="332"/>
      <c r="Q1256" s="363"/>
      <c r="R1256" s="364"/>
      <c r="S1256" s="364"/>
      <c r="T1256" s="13" t="str">
        <f t="shared" si="217"/>
        <v>23調査結果-上記以外の調査項目-7（6）-調査者番号</v>
      </c>
      <c r="V1256" s="202"/>
      <c r="W1256" s="202"/>
      <c r="X1256" s="202"/>
    </row>
    <row r="1257" spans="2:24">
      <c r="B1257" s="107">
        <f>'1_入力シート【基本情報】'!$AT$498</f>
        <v>0</v>
      </c>
      <c r="C1257" s="4" t="str">
        <f t="shared" si="219"/>
        <v/>
      </c>
      <c r="D1257" s="107">
        <f>'1_入力シート【基本情報】'!$AT$498</f>
        <v>0</v>
      </c>
      <c r="E1257" s="564">
        <f>'1_入力シート【基本情報】'!$AT$498</f>
        <v>0</v>
      </c>
      <c r="F1257" s="564" t="str">
        <f t="shared" si="212"/>
        <v>0</v>
      </c>
      <c r="G1257" s="24"/>
      <c r="H1257" s="565">
        <v>23</v>
      </c>
      <c r="I1257" s="334" t="s">
        <v>33</v>
      </c>
      <c r="J1257" s="357" t="s">
        <v>1407</v>
      </c>
      <c r="K1257" s="322" t="s">
        <v>155</v>
      </c>
      <c r="L1257" s="358" t="s">
        <v>1407</v>
      </c>
      <c r="M1257" s="325" t="s">
        <v>2168</v>
      </c>
      <c r="N1257" s="358" t="s">
        <v>1407</v>
      </c>
      <c r="O1257" s="334" t="s">
        <v>2028</v>
      </c>
      <c r="P1257" s="332"/>
      <c r="Q1257" s="363"/>
      <c r="R1257" s="364"/>
      <c r="S1257" s="364"/>
      <c r="T1257" s="13" t="str">
        <f t="shared" si="217"/>
        <v>23調査結果-上記以外の調査項目-7（6）-指摘の具体的内容等</v>
      </c>
      <c r="V1257" s="202"/>
      <c r="W1257" s="202"/>
      <c r="X1257" s="202"/>
    </row>
    <row r="1258" spans="2:24">
      <c r="B1258" s="107">
        <f>'1_入力シート【基本情報】'!$BD$498</f>
        <v>0</v>
      </c>
      <c r="C1258" s="4" t="str">
        <f t="shared" si="219"/>
        <v/>
      </c>
      <c r="D1258" s="107">
        <f>'1_入力シート【基本情報】'!$BD$498</f>
        <v>0</v>
      </c>
      <c r="E1258" s="564">
        <f>'1_入力シート【基本情報】'!$BD$498</f>
        <v>0</v>
      </c>
      <c r="F1258" s="564" t="str">
        <f t="shared" si="212"/>
        <v>0</v>
      </c>
      <c r="G1258" s="24"/>
      <c r="H1258" s="565">
        <v>23</v>
      </c>
      <c r="I1258" s="334" t="s">
        <v>33</v>
      </c>
      <c r="J1258" s="357" t="s">
        <v>1407</v>
      </c>
      <c r="K1258" s="322" t="s">
        <v>155</v>
      </c>
      <c r="L1258" s="358" t="s">
        <v>1407</v>
      </c>
      <c r="M1258" s="325" t="s">
        <v>2168</v>
      </c>
      <c r="N1258" s="358" t="s">
        <v>1407</v>
      </c>
      <c r="O1258" s="334" t="s">
        <v>2029</v>
      </c>
      <c r="P1258" s="332"/>
      <c r="Q1258" s="363"/>
      <c r="R1258" s="364"/>
      <c r="S1258" s="364"/>
      <c r="T1258" s="13" t="str">
        <f t="shared" si="217"/>
        <v>23調査結果-上記以外の調査項目-7（6）-改善策の具体的内容等</v>
      </c>
      <c r="V1258" s="202"/>
      <c r="W1258" s="202"/>
      <c r="X1258" s="202"/>
    </row>
    <row r="1259" spans="2:24" ht="19">
      <c r="B1259" s="107">
        <f>'1_入力シート【基本情報】'!$BS$498</f>
        <v>0</v>
      </c>
      <c r="C1259" s="493" t="str">
        <f t="shared" ref="C1259:E1260" si="220">ASC($D1259)</f>
        <v>0</v>
      </c>
      <c r="D1259" s="107">
        <f>'1_入力シート【基本情報】'!$BS$498</f>
        <v>0</v>
      </c>
      <c r="E1259" s="7" t="str">
        <f t="shared" si="220"/>
        <v>0</v>
      </c>
      <c r="F1259" s="7" t="str">
        <f t="shared" si="212"/>
        <v>0</v>
      </c>
      <c r="G1259" s="24"/>
      <c r="H1259" s="565">
        <v>23</v>
      </c>
      <c r="I1259" s="334" t="s">
        <v>33</v>
      </c>
      <c r="J1259" s="357" t="s">
        <v>1407</v>
      </c>
      <c r="K1259" s="322" t="s">
        <v>155</v>
      </c>
      <c r="L1259" s="358" t="s">
        <v>1407</v>
      </c>
      <c r="M1259" s="325" t="s">
        <v>2168</v>
      </c>
      <c r="N1259" s="358" t="s">
        <v>1407</v>
      </c>
      <c r="O1259" s="326" t="s">
        <v>387</v>
      </c>
      <c r="P1259" s="327" t="s">
        <v>1879</v>
      </c>
      <c r="Q1259" s="336" t="s">
        <v>1966</v>
      </c>
      <c r="R1259" s="364"/>
      <c r="S1259" s="364"/>
      <c r="T1259" s="13" t="str">
        <f t="shared" si="217"/>
        <v>23調査結果-上記以外の調査項目-7（6）-改善（予定）年月-年（令和）</v>
      </c>
      <c r="V1259" s="202"/>
      <c r="W1259" s="202"/>
      <c r="X1259" s="202"/>
    </row>
    <row r="1260" spans="2:24" ht="19">
      <c r="B1260" s="107">
        <f>'1_入力シート【基本情報】'!$BV$498</f>
        <v>0</v>
      </c>
      <c r="C1260" s="493" t="str">
        <f t="shared" si="220"/>
        <v>0</v>
      </c>
      <c r="D1260" s="107">
        <f>'1_入力シート【基本情報】'!$BV$498</f>
        <v>0</v>
      </c>
      <c r="E1260" s="7" t="str">
        <f t="shared" si="220"/>
        <v>0</v>
      </c>
      <c r="F1260" s="7" t="str">
        <f t="shared" si="212"/>
        <v>0</v>
      </c>
      <c r="G1260" s="24"/>
      <c r="H1260" s="565">
        <v>23</v>
      </c>
      <c r="I1260" s="334" t="s">
        <v>33</v>
      </c>
      <c r="J1260" s="357" t="s">
        <v>1407</v>
      </c>
      <c r="K1260" s="322" t="s">
        <v>155</v>
      </c>
      <c r="L1260" s="358" t="s">
        <v>1407</v>
      </c>
      <c r="M1260" s="325" t="s">
        <v>2168</v>
      </c>
      <c r="N1260" s="358" t="s">
        <v>1407</v>
      </c>
      <c r="O1260" s="326" t="s">
        <v>387</v>
      </c>
      <c r="P1260" s="332" t="s">
        <v>1879</v>
      </c>
      <c r="Q1260" s="363" t="s">
        <v>383</v>
      </c>
      <c r="R1260" s="364"/>
      <c r="S1260" s="364"/>
      <c r="T1260" s="13" t="str">
        <f t="shared" si="217"/>
        <v>23調査結果-上記以外の調査項目-7（6）-改善（予定）年月-月</v>
      </c>
      <c r="V1260" s="202"/>
      <c r="W1260" s="202"/>
      <c r="X1260" s="202"/>
    </row>
    <row r="1261" spans="2:24">
      <c r="B1261" s="107">
        <f>'1_入力シート【基本情報】'!$BY$498</f>
        <v>0</v>
      </c>
      <c r="C1261" s="4" t="str">
        <f t="shared" si="219"/>
        <v/>
      </c>
      <c r="D1261" s="107">
        <f>'1_入力シート【基本情報】'!$BY$498</f>
        <v>0</v>
      </c>
      <c r="E1261" s="564">
        <f>'1_入力シート【基本情報】'!$BY$498</f>
        <v>0</v>
      </c>
      <c r="F1261" s="564" t="str">
        <f t="shared" si="212"/>
        <v>0</v>
      </c>
      <c r="G1261" s="24"/>
      <c r="H1261" s="565">
        <v>23</v>
      </c>
      <c r="I1261" s="334" t="s">
        <v>33</v>
      </c>
      <c r="J1261" s="357" t="s">
        <v>1407</v>
      </c>
      <c r="K1261" s="322" t="s">
        <v>155</v>
      </c>
      <c r="L1261" s="358" t="s">
        <v>1407</v>
      </c>
      <c r="M1261" s="325" t="s">
        <v>2168</v>
      </c>
      <c r="N1261" s="358" t="s">
        <v>1407</v>
      </c>
      <c r="O1261" s="326" t="s">
        <v>387</v>
      </c>
      <c r="P1261" s="332" t="s">
        <v>1879</v>
      </c>
      <c r="Q1261" s="363" t="s">
        <v>675</v>
      </c>
      <c r="R1261" s="364"/>
      <c r="S1261" s="364"/>
      <c r="T1261" s="13" t="str">
        <f t="shared" si="217"/>
        <v>23調査結果-上記以外の調査項目-7（6）-改善（予定）年月-未定</v>
      </c>
      <c r="V1261" s="202"/>
      <c r="W1261" s="202"/>
      <c r="X1261" s="202"/>
    </row>
    <row r="1262" spans="2:24">
      <c r="B1262" s="107">
        <f>'1_入力シート【基本情報】'!$AF$499</f>
        <v>0</v>
      </c>
      <c r="C1262" s="4" t="str">
        <f t="shared" si="219"/>
        <v/>
      </c>
      <c r="D1262" s="107" t="str">
        <f>C1262</f>
        <v/>
      </c>
      <c r="E1262" s="564" t="str">
        <f>D1262</f>
        <v/>
      </c>
      <c r="F1262" s="564" t="str">
        <f t="shared" si="212"/>
        <v/>
      </c>
      <c r="G1262" s="24"/>
      <c r="H1262" s="565">
        <v>23</v>
      </c>
      <c r="I1262" s="334" t="s">
        <v>33</v>
      </c>
      <c r="J1262" s="357" t="s">
        <v>1407</v>
      </c>
      <c r="K1262" s="322" t="s">
        <v>155</v>
      </c>
      <c r="L1262" s="358" t="s">
        <v>1407</v>
      </c>
      <c r="M1262" s="325" t="s">
        <v>2169</v>
      </c>
      <c r="N1262" s="358" t="s">
        <v>1407</v>
      </c>
      <c r="O1262" s="326" t="s">
        <v>33</v>
      </c>
      <c r="P1262" s="332"/>
      <c r="Q1262" s="363"/>
      <c r="R1262" s="203"/>
      <c r="S1262" s="203"/>
      <c r="T1262" s="13" t="str">
        <f t="shared" si="217"/>
        <v>23調査結果-上記以外の調査項目-7（7）-調査結果</v>
      </c>
      <c r="V1262" s="202"/>
      <c r="W1262" s="202"/>
      <c r="X1262" s="202"/>
    </row>
    <row r="1263" spans="2:24">
      <c r="B1263" s="107">
        <f>'1_入力シート【基本情報】'!$AR$499</f>
        <v>0</v>
      </c>
      <c r="C1263" s="4" t="str">
        <f t="shared" si="219"/>
        <v/>
      </c>
      <c r="D1263" s="107">
        <f>'1_入力シート【基本情報】'!$AR$499</f>
        <v>0</v>
      </c>
      <c r="E1263" s="564">
        <f>'1_入力シート【基本情報】'!$AR$499</f>
        <v>0</v>
      </c>
      <c r="F1263" s="564" t="str">
        <f t="shared" si="212"/>
        <v>0</v>
      </c>
      <c r="G1263" s="24"/>
      <c r="H1263" s="565">
        <v>23</v>
      </c>
      <c r="I1263" s="334" t="s">
        <v>33</v>
      </c>
      <c r="J1263" s="357" t="s">
        <v>1407</v>
      </c>
      <c r="K1263" s="322" t="s">
        <v>155</v>
      </c>
      <c r="L1263" s="358" t="s">
        <v>1407</v>
      </c>
      <c r="M1263" s="325" t="s">
        <v>2169</v>
      </c>
      <c r="N1263" s="358" t="s">
        <v>1407</v>
      </c>
      <c r="O1263" s="326" t="s">
        <v>30</v>
      </c>
      <c r="P1263" s="332"/>
      <c r="Q1263" s="363"/>
      <c r="R1263" s="364"/>
      <c r="S1263" s="364"/>
      <c r="T1263" s="13" t="str">
        <f t="shared" si="217"/>
        <v>23調査結果-上記以外の調査項目-7（7）-調査者番号</v>
      </c>
      <c r="V1263" s="202"/>
      <c r="W1263" s="202"/>
      <c r="X1263" s="202"/>
    </row>
    <row r="1264" spans="2:24">
      <c r="B1264" s="107">
        <f>'1_入力シート【基本情報】'!$AT$499</f>
        <v>0</v>
      </c>
      <c r="C1264" s="4" t="str">
        <f t="shared" si="219"/>
        <v/>
      </c>
      <c r="D1264" s="107">
        <f>'1_入力シート【基本情報】'!$AT$499</f>
        <v>0</v>
      </c>
      <c r="E1264" s="564">
        <f>'1_入力シート【基本情報】'!$AT$499</f>
        <v>0</v>
      </c>
      <c r="F1264" s="564" t="str">
        <f t="shared" si="212"/>
        <v>0</v>
      </c>
      <c r="G1264" s="24"/>
      <c r="H1264" s="565">
        <v>23</v>
      </c>
      <c r="I1264" s="334" t="s">
        <v>33</v>
      </c>
      <c r="J1264" s="357" t="s">
        <v>1407</v>
      </c>
      <c r="K1264" s="322" t="s">
        <v>155</v>
      </c>
      <c r="L1264" s="358" t="s">
        <v>1407</v>
      </c>
      <c r="M1264" s="325" t="s">
        <v>2169</v>
      </c>
      <c r="N1264" s="358" t="s">
        <v>1407</v>
      </c>
      <c r="O1264" s="334" t="s">
        <v>2028</v>
      </c>
      <c r="P1264" s="332"/>
      <c r="Q1264" s="363"/>
      <c r="R1264" s="364"/>
      <c r="S1264" s="364"/>
      <c r="T1264" s="13" t="str">
        <f t="shared" si="217"/>
        <v>23調査結果-上記以外の調査項目-7（7）-指摘の具体的内容等</v>
      </c>
      <c r="V1264" s="202"/>
      <c r="W1264" s="202"/>
      <c r="X1264" s="202"/>
    </row>
    <row r="1265" spans="2:24">
      <c r="B1265" s="107">
        <f>'1_入力シート【基本情報】'!$BD$499</f>
        <v>0</v>
      </c>
      <c r="C1265" s="4" t="str">
        <f t="shared" si="219"/>
        <v/>
      </c>
      <c r="D1265" s="107">
        <f>'1_入力シート【基本情報】'!$BD$499</f>
        <v>0</v>
      </c>
      <c r="E1265" s="564">
        <f>'1_入力シート【基本情報】'!$BD$499</f>
        <v>0</v>
      </c>
      <c r="F1265" s="564" t="str">
        <f t="shared" si="212"/>
        <v>0</v>
      </c>
      <c r="G1265" s="24"/>
      <c r="H1265" s="565">
        <v>23</v>
      </c>
      <c r="I1265" s="334" t="s">
        <v>33</v>
      </c>
      <c r="J1265" s="357" t="s">
        <v>1407</v>
      </c>
      <c r="K1265" s="322" t="s">
        <v>155</v>
      </c>
      <c r="L1265" s="358" t="s">
        <v>1407</v>
      </c>
      <c r="M1265" s="325" t="s">
        <v>2169</v>
      </c>
      <c r="N1265" s="358" t="s">
        <v>1407</v>
      </c>
      <c r="O1265" s="334" t="s">
        <v>2029</v>
      </c>
      <c r="P1265" s="332"/>
      <c r="Q1265" s="363"/>
      <c r="R1265" s="364"/>
      <c r="S1265" s="364"/>
      <c r="T1265" s="13" t="str">
        <f t="shared" si="217"/>
        <v>23調査結果-上記以外の調査項目-7（7）-改善策の具体的内容等</v>
      </c>
      <c r="V1265" s="202"/>
      <c r="W1265" s="202"/>
      <c r="X1265" s="202"/>
    </row>
    <row r="1266" spans="2:24" ht="19">
      <c r="B1266" s="107">
        <f>'1_入力シート【基本情報】'!$BS$499</f>
        <v>0</v>
      </c>
      <c r="C1266" s="493" t="str">
        <f t="shared" ref="C1266:E1267" si="221">ASC($D1266)</f>
        <v>0</v>
      </c>
      <c r="D1266" s="107">
        <f>'1_入力シート【基本情報】'!$BS$499</f>
        <v>0</v>
      </c>
      <c r="E1266" s="7" t="str">
        <f t="shared" si="221"/>
        <v>0</v>
      </c>
      <c r="F1266" s="7" t="str">
        <f t="shared" si="212"/>
        <v>0</v>
      </c>
      <c r="G1266" s="24"/>
      <c r="H1266" s="565">
        <v>23</v>
      </c>
      <c r="I1266" s="334" t="s">
        <v>33</v>
      </c>
      <c r="J1266" s="357" t="s">
        <v>1407</v>
      </c>
      <c r="K1266" s="322" t="s">
        <v>155</v>
      </c>
      <c r="L1266" s="358" t="s">
        <v>1407</v>
      </c>
      <c r="M1266" s="325" t="s">
        <v>2169</v>
      </c>
      <c r="N1266" s="358" t="s">
        <v>1407</v>
      </c>
      <c r="O1266" s="334" t="s">
        <v>387</v>
      </c>
      <c r="P1266" s="332" t="s">
        <v>1879</v>
      </c>
      <c r="Q1266" s="363" t="s">
        <v>1966</v>
      </c>
      <c r="R1266" s="364"/>
      <c r="S1266" s="364"/>
      <c r="T1266" s="13" t="str">
        <f t="shared" si="217"/>
        <v>23調査結果-上記以外の調査項目-7（7）-改善（予定）年月-年（令和）</v>
      </c>
      <c r="V1266" s="202"/>
      <c r="W1266" s="202"/>
      <c r="X1266" s="202"/>
    </row>
    <row r="1267" spans="2:24" ht="19">
      <c r="B1267" s="107">
        <f>'1_入力シート【基本情報】'!$BV$499</f>
        <v>0</v>
      </c>
      <c r="C1267" s="493" t="str">
        <f t="shared" si="221"/>
        <v>0</v>
      </c>
      <c r="D1267" s="107">
        <f>'1_入力シート【基本情報】'!$BV$499</f>
        <v>0</v>
      </c>
      <c r="E1267" s="7" t="str">
        <f t="shared" si="221"/>
        <v>0</v>
      </c>
      <c r="F1267" s="7" t="str">
        <f t="shared" si="212"/>
        <v>0</v>
      </c>
      <c r="G1267" s="24"/>
      <c r="H1267" s="565">
        <v>23</v>
      </c>
      <c r="I1267" s="334" t="s">
        <v>33</v>
      </c>
      <c r="J1267" s="357" t="s">
        <v>1407</v>
      </c>
      <c r="K1267" s="322" t="s">
        <v>155</v>
      </c>
      <c r="L1267" s="358" t="s">
        <v>1407</v>
      </c>
      <c r="M1267" s="325" t="s">
        <v>2169</v>
      </c>
      <c r="N1267" s="358" t="s">
        <v>1407</v>
      </c>
      <c r="O1267" s="326" t="s">
        <v>387</v>
      </c>
      <c r="P1267" s="327" t="s">
        <v>1879</v>
      </c>
      <c r="Q1267" s="336" t="s">
        <v>383</v>
      </c>
      <c r="R1267" s="364"/>
      <c r="S1267" s="364"/>
      <c r="T1267" s="13" t="str">
        <f t="shared" si="217"/>
        <v>23調査結果-上記以外の調査項目-7（7）-改善（予定）年月-月</v>
      </c>
      <c r="V1267" s="202"/>
      <c r="W1267" s="202"/>
      <c r="X1267" s="202"/>
    </row>
    <row r="1268" spans="2:24">
      <c r="B1268" s="107">
        <f>'1_入力シート【基本情報】'!$BY$499</f>
        <v>0</v>
      </c>
      <c r="C1268" s="4" t="str">
        <f t="shared" si="219"/>
        <v/>
      </c>
      <c r="D1268" s="107">
        <f>'1_入力シート【基本情報】'!$BY$499</f>
        <v>0</v>
      </c>
      <c r="E1268" s="564">
        <f>'1_入力シート【基本情報】'!$BY$499</f>
        <v>0</v>
      </c>
      <c r="F1268" s="564" t="str">
        <f t="shared" si="212"/>
        <v>0</v>
      </c>
      <c r="G1268" s="24"/>
      <c r="H1268" s="565">
        <v>23</v>
      </c>
      <c r="I1268" s="334" t="s">
        <v>33</v>
      </c>
      <c r="J1268" s="357" t="s">
        <v>1407</v>
      </c>
      <c r="K1268" s="322" t="s">
        <v>155</v>
      </c>
      <c r="L1268" s="358" t="s">
        <v>1407</v>
      </c>
      <c r="M1268" s="325" t="s">
        <v>2169</v>
      </c>
      <c r="N1268" s="358" t="s">
        <v>1407</v>
      </c>
      <c r="O1268" s="326" t="s">
        <v>387</v>
      </c>
      <c r="P1268" s="332" t="s">
        <v>1879</v>
      </c>
      <c r="Q1268" s="363" t="s">
        <v>675</v>
      </c>
      <c r="R1268" s="364"/>
      <c r="S1268" s="364"/>
      <c r="T1268" s="13" t="str">
        <f t="shared" si="217"/>
        <v>23調査結果-上記以外の調査項目-7（7）-改善（予定）年月-未定</v>
      </c>
      <c r="V1268" s="202"/>
      <c r="W1268" s="202"/>
      <c r="X1268" s="202"/>
    </row>
    <row r="1269" spans="2:24">
      <c r="B1269" s="107">
        <f>'1_入力シート【基本情報】'!$AF$500</f>
        <v>0</v>
      </c>
      <c r="C1269" s="4" t="str">
        <f t="shared" si="219"/>
        <v/>
      </c>
      <c r="D1269" s="107" t="str">
        <f>C1269</f>
        <v/>
      </c>
      <c r="E1269" s="564" t="str">
        <f>D1269</f>
        <v/>
      </c>
      <c r="F1269" s="564" t="str">
        <f t="shared" si="212"/>
        <v/>
      </c>
      <c r="G1269" s="24"/>
      <c r="H1269" s="565">
        <v>23</v>
      </c>
      <c r="I1269" s="334" t="s">
        <v>33</v>
      </c>
      <c r="J1269" s="357" t="s">
        <v>1407</v>
      </c>
      <c r="K1269" s="322" t="s">
        <v>155</v>
      </c>
      <c r="L1269" s="358" t="s">
        <v>1407</v>
      </c>
      <c r="M1269" s="325" t="s">
        <v>2170</v>
      </c>
      <c r="N1269" s="358" t="s">
        <v>1407</v>
      </c>
      <c r="O1269" s="326" t="s">
        <v>33</v>
      </c>
      <c r="P1269" s="332"/>
      <c r="Q1269" s="363"/>
      <c r="R1269" s="364"/>
      <c r="S1269" s="364"/>
      <c r="T1269" s="13" t="str">
        <f t="shared" si="217"/>
        <v>23調査結果-上記以外の調査項目-7（8）-調査結果</v>
      </c>
      <c r="V1269" s="202"/>
      <c r="W1269" s="202"/>
      <c r="X1269" s="202"/>
    </row>
    <row r="1270" spans="2:24">
      <c r="B1270" s="107">
        <f>'1_入力シート【基本情報】'!$AR$500</f>
        <v>0</v>
      </c>
      <c r="C1270" s="4" t="str">
        <f t="shared" si="219"/>
        <v/>
      </c>
      <c r="D1270" s="107">
        <f>'1_入力シート【基本情報】'!$AR$500</f>
        <v>0</v>
      </c>
      <c r="E1270" s="564">
        <f>'1_入力シート【基本情報】'!$AR$500</f>
        <v>0</v>
      </c>
      <c r="F1270" s="564" t="str">
        <f t="shared" si="212"/>
        <v>0</v>
      </c>
      <c r="G1270" s="24"/>
      <c r="H1270" s="565">
        <v>23</v>
      </c>
      <c r="I1270" s="334" t="s">
        <v>33</v>
      </c>
      <c r="J1270" s="357" t="s">
        <v>1407</v>
      </c>
      <c r="K1270" s="322" t="s">
        <v>155</v>
      </c>
      <c r="L1270" s="358" t="s">
        <v>1407</v>
      </c>
      <c r="M1270" s="325" t="s">
        <v>2170</v>
      </c>
      <c r="N1270" s="358" t="s">
        <v>1407</v>
      </c>
      <c r="O1270" s="326" t="s">
        <v>30</v>
      </c>
      <c r="P1270" s="332"/>
      <c r="Q1270" s="363"/>
      <c r="R1270" s="203"/>
      <c r="S1270" s="203"/>
      <c r="T1270" s="13" t="str">
        <f t="shared" si="217"/>
        <v>23調査結果-上記以外の調査項目-7（8）-調査者番号</v>
      </c>
      <c r="V1270" s="202"/>
      <c r="W1270" s="202"/>
      <c r="X1270" s="202"/>
    </row>
    <row r="1271" spans="2:24">
      <c r="B1271" s="107">
        <f>'1_入力シート【基本情報】'!$AT$500</f>
        <v>0</v>
      </c>
      <c r="C1271" s="4" t="str">
        <f t="shared" si="219"/>
        <v/>
      </c>
      <c r="D1271" s="107">
        <f>'1_入力シート【基本情報】'!$AT$500</f>
        <v>0</v>
      </c>
      <c r="E1271" s="564">
        <f>'1_入力シート【基本情報】'!$AT$500</f>
        <v>0</v>
      </c>
      <c r="F1271" s="564" t="str">
        <f t="shared" si="212"/>
        <v>0</v>
      </c>
      <c r="G1271" s="24"/>
      <c r="H1271" s="565">
        <v>23</v>
      </c>
      <c r="I1271" s="334" t="s">
        <v>33</v>
      </c>
      <c r="J1271" s="357" t="s">
        <v>1407</v>
      </c>
      <c r="K1271" s="322" t="s">
        <v>155</v>
      </c>
      <c r="L1271" s="358" t="s">
        <v>1407</v>
      </c>
      <c r="M1271" s="325" t="s">
        <v>2170</v>
      </c>
      <c r="N1271" s="358" t="s">
        <v>1407</v>
      </c>
      <c r="O1271" s="326" t="s">
        <v>2028</v>
      </c>
      <c r="P1271" s="332"/>
      <c r="Q1271" s="363"/>
      <c r="R1271" s="364"/>
      <c r="S1271" s="364"/>
      <c r="T1271" s="13" t="str">
        <f t="shared" si="217"/>
        <v>23調査結果-上記以外の調査項目-7（8）-指摘の具体的内容等</v>
      </c>
      <c r="V1271" s="202"/>
      <c r="W1271" s="202"/>
      <c r="X1271" s="202"/>
    </row>
    <row r="1272" spans="2:24">
      <c r="B1272" s="107">
        <f>'1_入力シート【基本情報】'!$BD$500</f>
        <v>0</v>
      </c>
      <c r="C1272" s="4" t="str">
        <f t="shared" si="219"/>
        <v/>
      </c>
      <c r="D1272" s="107">
        <f>'1_入力シート【基本情報】'!$BD$500</f>
        <v>0</v>
      </c>
      <c r="E1272" s="564">
        <f>'1_入力シート【基本情報】'!$BD$500</f>
        <v>0</v>
      </c>
      <c r="F1272" s="564" t="str">
        <f t="shared" si="212"/>
        <v>0</v>
      </c>
      <c r="G1272" s="24"/>
      <c r="H1272" s="565">
        <v>23</v>
      </c>
      <c r="I1272" s="334" t="s">
        <v>33</v>
      </c>
      <c r="J1272" s="357" t="s">
        <v>1407</v>
      </c>
      <c r="K1272" s="322" t="s">
        <v>155</v>
      </c>
      <c r="L1272" s="358" t="s">
        <v>1407</v>
      </c>
      <c r="M1272" s="325" t="s">
        <v>2170</v>
      </c>
      <c r="N1272" s="358" t="s">
        <v>1407</v>
      </c>
      <c r="O1272" s="334" t="s">
        <v>2029</v>
      </c>
      <c r="P1272" s="332"/>
      <c r="Q1272" s="363"/>
      <c r="R1272" s="364"/>
      <c r="S1272" s="364"/>
      <c r="T1272" s="13" t="str">
        <f t="shared" si="217"/>
        <v>23調査結果-上記以外の調査項目-7（8）-改善策の具体的内容等</v>
      </c>
      <c r="V1272" s="202"/>
      <c r="W1272" s="202"/>
      <c r="X1272" s="202"/>
    </row>
    <row r="1273" spans="2:24" ht="19">
      <c r="B1273" s="107">
        <f>'1_入力シート【基本情報】'!$BS$500</f>
        <v>0</v>
      </c>
      <c r="C1273" s="493" t="str">
        <f t="shared" ref="C1273:E1274" si="222">ASC($D1273)</f>
        <v>0</v>
      </c>
      <c r="D1273" s="107">
        <f>'1_入力シート【基本情報】'!$BS$500</f>
        <v>0</v>
      </c>
      <c r="E1273" s="7" t="str">
        <f t="shared" si="222"/>
        <v>0</v>
      </c>
      <c r="F1273" s="7" t="str">
        <f t="shared" si="212"/>
        <v>0</v>
      </c>
      <c r="G1273" s="24"/>
      <c r="H1273" s="565">
        <v>23</v>
      </c>
      <c r="I1273" s="334" t="s">
        <v>33</v>
      </c>
      <c r="J1273" s="357" t="s">
        <v>1407</v>
      </c>
      <c r="K1273" s="322" t="s">
        <v>155</v>
      </c>
      <c r="L1273" s="358" t="s">
        <v>1407</v>
      </c>
      <c r="M1273" s="325" t="s">
        <v>2170</v>
      </c>
      <c r="N1273" s="358" t="s">
        <v>1407</v>
      </c>
      <c r="O1273" s="334" t="s">
        <v>387</v>
      </c>
      <c r="P1273" s="332" t="s">
        <v>1879</v>
      </c>
      <c r="Q1273" s="363" t="s">
        <v>1966</v>
      </c>
      <c r="R1273" s="364"/>
      <c r="S1273" s="364"/>
      <c r="T1273" s="13" t="str">
        <f t="shared" si="217"/>
        <v>23調査結果-上記以外の調査項目-7（8）-改善（予定）年月-年（令和）</v>
      </c>
      <c r="V1273" s="202"/>
      <c r="W1273" s="202"/>
      <c r="X1273" s="202"/>
    </row>
    <row r="1274" spans="2:24" ht="19">
      <c r="B1274" s="107">
        <f>'1_入力シート【基本情報】'!$BV$500</f>
        <v>0</v>
      </c>
      <c r="C1274" s="493" t="str">
        <f t="shared" si="222"/>
        <v>0</v>
      </c>
      <c r="D1274" s="107">
        <f>'1_入力シート【基本情報】'!$BV$500</f>
        <v>0</v>
      </c>
      <c r="E1274" s="7" t="str">
        <f t="shared" si="222"/>
        <v>0</v>
      </c>
      <c r="F1274" s="7" t="str">
        <f t="shared" si="212"/>
        <v>0</v>
      </c>
      <c r="G1274" s="24"/>
      <c r="H1274" s="565">
        <v>23</v>
      </c>
      <c r="I1274" s="334" t="s">
        <v>33</v>
      </c>
      <c r="J1274" s="357" t="s">
        <v>1407</v>
      </c>
      <c r="K1274" s="322" t="s">
        <v>155</v>
      </c>
      <c r="L1274" s="358" t="s">
        <v>1407</v>
      </c>
      <c r="M1274" s="325" t="s">
        <v>2170</v>
      </c>
      <c r="N1274" s="358" t="s">
        <v>1407</v>
      </c>
      <c r="O1274" s="334" t="s">
        <v>387</v>
      </c>
      <c r="P1274" s="332" t="s">
        <v>1879</v>
      </c>
      <c r="Q1274" s="363" t="s">
        <v>383</v>
      </c>
      <c r="R1274" s="364"/>
      <c r="S1274" s="364"/>
      <c r="T1274" s="13" t="str">
        <f t="shared" si="217"/>
        <v>23調査結果-上記以外の調査項目-7（8）-改善（予定）年月-月</v>
      </c>
      <c r="V1274" s="202"/>
      <c r="W1274" s="202"/>
      <c r="X1274" s="202"/>
    </row>
    <row r="1275" spans="2:24">
      <c r="B1275" s="107">
        <f>'1_入力シート【基本情報】'!$BY$500</f>
        <v>0</v>
      </c>
      <c r="C1275" s="4" t="str">
        <f t="shared" si="219"/>
        <v/>
      </c>
      <c r="D1275" s="107">
        <f>'1_入力シート【基本情報】'!$BY$500</f>
        <v>0</v>
      </c>
      <c r="E1275" s="564">
        <f>'1_入力シート【基本情報】'!$BY$500</f>
        <v>0</v>
      </c>
      <c r="F1275" s="564" t="str">
        <f t="shared" si="212"/>
        <v>0</v>
      </c>
      <c r="G1275" s="24"/>
      <c r="H1275" s="565">
        <v>23</v>
      </c>
      <c r="I1275" s="334" t="s">
        <v>33</v>
      </c>
      <c r="J1275" s="357" t="s">
        <v>1407</v>
      </c>
      <c r="K1275" s="322" t="s">
        <v>155</v>
      </c>
      <c r="L1275" s="358" t="s">
        <v>1407</v>
      </c>
      <c r="M1275" s="325" t="s">
        <v>2170</v>
      </c>
      <c r="N1275" s="358" t="s">
        <v>1407</v>
      </c>
      <c r="O1275" s="326" t="s">
        <v>387</v>
      </c>
      <c r="P1275" s="327" t="s">
        <v>1879</v>
      </c>
      <c r="Q1275" s="336" t="s">
        <v>675</v>
      </c>
      <c r="R1275" s="364"/>
      <c r="S1275" s="364"/>
      <c r="T1275" s="13" t="str">
        <f t="shared" si="217"/>
        <v>23調査結果-上記以外の調査項目-7（8）-改善（予定）年月-未定</v>
      </c>
      <c r="V1275" s="202"/>
      <c r="W1275" s="202"/>
      <c r="X1275" s="202"/>
    </row>
    <row r="1276" spans="2:24">
      <c r="B1276" s="107">
        <f>'1_入力シート【基本情報】'!$AF$501</f>
        <v>0</v>
      </c>
      <c r="C1276" s="4" t="str">
        <f t="shared" si="219"/>
        <v/>
      </c>
      <c r="D1276" s="107" t="str">
        <f>C1276</f>
        <v/>
      </c>
      <c r="E1276" s="564" t="str">
        <f>D1276</f>
        <v/>
      </c>
      <c r="F1276" s="564" t="str">
        <f t="shared" si="212"/>
        <v/>
      </c>
      <c r="G1276" s="24"/>
      <c r="H1276" s="565">
        <v>23</v>
      </c>
      <c r="I1276" s="334" t="s">
        <v>33</v>
      </c>
      <c r="J1276" s="357" t="s">
        <v>1407</v>
      </c>
      <c r="K1276" s="322" t="s">
        <v>155</v>
      </c>
      <c r="L1276" s="358" t="s">
        <v>1407</v>
      </c>
      <c r="M1276" s="325" t="s">
        <v>2171</v>
      </c>
      <c r="N1276" s="358" t="s">
        <v>1407</v>
      </c>
      <c r="O1276" s="326" t="s">
        <v>33</v>
      </c>
      <c r="P1276" s="332"/>
      <c r="Q1276" s="363"/>
      <c r="R1276" s="364"/>
      <c r="S1276" s="364"/>
      <c r="T1276" s="13" t="str">
        <f t="shared" si="217"/>
        <v>23調査結果-上記以外の調査項目-7（9）-調査結果</v>
      </c>
      <c r="V1276" s="202"/>
      <c r="W1276" s="202"/>
      <c r="X1276" s="202"/>
    </row>
    <row r="1277" spans="2:24">
      <c r="B1277" s="107">
        <f>'1_入力シート【基本情報】'!$AR$501</f>
        <v>0</v>
      </c>
      <c r="C1277" s="4" t="str">
        <f t="shared" si="219"/>
        <v/>
      </c>
      <c r="D1277" s="107">
        <f>'1_入力シート【基本情報】'!$AR$501</f>
        <v>0</v>
      </c>
      <c r="E1277" s="564">
        <f>'1_入力シート【基本情報】'!$AR$501</f>
        <v>0</v>
      </c>
      <c r="F1277" s="564" t="str">
        <f t="shared" si="212"/>
        <v>0</v>
      </c>
      <c r="G1277" s="24"/>
      <c r="H1277" s="565">
        <v>23</v>
      </c>
      <c r="I1277" s="334" t="s">
        <v>33</v>
      </c>
      <c r="J1277" s="357" t="s">
        <v>1407</v>
      </c>
      <c r="K1277" s="322" t="s">
        <v>155</v>
      </c>
      <c r="L1277" s="358" t="s">
        <v>1407</v>
      </c>
      <c r="M1277" s="325" t="s">
        <v>2171</v>
      </c>
      <c r="N1277" s="358" t="s">
        <v>1407</v>
      </c>
      <c r="O1277" s="326" t="s">
        <v>30</v>
      </c>
      <c r="P1277" s="332"/>
      <c r="Q1277" s="363"/>
      <c r="R1277" s="364"/>
      <c r="S1277" s="364"/>
      <c r="T1277" s="13" t="str">
        <f t="shared" si="217"/>
        <v>23調査結果-上記以外の調査項目-7（9）-調査者番号</v>
      </c>
      <c r="V1277" s="202"/>
      <c r="W1277" s="202"/>
      <c r="X1277" s="202"/>
    </row>
    <row r="1278" spans="2:24">
      <c r="B1278" s="107">
        <f>'1_入力シート【基本情報】'!$AT$501</f>
        <v>0</v>
      </c>
      <c r="C1278" s="4" t="str">
        <f t="shared" si="219"/>
        <v/>
      </c>
      <c r="D1278" s="107">
        <f>'1_入力シート【基本情報】'!$AT$501</f>
        <v>0</v>
      </c>
      <c r="E1278" s="564">
        <f>'1_入力シート【基本情報】'!$AT$501</f>
        <v>0</v>
      </c>
      <c r="F1278" s="564" t="str">
        <f t="shared" si="212"/>
        <v>0</v>
      </c>
      <c r="G1278" s="24"/>
      <c r="H1278" s="565">
        <v>23</v>
      </c>
      <c r="I1278" s="334" t="s">
        <v>33</v>
      </c>
      <c r="J1278" s="357" t="s">
        <v>1407</v>
      </c>
      <c r="K1278" s="322" t="s">
        <v>155</v>
      </c>
      <c r="L1278" s="358" t="s">
        <v>1407</v>
      </c>
      <c r="M1278" s="325" t="s">
        <v>2171</v>
      </c>
      <c r="N1278" s="358" t="s">
        <v>1407</v>
      </c>
      <c r="O1278" s="326" t="s">
        <v>2028</v>
      </c>
      <c r="P1278" s="332"/>
      <c r="Q1278" s="363"/>
      <c r="R1278" s="203"/>
      <c r="S1278" s="203"/>
      <c r="T1278" s="13" t="str">
        <f t="shared" si="217"/>
        <v>23調査結果-上記以外の調査項目-7（9）-指摘の具体的内容等</v>
      </c>
      <c r="V1278" s="202"/>
      <c r="W1278" s="202"/>
      <c r="X1278" s="202"/>
    </row>
    <row r="1279" spans="2:24">
      <c r="B1279" s="107">
        <f>'1_入力シート【基本情報】'!$BD$501</f>
        <v>0</v>
      </c>
      <c r="C1279" s="4" t="str">
        <f t="shared" si="219"/>
        <v/>
      </c>
      <c r="D1279" s="107">
        <f>'1_入力シート【基本情報】'!$BD$501</f>
        <v>0</v>
      </c>
      <c r="E1279" s="564">
        <f>'1_入力シート【基本情報】'!$BD$501</f>
        <v>0</v>
      </c>
      <c r="F1279" s="564" t="str">
        <f t="shared" si="212"/>
        <v>0</v>
      </c>
      <c r="G1279" s="24"/>
      <c r="H1279" s="565">
        <v>23</v>
      </c>
      <c r="I1279" s="334" t="s">
        <v>33</v>
      </c>
      <c r="J1279" s="357" t="s">
        <v>1407</v>
      </c>
      <c r="K1279" s="322" t="s">
        <v>155</v>
      </c>
      <c r="L1279" s="358" t="s">
        <v>1407</v>
      </c>
      <c r="M1279" s="325" t="s">
        <v>2171</v>
      </c>
      <c r="N1279" s="358" t="s">
        <v>1407</v>
      </c>
      <c r="O1279" s="326" t="s">
        <v>2029</v>
      </c>
      <c r="P1279" s="332"/>
      <c r="Q1279" s="363"/>
      <c r="R1279" s="364"/>
      <c r="S1279" s="364"/>
      <c r="T1279" s="13" t="str">
        <f t="shared" si="217"/>
        <v>23調査結果-上記以外の調査項目-7（9）-改善策の具体的内容等</v>
      </c>
      <c r="V1279" s="202"/>
      <c r="W1279" s="202"/>
      <c r="X1279" s="202"/>
    </row>
    <row r="1280" spans="2:24" ht="19">
      <c r="B1280" s="107">
        <f>'1_入力シート【基本情報】'!$BS$501</f>
        <v>0</v>
      </c>
      <c r="C1280" s="493" t="str">
        <f t="shared" ref="C1280:E1281" si="223">ASC($D1280)</f>
        <v>0</v>
      </c>
      <c r="D1280" s="107">
        <f>'1_入力シート【基本情報】'!$BS$501</f>
        <v>0</v>
      </c>
      <c r="E1280" s="7" t="str">
        <f t="shared" si="223"/>
        <v>0</v>
      </c>
      <c r="F1280" s="7" t="str">
        <f t="shared" si="212"/>
        <v>0</v>
      </c>
      <c r="G1280" s="24"/>
      <c r="H1280" s="565">
        <v>23</v>
      </c>
      <c r="I1280" s="334" t="s">
        <v>33</v>
      </c>
      <c r="J1280" s="357" t="s">
        <v>1407</v>
      </c>
      <c r="K1280" s="322" t="s">
        <v>155</v>
      </c>
      <c r="L1280" s="358" t="s">
        <v>1407</v>
      </c>
      <c r="M1280" s="325" t="s">
        <v>2171</v>
      </c>
      <c r="N1280" s="358" t="s">
        <v>1407</v>
      </c>
      <c r="O1280" s="334" t="s">
        <v>387</v>
      </c>
      <c r="P1280" s="332" t="s">
        <v>1879</v>
      </c>
      <c r="Q1280" s="363" t="s">
        <v>1966</v>
      </c>
      <c r="R1280" s="364"/>
      <c r="S1280" s="364"/>
      <c r="T1280" s="13" t="str">
        <f t="shared" si="217"/>
        <v>23調査結果-上記以外の調査項目-7（9）-改善（予定）年月-年（令和）</v>
      </c>
      <c r="V1280" s="202"/>
      <c r="W1280" s="202"/>
      <c r="X1280" s="202"/>
    </row>
    <row r="1281" spans="1:28" ht="19">
      <c r="B1281" s="107">
        <f>'1_入力シート【基本情報】'!$BV$501</f>
        <v>0</v>
      </c>
      <c r="C1281" s="493" t="str">
        <f t="shared" si="223"/>
        <v>0</v>
      </c>
      <c r="D1281" s="107">
        <f>'1_入力シート【基本情報】'!$BV$501</f>
        <v>0</v>
      </c>
      <c r="E1281" s="7" t="str">
        <f t="shared" si="223"/>
        <v>0</v>
      </c>
      <c r="F1281" s="7" t="str">
        <f t="shared" si="212"/>
        <v>0</v>
      </c>
      <c r="G1281" s="24"/>
      <c r="H1281" s="565">
        <v>23</v>
      </c>
      <c r="I1281" s="334" t="s">
        <v>33</v>
      </c>
      <c r="J1281" s="357" t="s">
        <v>1407</v>
      </c>
      <c r="K1281" s="322" t="s">
        <v>155</v>
      </c>
      <c r="L1281" s="358" t="s">
        <v>1407</v>
      </c>
      <c r="M1281" s="325" t="s">
        <v>2171</v>
      </c>
      <c r="N1281" s="358" t="s">
        <v>1407</v>
      </c>
      <c r="O1281" s="334" t="s">
        <v>387</v>
      </c>
      <c r="P1281" s="332" t="s">
        <v>1879</v>
      </c>
      <c r="Q1281" s="363" t="s">
        <v>383</v>
      </c>
      <c r="R1281" s="364"/>
      <c r="S1281" s="364"/>
      <c r="T1281" s="13" t="str">
        <f t="shared" si="217"/>
        <v>23調査結果-上記以外の調査項目-7（9）-改善（予定）年月-月</v>
      </c>
      <c r="V1281" s="202"/>
      <c r="W1281" s="202"/>
      <c r="X1281" s="202"/>
    </row>
    <row r="1282" spans="1:28">
      <c r="B1282" s="107">
        <f>'1_入力シート【基本情報】'!$BY$501</f>
        <v>0</v>
      </c>
      <c r="C1282" s="4" t="str">
        <f t="shared" si="219"/>
        <v/>
      </c>
      <c r="D1282" s="107">
        <f>'1_入力シート【基本情報】'!$BY$501</f>
        <v>0</v>
      </c>
      <c r="E1282" s="564">
        <f>'1_入力シート【基本情報】'!$BY$501</f>
        <v>0</v>
      </c>
      <c r="F1282" s="564" t="str">
        <f t="shared" si="212"/>
        <v>0</v>
      </c>
      <c r="G1282" s="24"/>
      <c r="H1282" s="565">
        <v>23</v>
      </c>
      <c r="I1282" s="334" t="s">
        <v>33</v>
      </c>
      <c r="J1282" s="357" t="s">
        <v>1407</v>
      </c>
      <c r="K1282" s="322" t="s">
        <v>155</v>
      </c>
      <c r="L1282" s="358" t="s">
        <v>1407</v>
      </c>
      <c r="M1282" s="325" t="s">
        <v>2171</v>
      </c>
      <c r="N1282" s="358" t="s">
        <v>1407</v>
      </c>
      <c r="O1282" s="334" t="s">
        <v>387</v>
      </c>
      <c r="P1282" s="332" t="s">
        <v>1879</v>
      </c>
      <c r="Q1282" s="363" t="s">
        <v>675</v>
      </c>
      <c r="R1282" s="364"/>
      <c r="S1282" s="364"/>
      <c r="T1282" s="13" t="str">
        <f t="shared" si="217"/>
        <v>23調査結果-上記以外の調査項目-7（9）-改善（予定）年月-未定</v>
      </c>
      <c r="V1282" s="202"/>
      <c r="W1282" s="202"/>
      <c r="X1282" s="202"/>
    </row>
    <row r="1283" spans="1:28">
      <c r="B1283" s="107">
        <f>'1_入力シート【基本情報】'!$AF$502</f>
        <v>0</v>
      </c>
      <c r="C1283" s="4" t="str">
        <f t="shared" si="219"/>
        <v/>
      </c>
      <c r="D1283" s="107" t="str">
        <f>C1283</f>
        <v/>
      </c>
      <c r="E1283" s="564" t="str">
        <f>D1283</f>
        <v/>
      </c>
      <c r="F1283" s="564" t="str">
        <f t="shared" si="212"/>
        <v/>
      </c>
      <c r="G1283" s="24"/>
      <c r="H1283" s="565">
        <v>23</v>
      </c>
      <c r="I1283" s="334" t="s">
        <v>33</v>
      </c>
      <c r="J1283" s="357" t="s">
        <v>1407</v>
      </c>
      <c r="K1283" s="322" t="s">
        <v>155</v>
      </c>
      <c r="L1283" s="358" t="s">
        <v>1407</v>
      </c>
      <c r="M1283" s="325" t="s">
        <v>2172</v>
      </c>
      <c r="N1283" s="358" t="s">
        <v>1407</v>
      </c>
      <c r="O1283" s="326" t="s">
        <v>33</v>
      </c>
      <c r="P1283" s="327"/>
      <c r="Q1283" s="336"/>
      <c r="R1283" s="364"/>
      <c r="S1283" s="364"/>
      <c r="T1283" s="13" t="str">
        <f t="shared" si="217"/>
        <v>23調査結果-上記以外の調査項目-7（10）-調査結果</v>
      </c>
      <c r="V1283" s="202"/>
      <c r="W1283" s="202"/>
      <c r="X1283" s="202"/>
    </row>
    <row r="1284" spans="1:28">
      <c r="B1284" s="107">
        <f>'1_入力シート【基本情報】'!$AR$502</f>
        <v>0</v>
      </c>
      <c r="C1284" s="4" t="str">
        <f t="shared" si="219"/>
        <v/>
      </c>
      <c r="D1284" s="107">
        <f>'1_入力シート【基本情報】'!$AR$502</f>
        <v>0</v>
      </c>
      <c r="E1284" s="564">
        <f>'1_入力シート【基本情報】'!$AR$502</f>
        <v>0</v>
      </c>
      <c r="F1284" s="564" t="str">
        <f t="shared" si="212"/>
        <v>0</v>
      </c>
      <c r="G1284" s="24"/>
      <c r="H1284" s="565">
        <v>23</v>
      </c>
      <c r="I1284" s="334" t="s">
        <v>33</v>
      </c>
      <c r="J1284" s="357" t="s">
        <v>1407</v>
      </c>
      <c r="K1284" s="322" t="s">
        <v>155</v>
      </c>
      <c r="L1284" s="358" t="s">
        <v>1407</v>
      </c>
      <c r="M1284" s="325" t="s">
        <v>2172</v>
      </c>
      <c r="N1284" s="358" t="s">
        <v>1407</v>
      </c>
      <c r="O1284" s="326" t="s">
        <v>30</v>
      </c>
      <c r="P1284" s="332"/>
      <c r="Q1284" s="363"/>
      <c r="R1284" s="364"/>
      <c r="S1284" s="364"/>
      <c r="T1284" s="13" t="str">
        <f t="shared" si="217"/>
        <v>23調査結果-上記以外の調査項目-7（10）-調査者番号</v>
      </c>
      <c r="V1284" s="202"/>
      <c r="W1284" s="202"/>
      <c r="X1284" s="202"/>
    </row>
    <row r="1285" spans="1:28">
      <c r="B1285" s="107">
        <f>'1_入力シート【基本情報】'!$AT$502</f>
        <v>0</v>
      </c>
      <c r="C1285" s="4" t="str">
        <f t="shared" si="219"/>
        <v/>
      </c>
      <c r="D1285" s="107">
        <f>'1_入力シート【基本情報】'!$AT$502</f>
        <v>0</v>
      </c>
      <c r="E1285" s="564">
        <f>'1_入力シート【基本情報】'!$AT$502</f>
        <v>0</v>
      </c>
      <c r="F1285" s="564" t="str">
        <f t="shared" ref="F1285:F1348" si="224">SUBSTITUTE(E1285,CHAR(10),"")</f>
        <v>0</v>
      </c>
      <c r="G1285" s="24"/>
      <c r="H1285" s="565">
        <v>23</v>
      </c>
      <c r="I1285" s="334" t="s">
        <v>33</v>
      </c>
      <c r="J1285" s="357" t="s">
        <v>1407</v>
      </c>
      <c r="K1285" s="322" t="s">
        <v>155</v>
      </c>
      <c r="L1285" s="358" t="s">
        <v>1407</v>
      </c>
      <c r="M1285" s="325" t="s">
        <v>2172</v>
      </c>
      <c r="N1285" s="358" t="s">
        <v>1407</v>
      </c>
      <c r="O1285" s="326" t="s">
        <v>2028</v>
      </c>
      <c r="P1285" s="332"/>
      <c r="Q1285" s="363"/>
      <c r="R1285" s="364"/>
      <c r="S1285" s="364"/>
      <c r="T1285" s="13" t="str">
        <f t="shared" si="217"/>
        <v>23調査結果-上記以外の調査項目-7（10）-指摘の具体的内容等</v>
      </c>
      <c r="V1285" s="202"/>
      <c r="W1285" s="202"/>
      <c r="X1285" s="202"/>
    </row>
    <row r="1286" spans="1:28">
      <c r="B1286" s="107">
        <f>'1_入力シート【基本情報】'!$BD$502</f>
        <v>0</v>
      </c>
      <c r="C1286" s="4" t="str">
        <f t="shared" si="219"/>
        <v/>
      </c>
      <c r="D1286" s="107">
        <f>'1_入力シート【基本情報】'!$BD$502</f>
        <v>0</v>
      </c>
      <c r="E1286" s="564">
        <f>'1_入力シート【基本情報】'!$BD$502</f>
        <v>0</v>
      </c>
      <c r="F1286" s="564" t="str">
        <f t="shared" si="224"/>
        <v>0</v>
      </c>
      <c r="G1286" s="24"/>
      <c r="H1286" s="565">
        <v>23</v>
      </c>
      <c r="I1286" s="334" t="s">
        <v>33</v>
      </c>
      <c r="J1286" s="357" t="s">
        <v>1407</v>
      </c>
      <c r="K1286" s="322" t="s">
        <v>155</v>
      </c>
      <c r="L1286" s="358" t="s">
        <v>1407</v>
      </c>
      <c r="M1286" s="325" t="s">
        <v>2172</v>
      </c>
      <c r="N1286" s="358" t="s">
        <v>1407</v>
      </c>
      <c r="O1286" s="326" t="s">
        <v>2029</v>
      </c>
      <c r="P1286" s="332"/>
      <c r="Q1286" s="363"/>
      <c r="R1286" s="203"/>
      <c r="S1286" s="203"/>
      <c r="T1286" s="13" t="str">
        <f t="shared" si="217"/>
        <v>23調査結果-上記以外の調査項目-7（10）-改善策の具体的内容等</v>
      </c>
      <c r="V1286" s="202"/>
      <c r="W1286" s="202"/>
      <c r="X1286" s="202"/>
    </row>
    <row r="1287" spans="1:28" ht="19">
      <c r="B1287" s="107">
        <f>'1_入力シート【基本情報】'!$BS$502</f>
        <v>0</v>
      </c>
      <c r="C1287" s="493" t="str">
        <f t="shared" ref="C1287:E1288" si="225">ASC($D1287)</f>
        <v>0</v>
      </c>
      <c r="D1287" s="107">
        <f>'1_入力シート【基本情報】'!$BS$502</f>
        <v>0</v>
      </c>
      <c r="E1287" s="7" t="str">
        <f t="shared" si="225"/>
        <v>0</v>
      </c>
      <c r="F1287" s="7" t="str">
        <f t="shared" si="224"/>
        <v>0</v>
      </c>
      <c r="G1287" s="24"/>
      <c r="H1287" s="565">
        <v>23</v>
      </c>
      <c r="I1287" s="334" t="s">
        <v>33</v>
      </c>
      <c r="J1287" s="357" t="s">
        <v>1407</v>
      </c>
      <c r="K1287" s="322" t="s">
        <v>155</v>
      </c>
      <c r="L1287" s="358" t="s">
        <v>1407</v>
      </c>
      <c r="M1287" s="325" t="s">
        <v>2172</v>
      </c>
      <c r="N1287" s="358" t="s">
        <v>1407</v>
      </c>
      <c r="O1287" s="326" t="s">
        <v>387</v>
      </c>
      <c r="P1287" s="332" t="s">
        <v>1879</v>
      </c>
      <c r="Q1287" s="363" t="s">
        <v>1966</v>
      </c>
      <c r="R1287" s="364"/>
      <c r="S1287" s="364"/>
      <c r="T1287" s="13" t="str">
        <f t="shared" si="217"/>
        <v>23調査結果-上記以外の調査項目-7（10）-改善（予定）年月-年（令和）</v>
      </c>
      <c r="V1287" s="202"/>
      <c r="W1287" s="202"/>
      <c r="X1287" s="202"/>
    </row>
    <row r="1288" spans="1:28" ht="19">
      <c r="B1288" s="107">
        <f>'1_入力シート【基本情報】'!$BV$502</f>
        <v>0</v>
      </c>
      <c r="C1288" s="493" t="str">
        <f t="shared" si="225"/>
        <v>0</v>
      </c>
      <c r="D1288" s="107">
        <f>'1_入力シート【基本情報】'!$BV$502</f>
        <v>0</v>
      </c>
      <c r="E1288" s="7" t="str">
        <f t="shared" si="225"/>
        <v>0</v>
      </c>
      <c r="F1288" s="7" t="str">
        <f t="shared" si="224"/>
        <v>0</v>
      </c>
      <c r="G1288" s="24"/>
      <c r="H1288" s="565">
        <v>23</v>
      </c>
      <c r="I1288" s="334" t="s">
        <v>33</v>
      </c>
      <c r="J1288" s="357" t="s">
        <v>1407</v>
      </c>
      <c r="K1288" s="322" t="s">
        <v>155</v>
      </c>
      <c r="L1288" s="358" t="s">
        <v>1407</v>
      </c>
      <c r="M1288" s="325" t="s">
        <v>2172</v>
      </c>
      <c r="N1288" s="358" t="s">
        <v>1407</v>
      </c>
      <c r="O1288" s="334" t="s">
        <v>387</v>
      </c>
      <c r="P1288" s="332" t="s">
        <v>1879</v>
      </c>
      <c r="Q1288" s="363" t="s">
        <v>383</v>
      </c>
      <c r="R1288" s="364"/>
      <c r="S1288" s="364"/>
      <c r="T1288" s="13" t="str">
        <f t="shared" si="217"/>
        <v>23調査結果-上記以外の調査項目-7（10）-改善（予定）年月-月</v>
      </c>
      <c r="V1288" s="202"/>
      <c r="W1288" s="202"/>
      <c r="X1288" s="202"/>
    </row>
    <row r="1289" spans="1:28">
      <c r="B1289" s="107">
        <f>'1_入力シート【基本情報】'!$BY$502</f>
        <v>0</v>
      </c>
      <c r="C1289" s="4" t="str">
        <f t="shared" si="219"/>
        <v/>
      </c>
      <c r="D1289" s="107">
        <f>'1_入力シート【基本情報】'!$BY$502</f>
        <v>0</v>
      </c>
      <c r="E1289" s="564">
        <f>'1_入力シート【基本情報】'!$BY$502</f>
        <v>0</v>
      </c>
      <c r="F1289" s="564" t="str">
        <f t="shared" si="224"/>
        <v>0</v>
      </c>
      <c r="G1289" s="24"/>
      <c r="H1289" s="565">
        <v>23</v>
      </c>
      <c r="I1289" s="334" t="s">
        <v>33</v>
      </c>
      <c r="J1289" s="357" t="s">
        <v>1407</v>
      </c>
      <c r="K1289" s="322" t="s">
        <v>155</v>
      </c>
      <c r="L1289" s="358" t="s">
        <v>1407</v>
      </c>
      <c r="M1289" s="325" t="s">
        <v>2172</v>
      </c>
      <c r="N1289" s="358" t="s">
        <v>1407</v>
      </c>
      <c r="O1289" s="334" t="s">
        <v>387</v>
      </c>
      <c r="P1289" s="332" t="s">
        <v>1879</v>
      </c>
      <c r="Q1289" s="363" t="s">
        <v>675</v>
      </c>
      <c r="R1289" s="364"/>
      <c r="S1289" s="364"/>
      <c r="T1289" s="13" t="str">
        <f t="shared" si="217"/>
        <v>23調査結果-上記以外の調査項目-7（10）-改善（予定）年月-未定</v>
      </c>
      <c r="V1289" s="202"/>
      <c r="W1289" s="202"/>
      <c r="X1289" s="202"/>
    </row>
    <row r="1290" spans="1:28">
      <c r="A1290" s="426"/>
      <c r="B1290" s="107"/>
      <c r="C1290" s="4"/>
      <c r="D1290" s="107"/>
      <c r="E1290" s="789">
        <f>'1_入力シート【基本情報】'!$M$512</f>
        <v>0</v>
      </c>
      <c r="F1290" s="789" t="str">
        <f t="shared" si="224"/>
        <v>0</v>
      </c>
      <c r="G1290" s="790"/>
      <c r="H1290" s="693">
        <v>23</v>
      </c>
      <c r="I1290" s="791" t="s">
        <v>33</v>
      </c>
      <c r="J1290" s="695" t="s">
        <v>1879</v>
      </c>
      <c r="K1290" s="696" t="s">
        <v>2173</v>
      </c>
      <c r="L1290" s="697" t="s">
        <v>1879</v>
      </c>
      <c r="M1290" s="698" t="s">
        <v>1502</v>
      </c>
      <c r="N1290" s="697" t="s">
        <v>1879</v>
      </c>
      <c r="O1290" s="791" t="s">
        <v>31</v>
      </c>
      <c r="P1290" s="792"/>
      <c r="Q1290" s="793"/>
      <c r="R1290" s="794"/>
      <c r="S1290" s="794"/>
      <c r="T1290" s="382" t="str">
        <f t="shared" si="217"/>
        <v>23調査結果-上記1から7に記載のない事項-1行目-番号</v>
      </c>
      <c r="U1290" s="382"/>
      <c r="V1290" s="202"/>
      <c r="W1290" s="202"/>
      <c r="X1290" s="202"/>
      <c r="Y1290" s="382"/>
      <c r="Z1290" s="382"/>
      <c r="AA1290" s="382"/>
      <c r="AB1290" s="382"/>
    </row>
    <row r="1291" spans="1:28">
      <c r="A1291" s="426"/>
      <c r="B1291" s="107"/>
      <c r="C1291" s="4"/>
      <c r="D1291" s="107"/>
      <c r="E1291" s="789" t="str">
        <f>'1_入力シート【基本情報】'!$P$512</f>
        <v/>
      </c>
      <c r="F1291" s="789" t="str">
        <f t="shared" si="224"/>
        <v/>
      </c>
      <c r="G1291" s="790"/>
      <c r="H1291" s="693">
        <v>23</v>
      </c>
      <c r="I1291" s="791" t="s">
        <v>33</v>
      </c>
      <c r="J1291" s="695" t="s">
        <v>1879</v>
      </c>
      <c r="K1291" s="696" t="s">
        <v>2173</v>
      </c>
      <c r="L1291" s="697" t="s">
        <v>1879</v>
      </c>
      <c r="M1291" s="698" t="s">
        <v>1502</v>
      </c>
      <c r="N1291" s="697" t="s">
        <v>1879</v>
      </c>
      <c r="O1291" s="791" t="s">
        <v>1007</v>
      </c>
      <c r="P1291" s="792"/>
      <c r="Q1291" s="793"/>
      <c r="R1291" s="794"/>
      <c r="S1291" s="794"/>
      <c r="T1291" s="382" t="str">
        <f t="shared" si="217"/>
        <v>23調査結果-上記1から7に記載のない事項-1行目-調査項目</v>
      </c>
      <c r="U1291" s="382"/>
      <c r="V1291" s="202"/>
      <c r="W1291" s="202"/>
      <c r="X1291" s="202"/>
      <c r="Y1291" s="382"/>
      <c r="Z1291" s="382"/>
      <c r="AA1291" s="382"/>
      <c r="AB1291" s="382"/>
    </row>
    <row r="1292" spans="1:28">
      <c r="B1292" s="107">
        <f>'1_入力シート【基本情報】'!$AF$512</f>
        <v>0</v>
      </c>
      <c r="C1292" s="4" t="str">
        <f t="shared" si="219"/>
        <v/>
      </c>
      <c r="D1292" s="107" t="str">
        <f>C1292</f>
        <v/>
      </c>
      <c r="E1292" s="564" t="str">
        <f>D1292</f>
        <v/>
      </c>
      <c r="F1292" s="564" t="str">
        <f t="shared" si="224"/>
        <v/>
      </c>
      <c r="G1292" s="24"/>
      <c r="H1292" s="565">
        <v>23</v>
      </c>
      <c r="I1292" s="334" t="s">
        <v>33</v>
      </c>
      <c r="J1292" s="357" t="s">
        <v>1407</v>
      </c>
      <c r="K1292" s="322" t="s">
        <v>2173</v>
      </c>
      <c r="L1292" s="358" t="s">
        <v>1407</v>
      </c>
      <c r="M1292" s="321" t="s">
        <v>1502</v>
      </c>
      <c r="N1292" s="358" t="s">
        <v>1407</v>
      </c>
      <c r="O1292" s="334" t="s">
        <v>33</v>
      </c>
      <c r="P1292" s="332"/>
      <c r="Q1292" s="363"/>
      <c r="R1292" s="364"/>
      <c r="S1292" s="364"/>
      <c r="T1292" s="382" t="str">
        <f t="shared" si="217"/>
        <v>23調査結果-上記1から7に記載のない事項-1行目-調査結果</v>
      </c>
      <c r="V1292" s="202"/>
      <c r="W1292" s="202"/>
      <c r="X1292" s="202"/>
    </row>
    <row r="1293" spans="1:28">
      <c r="B1293" s="107">
        <f>'1_入力シート【基本情報】'!$AR$512</f>
        <v>0</v>
      </c>
      <c r="C1293" s="4" t="str">
        <f t="shared" si="219"/>
        <v/>
      </c>
      <c r="D1293" s="107">
        <f>'1_入力シート【基本情報】'!$AR$512</f>
        <v>0</v>
      </c>
      <c r="E1293" s="564">
        <f>'1_入力シート【基本情報】'!$AR$512</f>
        <v>0</v>
      </c>
      <c r="F1293" s="564" t="str">
        <f t="shared" si="224"/>
        <v>0</v>
      </c>
      <c r="G1293" s="24"/>
      <c r="H1293" s="565">
        <v>23</v>
      </c>
      <c r="I1293" s="334" t="s">
        <v>33</v>
      </c>
      <c r="J1293" s="357" t="s">
        <v>1407</v>
      </c>
      <c r="K1293" s="322" t="s">
        <v>2173</v>
      </c>
      <c r="L1293" s="358" t="s">
        <v>1407</v>
      </c>
      <c r="M1293" s="321" t="s">
        <v>1502</v>
      </c>
      <c r="N1293" s="358" t="s">
        <v>1407</v>
      </c>
      <c r="O1293" s="326" t="s">
        <v>30</v>
      </c>
      <c r="P1293" s="327"/>
      <c r="Q1293" s="336"/>
      <c r="R1293" s="364"/>
      <c r="S1293" s="364"/>
      <c r="T1293" s="382" t="str">
        <f t="shared" si="217"/>
        <v>23調査結果-上記1から7に記載のない事項-1行目-調査者番号</v>
      </c>
      <c r="V1293" s="202"/>
      <c r="W1293" s="202"/>
      <c r="X1293" s="202"/>
    </row>
    <row r="1294" spans="1:28">
      <c r="B1294" s="107">
        <f>'1_入力シート【基本情報】'!$AT$512</f>
        <v>0</v>
      </c>
      <c r="C1294" s="4" t="str">
        <f t="shared" si="219"/>
        <v/>
      </c>
      <c r="D1294" s="107">
        <f>'1_入力シート【基本情報】'!$AT$512</f>
        <v>0</v>
      </c>
      <c r="E1294" s="564">
        <f>'1_入力シート【基本情報】'!$AT$512</f>
        <v>0</v>
      </c>
      <c r="F1294" s="564" t="str">
        <f t="shared" si="224"/>
        <v>0</v>
      </c>
      <c r="G1294" s="24"/>
      <c r="H1294" s="565">
        <v>23</v>
      </c>
      <c r="I1294" s="334" t="s">
        <v>33</v>
      </c>
      <c r="J1294" s="357" t="s">
        <v>1407</v>
      </c>
      <c r="K1294" s="322" t="s">
        <v>2173</v>
      </c>
      <c r="L1294" s="358" t="s">
        <v>1407</v>
      </c>
      <c r="M1294" s="321" t="s">
        <v>1502</v>
      </c>
      <c r="N1294" s="358" t="s">
        <v>1407</v>
      </c>
      <c r="O1294" s="326" t="s">
        <v>2028</v>
      </c>
      <c r="P1294" s="332"/>
      <c r="Q1294" s="363"/>
      <c r="R1294" s="364"/>
      <c r="S1294" s="364"/>
      <c r="T1294" s="382" t="str">
        <f t="shared" si="217"/>
        <v>23調査結果-上記1から7に記載のない事項-1行目-指摘の具体的内容等</v>
      </c>
      <c r="V1294" s="202"/>
      <c r="W1294" s="202"/>
      <c r="X1294" s="202"/>
    </row>
    <row r="1295" spans="1:28">
      <c r="B1295" s="107">
        <f>'1_入力シート【基本情報】'!$BD$512</f>
        <v>0</v>
      </c>
      <c r="C1295" s="4" t="str">
        <f t="shared" si="219"/>
        <v/>
      </c>
      <c r="D1295" s="107">
        <f>'1_入力シート【基本情報】'!$BD$512</f>
        <v>0</v>
      </c>
      <c r="E1295" s="564">
        <f>'1_入力シート【基本情報】'!$BD$512</f>
        <v>0</v>
      </c>
      <c r="F1295" s="564" t="str">
        <f t="shared" si="224"/>
        <v>0</v>
      </c>
      <c r="G1295" s="24"/>
      <c r="H1295" s="565">
        <v>23</v>
      </c>
      <c r="I1295" s="334" t="s">
        <v>33</v>
      </c>
      <c r="J1295" s="357" t="s">
        <v>1407</v>
      </c>
      <c r="K1295" s="322" t="s">
        <v>2173</v>
      </c>
      <c r="L1295" s="358" t="s">
        <v>1407</v>
      </c>
      <c r="M1295" s="321" t="s">
        <v>1502</v>
      </c>
      <c r="N1295" s="358" t="s">
        <v>1407</v>
      </c>
      <c r="O1295" s="326" t="s">
        <v>2029</v>
      </c>
      <c r="P1295" s="332"/>
      <c r="Q1295" s="363"/>
      <c r="R1295" s="364"/>
      <c r="S1295" s="364"/>
      <c r="T1295" s="382" t="str">
        <f t="shared" si="217"/>
        <v>23調査結果-上記1から7に記載のない事項-1行目-改善策の具体的内容等</v>
      </c>
      <c r="V1295" s="202"/>
      <c r="W1295" s="202"/>
      <c r="X1295" s="202"/>
    </row>
    <row r="1296" spans="1:28" ht="19">
      <c r="B1296" s="107">
        <f>'1_入力シート【基本情報】'!$BS$512</f>
        <v>0</v>
      </c>
      <c r="C1296" s="493" t="str">
        <f t="shared" ref="C1296:E1297" si="226">ASC($D1296)</f>
        <v>0</v>
      </c>
      <c r="D1296" s="107">
        <f>'1_入力シート【基本情報】'!$BS$512</f>
        <v>0</v>
      </c>
      <c r="E1296" s="7" t="str">
        <f t="shared" si="226"/>
        <v>0</v>
      </c>
      <c r="F1296" s="7" t="str">
        <f t="shared" si="224"/>
        <v>0</v>
      </c>
      <c r="G1296" s="24"/>
      <c r="H1296" s="565">
        <v>23</v>
      </c>
      <c r="I1296" s="334" t="s">
        <v>33</v>
      </c>
      <c r="J1296" s="357" t="s">
        <v>1407</v>
      </c>
      <c r="K1296" s="322" t="s">
        <v>2173</v>
      </c>
      <c r="L1296" s="358" t="s">
        <v>1407</v>
      </c>
      <c r="M1296" s="321" t="s">
        <v>1502</v>
      </c>
      <c r="N1296" s="358" t="s">
        <v>1407</v>
      </c>
      <c r="O1296" s="326" t="s">
        <v>387</v>
      </c>
      <c r="P1296" s="332" t="s">
        <v>1879</v>
      </c>
      <c r="Q1296" s="363" t="s">
        <v>1966</v>
      </c>
      <c r="R1296" s="203"/>
      <c r="S1296" s="203"/>
      <c r="T1296" s="382" t="str">
        <f t="shared" si="217"/>
        <v>23調査結果-上記1から7に記載のない事項-1行目-改善（予定）年月-年（令和）</v>
      </c>
      <c r="V1296" s="202"/>
      <c r="W1296" s="202"/>
      <c r="X1296" s="202"/>
    </row>
    <row r="1297" spans="1:28" ht="19">
      <c r="B1297" s="107">
        <f>'1_入力シート【基本情報】'!$BV$512</f>
        <v>0</v>
      </c>
      <c r="C1297" s="493" t="str">
        <f t="shared" si="226"/>
        <v>0</v>
      </c>
      <c r="D1297" s="107">
        <f>'1_入力シート【基本情報】'!$BV$512</f>
        <v>0</v>
      </c>
      <c r="E1297" s="7" t="str">
        <f t="shared" si="226"/>
        <v>0</v>
      </c>
      <c r="F1297" s="7" t="str">
        <f t="shared" si="224"/>
        <v>0</v>
      </c>
      <c r="G1297" s="24"/>
      <c r="H1297" s="565">
        <v>23</v>
      </c>
      <c r="I1297" s="334" t="s">
        <v>33</v>
      </c>
      <c r="J1297" s="357" t="s">
        <v>1407</v>
      </c>
      <c r="K1297" s="322" t="s">
        <v>2173</v>
      </c>
      <c r="L1297" s="358" t="s">
        <v>1407</v>
      </c>
      <c r="M1297" s="321" t="s">
        <v>1502</v>
      </c>
      <c r="N1297" s="358" t="s">
        <v>1407</v>
      </c>
      <c r="O1297" s="326" t="s">
        <v>387</v>
      </c>
      <c r="P1297" s="332" t="s">
        <v>1879</v>
      </c>
      <c r="Q1297" s="363" t="s">
        <v>383</v>
      </c>
      <c r="R1297" s="364"/>
      <c r="S1297" s="364"/>
      <c r="T1297" s="382" t="str">
        <f t="shared" si="217"/>
        <v>23調査結果-上記1から7に記載のない事項-1行目-改善（予定）年月-月</v>
      </c>
      <c r="V1297" s="202"/>
      <c r="W1297" s="202"/>
      <c r="X1297" s="202"/>
    </row>
    <row r="1298" spans="1:28">
      <c r="B1298" s="107">
        <f>'1_入力シート【基本情報】'!$BY$512</f>
        <v>0</v>
      </c>
      <c r="C1298" s="4" t="str">
        <f t="shared" si="219"/>
        <v/>
      </c>
      <c r="D1298" s="107">
        <f>'1_入力シート【基本情報】'!$BY$512</f>
        <v>0</v>
      </c>
      <c r="E1298" s="564">
        <f>'1_入力シート【基本情報】'!$BY$512</f>
        <v>0</v>
      </c>
      <c r="F1298" s="564" t="str">
        <f t="shared" si="224"/>
        <v>0</v>
      </c>
      <c r="G1298" s="24"/>
      <c r="H1298" s="565">
        <v>23</v>
      </c>
      <c r="I1298" s="334" t="s">
        <v>33</v>
      </c>
      <c r="J1298" s="357" t="s">
        <v>1407</v>
      </c>
      <c r="K1298" s="322" t="s">
        <v>2173</v>
      </c>
      <c r="L1298" s="358" t="s">
        <v>1407</v>
      </c>
      <c r="M1298" s="321" t="s">
        <v>1502</v>
      </c>
      <c r="N1298" s="358" t="s">
        <v>1407</v>
      </c>
      <c r="O1298" s="334" t="s">
        <v>387</v>
      </c>
      <c r="P1298" s="332" t="s">
        <v>1879</v>
      </c>
      <c r="Q1298" s="363" t="s">
        <v>675</v>
      </c>
      <c r="R1298" s="364"/>
      <c r="S1298" s="364"/>
      <c r="T1298" s="382" t="str">
        <f t="shared" si="217"/>
        <v>23調査結果-上記1から7に記載のない事項-1行目-改善（予定）年月-未定</v>
      </c>
      <c r="V1298" s="202"/>
      <c r="W1298" s="202"/>
      <c r="X1298" s="202"/>
    </row>
    <row r="1299" spans="1:28">
      <c r="A1299" s="426"/>
      <c r="B1299" s="107"/>
      <c r="C1299" s="4"/>
      <c r="D1299" s="107"/>
      <c r="E1299" s="789">
        <f>'1_入力シート【基本情報】'!$M$513</f>
        <v>0</v>
      </c>
      <c r="F1299" s="789" t="str">
        <f t="shared" si="224"/>
        <v>0</v>
      </c>
      <c r="G1299" s="790"/>
      <c r="H1299" s="693">
        <v>23</v>
      </c>
      <c r="I1299" s="791" t="s">
        <v>33</v>
      </c>
      <c r="J1299" s="695" t="s">
        <v>1879</v>
      </c>
      <c r="K1299" s="696" t="s">
        <v>2173</v>
      </c>
      <c r="L1299" s="697" t="s">
        <v>1879</v>
      </c>
      <c r="M1299" s="698" t="s">
        <v>1511</v>
      </c>
      <c r="N1299" s="697" t="s">
        <v>1879</v>
      </c>
      <c r="O1299" s="791" t="s">
        <v>31</v>
      </c>
      <c r="P1299" s="792"/>
      <c r="Q1299" s="793"/>
      <c r="R1299" s="794"/>
      <c r="S1299" s="794"/>
      <c r="T1299" s="382" t="str">
        <f t="shared" si="217"/>
        <v>23調査結果-上記1から7に記載のない事項-2行目-番号</v>
      </c>
      <c r="U1299" s="382"/>
      <c r="V1299" s="202"/>
      <c r="W1299" s="202"/>
      <c r="X1299" s="202"/>
      <c r="Y1299" s="382"/>
      <c r="Z1299" s="382"/>
      <c r="AA1299" s="382"/>
      <c r="AB1299" s="382"/>
    </row>
    <row r="1300" spans="1:28">
      <c r="A1300" s="426"/>
      <c r="B1300" s="107"/>
      <c r="C1300" s="4"/>
      <c r="D1300" s="107"/>
      <c r="E1300" s="789" t="str">
        <f>'1_入力シート【基本情報】'!$P$513</f>
        <v/>
      </c>
      <c r="F1300" s="789" t="str">
        <f t="shared" si="224"/>
        <v/>
      </c>
      <c r="G1300" s="790"/>
      <c r="H1300" s="693">
        <v>23</v>
      </c>
      <c r="I1300" s="791" t="s">
        <v>33</v>
      </c>
      <c r="J1300" s="695" t="s">
        <v>1879</v>
      </c>
      <c r="K1300" s="696" t="s">
        <v>2173</v>
      </c>
      <c r="L1300" s="697" t="s">
        <v>1879</v>
      </c>
      <c r="M1300" s="698" t="s">
        <v>1511</v>
      </c>
      <c r="N1300" s="697" t="s">
        <v>1879</v>
      </c>
      <c r="O1300" s="791" t="s">
        <v>1007</v>
      </c>
      <c r="P1300" s="792"/>
      <c r="Q1300" s="793"/>
      <c r="R1300" s="794"/>
      <c r="S1300" s="794"/>
      <c r="T1300" s="382" t="str">
        <f t="shared" si="217"/>
        <v>23調査結果-上記1から7に記載のない事項-2行目-調査項目</v>
      </c>
      <c r="U1300" s="382"/>
      <c r="V1300" s="202"/>
      <c r="W1300" s="202"/>
      <c r="X1300" s="202"/>
      <c r="Y1300" s="382"/>
      <c r="Z1300" s="382"/>
      <c r="AA1300" s="382"/>
      <c r="AB1300" s="382"/>
    </row>
    <row r="1301" spans="1:28">
      <c r="B1301" s="107">
        <f>'1_入力シート【基本情報】'!$AF$513</f>
        <v>0</v>
      </c>
      <c r="C1301" s="4" t="str">
        <f t="shared" si="219"/>
        <v/>
      </c>
      <c r="D1301" s="107" t="str">
        <f>C1301</f>
        <v/>
      </c>
      <c r="E1301" s="564" t="str">
        <f>D1301</f>
        <v/>
      </c>
      <c r="F1301" s="564" t="str">
        <f t="shared" si="224"/>
        <v/>
      </c>
      <c r="G1301" s="24"/>
      <c r="H1301" s="565">
        <v>23</v>
      </c>
      <c r="I1301" s="334" t="s">
        <v>33</v>
      </c>
      <c r="J1301" s="357" t="s">
        <v>1407</v>
      </c>
      <c r="K1301" s="322" t="s">
        <v>2173</v>
      </c>
      <c r="L1301" s="358" t="s">
        <v>1407</v>
      </c>
      <c r="M1301" s="321" t="s">
        <v>1511</v>
      </c>
      <c r="N1301" s="358" t="s">
        <v>1407</v>
      </c>
      <c r="O1301" s="334" t="s">
        <v>33</v>
      </c>
      <c r="P1301" s="332"/>
      <c r="Q1301" s="363"/>
      <c r="R1301" s="364"/>
      <c r="S1301" s="364"/>
      <c r="T1301" s="382" t="str">
        <f t="shared" si="217"/>
        <v>23調査結果-上記1から7に記載のない事項-2行目-調査結果</v>
      </c>
      <c r="V1301" s="202"/>
      <c r="W1301" s="202"/>
      <c r="X1301" s="202"/>
    </row>
    <row r="1302" spans="1:28">
      <c r="B1302" s="107">
        <f>'1_入力シート【基本情報】'!$AR$513</f>
        <v>0</v>
      </c>
      <c r="C1302" s="4" t="str">
        <f t="shared" si="219"/>
        <v/>
      </c>
      <c r="D1302" s="107">
        <f>'1_入力シート【基本情報】'!$AR$513</f>
        <v>0</v>
      </c>
      <c r="E1302" s="564">
        <f>'1_入力シート【基本情報】'!$AR$513</f>
        <v>0</v>
      </c>
      <c r="F1302" s="564" t="str">
        <f t="shared" si="224"/>
        <v>0</v>
      </c>
      <c r="G1302" s="24"/>
      <c r="H1302" s="565">
        <v>23</v>
      </c>
      <c r="I1302" s="334" t="s">
        <v>33</v>
      </c>
      <c r="J1302" s="357" t="s">
        <v>1407</v>
      </c>
      <c r="K1302" s="322" t="s">
        <v>2173</v>
      </c>
      <c r="L1302" s="358" t="s">
        <v>1407</v>
      </c>
      <c r="M1302" s="321" t="s">
        <v>1511</v>
      </c>
      <c r="N1302" s="358" t="s">
        <v>1407</v>
      </c>
      <c r="O1302" s="334" t="s">
        <v>30</v>
      </c>
      <c r="P1302" s="332"/>
      <c r="Q1302" s="363"/>
      <c r="R1302" s="364"/>
      <c r="S1302" s="364"/>
      <c r="T1302" s="382" t="str">
        <f t="shared" si="217"/>
        <v>23調査結果-上記1から7に記載のない事項-2行目-調査者番号</v>
      </c>
      <c r="V1302" s="202"/>
      <c r="W1302" s="202"/>
      <c r="X1302" s="202"/>
    </row>
    <row r="1303" spans="1:28">
      <c r="B1303" s="107">
        <f>'1_入力シート【基本情報】'!$AT$513</f>
        <v>0</v>
      </c>
      <c r="C1303" s="4" t="str">
        <f t="shared" si="219"/>
        <v/>
      </c>
      <c r="D1303" s="107">
        <f>'1_入力シート【基本情報】'!$AT$513</f>
        <v>0</v>
      </c>
      <c r="E1303" s="564">
        <f>'1_入力シート【基本情報】'!$AT$513</f>
        <v>0</v>
      </c>
      <c r="F1303" s="564" t="str">
        <f t="shared" si="224"/>
        <v>0</v>
      </c>
      <c r="G1303" s="24"/>
      <c r="H1303" s="565">
        <v>23</v>
      </c>
      <c r="I1303" s="334" t="s">
        <v>33</v>
      </c>
      <c r="J1303" s="357" t="s">
        <v>1407</v>
      </c>
      <c r="K1303" s="322" t="s">
        <v>2173</v>
      </c>
      <c r="L1303" s="358" t="s">
        <v>1407</v>
      </c>
      <c r="M1303" s="321" t="s">
        <v>1511</v>
      </c>
      <c r="N1303" s="358" t="s">
        <v>1407</v>
      </c>
      <c r="O1303" s="326" t="s">
        <v>2028</v>
      </c>
      <c r="P1303" s="327"/>
      <c r="Q1303" s="336"/>
      <c r="R1303" s="364"/>
      <c r="S1303" s="364"/>
      <c r="T1303" s="382" t="str">
        <f t="shared" si="217"/>
        <v>23調査結果-上記1から7に記載のない事項-2行目-指摘の具体的内容等</v>
      </c>
      <c r="V1303" s="202"/>
      <c r="W1303" s="202"/>
      <c r="X1303" s="202"/>
    </row>
    <row r="1304" spans="1:28">
      <c r="B1304" s="107">
        <f>'1_入力シート【基本情報】'!$BD$513</f>
        <v>0</v>
      </c>
      <c r="C1304" s="4" t="str">
        <f t="shared" si="219"/>
        <v/>
      </c>
      <c r="D1304" s="107">
        <f>'1_入力シート【基本情報】'!$BD$513</f>
        <v>0</v>
      </c>
      <c r="E1304" s="564">
        <f>'1_入力シート【基本情報】'!$BD$513</f>
        <v>0</v>
      </c>
      <c r="F1304" s="564" t="str">
        <f t="shared" si="224"/>
        <v>0</v>
      </c>
      <c r="G1304" s="24"/>
      <c r="H1304" s="565">
        <v>23</v>
      </c>
      <c r="I1304" s="334" t="s">
        <v>33</v>
      </c>
      <c r="J1304" s="357" t="s">
        <v>1407</v>
      </c>
      <c r="K1304" s="322" t="s">
        <v>2173</v>
      </c>
      <c r="L1304" s="358" t="s">
        <v>1407</v>
      </c>
      <c r="M1304" s="321" t="s">
        <v>1511</v>
      </c>
      <c r="N1304" s="358" t="s">
        <v>1407</v>
      </c>
      <c r="O1304" s="326" t="s">
        <v>2029</v>
      </c>
      <c r="P1304" s="332"/>
      <c r="Q1304" s="363"/>
      <c r="R1304" s="364"/>
      <c r="S1304" s="364"/>
      <c r="T1304" s="382" t="str">
        <f t="shared" si="217"/>
        <v>23調査結果-上記1から7に記載のない事項-2行目-改善策の具体的内容等</v>
      </c>
      <c r="V1304" s="202"/>
      <c r="W1304" s="202"/>
      <c r="X1304" s="202"/>
    </row>
    <row r="1305" spans="1:28" ht="19">
      <c r="B1305" s="107">
        <f>'1_入力シート【基本情報】'!$BS$513</f>
        <v>0</v>
      </c>
      <c r="C1305" s="493" t="str">
        <f t="shared" ref="C1305:E1306" si="227">ASC($D1305)</f>
        <v>0</v>
      </c>
      <c r="D1305" s="107">
        <f>'1_入力シート【基本情報】'!$BS$513</f>
        <v>0</v>
      </c>
      <c r="E1305" s="7" t="str">
        <f t="shared" si="227"/>
        <v>0</v>
      </c>
      <c r="F1305" s="7" t="str">
        <f t="shared" si="224"/>
        <v>0</v>
      </c>
      <c r="G1305" s="24"/>
      <c r="H1305" s="565">
        <v>23</v>
      </c>
      <c r="I1305" s="334" t="s">
        <v>33</v>
      </c>
      <c r="J1305" s="357" t="s">
        <v>1407</v>
      </c>
      <c r="K1305" s="322" t="s">
        <v>2173</v>
      </c>
      <c r="L1305" s="358" t="s">
        <v>1407</v>
      </c>
      <c r="M1305" s="321" t="s">
        <v>1511</v>
      </c>
      <c r="N1305" s="358" t="s">
        <v>1407</v>
      </c>
      <c r="O1305" s="326" t="s">
        <v>387</v>
      </c>
      <c r="P1305" s="332" t="s">
        <v>1879</v>
      </c>
      <c r="Q1305" s="363" t="s">
        <v>1966</v>
      </c>
      <c r="R1305" s="364"/>
      <c r="S1305" s="364"/>
      <c r="T1305" s="382" t="str">
        <f t="shared" si="217"/>
        <v>23調査結果-上記1から7に記載のない事項-2行目-改善（予定）年月-年（令和）</v>
      </c>
      <c r="V1305" s="202"/>
      <c r="W1305" s="202"/>
      <c r="X1305" s="202"/>
    </row>
    <row r="1306" spans="1:28" ht="19">
      <c r="B1306" s="107">
        <f>'1_入力シート【基本情報】'!$BV$513</f>
        <v>0</v>
      </c>
      <c r="C1306" s="493" t="str">
        <f t="shared" si="227"/>
        <v>0</v>
      </c>
      <c r="D1306" s="107">
        <f>'1_入力シート【基本情報】'!$BV$513</f>
        <v>0</v>
      </c>
      <c r="E1306" s="7" t="str">
        <f t="shared" si="227"/>
        <v>0</v>
      </c>
      <c r="F1306" s="7" t="str">
        <f t="shared" si="224"/>
        <v>0</v>
      </c>
      <c r="G1306" s="24"/>
      <c r="H1306" s="565">
        <v>23</v>
      </c>
      <c r="I1306" s="334" t="s">
        <v>33</v>
      </c>
      <c r="J1306" s="357" t="s">
        <v>1407</v>
      </c>
      <c r="K1306" s="322" t="s">
        <v>2173</v>
      </c>
      <c r="L1306" s="358" t="s">
        <v>1407</v>
      </c>
      <c r="M1306" s="321" t="s">
        <v>1511</v>
      </c>
      <c r="N1306" s="358" t="s">
        <v>1407</v>
      </c>
      <c r="O1306" s="326" t="s">
        <v>387</v>
      </c>
      <c r="P1306" s="332" t="s">
        <v>1879</v>
      </c>
      <c r="Q1306" s="363" t="s">
        <v>383</v>
      </c>
      <c r="R1306" s="203"/>
      <c r="S1306" s="203"/>
      <c r="T1306" s="382" t="str">
        <f t="shared" si="217"/>
        <v>23調査結果-上記1から7に記載のない事項-2行目-改善（予定）年月-月</v>
      </c>
      <c r="V1306" s="202"/>
      <c r="W1306" s="202"/>
      <c r="X1306" s="202"/>
    </row>
    <row r="1307" spans="1:28">
      <c r="B1307" s="107">
        <f>'1_入力シート【基本情報】'!$BY$513</f>
        <v>0</v>
      </c>
      <c r="C1307" s="4" t="str">
        <f t="shared" si="219"/>
        <v/>
      </c>
      <c r="D1307" s="107">
        <f>'1_入力シート【基本情報】'!$BY$513</f>
        <v>0</v>
      </c>
      <c r="E1307" s="564">
        <f>'1_入力シート【基本情報】'!$BY$513</f>
        <v>0</v>
      </c>
      <c r="F1307" s="564" t="str">
        <f t="shared" si="224"/>
        <v>0</v>
      </c>
      <c r="G1307" s="24"/>
      <c r="H1307" s="565">
        <v>23</v>
      </c>
      <c r="I1307" s="334" t="s">
        <v>33</v>
      </c>
      <c r="J1307" s="357" t="s">
        <v>1407</v>
      </c>
      <c r="K1307" s="322" t="s">
        <v>2173</v>
      </c>
      <c r="L1307" s="358" t="s">
        <v>1407</v>
      </c>
      <c r="M1307" s="321" t="s">
        <v>1511</v>
      </c>
      <c r="N1307" s="358" t="s">
        <v>1407</v>
      </c>
      <c r="O1307" s="326" t="s">
        <v>387</v>
      </c>
      <c r="P1307" s="332" t="s">
        <v>1879</v>
      </c>
      <c r="Q1307" s="363" t="s">
        <v>675</v>
      </c>
      <c r="R1307" s="364"/>
      <c r="S1307" s="364"/>
      <c r="T1307" s="382" t="str">
        <f t="shared" si="217"/>
        <v>23調査結果-上記1から7に記載のない事項-2行目-改善（予定）年月-未定</v>
      </c>
      <c r="V1307" s="202"/>
      <c r="W1307" s="202"/>
      <c r="X1307" s="202"/>
    </row>
    <row r="1308" spans="1:28">
      <c r="A1308" s="426"/>
      <c r="B1308" s="107"/>
      <c r="C1308" s="4"/>
      <c r="D1308" s="107"/>
      <c r="E1308" s="789">
        <f>'1_入力シート【基本情報】'!$M$514</f>
        <v>0</v>
      </c>
      <c r="F1308" s="789" t="str">
        <f t="shared" si="224"/>
        <v>0</v>
      </c>
      <c r="G1308" s="790"/>
      <c r="H1308" s="693">
        <v>23</v>
      </c>
      <c r="I1308" s="791" t="s">
        <v>33</v>
      </c>
      <c r="J1308" s="695" t="s">
        <v>1879</v>
      </c>
      <c r="K1308" s="696" t="s">
        <v>2173</v>
      </c>
      <c r="L1308" s="697" t="s">
        <v>1879</v>
      </c>
      <c r="M1308" s="698" t="s">
        <v>1519</v>
      </c>
      <c r="N1308" s="697" t="s">
        <v>1879</v>
      </c>
      <c r="O1308" s="791" t="s">
        <v>31</v>
      </c>
      <c r="P1308" s="792"/>
      <c r="Q1308" s="793"/>
      <c r="R1308" s="794"/>
      <c r="S1308" s="794"/>
      <c r="T1308" s="382" t="str">
        <f t="shared" si="217"/>
        <v>23調査結果-上記1から7に記載のない事項-3行目-番号</v>
      </c>
      <c r="U1308" s="382"/>
      <c r="V1308" s="202"/>
      <c r="W1308" s="202"/>
      <c r="X1308" s="202"/>
      <c r="Y1308" s="382"/>
      <c r="Z1308" s="382"/>
      <c r="AA1308" s="382"/>
      <c r="AB1308" s="382"/>
    </row>
    <row r="1309" spans="1:28">
      <c r="A1309" s="426"/>
      <c r="B1309" s="107"/>
      <c r="C1309" s="4"/>
      <c r="D1309" s="107"/>
      <c r="E1309" s="789" t="str">
        <f>'1_入力シート【基本情報】'!$P$514</f>
        <v/>
      </c>
      <c r="F1309" s="789" t="str">
        <f t="shared" si="224"/>
        <v/>
      </c>
      <c r="G1309" s="790"/>
      <c r="H1309" s="693">
        <v>23</v>
      </c>
      <c r="I1309" s="791" t="s">
        <v>33</v>
      </c>
      <c r="J1309" s="695" t="s">
        <v>1879</v>
      </c>
      <c r="K1309" s="696" t="s">
        <v>2173</v>
      </c>
      <c r="L1309" s="697" t="s">
        <v>1879</v>
      </c>
      <c r="M1309" s="698" t="s">
        <v>1519</v>
      </c>
      <c r="N1309" s="697" t="s">
        <v>1879</v>
      </c>
      <c r="O1309" s="791" t="s">
        <v>1007</v>
      </c>
      <c r="P1309" s="792"/>
      <c r="Q1309" s="793"/>
      <c r="R1309" s="794"/>
      <c r="S1309" s="794"/>
      <c r="T1309" s="382" t="str">
        <f t="shared" si="217"/>
        <v>23調査結果-上記1から7に記載のない事項-3行目-調査項目</v>
      </c>
      <c r="U1309" s="382"/>
      <c r="V1309" s="202"/>
      <c r="W1309" s="202"/>
      <c r="X1309" s="202"/>
      <c r="Y1309" s="382"/>
      <c r="Z1309" s="382"/>
      <c r="AA1309" s="382"/>
      <c r="AB1309" s="382"/>
    </row>
    <row r="1310" spans="1:28">
      <c r="B1310" s="107">
        <f>'1_入力シート【基本情報】'!$AF$514</f>
        <v>0</v>
      </c>
      <c r="C1310" s="4" t="str">
        <f t="shared" si="219"/>
        <v/>
      </c>
      <c r="D1310" s="107" t="str">
        <f>C1310</f>
        <v/>
      </c>
      <c r="E1310" s="564" t="str">
        <f>D1310</f>
        <v/>
      </c>
      <c r="F1310" s="564" t="str">
        <f t="shared" si="224"/>
        <v/>
      </c>
      <c r="G1310" s="24"/>
      <c r="H1310" s="565">
        <v>23</v>
      </c>
      <c r="I1310" s="334" t="s">
        <v>33</v>
      </c>
      <c r="J1310" s="357" t="s">
        <v>1407</v>
      </c>
      <c r="K1310" s="322" t="s">
        <v>2173</v>
      </c>
      <c r="L1310" s="358" t="s">
        <v>1407</v>
      </c>
      <c r="M1310" s="321" t="s">
        <v>1519</v>
      </c>
      <c r="N1310" s="358" t="s">
        <v>1407</v>
      </c>
      <c r="O1310" s="334" t="s">
        <v>33</v>
      </c>
      <c r="P1310" s="332"/>
      <c r="Q1310" s="363"/>
      <c r="R1310" s="364"/>
      <c r="S1310" s="364"/>
      <c r="T1310" s="382" t="str">
        <f t="shared" si="217"/>
        <v>23調査結果-上記1から7に記載のない事項-3行目-調査結果</v>
      </c>
      <c r="V1310" s="202"/>
      <c r="W1310" s="202"/>
      <c r="X1310" s="202"/>
    </row>
    <row r="1311" spans="1:28">
      <c r="B1311" s="107">
        <f>'1_入力シート【基本情報】'!$AR$514</f>
        <v>0</v>
      </c>
      <c r="C1311" s="4" t="str">
        <f t="shared" si="219"/>
        <v/>
      </c>
      <c r="D1311" s="107">
        <f>'1_入力シート【基本情報】'!$AR$514</f>
        <v>0</v>
      </c>
      <c r="E1311" s="564">
        <f>'1_入力シート【基本情報】'!$AR$514</f>
        <v>0</v>
      </c>
      <c r="F1311" s="564" t="str">
        <f t="shared" si="224"/>
        <v>0</v>
      </c>
      <c r="G1311" s="24"/>
      <c r="H1311" s="565">
        <v>23</v>
      </c>
      <c r="I1311" s="334" t="s">
        <v>33</v>
      </c>
      <c r="J1311" s="357" t="s">
        <v>1407</v>
      </c>
      <c r="K1311" s="322" t="s">
        <v>2173</v>
      </c>
      <c r="L1311" s="358" t="s">
        <v>1407</v>
      </c>
      <c r="M1311" s="321" t="s">
        <v>1519</v>
      </c>
      <c r="N1311" s="358" t="s">
        <v>1407</v>
      </c>
      <c r="O1311" s="334" t="s">
        <v>30</v>
      </c>
      <c r="P1311" s="332"/>
      <c r="Q1311" s="363"/>
      <c r="R1311" s="364"/>
      <c r="S1311" s="364"/>
      <c r="T1311" s="382" t="str">
        <f t="shared" si="217"/>
        <v>23調査結果-上記1から7に記載のない事項-3行目-調査者番号</v>
      </c>
      <c r="V1311" s="202"/>
      <c r="W1311" s="202"/>
      <c r="X1311" s="202"/>
    </row>
    <row r="1312" spans="1:28">
      <c r="B1312" s="107">
        <f>'1_入力シート【基本情報】'!$AT$514</f>
        <v>0</v>
      </c>
      <c r="C1312" s="4" t="str">
        <f t="shared" si="219"/>
        <v/>
      </c>
      <c r="D1312" s="107">
        <f>'1_入力シート【基本情報】'!$AT$514</f>
        <v>0</v>
      </c>
      <c r="E1312" s="564">
        <f>'1_入力シート【基本情報】'!$AT$514</f>
        <v>0</v>
      </c>
      <c r="F1312" s="564" t="str">
        <f t="shared" si="224"/>
        <v>0</v>
      </c>
      <c r="G1312" s="24"/>
      <c r="H1312" s="565">
        <v>23</v>
      </c>
      <c r="I1312" s="334" t="s">
        <v>33</v>
      </c>
      <c r="J1312" s="357" t="s">
        <v>1407</v>
      </c>
      <c r="K1312" s="322" t="s">
        <v>2173</v>
      </c>
      <c r="L1312" s="358" t="s">
        <v>1407</v>
      </c>
      <c r="M1312" s="321" t="s">
        <v>1519</v>
      </c>
      <c r="N1312" s="358" t="s">
        <v>1407</v>
      </c>
      <c r="O1312" s="334" t="s">
        <v>2028</v>
      </c>
      <c r="P1312" s="332"/>
      <c r="Q1312" s="363"/>
      <c r="R1312" s="364"/>
      <c r="S1312" s="364"/>
      <c r="T1312" s="382" t="str">
        <f t="shared" si="217"/>
        <v>23調査結果-上記1から7に記載のない事項-3行目-指摘の具体的内容等</v>
      </c>
      <c r="V1312" s="202"/>
      <c r="W1312" s="202"/>
      <c r="X1312" s="202"/>
    </row>
    <row r="1313" spans="1:28">
      <c r="B1313" s="107">
        <f>'1_入力シート【基本情報】'!$BD$514</f>
        <v>0</v>
      </c>
      <c r="C1313" s="4" t="str">
        <f t="shared" si="219"/>
        <v/>
      </c>
      <c r="D1313" s="107">
        <f>'1_入力シート【基本情報】'!$BD$514</f>
        <v>0</v>
      </c>
      <c r="E1313" s="564">
        <f>'1_入力シート【基本情報】'!$BD$514</f>
        <v>0</v>
      </c>
      <c r="F1313" s="564" t="str">
        <f t="shared" si="224"/>
        <v>0</v>
      </c>
      <c r="G1313" s="24"/>
      <c r="H1313" s="565">
        <v>23</v>
      </c>
      <c r="I1313" s="334" t="s">
        <v>33</v>
      </c>
      <c r="J1313" s="357" t="s">
        <v>1407</v>
      </c>
      <c r="K1313" s="322" t="s">
        <v>2173</v>
      </c>
      <c r="L1313" s="358" t="s">
        <v>1407</v>
      </c>
      <c r="M1313" s="321" t="s">
        <v>1519</v>
      </c>
      <c r="N1313" s="358" t="s">
        <v>1407</v>
      </c>
      <c r="O1313" s="326" t="s">
        <v>2029</v>
      </c>
      <c r="P1313" s="327"/>
      <c r="Q1313" s="336"/>
      <c r="R1313" s="364"/>
      <c r="S1313" s="364"/>
      <c r="T1313" s="382" t="str">
        <f t="shared" si="217"/>
        <v>23調査結果-上記1から7に記載のない事項-3行目-改善策の具体的内容等</v>
      </c>
      <c r="V1313" s="202"/>
      <c r="W1313" s="202"/>
      <c r="X1313" s="202"/>
    </row>
    <row r="1314" spans="1:28" ht="19">
      <c r="B1314" s="107">
        <f>'1_入力シート【基本情報】'!$BS$514</f>
        <v>0</v>
      </c>
      <c r="C1314" s="493" t="str">
        <f t="shared" ref="C1314:E1315" si="228">ASC($D1314)</f>
        <v>0</v>
      </c>
      <c r="D1314" s="107">
        <f>'1_入力シート【基本情報】'!$BS$514</f>
        <v>0</v>
      </c>
      <c r="E1314" s="7" t="str">
        <f t="shared" si="228"/>
        <v>0</v>
      </c>
      <c r="F1314" s="7" t="str">
        <f t="shared" si="224"/>
        <v>0</v>
      </c>
      <c r="G1314" s="24"/>
      <c r="H1314" s="565">
        <v>23</v>
      </c>
      <c r="I1314" s="334" t="s">
        <v>33</v>
      </c>
      <c r="J1314" s="357" t="s">
        <v>1407</v>
      </c>
      <c r="K1314" s="322" t="s">
        <v>2173</v>
      </c>
      <c r="L1314" s="358" t="s">
        <v>1407</v>
      </c>
      <c r="M1314" s="321" t="s">
        <v>1519</v>
      </c>
      <c r="N1314" s="358" t="s">
        <v>1407</v>
      </c>
      <c r="O1314" s="326" t="s">
        <v>387</v>
      </c>
      <c r="P1314" s="332" t="s">
        <v>1879</v>
      </c>
      <c r="Q1314" s="363" t="s">
        <v>1966</v>
      </c>
      <c r="R1314" s="364"/>
      <c r="S1314" s="364"/>
      <c r="T1314" s="382" t="str">
        <f t="shared" si="217"/>
        <v>23調査結果-上記1から7に記載のない事項-3行目-改善（予定）年月-年（令和）</v>
      </c>
      <c r="V1314" s="202"/>
      <c r="W1314" s="202"/>
      <c r="X1314" s="202"/>
    </row>
    <row r="1315" spans="1:28" ht="19">
      <c r="B1315" s="107">
        <f>'1_入力シート【基本情報】'!$BV$514</f>
        <v>0</v>
      </c>
      <c r="C1315" s="493" t="str">
        <f t="shared" si="228"/>
        <v>0</v>
      </c>
      <c r="D1315" s="107">
        <f>'1_入力シート【基本情報】'!$BV$514</f>
        <v>0</v>
      </c>
      <c r="E1315" s="7" t="str">
        <f t="shared" si="228"/>
        <v>0</v>
      </c>
      <c r="F1315" s="7" t="str">
        <f t="shared" si="224"/>
        <v>0</v>
      </c>
      <c r="G1315" s="24"/>
      <c r="H1315" s="565">
        <v>23</v>
      </c>
      <c r="I1315" s="334" t="s">
        <v>33</v>
      </c>
      <c r="J1315" s="357" t="s">
        <v>1407</v>
      </c>
      <c r="K1315" s="322" t="s">
        <v>2173</v>
      </c>
      <c r="L1315" s="358" t="s">
        <v>1407</v>
      </c>
      <c r="M1315" s="321" t="s">
        <v>1519</v>
      </c>
      <c r="N1315" s="358" t="s">
        <v>1407</v>
      </c>
      <c r="O1315" s="326" t="s">
        <v>387</v>
      </c>
      <c r="P1315" s="332" t="s">
        <v>1879</v>
      </c>
      <c r="Q1315" s="363" t="s">
        <v>383</v>
      </c>
      <c r="R1315" s="364"/>
      <c r="S1315" s="364"/>
      <c r="T1315" s="382" t="str">
        <f t="shared" si="217"/>
        <v>23調査結果-上記1から7に記載のない事項-3行目-改善（予定）年月-月</v>
      </c>
      <c r="V1315" s="202"/>
      <c r="W1315" s="202"/>
      <c r="X1315" s="202"/>
    </row>
    <row r="1316" spans="1:28">
      <c r="B1316" s="107">
        <f>'1_入力シート【基本情報】'!$BY$514</f>
        <v>0</v>
      </c>
      <c r="C1316" s="4" t="str">
        <f t="shared" si="219"/>
        <v/>
      </c>
      <c r="D1316" s="107">
        <f>'1_入力シート【基本情報】'!$BY$514</f>
        <v>0</v>
      </c>
      <c r="E1316" s="564">
        <f>'1_入力シート【基本情報】'!$BY$514</f>
        <v>0</v>
      </c>
      <c r="F1316" s="564" t="str">
        <f t="shared" si="224"/>
        <v>0</v>
      </c>
      <c r="G1316" s="24"/>
      <c r="H1316" s="565">
        <v>23</v>
      </c>
      <c r="I1316" s="334" t="s">
        <v>33</v>
      </c>
      <c r="J1316" s="357" t="s">
        <v>1407</v>
      </c>
      <c r="K1316" s="322" t="s">
        <v>2173</v>
      </c>
      <c r="L1316" s="358" t="s">
        <v>1407</v>
      </c>
      <c r="M1316" s="321" t="s">
        <v>1519</v>
      </c>
      <c r="N1316" s="358" t="s">
        <v>1407</v>
      </c>
      <c r="O1316" s="326" t="s">
        <v>387</v>
      </c>
      <c r="P1316" s="332" t="s">
        <v>1879</v>
      </c>
      <c r="Q1316" s="363" t="s">
        <v>675</v>
      </c>
      <c r="R1316" s="203"/>
      <c r="S1316" s="203"/>
      <c r="T1316" s="382" t="str">
        <f t="shared" si="217"/>
        <v>23調査結果-上記1から7に記載のない事項-3行目-改善（予定）年月-未定</v>
      </c>
      <c r="V1316" s="202"/>
      <c r="W1316" s="202"/>
      <c r="X1316" s="202"/>
    </row>
    <row r="1317" spans="1:28">
      <c r="A1317" s="426"/>
      <c r="B1317" s="107"/>
      <c r="C1317" s="4"/>
      <c r="D1317" s="107"/>
      <c r="E1317" s="789">
        <f>'1_入力シート【基本情報】'!$M$515</f>
        <v>0</v>
      </c>
      <c r="F1317" s="789" t="str">
        <f t="shared" si="224"/>
        <v>0</v>
      </c>
      <c r="G1317" s="790"/>
      <c r="H1317" s="693">
        <v>23</v>
      </c>
      <c r="I1317" s="791" t="s">
        <v>33</v>
      </c>
      <c r="J1317" s="695" t="s">
        <v>1879</v>
      </c>
      <c r="K1317" s="696" t="s">
        <v>2173</v>
      </c>
      <c r="L1317" s="697" t="s">
        <v>1879</v>
      </c>
      <c r="M1317" s="698" t="s">
        <v>1528</v>
      </c>
      <c r="N1317" s="697" t="s">
        <v>1879</v>
      </c>
      <c r="O1317" s="791" t="s">
        <v>31</v>
      </c>
      <c r="P1317" s="792"/>
      <c r="Q1317" s="793"/>
      <c r="R1317" s="794"/>
      <c r="S1317" s="794"/>
      <c r="T1317" s="382" t="str">
        <f t="shared" si="217"/>
        <v>23調査結果-上記1から7に記載のない事項-4行目-番号</v>
      </c>
      <c r="U1317" s="382"/>
      <c r="V1317" s="202"/>
      <c r="W1317" s="202"/>
      <c r="X1317" s="202"/>
      <c r="Y1317" s="382"/>
      <c r="Z1317" s="382"/>
      <c r="AA1317" s="382"/>
      <c r="AB1317" s="382"/>
    </row>
    <row r="1318" spans="1:28">
      <c r="A1318" s="426"/>
      <c r="B1318" s="107"/>
      <c r="C1318" s="4"/>
      <c r="D1318" s="107"/>
      <c r="E1318" s="789" t="str">
        <f>'1_入力シート【基本情報】'!$P$515</f>
        <v/>
      </c>
      <c r="F1318" s="789" t="str">
        <f t="shared" si="224"/>
        <v/>
      </c>
      <c r="G1318" s="790"/>
      <c r="H1318" s="693">
        <v>23</v>
      </c>
      <c r="I1318" s="791" t="s">
        <v>33</v>
      </c>
      <c r="J1318" s="695" t="s">
        <v>1879</v>
      </c>
      <c r="K1318" s="696" t="s">
        <v>2173</v>
      </c>
      <c r="L1318" s="697" t="s">
        <v>1879</v>
      </c>
      <c r="M1318" s="698" t="s">
        <v>1528</v>
      </c>
      <c r="N1318" s="697" t="s">
        <v>1879</v>
      </c>
      <c r="O1318" s="791" t="s">
        <v>1007</v>
      </c>
      <c r="P1318" s="792"/>
      <c r="Q1318" s="793"/>
      <c r="R1318" s="794"/>
      <c r="S1318" s="794"/>
      <c r="T1318" s="382" t="str">
        <f t="shared" si="217"/>
        <v>23調査結果-上記1から7に記載のない事項-4行目-調査項目</v>
      </c>
      <c r="U1318" s="382"/>
      <c r="V1318" s="202"/>
      <c r="W1318" s="202"/>
      <c r="X1318" s="202"/>
      <c r="Y1318" s="382"/>
      <c r="Z1318" s="382"/>
      <c r="AA1318" s="382"/>
      <c r="AB1318" s="382"/>
    </row>
    <row r="1319" spans="1:28">
      <c r="B1319" s="107">
        <f>'1_入力シート【基本情報】'!$AF$515</f>
        <v>0</v>
      </c>
      <c r="C1319" s="4" t="str">
        <f t="shared" si="219"/>
        <v/>
      </c>
      <c r="D1319" s="107" t="str">
        <f>C1319</f>
        <v/>
      </c>
      <c r="E1319" s="564" t="str">
        <f>D1319</f>
        <v/>
      </c>
      <c r="F1319" s="564" t="str">
        <f t="shared" si="224"/>
        <v/>
      </c>
      <c r="G1319" s="24"/>
      <c r="H1319" s="565">
        <v>23</v>
      </c>
      <c r="I1319" s="334" t="s">
        <v>33</v>
      </c>
      <c r="J1319" s="357" t="s">
        <v>1407</v>
      </c>
      <c r="K1319" s="322" t="s">
        <v>2173</v>
      </c>
      <c r="L1319" s="358" t="s">
        <v>1407</v>
      </c>
      <c r="M1319" s="321" t="s">
        <v>1528</v>
      </c>
      <c r="N1319" s="358" t="s">
        <v>1407</v>
      </c>
      <c r="O1319" s="326" t="s">
        <v>33</v>
      </c>
      <c r="P1319" s="332"/>
      <c r="Q1319" s="363"/>
      <c r="R1319" s="364"/>
      <c r="S1319" s="364"/>
      <c r="T1319" s="382" t="str">
        <f t="shared" si="217"/>
        <v>23調査結果-上記1から7に記載のない事項-4行目-調査結果</v>
      </c>
      <c r="V1319" s="202"/>
      <c r="W1319" s="202"/>
      <c r="X1319" s="202"/>
    </row>
    <row r="1320" spans="1:28">
      <c r="B1320" s="107">
        <f>'1_入力シート【基本情報】'!$AR$515</f>
        <v>0</v>
      </c>
      <c r="C1320" s="4" t="str">
        <f t="shared" si="219"/>
        <v/>
      </c>
      <c r="D1320" s="107">
        <f>'1_入力シート【基本情報】'!$AR$515</f>
        <v>0</v>
      </c>
      <c r="E1320" s="564">
        <f>'1_入力シート【基本情報】'!$AR$515</f>
        <v>0</v>
      </c>
      <c r="F1320" s="564" t="str">
        <f t="shared" si="224"/>
        <v>0</v>
      </c>
      <c r="G1320" s="24"/>
      <c r="H1320" s="565">
        <v>23</v>
      </c>
      <c r="I1320" s="334" t="s">
        <v>33</v>
      </c>
      <c r="J1320" s="357" t="s">
        <v>1407</v>
      </c>
      <c r="K1320" s="322" t="s">
        <v>2173</v>
      </c>
      <c r="L1320" s="358" t="s">
        <v>1407</v>
      </c>
      <c r="M1320" s="321" t="s">
        <v>1528</v>
      </c>
      <c r="N1320" s="358" t="s">
        <v>1407</v>
      </c>
      <c r="O1320" s="334" t="s">
        <v>30</v>
      </c>
      <c r="P1320" s="332"/>
      <c r="Q1320" s="363"/>
      <c r="R1320" s="364"/>
      <c r="S1320" s="364"/>
      <c r="T1320" s="382" t="str">
        <f t="shared" ref="T1320:T1383" si="229">CONCATENATE(H1320,I1320,J1320,K1320,L1320,M1320,N1320,O1320,P1320,Q1320)</f>
        <v>23調査結果-上記1から7に記載のない事項-4行目-調査者番号</v>
      </c>
      <c r="V1320" s="202"/>
      <c r="W1320" s="202"/>
      <c r="X1320" s="202"/>
    </row>
    <row r="1321" spans="1:28">
      <c r="B1321" s="107">
        <f>'1_入力シート【基本情報】'!$AT$515</f>
        <v>0</v>
      </c>
      <c r="C1321" s="4" t="str">
        <f t="shared" si="219"/>
        <v/>
      </c>
      <c r="D1321" s="107">
        <f>'1_入力シート【基本情報】'!$AT$515</f>
        <v>0</v>
      </c>
      <c r="E1321" s="564">
        <f>'1_入力シート【基本情報】'!$AT$515</f>
        <v>0</v>
      </c>
      <c r="F1321" s="564" t="str">
        <f t="shared" si="224"/>
        <v>0</v>
      </c>
      <c r="G1321" s="24"/>
      <c r="H1321" s="565">
        <v>23</v>
      </c>
      <c r="I1321" s="334" t="s">
        <v>33</v>
      </c>
      <c r="J1321" s="357" t="s">
        <v>1407</v>
      </c>
      <c r="K1321" s="322" t="s">
        <v>2173</v>
      </c>
      <c r="L1321" s="358" t="s">
        <v>1407</v>
      </c>
      <c r="M1321" s="321" t="s">
        <v>1528</v>
      </c>
      <c r="N1321" s="358" t="s">
        <v>1407</v>
      </c>
      <c r="O1321" s="334" t="s">
        <v>2028</v>
      </c>
      <c r="P1321" s="332"/>
      <c r="Q1321" s="363"/>
      <c r="R1321" s="364"/>
      <c r="S1321" s="364"/>
      <c r="T1321" s="382" t="str">
        <f t="shared" si="229"/>
        <v>23調査結果-上記1から7に記載のない事項-4行目-指摘の具体的内容等</v>
      </c>
      <c r="V1321" s="202"/>
      <c r="W1321" s="202"/>
      <c r="X1321" s="202"/>
    </row>
    <row r="1322" spans="1:28">
      <c r="B1322" s="107">
        <f>'1_入力シート【基本情報】'!$BD$515</f>
        <v>0</v>
      </c>
      <c r="C1322" s="4" t="str">
        <f t="shared" si="219"/>
        <v/>
      </c>
      <c r="D1322" s="107">
        <f>'1_入力シート【基本情報】'!$BD$515</f>
        <v>0</v>
      </c>
      <c r="E1322" s="564">
        <f>'1_入力シート【基本情報】'!$BD$515</f>
        <v>0</v>
      </c>
      <c r="F1322" s="564" t="str">
        <f t="shared" si="224"/>
        <v>0</v>
      </c>
      <c r="G1322" s="24"/>
      <c r="H1322" s="565">
        <v>23</v>
      </c>
      <c r="I1322" s="334" t="s">
        <v>33</v>
      </c>
      <c r="J1322" s="357" t="s">
        <v>1407</v>
      </c>
      <c r="K1322" s="322" t="s">
        <v>2173</v>
      </c>
      <c r="L1322" s="358" t="s">
        <v>1407</v>
      </c>
      <c r="M1322" s="321" t="s">
        <v>1528</v>
      </c>
      <c r="N1322" s="358" t="s">
        <v>1407</v>
      </c>
      <c r="O1322" s="334" t="s">
        <v>2029</v>
      </c>
      <c r="P1322" s="332"/>
      <c r="Q1322" s="363"/>
      <c r="R1322" s="364"/>
      <c r="S1322" s="364"/>
      <c r="T1322" s="382" t="str">
        <f t="shared" si="229"/>
        <v>23調査結果-上記1から7に記載のない事項-4行目-改善策の具体的内容等</v>
      </c>
      <c r="V1322" s="202"/>
      <c r="W1322" s="202"/>
      <c r="X1322" s="202"/>
    </row>
    <row r="1323" spans="1:28" ht="19">
      <c r="B1323" s="107">
        <f>'1_入力シート【基本情報】'!$BS$515</f>
        <v>0</v>
      </c>
      <c r="C1323" s="493" t="str">
        <f t="shared" ref="C1323:E1324" si="230">ASC($D1323)</f>
        <v>0</v>
      </c>
      <c r="D1323" s="107">
        <f>'1_入力シート【基本情報】'!$BS$515</f>
        <v>0</v>
      </c>
      <c r="E1323" s="7" t="str">
        <f t="shared" si="230"/>
        <v>0</v>
      </c>
      <c r="F1323" s="7" t="str">
        <f t="shared" si="224"/>
        <v>0</v>
      </c>
      <c r="G1323" s="24"/>
      <c r="H1323" s="565">
        <v>23</v>
      </c>
      <c r="I1323" s="334" t="s">
        <v>33</v>
      </c>
      <c r="J1323" s="357" t="s">
        <v>1407</v>
      </c>
      <c r="K1323" s="322" t="s">
        <v>2173</v>
      </c>
      <c r="L1323" s="358" t="s">
        <v>1407</v>
      </c>
      <c r="M1323" s="321" t="s">
        <v>1528</v>
      </c>
      <c r="N1323" s="358" t="s">
        <v>1407</v>
      </c>
      <c r="O1323" s="326" t="s">
        <v>387</v>
      </c>
      <c r="P1323" s="327" t="s">
        <v>1879</v>
      </c>
      <c r="Q1323" s="336" t="s">
        <v>1966</v>
      </c>
      <c r="R1323" s="364"/>
      <c r="S1323" s="364"/>
      <c r="T1323" s="382" t="str">
        <f t="shared" si="229"/>
        <v>23調査結果-上記1から7に記載のない事項-4行目-改善（予定）年月-年（令和）</v>
      </c>
      <c r="V1323" s="202"/>
      <c r="W1323" s="202"/>
      <c r="X1323" s="202"/>
    </row>
    <row r="1324" spans="1:28" ht="19">
      <c r="B1324" s="107">
        <f>'1_入力シート【基本情報】'!$BV$515</f>
        <v>0</v>
      </c>
      <c r="C1324" s="493" t="str">
        <f t="shared" si="230"/>
        <v>0</v>
      </c>
      <c r="D1324" s="107">
        <f>'1_入力シート【基本情報】'!$BV$515</f>
        <v>0</v>
      </c>
      <c r="E1324" s="7" t="str">
        <f t="shared" si="230"/>
        <v>0</v>
      </c>
      <c r="F1324" s="7" t="str">
        <f t="shared" si="224"/>
        <v>0</v>
      </c>
      <c r="G1324" s="24"/>
      <c r="H1324" s="565">
        <v>23</v>
      </c>
      <c r="I1324" s="334" t="s">
        <v>33</v>
      </c>
      <c r="J1324" s="357" t="s">
        <v>1407</v>
      </c>
      <c r="K1324" s="322" t="s">
        <v>2173</v>
      </c>
      <c r="L1324" s="358" t="s">
        <v>1407</v>
      </c>
      <c r="M1324" s="321" t="s">
        <v>1528</v>
      </c>
      <c r="N1324" s="358" t="s">
        <v>1407</v>
      </c>
      <c r="O1324" s="326" t="s">
        <v>387</v>
      </c>
      <c r="P1324" s="332" t="s">
        <v>1879</v>
      </c>
      <c r="Q1324" s="363" t="s">
        <v>383</v>
      </c>
      <c r="R1324" s="364"/>
      <c r="S1324" s="364"/>
      <c r="T1324" s="382" t="str">
        <f t="shared" si="229"/>
        <v>23調査結果-上記1から7に記載のない事項-4行目-改善（予定）年月-月</v>
      </c>
      <c r="V1324" s="202"/>
      <c r="W1324" s="202"/>
      <c r="X1324" s="202"/>
    </row>
    <row r="1325" spans="1:28">
      <c r="B1325" s="107">
        <f>'1_入力シート【基本情報】'!$BY$515</f>
        <v>0</v>
      </c>
      <c r="C1325" s="4" t="str">
        <f t="shared" si="219"/>
        <v/>
      </c>
      <c r="D1325" s="107">
        <f>'1_入力シート【基本情報】'!$BY$515</f>
        <v>0</v>
      </c>
      <c r="E1325" s="564">
        <f>'1_入力シート【基本情報】'!$BY$515</f>
        <v>0</v>
      </c>
      <c r="F1325" s="564" t="str">
        <f t="shared" si="224"/>
        <v>0</v>
      </c>
      <c r="G1325" s="24"/>
      <c r="H1325" s="565">
        <v>23</v>
      </c>
      <c r="I1325" s="334" t="s">
        <v>33</v>
      </c>
      <c r="J1325" s="357" t="s">
        <v>1407</v>
      </c>
      <c r="K1325" s="322" t="s">
        <v>2173</v>
      </c>
      <c r="L1325" s="358" t="s">
        <v>1407</v>
      </c>
      <c r="M1325" s="321" t="s">
        <v>1528</v>
      </c>
      <c r="N1325" s="358" t="s">
        <v>1407</v>
      </c>
      <c r="O1325" s="326" t="s">
        <v>387</v>
      </c>
      <c r="P1325" s="332" t="s">
        <v>1879</v>
      </c>
      <c r="Q1325" s="363" t="s">
        <v>675</v>
      </c>
      <c r="R1325" s="364"/>
      <c r="S1325" s="364"/>
      <c r="T1325" s="382" t="str">
        <f t="shared" si="229"/>
        <v>23調査結果-上記1から7に記載のない事項-4行目-改善（予定）年月-未定</v>
      </c>
      <c r="V1325" s="202"/>
      <c r="W1325" s="202"/>
      <c r="X1325" s="202"/>
    </row>
    <row r="1326" spans="1:28">
      <c r="A1326" s="426"/>
      <c r="B1326" s="107"/>
      <c r="C1326" s="4"/>
      <c r="D1326" s="107"/>
      <c r="E1326" s="789">
        <f>'1_入力シート【基本情報】'!$M$516</f>
        <v>0</v>
      </c>
      <c r="F1326" s="789" t="str">
        <f t="shared" si="224"/>
        <v>0</v>
      </c>
      <c r="G1326" s="790"/>
      <c r="H1326" s="693">
        <v>23</v>
      </c>
      <c r="I1326" s="791" t="s">
        <v>33</v>
      </c>
      <c r="J1326" s="695" t="s">
        <v>1879</v>
      </c>
      <c r="K1326" s="696" t="s">
        <v>2173</v>
      </c>
      <c r="L1326" s="697" t="s">
        <v>1879</v>
      </c>
      <c r="M1326" s="698" t="s">
        <v>1537</v>
      </c>
      <c r="N1326" s="697" t="s">
        <v>1879</v>
      </c>
      <c r="O1326" s="791" t="s">
        <v>31</v>
      </c>
      <c r="P1326" s="792"/>
      <c r="Q1326" s="793"/>
      <c r="R1326" s="794"/>
      <c r="S1326" s="794"/>
      <c r="T1326" s="382" t="str">
        <f t="shared" si="229"/>
        <v>23調査結果-上記1から7に記載のない事項-5行目-番号</v>
      </c>
      <c r="U1326" s="382"/>
      <c r="V1326" s="202"/>
      <c r="W1326" s="202"/>
      <c r="X1326" s="202"/>
      <c r="Y1326" s="382"/>
      <c r="Z1326" s="382"/>
      <c r="AA1326" s="382"/>
      <c r="AB1326" s="382"/>
    </row>
    <row r="1327" spans="1:28">
      <c r="A1327" s="426"/>
      <c r="B1327" s="107"/>
      <c r="C1327" s="4"/>
      <c r="D1327" s="107"/>
      <c r="E1327" s="789" t="str">
        <f>'1_入力シート【基本情報】'!$P$516</f>
        <v/>
      </c>
      <c r="F1327" s="789" t="str">
        <f t="shared" si="224"/>
        <v/>
      </c>
      <c r="G1327" s="790"/>
      <c r="H1327" s="693">
        <v>23</v>
      </c>
      <c r="I1327" s="791" t="s">
        <v>33</v>
      </c>
      <c r="J1327" s="695" t="s">
        <v>1879</v>
      </c>
      <c r="K1327" s="696" t="s">
        <v>2173</v>
      </c>
      <c r="L1327" s="697" t="s">
        <v>1879</v>
      </c>
      <c r="M1327" s="698" t="s">
        <v>1537</v>
      </c>
      <c r="N1327" s="697" t="s">
        <v>1879</v>
      </c>
      <c r="O1327" s="791" t="s">
        <v>1007</v>
      </c>
      <c r="P1327" s="792"/>
      <c r="Q1327" s="793"/>
      <c r="R1327" s="794"/>
      <c r="S1327" s="794"/>
      <c r="T1327" s="382" t="str">
        <f t="shared" si="229"/>
        <v>23調査結果-上記1から7に記載のない事項-5行目-調査項目</v>
      </c>
      <c r="U1327" s="382"/>
      <c r="V1327" s="202"/>
      <c r="W1327" s="202"/>
      <c r="X1327" s="202"/>
      <c r="Y1327" s="382"/>
      <c r="Z1327" s="382"/>
      <c r="AA1327" s="382"/>
      <c r="AB1327" s="382"/>
    </row>
    <row r="1328" spans="1:28">
      <c r="B1328" s="107">
        <f>'1_入力シート【基本情報】'!$AF$516</f>
        <v>0</v>
      </c>
      <c r="C1328" s="4" t="str">
        <f t="shared" ref="C1328:C1379" si="231">MID(B1328,2,14)</f>
        <v/>
      </c>
      <c r="D1328" s="107" t="str">
        <f>C1328</f>
        <v/>
      </c>
      <c r="E1328" s="564" t="str">
        <f>D1328</f>
        <v/>
      </c>
      <c r="F1328" s="564" t="str">
        <f t="shared" si="224"/>
        <v/>
      </c>
      <c r="G1328" s="24"/>
      <c r="H1328" s="565">
        <v>23</v>
      </c>
      <c r="I1328" s="334" t="s">
        <v>33</v>
      </c>
      <c r="J1328" s="357" t="s">
        <v>1407</v>
      </c>
      <c r="K1328" s="322" t="s">
        <v>2173</v>
      </c>
      <c r="L1328" s="358" t="s">
        <v>1407</v>
      </c>
      <c r="M1328" s="321" t="s">
        <v>1537</v>
      </c>
      <c r="N1328" s="358" t="s">
        <v>1407</v>
      </c>
      <c r="O1328" s="326" t="s">
        <v>33</v>
      </c>
      <c r="P1328" s="332"/>
      <c r="Q1328" s="363"/>
      <c r="R1328" s="203"/>
      <c r="S1328" s="203"/>
      <c r="T1328" s="382" t="str">
        <f t="shared" si="229"/>
        <v>23調査結果-上記1から7に記載のない事項-5行目-調査結果</v>
      </c>
      <c r="V1328" s="202"/>
      <c r="W1328" s="202"/>
      <c r="X1328" s="202"/>
    </row>
    <row r="1329" spans="1:28">
      <c r="B1329" s="107">
        <f>'1_入力シート【基本情報】'!$AR$516</f>
        <v>0</v>
      </c>
      <c r="C1329" s="4" t="str">
        <f t="shared" si="231"/>
        <v/>
      </c>
      <c r="D1329" s="107">
        <f>'1_入力シート【基本情報】'!$AR$516</f>
        <v>0</v>
      </c>
      <c r="E1329" s="564">
        <f>'1_入力シート【基本情報】'!$AR$516</f>
        <v>0</v>
      </c>
      <c r="F1329" s="564" t="str">
        <f t="shared" si="224"/>
        <v>0</v>
      </c>
      <c r="G1329" s="24"/>
      <c r="H1329" s="565">
        <v>23</v>
      </c>
      <c r="I1329" s="334" t="s">
        <v>33</v>
      </c>
      <c r="J1329" s="357" t="s">
        <v>1407</v>
      </c>
      <c r="K1329" s="322" t="s">
        <v>2173</v>
      </c>
      <c r="L1329" s="358" t="s">
        <v>1407</v>
      </c>
      <c r="M1329" s="321" t="s">
        <v>1537</v>
      </c>
      <c r="N1329" s="358" t="s">
        <v>1407</v>
      </c>
      <c r="O1329" s="326" t="s">
        <v>30</v>
      </c>
      <c r="P1329" s="332"/>
      <c r="Q1329" s="363"/>
      <c r="R1329" s="364"/>
      <c r="S1329" s="364"/>
      <c r="T1329" s="382" t="str">
        <f t="shared" si="229"/>
        <v>23調査結果-上記1から7に記載のない事項-5行目-調査者番号</v>
      </c>
      <c r="V1329" s="202"/>
      <c r="W1329" s="202"/>
      <c r="X1329" s="202"/>
    </row>
    <row r="1330" spans="1:28">
      <c r="B1330" s="107">
        <f>'1_入力シート【基本情報】'!$AT$516</f>
        <v>0</v>
      </c>
      <c r="C1330" s="4" t="str">
        <f t="shared" si="231"/>
        <v/>
      </c>
      <c r="D1330" s="107">
        <f>'1_入力シート【基本情報】'!$AT$516</f>
        <v>0</v>
      </c>
      <c r="E1330" s="564">
        <f>'1_入力シート【基本情報】'!$AT$516</f>
        <v>0</v>
      </c>
      <c r="F1330" s="564" t="str">
        <f t="shared" si="224"/>
        <v>0</v>
      </c>
      <c r="G1330" s="24"/>
      <c r="H1330" s="565">
        <v>23</v>
      </c>
      <c r="I1330" s="334" t="s">
        <v>33</v>
      </c>
      <c r="J1330" s="357" t="s">
        <v>1407</v>
      </c>
      <c r="K1330" s="322" t="s">
        <v>2173</v>
      </c>
      <c r="L1330" s="358" t="s">
        <v>1407</v>
      </c>
      <c r="M1330" s="321" t="s">
        <v>1537</v>
      </c>
      <c r="N1330" s="358" t="s">
        <v>1407</v>
      </c>
      <c r="O1330" s="334" t="s">
        <v>2028</v>
      </c>
      <c r="P1330" s="332"/>
      <c r="Q1330" s="363"/>
      <c r="R1330" s="364"/>
      <c r="S1330" s="364"/>
      <c r="T1330" s="382" t="str">
        <f t="shared" si="229"/>
        <v>23調査結果-上記1から7に記載のない事項-5行目-指摘の具体的内容等</v>
      </c>
      <c r="V1330" s="202"/>
      <c r="W1330" s="202"/>
      <c r="X1330" s="202"/>
    </row>
    <row r="1331" spans="1:28">
      <c r="B1331" s="107">
        <f>'1_入力シート【基本情報】'!$BD$516</f>
        <v>0</v>
      </c>
      <c r="C1331" s="4" t="str">
        <f t="shared" si="231"/>
        <v/>
      </c>
      <c r="D1331" s="107">
        <f>'1_入力シート【基本情報】'!$BD$516</f>
        <v>0</v>
      </c>
      <c r="E1331" s="564">
        <f>'1_入力シート【基本情報】'!$BD$516</f>
        <v>0</v>
      </c>
      <c r="F1331" s="564" t="str">
        <f t="shared" si="224"/>
        <v>0</v>
      </c>
      <c r="G1331" s="24"/>
      <c r="H1331" s="565">
        <v>23</v>
      </c>
      <c r="I1331" s="334" t="s">
        <v>33</v>
      </c>
      <c r="J1331" s="357" t="s">
        <v>1407</v>
      </c>
      <c r="K1331" s="322" t="s">
        <v>2173</v>
      </c>
      <c r="L1331" s="358" t="s">
        <v>1407</v>
      </c>
      <c r="M1331" s="321" t="s">
        <v>1537</v>
      </c>
      <c r="N1331" s="358" t="s">
        <v>1407</v>
      </c>
      <c r="O1331" s="334" t="s">
        <v>2029</v>
      </c>
      <c r="P1331" s="332"/>
      <c r="Q1331" s="363"/>
      <c r="R1331" s="364"/>
      <c r="S1331" s="364"/>
      <c r="T1331" s="382" t="str">
        <f t="shared" si="229"/>
        <v>23調査結果-上記1から7に記載のない事項-5行目-改善策の具体的内容等</v>
      </c>
      <c r="V1331" s="202"/>
      <c r="W1331" s="202"/>
      <c r="X1331" s="202"/>
    </row>
    <row r="1332" spans="1:28" ht="19">
      <c r="B1332" s="107">
        <f>'1_入力シート【基本情報】'!$BS$516</f>
        <v>0</v>
      </c>
      <c r="C1332" s="493" t="str">
        <f t="shared" ref="C1332:E1333" si="232">ASC($D1332)</f>
        <v>0</v>
      </c>
      <c r="D1332" s="107">
        <f>'1_入力シート【基本情報】'!$BS$516</f>
        <v>0</v>
      </c>
      <c r="E1332" s="7" t="str">
        <f t="shared" si="232"/>
        <v>0</v>
      </c>
      <c r="F1332" s="7" t="str">
        <f t="shared" si="224"/>
        <v>0</v>
      </c>
      <c r="G1332" s="24"/>
      <c r="H1332" s="565">
        <v>23</v>
      </c>
      <c r="I1332" s="334" t="s">
        <v>33</v>
      </c>
      <c r="J1332" s="357" t="s">
        <v>1407</v>
      </c>
      <c r="K1332" s="322" t="s">
        <v>2173</v>
      </c>
      <c r="L1332" s="358" t="s">
        <v>1407</v>
      </c>
      <c r="M1332" s="321" t="s">
        <v>1537</v>
      </c>
      <c r="N1332" s="358" t="s">
        <v>1407</v>
      </c>
      <c r="O1332" s="334" t="s">
        <v>387</v>
      </c>
      <c r="P1332" s="332" t="s">
        <v>1879</v>
      </c>
      <c r="Q1332" s="363" t="s">
        <v>1966</v>
      </c>
      <c r="R1332" s="364"/>
      <c r="S1332" s="364"/>
      <c r="T1332" s="382" t="str">
        <f t="shared" si="229"/>
        <v>23調査結果-上記1から7に記載のない事項-5行目-改善（予定）年月-年（令和）</v>
      </c>
      <c r="V1332" s="202"/>
      <c r="W1332" s="202"/>
      <c r="X1332" s="202"/>
    </row>
    <row r="1333" spans="1:28" ht="19">
      <c r="B1333" s="107">
        <f>'1_入力シート【基本情報】'!$BV$516</f>
        <v>0</v>
      </c>
      <c r="C1333" s="493" t="str">
        <f t="shared" si="232"/>
        <v>0</v>
      </c>
      <c r="D1333" s="107">
        <f>'1_入力シート【基本情報】'!$BV$516</f>
        <v>0</v>
      </c>
      <c r="E1333" s="7" t="str">
        <f t="shared" si="232"/>
        <v>0</v>
      </c>
      <c r="F1333" s="7" t="str">
        <f t="shared" si="224"/>
        <v>0</v>
      </c>
      <c r="G1333" s="24"/>
      <c r="H1333" s="565">
        <v>23</v>
      </c>
      <c r="I1333" s="334" t="s">
        <v>33</v>
      </c>
      <c r="J1333" s="357" t="s">
        <v>1407</v>
      </c>
      <c r="K1333" s="322" t="s">
        <v>2173</v>
      </c>
      <c r="L1333" s="358" t="s">
        <v>1407</v>
      </c>
      <c r="M1333" s="321" t="s">
        <v>1537</v>
      </c>
      <c r="N1333" s="358" t="s">
        <v>1407</v>
      </c>
      <c r="O1333" s="326" t="s">
        <v>387</v>
      </c>
      <c r="P1333" s="327" t="s">
        <v>1879</v>
      </c>
      <c r="Q1333" s="336" t="s">
        <v>383</v>
      </c>
      <c r="R1333" s="364"/>
      <c r="S1333" s="364"/>
      <c r="T1333" s="382" t="str">
        <f t="shared" si="229"/>
        <v>23調査結果-上記1から7に記載のない事項-5行目-改善（予定）年月-月</v>
      </c>
      <c r="V1333" s="202"/>
      <c r="W1333" s="202"/>
      <c r="X1333" s="202"/>
    </row>
    <row r="1334" spans="1:28">
      <c r="B1334" s="107">
        <f>'1_入力シート【基本情報】'!$BY$516</f>
        <v>0</v>
      </c>
      <c r="C1334" s="4" t="str">
        <f t="shared" si="231"/>
        <v/>
      </c>
      <c r="D1334" s="107">
        <f>'1_入力シート【基本情報】'!$BY$516</f>
        <v>0</v>
      </c>
      <c r="E1334" s="564">
        <f>'1_入力シート【基本情報】'!$BY$516</f>
        <v>0</v>
      </c>
      <c r="F1334" s="564" t="str">
        <f t="shared" si="224"/>
        <v>0</v>
      </c>
      <c r="G1334" s="24"/>
      <c r="H1334" s="565">
        <v>23</v>
      </c>
      <c r="I1334" s="334" t="s">
        <v>33</v>
      </c>
      <c r="J1334" s="357" t="s">
        <v>1407</v>
      </c>
      <c r="K1334" s="322" t="s">
        <v>2173</v>
      </c>
      <c r="L1334" s="358" t="s">
        <v>1407</v>
      </c>
      <c r="M1334" s="321" t="s">
        <v>1537</v>
      </c>
      <c r="N1334" s="358" t="s">
        <v>1407</v>
      </c>
      <c r="O1334" s="326" t="s">
        <v>387</v>
      </c>
      <c r="P1334" s="332" t="s">
        <v>1879</v>
      </c>
      <c r="Q1334" s="363" t="s">
        <v>675</v>
      </c>
      <c r="R1334" s="364"/>
      <c r="S1334" s="364"/>
      <c r="T1334" s="382" t="str">
        <f t="shared" si="229"/>
        <v>23調査結果-上記1から7に記載のない事項-5行目-改善（予定）年月-未定</v>
      </c>
      <c r="V1334" s="202"/>
      <c r="W1334" s="202"/>
      <c r="X1334" s="202"/>
    </row>
    <row r="1335" spans="1:28">
      <c r="A1335" s="426"/>
      <c r="B1335" s="107"/>
      <c r="C1335" s="4"/>
      <c r="D1335" s="107"/>
      <c r="E1335" s="789">
        <f>'1_入力シート【基本情報】'!$M$517</f>
        <v>0</v>
      </c>
      <c r="F1335" s="789" t="str">
        <f t="shared" si="224"/>
        <v>0</v>
      </c>
      <c r="G1335" s="790"/>
      <c r="H1335" s="693">
        <v>23</v>
      </c>
      <c r="I1335" s="791" t="s">
        <v>33</v>
      </c>
      <c r="J1335" s="695" t="s">
        <v>1879</v>
      </c>
      <c r="K1335" s="696" t="s">
        <v>2173</v>
      </c>
      <c r="L1335" s="697" t="s">
        <v>1879</v>
      </c>
      <c r="M1335" s="698" t="s">
        <v>1547</v>
      </c>
      <c r="N1335" s="697" t="s">
        <v>1879</v>
      </c>
      <c r="O1335" s="791" t="s">
        <v>31</v>
      </c>
      <c r="P1335" s="792"/>
      <c r="Q1335" s="793"/>
      <c r="R1335" s="794"/>
      <c r="S1335" s="794"/>
      <c r="T1335" s="382" t="str">
        <f t="shared" si="229"/>
        <v>23調査結果-上記1から7に記載のない事項-6行目-番号</v>
      </c>
      <c r="U1335" s="382"/>
      <c r="V1335" s="202"/>
      <c r="W1335" s="202"/>
      <c r="X1335" s="202"/>
      <c r="Y1335" s="382"/>
      <c r="Z1335" s="382"/>
      <c r="AA1335" s="382"/>
      <c r="AB1335" s="382"/>
    </row>
    <row r="1336" spans="1:28">
      <c r="A1336" s="426"/>
      <c r="B1336" s="107"/>
      <c r="C1336" s="4"/>
      <c r="D1336" s="107"/>
      <c r="E1336" s="789" t="str">
        <f>'1_入力シート【基本情報】'!$P$517</f>
        <v/>
      </c>
      <c r="F1336" s="789" t="str">
        <f t="shared" si="224"/>
        <v/>
      </c>
      <c r="G1336" s="790"/>
      <c r="H1336" s="693">
        <v>23</v>
      </c>
      <c r="I1336" s="791" t="s">
        <v>33</v>
      </c>
      <c r="J1336" s="695" t="s">
        <v>1879</v>
      </c>
      <c r="K1336" s="696" t="s">
        <v>2173</v>
      </c>
      <c r="L1336" s="697" t="s">
        <v>1879</v>
      </c>
      <c r="M1336" s="698" t="s">
        <v>1547</v>
      </c>
      <c r="N1336" s="697" t="s">
        <v>1879</v>
      </c>
      <c r="O1336" s="791" t="s">
        <v>1007</v>
      </c>
      <c r="P1336" s="792"/>
      <c r="Q1336" s="793"/>
      <c r="R1336" s="794"/>
      <c r="S1336" s="794"/>
      <c r="T1336" s="382" t="str">
        <f t="shared" si="229"/>
        <v>23調査結果-上記1から7に記載のない事項-6行目-調査項目</v>
      </c>
      <c r="U1336" s="382"/>
      <c r="V1336" s="202"/>
      <c r="W1336" s="202"/>
      <c r="X1336" s="202"/>
      <c r="Y1336" s="382"/>
      <c r="Z1336" s="382"/>
      <c r="AA1336" s="382"/>
      <c r="AB1336" s="382"/>
    </row>
    <row r="1337" spans="1:28">
      <c r="B1337" s="107">
        <f>'1_入力シート【基本情報】'!$AF$517</f>
        <v>0</v>
      </c>
      <c r="C1337" s="4" t="str">
        <f t="shared" si="231"/>
        <v/>
      </c>
      <c r="D1337" s="107" t="str">
        <f>C1337</f>
        <v/>
      </c>
      <c r="E1337" s="564" t="str">
        <f>D1337</f>
        <v/>
      </c>
      <c r="F1337" s="564" t="str">
        <f t="shared" si="224"/>
        <v/>
      </c>
      <c r="G1337" s="24"/>
      <c r="H1337" s="565">
        <v>23</v>
      </c>
      <c r="I1337" s="334" t="s">
        <v>33</v>
      </c>
      <c r="J1337" s="357" t="s">
        <v>1407</v>
      </c>
      <c r="K1337" s="322" t="s">
        <v>2173</v>
      </c>
      <c r="L1337" s="358" t="s">
        <v>1407</v>
      </c>
      <c r="M1337" s="321" t="s">
        <v>1547</v>
      </c>
      <c r="N1337" s="358" t="s">
        <v>1407</v>
      </c>
      <c r="O1337" s="326" t="s">
        <v>33</v>
      </c>
      <c r="P1337" s="332"/>
      <c r="Q1337" s="363"/>
      <c r="R1337" s="364"/>
      <c r="S1337" s="364"/>
      <c r="T1337" s="382" t="str">
        <f t="shared" si="229"/>
        <v>23調査結果-上記1から7に記載のない事項-6行目-調査結果</v>
      </c>
      <c r="V1337" s="202"/>
      <c r="W1337" s="202"/>
      <c r="X1337" s="202"/>
    </row>
    <row r="1338" spans="1:28">
      <c r="B1338" s="107">
        <f>'1_入力シート【基本情報】'!$AR$517</f>
        <v>0</v>
      </c>
      <c r="C1338" s="4" t="str">
        <f t="shared" si="231"/>
        <v/>
      </c>
      <c r="D1338" s="107">
        <f>'1_入力シート【基本情報】'!$AR$517</f>
        <v>0</v>
      </c>
      <c r="E1338" s="564">
        <f>'1_入力シート【基本情報】'!$AR$517</f>
        <v>0</v>
      </c>
      <c r="F1338" s="564" t="str">
        <f t="shared" si="224"/>
        <v>0</v>
      </c>
      <c r="G1338" s="24"/>
      <c r="H1338" s="565">
        <v>23</v>
      </c>
      <c r="I1338" s="334" t="s">
        <v>33</v>
      </c>
      <c r="J1338" s="357" t="s">
        <v>1407</v>
      </c>
      <c r="K1338" s="322" t="s">
        <v>2173</v>
      </c>
      <c r="L1338" s="358" t="s">
        <v>1407</v>
      </c>
      <c r="M1338" s="321" t="s">
        <v>1547</v>
      </c>
      <c r="N1338" s="358" t="s">
        <v>1407</v>
      </c>
      <c r="O1338" s="326" t="s">
        <v>30</v>
      </c>
      <c r="P1338" s="332"/>
      <c r="Q1338" s="363"/>
      <c r="R1338" s="203"/>
      <c r="S1338" s="203"/>
      <c r="T1338" s="382" t="str">
        <f t="shared" si="229"/>
        <v>23調査結果-上記1から7に記載のない事項-6行目-調査者番号</v>
      </c>
      <c r="V1338" s="202"/>
      <c r="W1338" s="202"/>
      <c r="X1338" s="202"/>
    </row>
    <row r="1339" spans="1:28">
      <c r="B1339" s="107">
        <f>'1_入力シート【基本情報】'!$AT$517</f>
        <v>0</v>
      </c>
      <c r="C1339" s="4" t="str">
        <f t="shared" si="231"/>
        <v/>
      </c>
      <c r="D1339" s="107">
        <f>'1_入力シート【基本情報】'!$AT$517</f>
        <v>0</v>
      </c>
      <c r="E1339" s="564">
        <f>'1_入力シート【基本情報】'!$AT$517</f>
        <v>0</v>
      </c>
      <c r="F1339" s="564" t="str">
        <f t="shared" si="224"/>
        <v>0</v>
      </c>
      <c r="G1339" s="24"/>
      <c r="H1339" s="565">
        <v>23</v>
      </c>
      <c r="I1339" s="334" t="s">
        <v>33</v>
      </c>
      <c r="J1339" s="357" t="s">
        <v>1407</v>
      </c>
      <c r="K1339" s="322" t="s">
        <v>2173</v>
      </c>
      <c r="L1339" s="358" t="s">
        <v>1407</v>
      </c>
      <c r="M1339" s="321" t="s">
        <v>1547</v>
      </c>
      <c r="N1339" s="358" t="s">
        <v>1407</v>
      </c>
      <c r="O1339" s="326" t="s">
        <v>2028</v>
      </c>
      <c r="P1339" s="332"/>
      <c r="Q1339" s="363"/>
      <c r="R1339" s="364"/>
      <c r="S1339" s="364"/>
      <c r="T1339" s="382" t="str">
        <f t="shared" si="229"/>
        <v>23調査結果-上記1から7に記載のない事項-6行目-指摘の具体的内容等</v>
      </c>
      <c r="V1339" s="202"/>
      <c r="W1339" s="202"/>
      <c r="X1339" s="202"/>
    </row>
    <row r="1340" spans="1:28">
      <c r="B1340" s="107">
        <f>'1_入力シート【基本情報】'!$BD$517</f>
        <v>0</v>
      </c>
      <c r="C1340" s="4" t="str">
        <f t="shared" si="231"/>
        <v/>
      </c>
      <c r="D1340" s="107">
        <f>'1_入力シート【基本情報】'!$BD$517</f>
        <v>0</v>
      </c>
      <c r="E1340" s="564">
        <f>'1_入力シート【基本情報】'!$BD$517</f>
        <v>0</v>
      </c>
      <c r="F1340" s="564" t="str">
        <f t="shared" si="224"/>
        <v>0</v>
      </c>
      <c r="G1340" s="24"/>
      <c r="H1340" s="565">
        <v>23</v>
      </c>
      <c r="I1340" s="334" t="s">
        <v>33</v>
      </c>
      <c r="J1340" s="357" t="s">
        <v>1407</v>
      </c>
      <c r="K1340" s="322" t="s">
        <v>2173</v>
      </c>
      <c r="L1340" s="358" t="s">
        <v>1407</v>
      </c>
      <c r="M1340" s="321" t="s">
        <v>1547</v>
      </c>
      <c r="N1340" s="358" t="s">
        <v>1407</v>
      </c>
      <c r="O1340" s="334" t="s">
        <v>2029</v>
      </c>
      <c r="P1340" s="332"/>
      <c r="Q1340" s="363"/>
      <c r="R1340" s="364"/>
      <c r="S1340" s="364"/>
      <c r="T1340" s="382" t="str">
        <f t="shared" si="229"/>
        <v>23調査結果-上記1から7に記載のない事項-6行目-改善策の具体的内容等</v>
      </c>
      <c r="V1340" s="202"/>
      <c r="W1340" s="202"/>
      <c r="X1340" s="202"/>
    </row>
    <row r="1341" spans="1:28" ht="19">
      <c r="B1341" s="107">
        <f>'1_入力シート【基本情報】'!$BS$517</f>
        <v>0</v>
      </c>
      <c r="C1341" s="493" t="str">
        <f t="shared" ref="C1341:E1342" si="233">ASC($D1341)</f>
        <v>0</v>
      </c>
      <c r="D1341" s="107">
        <f>'1_入力シート【基本情報】'!$BS$517</f>
        <v>0</v>
      </c>
      <c r="E1341" s="7" t="str">
        <f t="shared" si="233"/>
        <v>0</v>
      </c>
      <c r="F1341" s="7" t="str">
        <f t="shared" si="224"/>
        <v>0</v>
      </c>
      <c r="G1341" s="24"/>
      <c r="H1341" s="565">
        <v>23</v>
      </c>
      <c r="I1341" s="334" t="s">
        <v>33</v>
      </c>
      <c r="J1341" s="357" t="s">
        <v>1407</v>
      </c>
      <c r="K1341" s="322" t="s">
        <v>2173</v>
      </c>
      <c r="L1341" s="358" t="s">
        <v>1407</v>
      </c>
      <c r="M1341" s="321" t="s">
        <v>1547</v>
      </c>
      <c r="N1341" s="358" t="s">
        <v>1407</v>
      </c>
      <c r="O1341" s="334" t="s">
        <v>387</v>
      </c>
      <c r="P1341" s="332" t="s">
        <v>1879</v>
      </c>
      <c r="Q1341" s="363" t="s">
        <v>1966</v>
      </c>
      <c r="R1341" s="364"/>
      <c r="S1341" s="364"/>
      <c r="T1341" s="382" t="str">
        <f t="shared" si="229"/>
        <v>23調査結果-上記1から7に記載のない事項-6行目-改善（予定）年月-年（令和）</v>
      </c>
      <c r="V1341" s="202"/>
      <c r="W1341" s="202"/>
      <c r="X1341" s="202"/>
    </row>
    <row r="1342" spans="1:28" ht="19">
      <c r="B1342" s="107">
        <f>'1_入力シート【基本情報】'!$BV$517</f>
        <v>0</v>
      </c>
      <c r="C1342" s="493" t="str">
        <f t="shared" si="233"/>
        <v>0</v>
      </c>
      <c r="D1342" s="107">
        <f>'1_入力シート【基本情報】'!$BV$517</f>
        <v>0</v>
      </c>
      <c r="E1342" s="7" t="str">
        <f t="shared" si="233"/>
        <v>0</v>
      </c>
      <c r="F1342" s="7" t="str">
        <f t="shared" si="224"/>
        <v>0</v>
      </c>
      <c r="G1342" s="24"/>
      <c r="H1342" s="565">
        <v>23</v>
      </c>
      <c r="I1342" s="334" t="s">
        <v>33</v>
      </c>
      <c r="J1342" s="357" t="s">
        <v>1407</v>
      </c>
      <c r="K1342" s="322" t="s">
        <v>2173</v>
      </c>
      <c r="L1342" s="358" t="s">
        <v>1407</v>
      </c>
      <c r="M1342" s="321" t="s">
        <v>1547</v>
      </c>
      <c r="N1342" s="358" t="s">
        <v>1407</v>
      </c>
      <c r="O1342" s="334" t="s">
        <v>387</v>
      </c>
      <c r="P1342" s="332" t="s">
        <v>1879</v>
      </c>
      <c r="Q1342" s="363" t="s">
        <v>383</v>
      </c>
      <c r="R1342" s="364"/>
      <c r="S1342" s="364"/>
      <c r="T1342" s="382" t="str">
        <f t="shared" si="229"/>
        <v>23調査結果-上記1から7に記載のない事項-6行目-改善（予定）年月-月</v>
      </c>
      <c r="V1342" s="202"/>
      <c r="W1342" s="202"/>
      <c r="X1342" s="202"/>
    </row>
    <row r="1343" spans="1:28">
      <c r="B1343" s="107">
        <f>'1_入力シート【基本情報】'!$BY$517</f>
        <v>0</v>
      </c>
      <c r="C1343" s="4" t="str">
        <f t="shared" si="231"/>
        <v/>
      </c>
      <c r="D1343" s="107">
        <f>'1_入力シート【基本情報】'!$BY$517</f>
        <v>0</v>
      </c>
      <c r="E1343" s="564">
        <f>'1_入力シート【基本情報】'!$BY$517</f>
        <v>0</v>
      </c>
      <c r="F1343" s="564" t="str">
        <f t="shared" si="224"/>
        <v>0</v>
      </c>
      <c r="G1343" s="24"/>
      <c r="H1343" s="565">
        <v>23</v>
      </c>
      <c r="I1343" s="334" t="s">
        <v>33</v>
      </c>
      <c r="J1343" s="357" t="s">
        <v>1407</v>
      </c>
      <c r="K1343" s="322" t="s">
        <v>2173</v>
      </c>
      <c r="L1343" s="358" t="s">
        <v>1407</v>
      </c>
      <c r="M1343" s="321" t="s">
        <v>1547</v>
      </c>
      <c r="N1343" s="358" t="s">
        <v>1407</v>
      </c>
      <c r="O1343" s="326" t="s">
        <v>387</v>
      </c>
      <c r="P1343" s="327" t="s">
        <v>1879</v>
      </c>
      <c r="Q1343" s="336" t="s">
        <v>675</v>
      </c>
      <c r="R1343" s="364"/>
      <c r="S1343" s="364"/>
      <c r="T1343" s="382" t="str">
        <f t="shared" si="229"/>
        <v>23調査結果-上記1から7に記載のない事項-6行目-改善（予定）年月-未定</v>
      </c>
      <c r="V1343" s="202"/>
      <c r="W1343" s="202"/>
      <c r="X1343" s="202"/>
    </row>
    <row r="1344" spans="1:28">
      <c r="A1344" s="426"/>
      <c r="B1344" s="107"/>
      <c r="C1344" s="4"/>
      <c r="D1344" s="107"/>
      <c r="E1344" s="789">
        <f>'1_入力シート【基本情報】'!$M$518</f>
        <v>0</v>
      </c>
      <c r="F1344" s="789" t="str">
        <f t="shared" si="224"/>
        <v>0</v>
      </c>
      <c r="G1344" s="790"/>
      <c r="H1344" s="693">
        <v>23</v>
      </c>
      <c r="I1344" s="791" t="s">
        <v>33</v>
      </c>
      <c r="J1344" s="695" t="s">
        <v>1879</v>
      </c>
      <c r="K1344" s="696" t="s">
        <v>2173</v>
      </c>
      <c r="L1344" s="697" t="s">
        <v>1879</v>
      </c>
      <c r="M1344" s="698" t="s">
        <v>1553</v>
      </c>
      <c r="N1344" s="697" t="s">
        <v>1879</v>
      </c>
      <c r="O1344" s="791" t="s">
        <v>31</v>
      </c>
      <c r="P1344" s="792"/>
      <c r="Q1344" s="793"/>
      <c r="R1344" s="794"/>
      <c r="S1344" s="794"/>
      <c r="T1344" s="382" t="str">
        <f t="shared" si="229"/>
        <v>23調査結果-上記1から7に記載のない事項-7行目-番号</v>
      </c>
      <c r="U1344" s="382"/>
      <c r="V1344" s="202"/>
      <c r="W1344" s="202"/>
      <c r="X1344" s="202"/>
      <c r="Y1344" s="382"/>
      <c r="Z1344" s="382"/>
      <c r="AA1344" s="382"/>
      <c r="AB1344" s="382"/>
    </row>
    <row r="1345" spans="1:28">
      <c r="A1345" s="426"/>
      <c r="B1345" s="107"/>
      <c r="C1345" s="4"/>
      <c r="D1345" s="107"/>
      <c r="E1345" s="789" t="str">
        <f>'1_入力シート【基本情報】'!$P$518</f>
        <v/>
      </c>
      <c r="F1345" s="789" t="str">
        <f t="shared" si="224"/>
        <v/>
      </c>
      <c r="G1345" s="790"/>
      <c r="H1345" s="693">
        <v>23</v>
      </c>
      <c r="I1345" s="791" t="s">
        <v>33</v>
      </c>
      <c r="J1345" s="695" t="s">
        <v>1879</v>
      </c>
      <c r="K1345" s="696" t="s">
        <v>2173</v>
      </c>
      <c r="L1345" s="697" t="s">
        <v>1879</v>
      </c>
      <c r="M1345" s="698" t="s">
        <v>1553</v>
      </c>
      <c r="N1345" s="697" t="s">
        <v>1879</v>
      </c>
      <c r="O1345" s="791" t="s">
        <v>1007</v>
      </c>
      <c r="P1345" s="792"/>
      <c r="Q1345" s="793"/>
      <c r="R1345" s="794"/>
      <c r="S1345" s="794"/>
      <c r="T1345" s="382" t="str">
        <f t="shared" si="229"/>
        <v>23調査結果-上記1から7に記載のない事項-7行目-調査項目</v>
      </c>
      <c r="U1345" s="382"/>
      <c r="V1345" s="202"/>
      <c r="W1345" s="202"/>
      <c r="X1345" s="202"/>
      <c r="Y1345" s="382"/>
      <c r="Z1345" s="382"/>
      <c r="AA1345" s="382"/>
      <c r="AB1345" s="382"/>
    </row>
    <row r="1346" spans="1:28">
      <c r="B1346" s="107">
        <f>'1_入力シート【基本情報】'!$AF$518</f>
        <v>0</v>
      </c>
      <c r="C1346" s="4" t="str">
        <f t="shared" si="231"/>
        <v/>
      </c>
      <c r="D1346" s="107" t="str">
        <f>C1346</f>
        <v/>
      </c>
      <c r="E1346" s="564" t="str">
        <f>D1346</f>
        <v/>
      </c>
      <c r="F1346" s="564" t="str">
        <f t="shared" si="224"/>
        <v/>
      </c>
      <c r="G1346" s="24"/>
      <c r="H1346" s="565">
        <v>23</v>
      </c>
      <c r="I1346" s="334" t="s">
        <v>33</v>
      </c>
      <c r="J1346" s="357" t="s">
        <v>1407</v>
      </c>
      <c r="K1346" s="322" t="s">
        <v>2173</v>
      </c>
      <c r="L1346" s="358" t="s">
        <v>1407</v>
      </c>
      <c r="M1346" s="321" t="s">
        <v>1553</v>
      </c>
      <c r="N1346" s="358" t="s">
        <v>1407</v>
      </c>
      <c r="O1346" s="326" t="s">
        <v>33</v>
      </c>
      <c r="P1346" s="332"/>
      <c r="Q1346" s="363"/>
      <c r="R1346" s="364"/>
      <c r="S1346" s="364"/>
      <c r="T1346" s="382" t="str">
        <f t="shared" si="229"/>
        <v>23調査結果-上記1から7に記載のない事項-7行目-調査結果</v>
      </c>
      <c r="V1346" s="202"/>
      <c r="W1346" s="202"/>
      <c r="X1346" s="202"/>
    </row>
    <row r="1347" spans="1:28">
      <c r="B1347" s="107">
        <f>'1_入力シート【基本情報】'!$AR$518</f>
        <v>0</v>
      </c>
      <c r="C1347" s="4" t="str">
        <f t="shared" si="231"/>
        <v/>
      </c>
      <c r="D1347" s="107">
        <f>'1_入力シート【基本情報】'!$AR$518</f>
        <v>0</v>
      </c>
      <c r="E1347" s="564">
        <f>'1_入力シート【基本情報】'!$AR$518</f>
        <v>0</v>
      </c>
      <c r="F1347" s="564" t="str">
        <f t="shared" si="224"/>
        <v>0</v>
      </c>
      <c r="G1347" s="24"/>
      <c r="H1347" s="565">
        <v>23</v>
      </c>
      <c r="I1347" s="334" t="s">
        <v>33</v>
      </c>
      <c r="J1347" s="357" t="s">
        <v>1407</v>
      </c>
      <c r="K1347" s="322" t="s">
        <v>2173</v>
      </c>
      <c r="L1347" s="358" t="s">
        <v>1407</v>
      </c>
      <c r="M1347" s="321" t="s">
        <v>1553</v>
      </c>
      <c r="N1347" s="358" t="s">
        <v>1407</v>
      </c>
      <c r="O1347" s="326" t="s">
        <v>30</v>
      </c>
      <c r="P1347" s="332"/>
      <c r="Q1347" s="363"/>
      <c r="R1347" s="364"/>
      <c r="S1347" s="364"/>
      <c r="T1347" s="382" t="str">
        <f t="shared" si="229"/>
        <v>23調査結果-上記1から7に記載のない事項-7行目-調査者番号</v>
      </c>
      <c r="V1347" s="202"/>
      <c r="W1347" s="202"/>
      <c r="X1347" s="202"/>
    </row>
    <row r="1348" spans="1:28">
      <c r="B1348" s="107">
        <f>'1_入力シート【基本情報】'!$AT$518</f>
        <v>0</v>
      </c>
      <c r="C1348" s="4" t="str">
        <f t="shared" si="231"/>
        <v/>
      </c>
      <c r="D1348" s="107">
        <f>'1_入力シート【基本情報】'!$AT$518</f>
        <v>0</v>
      </c>
      <c r="E1348" s="564">
        <f>'1_入力シート【基本情報】'!$AT$518</f>
        <v>0</v>
      </c>
      <c r="F1348" s="564" t="str">
        <f t="shared" si="224"/>
        <v>0</v>
      </c>
      <c r="G1348" s="24"/>
      <c r="H1348" s="565">
        <v>23</v>
      </c>
      <c r="I1348" s="334" t="s">
        <v>33</v>
      </c>
      <c r="J1348" s="357" t="s">
        <v>1407</v>
      </c>
      <c r="K1348" s="322" t="s">
        <v>2173</v>
      </c>
      <c r="L1348" s="358" t="s">
        <v>1407</v>
      </c>
      <c r="M1348" s="321" t="s">
        <v>1553</v>
      </c>
      <c r="N1348" s="358" t="s">
        <v>1407</v>
      </c>
      <c r="O1348" s="326" t="s">
        <v>2028</v>
      </c>
      <c r="P1348" s="332"/>
      <c r="Q1348" s="363"/>
      <c r="R1348" s="203"/>
      <c r="S1348" s="203"/>
      <c r="T1348" s="382" t="str">
        <f t="shared" si="229"/>
        <v>23調査結果-上記1から7に記載のない事項-7行目-指摘の具体的内容等</v>
      </c>
      <c r="V1348" s="202"/>
      <c r="W1348" s="202"/>
      <c r="X1348" s="202"/>
    </row>
    <row r="1349" spans="1:28">
      <c r="B1349" s="107">
        <f>'1_入力シート【基本情報】'!$BD$518</f>
        <v>0</v>
      </c>
      <c r="C1349" s="4" t="str">
        <f t="shared" si="231"/>
        <v/>
      </c>
      <c r="D1349" s="107">
        <f>'1_入力シート【基本情報】'!$BD$518</f>
        <v>0</v>
      </c>
      <c r="E1349" s="564">
        <f>'1_入力シート【基本情報】'!$BD$518</f>
        <v>0</v>
      </c>
      <c r="F1349" s="564" t="str">
        <f t="shared" ref="F1349:F1412" si="234">SUBSTITUTE(E1349,CHAR(10),"")</f>
        <v>0</v>
      </c>
      <c r="G1349" s="24"/>
      <c r="H1349" s="565">
        <v>23</v>
      </c>
      <c r="I1349" s="334" t="s">
        <v>33</v>
      </c>
      <c r="J1349" s="357" t="s">
        <v>1407</v>
      </c>
      <c r="K1349" s="322" t="s">
        <v>2173</v>
      </c>
      <c r="L1349" s="358" t="s">
        <v>1407</v>
      </c>
      <c r="M1349" s="321" t="s">
        <v>1553</v>
      </c>
      <c r="N1349" s="358" t="s">
        <v>1407</v>
      </c>
      <c r="O1349" s="326" t="s">
        <v>2029</v>
      </c>
      <c r="P1349" s="332"/>
      <c r="Q1349" s="363"/>
      <c r="R1349" s="364"/>
      <c r="S1349" s="364"/>
      <c r="T1349" s="382" t="str">
        <f t="shared" si="229"/>
        <v>23調査結果-上記1から7に記載のない事項-7行目-改善策の具体的内容等</v>
      </c>
      <c r="V1349" s="202"/>
      <c r="W1349" s="202"/>
      <c r="X1349" s="202"/>
    </row>
    <row r="1350" spans="1:28" ht="19">
      <c r="B1350" s="107">
        <f>'1_入力シート【基本情報】'!$BS$518</f>
        <v>0</v>
      </c>
      <c r="C1350" s="493" t="str">
        <f t="shared" ref="C1350:E1351" si="235">ASC($D1350)</f>
        <v>0</v>
      </c>
      <c r="D1350" s="107">
        <f>'1_入力シート【基本情報】'!$BS$518</f>
        <v>0</v>
      </c>
      <c r="E1350" s="7" t="str">
        <f t="shared" si="235"/>
        <v>0</v>
      </c>
      <c r="F1350" s="7" t="str">
        <f t="shared" si="234"/>
        <v>0</v>
      </c>
      <c r="G1350" s="24"/>
      <c r="H1350" s="565">
        <v>23</v>
      </c>
      <c r="I1350" s="334" t="s">
        <v>33</v>
      </c>
      <c r="J1350" s="357" t="s">
        <v>1407</v>
      </c>
      <c r="K1350" s="322" t="s">
        <v>2173</v>
      </c>
      <c r="L1350" s="358" t="s">
        <v>1407</v>
      </c>
      <c r="M1350" s="321" t="s">
        <v>1553</v>
      </c>
      <c r="N1350" s="358" t="s">
        <v>1407</v>
      </c>
      <c r="O1350" s="334" t="s">
        <v>387</v>
      </c>
      <c r="P1350" s="332" t="s">
        <v>1879</v>
      </c>
      <c r="Q1350" s="363" t="s">
        <v>1966</v>
      </c>
      <c r="R1350" s="364"/>
      <c r="S1350" s="364"/>
      <c r="T1350" s="382" t="str">
        <f t="shared" si="229"/>
        <v>23調査結果-上記1から7に記載のない事項-7行目-改善（予定）年月-年（令和）</v>
      </c>
      <c r="V1350" s="202"/>
      <c r="W1350" s="202"/>
      <c r="X1350" s="202"/>
    </row>
    <row r="1351" spans="1:28" ht="19">
      <c r="B1351" s="107">
        <f>'1_入力シート【基本情報】'!$BV$518</f>
        <v>0</v>
      </c>
      <c r="C1351" s="493" t="str">
        <f t="shared" si="235"/>
        <v>0</v>
      </c>
      <c r="D1351" s="107">
        <f>'1_入力シート【基本情報】'!$BV$518</f>
        <v>0</v>
      </c>
      <c r="E1351" s="7" t="str">
        <f t="shared" si="235"/>
        <v>0</v>
      </c>
      <c r="F1351" s="7" t="str">
        <f t="shared" si="234"/>
        <v>0</v>
      </c>
      <c r="G1351" s="24"/>
      <c r="H1351" s="565">
        <v>23</v>
      </c>
      <c r="I1351" s="334" t="s">
        <v>33</v>
      </c>
      <c r="J1351" s="357" t="s">
        <v>1407</v>
      </c>
      <c r="K1351" s="322" t="s">
        <v>2173</v>
      </c>
      <c r="L1351" s="358" t="s">
        <v>1407</v>
      </c>
      <c r="M1351" s="321" t="s">
        <v>1553</v>
      </c>
      <c r="N1351" s="358" t="s">
        <v>1407</v>
      </c>
      <c r="O1351" s="334" t="s">
        <v>387</v>
      </c>
      <c r="P1351" s="332" t="s">
        <v>1879</v>
      </c>
      <c r="Q1351" s="363" t="s">
        <v>383</v>
      </c>
      <c r="R1351" s="364"/>
      <c r="S1351" s="364"/>
      <c r="T1351" s="382" t="str">
        <f t="shared" si="229"/>
        <v>23調査結果-上記1から7に記載のない事項-7行目-改善（予定）年月-月</v>
      </c>
      <c r="V1351" s="202"/>
      <c r="W1351" s="202"/>
      <c r="X1351" s="202"/>
    </row>
    <row r="1352" spans="1:28">
      <c r="B1352" s="107">
        <f>'1_入力シート【基本情報】'!$BY$518</f>
        <v>0</v>
      </c>
      <c r="C1352" s="4" t="str">
        <f t="shared" si="231"/>
        <v/>
      </c>
      <c r="D1352" s="107">
        <f>'1_入力シート【基本情報】'!$BY$518</f>
        <v>0</v>
      </c>
      <c r="E1352" s="564">
        <f>'1_入力シート【基本情報】'!$BY$518</f>
        <v>0</v>
      </c>
      <c r="F1352" s="564" t="str">
        <f t="shared" si="234"/>
        <v>0</v>
      </c>
      <c r="G1352" s="24"/>
      <c r="H1352" s="565">
        <v>23</v>
      </c>
      <c r="I1352" s="334" t="s">
        <v>33</v>
      </c>
      <c r="J1352" s="357" t="s">
        <v>1407</v>
      </c>
      <c r="K1352" s="322" t="s">
        <v>2173</v>
      </c>
      <c r="L1352" s="358" t="s">
        <v>1407</v>
      </c>
      <c r="M1352" s="321" t="s">
        <v>1553</v>
      </c>
      <c r="N1352" s="358" t="s">
        <v>1407</v>
      </c>
      <c r="O1352" s="334" t="s">
        <v>387</v>
      </c>
      <c r="P1352" s="332" t="s">
        <v>1879</v>
      </c>
      <c r="Q1352" s="363" t="s">
        <v>675</v>
      </c>
      <c r="R1352" s="364"/>
      <c r="S1352" s="364"/>
      <c r="T1352" s="382" t="str">
        <f t="shared" si="229"/>
        <v>23調査結果-上記1から7に記載のない事項-7行目-改善（予定）年月-未定</v>
      </c>
      <c r="V1352" s="202"/>
      <c r="W1352" s="202"/>
      <c r="X1352" s="202"/>
    </row>
    <row r="1353" spans="1:28">
      <c r="A1353" s="426"/>
      <c r="B1353" s="107"/>
      <c r="C1353" s="4"/>
      <c r="D1353" s="107"/>
      <c r="E1353" s="789">
        <f>'1_入力シート【基本情報】'!$M$519</f>
        <v>0</v>
      </c>
      <c r="F1353" s="789" t="str">
        <f t="shared" si="234"/>
        <v>0</v>
      </c>
      <c r="G1353" s="790"/>
      <c r="H1353" s="693">
        <v>23</v>
      </c>
      <c r="I1353" s="791" t="s">
        <v>33</v>
      </c>
      <c r="J1353" s="695" t="s">
        <v>1879</v>
      </c>
      <c r="K1353" s="696" t="s">
        <v>2173</v>
      </c>
      <c r="L1353" s="697" t="s">
        <v>1879</v>
      </c>
      <c r="M1353" s="698" t="s">
        <v>1555</v>
      </c>
      <c r="N1353" s="697" t="s">
        <v>1879</v>
      </c>
      <c r="O1353" s="791" t="s">
        <v>31</v>
      </c>
      <c r="P1353" s="792"/>
      <c r="Q1353" s="793"/>
      <c r="R1353" s="794"/>
      <c r="S1353" s="794"/>
      <c r="T1353" s="382" t="str">
        <f t="shared" si="229"/>
        <v>23調査結果-上記1から7に記載のない事項-8行目-番号</v>
      </c>
      <c r="U1353" s="382"/>
      <c r="V1353" s="202"/>
      <c r="W1353" s="202"/>
      <c r="X1353" s="202"/>
      <c r="Y1353" s="382"/>
      <c r="Z1353" s="382"/>
      <c r="AA1353" s="382"/>
      <c r="AB1353" s="382"/>
    </row>
    <row r="1354" spans="1:28">
      <c r="A1354" s="426"/>
      <c r="B1354" s="107"/>
      <c r="C1354" s="4"/>
      <c r="D1354" s="107"/>
      <c r="E1354" s="789" t="str">
        <f>'1_入力シート【基本情報】'!$P$519</f>
        <v/>
      </c>
      <c r="F1354" s="789" t="str">
        <f t="shared" si="234"/>
        <v/>
      </c>
      <c r="G1354" s="790"/>
      <c r="H1354" s="693">
        <v>23</v>
      </c>
      <c r="I1354" s="791" t="s">
        <v>33</v>
      </c>
      <c r="J1354" s="695" t="s">
        <v>1879</v>
      </c>
      <c r="K1354" s="696" t="s">
        <v>2173</v>
      </c>
      <c r="L1354" s="697" t="s">
        <v>1879</v>
      </c>
      <c r="M1354" s="698" t="s">
        <v>1555</v>
      </c>
      <c r="N1354" s="697" t="s">
        <v>1879</v>
      </c>
      <c r="O1354" s="791" t="s">
        <v>1007</v>
      </c>
      <c r="P1354" s="792"/>
      <c r="Q1354" s="793"/>
      <c r="R1354" s="794"/>
      <c r="S1354" s="794"/>
      <c r="T1354" s="382" t="str">
        <f t="shared" si="229"/>
        <v>23調査結果-上記1から7に記載のない事項-8行目-調査項目</v>
      </c>
      <c r="U1354" s="382"/>
      <c r="V1354" s="202"/>
      <c r="W1354" s="202"/>
      <c r="X1354" s="202"/>
      <c r="Y1354" s="382"/>
      <c r="Z1354" s="382"/>
      <c r="AA1354" s="382"/>
      <c r="AB1354" s="382"/>
    </row>
    <row r="1355" spans="1:28">
      <c r="B1355" s="107">
        <f>'1_入力シート【基本情報】'!$AF$519</f>
        <v>0</v>
      </c>
      <c r="C1355" s="4" t="str">
        <f t="shared" si="231"/>
        <v/>
      </c>
      <c r="D1355" s="107" t="str">
        <f>C1355</f>
        <v/>
      </c>
      <c r="E1355" s="564" t="str">
        <f>D1355</f>
        <v/>
      </c>
      <c r="F1355" s="564" t="str">
        <f t="shared" si="234"/>
        <v/>
      </c>
      <c r="G1355" s="24"/>
      <c r="H1355" s="565">
        <v>23</v>
      </c>
      <c r="I1355" s="334" t="s">
        <v>33</v>
      </c>
      <c r="J1355" s="357" t="s">
        <v>1407</v>
      </c>
      <c r="K1355" s="322" t="s">
        <v>2173</v>
      </c>
      <c r="L1355" s="358" t="s">
        <v>1407</v>
      </c>
      <c r="M1355" s="321" t="s">
        <v>1555</v>
      </c>
      <c r="N1355" s="358" t="s">
        <v>1407</v>
      </c>
      <c r="O1355" s="326" t="s">
        <v>33</v>
      </c>
      <c r="P1355" s="327"/>
      <c r="Q1355" s="336"/>
      <c r="R1355" s="364"/>
      <c r="S1355" s="364"/>
      <c r="T1355" s="382" t="str">
        <f t="shared" si="229"/>
        <v>23調査結果-上記1から7に記載のない事項-8行目-調査結果</v>
      </c>
      <c r="V1355" s="202"/>
      <c r="W1355" s="202"/>
      <c r="X1355" s="202"/>
    </row>
    <row r="1356" spans="1:28">
      <c r="B1356" s="107">
        <f>'1_入力シート【基本情報】'!$AR$519</f>
        <v>0</v>
      </c>
      <c r="C1356" s="4" t="str">
        <f t="shared" si="231"/>
        <v/>
      </c>
      <c r="D1356" s="107">
        <f>'1_入力シート【基本情報】'!$AR$519</f>
        <v>0</v>
      </c>
      <c r="E1356" s="564">
        <f>'1_入力シート【基本情報】'!$AR$519</f>
        <v>0</v>
      </c>
      <c r="F1356" s="564" t="str">
        <f t="shared" si="234"/>
        <v>0</v>
      </c>
      <c r="G1356" s="24"/>
      <c r="H1356" s="565">
        <v>23</v>
      </c>
      <c r="I1356" s="334" t="s">
        <v>33</v>
      </c>
      <c r="J1356" s="357" t="s">
        <v>1407</v>
      </c>
      <c r="K1356" s="322" t="s">
        <v>2173</v>
      </c>
      <c r="L1356" s="358" t="s">
        <v>1407</v>
      </c>
      <c r="M1356" s="321" t="s">
        <v>1555</v>
      </c>
      <c r="N1356" s="358" t="s">
        <v>1407</v>
      </c>
      <c r="O1356" s="326" t="s">
        <v>30</v>
      </c>
      <c r="P1356" s="332"/>
      <c r="Q1356" s="363"/>
      <c r="R1356" s="364"/>
      <c r="S1356" s="364"/>
      <c r="T1356" s="382" t="str">
        <f t="shared" si="229"/>
        <v>23調査結果-上記1から7に記載のない事項-8行目-調査者番号</v>
      </c>
      <c r="V1356" s="202"/>
      <c r="W1356" s="202"/>
      <c r="X1356" s="202"/>
    </row>
    <row r="1357" spans="1:28">
      <c r="B1357" s="107">
        <f>'1_入力シート【基本情報】'!$AT$519</f>
        <v>0</v>
      </c>
      <c r="C1357" s="4" t="str">
        <f t="shared" si="231"/>
        <v/>
      </c>
      <c r="D1357" s="107">
        <f>'1_入力シート【基本情報】'!$AT$519</f>
        <v>0</v>
      </c>
      <c r="E1357" s="564">
        <f>'1_入力シート【基本情報】'!$AT$519</f>
        <v>0</v>
      </c>
      <c r="F1357" s="564" t="str">
        <f t="shared" si="234"/>
        <v>0</v>
      </c>
      <c r="G1357" s="24"/>
      <c r="H1357" s="565">
        <v>23</v>
      </c>
      <c r="I1357" s="334" t="s">
        <v>33</v>
      </c>
      <c r="J1357" s="357" t="s">
        <v>1407</v>
      </c>
      <c r="K1357" s="322" t="s">
        <v>2173</v>
      </c>
      <c r="L1357" s="358" t="s">
        <v>1407</v>
      </c>
      <c r="M1357" s="321" t="s">
        <v>1555</v>
      </c>
      <c r="N1357" s="358" t="s">
        <v>1407</v>
      </c>
      <c r="O1357" s="326" t="s">
        <v>2028</v>
      </c>
      <c r="P1357" s="332"/>
      <c r="Q1357" s="363"/>
      <c r="R1357" s="364"/>
      <c r="S1357" s="364"/>
      <c r="T1357" s="382" t="str">
        <f t="shared" si="229"/>
        <v>23調査結果-上記1から7に記載のない事項-8行目-指摘の具体的内容等</v>
      </c>
      <c r="V1357" s="202"/>
      <c r="W1357" s="202"/>
      <c r="X1357" s="202"/>
    </row>
    <row r="1358" spans="1:28">
      <c r="B1358" s="107">
        <f>'1_入力シート【基本情報】'!$BD$519</f>
        <v>0</v>
      </c>
      <c r="C1358" s="4" t="str">
        <f t="shared" si="231"/>
        <v/>
      </c>
      <c r="D1358" s="107">
        <f>'1_入力シート【基本情報】'!$BD$519</f>
        <v>0</v>
      </c>
      <c r="E1358" s="564">
        <f>'1_入力シート【基本情報】'!$BD$519</f>
        <v>0</v>
      </c>
      <c r="F1358" s="564" t="str">
        <f t="shared" si="234"/>
        <v>0</v>
      </c>
      <c r="G1358" s="24"/>
      <c r="H1358" s="565">
        <v>23</v>
      </c>
      <c r="I1358" s="334" t="s">
        <v>33</v>
      </c>
      <c r="J1358" s="357" t="s">
        <v>1407</v>
      </c>
      <c r="K1358" s="322" t="s">
        <v>2173</v>
      </c>
      <c r="L1358" s="358" t="s">
        <v>1407</v>
      </c>
      <c r="M1358" s="321" t="s">
        <v>1555</v>
      </c>
      <c r="N1358" s="358" t="s">
        <v>1407</v>
      </c>
      <c r="O1358" s="326" t="s">
        <v>2029</v>
      </c>
      <c r="P1358" s="332"/>
      <c r="Q1358" s="363"/>
      <c r="R1358" s="203"/>
      <c r="S1358" s="203"/>
      <c r="T1358" s="382" t="str">
        <f t="shared" si="229"/>
        <v>23調査結果-上記1から7に記載のない事項-8行目-改善策の具体的内容等</v>
      </c>
      <c r="V1358" s="202"/>
      <c r="W1358" s="202"/>
      <c r="X1358" s="202"/>
    </row>
    <row r="1359" spans="1:28" ht="19">
      <c r="B1359" s="107">
        <f>'1_入力シート【基本情報】'!$BS$519</f>
        <v>0</v>
      </c>
      <c r="C1359" s="493" t="str">
        <f t="shared" ref="C1359:E1360" si="236">ASC($D1359)</f>
        <v>0</v>
      </c>
      <c r="D1359" s="107">
        <f>'1_入力シート【基本情報】'!$BS$519</f>
        <v>0</v>
      </c>
      <c r="E1359" s="7" t="str">
        <f t="shared" si="236"/>
        <v>0</v>
      </c>
      <c r="F1359" s="7" t="str">
        <f t="shared" si="234"/>
        <v>0</v>
      </c>
      <c r="G1359" s="24"/>
      <c r="H1359" s="565">
        <v>23</v>
      </c>
      <c r="I1359" s="334" t="s">
        <v>33</v>
      </c>
      <c r="J1359" s="357" t="s">
        <v>1407</v>
      </c>
      <c r="K1359" s="322" t="s">
        <v>2173</v>
      </c>
      <c r="L1359" s="358" t="s">
        <v>1407</v>
      </c>
      <c r="M1359" s="321" t="s">
        <v>1555</v>
      </c>
      <c r="N1359" s="358" t="s">
        <v>1407</v>
      </c>
      <c r="O1359" s="326" t="s">
        <v>387</v>
      </c>
      <c r="P1359" s="332" t="s">
        <v>1879</v>
      </c>
      <c r="Q1359" s="363" t="s">
        <v>1966</v>
      </c>
      <c r="R1359" s="364"/>
      <c r="S1359" s="364"/>
      <c r="T1359" s="382" t="str">
        <f t="shared" si="229"/>
        <v>23調査結果-上記1から7に記載のない事項-8行目-改善（予定）年月-年（令和）</v>
      </c>
      <c r="V1359" s="202"/>
      <c r="W1359" s="202"/>
      <c r="X1359" s="202"/>
    </row>
    <row r="1360" spans="1:28" ht="19">
      <c r="B1360" s="107">
        <f>'1_入力シート【基本情報】'!$BV$519</f>
        <v>0</v>
      </c>
      <c r="C1360" s="493" t="str">
        <f t="shared" si="236"/>
        <v>0</v>
      </c>
      <c r="D1360" s="107">
        <f>'1_入力シート【基本情報】'!$BV$519</f>
        <v>0</v>
      </c>
      <c r="E1360" s="7" t="str">
        <f t="shared" si="236"/>
        <v>0</v>
      </c>
      <c r="F1360" s="7" t="str">
        <f t="shared" si="234"/>
        <v>0</v>
      </c>
      <c r="G1360" s="24"/>
      <c r="H1360" s="565">
        <v>23</v>
      </c>
      <c r="I1360" s="334" t="s">
        <v>33</v>
      </c>
      <c r="J1360" s="357" t="s">
        <v>1407</v>
      </c>
      <c r="K1360" s="322" t="s">
        <v>2173</v>
      </c>
      <c r="L1360" s="358" t="s">
        <v>1407</v>
      </c>
      <c r="M1360" s="321" t="s">
        <v>1555</v>
      </c>
      <c r="N1360" s="358" t="s">
        <v>1407</v>
      </c>
      <c r="O1360" s="334" t="s">
        <v>387</v>
      </c>
      <c r="P1360" s="332" t="s">
        <v>1879</v>
      </c>
      <c r="Q1360" s="363" t="s">
        <v>383</v>
      </c>
      <c r="R1360" s="364"/>
      <c r="S1360" s="364"/>
      <c r="T1360" s="382" t="str">
        <f t="shared" si="229"/>
        <v>23調査結果-上記1から7に記載のない事項-8行目-改善（予定）年月-月</v>
      </c>
      <c r="V1360" s="202"/>
      <c r="W1360" s="202"/>
      <c r="X1360" s="202"/>
    </row>
    <row r="1361" spans="1:28">
      <c r="B1361" s="107">
        <f>'1_入力シート【基本情報】'!$BY$519</f>
        <v>0</v>
      </c>
      <c r="C1361" s="4" t="str">
        <f t="shared" si="231"/>
        <v/>
      </c>
      <c r="D1361" s="107">
        <f>'1_入力シート【基本情報】'!$BY$519</f>
        <v>0</v>
      </c>
      <c r="E1361" s="564">
        <f>'1_入力シート【基本情報】'!$BY$519</f>
        <v>0</v>
      </c>
      <c r="F1361" s="564" t="str">
        <f t="shared" si="234"/>
        <v>0</v>
      </c>
      <c r="G1361" s="24"/>
      <c r="H1361" s="565">
        <v>23</v>
      </c>
      <c r="I1361" s="334" t="s">
        <v>33</v>
      </c>
      <c r="J1361" s="357" t="s">
        <v>1407</v>
      </c>
      <c r="K1361" s="322" t="s">
        <v>2173</v>
      </c>
      <c r="L1361" s="358" t="s">
        <v>1407</v>
      </c>
      <c r="M1361" s="321" t="s">
        <v>1555</v>
      </c>
      <c r="N1361" s="358" t="s">
        <v>1407</v>
      </c>
      <c r="O1361" s="334" t="s">
        <v>387</v>
      </c>
      <c r="P1361" s="332" t="s">
        <v>1879</v>
      </c>
      <c r="Q1361" s="363" t="s">
        <v>675</v>
      </c>
      <c r="R1361" s="364"/>
      <c r="S1361" s="364"/>
      <c r="T1361" s="382" t="str">
        <f t="shared" si="229"/>
        <v>23調査結果-上記1から7に記載のない事項-8行目-改善（予定）年月-未定</v>
      </c>
      <c r="V1361" s="202"/>
      <c r="W1361" s="202"/>
      <c r="X1361" s="202"/>
    </row>
    <row r="1362" spans="1:28">
      <c r="A1362" s="426"/>
      <c r="B1362" s="107"/>
      <c r="C1362" s="4"/>
      <c r="D1362" s="107"/>
      <c r="E1362" s="789">
        <f>'1_入力シート【基本情報】'!$M$520</f>
        <v>0</v>
      </c>
      <c r="F1362" s="789" t="str">
        <f t="shared" si="234"/>
        <v>0</v>
      </c>
      <c r="G1362" s="790"/>
      <c r="H1362" s="693">
        <v>23</v>
      </c>
      <c r="I1362" s="791" t="s">
        <v>33</v>
      </c>
      <c r="J1362" s="695" t="s">
        <v>1879</v>
      </c>
      <c r="K1362" s="696" t="s">
        <v>2173</v>
      </c>
      <c r="L1362" s="697" t="s">
        <v>1879</v>
      </c>
      <c r="M1362" s="698" t="s">
        <v>1556</v>
      </c>
      <c r="N1362" s="697" t="s">
        <v>1879</v>
      </c>
      <c r="O1362" s="791" t="s">
        <v>31</v>
      </c>
      <c r="P1362" s="792"/>
      <c r="Q1362" s="793"/>
      <c r="R1362" s="794"/>
      <c r="S1362" s="794"/>
      <c r="T1362" s="382" t="str">
        <f t="shared" si="229"/>
        <v>23調査結果-上記1から7に記載のない事項-9行目-番号</v>
      </c>
      <c r="U1362" s="382"/>
      <c r="V1362" s="202"/>
      <c r="W1362" s="202"/>
      <c r="X1362" s="202"/>
      <c r="Y1362" s="382"/>
      <c r="Z1362" s="382"/>
      <c r="AA1362" s="382"/>
      <c r="AB1362" s="382"/>
    </row>
    <row r="1363" spans="1:28">
      <c r="A1363" s="426"/>
      <c r="B1363" s="107"/>
      <c r="C1363" s="4"/>
      <c r="D1363" s="107"/>
      <c r="E1363" s="789" t="str">
        <f>'1_入力シート【基本情報】'!$P$520</f>
        <v/>
      </c>
      <c r="F1363" s="789" t="str">
        <f t="shared" si="234"/>
        <v/>
      </c>
      <c r="G1363" s="790"/>
      <c r="H1363" s="693">
        <v>23</v>
      </c>
      <c r="I1363" s="791" t="s">
        <v>33</v>
      </c>
      <c r="J1363" s="695" t="s">
        <v>1879</v>
      </c>
      <c r="K1363" s="696" t="s">
        <v>2173</v>
      </c>
      <c r="L1363" s="697" t="s">
        <v>1879</v>
      </c>
      <c r="M1363" s="698" t="s">
        <v>1556</v>
      </c>
      <c r="N1363" s="697" t="s">
        <v>1879</v>
      </c>
      <c r="O1363" s="791" t="s">
        <v>1007</v>
      </c>
      <c r="P1363" s="792"/>
      <c r="Q1363" s="793"/>
      <c r="R1363" s="794"/>
      <c r="S1363" s="794"/>
      <c r="T1363" s="382" t="str">
        <f t="shared" si="229"/>
        <v>23調査結果-上記1から7に記載のない事項-9行目-調査項目</v>
      </c>
      <c r="U1363" s="382"/>
      <c r="V1363" s="202"/>
      <c r="W1363" s="202"/>
      <c r="X1363" s="202"/>
      <c r="Y1363" s="382"/>
      <c r="Z1363" s="382"/>
      <c r="AA1363" s="382"/>
      <c r="AB1363" s="382"/>
    </row>
    <row r="1364" spans="1:28">
      <c r="B1364" s="107">
        <f>'1_入力シート【基本情報】'!$AF$520</f>
        <v>0</v>
      </c>
      <c r="C1364" s="4" t="str">
        <f t="shared" si="231"/>
        <v/>
      </c>
      <c r="D1364" s="107" t="str">
        <f>C1364</f>
        <v/>
      </c>
      <c r="E1364" s="564" t="str">
        <f>D1364</f>
        <v/>
      </c>
      <c r="F1364" s="564" t="str">
        <f t="shared" si="234"/>
        <v/>
      </c>
      <c r="G1364" s="24"/>
      <c r="H1364" s="565">
        <v>23</v>
      </c>
      <c r="I1364" s="334" t="s">
        <v>33</v>
      </c>
      <c r="J1364" s="357" t="s">
        <v>1407</v>
      </c>
      <c r="K1364" s="322" t="s">
        <v>2173</v>
      </c>
      <c r="L1364" s="358" t="s">
        <v>1407</v>
      </c>
      <c r="M1364" s="321" t="s">
        <v>1556</v>
      </c>
      <c r="N1364" s="358" t="s">
        <v>1407</v>
      </c>
      <c r="O1364" s="334" t="s">
        <v>33</v>
      </c>
      <c r="P1364" s="332"/>
      <c r="Q1364" s="363"/>
      <c r="R1364" s="364"/>
      <c r="S1364" s="364"/>
      <c r="T1364" s="382" t="str">
        <f t="shared" si="229"/>
        <v>23調査結果-上記1から7に記載のない事項-9行目-調査結果</v>
      </c>
      <c r="V1364" s="202"/>
      <c r="W1364" s="202"/>
      <c r="X1364" s="202"/>
    </row>
    <row r="1365" spans="1:28">
      <c r="B1365" s="107">
        <f>'1_入力シート【基本情報】'!$AR$520</f>
        <v>0</v>
      </c>
      <c r="C1365" s="4" t="str">
        <f t="shared" si="231"/>
        <v/>
      </c>
      <c r="D1365" s="107">
        <f>'1_入力シート【基本情報】'!$AR$520</f>
        <v>0</v>
      </c>
      <c r="E1365" s="564">
        <f>'1_入力シート【基本情報】'!$AR$520</f>
        <v>0</v>
      </c>
      <c r="F1365" s="564" t="str">
        <f t="shared" si="234"/>
        <v>0</v>
      </c>
      <c r="G1365" s="24"/>
      <c r="H1365" s="565">
        <v>23</v>
      </c>
      <c r="I1365" s="334" t="s">
        <v>33</v>
      </c>
      <c r="J1365" s="357" t="s">
        <v>1407</v>
      </c>
      <c r="K1365" s="322" t="s">
        <v>2173</v>
      </c>
      <c r="L1365" s="358" t="s">
        <v>1407</v>
      </c>
      <c r="M1365" s="321" t="s">
        <v>1556</v>
      </c>
      <c r="N1365" s="358" t="s">
        <v>1407</v>
      </c>
      <c r="O1365" s="326" t="s">
        <v>30</v>
      </c>
      <c r="P1365" s="327"/>
      <c r="Q1365" s="336"/>
      <c r="R1365" s="364"/>
      <c r="S1365" s="364"/>
      <c r="T1365" s="382" t="str">
        <f t="shared" si="229"/>
        <v>23調査結果-上記1から7に記載のない事項-9行目-調査者番号</v>
      </c>
      <c r="V1365" s="202"/>
      <c r="W1365" s="202"/>
      <c r="X1365" s="202"/>
    </row>
    <row r="1366" spans="1:28">
      <c r="B1366" s="107">
        <f>'1_入力シート【基本情報】'!$AT$520</f>
        <v>0</v>
      </c>
      <c r="C1366" s="4" t="str">
        <f t="shared" si="231"/>
        <v/>
      </c>
      <c r="D1366" s="107">
        <f>'1_入力シート【基本情報】'!$AT$520</f>
        <v>0</v>
      </c>
      <c r="E1366" s="564">
        <f>'1_入力シート【基本情報】'!$AT$520</f>
        <v>0</v>
      </c>
      <c r="F1366" s="564" t="str">
        <f t="shared" si="234"/>
        <v>0</v>
      </c>
      <c r="G1366" s="24"/>
      <c r="H1366" s="565">
        <v>23</v>
      </c>
      <c r="I1366" s="334" t="s">
        <v>33</v>
      </c>
      <c r="J1366" s="357" t="s">
        <v>1407</v>
      </c>
      <c r="K1366" s="322" t="s">
        <v>2173</v>
      </c>
      <c r="L1366" s="358" t="s">
        <v>1407</v>
      </c>
      <c r="M1366" s="321" t="s">
        <v>1556</v>
      </c>
      <c r="N1366" s="358" t="s">
        <v>1407</v>
      </c>
      <c r="O1366" s="326" t="s">
        <v>2028</v>
      </c>
      <c r="P1366" s="332"/>
      <c r="Q1366" s="363"/>
      <c r="R1366" s="364"/>
      <c r="S1366" s="364"/>
      <c r="T1366" s="382" t="str">
        <f t="shared" si="229"/>
        <v>23調査結果-上記1から7に記載のない事項-9行目-指摘の具体的内容等</v>
      </c>
      <c r="V1366" s="202"/>
      <c r="W1366" s="202"/>
      <c r="X1366" s="202"/>
    </row>
    <row r="1367" spans="1:28">
      <c r="B1367" s="107">
        <f>'1_入力シート【基本情報】'!$BD$520</f>
        <v>0</v>
      </c>
      <c r="C1367" s="4" t="str">
        <f t="shared" si="231"/>
        <v/>
      </c>
      <c r="D1367" s="107">
        <f>'1_入力シート【基本情報】'!$BD$520</f>
        <v>0</v>
      </c>
      <c r="E1367" s="564">
        <f>'1_入力シート【基本情報】'!$BD$520</f>
        <v>0</v>
      </c>
      <c r="F1367" s="564" t="str">
        <f t="shared" si="234"/>
        <v>0</v>
      </c>
      <c r="G1367" s="24"/>
      <c r="H1367" s="565">
        <v>23</v>
      </c>
      <c r="I1367" s="334" t="s">
        <v>33</v>
      </c>
      <c r="J1367" s="357" t="s">
        <v>1407</v>
      </c>
      <c r="K1367" s="322" t="s">
        <v>2173</v>
      </c>
      <c r="L1367" s="358" t="s">
        <v>1407</v>
      </c>
      <c r="M1367" s="321" t="s">
        <v>1556</v>
      </c>
      <c r="N1367" s="358" t="s">
        <v>1407</v>
      </c>
      <c r="O1367" s="326" t="s">
        <v>2029</v>
      </c>
      <c r="P1367" s="332"/>
      <c r="Q1367" s="363"/>
      <c r="R1367" s="364"/>
      <c r="S1367" s="364"/>
      <c r="T1367" s="382" t="str">
        <f t="shared" si="229"/>
        <v>23調査結果-上記1から7に記載のない事項-9行目-改善策の具体的内容等</v>
      </c>
      <c r="V1367" s="202"/>
      <c r="W1367" s="202"/>
      <c r="X1367" s="202"/>
    </row>
    <row r="1368" spans="1:28" ht="19">
      <c r="B1368" s="107">
        <f>'1_入力シート【基本情報】'!$BS$520</f>
        <v>0</v>
      </c>
      <c r="C1368" s="493" t="str">
        <f t="shared" ref="C1368:E1369" si="237">ASC($D1368)</f>
        <v>0</v>
      </c>
      <c r="D1368" s="107">
        <f>'1_入力シート【基本情報】'!$BS$520</f>
        <v>0</v>
      </c>
      <c r="E1368" s="7" t="str">
        <f t="shared" si="237"/>
        <v>0</v>
      </c>
      <c r="F1368" s="7" t="str">
        <f t="shared" si="234"/>
        <v>0</v>
      </c>
      <c r="G1368" s="24"/>
      <c r="H1368" s="565">
        <v>23</v>
      </c>
      <c r="I1368" s="334" t="s">
        <v>33</v>
      </c>
      <c r="J1368" s="357" t="s">
        <v>1407</v>
      </c>
      <c r="K1368" s="322" t="s">
        <v>2173</v>
      </c>
      <c r="L1368" s="358" t="s">
        <v>1407</v>
      </c>
      <c r="M1368" s="321" t="s">
        <v>1556</v>
      </c>
      <c r="N1368" s="358" t="s">
        <v>1407</v>
      </c>
      <c r="O1368" s="326" t="s">
        <v>387</v>
      </c>
      <c r="P1368" s="332" t="s">
        <v>1879</v>
      </c>
      <c r="Q1368" s="363" t="s">
        <v>1966</v>
      </c>
      <c r="R1368" s="203"/>
      <c r="S1368" s="203"/>
      <c r="T1368" s="382" t="str">
        <f t="shared" si="229"/>
        <v>23調査結果-上記1から7に記載のない事項-9行目-改善（予定）年月-年（令和）</v>
      </c>
      <c r="V1368" s="202"/>
      <c r="W1368" s="202"/>
      <c r="X1368" s="202"/>
    </row>
    <row r="1369" spans="1:28" ht="19">
      <c r="B1369" s="107">
        <f>'1_入力シート【基本情報】'!$BV$520</f>
        <v>0</v>
      </c>
      <c r="C1369" s="493" t="str">
        <f t="shared" si="237"/>
        <v>0</v>
      </c>
      <c r="D1369" s="107">
        <f>'1_入力シート【基本情報】'!$BV$520</f>
        <v>0</v>
      </c>
      <c r="E1369" s="7" t="str">
        <f t="shared" si="237"/>
        <v>0</v>
      </c>
      <c r="F1369" s="7" t="str">
        <f t="shared" si="234"/>
        <v>0</v>
      </c>
      <c r="G1369" s="24"/>
      <c r="H1369" s="565">
        <v>23</v>
      </c>
      <c r="I1369" s="334" t="s">
        <v>33</v>
      </c>
      <c r="J1369" s="357" t="s">
        <v>1407</v>
      </c>
      <c r="K1369" s="322" t="s">
        <v>2173</v>
      </c>
      <c r="L1369" s="358" t="s">
        <v>1407</v>
      </c>
      <c r="M1369" s="321" t="s">
        <v>1556</v>
      </c>
      <c r="N1369" s="358" t="s">
        <v>1407</v>
      </c>
      <c r="O1369" s="326" t="s">
        <v>387</v>
      </c>
      <c r="P1369" s="332" t="s">
        <v>1879</v>
      </c>
      <c r="Q1369" s="363" t="s">
        <v>383</v>
      </c>
      <c r="R1369" s="364"/>
      <c r="S1369" s="364"/>
      <c r="T1369" s="382" t="str">
        <f t="shared" si="229"/>
        <v>23調査結果-上記1から7に記載のない事項-9行目-改善（予定）年月-月</v>
      </c>
      <c r="V1369" s="202"/>
      <c r="W1369" s="202"/>
      <c r="X1369" s="202"/>
    </row>
    <row r="1370" spans="1:28">
      <c r="B1370" s="107">
        <f>'1_入力シート【基本情報】'!$BY$520</f>
        <v>0</v>
      </c>
      <c r="C1370" s="4" t="str">
        <f t="shared" si="231"/>
        <v/>
      </c>
      <c r="D1370" s="107">
        <f>'1_入力シート【基本情報】'!$BY$520</f>
        <v>0</v>
      </c>
      <c r="E1370" s="564">
        <f>'1_入力シート【基本情報】'!$BY$520</f>
        <v>0</v>
      </c>
      <c r="F1370" s="564" t="str">
        <f t="shared" si="234"/>
        <v>0</v>
      </c>
      <c r="G1370" s="24"/>
      <c r="H1370" s="565">
        <v>23</v>
      </c>
      <c r="I1370" s="334" t="s">
        <v>33</v>
      </c>
      <c r="J1370" s="357" t="s">
        <v>1407</v>
      </c>
      <c r="K1370" s="322" t="s">
        <v>2173</v>
      </c>
      <c r="L1370" s="358" t="s">
        <v>1407</v>
      </c>
      <c r="M1370" s="321" t="s">
        <v>1556</v>
      </c>
      <c r="N1370" s="358" t="s">
        <v>1407</v>
      </c>
      <c r="O1370" s="334" t="s">
        <v>387</v>
      </c>
      <c r="P1370" s="332" t="s">
        <v>1879</v>
      </c>
      <c r="Q1370" s="363" t="s">
        <v>675</v>
      </c>
      <c r="R1370" s="364"/>
      <c r="S1370" s="364"/>
      <c r="T1370" s="382" t="str">
        <f t="shared" si="229"/>
        <v>23調査結果-上記1から7に記載のない事項-9行目-改善（予定）年月-未定</v>
      </c>
      <c r="V1370" s="202"/>
      <c r="W1370" s="202"/>
      <c r="X1370" s="202"/>
    </row>
    <row r="1371" spans="1:28">
      <c r="A1371" s="426"/>
      <c r="B1371" s="107"/>
      <c r="C1371" s="4"/>
      <c r="D1371" s="107"/>
      <c r="E1371" s="789">
        <f>'1_入力シート【基本情報】'!$M$521</f>
        <v>0</v>
      </c>
      <c r="F1371" s="789" t="str">
        <f t="shared" si="234"/>
        <v>0</v>
      </c>
      <c r="G1371" s="790"/>
      <c r="H1371" s="693">
        <v>23</v>
      </c>
      <c r="I1371" s="791" t="s">
        <v>33</v>
      </c>
      <c r="J1371" s="695" t="s">
        <v>1879</v>
      </c>
      <c r="K1371" s="696" t="s">
        <v>2173</v>
      </c>
      <c r="L1371" s="697" t="s">
        <v>1879</v>
      </c>
      <c r="M1371" s="698" t="s">
        <v>1557</v>
      </c>
      <c r="N1371" s="697" t="s">
        <v>1879</v>
      </c>
      <c r="O1371" s="791" t="s">
        <v>31</v>
      </c>
      <c r="P1371" s="792"/>
      <c r="Q1371" s="793"/>
      <c r="R1371" s="794"/>
      <c r="S1371" s="794"/>
      <c r="T1371" s="382" t="str">
        <f t="shared" si="229"/>
        <v>23調査結果-上記1から7に記載のない事項-10行目-番号</v>
      </c>
      <c r="U1371" s="382"/>
      <c r="V1371" s="202"/>
      <c r="W1371" s="202"/>
      <c r="X1371" s="202"/>
      <c r="Y1371" s="382"/>
      <c r="Z1371" s="382"/>
      <c r="AA1371" s="382"/>
      <c r="AB1371" s="382"/>
    </row>
    <row r="1372" spans="1:28">
      <c r="A1372" s="426"/>
      <c r="B1372" s="107"/>
      <c r="C1372" s="4"/>
      <c r="D1372" s="107"/>
      <c r="E1372" s="789" t="str">
        <f>'1_入力シート【基本情報】'!$P$521</f>
        <v/>
      </c>
      <c r="F1372" s="789" t="str">
        <f t="shared" si="234"/>
        <v/>
      </c>
      <c r="G1372" s="790"/>
      <c r="H1372" s="693">
        <v>23</v>
      </c>
      <c r="I1372" s="791" t="s">
        <v>33</v>
      </c>
      <c r="J1372" s="695" t="s">
        <v>1879</v>
      </c>
      <c r="K1372" s="696" t="s">
        <v>2173</v>
      </c>
      <c r="L1372" s="697" t="s">
        <v>1879</v>
      </c>
      <c r="M1372" s="698" t="s">
        <v>1557</v>
      </c>
      <c r="N1372" s="697" t="s">
        <v>1879</v>
      </c>
      <c r="O1372" s="791" t="s">
        <v>1007</v>
      </c>
      <c r="P1372" s="792"/>
      <c r="Q1372" s="793"/>
      <c r="R1372" s="794"/>
      <c r="S1372" s="794"/>
      <c r="T1372" s="382" t="str">
        <f t="shared" si="229"/>
        <v>23調査結果-上記1から7に記載のない事項-10行目-調査項目</v>
      </c>
      <c r="U1372" s="382"/>
      <c r="V1372" s="202"/>
      <c r="W1372" s="202"/>
      <c r="X1372" s="202"/>
      <c r="Y1372" s="382"/>
      <c r="Z1372" s="382"/>
      <c r="AA1372" s="382"/>
      <c r="AB1372" s="382"/>
    </row>
    <row r="1373" spans="1:28">
      <c r="B1373" s="107">
        <f>'1_入力シート【基本情報】'!$AF$521</f>
        <v>0</v>
      </c>
      <c r="C1373" s="4" t="str">
        <f t="shared" si="231"/>
        <v/>
      </c>
      <c r="D1373" s="107" t="str">
        <f>C1373</f>
        <v/>
      </c>
      <c r="E1373" s="564" t="str">
        <f>D1373</f>
        <v/>
      </c>
      <c r="F1373" s="564" t="str">
        <f t="shared" si="234"/>
        <v/>
      </c>
      <c r="G1373" s="24"/>
      <c r="H1373" s="565">
        <v>23</v>
      </c>
      <c r="I1373" s="334" t="s">
        <v>33</v>
      </c>
      <c r="J1373" s="357" t="s">
        <v>1407</v>
      </c>
      <c r="K1373" s="322" t="s">
        <v>2173</v>
      </c>
      <c r="L1373" s="358" t="s">
        <v>1407</v>
      </c>
      <c r="M1373" s="321" t="s">
        <v>1557</v>
      </c>
      <c r="N1373" s="358" t="s">
        <v>1407</v>
      </c>
      <c r="O1373" s="334" t="s">
        <v>33</v>
      </c>
      <c r="P1373" s="332"/>
      <c r="Q1373" s="363"/>
      <c r="R1373" s="364"/>
      <c r="S1373" s="364"/>
      <c r="T1373" s="382" t="str">
        <f t="shared" si="229"/>
        <v>23調査結果-上記1から7に記載のない事項-10行目-調査結果</v>
      </c>
      <c r="V1373" s="202"/>
      <c r="W1373" s="202"/>
      <c r="X1373" s="202"/>
    </row>
    <row r="1374" spans="1:28">
      <c r="B1374" s="107">
        <f>'1_入力シート【基本情報】'!$AR$521</f>
        <v>0</v>
      </c>
      <c r="C1374" s="4" t="str">
        <f t="shared" si="231"/>
        <v/>
      </c>
      <c r="D1374" s="107">
        <f>'1_入力シート【基本情報】'!$AR$521</f>
        <v>0</v>
      </c>
      <c r="E1374" s="564">
        <f>'1_入力シート【基本情報】'!$AR$521</f>
        <v>0</v>
      </c>
      <c r="F1374" s="564" t="str">
        <f t="shared" si="234"/>
        <v>0</v>
      </c>
      <c r="G1374" s="24"/>
      <c r="H1374" s="565">
        <v>23</v>
      </c>
      <c r="I1374" s="334" t="s">
        <v>33</v>
      </c>
      <c r="J1374" s="357" t="s">
        <v>1407</v>
      </c>
      <c r="K1374" s="322" t="s">
        <v>2173</v>
      </c>
      <c r="L1374" s="358" t="s">
        <v>1407</v>
      </c>
      <c r="M1374" s="321" t="s">
        <v>1557</v>
      </c>
      <c r="N1374" s="358" t="s">
        <v>1407</v>
      </c>
      <c r="O1374" s="334" t="s">
        <v>30</v>
      </c>
      <c r="P1374" s="332"/>
      <c r="Q1374" s="363"/>
      <c r="R1374" s="364"/>
      <c r="S1374" s="364"/>
      <c r="T1374" s="382" t="str">
        <f t="shared" si="229"/>
        <v>23調査結果-上記1から7に記載のない事項-10行目-調査者番号</v>
      </c>
      <c r="V1374" s="202"/>
      <c r="W1374" s="202"/>
      <c r="X1374" s="202"/>
    </row>
    <row r="1375" spans="1:28">
      <c r="B1375" s="107">
        <f>'1_入力シート【基本情報】'!$AT$521</f>
        <v>0</v>
      </c>
      <c r="C1375" s="4" t="str">
        <f t="shared" si="231"/>
        <v/>
      </c>
      <c r="D1375" s="107">
        <f>'1_入力シート【基本情報】'!$AT$521</f>
        <v>0</v>
      </c>
      <c r="E1375" s="564">
        <f>'1_入力シート【基本情報】'!$AT$521</f>
        <v>0</v>
      </c>
      <c r="F1375" s="564" t="str">
        <f t="shared" si="234"/>
        <v>0</v>
      </c>
      <c r="G1375" s="24"/>
      <c r="H1375" s="565">
        <v>23</v>
      </c>
      <c r="I1375" s="334" t="s">
        <v>33</v>
      </c>
      <c r="J1375" s="357" t="s">
        <v>1407</v>
      </c>
      <c r="K1375" s="322" t="s">
        <v>2173</v>
      </c>
      <c r="L1375" s="358" t="s">
        <v>1407</v>
      </c>
      <c r="M1375" s="321" t="s">
        <v>1557</v>
      </c>
      <c r="N1375" s="358" t="s">
        <v>1407</v>
      </c>
      <c r="O1375" s="326" t="s">
        <v>2028</v>
      </c>
      <c r="P1375" s="327"/>
      <c r="Q1375" s="336"/>
      <c r="R1375" s="364"/>
      <c r="S1375" s="364"/>
      <c r="T1375" s="382" t="str">
        <f t="shared" si="229"/>
        <v>23調査結果-上記1から7に記載のない事項-10行目-指摘の具体的内容等</v>
      </c>
      <c r="V1375" s="202"/>
      <c r="W1375" s="202"/>
      <c r="X1375" s="202"/>
    </row>
    <row r="1376" spans="1:28">
      <c r="B1376" s="107">
        <f>'1_入力シート【基本情報】'!$BD$521</f>
        <v>0</v>
      </c>
      <c r="C1376" s="4" t="str">
        <f t="shared" si="231"/>
        <v/>
      </c>
      <c r="D1376" s="107">
        <f>'1_入力シート【基本情報】'!$BD$521</f>
        <v>0</v>
      </c>
      <c r="E1376" s="564">
        <f>'1_入力シート【基本情報】'!$BD$521</f>
        <v>0</v>
      </c>
      <c r="F1376" s="564" t="str">
        <f t="shared" si="234"/>
        <v>0</v>
      </c>
      <c r="G1376" s="24"/>
      <c r="H1376" s="565">
        <v>23</v>
      </c>
      <c r="I1376" s="334" t="s">
        <v>33</v>
      </c>
      <c r="J1376" s="357" t="s">
        <v>1407</v>
      </c>
      <c r="K1376" s="322" t="s">
        <v>2173</v>
      </c>
      <c r="L1376" s="358" t="s">
        <v>1407</v>
      </c>
      <c r="M1376" s="321" t="s">
        <v>1557</v>
      </c>
      <c r="N1376" s="358" t="s">
        <v>1407</v>
      </c>
      <c r="O1376" s="326" t="s">
        <v>2029</v>
      </c>
      <c r="P1376" s="332"/>
      <c r="Q1376" s="363"/>
      <c r="R1376" s="364"/>
      <c r="S1376" s="364"/>
      <c r="T1376" s="382" t="str">
        <f t="shared" si="229"/>
        <v>23調査結果-上記1から7に記載のない事項-10行目-改善策の具体的内容等</v>
      </c>
      <c r="V1376" s="202"/>
      <c r="W1376" s="202"/>
      <c r="X1376" s="202"/>
    </row>
    <row r="1377" spans="1:28" ht="19">
      <c r="B1377" s="107">
        <f>'1_入力シート【基本情報】'!$BS$521</f>
        <v>0</v>
      </c>
      <c r="C1377" s="493" t="str">
        <f t="shared" ref="C1377:E1378" si="238">ASC($D1377)</f>
        <v>0</v>
      </c>
      <c r="D1377" s="107">
        <f>'1_入力シート【基本情報】'!$BS$521</f>
        <v>0</v>
      </c>
      <c r="E1377" s="7" t="str">
        <f t="shared" si="238"/>
        <v>0</v>
      </c>
      <c r="F1377" s="7" t="str">
        <f t="shared" si="234"/>
        <v>0</v>
      </c>
      <c r="G1377" s="24"/>
      <c r="H1377" s="565">
        <v>23</v>
      </c>
      <c r="I1377" s="334" t="s">
        <v>33</v>
      </c>
      <c r="J1377" s="357" t="s">
        <v>1407</v>
      </c>
      <c r="K1377" s="322" t="s">
        <v>2173</v>
      </c>
      <c r="L1377" s="358" t="s">
        <v>1407</v>
      </c>
      <c r="M1377" s="321" t="s">
        <v>1557</v>
      </c>
      <c r="N1377" s="358" t="s">
        <v>1407</v>
      </c>
      <c r="O1377" s="326" t="s">
        <v>387</v>
      </c>
      <c r="P1377" s="332" t="s">
        <v>1879</v>
      </c>
      <c r="Q1377" s="363" t="s">
        <v>1966</v>
      </c>
      <c r="R1377" s="364"/>
      <c r="S1377" s="364"/>
      <c r="T1377" s="382" t="str">
        <f t="shared" si="229"/>
        <v>23調査結果-上記1から7に記載のない事項-10行目-改善（予定）年月-年（令和）</v>
      </c>
      <c r="V1377" s="202"/>
      <c r="W1377" s="202"/>
      <c r="X1377" s="202"/>
    </row>
    <row r="1378" spans="1:28" ht="19">
      <c r="B1378" s="107">
        <f>'1_入力シート【基本情報】'!$BV$521</f>
        <v>0</v>
      </c>
      <c r="C1378" s="493" t="str">
        <f t="shared" si="238"/>
        <v>0</v>
      </c>
      <c r="D1378" s="107">
        <f>'1_入力シート【基本情報】'!$BV$521</f>
        <v>0</v>
      </c>
      <c r="E1378" s="7" t="str">
        <f t="shared" si="238"/>
        <v>0</v>
      </c>
      <c r="F1378" s="7" t="str">
        <f t="shared" si="234"/>
        <v>0</v>
      </c>
      <c r="G1378" s="24"/>
      <c r="H1378" s="565">
        <v>23</v>
      </c>
      <c r="I1378" s="334" t="s">
        <v>33</v>
      </c>
      <c r="J1378" s="561" t="s">
        <v>1407</v>
      </c>
      <c r="K1378" s="322" t="s">
        <v>2173</v>
      </c>
      <c r="L1378" s="358" t="s">
        <v>1407</v>
      </c>
      <c r="M1378" s="321" t="s">
        <v>1557</v>
      </c>
      <c r="N1378" s="562" t="s">
        <v>1407</v>
      </c>
      <c r="O1378" s="326" t="s">
        <v>387</v>
      </c>
      <c r="P1378" s="332" t="s">
        <v>1879</v>
      </c>
      <c r="Q1378" s="363" t="s">
        <v>383</v>
      </c>
      <c r="R1378" s="203"/>
      <c r="S1378" s="203"/>
      <c r="T1378" s="382" t="str">
        <f t="shared" si="229"/>
        <v>23調査結果-上記1から7に記載のない事項-10行目-改善（予定）年月-月</v>
      </c>
      <c r="V1378" s="202"/>
      <c r="W1378" s="202"/>
      <c r="X1378" s="202"/>
    </row>
    <row r="1379" spans="1:28">
      <c r="B1379" s="107">
        <f>'1_入力シート【基本情報】'!$BY$521</f>
        <v>0</v>
      </c>
      <c r="C1379" s="4" t="str">
        <f t="shared" si="231"/>
        <v/>
      </c>
      <c r="D1379" s="107">
        <f>'1_入力シート【基本情報】'!$BY$521</f>
        <v>0</v>
      </c>
      <c r="E1379" s="564">
        <f>'1_入力シート【基本情報】'!$BY$521</f>
        <v>0</v>
      </c>
      <c r="F1379" s="564" t="str">
        <f t="shared" si="234"/>
        <v>0</v>
      </c>
      <c r="G1379" s="24"/>
      <c r="H1379" s="565">
        <v>23</v>
      </c>
      <c r="I1379" s="334" t="s">
        <v>33</v>
      </c>
      <c r="J1379" s="561" t="s">
        <v>1407</v>
      </c>
      <c r="K1379" s="322" t="s">
        <v>2173</v>
      </c>
      <c r="L1379" s="358" t="s">
        <v>1407</v>
      </c>
      <c r="M1379" s="321" t="s">
        <v>1557</v>
      </c>
      <c r="N1379" s="562" t="s">
        <v>1407</v>
      </c>
      <c r="O1379" s="326" t="s">
        <v>387</v>
      </c>
      <c r="P1379" s="332" t="s">
        <v>1879</v>
      </c>
      <c r="Q1379" s="363" t="s">
        <v>675</v>
      </c>
      <c r="R1379" s="364"/>
      <c r="S1379" s="364"/>
      <c r="T1379" s="382" t="str">
        <f t="shared" si="229"/>
        <v>23調査結果-上記1から7に記載のない事項-10行目-改善（予定）年月-未定</v>
      </c>
      <c r="V1379" s="202"/>
      <c r="W1379" s="202"/>
      <c r="X1379" s="202"/>
    </row>
    <row r="1380" spans="1:28">
      <c r="A1380" s="426"/>
      <c r="B1380" s="107"/>
      <c r="C1380" s="4"/>
      <c r="D1380" s="107"/>
      <c r="E1380" s="789">
        <f>'1_入力シート【基本情報】'!$M$522</f>
        <v>0</v>
      </c>
      <c r="F1380" s="789" t="str">
        <f t="shared" si="234"/>
        <v>0</v>
      </c>
      <c r="G1380" s="790"/>
      <c r="H1380" s="693">
        <v>23</v>
      </c>
      <c r="I1380" s="791" t="s">
        <v>33</v>
      </c>
      <c r="J1380" s="695" t="s">
        <v>1879</v>
      </c>
      <c r="K1380" s="696" t="s">
        <v>2173</v>
      </c>
      <c r="L1380" s="697" t="s">
        <v>1879</v>
      </c>
      <c r="M1380" s="698" t="s">
        <v>3361</v>
      </c>
      <c r="N1380" s="697" t="s">
        <v>1879</v>
      </c>
      <c r="O1380" s="791" t="s">
        <v>31</v>
      </c>
      <c r="P1380" s="792"/>
      <c r="Q1380" s="793"/>
      <c r="R1380" s="794"/>
      <c r="S1380" s="794"/>
      <c r="T1380" s="382" t="str">
        <f t="shared" si="229"/>
        <v>23調査結果-上記1から7に記載のない事項-11行目-番号</v>
      </c>
      <c r="U1380" s="382"/>
      <c r="V1380" s="202"/>
      <c r="W1380" s="202"/>
      <c r="X1380" s="202"/>
      <c r="Y1380" s="382"/>
      <c r="Z1380" s="382"/>
      <c r="AA1380" s="382"/>
      <c r="AB1380" s="382"/>
    </row>
    <row r="1381" spans="1:28">
      <c r="A1381" s="426"/>
      <c r="B1381" s="107"/>
      <c r="C1381" s="4"/>
      <c r="D1381" s="107"/>
      <c r="E1381" s="789" t="str">
        <f>'1_入力シート【基本情報】'!$P$522</f>
        <v/>
      </c>
      <c r="F1381" s="789" t="str">
        <f t="shared" si="234"/>
        <v/>
      </c>
      <c r="G1381" s="790"/>
      <c r="H1381" s="693">
        <v>23</v>
      </c>
      <c r="I1381" s="791" t="s">
        <v>33</v>
      </c>
      <c r="J1381" s="695" t="s">
        <v>1879</v>
      </c>
      <c r="K1381" s="696" t="s">
        <v>2173</v>
      </c>
      <c r="L1381" s="697" t="s">
        <v>1879</v>
      </c>
      <c r="M1381" s="698" t="s">
        <v>3361</v>
      </c>
      <c r="N1381" s="697" t="s">
        <v>1879</v>
      </c>
      <c r="O1381" s="791" t="s">
        <v>1007</v>
      </c>
      <c r="P1381" s="792"/>
      <c r="Q1381" s="793"/>
      <c r="R1381" s="794"/>
      <c r="S1381" s="794"/>
      <c r="T1381" s="382" t="str">
        <f t="shared" si="229"/>
        <v>23調査結果-上記1から7に記載のない事項-11行目-調査項目</v>
      </c>
      <c r="U1381" s="382"/>
      <c r="V1381" s="202"/>
      <c r="W1381" s="202"/>
      <c r="X1381" s="202"/>
      <c r="Y1381" s="382"/>
      <c r="Z1381" s="382"/>
      <c r="AA1381" s="382"/>
      <c r="AB1381" s="382"/>
    </row>
    <row r="1382" spans="1:28">
      <c r="B1382" s="787">
        <f>'1_入力シート【基本情報】'!$AF$522</f>
        <v>0</v>
      </c>
      <c r="C1382" s="788" t="str">
        <f t="shared" ref="C1382:C1385" si="239">MID(B1382,2,14)</f>
        <v/>
      </c>
      <c r="D1382" s="787" t="str">
        <f>C1382</f>
        <v/>
      </c>
      <c r="E1382" s="789" t="str">
        <f>D1382</f>
        <v/>
      </c>
      <c r="F1382" s="789" t="str">
        <f t="shared" si="234"/>
        <v/>
      </c>
      <c r="G1382" s="790"/>
      <c r="H1382" s="693">
        <v>23</v>
      </c>
      <c r="I1382" s="791" t="s">
        <v>33</v>
      </c>
      <c r="J1382" s="695" t="s">
        <v>1407</v>
      </c>
      <c r="K1382" s="696" t="s">
        <v>2173</v>
      </c>
      <c r="L1382" s="697" t="s">
        <v>1407</v>
      </c>
      <c r="M1382" s="698" t="s">
        <v>3361</v>
      </c>
      <c r="N1382" s="697" t="s">
        <v>1407</v>
      </c>
      <c r="O1382" s="791" t="s">
        <v>33</v>
      </c>
      <c r="P1382" s="792"/>
      <c r="Q1382" s="793"/>
      <c r="R1382" s="794"/>
      <c r="S1382" s="794"/>
      <c r="T1382" s="382" t="str">
        <f t="shared" si="229"/>
        <v>23調査結果-上記1から7に記載のない事項-11行目-調査結果</v>
      </c>
      <c r="U1382" s="382"/>
      <c r="V1382" s="202"/>
      <c r="W1382" s="202"/>
      <c r="X1382" s="202"/>
      <c r="Y1382" s="382"/>
      <c r="Z1382" s="382"/>
      <c r="AA1382" s="382"/>
      <c r="AB1382" s="382"/>
    </row>
    <row r="1383" spans="1:28">
      <c r="B1383" s="789">
        <f>'1_入力シート【基本情報】'!$AR$522</f>
        <v>0</v>
      </c>
      <c r="C1383" s="788" t="str">
        <f t="shared" si="239"/>
        <v/>
      </c>
      <c r="D1383" s="789">
        <f>'1_入力シート【基本情報】'!$AR$522</f>
        <v>0</v>
      </c>
      <c r="E1383" s="789">
        <f>'1_入力シート【基本情報】'!$AR$522</f>
        <v>0</v>
      </c>
      <c r="F1383" s="789" t="str">
        <f t="shared" si="234"/>
        <v>0</v>
      </c>
      <c r="G1383" s="790"/>
      <c r="H1383" s="693">
        <v>23</v>
      </c>
      <c r="I1383" s="791" t="s">
        <v>33</v>
      </c>
      <c r="J1383" s="695" t="s">
        <v>1407</v>
      </c>
      <c r="K1383" s="696" t="s">
        <v>2173</v>
      </c>
      <c r="L1383" s="697" t="s">
        <v>1407</v>
      </c>
      <c r="M1383" s="698" t="s">
        <v>3361</v>
      </c>
      <c r="N1383" s="697" t="s">
        <v>1407</v>
      </c>
      <c r="O1383" s="791" t="s">
        <v>30</v>
      </c>
      <c r="P1383" s="792"/>
      <c r="Q1383" s="793"/>
      <c r="R1383" s="794"/>
      <c r="S1383" s="794"/>
      <c r="T1383" s="382" t="str">
        <f t="shared" si="229"/>
        <v>23調査結果-上記1から7に記載のない事項-11行目-調査者番号</v>
      </c>
      <c r="U1383" s="382"/>
      <c r="V1383" s="202"/>
      <c r="W1383" s="202"/>
      <c r="X1383" s="202"/>
      <c r="Y1383" s="382"/>
      <c r="Z1383" s="382"/>
      <c r="AA1383" s="382"/>
      <c r="AB1383" s="382"/>
    </row>
    <row r="1384" spans="1:28">
      <c r="B1384" s="691">
        <f>'1_入力シート【基本情報】'!$AT$522</f>
        <v>0</v>
      </c>
      <c r="C1384" s="788" t="str">
        <f t="shared" si="239"/>
        <v/>
      </c>
      <c r="D1384" s="798">
        <f>'1_入力シート【基本情報】'!$AT$522</f>
        <v>0</v>
      </c>
      <c r="E1384" s="798">
        <f>'1_入力シート【基本情報】'!$AT$522</f>
        <v>0</v>
      </c>
      <c r="F1384" s="798" t="str">
        <f t="shared" si="234"/>
        <v>0</v>
      </c>
      <c r="G1384" s="790"/>
      <c r="H1384" s="693">
        <v>23</v>
      </c>
      <c r="I1384" s="791" t="s">
        <v>33</v>
      </c>
      <c r="J1384" s="695" t="s">
        <v>1407</v>
      </c>
      <c r="K1384" s="696" t="s">
        <v>2173</v>
      </c>
      <c r="L1384" s="697" t="s">
        <v>1407</v>
      </c>
      <c r="M1384" s="698" t="s">
        <v>3361</v>
      </c>
      <c r="N1384" s="697" t="s">
        <v>1407</v>
      </c>
      <c r="O1384" s="694" t="s">
        <v>2028</v>
      </c>
      <c r="P1384" s="699"/>
      <c r="Q1384" s="700"/>
      <c r="R1384" s="794"/>
      <c r="S1384" s="794"/>
      <c r="T1384" s="382" t="str">
        <f t="shared" ref="T1384:T1445" si="240">CONCATENATE(H1384,I1384,J1384,K1384,L1384,M1384,N1384,O1384,P1384,Q1384)</f>
        <v>23調査結果-上記1から7に記載のない事項-11行目-指摘の具体的内容等</v>
      </c>
      <c r="U1384" s="382"/>
      <c r="V1384" s="202"/>
      <c r="W1384" s="202"/>
      <c r="X1384" s="202"/>
      <c r="Y1384" s="382"/>
      <c r="Z1384" s="382"/>
      <c r="AA1384" s="382"/>
      <c r="AB1384" s="382"/>
    </row>
    <row r="1385" spans="1:28">
      <c r="B1385" s="691">
        <f>'1_入力シート【基本情報】'!$BD$522</f>
        <v>0</v>
      </c>
      <c r="C1385" s="788" t="str">
        <f t="shared" si="239"/>
        <v/>
      </c>
      <c r="D1385" s="798">
        <f>'1_入力シート【基本情報】'!$BD$522</f>
        <v>0</v>
      </c>
      <c r="E1385" s="798">
        <f>'1_入力シート【基本情報】'!$BD$522</f>
        <v>0</v>
      </c>
      <c r="F1385" s="798" t="str">
        <f t="shared" si="234"/>
        <v>0</v>
      </c>
      <c r="G1385" s="790"/>
      <c r="H1385" s="693">
        <v>23</v>
      </c>
      <c r="I1385" s="791" t="s">
        <v>33</v>
      </c>
      <c r="J1385" s="695" t="s">
        <v>1407</v>
      </c>
      <c r="K1385" s="696" t="s">
        <v>2173</v>
      </c>
      <c r="L1385" s="697" t="s">
        <v>1407</v>
      </c>
      <c r="M1385" s="698" t="s">
        <v>3361</v>
      </c>
      <c r="N1385" s="697" t="s">
        <v>1407</v>
      </c>
      <c r="O1385" s="694" t="s">
        <v>2029</v>
      </c>
      <c r="P1385" s="792"/>
      <c r="Q1385" s="793"/>
      <c r="R1385" s="794"/>
      <c r="S1385" s="794"/>
      <c r="T1385" s="382" t="str">
        <f t="shared" si="240"/>
        <v>23調査結果-上記1から7に記載のない事項-11行目-改善策の具体的内容等</v>
      </c>
      <c r="U1385" s="382"/>
      <c r="V1385" s="202"/>
      <c r="W1385" s="202"/>
      <c r="X1385" s="202"/>
      <c r="Y1385" s="382"/>
      <c r="Z1385" s="382"/>
      <c r="AA1385" s="382"/>
      <c r="AB1385" s="382"/>
    </row>
    <row r="1386" spans="1:28" ht="19">
      <c r="B1386" s="787">
        <f>'1_入力シート【基本情報】'!$BS$522</f>
        <v>0</v>
      </c>
      <c r="C1386" s="795" t="str">
        <f t="shared" ref="C1386:E1387" si="241">ASC($D1386)</f>
        <v>0</v>
      </c>
      <c r="D1386" s="787">
        <f>'1_入力シート【基本情報】'!$BS$522</f>
        <v>0</v>
      </c>
      <c r="E1386" s="790" t="str">
        <f t="shared" si="241"/>
        <v>0</v>
      </c>
      <c r="F1386" s="790" t="str">
        <f t="shared" si="234"/>
        <v>0</v>
      </c>
      <c r="G1386" s="790"/>
      <c r="H1386" s="693">
        <v>23</v>
      </c>
      <c r="I1386" s="791" t="s">
        <v>33</v>
      </c>
      <c r="J1386" s="695" t="s">
        <v>1407</v>
      </c>
      <c r="K1386" s="696" t="s">
        <v>2173</v>
      </c>
      <c r="L1386" s="697" t="s">
        <v>1407</v>
      </c>
      <c r="M1386" s="698" t="s">
        <v>3361</v>
      </c>
      <c r="N1386" s="697" t="s">
        <v>1407</v>
      </c>
      <c r="O1386" s="694" t="s">
        <v>387</v>
      </c>
      <c r="P1386" s="792" t="s">
        <v>1879</v>
      </c>
      <c r="Q1386" s="793" t="s">
        <v>1966</v>
      </c>
      <c r="R1386" s="794"/>
      <c r="S1386" s="794"/>
      <c r="T1386" s="382" t="str">
        <f t="shared" si="240"/>
        <v>23調査結果-上記1から7に記載のない事項-11行目-改善（予定）年月-年（令和）</v>
      </c>
      <c r="U1386" s="382"/>
      <c r="V1386" s="202"/>
      <c r="W1386" s="202"/>
      <c r="X1386" s="202"/>
      <c r="Y1386" s="382"/>
      <c r="Z1386" s="382"/>
      <c r="AA1386" s="382"/>
      <c r="AB1386" s="382"/>
    </row>
    <row r="1387" spans="1:28" ht="19">
      <c r="B1387" s="787">
        <f>'1_入力シート【基本情報】'!$BV$522</f>
        <v>0</v>
      </c>
      <c r="C1387" s="795" t="str">
        <f t="shared" si="241"/>
        <v>0</v>
      </c>
      <c r="D1387" s="787">
        <f>'1_入力シート【基本情報】'!$BV$522</f>
        <v>0</v>
      </c>
      <c r="E1387" s="790" t="str">
        <f t="shared" si="241"/>
        <v>0</v>
      </c>
      <c r="F1387" s="790" t="str">
        <f t="shared" si="234"/>
        <v>0</v>
      </c>
      <c r="G1387" s="790"/>
      <c r="H1387" s="693">
        <v>23</v>
      </c>
      <c r="I1387" s="791" t="s">
        <v>33</v>
      </c>
      <c r="J1387" s="796" t="s">
        <v>1407</v>
      </c>
      <c r="K1387" s="696" t="s">
        <v>2173</v>
      </c>
      <c r="L1387" s="697" t="s">
        <v>1407</v>
      </c>
      <c r="M1387" s="698" t="s">
        <v>3361</v>
      </c>
      <c r="N1387" s="797" t="s">
        <v>1407</v>
      </c>
      <c r="O1387" s="694" t="s">
        <v>387</v>
      </c>
      <c r="P1387" s="792" t="s">
        <v>1879</v>
      </c>
      <c r="Q1387" s="793" t="s">
        <v>383</v>
      </c>
      <c r="R1387" s="701"/>
      <c r="S1387" s="701"/>
      <c r="T1387" s="382" t="str">
        <f t="shared" si="240"/>
        <v>23調査結果-上記1から7に記載のない事項-11行目-改善（予定）年月-月</v>
      </c>
      <c r="U1387" s="382"/>
      <c r="V1387" s="202"/>
      <c r="W1387" s="202"/>
      <c r="X1387" s="202"/>
      <c r="Y1387" s="382"/>
      <c r="Z1387" s="382"/>
      <c r="AA1387" s="382"/>
      <c r="AB1387" s="382"/>
    </row>
    <row r="1388" spans="1:28">
      <c r="B1388" s="789">
        <f>'1_入力シート【基本情報】'!$BY$522</f>
        <v>0</v>
      </c>
      <c r="C1388" s="788" t="str">
        <f t="shared" ref="C1388" si="242">MID(B1388,2,14)</f>
        <v/>
      </c>
      <c r="D1388" s="789">
        <f>'1_入力シート【基本情報】'!$BY$522</f>
        <v>0</v>
      </c>
      <c r="E1388" s="789">
        <f>'1_入力シート【基本情報】'!$BY$522</f>
        <v>0</v>
      </c>
      <c r="F1388" s="789" t="str">
        <f t="shared" si="234"/>
        <v>0</v>
      </c>
      <c r="G1388" s="790"/>
      <c r="H1388" s="693">
        <v>23</v>
      </c>
      <c r="I1388" s="791" t="s">
        <v>33</v>
      </c>
      <c r="J1388" s="796" t="s">
        <v>1407</v>
      </c>
      <c r="K1388" s="696" t="s">
        <v>2173</v>
      </c>
      <c r="L1388" s="697" t="s">
        <v>1407</v>
      </c>
      <c r="M1388" s="698" t="s">
        <v>3361</v>
      </c>
      <c r="N1388" s="797" t="s">
        <v>1407</v>
      </c>
      <c r="O1388" s="694" t="s">
        <v>387</v>
      </c>
      <c r="P1388" s="792" t="s">
        <v>1879</v>
      </c>
      <c r="Q1388" s="793" t="s">
        <v>675</v>
      </c>
      <c r="R1388" s="794"/>
      <c r="S1388" s="794"/>
      <c r="T1388" s="382" t="str">
        <f t="shared" si="240"/>
        <v>23調査結果-上記1から7に記載のない事項-11行目-改善（予定）年月-未定</v>
      </c>
      <c r="U1388" s="382"/>
      <c r="V1388" s="202"/>
      <c r="W1388" s="202"/>
      <c r="X1388" s="202"/>
      <c r="Y1388" s="382"/>
      <c r="Z1388" s="382"/>
      <c r="AA1388" s="382"/>
      <c r="AB1388" s="382"/>
    </row>
    <row r="1389" spans="1:28">
      <c r="A1389" s="426"/>
      <c r="B1389" s="107"/>
      <c r="C1389" s="4"/>
      <c r="D1389" s="107"/>
      <c r="E1389" s="789">
        <f>'1_入力シート【基本情報】'!$M$523</f>
        <v>0</v>
      </c>
      <c r="F1389" s="789" t="str">
        <f t="shared" si="234"/>
        <v>0</v>
      </c>
      <c r="G1389" s="790"/>
      <c r="H1389" s="693">
        <v>23</v>
      </c>
      <c r="I1389" s="791" t="s">
        <v>33</v>
      </c>
      <c r="J1389" s="695" t="s">
        <v>1879</v>
      </c>
      <c r="K1389" s="696" t="s">
        <v>2173</v>
      </c>
      <c r="L1389" s="697" t="s">
        <v>1879</v>
      </c>
      <c r="M1389" s="698" t="s">
        <v>3362</v>
      </c>
      <c r="N1389" s="697" t="s">
        <v>1879</v>
      </c>
      <c r="O1389" s="791" t="s">
        <v>31</v>
      </c>
      <c r="P1389" s="792"/>
      <c r="Q1389" s="793"/>
      <c r="R1389" s="794"/>
      <c r="S1389" s="794"/>
      <c r="T1389" s="382" t="str">
        <f t="shared" si="240"/>
        <v>23調査結果-上記1から7に記載のない事項-12行目-番号</v>
      </c>
      <c r="U1389" s="382"/>
      <c r="V1389" s="202"/>
      <c r="W1389" s="202"/>
      <c r="X1389" s="202"/>
      <c r="Y1389" s="382"/>
      <c r="Z1389" s="382"/>
      <c r="AA1389" s="382"/>
      <c r="AB1389" s="382"/>
    </row>
    <row r="1390" spans="1:28">
      <c r="A1390" s="426"/>
      <c r="B1390" s="107"/>
      <c r="C1390" s="4"/>
      <c r="D1390" s="107"/>
      <c r="E1390" s="789" t="str">
        <f>'1_入力シート【基本情報】'!$P$523</f>
        <v/>
      </c>
      <c r="F1390" s="789" t="str">
        <f t="shared" si="234"/>
        <v/>
      </c>
      <c r="G1390" s="790"/>
      <c r="H1390" s="693">
        <v>23</v>
      </c>
      <c r="I1390" s="791" t="s">
        <v>33</v>
      </c>
      <c r="J1390" s="695" t="s">
        <v>1879</v>
      </c>
      <c r="K1390" s="696" t="s">
        <v>2173</v>
      </c>
      <c r="L1390" s="697" t="s">
        <v>1879</v>
      </c>
      <c r="M1390" s="698" t="s">
        <v>3362</v>
      </c>
      <c r="N1390" s="697" t="s">
        <v>1879</v>
      </c>
      <c r="O1390" s="791" t="s">
        <v>1007</v>
      </c>
      <c r="P1390" s="792"/>
      <c r="Q1390" s="793"/>
      <c r="R1390" s="794"/>
      <c r="S1390" s="794"/>
      <c r="T1390" s="382" t="str">
        <f t="shared" si="240"/>
        <v>23調査結果-上記1から7に記載のない事項-12行目-調査項目</v>
      </c>
      <c r="U1390" s="382"/>
      <c r="V1390" s="202"/>
      <c r="W1390" s="202"/>
      <c r="X1390" s="202"/>
      <c r="Y1390" s="382"/>
      <c r="Z1390" s="382"/>
      <c r="AA1390" s="382"/>
      <c r="AB1390" s="382"/>
    </row>
    <row r="1391" spans="1:28">
      <c r="B1391" s="799">
        <f>'1_入力シート【基本情報】'!$AF$523</f>
        <v>0</v>
      </c>
      <c r="C1391" s="788" t="str">
        <f t="shared" ref="C1391:C1394" si="243">MID(B1391,2,14)</f>
        <v/>
      </c>
      <c r="D1391" s="787" t="str">
        <f>C1391</f>
        <v/>
      </c>
      <c r="E1391" s="789" t="str">
        <f>D1391</f>
        <v/>
      </c>
      <c r="F1391" s="789" t="str">
        <f t="shared" si="234"/>
        <v/>
      </c>
      <c r="G1391" s="790"/>
      <c r="H1391" s="693">
        <v>23</v>
      </c>
      <c r="I1391" s="791" t="s">
        <v>33</v>
      </c>
      <c r="J1391" s="695" t="s">
        <v>1407</v>
      </c>
      <c r="K1391" s="696" t="s">
        <v>2173</v>
      </c>
      <c r="L1391" s="697" t="s">
        <v>1407</v>
      </c>
      <c r="M1391" s="698" t="s">
        <v>3362</v>
      </c>
      <c r="N1391" s="697" t="s">
        <v>1407</v>
      </c>
      <c r="O1391" s="791" t="s">
        <v>33</v>
      </c>
      <c r="P1391" s="792"/>
      <c r="Q1391" s="793"/>
      <c r="R1391" s="794"/>
      <c r="S1391" s="794"/>
      <c r="T1391" s="382" t="str">
        <f t="shared" si="240"/>
        <v>23調査結果-上記1から7に記載のない事項-12行目-調査結果</v>
      </c>
      <c r="U1391" s="382"/>
      <c r="V1391" s="202"/>
      <c r="W1391" s="202"/>
      <c r="X1391" s="202"/>
      <c r="Y1391" s="382"/>
      <c r="Z1391" s="382"/>
      <c r="AA1391" s="382"/>
      <c r="AB1391" s="382"/>
    </row>
    <row r="1392" spans="1:28">
      <c r="B1392" s="691">
        <f>'1_入力シート【基本情報】'!$AR$523</f>
        <v>0</v>
      </c>
      <c r="C1392" s="788" t="str">
        <f t="shared" si="243"/>
        <v/>
      </c>
      <c r="D1392" s="691">
        <f>'1_入力シート【基本情報】'!$AR$523</f>
        <v>0</v>
      </c>
      <c r="E1392" s="691">
        <f>'1_入力シート【基本情報】'!$AR$523</f>
        <v>0</v>
      </c>
      <c r="F1392" s="691" t="str">
        <f t="shared" si="234"/>
        <v>0</v>
      </c>
      <c r="G1392" s="790"/>
      <c r="H1392" s="693">
        <v>23</v>
      </c>
      <c r="I1392" s="791" t="s">
        <v>33</v>
      </c>
      <c r="J1392" s="695" t="s">
        <v>1407</v>
      </c>
      <c r="K1392" s="696" t="s">
        <v>2173</v>
      </c>
      <c r="L1392" s="697" t="s">
        <v>1407</v>
      </c>
      <c r="M1392" s="698" t="s">
        <v>3362</v>
      </c>
      <c r="N1392" s="697" t="s">
        <v>1407</v>
      </c>
      <c r="O1392" s="791" t="s">
        <v>30</v>
      </c>
      <c r="P1392" s="792"/>
      <c r="Q1392" s="793"/>
      <c r="R1392" s="794"/>
      <c r="S1392" s="794"/>
      <c r="T1392" s="382" t="str">
        <f t="shared" si="240"/>
        <v>23調査結果-上記1から7に記載のない事項-12行目-調査者番号</v>
      </c>
      <c r="U1392" s="382"/>
      <c r="V1392" s="202"/>
      <c r="W1392" s="202"/>
      <c r="X1392" s="202"/>
      <c r="Y1392" s="382"/>
      <c r="Z1392" s="382"/>
      <c r="AA1392" s="382"/>
      <c r="AB1392" s="382"/>
    </row>
    <row r="1393" spans="1:28">
      <c r="B1393" s="798">
        <f>'1_入力シート【基本情報】'!$AT$523</f>
        <v>0</v>
      </c>
      <c r="C1393" s="788" t="str">
        <f t="shared" si="243"/>
        <v/>
      </c>
      <c r="D1393" s="798">
        <f>'1_入力シート【基本情報】'!$AT$523</f>
        <v>0</v>
      </c>
      <c r="E1393" s="798">
        <f>'1_入力シート【基本情報】'!$AT$523</f>
        <v>0</v>
      </c>
      <c r="F1393" s="798" t="str">
        <f t="shared" si="234"/>
        <v>0</v>
      </c>
      <c r="G1393" s="790"/>
      <c r="H1393" s="693">
        <v>23</v>
      </c>
      <c r="I1393" s="791" t="s">
        <v>33</v>
      </c>
      <c r="J1393" s="695" t="s">
        <v>1407</v>
      </c>
      <c r="K1393" s="696" t="s">
        <v>2173</v>
      </c>
      <c r="L1393" s="697" t="s">
        <v>1407</v>
      </c>
      <c r="M1393" s="698" t="s">
        <v>3362</v>
      </c>
      <c r="N1393" s="697" t="s">
        <v>1407</v>
      </c>
      <c r="O1393" s="694" t="s">
        <v>2028</v>
      </c>
      <c r="P1393" s="699"/>
      <c r="Q1393" s="700"/>
      <c r="R1393" s="794"/>
      <c r="S1393" s="794"/>
      <c r="T1393" s="382" t="str">
        <f t="shared" ref="T1393:T1401" si="244">CONCATENATE(H1393,I1393,J1393,K1393,L1393,M1393,N1393,O1393,P1393,Q1393)</f>
        <v>23調査結果-上記1から7に記載のない事項-12行目-指摘の具体的内容等</v>
      </c>
      <c r="U1393" s="382"/>
      <c r="V1393" s="202"/>
      <c r="W1393" s="202"/>
      <c r="X1393" s="202"/>
      <c r="Y1393" s="382"/>
      <c r="Z1393" s="382"/>
      <c r="AA1393" s="382"/>
      <c r="AB1393" s="382"/>
    </row>
    <row r="1394" spans="1:28">
      <c r="B1394" s="798">
        <f>'1_入力シート【基本情報】'!$BD$523</f>
        <v>0</v>
      </c>
      <c r="C1394" s="788" t="str">
        <f t="shared" si="243"/>
        <v/>
      </c>
      <c r="D1394" s="798">
        <f>'1_入力シート【基本情報】'!$BD$523</f>
        <v>0</v>
      </c>
      <c r="E1394" s="798">
        <f>'1_入力シート【基本情報】'!$BD$523</f>
        <v>0</v>
      </c>
      <c r="F1394" s="798" t="str">
        <f t="shared" si="234"/>
        <v>0</v>
      </c>
      <c r="G1394" s="790"/>
      <c r="H1394" s="693">
        <v>23</v>
      </c>
      <c r="I1394" s="791" t="s">
        <v>33</v>
      </c>
      <c r="J1394" s="695" t="s">
        <v>1407</v>
      </c>
      <c r="K1394" s="696" t="s">
        <v>2173</v>
      </c>
      <c r="L1394" s="697" t="s">
        <v>1407</v>
      </c>
      <c r="M1394" s="698" t="s">
        <v>3362</v>
      </c>
      <c r="N1394" s="697" t="s">
        <v>1407</v>
      </c>
      <c r="O1394" s="694" t="s">
        <v>2029</v>
      </c>
      <c r="P1394" s="792"/>
      <c r="Q1394" s="793"/>
      <c r="R1394" s="794"/>
      <c r="S1394" s="794"/>
      <c r="T1394" s="382" t="str">
        <f t="shared" si="244"/>
        <v>23調査結果-上記1から7に記載のない事項-12行目-改善策の具体的内容等</v>
      </c>
      <c r="U1394" s="382"/>
      <c r="V1394" s="202"/>
      <c r="W1394" s="202"/>
      <c r="X1394" s="202"/>
      <c r="Y1394" s="382"/>
      <c r="Z1394" s="382"/>
      <c r="AA1394" s="382"/>
      <c r="AB1394" s="382"/>
    </row>
    <row r="1395" spans="1:28" ht="19">
      <c r="B1395" s="799">
        <f>'1_入力シート【基本情報】'!$BS$523</f>
        <v>0</v>
      </c>
      <c r="C1395" s="795" t="str">
        <f t="shared" ref="C1395:E1396" si="245">ASC($D1395)</f>
        <v>0</v>
      </c>
      <c r="D1395" s="799">
        <f>'1_入力シート【基本情報】'!$BS$523</f>
        <v>0</v>
      </c>
      <c r="E1395" s="790" t="str">
        <f t="shared" si="245"/>
        <v>0</v>
      </c>
      <c r="F1395" s="790" t="str">
        <f t="shared" si="234"/>
        <v>0</v>
      </c>
      <c r="G1395" s="790"/>
      <c r="H1395" s="693">
        <v>23</v>
      </c>
      <c r="I1395" s="791" t="s">
        <v>33</v>
      </c>
      <c r="J1395" s="695" t="s">
        <v>1407</v>
      </c>
      <c r="K1395" s="696" t="s">
        <v>2173</v>
      </c>
      <c r="L1395" s="697" t="s">
        <v>1407</v>
      </c>
      <c r="M1395" s="698" t="s">
        <v>3362</v>
      </c>
      <c r="N1395" s="697" t="s">
        <v>1407</v>
      </c>
      <c r="O1395" s="694" t="s">
        <v>387</v>
      </c>
      <c r="P1395" s="792" t="s">
        <v>1879</v>
      </c>
      <c r="Q1395" s="793" t="s">
        <v>1966</v>
      </c>
      <c r="R1395" s="794"/>
      <c r="S1395" s="794"/>
      <c r="T1395" s="382" t="str">
        <f t="shared" si="244"/>
        <v>23調査結果-上記1から7に記載のない事項-12行目-改善（予定）年月-年（令和）</v>
      </c>
      <c r="U1395" s="382"/>
      <c r="V1395" s="202"/>
      <c r="W1395" s="202"/>
      <c r="X1395" s="202"/>
      <c r="Y1395" s="382"/>
      <c r="Z1395" s="382"/>
      <c r="AA1395" s="382"/>
      <c r="AB1395" s="382"/>
    </row>
    <row r="1396" spans="1:28" ht="19">
      <c r="B1396" s="799">
        <f>'1_入力シート【基本情報】'!$BV$523</f>
        <v>0</v>
      </c>
      <c r="C1396" s="795" t="str">
        <f t="shared" si="245"/>
        <v>0</v>
      </c>
      <c r="D1396" s="799">
        <f>'1_入力シート【基本情報】'!$BV$523</f>
        <v>0</v>
      </c>
      <c r="E1396" s="790" t="str">
        <f t="shared" si="245"/>
        <v>0</v>
      </c>
      <c r="F1396" s="790" t="str">
        <f t="shared" si="234"/>
        <v>0</v>
      </c>
      <c r="G1396" s="790"/>
      <c r="H1396" s="693">
        <v>23</v>
      </c>
      <c r="I1396" s="791" t="s">
        <v>33</v>
      </c>
      <c r="J1396" s="796" t="s">
        <v>1407</v>
      </c>
      <c r="K1396" s="696" t="s">
        <v>2173</v>
      </c>
      <c r="L1396" s="697" t="s">
        <v>1407</v>
      </c>
      <c r="M1396" s="698" t="s">
        <v>3362</v>
      </c>
      <c r="N1396" s="797" t="s">
        <v>1407</v>
      </c>
      <c r="O1396" s="694" t="s">
        <v>387</v>
      </c>
      <c r="P1396" s="792" t="s">
        <v>1879</v>
      </c>
      <c r="Q1396" s="793" t="s">
        <v>383</v>
      </c>
      <c r="R1396" s="701"/>
      <c r="S1396" s="701"/>
      <c r="T1396" s="382" t="str">
        <f t="shared" si="244"/>
        <v>23調査結果-上記1から7に記載のない事項-12行目-改善（予定）年月-月</v>
      </c>
      <c r="U1396" s="382"/>
      <c r="V1396" s="202"/>
      <c r="W1396" s="202"/>
      <c r="X1396" s="202"/>
      <c r="Y1396" s="382"/>
      <c r="Z1396" s="382"/>
      <c r="AA1396" s="382"/>
      <c r="AB1396" s="382"/>
    </row>
    <row r="1397" spans="1:28">
      <c r="B1397" s="691">
        <f>'1_入力シート【基本情報】'!$BY$523</f>
        <v>0</v>
      </c>
      <c r="C1397" s="788" t="str">
        <f t="shared" ref="C1397" si="246">MID(B1397,2,14)</f>
        <v/>
      </c>
      <c r="D1397" s="691">
        <f>'1_入力シート【基本情報】'!$BY$523</f>
        <v>0</v>
      </c>
      <c r="E1397" s="691">
        <f>'1_入力シート【基本情報】'!$BY$523</f>
        <v>0</v>
      </c>
      <c r="F1397" s="691" t="str">
        <f t="shared" si="234"/>
        <v>0</v>
      </c>
      <c r="G1397" s="790"/>
      <c r="H1397" s="693">
        <v>23</v>
      </c>
      <c r="I1397" s="791" t="s">
        <v>33</v>
      </c>
      <c r="J1397" s="796" t="s">
        <v>1407</v>
      </c>
      <c r="K1397" s="696" t="s">
        <v>2173</v>
      </c>
      <c r="L1397" s="697" t="s">
        <v>1407</v>
      </c>
      <c r="M1397" s="698" t="s">
        <v>3362</v>
      </c>
      <c r="N1397" s="797" t="s">
        <v>1407</v>
      </c>
      <c r="O1397" s="694" t="s">
        <v>387</v>
      </c>
      <c r="P1397" s="792" t="s">
        <v>1879</v>
      </c>
      <c r="Q1397" s="793" t="s">
        <v>675</v>
      </c>
      <c r="R1397" s="794"/>
      <c r="S1397" s="794"/>
      <c r="T1397" s="382" t="str">
        <f t="shared" si="244"/>
        <v>23調査結果-上記1から7に記載のない事項-12行目-改善（予定）年月-未定</v>
      </c>
      <c r="U1397" s="382"/>
      <c r="V1397" s="202"/>
      <c r="W1397" s="202"/>
      <c r="X1397" s="202"/>
      <c r="Y1397" s="382"/>
      <c r="Z1397" s="382"/>
      <c r="AA1397" s="382"/>
      <c r="AB1397" s="382"/>
    </row>
    <row r="1398" spans="1:28">
      <c r="A1398" s="426"/>
      <c r="B1398" s="502"/>
      <c r="C1398" s="4"/>
      <c r="D1398" s="107"/>
      <c r="E1398" s="789">
        <f>'1_入力シート【基本情報】'!$M$524</f>
        <v>0</v>
      </c>
      <c r="F1398" s="789" t="str">
        <f t="shared" si="234"/>
        <v>0</v>
      </c>
      <c r="G1398" s="790"/>
      <c r="H1398" s="693">
        <v>23</v>
      </c>
      <c r="I1398" s="791" t="s">
        <v>33</v>
      </c>
      <c r="J1398" s="695" t="s">
        <v>1879</v>
      </c>
      <c r="K1398" s="696" t="s">
        <v>2173</v>
      </c>
      <c r="L1398" s="697" t="s">
        <v>1879</v>
      </c>
      <c r="M1398" s="698" t="s">
        <v>3363</v>
      </c>
      <c r="N1398" s="697" t="s">
        <v>1879</v>
      </c>
      <c r="O1398" s="791" t="s">
        <v>31</v>
      </c>
      <c r="P1398" s="792"/>
      <c r="Q1398" s="793"/>
      <c r="R1398" s="794"/>
      <c r="S1398" s="794"/>
      <c r="T1398" s="382" t="str">
        <f t="shared" si="244"/>
        <v>23調査結果-上記1から7に記載のない事項-13行目-番号</v>
      </c>
      <c r="U1398" s="382"/>
      <c r="V1398" s="202"/>
      <c r="W1398" s="202"/>
      <c r="X1398" s="202"/>
      <c r="Y1398" s="382"/>
      <c r="Z1398" s="382"/>
      <c r="AA1398" s="382"/>
      <c r="AB1398" s="382"/>
    </row>
    <row r="1399" spans="1:28">
      <c r="A1399" s="426"/>
      <c r="B1399" s="502"/>
      <c r="C1399" s="4"/>
      <c r="D1399" s="107"/>
      <c r="E1399" s="789" t="str">
        <f>'1_入力シート【基本情報】'!$P$524</f>
        <v/>
      </c>
      <c r="F1399" s="789" t="str">
        <f t="shared" si="234"/>
        <v/>
      </c>
      <c r="G1399" s="790"/>
      <c r="H1399" s="693">
        <v>23</v>
      </c>
      <c r="I1399" s="791" t="s">
        <v>33</v>
      </c>
      <c r="J1399" s="695" t="s">
        <v>1879</v>
      </c>
      <c r="K1399" s="696" t="s">
        <v>2173</v>
      </c>
      <c r="L1399" s="697" t="s">
        <v>1879</v>
      </c>
      <c r="M1399" s="698" t="s">
        <v>3363</v>
      </c>
      <c r="N1399" s="697" t="s">
        <v>1879</v>
      </c>
      <c r="O1399" s="791" t="s">
        <v>1007</v>
      </c>
      <c r="P1399" s="792"/>
      <c r="Q1399" s="793"/>
      <c r="R1399" s="794"/>
      <c r="S1399" s="794"/>
      <c r="T1399" s="382" t="str">
        <f t="shared" si="244"/>
        <v>23調査結果-上記1から7に記載のない事項-13行目-調査項目</v>
      </c>
      <c r="U1399" s="382"/>
      <c r="V1399" s="202"/>
      <c r="W1399" s="202"/>
      <c r="X1399" s="202"/>
      <c r="Y1399" s="382"/>
      <c r="Z1399" s="382"/>
      <c r="AA1399" s="382"/>
      <c r="AB1399" s="382"/>
    </row>
    <row r="1400" spans="1:28">
      <c r="B1400" s="799">
        <f>'1_入力シート【基本情報】'!$AF$524</f>
        <v>0</v>
      </c>
      <c r="C1400" s="788" t="str">
        <f t="shared" ref="C1400:C1403" si="247">MID(B1400,2,14)</f>
        <v/>
      </c>
      <c r="D1400" s="787" t="str">
        <f>C1400</f>
        <v/>
      </c>
      <c r="E1400" s="789" t="str">
        <f>D1400</f>
        <v/>
      </c>
      <c r="F1400" s="789" t="str">
        <f t="shared" si="234"/>
        <v/>
      </c>
      <c r="G1400" s="790"/>
      <c r="H1400" s="693">
        <v>23</v>
      </c>
      <c r="I1400" s="791" t="s">
        <v>33</v>
      </c>
      <c r="J1400" s="695" t="s">
        <v>1407</v>
      </c>
      <c r="K1400" s="696" t="s">
        <v>2173</v>
      </c>
      <c r="L1400" s="697" t="s">
        <v>1407</v>
      </c>
      <c r="M1400" s="698" t="s">
        <v>3363</v>
      </c>
      <c r="N1400" s="697" t="s">
        <v>1407</v>
      </c>
      <c r="O1400" s="791" t="s">
        <v>33</v>
      </c>
      <c r="P1400" s="792"/>
      <c r="Q1400" s="793"/>
      <c r="R1400" s="794"/>
      <c r="S1400" s="794"/>
      <c r="T1400" s="382" t="str">
        <f t="shared" si="244"/>
        <v>23調査結果-上記1から7に記載のない事項-13行目-調査結果</v>
      </c>
      <c r="U1400" s="382"/>
      <c r="V1400" s="202"/>
      <c r="W1400" s="202"/>
      <c r="X1400" s="202"/>
      <c r="Y1400" s="382"/>
      <c r="Z1400" s="382"/>
      <c r="AA1400" s="382"/>
      <c r="AB1400" s="382"/>
    </row>
    <row r="1401" spans="1:28">
      <c r="B1401" s="691">
        <f>'1_入力シート【基本情報】'!$AR$524</f>
        <v>0</v>
      </c>
      <c r="C1401" s="788" t="str">
        <f t="shared" si="247"/>
        <v/>
      </c>
      <c r="D1401" s="691">
        <f>'1_入力シート【基本情報】'!$AR$524</f>
        <v>0</v>
      </c>
      <c r="E1401" s="691">
        <f>'1_入力シート【基本情報】'!$AR$524</f>
        <v>0</v>
      </c>
      <c r="F1401" s="691" t="str">
        <f t="shared" si="234"/>
        <v>0</v>
      </c>
      <c r="G1401" s="790"/>
      <c r="H1401" s="693">
        <v>23</v>
      </c>
      <c r="I1401" s="791" t="s">
        <v>33</v>
      </c>
      <c r="J1401" s="695" t="s">
        <v>1407</v>
      </c>
      <c r="K1401" s="696" t="s">
        <v>2173</v>
      </c>
      <c r="L1401" s="697" t="s">
        <v>1407</v>
      </c>
      <c r="M1401" s="698" t="s">
        <v>3363</v>
      </c>
      <c r="N1401" s="697" t="s">
        <v>1407</v>
      </c>
      <c r="O1401" s="791" t="s">
        <v>30</v>
      </c>
      <c r="P1401" s="792"/>
      <c r="Q1401" s="793"/>
      <c r="R1401" s="794"/>
      <c r="S1401" s="794"/>
      <c r="T1401" s="382" t="str">
        <f t="shared" si="244"/>
        <v>23調査結果-上記1から7に記載のない事項-13行目-調査者番号</v>
      </c>
      <c r="U1401" s="382"/>
      <c r="V1401" s="202"/>
      <c r="W1401" s="202"/>
      <c r="X1401" s="202"/>
      <c r="Y1401" s="382"/>
      <c r="Z1401" s="382"/>
      <c r="AA1401" s="382"/>
      <c r="AB1401" s="382"/>
    </row>
    <row r="1402" spans="1:28">
      <c r="B1402" s="798">
        <f>'1_入力シート【基本情報】'!$AT$524</f>
        <v>0</v>
      </c>
      <c r="C1402" s="788" t="str">
        <f t="shared" si="247"/>
        <v/>
      </c>
      <c r="D1402" s="798">
        <f>'1_入力シート【基本情報】'!$AT$524</f>
        <v>0</v>
      </c>
      <c r="E1402" s="798">
        <f>'1_入力シート【基本情報】'!$AT$524</f>
        <v>0</v>
      </c>
      <c r="F1402" s="798" t="str">
        <f t="shared" si="234"/>
        <v>0</v>
      </c>
      <c r="G1402" s="790"/>
      <c r="H1402" s="693">
        <v>23</v>
      </c>
      <c r="I1402" s="791" t="s">
        <v>33</v>
      </c>
      <c r="J1402" s="695" t="s">
        <v>1407</v>
      </c>
      <c r="K1402" s="696" t="s">
        <v>2173</v>
      </c>
      <c r="L1402" s="697" t="s">
        <v>1407</v>
      </c>
      <c r="M1402" s="698" t="s">
        <v>3363</v>
      </c>
      <c r="N1402" s="697" t="s">
        <v>1407</v>
      </c>
      <c r="O1402" s="694" t="s">
        <v>2028</v>
      </c>
      <c r="P1402" s="699"/>
      <c r="Q1402" s="700"/>
      <c r="R1402" s="794"/>
      <c r="S1402" s="794"/>
      <c r="T1402" s="382" t="str">
        <f t="shared" ref="T1402:T1410" si="248">CONCATENATE(H1402,I1402,J1402,K1402,L1402,M1402,N1402,O1402,P1402,Q1402)</f>
        <v>23調査結果-上記1から7に記載のない事項-13行目-指摘の具体的内容等</v>
      </c>
      <c r="U1402" s="382"/>
      <c r="V1402" s="202"/>
      <c r="W1402" s="202"/>
      <c r="X1402" s="202"/>
      <c r="Y1402" s="382"/>
      <c r="Z1402" s="382"/>
      <c r="AA1402" s="382"/>
      <c r="AB1402" s="382"/>
    </row>
    <row r="1403" spans="1:28">
      <c r="B1403" s="798">
        <f>'1_入力シート【基本情報】'!$BD$524</f>
        <v>0</v>
      </c>
      <c r="C1403" s="788" t="str">
        <f t="shared" si="247"/>
        <v/>
      </c>
      <c r="D1403" s="798">
        <f>'1_入力シート【基本情報】'!$BD$524</f>
        <v>0</v>
      </c>
      <c r="E1403" s="798">
        <f>'1_入力シート【基本情報】'!$BD$524</f>
        <v>0</v>
      </c>
      <c r="F1403" s="798" t="str">
        <f t="shared" si="234"/>
        <v>0</v>
      </c>
      <c r="G1403" s="790"/>
      <c r="H1403" s="693">
        <v>23</v>
      </c>
      <c r="I1403" s="791" t="s">
        <v>33</v>
      </c>
      <c r="J1403" s="695" t="s">
        <v>1407</v>
      </c>
      <c r="K1403" s="696" t="s">
        <v>2173</v>
      </c>
      <c r="L1403" s="697" t="s">
        <v>1407</v>
      </c>
      <c r="M1403" s="698" t="s">
        <v>3363</v>
      </c>
      <c r="N1403" s="697" t="s">
        <v>1407</v>
      </c>
      <c r="O1403" s="694" t="s">
        <v>2029</v>
      </c>
      <c r="P1403" s="792"/>
      <c r="Q1403" s="793"/>
      <c r="R1403" s="794"/>
      <c r="S1403" s="794"/>
      <c r="T1403" s="382" t="str">
        <f t="shared" si="248"/>
        <v>23調査結果-上記1から7に記載のない事項-13行目-改善策の具体的内容等</v>
      </c>
      <c r="U1403" s="382"/>
      <c r="V1403" s="202"/>
      <c r="W1403" s="202"/>
      <c r="X1403" s="202"/>
      <c r="Y1403" s="382"/>
      <c r="Z1403" s="382"/>
      <c r="AA1403" s="382"/>
      <c r="AB1403" s="382"/>
    </row>
    <row r="1404" spans="1:28" ht="19">
      <c r="B1404" s="799">
        <f>'1_入力シート【基本情報】'!$BS$524</f>
        <v>0</v>
      </c>
      <c r="C1404" s="795" t="str">
        <f t="shared" ref="C1404:E1405" si="249">ASC($D1404)</f>
        <v>0</v>
      </c>
      <c r="D1404" s="799">
        <f>'1_入力シート【基本情報】'!$BS$524</f>
        <v>0</v>
      </c>
      <c r="E1404" s="790" t="str">
        <f t="shared" si="249"/>
        <v>0</v>
      </c>
      <c r="F1404" s="790" t="str">
        <f t="shared" si="234"/>
        <v>0</v>
      </c>
      <c r="G1404" s="790"/>
      <c r="H1404" s="693">
        <v>23</v>
      </c>
      <c r="I1404" s="791" t="s">
        <v>33</v>
      </c>
      <c r="J1404" s="695" t="s">
        <v>1407</v>
      </c>
      <c r="K1404" s="696" t="s">
        <v>2173</v>
      </c>
      <c r="L1404" s="697" t="s">
        <v>1407</v>
      </c>
      <c r="M1404" s="698" t="s">
        <v>3363</v>
      </c>
      <c r="N1404" s="697" t="s">
        <v>1407</v>
      </c>
      <c r="O1404" s="694" t="s">
        <v>387</v>
      </c>
      <c r="P1404" s="792" t="s">
        <v>1879</v>
      </c>
      <c r="Q1404" s="793" t="s">
        <v>1966</v>
      </c>
      <c r="R1404" s="794"/>
      <c r="S1404" s="794"/>
      <c r="T1404" s="382" t="str">
        <f t="shared" si="248"/>
        <v>23調査結果-上記1から7に記載のない事項-13行目-改善（予定）年月-年（令和）</v>
      </c>
      <c r="U1404" s="382"/>
      <c r="V1404" s="202"/>
      <c r="W1404" s="202"/>
      <c r="X1404" s="202"/>
      <c r="Y1404" s="382"/>
      <c r="Z1404" s="382"/>
      <c r="AA1404" s="382"/>
      <c r="AB1404" s="382"/>
    </row>
    <row r="1405" spans="1:28" ht="19">
      <c r="B1405" s="799">
        <f>'1_入力シート【基本情報】'!$BV$524</f>
        <v>0</v>
      </c>
      <c r="C1405" s="795" t="str">
        <f t="shared" si="249"/>
        <v>0</v>
      </c>
      <c r="D1405" s="799">
        <f>'1_入力シート【基本情報】'!$BV$524</f>
        <v>0</v>
      </c>
      <c r="E1405" s="790" t="str">
        <f t="shared" si="249"/>
        <v>0</v>
      </c>
      <c r="F1405" s="790" t="str">
        <f t="shared" si="234"/>
        <v>0</v>
      </c>
      <c r="G1405" s="790"/>
      <c r="H1405" s="693">
        <v>23</v>
      </c>
      <c r="I1405" s="791" t="s">
        <v>33</v>
      </c>
      <c r="J1405" s="796" t="s">
        <v>1407</v>
      </c>
      <c r="K1405" s="696" t="s">
        <v>2173</v>
      </c>
      <c r="L1405" s="697" t="s">
        <v>1407</v>
      </c>
      <c r="M1405" s="698" t="s">
        <v>3363</v>
      </c>
      <c r="N1405" s="797" t="s">
        <v>1407</v>
      </c>
      <c r="O1405" s="694" t="s">
        <v>387</v>
      </c>
      <c r="P1405" s="792" t="s">
        <v>1879</v>
      </c>
      <c r="Q1405" s="793" t="s">
        <v>383</v>
      </c>
      <c r="R1405" s="701"/>
      <c r="S1405" s="701"/>
      <c r="T1405" s="382" t="str">
        <f t="shared" si="248"/>
        <v>23調査結果-上記1から7に記載のない事項-13行目-改善（予定）年月-月</v>
      </c>
      <c r="U1405" s="382"/>
      <c r="V1405" s="202"/>
      <c r="W1405" s="202"/>
      <c r="X1405" s="202"/>
      <c r="Y1405" s="382"/>
      <c r="Z1405" s="382"/>
      <c r="AA1405" s="382"/>
      <c r="AB1405" s="382"/>
    </row>
    <row r="1406" spans="1:28">
      <c r="B1406" s="691">
        <f>'1_入力シート【基本情報】'!$BY$524</f>
        <v>0</v>
      </c>
      <c r="C1406" s="788" t="str">
        <f t="shared" ref="C1406" si="250">MID(B1406,2,14)</f>
        <v/>
      </c>
      <c r="D1406" s="691">
        <f>'1_入力シート【基本情報】'!$BY$524</f>
        <v>0</v>
      </c>
      <c r="E1406" s="691">
        <f>'1_入力シート【基本情報】'!$BY$524</f>
        <v>0</v>
      </c>
      <c r="F1406" s="691" t="str">
        <f t="shared" si="234"/>
        <v>0</v>
      </c>
      <c r="G1406" s="790"/>
      <c r="H1406" s="693">
        <v>23</v>
      </c>
      <c r="I1406" s="791" t="s">
        <v>33</v>
      </c>
      <c r="J1406" s="796" t="s">
        <v>1407</v>
      </c>
      <c r="K1406" s="696" t="s">
        <v>2173</v>
      </c>
      <c r="L1406" s="697" t="s">
        <v>1407</v>
      </c>
      <c r="M1406" s="698" t="s">
        <v>3363</v>
      </c>
      <c r="N1406" s="797" t="s">
        <v>1407</v>
      </c>
      <c r="O1406" s="694" t="s">
        <v>387</v>
      </c>
      <c r="P1406" s="792" t="s">
        <v>1879</v>
      </c>
      <c r="Q1406" s="793" t="s">
        <v>675</v>
      </c>
      <c r="R1406" s="794"/>
      <c r="S1406" s="794"/>
      <c r="T1406" s="382" t="str">
        <f t="shared" si="248"/>
        <v>23調査結果-上記1から7に記載のない事項-13行目-改善（予定）年月-未定</v>
      </c>
      <c r="U1406" s="382"/>
      <c r="V1406" s="202"/>
      <c r="W1406" s="202"/>
      <c r="X1406" s="202"/>
      <c r="Y1406" s="382"/>
      <c r="Z1406" s="382"/>
      <c r="AA1406" s="382"/>
      <c r="AB1406" s="382"/>
    </row>
    <row r="1407" spans="1:28">
      <c r="A1407" s="426"/>
      <c r="B1407" s="502"/>
      <c r="C1407" s="4"/>
      <c r="D1407" s="107"/>
      <c r="E1407" s="789">
        <f>'1_入力シート【基本情報】'!$M$525</f>
        <v>0</v>
      </c>
      <c r="F1407" s="789" t="str">
        <f t="shared" si="234"/>
        <v>0</v>
      </c>
      <c r="G1407" s="790"/>
      <c r="H1407" s="693">
        <v>23</v>
      </c>
      <c r="I1407" s="791" t="s">
        <v>33</v>
      </c>
      <c r="J1407" s="695" t="s">
        <v>1879</v>
      </c>
      <c r="K1407" s="696" t="s">
        <v>2173</v>
      </c>
      <c r="L1407" s="697" t="s">
        <v>1879</v>
      </c>
      <c r="M1407" s="698" t="s">
        <v>3364</v>
      </c>
      <c r="N1407" s="697" t="s">
        <v>1879</v>
      </c>
      <c r="O1407" s="791" t="s">
        <v>31</v>
      </c>
      <c r="P1407" s="792"/>
      <c r="Q1407" s="793"/>
      <c r="R1407" s="794"/>
      <c r="S1407" s="794"/>
      <c r="T1407" s="382" t="str">
        <f t="shared" si="248"/>
        <v>23調査結果-上記1から7に記載のない事項-14行目-番号</v>
      </c>
      <c r="U1407" s="382"/>
      <c r="V1407" s="202"/>
      <c r="W1407" s="202"/>
      <c r="X1407" s="202"/>
      <c r="Y1407" s="382"/>
      <c r="Z1407" s="382"/>
      <c r="AA1407" s="382"/>
      <c r="AB1407" s="382"/>
    </row>
    <row r="1408" spans="1:28">
      <c r="A1408" s="426"/>
      <c r="B1408" s="502"/>
      <c r="C1408" s="4"/>
      <c r="D1408" s="107"/>
      <c r="E1408" s="789" t="str">
        <f>'1_入力シート【基本情報】'!$P$525</f>
        <v/>
      </c>
      <c r="F1408" s="789" t="str">
        <f t="shared" si="234"/>
        <v/>
      </c>
      <c r="G1408" s="790"/>
      <c r="H1408" s="693">
        <v>23</v>
      </c>
      <c r="I1408" s="791" t="s">
        <v>33</v>
      </c>
      <c r="J1408" s="695" t="s">
        <v>1879</v>
      </c>
      <c r="K1408" s="696" t="s">
        <v>2173</v>
      </c>
      <c r="L1408" s="697" t="s">
        <v>1879</v>
      </c>
      <c r="M1408" s="698" t="s">
        <v>3364</v>
      </c>
      <c r="N1408" s="697" t="s">
        <v>1879</v>
      </c>
      <c r="O1408" s="791" t="s">
        <v>1007</v>
      </c>
      <c r="P1408" s="792"/>
      <c r="Q1408" s="793"/>
      <c r="R1408" s="794"/>
      <c r="S1408" s="794"/>
      <c r="T1408" s="382" t="str">
        <f t="shared" si="248"/>
        <v>23調査結果-上記1から7に記載のない事項-14行目-調査項目</v>
      </c>
      <c r="U1408" s="382"/>
      <c r="V1408" s="202"/>
      <c r="W1408" s="202"/>
      <c r="X1408" s="202"/>
      <c r="Y1408" s="382"/>
      <c r="Z1408" s="382"/>
      <c r="AA1408" s="382"/>
      <c r="AB1408" s="382"/>
    </row>
    <row r="1409" spans="1:28">
      <c r="B1409" s="799">
        <f>'1_入力シート【基本情報】'!$AF$525</f>
        <v>0</v>
      </c>
      <c r="C1409" s="788" t="str">
        <f t="shared" ref="C1409:C1412" si="251">MID(B1409,2,14)</f>
        <v/>
      </c>
      <c r="D1409" s="787" t="str">
        <f>C1409</f>
        <v/>
      </c>
      <c r="E1409" s="789" t="str">
        <f>D1409</f>
        <v/>
      </c>
      <c r="F1409" s="789" t="str">
        <f t="shared" si="234"/>
        <v/>
      </c>
      <c r="G1409" s="790"/>
      <c r="H1409" s="693">
        <v>23</v>
      </c>
      <c r="I1409" s="791" t="s">
        <v>33</v>
      </c>
      <c r="J1409" s="695" t="s">
        <v>1407</v>
      </c>
      <c r="K1409" s="696" t="s">
        <v>2173</v>
      </c>
      <c r="L1409" s="697" t="s">
        <v>1407</v>
      </c>
      <c r="M1409" s="698" t="s">
        <v>3364</v>
      </c>
      <c r="N1409" s="697" t="s">
        <v>1407</v>
      </c>
      <c r="O1409" s="791" t="s">
        <v>33</v>
      </c>
      <c r="P1409" s="792"/>
      <c r="Q1409" s="793"/>
      <c r="R1409" s="794"/>
      <c r="S1409" s="794"/>
      <c r="T1409" s="382" t="str">
        <f t="shared" si="248"/>
        <v>23調査結果-上記1から7に記載のない事項-14行目-調査結果</v>
      </c>
      <c r="U1409" s="382"/>
      <c r="V1409" s="202"/>
      <c r="W1409" s="202"/>
      <c r="X1409" s="202"/>
      <c r="Y1409" s="382"/>
      <c r="Z1409" s="382"/>
      <c r="AA1409" s="382"/>
      <c r="AB1409" s="382"/>
    </row>
    <row r="1410" spans="1:28">
      <c r="B1410" s="691">
        <f>'1_入力シート【基本情報】'!$AR$525</f>
        <v>0</v>
      </c>
      <c r="C1410" s="788" t="str">
        <f t="shared" si="251"/>
        <v/>
      </c>
      <c r="D1410" s="691">
        <f>'1_入力シート【基本情報】'!$AR$525</f>
        <v>0</v>
      </c>
      <c r="E1410" s="691">
        <f>'1_入力シート【基本情報】'!$AR$525</f>
        <v>0</v>
      </c>
      <c r="F1410" s="691" t="str">
        <f t="shared" si="234"/>
        <v>0</v>
      </c>
      <c r="G1410" s="790"/>
      <c r="H1410" s="693">
        <v>23</v>
      </c>
      <c r="I1410" s="791" t="s">
        <v>33</v>
      </c>
      <c r="J1410" s="695" t="s">
        <v>1407</v>
      </c>
      <c r="K1410" s="696" t="s">
        <v>2173</v>
      </c>
      <c r="L1410" s="697" t="s">
        <v>1407</v>
      </c>
      <c r="M1410" s="698" t="s">
        <v>3364</v>
      </c>
      <c r="N1410" s="697" t="s">
        <v>1407</v>
      </c>
      <c r="O1410" s="791" t="s">
        <v>30</v>
      </c>
      <c r="P1410" s="792"/>
      <c r="Q1410" s="793"/>
      <c r="R1410" s="794"/>
      <c r="S1410" s="794"/>
      <c r="T1410" s="382" t="str">
        <f t="shared" si="248"/>
        <v>23調査結果-上記1から7に記載のない事項-14行目-調査者番号</v>
      </c>
      <c r="U1410" s="382"/>
      <c r="V1410" s="202"/>
      <c r="W1410" s="202"/>
      <c r="X1410" s="202"/>
      <c r="Y1410" s="382"/>
      <c r="Z1410" s="382"/>
      <c r="AA1410" s="382"/>
      <c r="AB1410" s="382"/>
    </row>
    <row r="1411" spans="1:28">
      <c r="B1411" s="798">
        <f>'1_入力シート【基本情報】'!$AT$525</f>
        <v>0</v>
      </c>
      <c r="C1411" s="788" t="str">
        <f t="shared" si="251"/>
        <v/>
      </c>
      <c r="D1411" s="798">
        <f>'1_入力シート【基本情報】'!$AT$525</f>
        <v>0</v>
      </c>
      <c r="E1411" s="798">
        <f>'1_入力シート【基本情報】'!$AT$525</f>
        <v>0</v>
      </c>
      <c r="F1411" s="798" t="str">
        <f t="shared" si="234"/>
        <v>0</v>
      </c>
      <c r="G1411" s="790"/>
      <c r="H1411" s="693">
        <v>23</v>
      </c>
      <c r="I1411" s="791" t="s">
        <v>33</v>
      </c>
      <c r="J1411" s="695" t="s">
        <v>1407</v>
      </c>
      <c r="K1411" s="696" t="s">
        <v>2173</v>
      </c>
      <c r="L1411" s="697" t="s">
        <v>1407</v>
      </c>
      <c r="M1411" s="698" t="s">
        <v>3364</v>
      </c>
      <c r="N1411" s="697" t="s">
        <v>1407</v>
      </c>
      <c r="O1411" s="694" t="s">
        <v>2028</v>
      </c>
      <c r="P1411" s="699"/>
      <c r="Q1411" s="700"/>
      <c r="R1411" s="794"/>
      <c r="S1411" s="794"/>
      <c r="T1411" s="382" t="str">
        <f t="shared" ref="T1411:T1419" si="252">CONCATENATE(H1411,I1411,J1411,K1411,L1411,M1411,N1411,O1411,P1411,Q1411)</f>
        <v>23調査結果-上記1から7に記載のない事項-14行目-指摘の具体的内容等</v>
      </c>
      <c r="U1411" s="382"/>
      <c r="V1411" s="202"/>
      <c r="W1411" s="202"/>
      <c r="X1411" s="202"/>
      <c r="Y1411" s="382"/>
      <c r="Z1411" s="382"/>
      <c r="AA1411" s="382"/>
      <c r="AB1411" s="382"/>
    </row>
    <row r="1412" spans="1:28">
      <c r="B1412" s="798">
        <f>'1_入力シート【基本情報】'!$BD$525</f>
        <v>0</v>
      </c>
      <c r="C1412" s="788" t="str">
        <f t="shared" si="251"/>
        <v/>
      </c>
      <c r="D1412" s="798">
        <f>'1_入力シート【基本情報】'!$BD$525</f>
        <v>0</v>
      </c>
      <c r="E1412" s="798">
        <f>'1_入力シート【基本情報】'!$BD$525</f>
        <v>0</v>
      </c>
      <c r="F1412" s="798" t="str">
        <f t="shared" si="234"/>
        <v>0</v>
      </c>
      <c r="G1412" s="790"/>
      <c r="H1412" s="693">
        <v>23</v>
      </c>
      <c r="I1412" s="791" t="s">
        <v>33</v>
      </c>
      <c r="J1412" s="695" t="s">
        <v>1407</v>
      </c>
      <c r="K1412" s="696" t="s">
        <v>2173</v>
      </c>
      <c r="L1412" s="697" t="s">
        <v>1407</v>
      </c>
      <c r="M1412" s="698" t="s">
        <v>3364</v>
      </c>
      <c r="N1412" s="697" t="s">
        <v>1407</v>
      </c>
      <c r="O1412" s="694" t="s">
        <v>2029</v>
      </c>
      <c r="P1412" s="792"/>
      <c r="Q1412" s="793"/>
      <c r="R1412" s="794"/>
      <c r="S1412" s="794"/>
      <c r="T1412" s="382" t="str">
        <f t="shared" si="252"/>
        <v>23調査結果-上記1から7に記載のない事項-14行目-改善策の具体的内容等</v>
      </c>
      <c r="U1412" s="382"/>
      <c r="V1412" s="202"/>
      <c r="W1412" s="202"/>
      <c r="X1412" s="202"/>
      <c r="Y1412" s="382"/>
      <c r="Z1412" s="382"/>
      <c r="AA1412" s="382"/>
      <c r="AB1412" s="382"/>
    </row>
    <row r="1413" spans="1:28" ht="19">
      <c r="B1413" s="799">
        <f>'1_入力シート【基本情報】'!$BS$525</f>
        <v>0</v>
      </c>
      <c r="C1413" s="795" t="str">
        <f t="shared" ref="C1413:E1414" si="253">ASC($D1413)</f>
        <v>0</v>
      </c>
      <c r="D1413" s="799">
        <f>'1_入力シート【基本情報】'!$BS$525</f>
        <v>0</v>
      </c>
      <c r="E1413" s="790" t="str">
        <f t="shared" si="253"/>
        <v>0</v>
      </c>
      <c r="F1413" s="790" t="str">
        <f t="shared" ref="F1413:F1476" si="254">SUBSTITUTE(E1413,CHAR(10),"")</f>
        <v>0</v>
      </c>
      <c r="G1413" s="790"/>
      <c r="H1413" s="693">
        <v>23</v>
      </c>
      <c r="I1413" s="791" t="s">
        <v>33</v>
      </c>
      <c r="J1413" s="695" t="s">
        <v>1407</v>
      </c>
      <c r="K1413" s="696" t="s">
        <v>2173</v>
      </c>
      <c r="L1413" s="697" t="s">
        <v>1407</v>
      </c>
      <c r="M1413" s="698" t="s">
        <v>3364</v>
      </c>
      <c r="N1413" s="697" t="s">
        <v>1407</v>
      </c>
      <c r="O1413" s="694" t="s">
        <v>387</v>
      </c>
      <c r="P1413" s="792" t="s">
        <v>1879</v>
      </c>
      <c r="Q1413" s="793" t="s">
        <v>1966</v>
      </c>
      <c r="R1413" s="794"/>
      <c r="S1413" s="794"/>
      <c r="T1413" s="382" t="str">
        <f t="shared" si="252"/>
        <v>23調査結果-上記1から7に記載のない事項-14行目-改善（予定）年月-年（令和）</v>
      </c>
      <c r="U1413" s="382"/>
      <c r="V1413" s="202"/>
      <c r="W1413" s="202"/>
      <c r="X1413" s="202"/>
      <c r="Y1413" s="382"/>
      <c r="Z1413" s="382"/>
      <c r="AA1413" s="382"/>
      <c r="AB1413" s="382"/>
    </row>
    <row r="1414" spans="1:28" ht="19">
      <c r="B1414" s="799">
        <f>'1_入力シート【基本情報】'!$BV$525</f>
        <v>0</v>
      </c>
      <c r="C1414" s="795" t="str">
        <f t="shared" si="253"/>
        <v>0</v>
      </c>
      <c r="D1414" s="799">
        <f>'1_入力シート【基本情報】'!$BV$525</f>
        <v>0</v>
      </c>
      <c r="E1414" s="790" t="str">
        <f t="shared" si="253"/>
        <v>0</v>
      </c>
      <c r="F1414" s="790" t="str">
        <f t="shared" si="254"/>
        <v>0</v>
      </c>
      <c r="G1414" s="790"/>
      <c r="H1414" s="693">
        <v>23</v>
      </c>
      <c r="I1414" s="791" t="s">
        <v>33</v>
      </c>
      <c r="J1414" s="796" t="s">
        <v>1407</v>
      </c>
      <c r="K1414" s="696" t="s">
        <v>2173</v>
      </c>
      <c r="L1414" s="697" t="s">
        <v>1407</v>
      </c>
      <c r="M1414" s="698" t="s">
        <v>3364</v>
      </c>
      <c r="N1414" s="797" t="s">
        <v>1407</v>
      </c>
      <c r="O1414" s="694" t="s">
        <v>387</v>
      </c>
      <c r="P1414" s="792" t="s">
        <v>1879</v>
      </c>
      <c r="Q1414" s="793" t="s">
        <v>383</v>
      </c>
      <c r="R1414" s="701"/>
      <c r="S1414" s="701"/>
      <c r="T1414" s="382" t="str">
        <f t="shared" si="252"/>
        <v>23調査結果-上記1から7に記載のない事項-14行目-改善（予定）年月-月</v>
      </c>
      <c r="U1414" s="382"/>
      <c r="V1414" s="202"/>
      <c r="W1414" s="202"/>
      <c r="X1414" s="202"/>
      <c r="Y1414" s="382"/>
      <c r="Z1414" s="382"/>
      <c r="AA1414" s="382"/>
      <c r="AB1414" s="382"/>
    </row>
    <row r="1415" spans="1:28">
      <c r="B1415" s="691">
        <f>'1_入力シート【基本情報】'!$BY$525</f>
        <v>0</v>
      </c>
      <c r="C1415" s="788" t="str">
        <f t="shared" ref="C1415" si="255">MID(B1415,2,14)</f>
        <v/>
      </c>
      <c r="D1415" s="691">
        <f>'1_入力シート【基本情報】'!$BY$525</f>
        <v>0</v>
      </c>
      <c r="E1415" s="691">
        <f>'1_入力シート【基本情報】'!$BY$525</f>
        <v>0</v>
      </c>
      <c r="F1415" s="691" t="str">
        <f t="shared" si="254"/>
        <v>0</v>
      </c>
      <c r="G1415" s="790"/>
      <c r="H1415" s="693">
        <v>23</v>
      </c>
      <c r="I1415" s="791" t="s">
        <v>33</v>
      </c>
      <c r="J1415" s="796" t="s">
        <v>1407</v>
      </c>
      <c r="K1415" s="696" t="s">
        <v>2173</v>
      </c>
      <c r="L1415" s="697" t="s">
        <v>1407</v>
      </c>
      <c r="M1415" s="698" t="s">
        <v>3364</v>
      </c>
      <c r="N1415" s="797" t="s">
        <v>1407</v>
      </c>
      <c r="O1415" s="694" t="s">
        <v>387</v>
      </c>
      <c r="P1415" s="792" t="s">
        <v>1879</v>
      </c>
      <c r="Q1415" s="793" t="s">
        <v>675</v>
      </c>
      <c r="R1415" s="794"/>
      <c r="S1415" s="794"/>
      <c r="T1415" s="382" t="str">
        <f t="shared" si="252"/>
        <v>23調査結果-上記1から7に記載のない事項-14行目-改善（予定）年月-未定</v>
      </c>
      <c r="U1415" s="382"/>
      <c r="V1415" s="202"/>
      <c r="W1415" s="202"/>
      <c r="X1415" s="202"/>
      <c r="Y1415" s="382"/>
      <c r="Z1415" s="382"/>
      <c r="AA1415" s="382"/>
      <c r="AB1415" s="382"/>
    </row>
    <row r="1416" spans="1:28">
      <c r="A1416" s="426"/>
      <c r="B1416" s="502"/>
      <c r="C1416" s="4"/>
      <c r="D1416" s="107"/>
      <c r="E1416" s="789">
        <f>'1_入力シート【基本情報】'!$M$526</f>
        <v>0</v>
      </c>
      <c r="F1416" s="789" t="str">
        <f t="shared" si="254"/>
        <v>0</v>
      </c>
      <c r="G1416" s="790"/>
      <c r="H1416" s="693">
        <v>23</v>
      </c>
      <c r="I1416" s="791" t="s">
        <v>33</v>
      </c>
      <c r="J1416" s="695" t="s">
        <v>1879</v>
      </c>
      <c r="K1416" s="696" t="s">
        <v>2173</v>
      </c>
      <c r="L1416" s="697" t="s">
        <v>1879</v>
      </c>
      <c r="M1416" s="698" t="s">
        <v>3365</v>
      </c>
      <c r="N1416" s="697" t="s">
        <v>1879</v>
      </c>
      <c r="O1416" s="791" t="s">
        <v>31</v>
      </c>
      <c r="P1416" s="792"/>
      <c r="Q1416" s="793"/>
      <c r="R1416" s="794"/>
      <c r="S1416" s="794"/>
      <c r="T1416" s="382" t="str">
        <f t="shared" si="252"/>
        <v>23調査結果-上記1から7に記載のない事項-15行目-番号</v>
      </c>
      <c r="U1416" s="382"/>
      <c r="V1416" s="202"/>
      <c r="W1416" s="202"/>
      <c r="X1416" s="202"/>
      <c r="Y1416" s="382"/>
      <c r="Z1416" s="382"/>
      <c r="AA1416" s="382"/>
      <c r="AB1416" s="382"/>
    </row>
    <row r="1417" spans="1:28">
      <c r="A1417" s="426"/>
      <c r="B1417" s="502"/>
      <c r="C1417" s="4"/>
      <c r="D1417" s="107"/>
      <c r="E1417" s="789" t="str">
        <f>'1_入力シート【基本情報】'!$P$526</f>
        <v/>
      </c>
      <c r="F1417" s="789" t="str">
        <f t="shared" si="254"/>
        <v/>
      </c>
      <c r="G1417" s="790"/>
      <c r="H1417" s="693">
        <v>23</v>
      </c>
      <c r="I1417" s="791" t="s">
        <v>33</v>
      </c>
      <c r="J1417" s="695" t="s">
        <v>1879</v>
      </c>
      <c r="K1417" s="696" t="s">
        <v>2173</v>
      </c>
      <c r="L1417" s="697" t="s">
        <v>1879</v>
      </c>
      <c r="M1417" s="698" t="s">
        <v>3365</v>
      </c>
      <c r="N1417" s="697" t="s">
        <v>1879</v>
      </c>
      <c r="O1417" s="791" t="s">
        <v>1007</v>
      </c>
      <c r="P1417" s="792"/>
      <c r="Q1417" s="793"/>
      <c r="R1417" s="794"/>
      <c r="S1417" s="794"/>
      <c r="T1417" s="382" t="str">
        <f t="shared" si="252"/>
        <v>23調査結果-上記1から7に記載のない事項-15行目-調査項目</v>
      </c>
      <c r="U1417" s="382"/>
      <c r="V1417" s="202"/>
      <c r="W1417" s="202"/>
      <c r="X1417" s="202"/>
      <c r="Y1417" s="382"/>
      <c r="Z1417" s="382"/>
      <c r="AA1417" s="382"/>
      <c r="AB1417" s="382"/>
    </row>
    <row r="1418" spans="1:28">
      <c r="B1418" s="799">
        <f>'1_入力シート【基本情報】'!$AF$526</f>
        <v>0</v>
      </c>
      <c r="C1418" s="788" t="str">
        <f t="shared" ref="C1418:C1421" si="256">MID(B1418,2,14)</f>
        <v/>
      </c>
      <c r="D1418" s="787" t="str">
        <f>C1418</f>
        <v/>
      </c>
      <c r="E1418" s="789" t="str">
        <f>D1418</f>
        <v/>
      </c>
      <c r="F1418" s="789" t="str">
        <f t="shared" si="254"/>
        <v/>
      </c>
      <c r="G1418" s="790"/>
      <c r="H1418" s="693">
        <v>23</v>
      </c>
      <c r="I1418" s="791" t="s">
        <v>33</v>
      </c>
      <c r="J1418" s="695" t="s">
        <v>1407</v>
      </c>
      <c r="K1418" s="696" t="s">
        <v>2173</v>
      </c>
      <c r="L1418" s="697" t="s">
        <v>1407</v>
      </c>
      <c r="M1418" s="698" t="s">
        <v>3365</v>
      </c>
      <c r="N1418" s="697" t="s">
        <v>1407</v>
      </c>
      <c r="O1418" s="791" t="s">
        <v>33</v>
      </c>
      <c r="P1418" s="792"/>
      <c r="Q1418" s="793"/>
      <c r="R1418" s="794"/>
      <c r="S1418" s="794"/>
      <c r="T1418" s="382" t="str">
        <f t="shared" si="252"/>
        <v>23調査結果-上記1から7に記載のない事項-15行目-調査結果</v>
      </c>
      <c r="U1418" s="382"/>
      <c r="V1418" s="202"/>
      <c r="W1418" s="202"/>
      <c r="X1418" s="202"/>
      <c r="Y1418" s="382"/>
      <c r="Z1418" s="382"/>
      <c r="AA1418" s="382"/>
      <c r="AB1418" s="382"/>
    </row>
    <row r="1419" spans="1:28">
      <c r="B1419" s="691">
        <f>'1_入力シート【基本情報】'!$AR$526</f>
        <v>0</v>
      </c>
      <c r="C1419" s="788" t="str">
        <f t="shared" si="256"/>
        <v/>
      </c>
      <c r="D1419" s="691">
        <f>'1_入力シート【基本情報】'!$AR$526</f>
        <v>0</v>
      </c>
      <c r="E1419" s="691">
        <f>'1_入力シート【基本情報】'!$AR$526</f>
        <v>0</v>
      </c>
      <c r="F1419" s="691" t="str">
        <f t="shared" si="254"/>
        <v>0</v>
      </c>
      <c r="G1419" s="790"/>
      <c r="H1419" s="693">
        <v>23</v>
      </c>
      <c r="I1419" s="791" t="s">
        <v>33</v>
      </c>
      <c r="J1419" s="695" t="s">
        <v>1407</v>
      </c>
      <c r="K1419" s="696" t="s">
        <v>2173</v>
      </c>
      <c r="L1419" s="697" t="s">
        <v>1407</v>
      </c>
      <c r="M1419" s="698" t="s">
        <v>3365</v>
      </c>
      <c r="N1419" s="697" t="s">
        <v>1407</v>
      </c>
      <c r="O1419" s="791" t="s">
        <v>30</v>
      </c>
      <c r="P1419" s="792"/>
      <c r="Q1419" s="793"/>
      <c r="R1419" s="794"/>
      <c r="S1419" s="794"/>
      <c r="T1419" s="382" t="str">
        <f t="shared" si="252"/>
        <v>23調査結果-上記1から7に記載のない事項-15行目-調査者番号</v>
      </c>
      <c r="U1419" s="382"/>
      <c r="V1419" s="202"/>
      <c r="W1419" s="202"/>
      <c r="X1419" s="202"/>
      <c r="Y1419" s="382"/>
      <c r="Z1419" s="382"/>
      <c r="AA1419" s="382"/>
      <c r="AB1419" s="382"/>
    </row>
    <row r="1420" spans="1:28">
      <c r="B1420" s="798">
        <f>'1_入力シート【基本情報】'!$AT$526</f>
        <v>0</v>
      </c>
      <c r="C1420" s="788" t="str">
        <f t="shared" si="256"/>
        <v/>
      </c>
      <c r="D1420" s="798">
        <f>'1_入力シート【基本情報】'!$AT$526</f>
        <v>0</v>
      </c>
      <c r="E1420" s="798">
        <f>'1_入力シート【基本情報】'!$AT$526</f>
        <v>0</v>
      </c>
      <c r="F1420" s="798" t="str">
        <f t="shared" si="254"/>
        <v>0</v>
      </c>
      <c r="G1420" s="790"/>
      <c r="H1420" s="693">
        <v>23</v>
      </c>
      <c r="I1420" s="791" t="s">
        <v>33</v>
      </c>
      <c r="J1420" s="695" t="s">
        <v>1407</v>
      </c>
      <c r="K1420" s="696" t="s">
        <v>2173</v>
      </c>
      <c r="L1420" s="697" t="s">
        <v>1407</v>
      </c>
      <c r="M1420" s="698" t="s">
        <v>3365</v>
      </c>
      <c r="N1420" s="697" t="s">
        <v>1407</v>
      </c>
      <c r="O1420" s="694" t="s">
        <v>2028</v>
      </c>
      <c r="P1420" s="699"/>
      <c r="Q1420" s="700"/>
      <c r="R1420" s="794"/>
      <c r="S1420" s="794"/>
      <c r="T1420" s="382" t="str">
        <f t="shared" ref="T1420:T1424" si="257">CONCATENATE(H1420,I1420,J1420,K1420,L1420,M1420,N1420,O1420,P1420,Q1420)</f>
        <v>23調査結果-上記1から7に記載のない事項-15行目-指摘の具体的内容等</v>
      </c>
      <c r="U1420" s="382"/>
      <c r="V1420" s="202"/>
      <c r="W1420" s="202"/>
      <c r="X1420" s="202"/>
      <c r="Y1420" s="382"/>
      <c r="Z1420" s="382"/>
      <c r="AA1420" s="382"/>
      <c r="AB1420" s="382"/>
    </row>
    <row r="1421" spans="1:28">
      <c r="B1421" s="798">
        <f>'1_入力シート【基本情報】'!$BD$526</f>
        <v>0</v>
      </c>
      <c r="C1421" s="788" t="str">
        <f t="shared" si="256"/>
        <v/>
      </c>
      <c r="D1421" s="798">
        <f>'1_入力シート【基本情報】'!$BD$526</f>
        <v>0</v>
      </c>
      <c r="E1421" s="798">
        <f>'1_入力シート【基本情報】'!$BD$526</f>
        <v>0</v>
      </c>
      <c r="F1421" s="798" t="str">
        <f t="shared" si="254"/>
        <v>0</v>
      </c>
      <c r="G1421" s="790"/>
      <c r="H1421" s="693">
        <v>23</v>
      </c>
      <c r="I1421" s="791" t="s">
        <v>33</v>
      </c>
      <c r="J1421" s="695" t="s">
        <v>1407</v>
      </c>
      <c r="K1421" s="696" t="s">
        <v>2173</v>
      </c>
      <c r="L1421" s="697" t="s">
        <v>1407</v>
      </c>
      <c r="M1421" s="698" t="s">
        <v>3365</v>
      </c>
      <c r="N1421" s="697" t="s">
        <v>1407</v>
      </c>
      <c r="O1421" s="694" t="s">
        <v>2029</v>
      </c>
      <c r="P1421" s="792"/>
      <c r="Q1421" s="793"/>
      <c r="R1421" s="794"/>
      <c r="S1421" s="794"/>
      <c r="T1421" s="382" t="str">
        <f t="shared" si="257"/>
        <v>23調査結果-上記1から7に記載のない事項-15行目-改善策の具体的内容等</v>
      </c>
      <c r="U1421" s="382"/>
      <c r="V1421" s="202"/>
      <c r="W1421" s="202"/>
      <c r="X1421" s="202"/>
      <c r="Y1421" s="382"/>
      <c r="Z1421" s="382"/>
      <c r="AA1421" s="382"/>
      <c r="AB1421" s="382"/>
    </row>
    <row r="1422" spans="1:28" ht="19">
      <c r="B1422" s="799">
        <f>'1_入力シート【基本情報】'!$BS$526</f>
        <v>0</v>
      </c>
      <c r="C1422" s="795" t="str">
        <f t="shared" ref="C1422:E1423" si="258">ASC($D1422)</f>
        <v>0</v>
      </c>
      <c r="D1422" s="799">
        <f>'1_入力シート【基本情報】'!$BS$526</f>
        <v>0</v>
      </c>
      <c r="E1422" s="790" t="str">
        <f t="shared" si="258"/>
        <v>0</v>
      </c>
      <c r="F1422" s="790" t="str">
        <f t="shared" si="254"/>
        <v>0</v>
      </c>
      <c r="G1422" s="790"/>
      <c r="H1422" s="693">
        <v>23</v>
      </c>
      <c r="I1422" s="791" t="s">
        <v>33</v>
      </c>
      <c r="J1422" s="695" t="s">
        <v>1407</v>
      </c>
      <c r="K1422" s="696" t="s">
        <v>2173</v>
      </c>
      <c r="L1422" s="697" t="s">
        <v>1407</v>
      </c>
      <c r="M1422" s="698" t="s">
        <v>3365</v>
      </c>
      <c r="N1422" s="697" t="s">
        <v>1407</v>
      </c>
      <c r="O1422" s="694" t="s">
        <v>387</v>
      </c>
      <c r="P1422" s="792" t="s">
        <v>1879</v>
      </c>
      <c r="Q1422" s="793" t="s">
        <v>1966</v>
      </c>
      <c r="R1422" s="794"/>
      <c r="S1422" s="794"/>
      <c r="T1422" s="382" t="str">
        <f t="shared" si="257"/>
        <v>23調査結果-上記1から7に記載のない事項-15行目-改善（予定）年月-年（令和）</v>
      </c>
      <c r="U1422" s="382"/>
      <c r="V1422" s="202"/>
      <c r="W1422" s="202"/>
      <c r="X1422" s="202"/>
      <c r="Y1422" s="382"/>
      <c r="Z1422" s="382"/>
      <c r="AA1422" s="382"/>
      <c r="AB1422" s="382"/>
    </row>
    <row r="1423" spans="1:28" ht="19">
      <c r="B1423" s="799">
        <f>'1_入力シート【基本情報】'!$BV$526</f>
        <v>0</v>
      </c>
      <c r="C1423" s="795" t="str">
        <f t="shared" si="258"/>
        <v>0</v>
      </c>
      <c r="D1423" s="799">
        <f>'1_入力シート【基本情報】'!$BV$526</f>
        <v>0</v>
      </c>
      <c r="E1423" s="790" t="str">
        <f t="shared" si="258"/>
        <v>0</v>
      </c>
      <c r="F1423" s="790" t="str">
        <f t="shared" si="254"/>
        <v>0</v>
      </c>
      <c r="G1423" s="790"/>
      <c r="H1423" s="693">
        <v>23</v>
      </c>
      <c r="I1423" s="791" t="s">
        <v>33</v>
      </c>
      <c r="J1423" s="796" t="s">
        <v>1407</v>
      </c>
      <c r="K1423" s="696" t="s">
        <v>2173</v>
      </c>
      <c r="L1423" s="697" t="s">
        <v>1407</v>
      </c>
      <c r="M1423" s="698" t="s">
        <v>3365</v>
      </c>
      <c r="N1423" s="797" t="s">
        <v>1407</v>
      </c>
      <c r="O1423" s="694" t="s">
        <v>387</v>
      </c>
      <c r="P1423" s="792" t="s">
        <v>1879</v>
      </c>
      <c r="Q1423" s="793" t="s">
        <v>383</v>
      </c>
      <c r="R1423" s="701"/>
      <c r="S1423" s="701"/>
      <c r="T1423" s="382" t="str">
        <f t="shared" si="257"/>
        <v>23調査結果-上記1から7に記載のない事項-15行目-改善（予定）年月-月</v>
      </c>
      <c r="U1423" s="382"/>
      <c r="V1423" s="202"/>
      <c r="W1423" s="202"/>
      <c r="X1423" s="202"/>
      <c r="Y1423" s="382"/>
      <c r="Z1423" s="382"/>
      <c r="AA1423" s="382"/>
      <c r="AB1423" s="382"/>
    </row>
    <row r="1424" spans="1:28">
      <c r="B1424" s="691">
        <f>'1_入力シート【基本情報】'!$BY$526</f>
        <v>0</v>
      </c>
      <c r="C1424" s="788" t="str">
        <f t="shared" ref="C1424" si="259">MID(B1424,2,14)</f>
        <v/>
      </c>
      <c r="D1424" s="691">
        <f>'1_入力シート【基本情報】'!$BY$526</f>
        <v>0</v>
      </c>
      <c r="E1424" s="691">
        <f>'1_入力シート【基本情報】'!$BY$526</f>
        <v>0</v>
      </c>
      <c r="F1424" s="691" t="str">
        <f t="shared" si="254"/>
        <v>0</v>
      </c>
      <c r="G1424" s="790"/>
      <c r="H1424" s="693">
        <v>23</v>
      </c>
      <c r="I1424" s="791" t="s">
        <v>33</v>
      </c>
      <c r="J1424" s="796" t="s">
        <v>1407</v>
      </c>
      <c r="K1424" s="696" t="s">
        <v>2173</v>
      </c>
      <c r="L1424" s="697" t="s">
        <v>1407</v>
      </c>
      <c r="M1424" s="698" t="s">
        <v>3365</v>
      </c>
      <c r="N1424" s="797" t="s">
        <v>1407</v>
      </c>
      <c r="O1424" s="694" t="s">
        <v>387</v>
      </c>
      <c r="P1424" s="792" t="s">
        <v>1879</v>
      </c>
      <c r="Q1424" s="793" t="s">
        <v>675</v>
      </c>
      <c r="R1424" s="794"/>
      <c r="S1424" s="794"/>
      <c r="T1424" s="382" t="str">
        <f t="shared" si="257"/>
        <v>23調査結果-上記1から7に記載のない事項-15行目-改善（予定）年月-未定</v>
      </c>
      <c r="U1424" s="382"/>
      <c r="V1424" s="202"/>
      <c r="W1424" s="202"/>
      <c r="X1424" s="202"/>
      <c r="Y1424" s="382"/>
      <c r="Z1424" s="382"/>
      <c r="AA1424" s="382"/>
      <c r="AB1424" s="382"/>
    </row>
    <row r="1425" spans="2:28">
      <c r="B1425" s="4"/>
      <c r="C1425" s="4"/>
      <c r="D1425" s="107">
        <f>'2_入力シート【用途面積】'!$G4</f>
        <v>0</v>
      </c>
      <c r="E1425" s="564">
        <f>'2_入力シート【用途面積】'!$G4</f>
        <v>0</v>
      </c>
      <c r="F1425" s="564" t="str">
        <f t="shared" si="254"/>
        <v>0</v>
      </c>
      <c r="G1425" s="24"/>
      <c r="H1425" s="577"/>
      <c r="I1425" s="383" t="s">
        <v>2246</v>
      </c>
      <c r="J1425" s="561" t="s">
        <v>1407</v>
      </c>
      <c r="K1425" s="326">
        <v>1</v>
      </c>
      <c r="L1425" s="358" t="s">
        <v>2247</v>
      </c>
      <c r="M1425" s="325" t="s">
        <v>2238</v>
      </c>
      <c r="N1425" s="372"/>
      <c r="O1425" s="370"/>
      <c r="P1425" s="364"/>
      <c r="Q1425" s="365"/>
      <c r="R1425" s="364"/>
      <c r="S1425" s="364"/>
      <c r="T1425" s="382" t="str">
        <f t="shared" si="240"/>
        <v>階別用途別床面積-1-大分類</v>
      </c>
      <c r="V1425" s="202"/>
      <c r="W1425" s="202"/>
      <c r="X1425" s="202"/>
    </row>
    <row r="1426" spans="2:28">
      <c r="B1426" s="4"/>
      <c r="C1426" s="4"/>
      <c r="D1426" s="107">
        <f>'2_入力シート【用途面積】'!$G$7</f>
        <v>0</v>
      </c>
      <c r="E1426" s="564">
        <f>'2_入力シート【用途面積】'!$G$7</f>
        <v>0</v>
      </c>
      <c r="F1426" s="564" t="str">
        <f t="shared" si="254"/>
        <v>0</v>
      </c>
      <c r="G1426" s="24"/>
      <c r="H1426" s="577"/>
      <c r="I1426" s="383" t="s">
        <v>2246</v>
      </c>
      <c r="J1426" s="561" t="s">
        <v>1407</v>
      </c>
      <c r="K1426" s="326">
        <v>1</v>
      </c>
      <c r="L1426" s="358" t="s">
        <v>2247</v>
      </c>
      <c r="M1426" s="325" t="s">
        <v>2239</v>
      </c>
      <c r="N1426" s="372"/>
      <c r="O1426" s="370"/>
      <c r="P1426" s="364"/>
      <c r="Q1426" s="365"/>
      <c r="R1426" s="364"/>
      <c r="S1426" s="364"/>
      <c r="T1426" s="382" t="str">
        <f t="shared" si="240"/>
        <v>階別用途別床面積-1-小分類</v>
      </c>
      <c r="V1426" s="202"/>
      <c r="W1426" s="202"/>
      <c r="X1426" s="202"/>
    </row>
    <row r="1427" spans="2:28">
      <c r="B1427" s="4"/>
      <c r="C1427" s="4"/>
      <c r="D1427" s="107"/>
      <c r="E1427" s="789">
        <f>'2_入力シート【用途面積】'!$G$12</f>
        <v>0</v>
      </c>
      <c r="F1427" s="789" t="str">
        <f t="shared" si="254"/>
        <v>0</v>
      </c>
      <c r="G1427" s="790"/>
      <c r="H1427" s="828"/>
      <c r="I1427" s="832" t="s">
        <v>3402</v>
      </c>
      <c r="J1427" s="796" t="s">
        <v>1879</v>
      </c>
      <c r="K1427" s="694">
        <v>1</v>
      </c>
      <c r="L1427" s="697" t="s">
        <v>1879</v>
      </c>
      <c r="M1427" s="698" t="s">
        <v>3401</v>
      </c>
      <c r="N1427" s="830"/>
      <c r="O1427" s="829"/>
      <c r="P1427" s="794"/>
      <c r="Q1427" s="831"/>
      <c r="R1427" s="794"/>
      <c r="S1427" s="794"/>
      <c r="T1427" s="382" t="str">
        <f t="shared" si="240"/>
        <v>階別用途別床面積-1-特記</v>
      </c>
      <c r="U1427" s="382"/>
      <c r="V1427" s="202"/>
      <c r="W1427" s="202"/>
      <c r="X1427" s="202"/>
      <c r="Y1427" s="382"/>
      <c r="Z1427" s="382"/>
      <c r="AA1427" s="382"/>
      <c r="AB1427" s="382"/>
    </row>
    <row r="1428" spans="2:28">
      <c r="B1428" s="4"/>
      <c r="C1428" s="4"/>
      <c r="D1428" s="107">
        <f>'2_入力シート【用途面積】'!$G14</f>
        <v>0</v>
      </c>
      <c r="E1428" s="564">
        <f>'2_入力シート【用途面積】'!$G14</f>
        <v>0</v>
      </c>
      <c r="F1428" s="564" t="str">
        <f t="shared" si="254"/>
        <v>0</v>
      </c>
      <c r="G1428" s="24"/>
      <c r="H1428" s="577"/>
      <c r="I1428" s="383" t="s">
        <v>2246</v>
      </c>
      <c r="J1428" s="561" t="s">
        <v>1407</v>
      </c>
      <c r="K1428" s="326">
        <v>1</v>
      </c>
      <c r="L1428" s="358" t="s">
        <v>2247</v>
      </c>
      <c r="M1428" s="325" t="s">
        <v>2179</v>
      </c>
      <c r="N1428" s="372"/>
      <c r="O1428" s="370"/>
      <c r="P1428" s="364"/>
      <c r="Q1428" s="365"/>
      <c r="R1428" s="364"/>
      <c r="S1428" s="364"/>
      <c r="T1428" s="382" t="str">
        <f t="shared" si="240"/>
        <v>階別用途別床面積-1-地下1階</v>
      </c>
      <c r="V1428" s="202"/>
      <c r="W1428" s="202"/>
      <c r="X1428" s="202"/>
    </row>
    <row r="1429" spans="2:28">
      <c r="B1429" s="4"/>
      <c r="C1429" s="4"/>
      <c r="D1429" s="107">
        <f>'2_入力シート【用途面積】'!$G15</f>
        <v>0</v>
      </c>
      <c r="E1429" s="564">
        <f>'2_入力シート【用途面積】'!$G15</f>
        <v>0</v>
      </c>
      <c r="F1429" s="564" t="str">
        <f t="shared" si="254"/>
        <v>0</v>
      </c>
      <c r="G1429" s="24"/>
      <c r="H1429" s="577"/>
      <c r="I1429" s="383" t="s">
        <v>2246</v>
      </c>
      <c r="J1429" s="561" t="s">
        <v>1407</v>
      </c>
      <c r="K1429" s="326">
        <v>1</v>
      </c>
      <c r="L1429" s="358" t="s">
        <v>2247</v>
      </c>
      <c r="M1429" s="325" t="s">
        <v>2180</v>
      </c>
      <c r="N1429" s="372"/>
      <c r="O1429" s="371"/>
      <c r="P1429" s="203"/>
      <c r="Q1429" s="373"/>
      <c r="R1429" s="364"/>
      <c r="S1429" s="364"/>
      <c r="T1429" s="382" t="str">
        <f t="shared" si="240"/>
        <v>階別用途別床面積-1-地下2階</v>
      </c>
      <c r="V1429" s="202"/>
      <c r="W1429" s="202"/>
      <c r="X1429" s="202"/>
    </row>
    <row r="1430" spans="2:28">
      <c r="B1430" s="4"/>
      <c r="C1430" s="4"/>
      <c r="D1430" s="107">
        <f>'2_入力シート【用途面積】'!$G16</f>
        <v>0</v>
      </c>
      <c r="E1430" s="564">
        <f>'2_入力シート【用途面積】'!$G16</f>
        <v>0</v>
      </c>
      <c r="F1430" s="564" t="str">
        <f t="shared" si="254"/>
        <v>0</v>
      </c>
      <c r="G1430" s="24"/>
      <c r="H1430" s="577"/>
      <c r="I1430" s="383" t="s">
        <v>2246</v>
      </c>
      <c r="J1430" s="561" t="s">
        <v>1407</v>
      </c>
      <c r="K1430" s="326">
        <v>1</v>
      </c>
      <c r="L1430" s="358" t="s">
        <v>2247</v>
      </c>
      <c r="M1430" s="325" t="s">
        <v>2181</v>
      </c>
      <c r="N1430" s="372"/>
      <c r="O1430" s="371"/>
      <c r="P1430" s="364"/>
      <c r="Q1430" s="365"/>
      <c r="R1430" s="364"/>
      <c r="S1430" s="364"/>
      <c r="T1430" s="382" t="str">
        <f t="shared" si="240"/>
        <v>階別用途別床面積-1-地下3階</v>
      </c>
      <c r="V1430" s="202"/>
      <c r="W1430" s="202"/>
      <c r="X1430" s="202"/>
    </row>
    <row r="1431" spans="2:28">
      <c r="B1431" s="4"/>
      <c r="C1431" s="4"/>
      <c r="D1431" s="107">
        <f>'2_入力シート【用途面積】'!$G17</f>
        <v>0</v>
      </c>
      <c r="E1431" s="564">
        <f>'2_入力シート【用途面積】'!$G17</f>
        <v>0</v>
      </c>
      <c r="F1431" s="564" t="str">
        <f t="shared" si="254"/>
        <v>0</v>
      </c>
      <c r="G1431" s="24"/>
      <c r="H1431" s="577"/>
      <c r="I1431" s="383" t="s">
        <v>2246</v>
      </c>
      <c r="J1431" s="561" t="s">
        <v>1407</v>
      </c>
      <c r="K1431" s="326">
        <v>1</v>
      </c>
      <c r="L1431" s="358" t="s">
        <v>2247</v>
      </c>
      <c r="M1431" s="325" t="s">
        <v>2182</v>
      </c>
      <c r="N1431" s="372"/>
      <c r="O1431" s="371"/>
      <c r="P1431" s="364"/>
      <c r="Q1431" s="365"/>
      <c r="R1431" s="364"/>
      <c r="S1431" s="364"/>
      <c r="T1431" s="382" t="str">
        <f t="shared" si="240"/>
        <v>階別用途別床面積-1-地下4階</v>
      </c>
      <c r="V1431" s="202"/>
      <c r="W1431" s="202"/>
      <c r="X1431" s="202"/>
    </row>
    <row r="1432" spans="2:28">
      <c r="B1432" s="4"/>
      <c r="C1432" s="4"/>
      <c r="D1432" s="107">
        <f>'2_入力シート【用途面積】'!$G18</f>
        <v>0</v>
      </c>
      <c r="E1432" s="564">
        <f>'2_入力シート【用途面積】'!$G18</f>
        <v>0</v>
      </c>
      <c r="F1432" s="564" t="str">
        <f t="shared" si="254"/>
        <v>0</v>
      </c>
      <c r="G1432" s="24"/>
      <c r="H1432" s="577"/>
      <c r="I1432" s="383" t="s">
        <v>2246</v>
      </c>
      <c r="J1432" s="561" t="s">
        <v>1407</v>
      </c>
      <c r="K1432" s="326">
        <v>1</v>
      </c>
      <c r="L1432" s="358" t="s">
        <v>2247</v>
      </c>
      <c r="M1432" s="325" t="s">
        <v>2183</v>
      </c>
      <c r="N1432" s="372"/>
      <c r="O1432" s="371"/>
      <c r="P1432" s="364"/>
      <c r="Q1432" s="365"/>
      <c r="R1432" s="203"/>
      <c r="S1432" s="203"/>
      <c r="T1432" s="382" t="str">
        <f t="shared" si="240"/>
        <v>階別用途別床面積-1-塔屋 1階</v>
      </c>
      <c r="V1432" s="202"/>
      <c r="W1432" s="202"/>
      <c r="X1432" s="202"/>
    </row>
    <row r="1433" spans="2:28">
      <c r="B1433" s="4"/>
      <c r="C1433" s="4"/>
      <c r="D1433" s="107">
        <f>'2_入力シート【用途面積】'!$G19</f>
        <v>0</v>
      </c>
      <c r="E1433" s="564">
        <f>'2_入力シート【用途面積】'!$G19</f>
        <v>0</v>
      </c>
      <c r="F1433" s="564" t="str">
        <f t="shared" si="254"/>
        <v>0</v>
      </c>
      <c r="G1433" s="24"/>
      <c r="H1433" s="577"/>
      <c r="I1433" s="383" t="s">
        <v>2246</v>
      </c>
      <c r="J1433" s="561" t="s">
        <v>1407</v>
      </c>
      <c r="K1433" s="326">
        <v>1</v>
      </c>
      <c r="L1433" s="358" t="s">
        <v>2247</v>
      </c>
      <c r="M1433" s="325" t="s">
        <v>2184</v>
      </c>
      <c r="N1433" s="372"/>
      <c r="O1433" s="371"/>
      <c r="P1433" s="364"/>
      <c r="Q1433" s="365"/>
      <c r="R1433" s="364"/>
      <c r="S1433" s="364"/>
      <c r="T1433" s="382" t="str">
        <f t="shared" si="240"/>
        <v>階別用途別床面積-1-塔屋 2階</v>
      </c>
      <c r="V1433" s="202"/>
      <c r="W1433" s="202"/>
      <c r="X1433" s="202"/>
    </row>
    <row r="1434" spans="2:28">
      <c r="B1434" s="4"/>
      <c r="C1434" s="4"/>
      <c r="D1434" s="107">
        <f>'2_入力シート【用途面積】'!$G20</f>
        <v>0</v>
      </c>
      <c r="E1434" s="564">
        <f>'2_入力シート【用途面積】'!$G20</f>
        <v>0</v>
      </c>
      <c r="F1434" s="564" t="str">
        <f t="shared" si="254"/>
        <v>0</v>
      </c>
      <c r="G1434" s="24"/>
      <c r="H1434" s="577"/>
      <c r="I1434" s="383" t="s">
        <v>2246</v>
      </c>
      <c r="J1434" s="561" t="s">
        <v>1407</v>
      </c>
      <c r="K1434" s="326">
        <v>1</v>
      </c>
      <c r="L1434" s="358" t="s">
        <v>2247</v>
      </c>
      <c r="M1434" s="325" t="s">
        <v>2185</v>
      </c>
      <c r="N1434" s="372"/>
      <c r="O1434" s="370"/>
      <c r="P1434" s="364"/>
      <c r="Q1434" s="365"/>
      <c r="R1434" s="364"/>
      <c r="S1434" s="364"/>
      <c r="T1434" s="382" t="str">
        <f t="shared" si="240"/>
        <v>階別用途別床面積-1-塔屋 3階</v>
      </c>
      <c r="V1434" s="202"/>
      <c r="W1434" s="202"/>
      <c r="X1434" s="202"/>
    </row>
    <row r="1435" spans="2:28">
      <c r="B1435" s="4"/>
      <c r="C1435" s="4"/>
      <c r="D1435" s="107">
        <f>'2_入力シート【用途面積】'!$G21</f>
        <v>0</v>
      </c>
      <c r="E1435" s="564">
        <f>'2_入力シート【用途面積】'!$G21</f>
        <v>0</v>
      </c>
      <c r="F1435" s="564" t="str">
        <f t="shared" si="254"/>
        <v>0</v>
      </c>
      <c r="G1435" s="24"/>
      <c r="H1435" s="577"/>
      <c r="I1435" s="383" t="s">
        <v>2246</v>
      </c>
      <c r="J1435" s="561" t="s">
        <v>1407</v>
      </c>
      <c r="K1435" s="326">
        <v>1</v>
      </c>
      <c r="L1435" s="358" t="s">
        <v>2247</v>
      </c>
      <c r="M1435" s="325" t="s">
        <v>2186</v>
      </c>
      <c r="N1435" s="372"/>
      <c r="O1435" s="370"/>
      <c r="P1435" s="364"/>
      <c r="Q1435" s="365"/>
      <c r="R1435" s="364"/>
      <c r="S1435" s="364"/>
      <c r="T1435" s="382" t="str">
        <f t="shared" si="240"/>
        <v>階別用途別床面積-1-塔屋 4階</v>
      </c>
      <c r="V1435" s="202"/>
      <c r="W1435" s="202"/>
      <c r="X1435" s="202"/>
    </row>
    <row r="1436" spans="2:28">
      <c r="B1436" s="4"/>
      <c r="C1436" s="4"/>
      <c r="D1436" s="107">
        <f>'2_入力シート【用途面積】'!$G22</f>
        <v>0</v>
      </c>
      <c r="E1436" s="564">
        <f>'2_入力シート【用途面積】'!$G22</f>
        <v>0</v>
      </c>
      <c r="F1436" s="564" t="str">
        <f t="shared" si="254"/>
        <v>0</v>
      </c>
      <c r="G1436" s="24"/>
      <c r="H1436" s="577"/>
      <c r="I1436" s="383" t="s">
        <v>2246</v>
      </c>
      <c r="J1436" s="561" t="s">
        <v>1407</v>
      </c>
      <c r="K1436" s="326">
        <v>1</v>
      </c>
      <c r="L1436" s="358" t="s">
        <v>2247</v>
      </c>
      <c r="M1436" s="325" t="s">
        <v>2187</v>
      </c>
      <c r="N1436" s="372"/>
      <c r="O1436" s="370"/>
      <c r="P1436" s="364"/>
      <c r="Q1436" s="365"/>
      <c r="R1436" s="364"/>
      <c r="S1436" s="364"/>
      <c r="T1436" s="382" t="str">
        <f t="shared" si="240"/>
        <v>階別用途別床面積-1-塔屋 5階</v>
      </c>
      <c r="V1436" s="202"/>
      <c r="W1436" s="202"/>
      <c r="X1436" s="202"/>
    </row>
    <row r="1437" spans="2:28">
      <c r="B1437" s="4"/>
      <c r="C1437" s="4"/>
      <c r="D1437" s="107">
        <f>'2_入力シート【用途面積】'!$G23</f>
        <v>0</v>
      </c>
      <c r="E1437" s="564">
        <f>'2_入力シート【用途面積】'!$G23</f>
        <v>0</v>
      </c>
      <c r="F1437" s="564" t="str">
        <f t="shared" si="254"/>
        <v>0</v>
      </c>
      <c r="G1437" s="24"/>
      <c r="H1437" s="577"/>
      <c r="I1437" s="383" t="s">
        <v>2246</v>
      </c>
      <c r="J1437" s="561" t="s">
        <v>1407</v>
      </c>
      <c r="K1437" s="326">
        <v>1</v>
      </c>
      <c r="L1437" s="358" t="s">
        <v>2247</v>
      </c>
      <c r="M1437" s="325" t="s">
        <v>2188</v>
      </c>
      <c r="N1437" s="372"/>
      <c r="O1437" s="371"/>
      <c r="P1437" s="203"/>
      <c r="Q1437" s="373"/>
      <c r="R1437" s="364"/>
      <c r="S1437" s="364"/>
      <c r="T1437" s="382" t="str">
        <f t="shared" si="240"/>
        <v>階別用途別床面積-1-1階</v>
      </c>
      <c r="V1437" s="202"/>
      <c r="W1437" s="202"/>
      <c r="X1437" s="202"/>
    </row>
    <row r="1438" spans="2:28">
      <c r="B1438" s="4"/>
      <c r="C1438" s="4"/>
      <c r="D1438" s="107">
        <f>'2_入力シート【用途面積】'!$G24</f>
        <v>0</v>
      </c>
      <c r="E1438" s="564">
        <f>'2_入力シート【用途面積】'!$G24</f>
        <v>0</v>
      </c>
      <c r="F1438" s="564" t="str">
        <f t="shared" si="254"/>
        <v>0</v>
      </c>
      <c r="G1438" s="24"/>
      <c r="H1438" s="577"/>
      <c r="I1438" s="383" t="s">
        <v>2246</v>
      </c>
      <c r="J1438" s="561" t="s">
        <v>1407</v>
      </c>
      <c r="K1438" s="326">
        <v>1</v>
      </c>
      <c r="L1438" s="358" t="s">
        <v>2247</v>
      </c>
      <c r="M1438" s="325" t="s">
        <v>2189</v>
      </c>
      <c r="N1438" s="372"/>
      <c r="O1438" s="371"/>
      <c r="P1438" s="364"/>
      <c r="Q1438" s="365"/>
      <c r="R1438" s="364"/>
      <c r="S1438" s="364"/>
      <c r="T1438" s="382" t="str">
        <f t="shared" si="240"/>
        <v>階別用途別床面積-1-2階</v>
      </c>
      <c r="V1438" s="202"/>
      <c r="W1438" s="202"/>
      <c r="X1438" s="202"/>
    </row>
    <row r="1439" spans="2:28">
      <c r="B1439" s="4"/>
      <c r="C1439" s="4"/>
      <c r="D1439" s="107">
        <f>'2_入力シート【用途面積】'!$G25</f>
        <v>0</v>
      </c>
      <c r="E1439" s="564">
        <f>'2_入力シート【用途面積】'!$G25</f>
        <v>0</v>
      </c>
      <c r="F1439" s="564" t="str">
        <f t="shared" si="254"/>
        <v>0</v>
      </c>
      <c r="G1439" s="24"/>
      <c r="H1439" s="577"/>
      <c r="I1439" s="383" t="s">
        <v>2246</v>
      </c>
      <c r="J1439" s="561" t="s">
        <v>1407</v>
      </c>
      <c r="K1439" s="326">
        <v>1</v>
      </c>
      <c r="L1439" s="358" t="s">
        <v>2247</v>
      </c>
      <c r="M1439" s="325" t="s">
        <v>2190</v>
      </c>
      <c r="N1439" s="372"/>
      <c r="O1439" s="371"/>
      <c r="P1439" s="364"/>
      <c r="Q1439" s="365"/>
      <c r="R1439" s="364"/>
      <c r="S1439" s="364"/>
      <c r="T1439" s="382" t="str">
        <f t="shared" si="240"/>
        <v>階別用途別床面積-1-3階</v>
      </c>
      <c r="V1439" s="202"/>
      <c r="W1439" s="202"/>
      <c r="X1439" s="202"/>
    </row>
    <row r="1440" spans="2:28">
      <c r="B1440" s="4"/>
      <c r="C1440" s="4"/>
      <c r="D1440" s="107">
        <f>'2_入力シート【用途面積】'!$G26</f>
        <v>0</v>
      </c>
      <c r="E1440" s="564">
        <f>'2_入力シート【用途面積】'!$G26</f>
        <v>0</v>
      </c>
      <c r="F1440" s="564" t="str">
        <f t="shared" si="254"/>
        <v>0</v>
      </c>
      <c r="G1440" s="24"/>
      <c r="H1440" s="577"/>
      <c r="I1440" s="383" t="s">
        <v>2246</v>
      </c>
      <c r="J1440" s="561" t="s">
        <v>1407</v>
      </c>
      <c r="K1440" s="326">
        <v>1</v>
      </c>
      <c r="L1440" s="358" t="s">
        <v>2247</v>
      </c>
      <c r="M1440" s="325" t="s">
        <v>2191</v>
      </c>
      <c r="N1440" s="372"/>
      <c r="O1440" s="371"/>
      <c r="P1440" s="364"/>
      <c r="Q1440" s="365"/>
      <c r="R1440" s="203"/>
      <c r="S1440" s="203"/>
      <c r="T1440" s="382" t="str">
        <f t="shared" si="240"/>
        <v>階別用途別床面積-1-4階</v>
      </c>
      <c r="V1440" s="202"/>
      <c r="W1440" s="202"/>
      <c r="X1440" s="202"/>
    </row>
    <row r="1441" spans="2:24">
      <c r="B1441" s="4"/>
      <c r="C1441" s="4"/>
      <c r="D1441" s="107">
        <f>'2_入力シート【用途面積】'!$G27</f>
        <v>0</v>
      </c>
      <c r="E1441" s="564">
        <f>'2_入力シート【用途面積】'!$G27</f>
        <v>0</v>
      </c>
      <c r="F1441" s="564" t="str">
        <f t="shared" si="254"/>
        <v>0</v>
      </c>
      <c r="G1441" s="24"/>
      <c r="H1441" s="577"/>
      <c r="I1441" s="383" t="s">
        <v>2246</v>
      </c>
      <c r="J1441" s="561" t="s">
        <v>1407</v>
      </c>
      <c r="K1441" s="326">
        <v>1</v>
      </c>
      <c r="L1441" s="358" t="s">
        <v>2247</v>
      </c>
      <c r="M1441" s="325" t="s">
        <v>2192</v>
      </c>
      <c r="N1441" s="372"/>
      <c r="O1441" s="371"/>
      <c r="P1441" s="364"/>
      <c r="Q1441" s="365"/>
      <c r="R1441" s="364"/>
      <c r="S1441" s="364"/>
      <c r="T1441" s="382" t="str">
        <f t="shared" si="240"/>
        <v>階別用途別床面積-1-5階</v>
      </c>
      <c r="V1441" s="202"/>
      <c r="W1441" s="202"/>
      <c r="X1441" s="202"/>
    </row>
    <row r="1442" spans="2:24">
      <c r="B1442" s="4"/>
      <c r="C1442" s="4"/>
      <c r="D1442" s="107">
        <f>'2_入力シート【用途面積】'!$G28</f>
        <v>0</v>
      </c>
      <c r="E1442" s="564">
        <f>'2_入力シート【用途面積】'!$G28</f>
        <v>0</v>
      </c>
      <c r="F1442" s="564" t="str">
        <f t="shared" si="254"/>
        <v>0</v>
      </c>
      <c r="G1442" s="24"/>
      <c r="H1442" s="577"/>
      <c r="I1442" s="383" t="s">
        <v>2246</v>
      </c>
      <c r="J1442" s="561" t="s">
        <v>1407</v>
      </c>
      <c r="K1442" s="326">
        <v>1</v>
      </c>
      <c r="L1442" s="358" t="s">
        <v>2247</v>
      </c>
      <c r="M1442" s="325" t="s">
        <v>2193</v>
      </c>
      <c r="N1442" s="372"/>
      <c r="O1442" s="370"/>
      <c r="P1442" s="364"/>
      <c r="Q1442" s="365"/>
      <c r="R1442" s="364"/>
      <c r="S1442" s="364"/>
      <c r="T1442" s="382" t="str">
        <f t="shared" si="240"/>
        <v>階別用途別床面積-1-6階</v>
      </c>
      <c r="V1442" s="202"/>
      <c r="W1442" s="202"/>
      <c r="X1442" s="202"/>
    </row>
    <row r="1443" spans="2:24">
      <c r="B1443" s="4"/>
      <c r="C1443" s="4"/>
      <c r="D1443" s="107">
        <f>'2_入力シート【用途面積】'!$G29</f>
        <v>0</v>
      </c>
      <c r="E1443" s="564">
        <f>'2_入力シート【用途面積】'!$G29</f>
        <v>0</v>
      </c>
      <c r="F1443" s="564" t="str">
        <f t="shared" si="254"/>
        <v>0</v>
      </c>
      <c r="G1443" s="24"/>
      <c r="H1443" s="577"/>
      <c r="I1443" s="383" t="s">
        <v>2246</v>
      </c>
      <c r="J1443" s="561" t="s">
        <v>1407</v>
      </c>
      <c r="K1443" s="326">
        <v>1</v>
      </c>
      <c r="L1443" s="358" t="s">
        <v>2247</v>
      </c>
      <c r="M1443" s="325" t="s">
        <v>2194</v>
      </c>
      <c r="N1443" s="372"/>
      <c r="O1443" s="370"/>
      <c r="P1443" s="364"/>
      <c r="Q1443" s="365"/>
      <c r="R1443" s="364"/>
      <c r="S1443" s="364"/>
      <c r="T1443" s="382" t="str">
        <f t="shared" si="240"/>
        <v>階別用途別床面積-1-7階</v>
      </c>
      <c r="V1443" s="202"/>
      <c r="W1443" s="202"/>
      <c r="X1443" s="202"/>
    </row>
    <row r="1444" spans="2:24">
      <c r="B1444" s="4"/>
      <c r="C1444" s="4"/>
      <c r="D1444" s="107">
        <f>'2_入力シート【用途面積】'!$G30</f>
        <v>0</v>
      </c>
      <c r="E1444" s="564">
        <f>'2_入力シート【用途面積】'!$G30</f>
        <v>0</v>
      </c>
      <c r="F1444" s="564" t="str">
        <f t="shared" si="254"/>
        <v>0</v>
      </c>
      <c r="G1444" s="24"/>
      <c r="H1444" s="577"/>
      <c r="I1444" s="383" t="s">
        <v>2246</v>
      </c>
      <c r="J1444" s="561" t="s">
        <v>1407</v>
      </c>
      <c r="K1444" s="326">
        <v>1</v>
      </c>
      <c r="L1444" s="358" t="s">
        <v>2247</v>
      </c>
      <c r="M1444" s="325" t="s">
        <v>2195</v>
      </c>
      <c r="N1444" s="372"/>
      <c r="O1444" s="370"/>
      <c r="P1444" s="364"/>
      <c r="Q1444" s="365"/>
      <c r="R1444" s="364"/>
      <c r="S1444" s="364"/>
      <c r="T1444" s="382" t="str">
        <f t="shared" si="240"/>
        <v>階別用途別床面積-1-8階</v>
      </c>
      <c r="V1444" s="202"/>
      <c r="W1444" s="202"/>
      <c r="X1444" s="202"/>
    </row>
    <row r="1445" spans="2:24">
      <c r="B1445" s="4"/>
      <c r="C1445" s="4"/>
      <c r="D1445" s="107">
        <f>'2_入力シート【用途面積】'!$G31</f>
        <v>0</v>
      </c>
      <c r="E1445" s="564">
        <f>'2_入力シート【用途面積】'!$G31</f>
        <v>0</v>
      </c>
      <c r="F1445" s="564" t="str">
        <f t="shared" si="254"/>
        <v>0</v>
      </c>
      <c r="G1445" s="24"/>
      <c r="H1445" s="577"/>
      <c r="I1445" s="383" t="s">
        <v>2246</v>
      </c>
      <c r="J1445" s="561" t="s">
        <v>1407</v>
      </c>
      <c r="K1445" s="326">
        <v>1</v>
      </c>
      <c r="L1445" s="358" t="s">
        <v>2247</v>
      </c>
      <c r="M1445" s="325" t="s">
        <v>2196</v>
      </c>
      <c r="N1445" s="372"/>
      <c r="O1445" s="371"/>
      <c r="P1445" s="203"/>
      <c r="Q1445" s="373"/>
      <c r="R1445" s="364"/>
      <c r="S1445" s="364"/>
      <c r="T1445" s="382" t="str">
        <f t="shared" si="240"/>
        <v>階別用途別床面積-1-9階</v>
      </c>
      <c r="V1445" s="202"/>
      <c r="W1445" s="202"/>
      <c r="X1445" s="202"/>
    </row>
    <row r="1446" spans="2:24">
      <c r="B1446" s="4"/>
      <c r="C1446" s="4"/>
      <c r="D1446" s="107">
        <f>'2_入力シート【用途面積】'!$G32</f>
        <v>0</v>
      </c>
      <c r="E1446" s="564">
        <f>'2_入力シート【用途面積】'!$G32</f>
        <v>0</v>
      </c>
      <c r="F1446" s="564" t="str">
        <f t="shared" si="254"/>
        <v>0</v>
      </c>
      <c r="G1446" s="24"/>
      <c r="H1446" s="577"/>
      <c r="I1446" s="383" t="s">
        <v>2246</v>
      </c>
      <c r="J1446" s="561" t="s">
        <v>1407</v>
      </c>
      <c r="K1446" s="326">
        <v>1</v>
      </c>
      <c r="L1446" s="358" t="s">
        <v>2247</v>
      </c>
      <c r="M1446" s="325" t="s">
        <v>2197</v>
      </c>
      <c r="N1446" s="372"/>
      <c r="O1446" s="371"/>
      <c r="P1446" s="364"/>
      <c r="Q1446" s="365"/>
      <c r="R1446" s="364"/>
      <c r="S1446" s="364"/>
      <c r="T1446" s="13" t="str">
        <f t="shared" ref="T1446:T1506" si="260">CONCATENATE(H1446,I1446,J1446,K1446,L1446,M1446,N1446,O1446,P1446,Q1446)</f>
        <v>階別用途別床面積-1-10階</v>
      </c>
      <c r="V1446" s="202"/>
      <c r="W1446" s="202"/>
      <c r="X1446" s="202"/>
    </row>
    <row r="1447" spans="2:24">
      <c r="B1447" s="4"/>
      <c r="C1447" s="4"/>
      <c r="D1447" s="107">
        <f>'2_入力シート【用途面積】'!$G33</f>
        <v>0</v>
      </c>
      <c r="E1447" s="564">
        <f>'2_入力シート【用途面積】'!$G33</f>
        <v>0</v>
      </c>
      <c r="F1447" s="564" t="str">
        <f t="shared" si="254"/>
        <v>0</v>
      </c>
      <c r="G1447" s="24"/>
      <c r="H1447" s="577"/>
      <c r="I1447" s="383" t="s">
        <v>2246</v>
      </c>
      <c r="J1447" s="561" t="s">
        <v>1407</v>
      </c>
      <c r="K1447" s="326">
        <v>1</v>
      </c>
      <c r="L1447" s="358" t="s">
        <v>2247</v>
      </c>
      <c r="M1447" s="325" t="s">
        <v>2198</v>
      </c>
      <c r="N1447" s="372"/>
      <c r="O1447" s="371"/>
      <c r="P1447" s="364"/>
      <c r="Q1447" s="365"/>
      <c r="R1447" s="364"/>
      <c r="S1447" s="364"/>
      <c r="T1447" s="13" t="str">
        <f t="shared" si="260"/>
        <v>階別用途別床面積-1-11階</v>
      </c>
      <c r="V1447" s="202"/>
      <c r="W1447" s="202"/>
      <c r="X1447" s="202"/>
    </row>
    <row r="1448" spans="2:24">
      <c r="B1448" s="4"/>
      <c r="C1448" s="4"/>
      <c r="D1448" s="107">
        <f>'2_入力シート【用途面積】'!$G34</f>
        <v>0</v>
      </c>
      <c r="E1448" s="564">
        <f>'2_入力シート【用途面積】'!$G34</f>
        <v>0</v>
      </c>
      <c r="F1448" s="564" t="str">
        <f t="shared" si="254"/>
        <v>0</v>
      </c>
      <c r="G1448" s="24"/>
      <c r="H1448" s="577"/>
      <c r="I1448" s="383" t="s">
        <v>2246</v>
      </c>
      <c r="J1448" s="561" t="s">
        <v>1407</v>
      </c>
      <c r="K1448" s="326">
        <v>1</v>
      </c>
      <c r="L1448" s="358" t="s">
        <v>2247</v>
      </c>
      <c r="M1448" s="325" t="s">
        <v>2199</v>
      </c>
      <c r="N1448" s="372"/>
      <c r="O1448" s="371"/>
      <c r="P1448" s="364"/>
      <c r="Q1448" s="365"/>
      <c r="R1448" s="203"/>
      <c r="S1448" s="203"/>
      <c r="T1448" s="13" t="str">
        <f t="shared" si="260"/>
        <v>階別用途別床面積-1-12階</v>
      </c>
      <c r="V1448" s="202"/>
      <c r="W1448" s="202"/>
      <c r="X1448" s="202"/>
    </row>
    <row r="1449" spans="2:24">
      <c r="B1449" s="4"/>
      <c r="C1449" s="4"/>
      <c r="D1449" s="107">
        <f>'2_入力シート【用途面積】'!$G35</f>
        <v>0</v>
      </c>
      <c r="E1449" s="564">
        <f>'2_入力シート【用途面積】'!$G35</f>
        <v>0</v>
      </c>
      <c r="F1449" s="564" t="str">
        <f t="shared" si="254"/>
        <v>0</v>
      </c>
      <c r="G1449" s="24"/>
      <c r="H1449" s="577"/>
      <c r="I1449" s="383" t="s">
        <v>2246</v>
      </c>
      <c r="J1449" s="561" t="s">
        <v>1407</v>
      </c>
      <c r="K1449" s="326">
        <v>1</v>
      </c>
      <c r="L1449" s="358" t="s">
        <v>2247</v>
      </c>
      <c r="M1449" s="325" t="s">
        <v>2200</v>
      </c>
      <c r="N1449" s="372"/>
      <c r="O1449" s="371"/>
      <c r="P1449" s="364"/>
      <c r="Q1449" s="365"/>
      <c r="R1449" s="364"/>
      <c r="S1449" s="364"/>
      <c r="T1449" s="13" t="str">
        <f t="shared" si="260"/>
        <v>階別用途別床面積-1-13階</v>
      </c>
      <c r="V1449" s="202"/>
      <c r="W1449" s="202"/>
      <c r="X1449" s="202"/>
    </row>
    <row r="1450" spans="2:24">
      <c r="B1450" s="4"/>
      <c r="C1450" s="4"/>
      <c r="D1450" s="107">
        <f>'2_入力シート【用途面積】'!$G36</f>
        <v>0</v>
      </c>
      <c r="E1450" s="564">
        <f>'2_入力シート【用途面積】'!$G36</f>
        <v>0</v>
      </c>
      <c r="F1450" s="564" t="str">
        <f t="shared" si="254"/>
        <v>0</v>
      </c>
      <c r="G1450" s="24"/>
      <c r="H1450" s="577"/>
      <c r="I1450" s="383" t="s">
        <v>2246</v>
      </c>
      <c r="J1450" s="561" t="s">
        <v>1407</v>
      </c>
      <c r="K1450" s="326">
        <v>1</v>
      </c>
      <c r="L1450" s="358" t="s">
        <v>2247</v>
      </c>
      <c r="M1450" s="325" t="s">
        <v>2201</v>
      </c>
      <c r="N1450" s="372"/>
      <c r="O1450" s="370"/>
      <c r="P1450" s="364"/>
      <c r="Q1450" s="365"/>
      <c r="R1450" s="364"/>
      <c r="S1450" s="364"/>
      <c r="T1450" s="13" t="str">
        <f t="shared" si="260"/>
        <v>階別用途別床面積-1-14階</v>
      </c>
      <c r="V1450" s="202"/>
      <c r="W1450" s="202"/>
      <c r="X1450" s="202"/>
    </row>
    <row r="1451" spans="2:24">
      <c r="B1451" s="4"/>
      <c r="C1451" s="4"/>
      <c r="D1451" s="107">
        <f>'2_入力シート【用途面積】'!$G37</f>
        <v>0</v>
      </c>
      <c r="E1451" s="564">
        <f>'2_入力シート【用途面積】'!$G37</f>
        <v>0</v>
      </c>
      <c r="F1451" s="564" t="str">
        <f t="shared" si="254"/>
        <v>0</v>
      </c>
      <c r="G1451" s="24"/>
      <c r="H1451" s="577"/>
      <c r="I1451" s="383" t="s">
        <v>2246</v>
      </c>
      <c r="J1451" s="561" t="s">
        <v>1407</v>
      </c>
      <c r="K1451" s="326">
        <v>1</v>
      </c>
      <c r="L1451" s="358" t="s">
        <v>2247</v>
      </c>
      <c r="M1451" s="325" t="s">
        <v>2202</v>
      </c>
      <c r="N1451" s="372"/>
      <c r="O1451" s="370"/>
      <c r="P1451" s="364"/>
      <c r="Q1451" s="365"/>
      <c r="R1451" s="364"/>
      <c r="S1451" s="364"/>
      <c r="T1451" s="13" t="str">
        <f t="shared" si="260"/>
        <v>階別用途別床面積-1-15階</v>
      </c>
      <c r="V1451" s="202"/>
      <c r="W1451" s="202"/>
      <c r="X1451" s="202"/>
    </row>
    <row r="1452" spans="2:24">
      <c r="B1452" s="4"/>
      <c r="C1452" s="4"/>
      <c r="D1452" s="107">
        <f>'2_入力シート【用途面積】'!$G38</f>
        <v>0</v>
      </c>
      <c r="E1452" s="564">
        <f>'2_入力シート【用途面積】'!$G38</f>
        <v>0</v>
      </c>
      <c r="F1452" s="564" t="str">
        <f t="shared" si="254"/>
        <v>0</v>
      </c>
      <c r="G1452" s="24"/>
      <c r="H1452" s="577"/>
      <c r="I1452" s="383" t="s">
        <v>2246</v>
      </c>
      <c r="J1452" s="561" t="s">
        <v>1407</v>
      </c>
      <c r="K1452" s="326">
        <v>1</v>
      </c>
      <c r="L1452" s="358" t="s">
        <v>2247</v>
      </c>
      <c r="M1452" s="325" t="s">
        <v>2203</v>
      </c>
      <c r="N1452" s="372"/>
      <c r="O1452" s="370"/>
      <c r="P1452" s="364"/>
      <c r="Q1452" s="365"/>
      <c r="R1452" s="364"/>
      <c r="S1452" s="364"/>
      <c r="T1452" s="13" t="str">
        <f t="shared" si="260"/>
        <v>階別用途別床面積-1-16階</v>
      </c>
      <c r="V1452" s="202"/>
      <c r="W1452" s="202"/>
      <c r="X1452" s="202"/>
    </row>
    <row r="1453" spans="2:24">
      <c r="B1453" s="4"/>
      <c r="C1453" s="4"/>
      <c r="D1453" s="107">
        <f>'2_入力シート【用途面積】'!$G39</f>
        <v>0</v>
      </c>
      <c r="E1453" s="564">
        <f>'2_入力シート【用途面積】'!$G39</f>
        <v>0</v>
      </c>
      <c r="F1453" s="564" t="str">
        <f t="shared" si="254"/>
        <v>0</v>
      </c>
      <c r="G1453" s="24"/>
      <c r="H1453" s="577"/>
      <c r="I1453" s="383" t="s">
        <v>2246</v>
      </c>
      <c r="J1453" s="561" t="s">
        <v>1407</v>
      </c>
      <c r="K1453" s="326">
        <v>1</v>
      </c>
      <c r="L1453" s="358" t="s">
        <v>2247</v>
      </c>
      <c r="M1453" s="325" t="s">
        <v>2204</v>
      </c>
      <c r="N1453" s="372"/>
      <c r="O1453" s="371"/>
      <c r="P1453" s="203"/>
      <c r="Q1453" s="373"/>
      <c r="R1453" s="364"/>
      <c r="S1453" s="364"/>
      <c r="T1453" s="13" t="str">
        <f t="shared" si="260"/>
        <v>階別用途別床面積-1-17階</v>
      </c>
      <c r="V1453" s="202"/>
      <c r="W1453" s="202"/>
      <c r="X1453" s="202"/>
    </row>
    <row r="1454" spans="2:24">
      <c r="B1454" s="4"/>
      <c r="C1454" s="4"/>
      <c r="D1454" s="107">
        <f>'2_入力シート【用途面積】'!$G40</f>
        <v>0</v>
      </c>
      <c r="E1454" s="564">
        <f>'2_入力シート【用途面積】'!$G40</f>
        <v>0</v>
      </c>
      <c r="F1454" s="564" t="str">
        <f t="shared" si="254"/>
        <v>0</v>
      </c>
      <c r="G1454" s="24"/>
      <c r="H1454" s="577"/>
      <c r="I1454" s="383" t="s">
        <v>2246</v>
      </c>
      <c r="J1454" s="561" t="s">
        <v>1407</v>
      </c>
      <c r="K1454" s="326">
        <v>1</v>
      </c>
      <c r="L1454" s="358" t="s">
        <v>2247</v>
      </c>
      <c r="M1454" s="325" t="s">
        <v>2205</v>
      </c>
      <c r="N1454" s="372"/>
      <c r="O1454" s="371"/>
      <c r="P1454" s="364"/>
      <c r="Q1454" s="365"/>
      <c r="R1454" s="364"/>
      <c r="S1454" s="364"/>
      <c r="T1454" s="13" t="str">
        <f t="shared" si="260"/>
        <v>階別用途別床面積-1-18階</v>
      </c>
      <c r="V1454" s="202"/>
      <c r="W1454" s="202"/>
      <c r="X1454" s="202"/>
    </row>
    <row r="1455" spans="2:24">
      <c r="B1455" s="4"/>
      <c r="C1455" s="4"/>
      <c r="D1455" s="107">
        <f>'2_入力シート【用途面積】'!$G41</f>
        <v>0</v>
      </c>
      <c r="E1455" s="564">
        <f>'2_入力シート【用途面積】'!$G41</f>
        <v>0</v>
      </c>
      <c r="F1455" s="564" t="str">
        <f t="shared" si="254"/>
        <v>0</v>
      </c>
      <c r="G1455" s="24"/>
      <c r="H1455" s="577"/>
      <c r="I1455" s="383" t="s">
        <v>2246</v>
      </c>
      <c r="J1455" s="561" t="s">
        <v>1407</v>
      </c>
      <c r="K1455" s="326">
        <v>1</v>
      </c>
      <c r="L1455" s="358" t="s">
        <v>2247</v>
      </c>
      <c r="M1455" s="325" t="s">
        <v>2206</v>
      </c>
      <c r="N1455" s="372"/>
      <c r="O1455" s="371"/>
      <c r="P1455" s="364"/>
      <c r="Q1455" s="365"/>
      <c r="R1455" s="364"/>
      <c r="S1455" s="364"/>
      <c r="T1455" s="13" t="str">
        <f t="shared" si="260"/>
        <v>階別用途別床面積-1-19階</v>
      </c>
      <c r="V1455" s="202"/>
      <c r="W1455" s="202"/>
      <c r="X1455" s="202"/>
    </row>
    <row r="1456" spans="2:24">
      <c r="B1456" s="4"/>
      <c r="C1456" s="4"/>
      <c r="D1456" s="107">
        <f>'2_入力シート【用途面積】'!$G42</f>
        <v>0</v>
      </c>
      <c r="E1456" s="564">
        <f>'2_入力シート【用途面積】'!$G42</f>
        <v>0</v>
      </c>
      <c r="F1456" s="564" t="str">
        <f t="shared" si="254"/>
        <v>0</v>
      </c>
      <c r="G1456" s="24"/>
      <c r="H1456" s="577"/>
      <c r="I1456" s="383" t="s">
        <v>2246</v>
      </c>
      <c r="J1456" s="561" t="s">
        <v>1407</v>
      </c>
      <c r="K1456" s="326">
        <v>1</v>
      </c>
      <c r="L1456" s="358" t="s">
        <v>2247</v>
      </c>
      <c r="M1456" s="325" t="s">
        <v>2207</v>
      </c>
      <c r="N1456" s="372"/>
      <c r="O1456" s="371"/>
      <c r="P1456" s="364"/>
      <c r="Q1456" s="365"/>
      <c r="R1456" s="203"/>
      <c r="S1456" s="203"/>
      <c r="T1456" s="13" t="str">
        <f t="shared" si="260"/>
        <v>階別用途別床面積-1-20階</v>
      </c>
      <c r="V1456" s="202"/>
      <c r="W1456" s="202"/>
      <c r="X1456" s="202"/>
    </row>
    <row r="1457" spans="2:24">
      <c r="B1457" s="4"/>
      <c r="C1457" s="4"/>
      <c r="D1457" s="107">
        <f>'2_入力シート【用途面積】'!$G43</f>
        <v>0</v>
      </c>
      <c r="E1457" s="564">
        <f>'2_入力シート【用途面積】'!$G43</f>
        <v>0</v>
      </c>
      <c r="F1457" s="564" t="str">
        <f t="shared" si="254"/>
        <v>0</v>
      </c>
      <c r="G1457" s="24"/>
      <c r="H1457" s="577"/>
      <c r="I1457" s="383" t="s">
        <v>2246</v>
      </c>
      <c r="J1457" s="561" t="s">
        <v>1407</v>
      </c>
      <c r="K1457" s="326">
        <v>1</v>
      </c>
      <c r="L1457" s="358" t="s">
        <v>2247</v>
      </c>
      <c r="M1457" s="325" t="s">
        <v>2208</v>
      </c>
      <c r="N1457" s="372"/>
      <c r="O1457" s="371"/>
      <c r="P1457" s="364"/>
      <c r="Q1457" s="365"/>
      <c r="R1457" s="364"/>
      <c r="S1457" s="364"/>
      <c r="T1457" s="13" t="str">
        <f t="shared" si="260"/>
        <v>階別用途別床面積-1-21階</v>
      </c>
      <c r="V1457" s="202"/>
      <c r="W1457" s="202"/>
      <c r="X1457" s="202"/>
    </row>
    <row r="1458" spans="2:24">
      <c r="B1458" s="4"/>
      <c r="C1458" s="4"/>
      <c r="D1458" s="107">
        <f>'2_入力シート【用途面積】'!$G44</f>
        <v>0</v>
      </c>
      <c r="E1458" s="564">
        <f>'2_入力シート【用途面積】'!$G44</f>
        <v>0</v>
      </c>
      <c r="F1458" s="564" t="str">
        <f t="shared" si="254"/>
        <v>0</v>
      </c>
      <c r="G1458" s="24"/>
      <c r="H1458" s="577"/>
      <c r="I1458" s="383" t="s">
        <v>2246</v>
      </c>
      <c r="J1458" s="561" t="s">
        <v>1407</v>
      </c>
      <c r="K1458" s="326">
        <v>1</v>
      </c>
      <c r="L1458" s="358" t="s">
        <v>2247</v>
      </c>
      <c r="M1458" s="325" t="s">
        <v>2209</v>
      </c>
      <c r="N1458" s="372"/>
      <c r="O1458" s="370"/>
      <c r="P1458" s="364"/>
      <c r="Q1458" s="365"/>
      <c r="R1458" s="364"/>
      <c r="S1458" s="364"/>
      <c r="T1458" s="13" t="str">
        <f t="shared" si="260"/>
        <v>階別用途別床面積-1-22階</v>
      </c>
      <c r="V1458" s="202"/>
      <c r="W1458" s="202"/>
      <c r="X1458" s="202"/>
    </row>
    <row r="1459" spans="2:24">
      <c r="B1459" s="4"/>
      <c r="C1459" s="4"/>
      <c r="D1459" s="107">
        <f>'2_入力シート【用途面積】'!$G45</f>
        <v>0</v>
      </c>
      <c r="E1459" s="564">
        <f>'2_入力シート【用途面積】'!$G45</f>
        <v>0</v>
      </c>
      <c r="F1459" s="564" t="str">
        <f t="shared" si="254"/>
        <v>0</v>
      </c>
      <c r="G1459" s="24"/>
      <c r="H1459" s="577"/>
      <c r="I1459" s="383" t="s">
        <v>2246</v>
      </c>
      <c r="J1459" s="561" t="s">
        <v>1407</v>
      </c>
      <c r="K1459" s="326">
        <v>1</v>
      </c>
      <c r="L1459" s="358" t="s">
        <v>2247</v>
      </c>
      <c r="M1459" s="325" t="s">
        <v>2210</v>
      </c>
      <c r="N1459" s="372"/>
      <c r="O1459" s="370"/>
      <c r="P1459" s="364"/>
      <c r="Q1459" s="365"/>
      <c r="R1459" s="364"/>
      <c r="S1459" s="364"/>
      <c r="T1459" s="13" t="str">
        <f t="shared" si="260"/>
        <v>階別用途別床面積-1-23階</v>
      </c>
      <c r="V1459" s="202"/>
      <c r="W1459" s="202"/>
      <c r="X1459" s="202"/>
    </row>
    <row r="1460" spans="2:24">
      <c r="B1460" s="4"/>
      <c r="C1460" s="4"/>
      <c r="D1460" s="107">
        <f>'2_入力シート【用途面積】'!$G46</f>
        <v>0</v>
      </c>
      <c r="E1460" s="564">
        <f>'2_入力シート【用途面積】'!$G46</f>
        <v>0</v>
      </c>
      <c r="F1460" s="564" t="str">
        <f t="shared" si="254"/>
        <v>0</v>
      </c>
      <c r="G1460" s="24"/>
      <c r="H1460" s="577"/>
      <c r="I1460" s="383" t="s">
        <v>2246</v>
      </c>
      <c r="J1460" s="561" t="s">
        <v>1407</v>
      </c>
      <c r="K1460" s="326">
        <v>1</v>
      </c>
      <c r="L1460" s="358" t="s">
        <v>2247</v>
      </c>
      <c r="M1460" s="325" t="s">
        <v>2211</v>
      </c>
      <c r="N1460" s="372"/>
      <c r="O1460" s="370"/>
      <c r="P1460" s="364"/>
      <c r="Q1460" s="365"/>
      <c r="R1460" s="364"/>
      <c r="S1460" s="364"/>
      <c r="T1460" s="13" t="str">
        <f t="shared" si="260"/>
        <v>階別用途別床面積-1-24階</v>
      </c>
      <c r="V1460" s="202"/>
      <c r="W1460" s="202"/>
      <c r="X1460" s="202"/>
    </row>
    <row r="1461" spans="2:24">
      <c r="B1461" s="4"/>
      <c r="C1461" s="4"/>
      <c r="D1461" s="107">
        <f>'2_入力シート【用途面積】'!$G47</f>
        <v>0</v>
      </c>
      <c r="E1461" s="564">
        <f>'2_入力シート【用途面積】'!$G47</f>
        <v>0</v>
      </c>
      <c r="F1461" s="564" t="str">
        <f t="shared" si="254"/>
        <v>0</v>
      </c>
      <c r="G1461" s="24"/>
      <c r="H1461" s="577"/>
      <c r="I1461" s="383" t="s">
        <v>2246</v>
      </c>
      <c r="J1461" s="561" t="s">
        <v>1407</v>
      </c>
      <c r="K1461" s="326">
        <v>1</v>
      </c>
      <c r="L1461" s="358" t="s">
        <v>2247</v>
      </c>
      <c r="M1461" s="325" t="s">
        <v>2212</v>
      </c>
      <c r="N1461" s="372"/>
      <c r="O1461" s="371"/>
      <c r="P1461" s="203"/>
      <c r="Q1461" s="373"/>
      <c r="R1461" s="364"/>
      <c r="S1461" s="364"/>
      <c r="T1461" s="13" t="str">
        <f t="shared" si="260"/>
        <v>階別用途別床面積-1-25階</v>
      </c>
      <c r="V1461" s="202"/>
      <c r="W1461" s="202"/>
      <c r="X1461" s="202"/>
    </row>
    <row r="1462" spans="2:24">
      <c r="B1462" s="4"/>
      <c r="C1462" s="4"/>
      <c r="D1462" s="107">
        <f>'2_入力シート【用途面積】'!$G48</f>
        <v>0</v>
      </c>
      <c r="E1462" s="564">
        <f>'2_入力シート【用途面積】'!$G48</f>
        <v>0</v>
      </c>
      <c r="F1462" s="564" t="str">
        <f t="shared" si="254"/>
        <v>0</v>
      </c>
      <c r="G1462" s="24"/>
      <c r="H1462" s="577"/>
      <c r="I1462" s="383" t="s">
        <v>2246</v>
      </c>
      <c r="J1462" s="561" t="s">
        <v>1407</v>
      </c>
      <c r="K1462" s="326">
        <v>1</v>
      </c>
      <c r="L1462" s="358" t="s">
        <v>2247</v>
      </c>
      <c r="M1462" s="325" t="s">
        <v>2213</v>
      </c>
      <c r="N1462" s="372"/>
      <c r="O1462" s="371"/>
      <c r="P1462" s="364"/>
      <c r="Q1462" s="365"/>
      <c r="R1462" s="364"/>
      <c r="S1462" s="364"/>
      <c r="T1462" s="13" t="str">
        <f t="shared" si="260"/>
        <v>階別用途別床面積-1-26階</v>
      </c>
      <c r="V1462" s="202"/>
      <c r="W1462" s="202"/>
      <c r="X1462" s="202"/>
    </row>
    <row r="1463" spans="2:24">
      <c r="B1463" s="4"/>
      <c r="C1463" s="4"/>
      <c r="D1463" s="107">
        <f>'2_入力シート【用途面積】'!$G49</f>
        <v>0</v>
      </c>
      <c r="E1463" s="564">
        <f>'2_入力シート【用途面積】'!$G49</f>
        <v>0</v>
      </c>
      <c r="F1463" s="564" t="str">
        <f t="shared" si="254"/>
        <v>0</v>
      </c>
      <c r="G1463" s="24"/>
      <c r="H1463" s="577"/>
      <c r="I1463" s="383" t="s">
        <v>2246</v>
      </c>
      <c r="J1463" s="561" t="s">
        <v>1407</v>
      </c>
      <c r="K1463" s="326">
        <v>1</v>
      </c>
      <c r="L1463" s="358" t="s">
        <v>2247</v>
      </c>
      <c r="M1463" s="325" t="s">
        <v>2214</v>
      </c>
      <c r="N1463" s="372"/>
      <c r="O1463" s="371"/>
      <c r="P1463" s="364"/>
      <c r="Q1463" s="365"/>
      <c r="R1463" s="364"/>
      <c r="S1463" s="364"/>
      <c r="T1463" s="13" t="str">
        <f t="shared" si="260"/>
        <v>階別用途別床面積-1-27階</v>
      </c>
      <c r="V1463" s="202"/>
      <c r="W1463" s="202"/>
      <c r="X1463" s="202"/>
    </row>
    <row r="1464" spans="2:24">
      <c r="B1464" s="4"/>
      <c r="C1464" s="4"/>
      <c r="D1464" s="107">
        <f>'2_入力シート【用途面積】'!$G50</f>
        <v>0</v>
      </c>
      <c r="E1464" s="564">
        <f>'2_入力シート【用途面積】'!$G50</f>
        <v>0</v>
      </c>
      <c r="F1464" s="564" t="str">
        <f t="shared" si="254"/>
        <v>0</v>
      </c>
      <c r="G1464" s="24"/>
      <c r="H1464" s="577"/>
      <c r="I1464" s="383" t="s">
        <v>2246</v>
      </c>
      <c r="J1464" s="561" t="s">
        <v>1407</v>
      </c>
      <c r="K1464" s="326">
        <v>1</v>
      </c>
      <c r="L1464" s="358" t="s">
        <v>2247</v>
      </c>
      <c r="M1464" s="325" t="s">
        <v>2215</v>
      </c>
      <c r="N1464" s="372"/>
      <c r="O1464" s="371"/>
      <c r="P1464" s="364"/>
      <c r="Q1464" s="365"/>
      <c r="R1464" s="203"/>
      <c r="S1464" s="203"/>
      <c r="T1464" s="13" t="str">
        <f t="shared" si="260"/>
        <v>階別用途別床面積-1-28階</v>
      </c>
      <c r="V1464" s="202"/>
      <c r="W1464" s="202"/>
      <c r="X1464" s="202"/>
    </row>
    <row r="1465" spans="2:24">
      <c r="B1465" s="4"/>
      <c r="C1465" s="4"/>
      <c r="D1465" s="107">
        <f>'2_入力シート【用途面積】'!$G51</f>
        <v>0</v>
      </c>
      <c r="E1465" s="564">
        <f>'2_入力シート【用途面積】'!$G51</f>
        <v>0</v>
      </c>
      <c r="F1465" s="564" t="str">
        <f t="shared" si="254"/>
        <v>0</v>
      </c>
      <c r="G1465" s="24"/>
      <c r="H1465" s="577"/>
      <c r="I1465" s="383" t="s">
        <v>2246</v>
      </c>
      <c r="J1465" s="561" t="s">
        <v>1407</v>
      </c>
      <c r="K1465" s="326">
        <v>1</v>
      </c>
      <c r="L1465" s="358" t="s">
        <v>2247</v>
      </c>
      <c r="M1465" s="325" t="s">
        <v>2216</v>
      </c>
      <c r="N1465" s="372"/>
      <c r="O1465" s="371"/>
      <c r="P1465" s="364"/>
      <c r="Q1465" s="365"/>
      <c r="R1465" s="364"/>
      <c r="S1465" s="364"/>
      <c r="T1465" s="13" t="str">
        <f t="shared" si="260"/>
        <v>階別用途別床面積-1-29階</v>
      </c>
      <c r="V1465" s="202"/>
      <c r="W1465" s="202"/>
      <c r="X1465" s="202"/>
    </row>
    <row r="1466" spans="2:24">
      <c r="B1466" s="4"/>
      <c r="C1466" s="4"/>
      <c r="D1466" s="107">
        <f>'2_入力シート【用途面積】'!$G52</f>
        <v>0</v>
      </c>
      <c r="E1466" s="564">
        <f>'2_入力シート【用途面積】'!$G52</f>
        <v>0</v>
      </c>
      <c r="F1466" s="564" t="str">
        <f t="shared" si="254"/>
        <v>0</v>
      </c>
      <c r="G1466" s="24"/>
      <c r="H1466" s="577"/>
      <c r="I1466" s="383" t="s">
        <v>2246</v>
      </c>
      <c r="J1466" s="561" t="s">
        <v>1407</v>
      </c>
      <c r="K1466" s="326">
        <v>1</v>
      </c>
      <c r="L1466" s="358" t="s">
        <v>2247</v>
      </c>
      <c r="M1466" s="325" t="s">
        <v>2217</v>
      </c>
      <c r="N1466" s="372"/>
      <c r="O1466" s="370"/>
      <c r="P1466" s="364"/>
      <c r="Q1466" s="365"/>
      <c r="R1466" s="364"/>
      <c r="S1466" s="364"/>
      <c r="T1466" s="13" t="str">
        <f t="shared" si="260"/>
        <v>階別用途別床面積-1-30階</v>
      </c>
      <c r="V1466" s="202"/>
      <c r="W1466" s="202"/>
      <c r="X1466" s="202"/>
    </row>
    <row r="1467" spans="2:24">
      <c r="B1467" s="4"/>
      <c r="C1467" s="4"/>
      <c r="D1467" s="107">
        <f>'2_入力シート【用途面積】'!$G53</f>
        <v>0</v>
      </c>
      <c r="E1467" s="564">
        <f>'2_入力シート【用途面積】'!$G53</f>
        <v>0</v>
      </c>
      <c r="F1467" s="564" t="str">
        <f t="shared" si="254"/>
        <v>0</v>
      </c>
      <c r="G1467" s="24"/>
      <c r="H1467" s="577"/>
      <c r="I1467" s="383" t="s">
        <v>2246</v>
      </c>
      <c r="J1467" s="561" t="s">
        <v>1407</v>
      </c>
      <c r="K1467" s="326">
        <v>1</v>
      </c>
      <c r="L1467" s="358" t="s">
        <v>2247</v>
      </c>
      <c r="M1467" s="325" t="s">
        <v>2218</v>
      </c>
      <c r="N1467" s="372"/>
      <c r="O1467" s="370"/>
      <c r="P1467" s="364"/>
      <c r="Q1467" s="365"/>
      <c r="R1467" s="364"/>
      <c r="S1467" s="364"/>
      <c r="T1467" s="13" t="str">
        <f t="shared" si="260"/>
        <v>階別用途別床面積-1-31階</v>
      </c>
      <c r="V1467" s="202"/>
      <c r="W1467" s="202"/>
      <c r="X1467" s="202"/>
    </row>
    <row r="1468" spans="2:24">
      <c r="B1468" s="4"/>
      <c r="C1468" s="4"/>
      <c r="D1468" s="107">
        <f>'2_入力シート【用途面積】'!$G54</f>
        <v>0</v>
      </c>
      <c r="E1468" s="564">
        <f>'2_入力シート【用途面積】'!$G54</f>
        <v>0</v>
      </c>
      <c r="F1468" s="564" t="str">
        <f t="shared" si="254"/>
        <v>0</v>
      </c>
      <c r="G1468" s="24"/>
      <c r="H1468" s="577"/>
      <c r="I1468" s="383" t="s">
        <v>2246</v>
      </c>
      <c r="J1468" s="561" t="s">
        <v>1407</v>
      </c>
      <c r="K1468" s="326">
        <v>1</v>
      </c>
      <c r="L1468" s="358" t="s">
        <v>2247</v>
      </c>
      <c r="M1468" s="325" t="s">
        <v>2219</v>
      </c>
      <c r="N1468" s="372"/>
      <c r="O1468" s="370"/>
      <c r="P1468" s="364"/>
      <c r="Q1468" s="365"/>
      <c r="R1468" s="364"/>
      <c r="S1468" s="364"/>
      <c r="T1468" s="13" t="str">
        <f t="shared" si="260"/>
        <v>階別用途別床面積-1-32階</v>
      </c>
      <c r="V1468" s="202"/>
      <c r="W1468" s="202"/>
      <c r="X1468" s="202"/>
    </row>
    <row r="1469" spans="2:24">
      <c r="B1469" s="4"/>
      <c r="C1469" s="4"/>
      <c r="D1469" s="107">
        <f>'2_入力シート【用途面積】'!$G55</f>
        <v>0</v>
      </c>
      <c r="E1469" s="564">
        <f>'2_入力シート【用途面積】'!$G55</f>
        <v>0</v>
      </c>
      <c r="F1469" s="564" t="str">
        <f t="shared" si="254"/>
        <v>0</v>
      </c>
      <c r="G1469" s="24"/>
      <c r="H1469" s="577"/>
      <c r="I1469" s="383" t="s">
        <v>2246</v>
      </c>
      <c r="J1469" s="561" t="s">
        <v>1407</v>
      </c>
      <c r="K1469" s="326">
        <v>1</v>
      </c>
      <c r="L1469" s="358" t="s">
        <v>2247</v>
      </c>
      <c r="M1469" s="325" t="s">
        <v>2220</v>
      </c>
      <c r="N1469" s="372"/>
      <c r="O1469" s="371"/>
      <c r="P1469" s="203"/>
      <c r="Q1469" s="373"/>
      <c r="R1469" s="364"/>
      <c r="S1469" s="364"/>
      <c r="T1469" s="13" t="str">
        <f t="shared" si="260"/>
        <v>階別用途別床面積-1-33階</v>
      </c>
      <c r="V1469" s="202"/>
      <c r="W1469" s="202"/>
      <c r="X1469" s="202"/>
    </row>
    <row r="1470" spans="2:24">
      <c r="B1470" s="4"/>
      <c r="C1470" s="4"/>
      <c r="D1470" s="107">
        <f>'2_入力シート【用途面積】'!$G56</f>
        <v>0</v>
      </c>
      <c r="E1470" s="564">
        <f>'2_入力シート【用途面積】'!$G56</f>
        <v>0</v>
      </c>
      <c r="F1470" s="564" t="str">
        <f t="shared" si="254"/>
        <v>0</v>
      </c>
      <c r="G1470" s="24"/>
      <c r="H1470" s="577"/>
      <c r="I1470" s="383" t="s">
        <v>2246</v>
      </c>
      <c r="J1470" s="561" t="s">
        <v>1407</v>
      </c>
      <c r="K1470" s="326">
        <v>1</v>
      </c>
      <c r="L1470" s="358" t="s">
        <v>2247</v>
      </c>
      <c r="M1470" s="325" t="s">
        <v>2221</v>
      </c>
      <c r="N1470" s="372"/>
      <c r="O1470" s="371"/>
      <c r="P1470" s="364"/>
      <c r="Q1470" s="365"/>
      <c r="R1470" s="364"/>
      <c r="S1470" s="364"/>
      <c r="T1470" s="13" t="str">
        <f t="shared" si="260"/>
        <v>階別用途別床面積-1-34階</v>
      </c>
      <c r="V1470" s="202"/>
      <c r="W1470" s="202"/>
      <c r="X1470" s="202"/>
    </row>
    <row r="1471" spans="2:24">
      <c r="B1471" s="4"/>
      <c r="C1471" s="4"/>
      <c r="D1471" s="107">
        <f>'2_入力シート【用途面積】'!$G57</f>
        <v>0</v>
      </c>
      <c r="E1471" s="564">
        <f>'2_入力シート【用途面積】'!$G57</f>
        <v>0</v>
      </c>
      <c r="F1471" s="564" t="str">
        <f t="shared" si="254"/>
        <v>0</v>
      </c>
      <c r="G1471" s="24"/>
      <c r="H1471" s="577"/>
      <c r="I1471" s="383" t="s">
        <v>2246</v>
      </c>
      <c r="J1471" s="561" t="s">
        <v>1407</v>
      </c>
      <c r="K1471" s="326">
        <v>1</v>
      </c>
      <c r="L1471" s="358" t="s">
        <v>2247</v>
      </c>
      <c r="M1471" s="325" t="s">
        <v>2222</v>
      </c>
      <c r="N1471" s="372"/>
      <c r="O1471" s="371"/>
      <c r="P1471" s="364"/>
      <c r="Q1471" s="365"/>
      <c r="R1471" s="364"/>
      <c r="S1471" s="364"/>
      <c r="T1471" s="13" t="str">
        <f t="shared" si="260"/>
        <v>階別用途別床面積-1-35階</v>
      </c>
      <c r="V1471" s="202"/>
      <c r="W1471" s="202"/>
      <c r="X1471" s="202"/>
    </row>
    <row r="1472" spans="2:24">
      <c r="B1472" s="4"/>
      <c r="C1472" s="4"/>
      <c r="D1472" s="107">
        <f>'2_入力シート【用途面積】'!$G58</f>
        <v>0</v>
      </c>
      <c r="E1472" s="564">
        <f>'2_入力シート【用途面積】'!$G58</f>
        <v>0</v>
      </c>
      <c r="F1472" s="564" t="str">
        <f t="shared" si="254"/>
        <v>0</v>
      </c>
      <c r="G1472" s="24"/>
      <c r="H1472" s="577"/>
      <c r="I1472" s="383" t="s">
        <v>2246</v>
      </c>
      <c r="J1472" s="561" t="s">
        <v>1407</v>
      </c>
      <c r="K1472" s="326">
        <v>1</v>
      </c>
      <c r="L1472" s="358" t="s">
        <v>2247</v>
      </c>
      <c r="M1472" s="325" t="s">
        <v>2223</v>
      </c>
      <c r="N1472" s="372"/>
      <c r="O1472" s="371"/>
      <c r="P1472" s="364"/>
      <c r="Q1472" s="365"/>
      <c r="R1472" s="203"/>
      <c r="S1472" s="203"/>
      <c r="T1472" s="13" t="str">
        <f t="shared" si="260"/>
        <v>階別用途別床面積-1-36階</v>
      </c>
      <c r="V1472" s="202"/>
      <c r="W1472" s="202"/>
      <c r="X1472" s="202"/>
    </row>
    <row r="1473" spans="2:24">
      <c r="B1473" s="4"/>
      <c r="C1473" s="4"/>
      <c r="D1473" s="107">
        <f>'2_入力シート【用途面積】'!$G59</f>
        <v>0</v>
      </c>
      <c r="E1473" s="564">
        <f>'2_入力シート【用途面積】'!$G59</f>
        <v>0</v>
      </c>
      <c r="F1473" s="564" t="str">
        <f t="shared" si="254"/>
        <v>0</v>
      </c>
      <c r="G1473" s="24"/>
      <c r="H1473" s="577"/>
      <c r="I1473" s="383" t="s">
        <v>2246</v>
      </c>
      <c r="J1473" s="561" t="s">
        <v>1407</v>
      </c>
      <c r="K1473" s="326">
        <v>1</v>
      </c>
      <c r="L1473" s="358" t="s">
        <v>2247</v>
      </c>
      <c r="M1473" s="325" t="s">
        <v>2224</v>
      </c>
      <c r="N1473" s="372"/>
      <c r="O1473" s="371"/>
      <c r="P1473" s="364"/>
      <c r="Q1473" s="365"/>
      <c r="R1473" s="364"/>
      <c r="S1473" s="364"/>
      <c r="T1473" s="13" t="str">
        <f t="shared" si="260"/>
        <v>階別用途別床面積-1-37階</v>
      </c>
      <c r="V1473" s="202"/>
      <c r="W1473" s="202"/>
      <c r="X1473" s="202"/>
    </row>
    <row r="1474" spans="2:24">
      <c r="B1474" s="4"/>
      <c r="C1474" s="4"/>
      <c r="D1474" s="107">
        <f>'2_入力シート【用途面積】'!$G60</f>
        <v>0</v>
      </c>
      <c r="E1474" s="564">
        <f>'2_入力シート【用途面積】'!$G60</f>
        <v>0</v>
      </c>
      <c r="F1474" s="564" t="str">
        <f t="shared" si="254"/>
        <v>0</v>
      </c>
      <c r="G1474" s="24"/>
      <c r="H1474" s="577"/>
      <c r="I1474" s="383" t="s">
        <v>2246</v>
      </c>
      <c r="J1474" s="561" t="s">
        <v>1407</v>
      </c>
      <c r="K1474" s="326">
        <v>1</v>
      </c>
      <c r="L1474" s="358" t="s">
        <v>2247</v>
      </c>
      <c r="M1474" s="325" t="s">
        <v>2225</v>
      </c>
      <c r="N1474" s="372"/>
      <c r="O1474" s="370"/>
      <c r="P1474" s="364"/>
      <c r="Q1474" s="365"/>
      <c r="R1474" s="364"/>
      <c r="S1474" s="364"/>
      <c r="T1474" s="13" t="str">
        <f t="shared" si="260"/>
        <v>階別用途別床面積-1-38階</v>
      </c>
      <c r="V1474" s="202"/>
      <c r="W1474" s="202"/>
      <c r="X1474" s="202"/>
    </row>
    <row r="1475" spans="2:24">
      <c r="B1475" s="4"/>
      <c r="C1475" s="4"/>
      <c r="D1475" s="107">
        <f>'2_入力シート【用途面積】'!$G61</f>
        <v>0</v>
      </c>
      <c r="E1475" s="564">
        <f>'2_入力シート【用途面積】'!$G61</f>
        <v>0</v>
      </c>
      <c r="F1475" s="564" t="str">
        <f t="shared" si="254"/>
        <v>0</v>
      </c>
      <c r="G1475" s="24"/>
      <c r="H1475" s="577"/>
      <c r="I1475" s="383" t="s">
        <v>2246</v>
      </c>
      <c r="J1475" s="561" t="s">
        <v>1407</v>
      </c>
      <c r="K1475" s="326">
        <v>1</v>
      </c>
      <c r="L1475" s="358" t="s">
        <v>2247</v>
      </c>
      <c r="M1475" s="325" t="s">
        <v>2226</v>
      </c>
      <c r="N1475" s="372"/>
      <c r="O1475" s="370"/>
      <c r="P1475" s="364"/>
      <c r="Q1475" s="365"/>
      <c r="R1475" s="364"/>
      <c r="S1475" s="364"/>
      <c r="T1475" s="13" t="str">
        <f t="shared" si="260"/>
        <v>階別用途別床面積-1-39階</v>
      </c>
      <c r="V1475" s="202"/>
      <c r="W1475" s="202"/>
      <c r="X1475" s="202"/>
    </row>
    <row r="1476" spans="2:24">
      <c r="B1476" s="4"/>
      <c r="C1476" s="4"/>
      <c r="D1476" s="107">
        <f>'2_入力シート【用途面積】'!$G62</f>
        <v>0</v>
      </c>
      <c r="E1476" s="564">
        <f>'2_入力シート【用途面積】'!$G62</f>
        <v>0</v>
      </c>
      <c r="F1476" s="564" t="str">
        <f t="shared" si="254"/>
        <v>0</v>
      </c>
      <c r="G1476" s="24"/>
      <c r="H1476" s="577"/>
      <c r="I1476" s="383" t="s">
        <v>2246</v>
      </c>
      <c r="J1476" s="561" t="s">
        <v>1407</v>
      </c>
      <c r="K1476" s="326">
        <v>1</v>
      </c>
      <c r="L1476" s="358" t="s">
        <v>2247</v>
      </c>
      <c r="M1476" s="325" t="s">
        <v>2227</v>
      </c>
      <c r="N1476" s="372"/>
      <c r="O1476" s="370"/>
      <c r="P1476" s="364"/>
      <c r="Q1476" s="365"/>
      <c r="R1476" s="364"/>
      <c r="S1476" s="364"/>
      <c r="T1476" s="13" t="str">
        <f t="shared" si="260"/>
        <v>階別用途別床面積-1-40階</v>
      </c>
      <c r="V1476" s="202"/>
      <c r="W1476" s="202"/>
      <c r="X1476" s="202"/>
    </row>
    <row r="1477" spans="2:24">
      <c r="B1477" s="4"/>
      <c r="C1477" s="4"/>
      <c r="D1477" s="107">
        <f>'2_入力シート【用途面積】'!$G63</f>
        <v>0</v>
      </c>
      <c r="E1477" s="564">
        <f>'2_入力シート【用途面積】'!$G63</f>
        <v>0</v>
      </c>
      <c r="F1477" s="564" t="str">
        <f t="shared" ref="F1477:F1540" si="261">SUBSTITUTE(E1477,CHAR(10),"")</f>
        <v>0</v>
      </c>
      <c r="G1477" s="24"/>
      <c r="H1477" s="577"/>
      <c r="I1477" s="383" t="s">
        <v>2246</v>
      </c>
      <c r="J1477" s="561" t="s">
        <v>1407</v>
      </c>
      <c r="K1477" s="326">
        <v>1</v>
      </c>
      <c r="L1477" s="358" t="s">
        <v>2247</v>
      </c>
      <c r="M1477" s="325" t="s">
        <v>2228</v>
      </c>
      <c r="N1477" s="372"/>
      <c r="O1477" s="371"/>
      <c r="P1477" s="203"/>
      <c r="Q1477" s="373"/>
      <c r="R1477" s="364"/>
      <c r="S1477" s="364"/>
      <c r="T1477" s="13" t="str">
        <f t="shared" si="260"/>
        <v>階別用途別床面積-1-41階</v>
      </c>
      <c r="V1477" s="202"/>
      <c r="W1477" s="202"/>
      <c r="X1477" s="202"/>
    </row>
    <row r="1478" spans="2:24">
      <c r="B1478" s="4"/>
      <c r="C1478" s="4"/>
      <c r="D1478" s="107">
        <f>'2_入力シート【用途面積】'!$G64</f>
        <v>0</v>
      </c>
      <c r="E1478" s="564">
        <f>'2_入力シート【用途面積】'!$G64</f>
        <v>0</v>
      </c>
      <c r="F1478" s="564" t="str">
        <f t="shared" si="261"/>
        <v>0</v>
      </c>
      <c r="G1478" s="24"/>
      <c r="H1478" s="577"/>
      <c r="I1478" s="383" t="s">
        <v>2246</v>
      </c>
      <c r="J1478" s="561" t="s">
        <v>1407</v>
      </c>
      <c r="K1478" s="326">
        <v>1</v>
      </c>
      <c r="L1478" s="358" t="s">
        <v>2247</v>
      </c>
      <c r="M1478" s="325" t="s">
        <v>2229</v>
      </c>
      <c r="N1478" s="372"/>
      <c r="O1478" s="371"/>
      <c r="P1478" s="364"/>
      <c r="Q1478" s="365"/>
      <c r="R1478" s="364"/>
      <c r="S1478" s="364"/>
      <c r="T1478" s="13" t="str">
        <f t="shared" si="260"/>
        <v>階別用途別床面積-1-42階</v>
      </c>
      <c r="V1478" s="202"/>
      <c r="W1478" s="202"/>
      <c r="X1478" s="202"/>
    </row>
    <row r="1479" spans="2:24">
      <c r="B1479" s="4"/>
      <c r="C1479" s="4"/>
      <c r="D1479" s="107">
        <f>'2_入力シート【用途面積】'!$G65</f>
        <v>0</v>
      </c>
      <c r="E1479" s="564">
        <f>'2_入力シート【用途面積】'!$G65</f>
        <v>0</v>
      </c>
      <c r="F1479" s="564" t="str">
        <f t="shared" si="261"/>
        <v>0</v>
      </c>
      <c r="G1479" s="24"/>
      <c r="H1479" s="577"/>
      <c r="I1479" s="383" t="s">
        <v>2246</v>
      </c>
      <c r="J1479" s="561" t="s">
        <v>1407</v>
      </c>
      <c r="K1479" s="326">
        <v>1</v>
      </c>
      <c r="L1479" s="358" t="s">
        <v>2247</v>
      </c>
      <c r="M1479" s="325" t="s">
        <v>2230</v>
      </c>
      <c r="N1479" s="372"/>
      <c r="O1479" s="371"/>
      <c r="P1479" s="364"/>
      <c r="Q1479" s="365"/>
      <c r="R1479" s="364"/>
      <c r="S1479" s="364"/>
      <c r="T1479" s="13" t="str">
        <f t="shared" si="260"/>
        <v>階別用途別床面積-1-43階</v>
      </c>
      <c r="V1479" s="202"/>
      <c r="W1479" s="202"/>
      <c r="X1479" s="202"/>
    </row>
    <row r="1480" spans="2:24">
      <c r="B1480" s="4"/>
      <c r="C1480" s="4"/>
      <c r="D1480" s="107">
        <f>'2_入力シート【用途面積】'!$G66</f>
        <v>0</v>
      </c>
      <c r="E1480" s="564">
        <f>'2_入力シート【用途面積】'!$G66</f>
        <v>0</v>
      </c>
      <c r="F1480" s="564" t="str">
        <f t="shared" si="261"/>
        <v>0</v>
      </c>
      <c r="G1480" s="24"/>
      <c r="H1480" s="577"/>
      <c r="I1480" s="383" t="s">
        <v>2246</v>
      </c>
      <c r="J1480" s="561" t="s">
        <v>1407</v>
      </c>
      <c r="K1480" s="326">
        <v>1</v>
      </c>
      <c r="L1480" s="358" t="s">
        <v>2247</v>
      </c>
      <c r="M1480" s="325" t="s">
        <v>2231</v>
      </c>
      <c r="N1480" s="372"/>
      <c r="O1480" s="371"/>
      <c r="P1480" s="364"/>
      <c r="Q1480" s="365"/>
      <c r="R1480" s="203"/>
      <c r="S1480" s="203"/>
      <c r="T1480" s="13" t="str">
        <f t="shared" si="260"/>
        <v>階別用途別床面積-1-44階</v>
      </c>
      <c r="V1480" s="202"/>
      <c r="W1480" s="202"/>
      <c r="X1480" s="202"/>
    </row>
    <row r="1481" spans="2:24">
      <c r="B1481" s="4"/>
      <c r="C1481" s="4"/>
      <c r="D1481" s="107">
        <f>'2_入力シート【用途面積】'!$G67</f>
        <v>0</v>
      </c>
      <c r="E1481" s="564">
        <f>'2_入力シート【用途面積】'!$G67</f>
        <v>0</v>
      </c>
      <c r="F1481" s="564" t="str">
        <f t="shared" si="261"/>
        <v>0</v>
      </c>
      <c r="G1481" s="24"/>
      <c r="H1481" s="577"/>
      <c r="I1481" s="383" t="s">
        <v>2246</v>
      </c>
      <c r="J1481" s="561" t="s">
        <v>1407</v>
      </c>
      <c r="K1481" s="326">
        <v>1</v>
      </c>
      <c r="L1481" s="358" t="s">
        <v>2247</v>
      </c>
      <c r="M1481" s="325" t="s">
        <v>2232</v>
      </c>
      <c r="N1481" s="372"/>
      <c r="O1481" s="371"/>
      <c r="P1481" s="364"/>
      <c r="Q1481" s="365"/>
      <c r="R1481" s="364"/>
      <c r="S1481" s="364"/>
      <c r="T1481" s="13" t="str">
        <f t="shared" si="260"/>
        <v>階別用途別床面積-1-45階</v>
      </c>
      <c r="V1481" s="202"/>
      <c r="W1481" s="202"/>
      <c r="X1481" s="202"/>
    </row>
    <row r="1482" spans="2:24">
      <c r="B1482" s="4"/>
      <c r="C1482" s="4"/>
      <c r="D1482" s="107">
        <f>'2_入力シート【用途面積】'!$G68</f>
        <v>0</v>
      </c>
      <c r="E1482" s="564">
        <f>'2_入力シート【用途面積】'!$G68</f>
        <v>0</v>
      </c>
      <c r="F1482" s="564" t="str">
        <f t="shared" si="261"/>
        <v>0</v>
      </c>
      <c r="G1482" s="24"/>
      <c r="H1482" s="577"/>
      <c r="I1482" s="383" t="s">
        <v>2246</v>
      </c>
      <c r="J1482" s="561" t="s">
        <v>1407</v>
      </c>
      <c r="K1482" s="326">
        <v>1</v>
      </c>
      <c r="L1482" s="358" t="s">
        <v>2247</v>
      </c>
      <c r="M1482" s="325" t="s">
        <v>2233</v>
      </c>
      <c r="N1482" s="372"/>
      <c r="O1482" s="370"/>
      <c r="P1482" s="364"/>
      <c r="Q1482" s="365"/>
      <c r="R1482" s="364"/>
      <c r="S1482" s="364"/>
      <c r="T1482" s="13" t="str">
        <f t="shared" si="260"/>
        <v>階別用途別床面積-1-46階</v>
      </c>
      <c r="V1482" s="202"/>
      <c r="W1482" s="202"/>
      <c r="X1482" s="202"/>
    </row>
    <row r="1483" spans="2:24">
      <c r="B1483" s="4"/>
      <c r="C1483" s="4"/>
      <c r="D1483" s="107">
        <f>'2_入力シート【用途面積】'!$G69</f>
        <v>0</v>
      </c>
      <c r="E1483" s="564">
        <f>'2_入力シート【用途面積】'!$G69</f>
        <v>0</v>
      </c>
      <c r="F1483" s="564" t="str">
        <f t="shared" si="261"/>
        <v>0</v>
      </c>
      <c r="G1483" s="24"/>
      <c r="H1483" s="577"/>
      <c r="I1483" s="383" t="s">
        <v>2246</v>
      </c>
      <c r="J1483" s="561" t="s">
        <v>1407</v>
      </c>
      <c r="K1483" s="326">
        <v>1</v>
      </c>
      <c r="L1483" s="358" t="s">
        <v>2247</v>
      </c>
      <c r="M1483" s="325" t="s">
        <v>2234</v>
      </c>
      <c r="N1483" s="372"/>
      <c r="O1483" s="370"/>
      <c r="P1483" s="364"/>
      <c r="Q1483" s="365"/>
      <c r="R1483" s="364"/>
      <c r="S1483" s="364"/>
      <c r="T1483" s="13" t="str">
        <f t="shared" si="260"/>
        <v>階別用途別床面積-1-47階</v>
      </c>
      <c r="V1483" s="202"/>
      <c r="W1483" s="202"/>
      <c r="X1483" s="202"/>
    </row>
    <row r="1484" spans="2:24">
      <c r="B1484" s="4"/>
      <c r="C1484" s="4"/>
      <c r="D1484" s="107">
        <f>'2_入力シート【用途面積】'!$G70</f>
        <v>0</v>
      </c>
      <c r="E1484" s="564">
        <f>'2_入力シート【用途面積】'!$G70</f>
        <v>0</v>
      </c>
      <c r="F1484" s="564" t="str">
        <f t="shared" si="261"/>
        <v>0</v>
      </c>
      <c r="G1484" s="24"/>
      <c r="H1484" s="577"/>
      <c r="I1484" s="383" t="s">
        <v>2246</v>
      </c>
      <c r="J1484" s="561" t="s">
        <v>1407</v>
      </c>
      <c r="K1484" s="326">
        <v>1</v>
      </c>
      <c r="L1484" s="358" t="s">
        <v>2247</v>
      </c>
      <c r="M1484" s="325" t="s">
        <v>2235</v>
      </c>
      <c r="N1484" s="372"/>
      <c r="O1484" s="370"/>
      <c r="P1484" s="364"/>
      <c r="Q1484" s="365"/>
      <c r="R1484" s="364"/>
      <c r="S1484" s="364"/>
      <c r="T1484" s="13" t="str">
        <f t="shared" si="260"/>
        <v>階別用途別床面積-1-48階</v>
      </c>
      <c r="V1484" s="202"/>
      <c r="W1484" s="202"/>
      <c r="X1484" s="202"/>
    </row>
    <row r="1485" spans="2:24">
      <c r="B1485" s="4"/>
      <c r="C1485" s="4"/>
      <c r="D1485" s="107">
        <f>'2_入力シート【用途面積】'!$G71</f>
        <v>0</v>
      </c>
      <c r="E1485" s="564">
        <f>'2_入力シート【用途面積】'!$G71</f>
        <v>0</v>
      </c>
      <c r="F1485" s="564" t="str">
        <f t="shared" si="261"/>
        <v>0</v>
      </c>
      <c r="G1485" s="24"/>
      <c r="H1485" s="577"/>
      <c r="I1485" s="383" t="s">
        <v>2246</v>
      </c>
      <c r="J1485" s="561" t="s">
        <v>1407</v>
      </c>
      <c r="K1485" s="326">
        <v>1</v>
      </c>
      <c r="L1485" s="358" t="s">
        <v>2247</v>
      </c>
      <c r="M1485" s="325" t="s">
        <v>2236</v>
      </c>
      <c r="N1485" s="372"/>
      <c r="O1485" s="371"/>
      <c r="P1485" s="203"/>
      <c r="Q1485" s="373"/>
      <c r="R1485" s="364"/>
      <c r="S1485" s="364"/>
      <c r="T1485" s="13" t="str">
        <f t="shared" si="260"/>
        <v>階別用途別床面積-1-49階</v>
      </c>
      <c r="V1485" s="202"/>
      <c r="W1485" s="202"/>
      <c r="X1485" s="202"/>
    </row>
    <row r="1486" spans="2:24">
      <c r="B1486" s="4"/>
      <c r="C1486" s="4"/>
      <c r="D1486" s="107">
        <f>'2_入力シート【用途面積】'!$G72</f>
        <v>0</v>
      </c>
      <c r="E1486" s="564">
        <f>'2_入力シート【用途面積】'!$G72</f>
        <v>0</v>
      </c>
      <c r="F1486" s="564" t="str">
        <f t="shared" si="261"/>
        <v>0</v>
      </c>
      <c r="G1486" s="24"/>
      <c r="H1486" s="577"/>
      <c r="I1486" s="383" t="s">
        <v>2246</v>
      </c>
      <c r="J1486" s="561" t="s">
        <v>1407</v>
      </c>
      <c r="K1486" s="326">
        <v>1</v>
      </c>
      <c r="L1486" s="358" t="s">
        <v>2247</v>
      </c>
      <c r="M1486" s="325" t="s">
        <v>2237</v>
      </c>
      <c r="N1486" s="372"/>
      <c r="O1486" s="371"/>
      <c r="P1486" s="364"/>
      <c r="Q1486" s="365"/>
      <c r="R1486" s="364"/>
      <c r="S1486" s="364"/>
      <c r="T1486" s="13" t="str">
        <f t="shared" si="260"/>
        <v>階別用途別床面積-1-50階</v>
      </c>
      <c r="V1486" s="202"/>
      <c r="W1486" s="202"/>
      <c r="X1486" s="202"/>
    </row>
    <row r="1487" spans="2:24">
      <c r="B1487" s="4"/>
      <c r="C1487" s="4"/>
      <c r="D1487" s="107">
        <f>'2_入力シート【用途面積】'!$I$4</f>
        <v>0</v>
      </c>
      <c r="E1487" s="564">
        <f>'2_入力シート【用途面積】'!$I$4</f>
        <v>0</v>
      </c>
      <c r="F1487" s="564" t="str">
        <f t="shared" si="261"/>
        <v>0</v>
      </c>
      <c r="G1487" s="24"/>
      <c r="H1487" s="577"/>
      <c r="I1487" s="383" t="s">
        <v>2246</v>
      </c>
      <c r="J1487" s="561" t="s">
        <v>1407</v>
      </c>
      <c r="K1487" s="326">
        <v>2</v>
      </c>
      <c r="L1487" s="358" t="s">
        <v>2247</v>
      </c>
      <c r="M1487" s="325" t="s">
        <v>2238</v>
      </c>
      <c r="N1487" s="372"/>
      <c r="O1487" s="371"/>
      <c r="P1487" s="364"/>
      <c r="Q1487" s="365"/>
      <c r="R1487" s="364"/>
      <c r="S1487" s="364"/>
      <c r="T1487" s="13" t="str">
        <f t="shared" si="260"/>
        <v>階別用途別床面積-2-大分類</v>
      </c>
      <c r="V1487" s="202"/>
      <c r="W1487" s="202"/>
      <c r="X1487" s="202"/>
    </row>
    <row r="1488" spans="2:24">
      <c r="B1488" s="4"/>
      <c r="C1488" s="4"/>
      <c r="D1488" s="107">
        <f>'2_入力シート【用途面積】'!$I$7</f>
        <v>0</v>
      </c>
      <c r="E1488" s="564">
        <f>'2_入力シート【用途面積】'!$I$7</f>
        <v>0</v>
      </c>
      <c r="F1488" s="564" t="str">
        <f t="shared" si="261"/>
        <v>0</v>
      </c>
      <c r="G1488" s="24"/>
      <c r="H1488" s="577"/>
      <c r="I1488" s="383" t="s">
        <v>2246</v>
      </c>
      <c r="J1488" s="561" t="s">
        <v>1407</v>
      </c>
      <c r="K1488" s="326">
        <v>2</v>
      </c>
      <c r="L1488" s="358" t="s">
        <v>2247</v>
      </c>
      <c r="M1488" s="325" t="s">
        <v>2239</v>
      </c>
      <c r="N1488" s="372"/>
      <c r="O1488" s="371"/>
      <c r="P1488" s="364"/>
      <c r="Q1488" s="365"/>
      <c r="R1488" s="203"/>
      <c r="S1488" s="203"/>
      <c r="T1488" s="13" t="str">
        <f t="shared" si="260"/>
        <v>階別用途別床面積-2-小分類</v>
      </c>
      <c r="V1488" s="202"/>
      <c r="W1488" s="202"/>
      <c r="X1488" s="202"/>
    </row>
    <row r="1489" spans="2:28">
      <c r="B1489" s="4"/>
      <c r="C1489" s="4"/>
      <c r="D1489" s="107"/>
      <c r="E1489" s="789">
        <f>'2_入力シート【用途面積】'!$I$12</f>
        <v>0</v>
      </c>
      <c r="F1489" s="789" t="str">
        <f t="shared" si="261"/>
        <v>0</v>
      </c>
      <c r="G1489" s="790"/>
      <c r="H1489" s="828"/>
      <c r="I1489" s="832" t="s">
        <v>3402</v>
      </c>
      <c r="J1489" s="796" t="s">
        <v>1879</v>
      </c>
      <c r="K1489" s="694">
        <v>2</v>
      </c>
      <c r="L1489" s="697" t="s">
        <v>1879</v>
      </c>
      <c r="M1489" s="698" t="s">
        <v>3401</v>
      </c>
      <c r="N1489" s="830"/>
      <c r="O1489" s="829"/>
      <c r="P1489" s="794"/>
      <c r="Q1489" s="831"/>
      <c r="R1489" s="794"/>
      <c r="S1489" s="794"/>
      <c r="T1489" s="382" t="str">
        <f t="shared" si="260"/>
        <v>階別用途別床面積-2-特記</v>
      </c>
      <c r="U1489" s="382"/>
      <c r="V1489" s="202"/>
      <c r="W1489" s="202"/>
      <c r="X1489" s="202"/>
      <c r="Y1489" s="382"/>
      <c r="Z1489" s="382"/>
      <c r="AA1489" s="382"/>
      <c r="AB1489" s="382"/>
    </row>
    <row r="1490" spans="2:28">
      <c r="B1490" s="4"/>
      <c r="C1490" s="4"/>
      <c r="D1490" s="107">
        <f>'2_入力シート【用途面積】'!$I14</f>
        <v>0</v>
      </c>
      <c r="E1490" s="564">
        <f>'2_入力シート【用途面積】'!$I14</f>
        <v>0</v>
      </c>
      <c r="F1490" s="564" t="str">
        <f t="shared" si="261"/>
        <v>0</v>
      </c>
      <c r="G1490" s="24"/>
      <c r="H1490" s="577"/>
      <c r="I1490" s="383" t="s">
        <v>2246</v>
      </c>
      <c r="J1490" s="561" t="s">
        <v>1407</v>
      </c>
      <c r="K1490" s="326">
        <v>2</v>
      </c>
      <c r="L1490" s="358" t="s">
        <v>2247</v>
      </c>
      <c r="M1490" s="325" t="s">
        <v>2179</v>
      </c>
      <c r="N1490" s="372"/>
      <c r="O1490" s="371"/>
      <c r="P1490" s="364"/>
      <c r="Q1490" s="365"/>
      <c r="R1490" s="364"/>
      <c r="S1490" s="364"/>
      <c r="T1490" s="13" t="str">
        <f t="shared" si="260"/>
        <v>階別用途別床面積-2-地下1階</v>
      </c>
      <c r="V1490" s="202"/>
      <c r="W1490" s="202"/>
      <c r="X1490" s="202"/>
    </row>
    <row r="1491" spans="2:28">
      <c r="B1491" s="4"/>
      <c r="C1491" s="4"/>
      <c r="D1491" s="107">
        <f>'2_入力シート【用途面積】'!$I15</f>
        <v>0</v>
      </c>
      <c r="E1491" s="564">
        <f>'2_入力シート【用途面積】'!$I15</f>
        <v>0</v>
      </c>
      <c r="F1491" s="564" t="str">
        <f t="shared" si="261"/>
        <v>0</v>
      </c>
      <c r="G1491" s="24"/>
      <c r="H1491" s="577"/>
      <c r="I1491" s="383" t="s">
        <v>2246</v>
      </c>
      <c r="J1491" s="561" t="s">
        <v>1407</v>
      </c>
      <c r="K1491" s="326">
        <v>2</v>
      </c>
      <c r="L1491" s="358" t="s">
        <v>2247</v>
      </c>
      <c r="M1491" s="325" t="s">
        <v>2180</v>
      </c>
      <c r="N1491" s="372"/>
      <c r="O1491" s="370"/>
      <c r="P1491" s="364"/>
      <c r="Q1491" s="365"/>
      <c r="R1491" s="364"/>
      <c r="S1491" s="364"/>
      <c r="T1491" s="13" t="str">
        <f t="shared" si="260"/>
        <v>階別用途別床面積-2-地下2階</v>
      </c>
      <c r="V1491" s="202"/>
      <c r="W1491" s="202"/>
      <c r="X1491" s="202"/>
    </row>
    <row r="1492" spans="2:28">
      <c r="B1492" s="4"/>
      <c r="C1492" s="4"/>
      <c r="D1492" s="107">
        <f>'2_入力シート【用途面積】'!$I16</f>
        <v>0</v>
      </c>
      <c r="E1492" s="564">
        <f>'2_入力シート【用途面積】'!$I16</f>
        <v>0</v>
      </c>
      <c r="F1492" s="564" t="str">
        <f t="shared" si="261"/>
        <v>0</v>
      </c>
      <c r="G1492" s="24"/>
      <c r="H1492" s="577"/>
      <c r="I1492" s="383" t="s">
        <v>2246</v>
      </c>
      <c r="J1492" s="561" t="s">
        <v>1407</v>
      </c>
      <c r="K1492" s="326">
        <v>2</v>
      </c>
      <c r="L1492" s="358" t="s">
        <v>2247</v>
      </c>
      <c r="M1492" s="325" t="s">
        <v>2181</v>
      </c>
      <c r="N1492" s="372"/>
      <c r="O1492" s="370"/>
      <c r="P1492" s="364"/>
      <c r="Q1492" s="365"/>
      <c r="R1492" s="364"/>
      <c r="S1492" s="364"/>
      <c r="T1492" s="13" t="str">
        <f t="shared" si="260"/>
        <v>階別用途別床面積-2-地下3階</v>
      </c>
      <c r="V1492" s="202"/>
      <c r="W1492" s="202"/>
      <c r="X1492" s="202"/>
    </row>
    <row r="1493" spans="2:28">
      <c r="B1493" s="4"/>
      <c r="C1493" s="4"/>
      <c r="D1493" s="107">
        <f>'2_入力シート【用途面積】'!$I17</f>
        <v>0</v>
      </c>
      <c r="E1493" s="564">
        <f>'2_入力シート【用途面積】'!$I17</f>
        <v>0</v>
      </c>
      <c r="F1493" s="564" t="str">
        <f t="shared" si="261"/>
        <v>0</v>
      </c>
      <c r="G1493" s="24"/>
      <c r="H1493" s="577"/>
      <c r="I1493" s="383" t="s">
        <v>2246</v>
      </c>
      <c r="J1493" s="561" t="s">
        <v>1407</v>
      </c>
      <c r="K1493" s="326">
        <v>2</v>
      </c>
      <c r="L1493" s="358" t="s">
        <v>2247</v>
      </c>
      <c r="M1493" s="325" t="s">
        <v>2182</v>
      </c>
      <c r="N1493" s="372"/>
      <c r="O1493" s="370"/>
      <c r="P1493" s="364"/>
      <c r="Q1493" s="365"/>
      <c r="R1493" s="364"/>
      <c r="S1493" s="364"/>
      <c r="T1493" s="13" t="str">
        <f t="shared" si="260"/>
        <v>階別用途別床面積-2-地下4階</v>
      </c>
      <c r="V1493" s="202"/>
      <c r="W1493" s="202"/>
      <c r="X1493" s="202"/>
    </row>
    <row r="1494" spans="2:28">
      <c r="B1494" s="4"/>
      <c r="C1494" s="4"/>
      <c r="D1494" s="107">
        <f>'2_入力シート【用途面積】'!$I18</f>
        <v>0</v>
      </c>
      <c r="E1494" s="564">
        <f>'2_入力シート【用途面積】'!$I18</f>
        <v>0</v>
      </c>
      <c r="F1494" s="564" t="str">
        <f t="shared" si="261"/>
        <v>0</v>
      </c>
      <c r="G1494" s="24"/>
      <c r="H1494" s="577"/>
      <c r="I1494" s="383" t="s">
        <v>2246</v>
      </c>
      <c r="J1494" s="561" t="s">
        <v>1407</v>
      </c>
      <c r="K1494" s="326">
        <v>2</v>
      </c>
      <c r="L1494" s="358" t="s">
        <v>2247</v>
      </c>
      <c r="M1494" s="325" t="s">
        <v>2183</v>
      </c>
      <c r="N1494" s="372"/>
      <c r="O1494" s="371"/>
      <c r="P1494" s="203"/>
      <c r="Q1494" s="373"/>
      <c r="R1494" s="364"/>
      <c r="S1494" s="364"/>
      <c r="T1494" s="13" t="str">
        <f t="shared" si="260"/>
        <v>階別用途別床面積-2-塔屋 1階</v>
      </c>
      <c r="V1494" s="202"/>
      <c r="W1494" s="202"/>
      <c r="X1494" s="202"/>
    </row>
    <row r="1495" spans="2:28">
      <c r="B1495" s="4"/>
      <c r="C1495" s="4"/>
      <c r="D1495" s="107">
        <f>'2_入力シート【用途面積】'!$I19</f>
        <v>0</v>
      </c>
      <c r="E1495" s="564">
        <f>'2_入力シート【用途面積】'!$I19</f>
        <v>0</v>
      </c>
      <c r="F1495" s="564" t="str">
        <f t="shared" si="261"/>
        <v>0</v>
      </c>
      <c r="G1495" s="24"/>
      <c r="H1495" s="577"/>
      <c r="I1495" s="383" t="s">
        <v>2246</v>
      </c>
      <c r="J1495" s="561" t="s">
        <v>1407</v>
      </c>
      <c r="K1495" s="326">
        <v>2</v>
      </c>
      <c r="L1495" s="358" t="s">
        <v>2247</v>
      </c>
      <c r="M1495" s="325" t="s">
        <v>2184</v>
      </c>
      <c r="N1495" s="372"/>
      <c r="O1495" s="371"/>
      <c r="P1495" s="364"/>
      <c r="Q1495" s="365"/>
      <c r="R1495" s="364"/>
      <c r="S1495" s="364"/>
      <c r="T1495" s="13" t="str">
        <f t="shared" si="260"/>
        <v>階別用途別床面積-2-塔屋 2階</v>
      </c>
      <c r="V1495" s="202"/>
      <c r="W1495" s="202"/>
      <c r="X1495" s="202"/>
    </row>
    <row r="1496" spans="2:28">
      <c r="B1496" s="4"/>
      <c r="C1496" s="4"/>
      <c r="D1496" s="107">
        <f>'2_入力シート【用途面積】'!$I20</f>
        <v>0</v>
      </c>
      <c r="E1496" s="564">
        <f>'2_入力シート【用途面積】'!$I20</f>
        <v>0</v>
      </c>
      <c r="F1496" s="564" t="str">
        <f t="shared" si="261"/>
        <v>0</v>
      </c>
      <c r="G1496" s="24"/>
      <c r="H1496" s="577"/>
      <c r="I1496" s="383" t="s">
        <v>2246</v>
      </c>
      <c r="J1496" s="561" t="s">
        <v>1407</v>
      </c>
      <c r="K1496" s="326">
        <v>2</v>
      </c>
      <c r="L1496" s="358" t="s">
        <v>2247</v>
      </c>
      <c r="M1496" s="325" t="s">
        <v>2185</v>
      </c>
      <c r="N1496" s="372"/>
      <c r="O1496" s="371"/>
      <c r="P1496" s="364"/>
      <c r="Q1496" s="365"/>
      <c r="R1496" s="364"/>
      <c r="S1496" s="364"/>
      <c r="T1496" s="13" t="str">
        <f t="shared" si="260"/>
        <v>階別用途別床面積-2-塔屋 3階</v>
      </c>
      <c r="V1496" s="202"/>
      <c r="W1496" s="202"/>
      <c r="X1496" s="202"/>
    </row>
    <row r="1497" spans="2:28">
      <c r="B1497" s="4"/>
      <c r="C1497" s="4"/>
      <c r="D1497" s="107">
        <f>'2_入力シート【用途面積】'!$I21</f>
        <v>0</v>
      </c>
      <c r="E1497" s="564">
        <f>'2_入力シート【用途面積】'!$I21</f>
        <v>0</v>
      </c>
      <c r="F1497" s="564" t="str">
        <f t="shared" si="261"/>
        <v>0</v>
      </c>
      <c r="G1497" s="24"/>
      <c r="H1497" s="577"/>
      <c r="I1497" s="383" t="s">
        <v>2246</v>
      </c>
      <c r="J1497" s="561" t="s">
        <v>1407</v>
      </c>
      <c r="K1497" s="326">
        <v>2</v>
      </c>
      <c r="L1497" s="358" t="s">
        <v>2247</v>
      </c>
      <c r="M1497" s="325" t="s">
        <v>2186</v>
      </c>
      <c r="N1497" s="372"/>
      <c r="O1497" s="371"/>
      <c r="P1497" s="364"/>
      <c r="Q1497" s="365"/>
      <c r="R1497" s="203"/>
      <c r="S1497" s="203"/>
      <c r="T1497" s="13" t="str">
        <f t="shared" si="260"/>
        <v>階別用途別床面積-2-塔屋 4階</v>
      </c>
      <c r="V1497" s="202"/>
      <c r="W1497" s="202"/>
      <c r="X1497" s="202"/>
    </row>
    <row r="1498" spans="2:28">
      <c r="B1498" s="4"/>
      <c r="C1498" s="4"/>
      <c r="D1498" s="107">
        <f>'2_入力シート【用途面積】'!$I22</f>
        <v>0</v>
      </c>
      <c r="E1498" s="564">
        <f>'2_入力シート【用途面積】'!$I22</f>
        <v>0</v>
      </c>
      <c r="F1498" s="564" t="str">
        <f t="shared" si="261"/>
        <v>0</v>
      </c>
      <c r="G1498" s="24"/>
      <c r="H1498" s="577"/>
      <c r="I1498" s="383" t="s">
        <v>2246</v>
      </c>
      <c r="J1498" s="561" t="s">
        <v>1407</v>
      </c>
      <c r="K1498" s="326">
        <v>2</v>
      </c>
      <c r="L1498" s="358" t="s">
        <v>2247</v>
      </c>
      <c r="M1498" s="325" t="s">
        <v>2187</v>
      </c>
      <c r="N1498" s="372"/>
      <c r="O1498" s="371"/>
      <c r="P1498" s="364"/>
      <c r="Q1498" s="365"/>
      <c r="R1498" s="364"/>
      <c r="S1498" s="364"/>
      <c r="T1498" s="13" t="str">
        <f t="shared" si="260"/>
        <v>階別用途別床面積-2-塔屋 5階</v>
      </c>
      <c r="V1498" s="202"/>
      <c r="W1498" s="202"/>
      <c r="X1498" s="202"/>
    </row>
    <row r="1499" spans="2:28">
      <c r="B1499" s="4"/>
      <c r="C1499" s="4"/>
      <c r="D1499" s="107">
        <f>'2_入力シート【用途面積】'!$I23</f>
        <v>0</v>
      </c>
      <c r="E1499" s="564">
        <f>'2_入力シート【用途面積】'!$I23</f>
        <v>0</v>
      </c>
      <c r="F1499" s="564" t="str">
        <f t="shared" si="261"/>
        <v>0</v>
      </c>
      <c r="G1499" s="24"/>
      <c r="H1499" s="577"/>
      <c r="I1499" s="383" t="s">
        <v>2246</v>
      </c>
      <c r="J1499" s="561" t="s">
        <v>1407</v>
      </c>
      <c r="K1499" s="326">
        <v>2</v>
      </c>
      <c r="L1499" s="358" t="s">
        <v>2247</v>
      </c>
      <c r="M1499" s="325" t="s">
        <v>2188</v>
      </c>
      <c r="N1499" s="372"/>
      <c r="O1499" s="370"/>
      <c r="P1499" s="364"/>
      <c r="Q1499" s="365"/>
      <c r="R1499" s="364"/>
      <c r="S1499" s="364"/>
      <c r="T1499" s="13" t="str">
        <f t="shared" si="260"/>
        <v>階別用途別床面積-2-1階</v>
      </c>
      <c r="V1499" s="202"/>
      <c r="W1499" s="202"/>
      <c r="X1499" s="202"/>
    </row>
    <row r="1500" spans="2:28">
      <c r="B1500" s="4"/>
      <c r="C1500" s="4"/>
      <c r="D1500" s="107">
        <f>'2_入力シート【用途面積】'!$I24</f>
        <v>0</v>
      </c>
      <c r="E1500" s="564">
        <f>'2_入力シート【用途面積】'!$I24</f>
        <v>0</v>
      </c>
      <c r="F1500" s="564" t="str">
        <f t="shared" si="261"/>
        <v>0</v>
      </c>
      <c r="G1500" s="24"/>
      <c r="H1500" s="577"/>
      <c r="I1500" s="383" t="s">
        <v>2246</v>
      </c>
      <c r="J1500" s="561" t="s">
        <v>1407</v>
      </c>
      <c r="K1500" s="326">
        <v>2</v>
      </c>
      <c r="L1500" s="358" t="s">
        <v>2247</v>
      </c>
      <c r="M1500" s="325" t="s">
        <v>2189</v>
      </c>
      <c r="N1500" s="372"/>
      <c r="O1500" s="370"/>
      <c r="P1500" s="364"/>
      <c r="Q1500" s="365"/>
      <c r="R1500" s="364"/>
      <c r="S1500" s="364"/>
      <c r="T1500" s="13" t="str">
        <f t="shared" si="260"/>
        <v>階別用途別床面積-2-2階</v>
      </c>
      <c r="V1500" s="202"/>
      <c r="W1500" s="202"/>
      <c r="X1500" s="202"/>
    </row>
    <row r="1501" spans="2:28">
      <c r="B1501" s="4"/>
      <c r="C1501" s="4"/>
      <c r="D1501" s="107">
        <f>'2_入力シート【用途面積】'!$I25</f>
        <v>0</v>
      </c>
      <c r="E1501" s="564">
        <f>'2_入力シート【用途面積】'!$I25</f>
        <v>0</v>
      </c>
      <c r="F1501" s="564" t="str">
        <f t="shared" si="261"/>
        <v>0</v>
      </c>
      <c r="G1501" s="24"/>
      <c r="H1501" s="577"/>
      <c r="I1501" s="383" t="s">
        <v>2246</v>
      </c>
      <c r="J1501" s="561" t="s">
        <v>1407</v>
      </c>
      <c r="K1501" s="326">
        <v>2</v>
      </c>
      <c r="L1501" s="358" t="s">
        <v>2247</v>
      </c>
      <c r="M1501" s="325" t="s">
        <v>2190</v>
      </c>
      <c r="N1501" s="372"/>
      <c r="O1501" s="370"/>
      <c r="P1501" s="364"/>
      <c r="Q1501" s="365"/>
      <c r="R1501" s="364"/>
      <c r="S1501" s="364"/>
      <c r="T1501" s="13" t="str">
        <f t="shared" si="260"/>
        <v>階別用途別床面積-2-3階</v>
      </c>
      <c r="V1501" s="202"/>
      <c r="W1501" s="202"/>
      <c r="X1501" s="202"/>
    </row>
    <row r="1502" spans="2:28">
      <c r="B1502" s="4"/>
      <c r="C1502" s="4"/>
      <c r="D1502" s="107">
        <f>'2_入力シート【用途面積】'!$I26</f>
        <v>0</v>
      </c>
      <c r="E1502" s="564">
        <f>'2_入力シート【用途面積】'!$I26</f>
        <v>0</v>
      </c>
      <c r="F1502" s="564" t="str">
        <f t="shared" si="261"/>
        <v>0</v>
      </c>
      <c r="G1502" s="24"/>
      <c r="H1502" s="577"/>
      <c r="I1502" s="383" t="s">
        <v>2246</v>
      </c>
      <c r="J1502" s="561" t="s">
        <v>1407</v>
      </c>
      <c r="K1502" s="326">
        <v>2</v>
      </c>
      <c r="L1502" s="358" t="s">
        <v>2247</v>
      </c>
      <c r="M1502" s="325" t="s">
        <v>2191</v>
      </c>
      <c r="N1502" s="372"/>
      <c r="O1502" s="371"/>
      <c r="P1502" s="203"/>
      <c r="Q1502" s="373"/>
      <c r="R1502" s="364"/>
      <c r="S1502" s="364"/>
      <c r="T1502" s="13" t="str">
        <f t="shared" si="260"/>
        <v>階別用途別床面積-2-4階</v>
      </c>
      <c r="V1502" s="202"/>
      <c r="W1502" s="202"/>
      <c r="X1502" s="202"/>
    </row>
    <row r="1503" spans="2:28">
      <c r="B1503" s="4"/>
      <c r="C1503" s="4"/>
      <c r="D1503" s="107">
        <f>'2_入力シート【用途面積】'!$I27</f>
        <v>0</v>
      </c>
      <c r="E1503" s="564">
        <f>'2_入力シート【用途面積】'!$I27</f>
        <v>0</v>
      </c>
      <c r="F1503" s="564" t="str">
        <f t="shared" si="261"/>
        <v>0</v>
      </c>
      <c r="G1503" s="24"/>
      <c r="H1503" s="577"/>
      <c r="I1503" s="383" t="s">
        <v>2246</v>
      </c>
      <c r="J1503" s="561" t="s">
        <v>1407</v>
      </c>
      <c r="K1503" s="326">
        <v>2</v>
      </c>
      <c r="L1503" s="358" t="s">
        <v>2247</v>
      </c>
      <c r="M1503" s="325" t="s">
        <v>2192</v>
      </c>
      <c r="N1503" s="372"/>
      <c r="O1503" s="371"/>
      <c r="P1503" s="364"/>
      <c r="Q1503" s="365"/>
      <c r="R1503" s="364"/>
      <c r="S1503" s="364"/>
      <c r="T1503" s="13" t="str">
        <f t="shared" si="260"/>
        <v>階別用途別床面積-2-5階</v>
      </c>
      <c r="V1503" s="202"/>
      <c r="W1503" s="202"/>
      <c r="X1503" s="202"/>
    </row>
    <row r="1504" spans="2:28">
      <c r="B1504" s="4"/>
      <c r="C1504" s="4"/>
      <c r="D1504" s="107">
        <f>'2_入力シート【用途面積】'!$I28</f>
        <v>0</v>
      </c>
      <c r="E1504" s="564">
        <f>'2_入力シート【用途面積】'!$I28</f>
        <v>0</v>
      </c>
      <c r="F1504" s="564" t="str">
        <f t="shared" si="261"/>
        <v>0</v>
      </c>
      <c r="G1504" s="24"/>
      <c r="H1504" s="577"/>
      <c r="I1504" s="383" t="s">
        <v>2246</v>
      </c>
      <c r="J1504" s="561" t="s">
        <v>1407</v>
      </c>
      <c r="K1504" s="326">
        <v>2</v>
      </c>
      <c r="L1504" s="358" t="s">
        <v>2247</v>
      </c>
      <c r="M1504" s="325" t="s">
        <v>2193</v>
      </c>
      <c r="N1504" s="372"/>
      <c r="O1504" s="371"/>
      <c r="P1504" s="364"/>
      <c r="Q1504" s="365"/>
      <c r="R1504" s="364"/>
      <c r="S1504" s="364"/>
      <c r="T1504" s="13" t="str">
        <f t="shared" si="260"/>
        <v>階別用途別床面積-2-6階</v>
      </c>
      <c r="V1504" s="202"/>
      <c r="W1504" s="202"/>
      <c r="X1504" s="202"/>
    </row>
    <row r="1505" spans="2:24">
      <c r="B1505" s="4"/>
      <c r="C1505" s="4"/>
      <c r="D1505" s="107">
        <f>'2_入力シート【用途面積】'!$I29</f>
        <v>0</v>
      </c>
      <c r="E1505" s="564">
        <f>'2_入力シート【用途面積】'!$I29</f>
        <v>0</v>
      </c>
      <c r="F1505" s="564" t="str">
        <f t="shared" si="261"/>
        <v>0</v>
      </c>
      <c r="G1505" s="24"/>
      <c r="H1505" s="577"/>
      <c r="I1505" s="383" t="s">
        <v>2246</v>
      </c>
      <c r="J1505" s="561" t="s">
        <v>1407</v>
      </c>
      <c r="K1505" s="326">
        <v>2</v>
      </c>
      <c r="L1505" s="358" t="s">
        <v>2247</v>
      </c>
      <c r="M1505" s="325" t="s">
        <v>2194</v>
      </c>
      <c r="N1505" s="372"/>
      <c r="O1505" s="371"/>
      <c r="P1505" s="364"/>
      <c r="Q1505" s="365"/>
      <c r="R1505" s="203"/>
      <c r="S1505" s="203"/>
      <c r="T1505" s="13" t="str">
        <f t="shared" si="260"/>
        <v>階別用途別床面積-2-7階</v>
      </c>
      <c r="V1505" s="202"/>
      <c r="W1505" s="202"/>
      <c r="X1505" s="202"/>
    </row>
    <row r="1506" spans="2:24">
      <c r="B1506" s="4"/>
      <c r="C1506" s="4"/>
      <c r="D1506" s="107">
        <f>'2_入力シート【用途面積】'!$I30</f>
        <v>0</v>
      </c>
      <c r="E1506" s="564">
        <f>'2_入力シート【用途面積】'!$I30</f>
        <v>0</v>
      </c>
      <c r="F1506" s="564" t="str">
        <f t="shared" si="261"/>
        <v>0</v>
      </c>
      <c r="G1506" s="24"/>
      <c r="H1506" s="577"/>
      <c r="I1506" s="383" t="s">
        <v>2246</v>
      </c>
      <c r="J1506" s="561" t="s">
        <v>1407</v>
      </c>
      <c r="K1506" s="326">
        <v>2</v>
      </c>
      <c r="L1506" s="358" t="s">
        <v>2247</v>
      </c>
      <c r="M1506" s="325" t="s">
        <v>2195</v>
      </c>
      <c r="N1506" s="372"/>
      <c r="O1506" s="371"/>
      <c r="P1506" s="364"/>
      <c r="Q1506" s="365"/>
      <c r="R1506" s="364"/>
      <c r="S1506" s="364"/>
      <c r="T1506" s="13" t="str">
        <f t="shared" si="260"/>
        <v>階別用途別床面積-2-8階</v>
      </c>
      <c r="V1506" s="202"/>
      <c r="W1506" s="202"/>
      <c r="X1506" s="202"/>
    </row>
    <row r="1507" spans="2:24">
      <c r="B1507" s="4"/>
      <c r="C1507" s="4"/>
      <c r="D1507" s="107">
        <f>'2_入力シート【用途面積】'!$I31</f>
        <v>0</v>
      </c>
      <c r="E1507" s="564">
        <f>'2_入力シート【用途面積】'!$I31</f>
        <v>0</v>
      </c>
      <c r="F1507" s="564" t="str">
        <f t="shared" si="261"/>
        <v>0</v>
      </c>
      <c r="G1507" s="24"/>
      <c r="H1507" s="577"/>
      <c r="I1507" s="383" t="s">
        <v>2246</v>
      </c>
      <c r="J1507" s="561" t="s">
        <v>1407</v>
      </c>
      <c r="K1507" s="326">
        <v>2</v>
      </c>
      <c r="L1507" s="358" t="s">
        <v>2247</v>
      </c>
      <c r="M1507" s="325" t="s">
        <v>2196</v>
      </c>
      <c r="N1507" s="372"/>
      <c r="O1507" s="370"/>
      <c r="P1507" s="364"/>
      <c r="Q1507" s="365"/>
      <c r="R1507" s="364"/>
      <c r="S1507" s="364"/>
      <c r="T1507" s="13" t="str">
        <f t="shared" ref="T1507:T1571" si="262">CONCATENATE(H1507,I1507,J1507,K1507,L1507,M1507,N1507,O1507,P1507,Q1507)</f>
        <v>階別用途別床面積-2-9階</v>
      </c>
      <c r="V1507" s="202"/>
      <c r="W1507" s="202"/>
      <c r="X1507" s="202"/>
    </row>
    <row r="1508" spans="2:24">
      <c r="B1508" s="4"/>
      <c r="C1508" s="4"/>
      <c r="D1508" s="107">
        <f>'2_入力シート【用途面積】'!$I32</f>
        <v>0</v>
      </c>
      <c r="E1508" s="564">
        <f>'2_入力シート【用途面積】'!$I32</f>
        <v>0</v>
      </c>
      <c r="F1508" s="564" t="str">
        <f t="shared" si="261"/>
        <v>0</v>
      </c>
      <c r="G1508" s="24"/>
      <c r="H1508" s="577"/>
      <c r="I1508" s="383" t="s">
        <v>2246</v>
      </c>
      <c r="J1508" s="561" t="s">
        <v>1407</v>
      </c>
      <c r="K1508" s="326">
        <v>2</v>
      </c>
      <c r="L1508" s="358" t="s">
        <v>2247</v>
      </c>
      <c r="M1508" s="325" t="s">
        <v>2197</v>
      </c>
      <c r="N1508" s="372"/>
      <c r="O1508" s="370"/>
      <c r="P1508" s="364"/>
      <c r="Q1508" s="365"/>
      <c r="R1508" s="364"/>
      <c r="S1508" s="364"/>
      <c r="T1508" s="13" t="str">
        <f t="shared" si="262"/>
        <v>階別用途別床面積-2-10階</v>
      </c>
      <c r="V1508" s="202"/>
      <c r="W1508" s="202"/>
      <c r="X1508" s="202"/>
    </row>
    <row r="1509" spans="2:24">
      <c r="B1509" s="4"/>
      <c r="C1509" s="4"/>
      <c r="D1509" s="107">
        <f>'2_入力シート【用途面積】'!$I33</f>
        <v>0</v>
      </c>
      <c r="E1509" s="564">
        <f>'2_入力シート【用途面積】'!$I33</f>
        <v>0</v>
      </c>
      <c r="F1509" s="564" t="str">
        <f t="shared" si="261"/>
        <v>0</v>
      </c>
      <c r="G1509" s="24"/>
      <c r="H1509" s="577"/>
      <c r="I1509" s="383" t="s">
        <v>2246</v>
      </c>
      <c r="J1509" s="561" t="s">
        <v>1407</v>
      </c>
      <c r="K1509" s="326">
        <v>2</v>
      </c>
      <c r="L1509" s="358" t="s">
        <v>2247</v>
      </c>
      <c r="M1509" s="325" t="s">
        <v>2198</v>
      </c>
      <c r="N1509" s="372"/>
      <c r="O1509" s="370"/>
      <c r="P1509" s="364"/>
      <c r="Q1509" s="365"/>
      <c r="R1509" s="364"/>
      <c r="S1509" s="364"/>
      <c r="T1509" s="13" t="str">
        <f t="shared" si="262"/>
        <v>階別用途別床面積-2-11階</v>
      </c>
      <c r="V1509" s="202"/>
      <c r="W1509" s="202"/>
      <c r="X1509" s="202"/>
    </row>
    <row r="1510" spans="2:24">
      <c r="B1510" s="4"/>
      <c r="C1510" s="4"/>
      <c r="D1510" s="107">
        <f>'2_入力シート【用途面積】'!$I34</f>
        <v>0</v>
      </c>
      <c r="E1510" s="564">
        <f>'2_入力シート【用途面積】'!$I34</f>
        <v>0</v>
      </c>
      <c r="F1510" s="564" t="str">
        <f t="shared" si="261"/>
        <v>0</v>
      </c>
      <c r="G1510" s="24"/>
      <c r="H1510" s="577"/>
      <c r="I1510" s="383" t="s">
        <v>2246</v>
      </c>
      <c r="J1510" s="561" t="s">
        <v>1407</v>
      </c>
      <c r="K1510" s="326">
        <v>2</v>
      </c>
      <c r="L1510" s="358" t="s">
        <v>2247</v>
      </c>
      <c r="M1510" s="325" t="s">
        <v>2199</v>
      </c>
      <c r="N1510" s="372"/>
      <c r="O1510" s="371"/>
      <c r="P1510" s="203"/>
      <c r="Q1510" s="373"/>
      <c r="R1510" s="364"/>
      <c r="S1510" s="364"/>
      <c r="T1510" s="13" t="str">
        <f t="shared" si="262"/>
        <v>階別用途別床面積-2-12階</v>
      </c>
      <c r="V1510" s="202"/>
      <c r="W1510" s="202"/>
      <c r="X1510" s="202"/>
    </row>
    <row r="1511" spans="2:24">
      <c r="B1511" s="4"/>
      <c r="C1511" s="4"/>
      <c r="D1511" s="107">
        <f>'2_入力シート【用途面積】'!$I35</f>
        <v>0</v>
      </c>
      <c r="E1511" s="564">
        <f>'2_入力シート【用途面積】'!$I35</f>
        <v>0</v>
      </c>
      <c r="F1511" s="564" t="str">
        <f t="shared" si="261"/>
        <v>0</v>
      </c>
      <c r="G1511" s="24"/>
      <c r="H1511" s="577"/>
      <c r="I1511" s="383" t="s">
        <v>2246</v>
      </c>
      <c r="J1511" s="561" t="s">
        <v>1407</v>
      </c>
      <c r="K1511" s="326">
        <v>2</v>
      </c>
      <c r="L1511" s="358" t="s">
        <v>2247</v>
      </c>
      <c r="M1511" s="325" t="s">
        <v>2200</v>
      </c>
      <c r="N1511" s="372"/>
      <c r="O1511" s="371"/>
      <c r="P1511" s="364"/>
      <c r="Q1511" s="365"/>
      <c r="R1511" s="364"/>
      <c r="S1511" s="364"/>
      <c r="T1511" s="13" t="str">
        <f t="shared" si="262"/>
        <v>階別用途別床面積-2-13階</v>
      </c>
      <c r="V1511" s="202"/>
      <c r="W1511" s="202"/>
      <c r="X1511" s="202"/>
    </row>
    <row r="1512" spans="2:24">
      <c r="B1512" s="4"/>
      <c r="C1512" s="4"/>
      <c r="D1512" s="107">
        <f>'2_入力シート【用途面積】'!$I36</f>
        <v>0</v>
      </c>
      <c r="E1512" s="564">
        <f>'2_入力シート【用途面積】'!$I36</f>
        <v>0</v>
      </c>
      <c r="F1512" s="564" t="str">
        <f t="shared" si="261"/>
        <v>0</v>
      </c>
      <c r="G1512" s="24"/>
      <c r="H1512" s="577"/>
      <c r="I1512" s="383" t="s">
        <v>2246</v>
      </c>
      <c r="J1512" s="561" t="s">
        <v>1407</v>
      </c>
      <c r="K1512" s="326">
        <v>2</v>
      </c>
      <c r="L1512" s="358" t="s">
        <v>2247</v>
      </c>
      <c r="M1512" s="325" t="s">
        <v>2201</v>
      </c>
      <c r="N1512" s="372"/>
      <c r="O1512" s="371"/>
      <c r="P1512" s="364"/>
      <c r="Q1512" s="365"/>
      <c r="R1512" s="364"/>
      <c r="S1512" s="364"/>
      <c r="T1512" s="13" t="str">
        <f t="shared" si="262"/>
        <v>階別用途別床面積-2-14階</v>
      </c>
      <c r="V1512" s="202"/>
      <c r="W1512" s="202"/>
      <c r="X1512" s="202"/>
    </row>
    <row r="1513" spans="2:24">
      <c r="B1513" s="4"/>
      <c r="C1513" s="4"/>
      <c r="D1513" s="107">
        <f>'2_入力シート【用途面積】'!$I37</f>
        <v>0</v>
      </c>
      <c r="E1513" s="564">
        <f>'2_入力シート【用途面積】'!$I37</f>
        <v>0</v>
      </c>
      <c r="F1513" s="564" t="str">
        <f t="shared" si="261"/>
        <v>0</v>
      </c>
      <c r="G1513" s="24"/>
      <c r="H1513" s="577"/>
      <c r="I1513" s="383" t="s">
        <v>2246</v>
      </c>
      <c r="J1513" s="561" t="s">
        <v>1407</v>
      </c>
      <c r="K1513" s="326">
        <v>2</v>
      </c>
      <c r="L1513" s="358" t="s">
        <v>2247</v>
      </c>
      <c r="M1513" s="325" t="s">
        <v>2202</v>
      </c>
      <c r="N1513" s="372"/>
      <c r="O1513" s="371"/>
      <c r="P1513" s="364"/>
      <c r="Q1513" s="365"/>
      <c r="R1513" s="203"/>
      <c r="S1513" s="203"/>
      <c r="T1513" s="13" t="str">
        <f t="shared" si="262"/>
        <v>階別用途別床面積-2-15階</v>
      </c>
      <c r="V1513" s="202"/>
      <c r="W1513" s="202"/>
      <c r="X1513" s="202"/>
    </row>
    <row r="1514" spans="2:24">
      <c r="B1514" s="4"/>
      <c r="C1514" s="4"/>
      <c r="D1514" s="107">
        <f>'2_入力シート【用途面積】'!$I38</f>
        <v>0</v>
      </c>
      <c r="E1514" s="564">
        <f>'2_入力シート【用途面積】'!$I38</f>
        <v>0</v>
      </c>
      <c r="F1514" s="564" t="str">
        <f t="shared" si="261"/>
        <v>0</v>
      </c>
      <c r="G1514" s="24"/>
      <c r="H1514" s="577"/>
      <c r="I1514" s="383" t="s">
        <v>2246</v>
      </c>
      <c r="J1514" s="561" t="s">
        <v>1407</v>
      </c>
      <c r="K1514" s="326">
        <v>2</v>
      </c>
      <c r="L1514" s="358" t="s">
        <v>2247</v>
      </c>
      <c r="M1514" s="325" t="s">
        <v>2203</v>
      </c>
      <c r="N1514" s="372"/>
      <c r="O1514" s="371"/>
      <c r="P1514" s="364"/>
      <c r="Q1514" s="365"/>
      <c r="R1514" s="364"/>
      <c r="S1514" s="364"/>
      <c r="T1514" s="13" t="str">
        <f t="shared" si="262"/>
        <v>階別用途別床面積-2-16階</v>
      </c>
      <c r="V1514" s="202"/>
      <c r="W1514" s="202"/>
      <c r="X1514" s="202"/>
    </row>
    <row r="1515" spans="2:24">
      <c r="B1515" s="4"/>
      <c r="C1515" s="4"/>
      <c r="D1515" s="107">
        <f>'2_入力シート【用途面積】'!$I39</f>
        <v>0</v>
      </c>
      <c r="E1515" s="564">
        <f>'2_入力シート【用途面積】'!$I39</f>
        <v>0</v>
      </c>
      <c r="F1515" s="564" t="str">
        <f t="shared" si="261"/>
        <v>0</v>
      </c>
      <c r="G1515" s="24"/>
      <c r="H1515" s="577"/>
      <c r="I1515" s="383" t="s">
        <v>2246</v>
      </c>
      <c r="J1515" s="561" t="s">
        <v>1407</v>
      </c>
      <c r="K1515" s="326">
        <v>2</v>
      </c>
      <c r="L1515" s="358" t="s">
        <v>2247</v>
      </c>
      <c r="M1515" s="325" t="s">
        <v>2204</v>
      </c>
      <c r="N1515" s="372"/>
      <c r="O1515" s="370"/>
      <c r="P1515" s="364"/>
      <c r="Q1515" s="365"/>
      <c r="R1515" s="364"/>
      <c r="S1515" s="364"/>
      <c r="T1515" s="13" t="str">
        <f t="shared" si="262"/>
        <v>階別用途別床面積-2-17階</v>
      </c>
      <c r="V1515" s="202"/>
      <c r="W1515" s="202"/>
      <c r="X1515" s="202"/>
    </row>
    <row r="1516" spans="2:24">
      <c r="B1516" s="4"/>
      <c r="C1516" s="4"/>
      <c r="D1516" s="107">
        <f>'2_入力シート【用途面積】'!$I40</f>
        <v>0</v>
      </c>
      <c r="E1516" s="564">
        <f>'2_入力シート【用途面積】'!$I40</f>
        <v>0</v>
      </c>
      <c r="F1516" s="564" t="str">
        <f t="shared" si="261"/>
        <v>0</v>
      </c>
      <c r="G1516" s="24"/>
      <c r="H1516" s="577"/>
      <c r="I1516" s="383" t="s">
        <v>2246</v>
      </c>
      <c r="J1516" s="561" t="s">
        <v>1407</v>
      </c>
      <c r="K1516" s="326">
        <v>2</v>
      </c>
      <c r="L1516" s="358" t="s">
        <v>2247</v>
      </c>
      <c r="M1516" s="325" t="s">
        <v>2205</v>
      </c>
      <c r="N1516" s="372"/>
      <c r="O1516" s="370"/>
      <c r="P1516" s="364"/>
      <c r="Q1516" s="365"/>
      <c r="R1516" s="364"/>
      <c r="S1516" s="364"/>
      <c r="T1516" s="13" t="str">
        <f t="shared" si="262"/>
        <v>階別用途別床面積-2-18階</v>
      </c>
      <c r="V1516" s="202"/>
      <c r="W1516" s="202"/>
      <c r="X1516" s="202"/>
    </row>
    <row r="1517" spans="2:24">
      <c r="B1517" s="4"/>
      <c r="C1517" s="4"/>
      <c r="D1517" s="107">
        <f>'2_入力シート【用途面積】'!$I41</f>
        <v>0</v>
      </c>
      <c r="E1517" s="564">
        <f>'2_入力シート【用途面積】'!$I41</f>
        <v>0</v>
      </c>
      <c r="F1517" s="564" t="str">
        <f t="shared" si="261"/>
        <v>0</v>
      </c>
      <c r="G1517" s="24"/>
      <c r="H1517" s="577"/>
      <c r="I1517" s="383" t="s">
        <v>2246</v>
      </c>
      <c r="J1517" s="561" t="s">
        <v>1407</v>
      </c>
      <c r="K1517" s="326">
        <v>2</v>
      </c>
      <c r="L1517" s="358" t="s">
        <v>2247</v>
      </c>
      <c r="M1517" s="325" t="s">
        <v>2206</v>
      </c>
      <c r="N1517" s="372"/>
      <c r="O1517" s="370"/>
      <c r="P1517" s="364"/>
      <c r="Q1517" s="365"/>
      <c r="R1517" s="364"/>
      <c r="S1517" s="364"/>
      <c r="T1517" s="13" t="str">
        <f t="shared" si="262"/>
        <v>階別用途別床面積-2-19階</v>
      </c>
      <c r="V1517" s="202"/>
      <c r="W1517" s="202"/>
      <c r="X1517" s="202"/>
    </row>
    <row r="1518" spans="2:24">
      <c r="B1518" s="4"/>
      <c r="C1518" s="4"/>
      <c r="D1518" s="107">
        <f>'2_入力シート【用途面積】'!$I42</f>
        <v>0</v>
      </c>
      <c r="E1518" s="564">
        <f>'2_入力シート【用途面積】'!$I42</f>
        <v>0</v>
      </c>
      <c r="F1518" s="564" t="str">
        <f t="shared" si="261"/>
        <v>0</v>
      </c>
      <c r="G1518" s="24"/>
      <c r="H1518" s="577"/>
      <c r="I1518" s="383" t="s">
        <v>2246</v>
      </c>
      <c r="J1518" s="561" t="s">
        <v>1407</v>
      </c>
      <c r="K1518" s="326">
        <v>2</v>
      </c>
      <c r="L1518" s="358" t="s">
        <v>2247</v>
      </c>
      <c r="M1518" s="325" t="s">
        <v>2207</v>
      </c>
      <c r="N1518" s="372"/>
      <c r="O1518" s="371"/>
      <c r="P1518" s="203"/>
      <c r="Q1518" s="373"/>
      <c r="R1518" s="364"/>
      <c r="S1518" s="364"/>
      <c r="T1518" s="13" t="str">
        <f t="shared" si="262"/>
        <v>階別用途別床面積-2-20階</v>
      </c>
      <c r="V1518" s="202"/>
      <c r="W1518" s="202"/>
      <c r="X1518" s="202"/>
    </row>
    <row r="1519" spans="2:24">
      <c r="B1519" s="4"/>
      <c r="C1519" s="4"/>
      <c r="D1519" s="107">
        <f>'2_入力シート【用途面積】'!$I43</f>
        <v>0</v>
      </c>
      <c r="E1519" s="564">
        <f>'2_入力シート【用途面積】'!$I43</f>
        <v>0</v>
      </c>
      <c r="F1519" s="564" t="str">
        <f t="shared" si="261"/>
        <v>0</v>
      </c>
      <c r="G1519" s="24"/>
      <c r="H1519" s="577"/>
      <c r="I1519" s="383" t="s">
        <v>2246</v>
      </c>
      <c r="J1519" s="561" t="s">
        <v>1407</v>
      </c>
      <c r="K1519" s="326">
        <v>2</v>
      </c>
      <c r="L1519" s="358" t="s">
        <v>2247</v>
      </c>
      <c r="M1519" s="325" t="s">
        <v>2208</v>
      </c>
      <c r="N1519" s="372"/>
      <c r="O1519" s="371"/>
      <c r="P1519" s="364"/>
      <c r="Q1519" s="365"/>
      <c r="R1519" s="364"/>
      <c r="S1519" s="364"/>
      <c r="T1519" s="13" t="str">
        <f t="shared" si="262"/>
        <v>階別用途別床面積-2-21階</v>
      </c>
      <c r="V1519" s="202"/>
      <c r="W1519" s="202"/>
      <c r="X1519" s="202"/>
    </row>
    <row r="1520" spans="2:24">
      <c r="B1520" s="4"/>
      <c r="C1520" s="4"/>
      <c r="D1520" s="107">
        <f>'2_入力シート【用途面積】'!$I44</f>
        <v>0</v>
      </c>
      <c r="E1520" s="564">
        <f>'2_入力シート【用途面積】'!$I44</f>
        <v>0</v>
      </c>
      <c r="F1520" s="564" t="str">
        <f t="shared" si="261"/>
        <v>0</v>
      </c>
      <c r="G1520" s="24"/>
      <c r="H1520" s="577"/>
      <c r="I1520" s="383" t="s">
        <v>2246</v>
      </c>
      <c r="J1520" s="561" t="s">
        <v>1407</v>
      </c>
      <c r="K1520" s="326">
        <v>2</v>
      </c>
      <c r="L1520" s="358" t="s">
        <v>2247</v>
      </c>
      <c r="M1520" s="325" t="s">
        <v>2209</v>
      </c>
      <c r="N1520" s="372"/>
      <c r="O1520" s="371"/>
      <c r="P1520" s="364"/>
      <c r="Q1520" s="365"/>
      <c r="R1520" s="364"/>
      <c r="S1520" s="364"/>
      <c r="T1520" s="13" t="str">
        <f t="shared" si="262"/>
        <v>階別用途別床面積-2-22階</v>
      </c>
      <c r="V1520" s="202"/>
      <c r="W1520" s="202"/>
      <c r="X1520" s="202"/>
    </row>
    <row r="1521" spans="2:24">
      <c r="B1521" s="4"/>
      <c r="C1521" s="4"/>
      <c r="D1521" s="107">
        <f>'2_入力シート【用途面積】'!$I45</f>
        <v>0</v>
      </c>
      <c r="E1521" s="564">
        <f>'2_入力シート【用途面積】'!$I45</f>
        <v>0</v>
      </c>
      <c r="F1521" s="564" t="str">
        <f t="shared" si="261"/>
        <v>0</v>
      </c>
      <c r="G1521" s="24"/>
      <c r="H1521" s="577"/>
      <c r="I1521" s="383" t="s">
        <v>2246</v>
      </c>
      <c r="J1521" s="561" t="s">
        <v>1407</v>
      </c>
      <c r="K1521" s="326">
        <v>2</v>
      </c>
      <c r="L1521" s="358" t="s">
        <v>2247</v>
      </c>
      <c r="M1521" s="325" t="s">
        <v>2210</v>
      </c>
      <c r="N1521" s="372"/>
      <c r="O1521" s="371"/>
      <c r="P1521" s="364"/>
      <c r="Q1521" s="365"/>
      <c r="R1521" s="203"/>
      <c r="S1521" s="203"/>
      <c r="T1521" s="13" t="str">
        <f t="shared" si="262"/>
        <v>階別用途別床面積-2-23階</v>
      </c>
      <c r="V1521" s="202"/>
      <c r="W1521" s="202"/>
      <c r="X1521" s="202"/>
    </row>
    <row r="1522" spans="2:24">
      <c r="B1522" s="4"/>
      <c r="C1522" s="4"/>
      <c r="D1522" s="107">
        <f>'2_入力シート【用途面積】'!$I46</f>
        <v>0</v>
      </c>
      <c r="E1522" s="564">
        <f>'2_入力シート【用途面積】'!$I46</f>
        <v>0</v>
      </c>
      <c r="F1522" s="564" t="str">
        <f t="shared" si="261"/>
        <v>0</v>
      </c>
      <c r="G1522" s="24"/>
      <c r="H1522" s="577"/>
      <c r="I1522" s="383" t="s">
        <v>2246</v>
      </c>
      <c r="J1522" s="561" t="s">
        <v>1407</v>
      </c>
      <c r="K1522" s="326">
        <v>2</v>
      </c>
      <c r="L1522" s="358" t="s">
        <v>2247</v>
      </c>
      <c r="M1522" s="325" t="s">
        <v>2211</v>
      </c>
      <c r="N1522" s="372"/>
      <c r="O1522" s="371"/>
      <c r="P1522" s="364"/>
      <c r="Q1522" s="365"/>
      <c r="R1522" s="364"/>
      <c r="S1522" s="364"/>
      <c r="T1522" s="13" t="str">
        <f t="shared" si="262"/>
        <v>階別用途別床面積-2-24階</v>
      </c>
      <c r="V1522" s="202"/>
      <c r="W1522" s="202"/>
      <c r="X1522" s="202"/>
    </row>
    <row r="1523" spans="2:24">
      <c r="B1523" s="4"/>
      <c r="C1523" s="4"/>
      <c r="D1523" s="107">
        <f>'2_入力シート【用途面積】'!$I47</f>
        <v>0</v>
      </c>
      <c r="E1523" s="564">
        <f>'2_入力シート【用途面積】'!$I47</f>
        <v>0</v>
      </c>
      <c r="F1523" s="564" t="str">
        <f t="shared" si="261"/>
        <v>0</v>
      </c>
      <c r="G1523" s="24"/>
      <c r="H1523" s="577"/>
      <c r="I1523" s="383" t="s">
        <v>2246</v>
      </c>
      <c r="J1523" s="561" t="s">
        <v>1407</v>
      </c>
      <c r="K1523" s="326">
        <v>2</v>
      </c>
      <c r="L1523" s="358" t="s">
        <v>2247</v>
      </c>
      <c r="M1523" s="325" t="s">
        <v>2212</v>
      </c>
      <c r="N1523" s="372"/>
      <c r="O1523" s="370"/>
      <c r="P1523" s="364"/>
      <c r="Q1523" s="365"/>
      <c r="R1523" s="364"/>
      <c r="S1523" s="364"/>
      <c r="T1523" s="13" t="str">
        <f t="shared" si="262"/>
        <v>階別用途別床面積-2-25階</v>
      </c>
      <c r="V1523" s="202"/>
      <c r="W1523" s="202"/>
      <c r="X1523" s="202"/>
    </row>
    <row r="1524" spans="2:24">
      <c r="B1524" s="4"/>
      <c r="C1524" s="4"/>
      <c r="D1524" s="107">
        <f>'2_入力シート【用途面積】'!$I48</f>
        <v>0</v>
      </c>
      <c r="E1524" s="564">
        <f>'2_入力シート【用途面積】'!$I48</f>
        <v>0</v>
      </c>
      <c r="F1524" s="564" t="str">
        <f t="shared" si="261"/>
        <v>0</v>
      </c>
      <c r="G1524" s="24"/>
      <c r="H1524" s="577"/>
      <c r="I1524" s="383" t="s">
        <v>2246</v>
      </c>
      <c r="J1524" s="561" t="s">
        <v>1407</v>
      </c>
      <c r="K1524" s="326">
        <v>2</v>
      </c>
      <c r="L1524" s="358" t="s">
        <v>2247</v>
      </c>
      <c r="M1524" s="325" t="s">
        <v>2213</v>
      </c>
      <c r="N1524" s="372"/>
      <c r="O1524" s="370"/>
      <c r="P1524" s="364"/>
      <c r="Q1524" s="365"/>
      <c r="R1524" s="364"/>
      <c r="S1524" s="364"/>
      <c r="T1524" s="13" t="str">
        <f t="shared" si="262"/>
        <v>階別用途別床面積-2-26階</v>
      </c>
      <c r="V1524" s="202"/>
      <c r="W1524" s="202"/>
      <c r="X1524" s="202"/>
    </row>
    <row r="1525" spans="2:24">
      <c r="B1525" s="4"/>
      <c r="C1525" s="4"/>
      <c r="D1525" s="107">
        <f>'2_入力シート【用途面積】'!$I49</f>
        <v>0</v>
      </c>
      <c r="E1525" s="564">
        <f>'2_入力シート【用途面積】'!$I49</f>
        <v>0</v>
      </c>
      <c r="F1525" s="564" t="str">
        <f t="shared" si="261"/>
        <v>0</v>
      </c>
      <c r="G1525" s="24"/>
      <c r="H1525" s="577"/>
      <c r="I1525" s="383" t="s">
        <v>2246</v>
      </c>
      <c r="J1525" s="561" t="s">
        <v>1407</v>
      </c>
      <c r="K1525" s="326">
        <v>2</v>
      </c>
      <c r="L1525" s="358" t="s">
        <v>2247</v>
      </c>
      <c r="M1525" s="325" t="s">
        <v>2214</v>
      </c>
      <c r="N1525" s="372"/>
      <c r="O1525" s="370"/>
      <c r="P1525" s="364"/>
      <c r="Q1525" s="365"/>
      <c r="R1525" s="364"/>
      <c r="S1525" s="364"/>
      <c r="T1525" s="13" t="str">
        <f t="shared" si="262"/>
        <v>階別用途別床面積-2-27階</v>
      </c>
      <c r="V1525" s="202"/>
      <c r="W1525" s="202"/>
      <c r="X1525" s="202"/>
    </row>
    <row r="1526" spans="2:24">
      <c r="B1526" s="4"/>
      <c r="C1526" s="4"/>
      <c r="D1526" s="107">
        <f>'2_入力シート【用途面積】'!$I50</f>
        <v>0</v>
      </c>
      <c r="E1526" s="564">
        <f>'2_入力シート【用途面積】'!$I50</f>
        <v>0</v>
      </c>
      <c r="F1526" s="564" t="str">
        <f t="shared" si="261"/>
        <v>0</v>
      </c>
      <c r="G1526" s="24"/>
      <c r="H1526" s="577"/>
      <c r="I1526" s="383" t="s">
        <v>2246</v>
      </c>
      <c r="J1526" s="561" t="s">
        <v>1407</v>
      </c>
      <c r="K1526" s="326">
        <v>2</v>
      </c>
      <c r="L1526" s="358" t="s">
        <v>2247</v>
      </c>
      <c r="M1526" s="325" t="s">
        <v>2215</v>
      </c>
      <c r="N1526" s="372"/>
      <c r="O1526" s="371"/>
      <c r="P1526" s="203"/>
      <c r="Q1526" s="373"/>
      <c r="R1526" s="364"/>
      <c r="S1526" s="364"/>
      <c r="T1526" s="13" t="str">
        <f t="shared" si="262"/>
        <v>階別用途別床面積-2-28階</v>
      </c>
      <c r="V1526" s="202"/>
      <c r="W1526" s="202"/>
      <c r="X1526" s="202"/>
    </row>
    <row r="1527" spans="2:24">
      <c r="B1527" s="4"/>
      <c r="C1527" s="4"/>
      <c r="D1527" s="107">
        <f>'2_入力シート【用途面積】'!$I51</f>
        <v>0</v>
      </c>
      <c r="E1527" s="564">
        <f>'2_入力シート【用途面積】'!$I51</f>
        <v>0</v>
      </c>
      <c r="F1527" s="564" t="str">
        <f t="shared" si="261"/>
        <v>0</v>
      </c>
      <c r="G1527" s="24"/>
      <c r="H1527" s="577"/>
      <c r="I1527" s="383" t="s">
        <v>2246</v>
      </c>
      <c r="J1527" s="561" t="s">
        <v>1407</v>
      </c>
      <c r="K1527" s="326">
        <v>2</v>
      </c>
      <c r="L1527" s="358" t="s">
        <v>2247</v>
      </c>
      <c r="M1527" s="325" t="s">
        <v>2216</v>
      </c>
      <c r="N1527" s="372"/>
      <c r="O1527" s="371"/>
      <c r="P1527" s="364"/>
      <c r="Q1527" s="365"/>
      <c r="R1527" s="364"/>
      <c r="S1527" s="364"/>
      <c r="T1527" s="13" t="str">
        <f t="shared" si="262"/>
        <v>階別用途別床面積-2-29階</v>
      </c>
      <c r="V1527" s="202"/>
      <c r="W1527" s="202"/>
      <c r="X1527" s="202"/>
    </row>
    <row r="1528" spans="2:24">
      <c r="B1528" s="4"/>
      <c r="C1528" s="4"/>
      <c r="D1528" s="107">
        <f>'2_入力シート【用途面積】'!$I52</f>
        <v>0</v>
      </c>
      <c r="E1528" s="564">
        <f>'2_入力シート【用途面積】'!$I52</f>
        <v>0</v>
      </c>
      <c r="F1528" s="564" t="str">
        <f t="shared" si="261"/>
        <v>0</v>
      </c>
      <c r="G1528" s="24"/>
      <c r="H1528" s="577"/>
      <c r="I1528" s="383" t="s">
        <v>2246</v>
      </c>
      <c r="J1528" s="561" t="s">
        <v>1407</v>
      </c>
      <c r="K1528" s="326">
        <v>2</v>
      </c>
      <c r="L1528" s="358" t="s">
        <v>2247</v>
      </c>
      <c r="M1528" s="325" t="s">
        <v>2217</v>
      </c>
      <c r="N1528" s="372"/>
      <c r="O1528" s="371"/>
      <c r="P1528" s="364"/>
      <c r="Q1528" s="365"/>
      <c r="R1528" s="364"/>
      <c r="S1528" s="364"/>
      <c r="T1528" s="13" t="str">
        <f t="shared" si="262"/>
        <v>階別用途別床面積-2-30階</v>
      </c>
      <c r="V1528" s="202"/>
      <c r="W1528" s="202"/>
      <c r="X1528" s="202"/>
    </row>
    <row r="1529" spans="2:24">
      <c r="B1529" s="4"/>
      <c r="C1529" s="4"/>
      <c r="D1529" s="107">
        <f>'2_入力シート【用途面積】'!$I53</f>
        <v>0</v>
      </c>
      <c r="E1529" s="564">
        <f>'2_入力シート【用途面積】'!$I53</f>
        <v>0</v>
      </c>
      <c r="F1529" s="564" t="str">
        <f t="shared" si="261"/>
        <v>0</v>
      </c>
      <c r="G1529" s="24"/>
      <c r="H1529" s="577"/>
      <c r="I1529" s="383" t="s">
        <v>2246</v>
      </c>
      <c r="J1529" s="561" t="s">
        <v>1407</v>
      </c>
      <c r="K1529" s="326">
        <v>2</v>
      </c>
      <c r="L1529" s="358" t="s">
        <v>2247</v>
      </c>
      <c r="M1529" s="325" t="s">
        <v>2218</v>
      </c>
      <c r="N1529" s="372"/>
      <c r="O1529" s="371"/>
      <c r="P1529" s="364"/>
      <c r="Q1529" s="365"/>
      <c r="R1529" s="203"/>
      <c r="S1529" s="203"/>
      <c r="T1529" s="13" t="str">
        <f t="shared" si="262"/>
        <v>階別用途別床面積-2-31階</v>
      </c>
      <c r="V1529" s="202"/>
      <c r="W1529" s="202"/>
      <c r="X1529" s="202"/>
    </row>
    <row r="1530" spans="2:24">
      <c r="B1530" s="4"/>
      <c r="C1530" s="4"/>
      <c r="D1530" s="107">
        <f>'2_入力シート【用途面積】'!$I54</f>
        <v>0</v>
      </c>
      <c r="E1530" s="564">
        <f>'2_入力シート【用途面積】'!$I54</f>
        <v>0</v>
      </c>
      <c r="F1530" s="564" t="str">
        <f t="shared" si="261"/>
        <v>0</v>
      </c>
      <c r="G1530" s="24"/>
      <c r="H1530" s="577"/>
      <c r="I1530" s="383" t="s">
        <v>2246</v>
      </c>
      <c r="J1530" s="561" t="s">
        <v>1407</v>
      </c>
      <c r="K1530" s="326">
        <v>2</v>
      </c>
      <c r="L1530" s="358" t="s">
        <v>2247</v>
      </c>
      <c r="M1530" s="325" t="s">
        <v>2219</v>
      </c>
      <c r="N1530" s="372"/>
      <c r="O1530" s="371"/>
      <c r="P1530" s="364"/>
      <c r="Q1530" s="365"/>
      <c r="R1530" s="364"/>
      <c r="S1530" s="364"/>
      <c r="T1530" s="13" t="str">
        <f t="shared" si="262"/>
        <v>階別用途別床面積-2-32階</v>
      </c>
      <c r="V1530" s="202"/>
      <c r="W1530" s="202"/>
      <c r="X1530" s="202"/>
    </row>
    <row r="1531" spans="2:24">
      <c r="B1531" s="4"/>
      <c r="C1531" s="4"/>
      <c r="D1531" s="107">
        <f>'2_入力シート【用途面積】'!$I55</f>
        <v>0</v>
      </c>
      <c r="E1531" s="564">
        <f>'2_入力シート【用途面積】'!$I55</f>
        <v>0</v>
      </c>
      <c r="F1531" s="564" t="str">
        <f t="shared" si="261"/>
        <v>0</v>
      </c>
      <c r="G1531" s="24"/>
      <c r="H1531" s="577"/>
      <c r="I1531" s="383" t="s">
        <v>2246</v>
      </c>
      <c r="J1531" s="561" t="s">
        <v>1407</v>
      </c>
      <c r="K1531" s="326">
        <v>2</v>
      </c>
      <c r="L1531" s="358" t="s">
        <v>2247</v>
      </c>
      <c r="M1531" s="325" t="s">
        <v>2220</v>
      </c>
      <c r="N1531" s="372"/>
      <c r="O1531" s="370"/>
      <c r="P1531" s="364"/>
      <c r="Q1531" s="365"/>
      <c r="R1531" s="364"/>
      <c r="S1531" s="364"/>
      <c r="T1531" s="13" t="str">
        <f t="shared" si="262"/>
        <v>階別用途別床面積-2-33階</v>
      </c>
      <c r="V1531" s="202"/>
      <c r="W1531" s="202"/>
      <c r="X1531" s="202"/>
    </row>
    <row r="1532" spans="2:24">
      <c r="B1532" s="4"/>
      <c r="C1532" s="4"/>
      <c r="D1532" s="107">
        <f>'2_入力シート【用途面積】'!$I56</f>
        <v>0</v>
      </c>
      <c r="E1532" s="564">
        <f>'2_入力シート【用途面積】'!$I56</f>
        <v>0</v>
      </c>
      <c r="F1532" s="564" t="str">
        <f t="shared" si="261"/>
        <v>0</v>
      </c>
      <c r="G1532" s="24"/>
      <c r="H1532" s="577"/>
      <c r="I1532" s="383" t="s">
        <v>2246</v>
      </c>
      <c r="J1532" s="561" t="s">
        <v>1407</v>
      </c>
      <c r="K1532" s="326">
        <v>2</v>
      </c>
      <c r="L1532" s="358" t="s">
        <v>2247</v>
      </c>
      <c r="M1532" s="325" t="s">
        <v>2221</v>
      </c>
      <c r="N1532" s="372"/>
      <c r="O1532" s="370"/>
      <c r="P1532" s="364"/>
      <c r="Q1532" s="365"/>
      <c r="R1532" s="364"/>
      <c r="S1532" s="364"/>
      <c r="T1532" s="13" t="str">
        <f t="shared" si="262"/>
        <v>階別用途別床面積-2-34階</v>
      </c>
      <c r="V1532" s="202"/>
      <c r="W1532" s="202"/>
      <c r="X1532" s="202"/>
    </row>
    <row r="1533" spans="2:24">
      <c r="B1533" s="4"/>
      <c r="C1533" s="4"/>
      <c r="D1533" s="107">
        <f>'2_入力シート【用途面積】'!$I57</f>
        <v>0</v>
      </c>
      <c r="E1533" s="564">
        <f>'2_入力シート【用途面積】'!$I57</f>
        <v>0</v>
      </c>
      <c r="F1533" s="564" t="str">
        <f t="shared" si="261"/>
        <v>0</v>
      </c>
      <c r="G1533" s="24"/>
      <c r="H1533" s="577"/>
      <c r="I1533" s="383" t="s">
        <v>2246</v>
      </c>
      <c r="J1533" s="561" t="s">
        <v>1407</v>
      </c>
      <c r="K1533" s="326">
        <v>2</v>
      </c>
      <c r="L1533" s="358" t="s">
        <v>2247</v>
      </c>
      <c r="M1533" s="325" t="s">
        <v>2222</v>
      </c>
      <c r="N1533" s="372"/>
      <c r="O1533" s="370"/>
      <c r="P1533" s="364"/>
      <c r="Q1533" s="365"/>
      <c r="R1533" s="364"/>
      <c r="S1533" s="364"/>
      <c r="T1533" s="13" t="str">
        <f t="shared" si="262"/>
        <v>階別用途別床面積-2-35階</v>
      </c>
      <c r="V1533" s="202"/>
      <c r="W1533" s="202"/>
      <c r="X1533" s="202"/>
    </row>
    <row r="1534" spans="2:24">
      <c r="B1534" s="4"/>
      <c r="C1534" s="4"/>
      <c r="D1534" s="107">
        <f>'2_入力シート【用途面積】'!$I58</f>
        <v>0</v>
      </c>
      <c r="E1534" s="564">
        <f>'2_入力シート【用途面積】'!$I58</f>
        <v>0</v>
      </c>
      <c r="F1534" s="564" t="str">
        <f t="shared" si="261"/>
        <v>0</v>
      </c>
      <c r="G1534" s="24"/>
      <c r="H1534" s="577"/>
      <c r="I1534" s="383" t="s">
        <v>2246</v>
      </c>
      <c r="J1534" s="561" t="s">
        <v>1407</v>
      </c>
      <c r="K1534" s="326">
        <v>2</v>
      </c>
      <c r="L1534" s="358" t="s">
        <v>2247</v>
      </c>
      <c r="M1534" s="325" t="s">
        <v>2223</v>
      </c>
      <c r="N1534" s="372"/>
      <c r="O1534" s="371"/>
      <c r="P1534" s="203"/>
      <c r="Q1534" s="373"/>
      <c r="R1534" s="364"/>
      <c r="S1534" s="364"/>
      <c r="T1534" s="13" t="str">
        <f t="shared" si="262"/>
        <v>階別用途別床面積-2-36階</v>
      </c>
      <c r="V1534" s="202"/>
      <c r="W1534" s="202"/>
      <c r="X1534" s="202"/>
    </row>
    <row r="1535" spans="2:24">
      <c r="B1535" s="4"/>
      <c r="C1535" s="4"/>
      <c r="D1535" s="107">
        <f>'2_入力シート【用途面積】'!$I59</f>
        <v>0</v>
      </c>
      <c r="E1535" s="564">
        <f>'2_入力シート【用途面積】'!$I59</f>
        <v>0</v>
      </c>
      <c r="F1535" s="564" t="str">
        <f t="shared" si="261"/>
        <v>0</v>
      </c>
      <c r="G1535" s="24"/>
      <c r="H1535" s="577"/>
      <c r="I1535" s="383" t="s">
        <v>2246</v>
      </c>
      <c r="J1535" s="561" t="s">
        <v>1407</v>
      </c>
      <c r="K1535" s="326">
        <v>2</v>
      </c>
      <c r="L1535" s="358" t="s">
        <v>2247</v>
      </c>
      <c r="M1535" s="325" t="s">
        <v>2224</v>
      </c>
      <c r="N1535" s="372"/>
      <c r="O1535" s="371"/>
      <c r="P1535" s="364"/>
      <c r="Q1535" s="365"/>
      <c r="R1535" s="364"/>
      <c r="S1535" s="364"/>
      <c r="T1535" s="13" t="str">
        <f t="shared" si="262"/>
        <v>階別用途別床面積-2-37階</v>
      </c>
      <c r="V1535" s="202"/>
      <c r="W1535" s="202"/>
      <c r="X1535" s="202"/>
    </row>
    <row r="1536" spans="2:24">
      <c r="B1536" s="4"/>
      <c r="C1536" s="4"/>
      <c r="D1536" s="107">
        <f>'2_入力シート【用途面積】'!$I60</f>
        <v>0</v>
      </c>
      <c r="E1536" s="564">
        <f>'2_入力シート【用途面積】'!$I60</f>
        <v>0</v>
      </c>
      <c r="F1536" s="564" t="str">
        <f t="shared" si="261"/>
        <v>0</v>
      </c>
      <c r="G1536" s="24"/>
      <c r="H1536" s="577"/>
      <c r="I1536" s="383" t="s">
        <v>2246</v>
      </c>
      <c r="J1536" s="561" t="s">
        <v>1407</v>
      </c>
      <c r="K1536" s="326">
        <v>2</v>
      </c>
      <c r="L1536" s="358" t="s">
        <v>2247</v>
      </c>
      <c r="M1536" s="325" t="s">
        <v>2225</v>
      </c>
      <c r="N1536" s="372"/>
      <c r="O1536" s="371"/>
      <c r="P1536" s="364"/>
      <c r="Q1536" s="365"/>
      <c r="R1536" s="364"/>
      <c r="S1536" s="364"/>
      <c r="T1536" s="13" t="str">
        <f t="shared" si="262"/>
        <v>階別用途別床面積-2-38階</v>
      </c>
      <c r="V1536" s="202"/>
      <c r="W1536" s="202"/>
      <c r="X1536" s="202"/>
    </row>
    <row r="1537" spans="2:28">
      <c r="B1537" s="4"/>
      <c r="C1537" s="4"/>
      <c r="D1537" s="107">
        <f>'2_入力シート【用途面積】'!$I61</f>
        <v>0</v>
      </c>
      <c r="E1537" s="564">
        <f>'2_入力シート【用途面積】'!$I61</f>
        <v>0</v>
      </c>
      <c r="F1537" s="564" t="str">
        <f t="shared" si="261"/>
        <v>0</v>
      </c>
      <c r="G1537" s="24"/>
      <c r="H1537" s="577"/>
      <c r="I1537" s="383" t="s">
        <v>2246</v>
      </c>
      <c r="J1537" s="561" t="s">
        <v>1407</v>
      </c>
      <c r="K1537" s="326">
        <v>2</v>
      </c>
      <c r="L1537" s="358" t="s">
        <v>2247</v>
      </c>
      <c r="M1537" s="325" t="s">
        <v>2226</v>
      </c>
      <c r="N1537" s="372"/>
      <c r="O1537" s="371"/>
      <c r="P1537" s="364"/>
      <c r="Q1537" s="365"/>
      <c r="R1537" s="203"/>
      <c r="S1537" s="203"/>
      <c r="T1537" s="13" t="str">
        <f t="shared" si="262"/>
        <v>階別用途別床面積-2-39階</v>
      </c>
      <c r="V1537" s="202"/>
      <c r="W1537" s="202"/>
      <c r="X1537" s="202"/>
    </row>
    <row r="1538" spans="2:28">
      <c r="B1538" s="4"/>
      <c r="C1538" s="4"/>
      <c r="D1538" s="107">
        <f>'2_入力シート【用途面積】'!$I62</f>
        <v>0</v>
      </c>
      <c r="E1538" s="564">
        <f>'2_入力シート【用途面積】'!$I62</f>
        <v>0</v>
      </c>
      <c r="F1538" s="564" t="str">
        <f t="shared" si="261"/>
        <v>0</v>
      </c>
      <c r="G1538" s="24"/>
      <c r="H1538" s="577"/>
      <c r="I1538" s="383" t="s">
        <v>2246</v>
      </c>
      <c r="J1538" s="561" t="s">
        <v>1407</v>
      </c>
      <c r="K1538" s="326">
        <v>2</v>
      </c>
      <c r="L1538" s="358" t="s">
        <v>2247</v>
      </c>
      <c r="M1538" s="325" t="s">
        <v>2227</v>
      </c>
      <c r="N1538" s="372"/>
      <c r="O1538" s="371"/>
      <c r="P1538" s="364"/>
      <c r="Q1538" s="365"/>
      <c r="R1538" s="364"/>
      <c r="S1538" s="364"/>
      <c r="T1538" s="13" t="str">
        <f t="shared" si="262"/>
        <v>階別用途別床面積-2-40階</v>
      </c>
      <c r="V1538" s="202"/>
      <c r="W1538" s="202"/>
      <c r="X1538" s="202"/>
    </row>
    <row r="1539" spans="2:28">
      <c r="B1539" s="4"/>
      <c r="C1539" s="4"/>
      <c r="D1539" s="107">
        <f>'2_入力シート【用途面積】'!$I63</f>
        <v>0</v>
      </c>
      <c r="E1539" s="564">
        <f>'2_入力シート【用途面積】'!$I63</f>
        <v>0</v>
      </c>
      <c r="F1539" s="564" t="str">
        <f t="shared" si="261"/>
        <v>0</v>
      </c>
      <c r="G1539" s="24"/>
      <c r="H1539" s="577"/>
      <c r="I1539" s="383" t="s">
        <v>2246</v>
      </c>
      <c r="J1539" s="561" t="s">
        <v>1407</v>
      </c>
      <c r="K1539" s="326">
        <v>2</v>
      </c>
      <c r="L1539" s="358" t="s">
        <v>2247</v>
      </c>
      <c r="M1539" s="325" t="s">
        <v>2228</v>
      </c>
      <c r="N1539" s="372"/>
      <c r="O1539" s="370"/>
      <c r="P1539" s="364"/>
      <c r="Q1539" s="365"/>
      <c r="R1539" s="364"/>
      <c r="S1539" s="364"/>
      <c r="T1539" s="13" t="str">
        <f t="shared" si="262"/>
        <v>階別用途別床面積-2-41階</v>
      </c>
      <c r="V1539" s="202"/>
      <c r="W1539" s="202"/>
      <c r="X1539" s="202"/>
    </row>
    <row r="1540" spans="2:28">
      <c r="B1540" s="4"/>
      <c r="C1540" s="4"/>
      <c r="D1540" s="107">
        <f>'2_入力シート【用途面積】'!$I64</f>
        <v>0</v>
      </c>
      <c r="E1540" s="564">
        <f>'2_入力シート【用途面積】'!$I64</f>
        <v>0</v>
      </c>
      <c r="F1540" s="564" t="str">
        <f t="shared" si="261"/>
        <v>0</v>
      </c>
      <c r="G1540" s="24"/>
      <c r="H1540" s="577"/>
      <c r="I1540" s="383" t="s">
        <v>2246</v>
      </c>
      <c r="J1540" s="561" t="s">
        <v>1407</v>
      </c>
      <c r="K1540" s="326">
        <v>2</v>
      </c>
      <c r="L1540" s="358" t="s">
        <v>2247</v>
      </c>
      <c r="M1540" s="325" t="s">
        <v>2229</v>
      </c>
      <c r="N1540" s="372"/>
      <c r="O1540" s="370"/>
      <c r="P1540" s="364"/>
      <c r="Q1540" s="365"/>
      <c r="R1540" s="364"/>
      <c r="S1540" s="364"/>
      <c r="T1540" s="13" t="str">
        <f t="shared" si="262"/>
        <v>階別用途別床面積-2-42階</v>
      </c>
      <c r="V1540" s="202"/>
      <c r="W1540" s="202"/>
      <c r="X1540" s="202"/>
    </row>
    <row r="1541" spans="2:28">
      <c r="B1541" s="4"/>
      <c r="C1541" s="4"/>
      <c r="D1541" s="107">
        <f>'2_入力シート【用途面積】'!$I65</f>
        <v>0</v>
      </c>
      <c r="E1541" s="564">
        <f>'2_入力シート【用途面積】'!$I65</f>
        <v>0</v>
      </c>
      <c r="F1541" s="564" t="str">
        <f t="shared" ref="F1541:F1604" si="263">SUBSTITUTE(E1541,CHAR(10),"")</f>
        <v>0</v>
      </c>
      <c r="G1541" s="24"/>
      <c r="H1541" s="577"/>
      <c r="I1541" s="383" t="s">
        <v>2246</v>
      </c>
      <c r="J1541" s="561" t="s">
        <v>1407</v>
      </c>
      <c r="K1541" s="326">
        <v>2</v>
      </c>
      <c r="L1541" s="358" t="s">
        <v>2247</v>
      </c>
      <c r="M1541" s="325" t="s">
        <v>2230</v>
      </c>
      <c r="N1541" s="372"/>
      <c r="O1541" s="370"/>
      <c r="P1541" s="364"/>
      <c r="Q1541" s="365"/>
      <c r="R1541" s="364"/>
      <c r="S1541" s="364"/>
      <c r="T1541" s="13" t="str">
        <f t="shared" si="262"/>
        <v>階別用途別床面積-2-43階</v>
      </c>
      <c r="V1541" s="202"/>
      <c r="W1541" s="202"/>
      <c r="X1541" s="202"/>
    </row>
    <row r="1542" spans="2:28">
      <c r="B1542" s="4"/>
      <c r="C1542" s="4"/>
      <c r="D1542" s="107">
        <f>'2_入力シート【用途面積】'!$I66</f>
        <v>0</v>
      </c>
      <c r="E1542" s="564">
        <f>'2_入力シート【用途面積】'!$I66</f>
        <v>0</v>
      </c>
      <c r="F1542" s="564" t="str">
        <f t="shared" si="263"/>
        <v>0</v>
      </c>
      <c r="G1542" s="24"/>
      <c r="H1542" s="577"/>
      <c r="I1542" s="383" t="s">
        <v>2246</v>
      </c>
      <c r="J1542" s="561" t="s">
        <v>1407</v>
      </c>
      <c r="K1542" s="326">
        <v>2</v>
      </c>
      <c r="L1542" s="358" t="s">
        <v>2247</v>
      </c>
      <c r="M1542" s="325" t="s">
        <v>2231</v>
      </c>
      <c r="N1542" s="372"/>
      <c r="O1542" s="371"/>
      <c r="P1542" s="203"/>
      <c r="Q1542" s="373"/>
      <c r="R1542" s="364"/>
      <c r="S1542" s="364"/>
      <c r="T1542" s="13" t="str">
        <f t="shared" si="262"/>
        <v>階別用途別床面積-2-44階</v>
      </c>
      <c r="V1542" s="202"/>
      <c r="W1542" s="202"/>
      <c r="X1542" s="202"/>
    </row>
    <row r="1543" spans="2:28">
      <c r="B1543" s="4"/>
      <c r="C1543" s="4"/>
      <c r="D1543" s="107">
        <f>'2_入力シート【用途面積】'!$I67</f>
        <v>0</v>
      </c>
      <c r="E1543" s="564">
        <f>'2_入力シート【用途面積】'!$I67</f>
        <v>0</v>
      </c>
      <c r="F1543" s="564" t="str">
        <f t="shared" si="263"/>
        <v>0</v>
      </c>
      <c r="G1543" s="24"/>
      <c r="H1543" s="577"/>
      <c r="I1543" s="383" t="s">
        <v>2246</v>
      </c>
      <c r="J1543" s="561" t="s">
        <v>1407</v>
      </c>
      <c r="K1543" s="326">
        <v>2</v>
      </c>
      <c r="L1543" s="358" t="s">
        <v>2247</v>
      </c>
      <c r="M1543" s="325" t="s">
        <v>2232</v>
      </c>
      <c r="N1543" s="372"/>
      <c r="O1543" s="371"/>
      <c r="P1543" s="364"/>
      <c r="Q1543" s="365"/>
      <c r="R1543" s="364"/>
      <c r="S1543" s="364"/>
      <c r="T1543" s="13" t="str">
        <f t="shared" si="262"/>
        <v>階別用途別床面積-2-45階</v>
      </c>
      <c r="V1543" s="202"/>
      <c r="W1543" s="202"/>
      <c r="X1543" s="202"/>
    </row>
    <row r="1544" spans="2:28">
      <c r="B1544" s="4"/>
      <c r="C1544" s="4"/>
      <c r="D1544" s="107">
        <f>'2_入力シート【用途面積】'!$I68</f>
        <v>0</v>
      </c>
      <c r="E1544" s="564">
        <f>'2_入力シート【用途面積】'!$I68</f>
        <v>0</v>
      </c>
      <c r="F1544" s="564" t="str">
        <f t="shared" si="263"/>
        <v>0</v>
      </c>
      <c r="G1544" s="24"/>
      <c r="H1544" s="577"/>
      <c r="I1544" s="383" t="s">
        <v>2246</v>
      </c>
      <c r="J1544" s="561" t="s">
        <v>1407</v>
      </c>
      <c r="K1544" s="326">
        <v>2</v>
      </c>
      <c r="L1544" s="358" t="s">
        <v>2247</v>
      </c>
      <c r="M1544" s="325" t="s">
        <v>2233</v>
      </c>
      <c r="N1544" s="372"/>
      <c r="O1544" s="371"/>
      <c r="P1544" s="364"/>
      <c r="Q1544" s="365"/>
      <c r="R1544" s="364"/>
      <c r="S1544" s="364"/>
      <c r="T1544" s="13" t="str">
        <f t="shared" si="262"/>
        <v>階別用途別床面積-2-46階</v>
      </c>
      <c r="V1544" s="202"/>
      <c r="W1544" s="202"/>
      <c r="X1544" s="202"/>
    </row>
    <row r="1545" spans="2:28">
      <c r="B1545" s="4"/>
      <c r="C1545" s="4"/>
      <c r="D1545" s="107">
        <f>'2_入力シート【用途面積】'!$I69</f>
        <v>0</v>
      </c>
      <c r="E1545" s="564">
        <f>'2_入力シート【用途面積】'!$I69</f>
        <v>0</v>
      </c>
      <c r="F1545" s="564" t="str">
        <f t="shared" si="263"/>
        <v>0</v>
      </c>
      <c r="G1545" s="24"/>
      <c r="H1545" s="577"/>
      <c r="I1545" s="383" t="s">
        <v>2246</v>
      </c>
      <c r="J1545" s="561" t="s">
        <v>1407</v>
      </c>
      <c r="K1545" s="326">
        <v>2</v>
      </c>
      <c r="L1545" s="358" t="s">
        <v>2247</v>
      </c>
      <c r="M1545" s="325" t="s">
        <v>2234</v>
      </c>
      <c r="N1545" s="372"/>
      <c r="O1545" s="371"/>
      <c r="P1545" s="364"/>
      <c r="Q1545" s="365"/>
      <c r="R1545" s="203"/>
      <c r="S1545" s="203"/>
      <c r="T1545" s="13" t="str">
        <f t="shared" si="262"/>
        <v>階別用途別床面積-2-47階</v>
      </c>
      <c r="V1545" s="202"/>
      <c r="W1545" s="202"/>
      <c r="X1545" s="202"/>
    </row>
    <row r="1546" spans="2:28">
      <c r="B1546" s="4"/>
      <c r="C1546" s="4"/>
      <c r="D1546" s="107">
        <f>'2_入力シート【用途面積】'!$I70</f>
        <v>0</v>
      </c>
      <c r="E1546" s="564">
        <f>'2_入力シート【用途面積】'!$I70</f>
        <v>0</v>
      </c>
      <c r="F1546" s="564" t="str">
        <f t="shared" si="263"/>
        <v>0</v>
      </c>
      <c r="G1546" s="24"/>
      <c r="H1546" s="577"/>
      <c r="I1546" s="383" t="s">
        <v>2246</v>
      </c>
      <c r="J1546" s="561" t="s">
        <v>1407</v>
      </c>
      <c r="K1546" s="326">
        <v>2</v>
      </c>
      <c r="L1546" s="358" t="s">
        <v>2247</v>
      </c>
      <c r="M1546" s="325" t="s">
        <v>2235</v>
      </c>
      <c r="N1546" s="372"/>
      <c r="O1546" s="371"/>
      <c r="P1546" s="364"/>
      <c r="Q1546" s="365"/>
      <c r="R1546" s="364"/>
      <c r="S1546" s="364"/>
      <c r="T1546" s="13" t="str">
        <f t="shared" si="262"/>
        <v>階別用途別床面積-2-48階</v>
      </c>
      <c r="V1546" s="202"/>
      <c r="W1546" s="202"/>
      <c r="X1546" s="202"/>
    </row>
    <row r="1547" spans="2:28">
      <c r="B1547" s="4"/>
      <c r="C1547" s="4"/>
      <c r="D1547" s="107">
        <f>'2_入力シート【用途面積】'!$I71</f>
        <v>0</v>
      </c>
      <c r="E1547" s="564">
        <f>'2_入力シート【用途面積】'!$I71</f>
        <v>0</v>
      </c>
      <c r="F1547" s="564" t="str">
        <f t="shared" si="263"/>
        <v>0</v>
      </c>
      <c r="G1547" s="24"/>
      <c r="H1547" s="577"/>
      <c r="I1547" s="383" t="s">
        <v>2246</v>
      </c>
      <c r="J1547" s="561" t="s">
        <v>1407</v>
      </c>
      <c r="K1547" s="326">
        <v>2</v>
      </c>
      <c r="L1547" s="358" t="s">
        <v>2247</v>
      </c>
      <c r="M1547" s="325" t="s">
        <v>2236</v>
      </c>
      <c r="N1547" s="372"/>
      <c r="O1547" s="370"/>
      <c r="P1547" s="364"/>
      <c r="Q1547" s="365"/>
      <c r="R1547" s="364"/>
      <c r="S1547" s="364"/>
      <c r="T1547" s="13" t="str">
        <f t="shared" si="262"/>
        <v>階別用途別床面積-2-49階</v>
      </c>
      <c r="V1547" s="202"/>
      <c r="W1547" s="202"/>
      <c r="X1547" s="202"/>
    </row>
    <row r="1548" spans="2:28">
      <c r="B1548" s="4"/>
      <c r="C1548" s="4"/>
      <c r="D1548" s="107">
        <f>'2_入力シート【用途面積】'!$I72</f>
        <v>0</v>
      </c>
      <c r="E1548" s="564">
        <f>'2_入力シート【用途面積】'!$I72</f>
        <v>0</v>
      </c>
      <c r="F1548" s="564" t="str">
        <f t="shared" si="263"/>
        <v>0</v>
      </c>
      <c r="G1548" s="24"/>
      <c r="H1548" s="577"/>
      <c r="I1548" s="383" t="s">
        <v>2246</v>
      </c>
      <c r="J1548" s="561" t="s">
        <v>1407</v>
      </c>
      <c r="K1548" s="326">
        <v>2</v>
      </c>
      <c r="L1548" s="358" t="s">
        <v>2247</v>
      </c>
      <c r="M1548" s="325" t="s">
        <v>2237</v>
      </c>
      <c r="N1548" s="372"/>
      <c r="O1548" s="370"/>
      <c r="P1548" s="364"/>
      <c r="Q1548" s="365"/>
      <c r="R1548" s="364"/>
      <c r="S1548" s="364"/>
      <c r="T1548" s="13" t="str">
        <f t="shared" si="262"/>
        <v>階別用途別床面積-2-50階</v>
      </c>
      <c r="V1548" s="202"/>
      <c r="W1548" s="202"/>
      <c r="X1548" s="202"/>
    </row>
    <row r="1549" spans="2:28">
      <c r="B1549" s="4"/>
      <c r="C1549" s="4"/>
      <c r="D1549" s="107">
        <f>'2_入力シート【用途面積】'!$K$4</f>
        <v>0</v>
      </c>
      <c r="E1549" s="564">
        <f>'2_入力シート【用途面積】'!$K$4</f>
        <v>0</v>
      </c>
      <c r="F1549" s="564" t="str">
        <f t="shared" si="263"/>
        <v>0</v>
      </c>
      <c r="G1549" s="24"/>
      <c r="H1549" s="577"/>
      <c r="I1549" s="383" t="s">
        <v>2246</v>
      </c>
      <c r="J1549" s="561" t="s">
        <v>1407</v>
      </c>
      <c r="K1549" s="326">
        <v>3</v>
      </c>
      <c r="L1549" s="358" t="s">
        <v>2247</v>
      </c>
      <c r="M1549" s="325" t="s">
        <v>2238</v>
      </c>
      <c r="N1549" s="372"/>
      <c r="O1549" s="370"/>
      <c r="P1549" s="364"/>
      <c r="Q1549" s="365"/>
      <c r="R1549" s="364"/>
      <c r="S1549" s="364"/>
      <c r="T1549" s="13" t="str">
        <f t="shared" si="262"/>
        <v>階別用途別床面積-3-大分類</v>
      </c>
      <c r="V1549" s="202"/>
      <c r="W1549" s="202"/>
      <c r="X1549" s="202"/>
    </row>
    <row r="1550" spans="2:28">
      <c r="B1550" s="4"/>
      <c r="C1550" s="4"/>
      <c r="D1550" s="107">
        <f>'2_入力シート【用途面積】'!$K$7</f>
        <v>0</v>
      </c>
      <c r="E1550" s="564">
        <f>'2_入力シート【用途面積】'!$K$7</f>
        <v>0</v>
      </c>
      <c r="F1550" s="564" t="str">
        <f t="shared" si="263"/>
        <v>0</v>
      </c>
      <c r="G1550" s="24"/>
      <c r="H1550" s="577"/>
      <c r="I1550" s="383" t="s">
        <v>2246</v>
      </c>
      <c r="J1550" s="561" t="s">
        <v>1407</v>
      </c>
      <c r="K1550" s="326">
        <v>3</v>
      </c>
      <c r="L1550" s="358" t="s">
        <v>2247</v>
      </c>
      <c r="M1550" s="325" t="s">
        <v>2239</v>
      </c>
      <c r="N1550" s="372"/>
      <c r="O1550" s="371"/>
      <c r="P1550" s="203"/>
      <c r="Q1550" s="373"/>
      <c r="R1550" s="364"/>
      <c r="S1550" s="364"/>
      <c r="T1550" s="13" t="str">
        <f t="shared" si="262"/>
        <v>階別用途別床面積-3-小分類</v>
      </c>
      <c r="V1550" s="202"/>
      <c r="W1550" s="202"/>
      <c r="X1550" s="202"/>
    </row>
    <row r="1551" spans="2:28">
      <c r="B1551" s="4"/>
      <c r="C1551" s="4"/>
      <c r="D1551" s="107"/>
      <c r="E1551" s="789">
        <f>'2_入力シート【用途面積】'!$K$12</f>
        <v>0</v>
      </c>
      <c r="F1551" s="789" t="str">
        <f t="shared" si="263"/>
        <v>0</v>
      </c>
      <c r="G1551" s="790"/>
      <c r="H1551" s="828"/>
      <c r="I1551" s="832" t="s">
        <v>3402</v>
      </c>
      <c r="J1551" s="796" t="s">
        <v>1879</v>
      </c>
      <c r="K1551" s="694">
        <v>3</v>
      </c>
      <c r="L1551" s="697" t="s">
        <v>1879</v>
      </c>
      <c r="M1551" s="698" t="s">
        <v>3401</v>
      </c>
      <c r="N1551" s="830"/>
      <c r="O1551" s="829"/>
      <c r="P1551" s="794"/>
      <c r="Q1551" s="831"/>
      <c r="R1551" s="794"/>
      <c r="S1551" s="794"/>
      <c r="T1551" s="382" t="str">
        <f t="shared" si="262"/>
        <v>階別用途別床面積-3-特記</v>
      </c>
      <c r="U1551" s="382"/>
      <c r="V1551" s="202"/>
      <c r="W1551" s="202"/>
      <c r="X1551" s="202"/>
      <c r="Y1551" s="382"/>
      <c r="Z1551" s="382"/>
      <c r="AA1551" s="382"/>
      <c r="AB1551" s="382"/>
    </row>
    <row r="1552" spans="2:28">
      <c r="B1552" s="4"/>
      <c r="C1552" s="4"/>
      <c r="D1552" s="107">
        <f>'2_入力シート【用途面積】'!$K14</f>
        <v>0</v>
      </c>
      <c r="E1552" s="564">
        <f>'2_入力シート【用途面積】'!$K14</f>
        <v>0</v>
      </c>
      <c r="F1552" s="564" t="str">
        <f t="shared" si="263"/>
        <v>0</v>
      </c>
      <c r="G1552" s="24"/>
      <c r="H1552" s="577"/>
      <c r="I1552" s="383" t="s">
        <v>2246</v>
      </c>
      <c r="J1552" s="561" t="s">
        <v>1407</v>
      </c>
      <c r="K1552" s="326">
        <v>3</v>
      </c>
      <c r="L1552" s="358" t="s">
        <v>2247</v>
      </c>
      <c r="M1552" s="325" t="s">
        <v>2179</v>
      </c>
      <c r="N1552" s="372"/>
      <c r="O1552" s="371"/>
      <c r="P1552" s="364"/>
      <c r="Q1552" s="365"/>
      <c r="R1552" s="364"/>
      <c r="S1552" s="364"/>
      <c r="T1552" s="13" t="str">
        <f t="shared" si="262"/>
        <v>階別用途別床面積-3-地下1階</v>
      </c>
      <c r="V1552" s="202"/>
      <c r="W1552" s="202"/>
      <c r="X1552" s="202"/>
    </row>
    <row r="1553" spans="2:24">
      <c r="B1553" s="4"/>
      <c r="C1553" s="4"/>
      <c r="D1553" s="107">
        <f>'2_入力シート【用途面積】'!$K15</f>
        <v>0</v>
      </c>
      <c r="E1553" s="564">
        <f>'2_入力シート【用途面積】'!$K15</f>
        <v>0</v>
      </c>
      <c r="F1553" s="564" t="str">
        <f t="shared" si="263"/>
        <v>0</v>
      </c>
      <c r="G1553" s="24"/>
      <c r="H1553" s="577"/>
      <c r="I1553" s="383" t="s">
        <v>2246</v>
      </c>
      <c r="J1553" s="561" t="s">
        <v>1407</v>
      </c>
      <c r="K1553" s="326">
        <v>3</v>
      </c>
      <c r="L1553" s="358" t="s">
        <v>2247</v>
      </c>
      <c r="M1553" s="325" t="s">
        <v>2180</v>
      </c>
      <c r="N1553" s="372"/>
      <c r="O1553" s="371"/>
      <c r="P1553" s="364"/>
      <c r="Q1553" s="365"/>
      <c r="R1553" s="364"/>
      <c r="S1553" s="364"/>
      <c r="T1553" s="13" t="str">
        <f t="shared" si="262"/>
        <v>階別用途別床面積-3-地下2階</v>
      </c>
      <c r="V1553" s="202"/>
      <c r="W1553" s="202"/>
      <c r="X1553" s="202"/>
    </row>
    <row r="1554" spans="2:24">
      <c r="B1554" s="4"/>
      <c r="C1554" s="4"/>
      <c r="D1554" s="107">
        <f>'2_入力シート【用途面積】'!$K16</f>
        <v>0</v>
      </c>
      <c r="E1554" s="564">
        <f>'2_入力シート【用途面積】'!$K16</f>
        <v>0</v>
      </c>
      <c r="F1554" s="564" t="str">
        <f t="shared" si="263"/>
        <v>0</v>
      </c>
      <c r="G1554" s="24"/>
      <c r="H1554" s="577"/>
      <c r="I1554" s="383" t="s">
        <v>2246</v>
      </c>
      <c r="J1554" s="561" t="s">
        <v>1407</v>
      </c>
      <c r="K1554" s="326">
        <v>3</v>
      </c>
      <c r="L1554" s="358" t="s">
        <v>2247</v>
      </c>
      <c r="M1554" s="325" t="s">
        <v>2181</v>
      </c>
      <c r="N1554" s="372"/>
      <c r="O1554" s="371"/>
      <c r="P1554" s="364"/>
      <c r="Q1554" s="365"/>
      <c r="R1554" s="203"/>
      <c r="S1554" s="203"/>
      <c r="T1554" s="13" t="str">
        <f t="shared" si="262"/>
        <v>階別用途別床面積-3-地下3階</v>
      </c>
      <c r="V1554" s="202"/>
      <c r="W1554" s="202"/>
      <c r="X1554" s="202"/>
    </row>
    <row r="1555" spans="2:24">
      <c r="B1555" s="4"/>
      <c r="C1555" s="4"/>
      <c r="D1555" s="107">
        <f>'2_入力シート【用途面積】'!$K17</f>
        <v>0</v>
      </c>
      <c r="E1555" s="564">
        <f>'2_入力シート【用途面積】'!$K17</f>
        <v>0</v>
      </c>
      <c r="F1555" s="564" t="str">
        <f t="shared" si="263"/>
        <v>0</v>
      </c>
      <c r="G1555" s="24"/>
      <c r="H1555" s="577"/>
      <c r="I1555" s="383" t="s">
        <v>2246</v>
      </c>
      <c r="J1555" s="561" t="s">
        <v>1407</v>
      </c>
      <c r="K1555" s="326">
        <v>3</v>
      </c>
      <c r="L1555" s="358" t="s">
        <v>2247</v>
      </c>
      <c r="M1555" s="325" t="s">
        <v>2182</v>
      </c>
      <c r="N1555" s="372"/>
      <c r="O1555" s="371"/>
      <c r="P1555" s="364"/>
      <c r="Q1555" s="365"/>
      <c r="R1555" s="364"/>
      <c r="S1555" s="364"/>
      <c r="T1555" s="13" t="str">
        <f t="shared" si="262"/>
        <v>階別用途別床面積-3-地下4階</v>
      </c>
      <c r="V1555" s="202"/>
      <c r="W1555" s="202"/>
      <c r="X1555" s="202"/>
    </row>
    <row r="1556" spans="2:24">
      <c r="B1556" s="4"/>
      <c r="C1556" s="4"/>
      <c r="D1556" s="107">
        <f>'2_入力シート【用途面積】'!$K18</f>
        <v>0</v>
      </c>
      <c r="E1556" s="564">
        <f>'2_入力シート【用途面積】'!$K18</f>
        <v>0</v>
      </c>
      <c r="F1556" s="564" t="str">
        <f t="shared" si="263"/>
        <v>0</v>
      </c>
      <c r="G1556" s="24"/>
      <c r="H1556" s="577"/>
      <c r="I1556" s="383" t="s">
        <v>2246</v>
      </c>
      <c r="J1556" s="561" t="s">
        <v>1407</v>
      </c>
      <c r="K1556" s="326">
        <v>3</v>
      </c>
      <c r="L1556" s="358" t="s">
        <v>2247</v>
      </c>
      <c r="M1556" s="325" t="s">
        <v>2183</v>
      </c>
      <c r="N1556" s="372"/>
      <c r="O1556" s="370"/>
      <c r="P1556" s="364"/>
      <c r="Q1556" s="365"/>
      <c r="R1556" s="364"/>
      <c r="S1556" s="364"/>
      <c r="T1556" s="13" t="str">
        <f t="shared" si="262"/>
        <v>階別用途別床面積-3-塔屋 1階</v>
      </c>
      <c r="V1556" s="202"/>
      <c r="W1556" s="202"/>
      <c r="X1556" s="202"/>
    </row>
    <row r="1557" spans="2:24">
      <c r="B1557" s="4"/>
      <c r="C1557" s="4"/>
      <c r="D1557" s="107">
        <f>'2_入力シート【用途面積】'!$K19</f>
        <v>0</v>
      </c>
      <c r="E1557" s="564">
        <f>'2_入力シート【用途面積】'!$K19</f>
        <v>0</v>
      </c>
      <c r="F1557" s="564" t="str">
        <f t="shared" si="263"/>
        <v>0</v>
      </c>
      <c r="G1557" s="24"/>
      <c r="H1557" s="577"/>
      <c r="I1557" s="383" t="s">
        <v>2246</v>
      </c>
      <c r="J1557" s="561" t="s">
        <v>1407</v>
      </c>
      <c r="K1557" s="326">
        <v>3</v>
      </c>
      <c r="L1557" s="358" t="s">
        <v>2247</v>
      </c>
      <c r="M1557" s="325" t="s">
        <v>2184</v>
      </c>
      <c r="N1557" s="372"/>
      <c r="O1557" s="370"/>
      <c r="P1557" s="364"/>
      <c r="Q1557" s="365"/>
      <c r="R1557" s="364"/>
      <c r="S1557" s="364"/>
      <c r="T1557" s="13" t="str">
        <f t="shared" si="262"/>
        <v>階別用途別床面積-3-塔屋 2階</v>
      </c>
      <c r="V1557" s="202"/>
      <c r="W1557" s="202"/>
      <c r="X1557" s="202"/>
    </row>
    <row r="1558" spans="2:24">
      <c r="B1558" s="4"/>
      <c r="C1558" s="4"/>
      <c r="D1558" s="107">
        <f>'2_入力シート【用途面積】'!$K20</f>
        <v>0</v>
      </c>
      <c r="E1558" s="564">
        <f>'2_入力シート【用途面積】'!$K20</f>
        <v>0</v>
      </c>
      <c r="F1558" s="564" t="str">
        <f t="shared" si="263"/>
        <v>0</v>
      </c>
      <c r="G1558" s="24"/>
      <c r="H1558" s="577"/>
      <c r="I1558" s="383" t="s">
        <v>2246</v>
      </c>
      <c r="J1558" s="561" t="s">
        <v>1407</v>
      </c>
      <c r="K1558" s="326">
        <v>3</v>
      </c>
      <c r="L1558" s="358" t="s">
        <v>2247</v>
      </c>
      <c r="M1558" s="325" t="s">
        <v>2185</v>
      </c>
      <c r="N1558" s="372"/>
      <c r="O1558" s="370"/>
      <c r="P1558" s="364"/>
      <c r="Q1558" s="365"/>
      <c r="R1558" s="364"/>
      <c r="S1558" s="364"/>
      <c r="T1558" s="13" t="str">
        <f t="shared" si="262"/>
        <v>階別用途別床面積-3-塔屋 3階</v>
      </c>
      <c r="V1558" s="202"/>
      <c r="W1558" s="202"/>
      <c r="X1558" s="202"/>
    </row>
    <row r="1559" spans="2:24">
      <c r="B1559" s="4"/>
      <c r="C1559" s="4"/>
      <c r="D1559" s="107">
        <f>'2_入力シート【用途面積】'!$K21</f>
        <v>0</v>
      </c>
      <c r="E1559" s="564">
        <f>'2_入力シート【用途面積】'!$K21</f>
        <v>0</v>
      </c>
      <c r="F1559" s="564" t="str">
        <f t="shared" si="263"/>
        <v>0</v>
      </c>
      <c r="G1559" s="24"/>
      <c r="H1559" s="577"/>
      <c r="I1559" s="383" t="s">
        <v>2246</v>
      </c>
      <c r="J1559" s="561" t="s">
        <v>1407</v>
      </c>
      <c r="K1559" s="326">
        <v>3</v>
      </c>
      <c r="L1559" s="358" t="s">
        <v>2247</v>
      </c>
      <c r="M1559" s="325" t="s">
        <v>2186</v>
      </c>
      <c r="N1559" s="372"/>
      <c r="O1559" s="371"/>
      <c r="P1559" s="203"/>
      <c r="Q1559" s="373"/>
      <c r="R1559" s="364"/>
      <c r="S1559" s="364"/>
      <c r="T1559" s="13" t="str">
        <f t="shared" si="262"/>
        <v>階別用途別床面積-3-塔屋 4階</v>
      </c>
      <c r="V1559" s="202"/>
      <c r="W1559" s="202"/>
      <c r="X1559" s="202"/>
    </row>
    <row r="1560" spans="2:24">
      <c r="B1560" s="4"/>
      <c r="C1560" s="4"/>
      <c r="D1560" s="107">
        <f>'2_入力シート【用途面積】'!$K22</f>
        <v>0</v>
      </c>
      <c r="E1560" s="564">
        <f>'2_入力シート【用途面積】'!$K22</f>
        <v>0</v>
      </c>
      <c r="F1560" s="564" t="str">
        <f t="shared" si="263"/>
        <v>0</v>
      </c>
      <c r="G1560" s="24"/>
      <c r="H1560" s="577"/>
      <c r="I1560" s="383" t="s">
        <v>2246</v>
      </c>
      <c r="J1560" s="561" t="s">
        <v>1407</v>
      </c>
      <c r="K1560" s="326">
        <v>3</v>
      </c>
      <c r="L1560" s="358" t="s">
        <v>2247</v>
      </c>
      <c r="M1560" s="325" t="s">
        <v>2187</v>
      </c>
      <c r="N1560" s="372"/>
      <c r="O1560" s="371"/>
      <c r="P1560" s="364"/>
      <c r="Q1560" s="365"/>
      <c r="R1560" s="364"/>
      <c r="S1560" s="364"/>
      <c r="T1560" s="13" t="str">
        <f t="shared" si="262"/>
        <v>階別用途別床面積-3-塔屋 5階</v>
      </c>
      <c r="V1560" s="202"/>
      <c r="W1560" s="202"/>
      <c r="X1560" s="202"/>
    </row>
    <row r="1561" spans="2:24">
      <c r="B1561" s="4"/>
      <c r="C1561" s="4"/>
      <c r="D1561" s="107">
        <f>'2_入力シート【用途面積】'!$K23</f>
        <v>0</v>
      </c>
      <c r="E1561" s="564">
        <f>'2_入力シート【用途面積】'!$K23</f>
        <v>0</v>
      </c>
      <c r="F1561" s="564" t="str">
        <f t="shared" si="263"/>
        <v>0</v>
      </c>
      <c r="G1561" s="24"/>
      <c r="H1561" s="577"/>
      <c r="I1561" s="383" t="s">
        <v>2246</v>
      </c>
      <c r="J1561" s="561" t="s">
        <v>1407</v>
      </c>
      <c r="K1561" s="326">
        <v>3</v>
      </c>
      <c r="L1561" s="358" t="s">
        <v>2247</v>
      </c>
      <c r="M1561" s="325" t="s">
        <v>2188</v>
      </c>
      <c r="N1561" s="372"/>
      <c r="O1561" s="371"/>
      <c r="P1561" s="364"/>
      <c r="Q1561" s="365"/>
      <c r="R1561" s="364"/>
      <c r="S1561" s="364"/>
      <c r="T1561" s="13" t="str">
        <f t="shared" si="262"/>
        <v>階別用途別床面積-3-1階</v>
      </c>
      <c r="V1561" s="202"/>
      <c r="W1561" s="202"/>
      <c r="X1561" s="202"/>
    </row>
    <row r="1562" spans="2:24">
      <c r="B1562" s="4"/>
      <c r="C1562" s="4"/>
      <c r="D1562" s="107">
        <f>'2_入力シート【用途面積】'!$K24</f>
        <v>0</v>
      </c>
      <c r="E1562" s="564">
        <f>'2_入力シート【用途面積】'!$K24</f>
        <v>0</v>
      </c>
      <c r="F1562" s="564" t="str">
        <f t="shared" si="263"/>
        <v>0</v>
      </c>
      <c r="G1562" s="24"/>
      <c r="H1562" s="577"/>
      <c r="I1562" s="383" t="s">
        <v>2246</v>
      </c>
      <c r="J1562" s="561" t="s">
        <v>1407</v>
      </c>
      <c r="K1562" s="326">
        <v>3</v>
      </c>
      <c r="L1562" s="358" t="s">
        <v>2247</v>
      </c>
      <c r="M1562" s="325" t="s">
        <v>2189</v>
      </c>
      <c r="N1562" s="372"/>
      <c r="O1562" s="371"/>
      <c r="P1562" s="364"/>
      <c r="Q1562" s="365"/>
      <c r="R1562" s="203"/>
      <c r="S1562" s="203"/>
      <c r="T1562" s="13" t="str">
        <f t="shared" si="262"/>
        <v>階別用途別床面積-3-2階</v>
      </c>
      <c r="V1562" s="202"/>
      <c r="W1562" s="202"/>
      <c r="X1562" s="202"/>
    </row>
    <row r="1563" spans="2:24">
      <c r="B1563" s="4"/>
      <c r="C1563" s="4"/>
      <c r="D1563" s="107">
        <f>'2_入力シート【用途面積】'!$K25</f>
        <v>0</v>
      </c>
      <c r="E1563" s="564">
        <f>'2_入力シート【用途面積】'!$K25</f>
        <v>0</v>
      </c>
      <c r="F1563" s="564" t="str">
        <f t="shared" si="263"/>
        <v>0</v>
      </c>
      <c r="G1563" s="24"/>
      <c r="H1563" s="577"/>
      <c r="I1563" s="383" t="s">
        <v>2246</v>
      </c>
      <c r="J1563" s="561" t="s">
        <v>1407</v>
      </c>
      <c r="K1563" s="326">
        <v>3</v>
      </c>
      <c r="L1563" s="358" t="s">
        <v>2247</v>
      </c>
      <c r="M1563" s="325" t="s">
        <v>2190</v>
      </c>
      <c r="N1563" s="372"/>
      <c r="O1563" s="371"/>
      <c r="P1563" s="364"/>
      <c r="Q1563" s="365"/>
      <c r="R1563" s="364"/>
      <c r="S1563" s="364"/>
      <c r="T1563" s="13" t="str">
        <f t="shared" si="262"/>
        <v>階別用途別床面積-3-3階</v>
      </c>
      <c r="V1563" s="202"/>
      <c r="W1563" s="202"/>
      <c r="X1563" s="202"/>
    </row>
    <row r="1564" spans="2:24">
      <c r="B1564" s="4"/>
      <c r="C1564" s="4"/>
      <c r="D1564" s="107">
        <f>'2_入力シート【用途面積】'!$K26</f>
        <v>0</v>
      </c>
      <c r="E1564" s="564">
        <f>'2_入力シート【用途面積】'!$K26</f>
        <v>0</v>
      </c>
      <c r="F1564" s="564" t="str">
        <f t="shared" si="263"/>
        <v>0</v>
      </c>
      <c r="G1564" s="24"/>
      <c r="H1564" s="577"/>
      <c r="I1564" s="383" t="s">
        <v>2246</v>
      </c>
      <c r="J1564" s="561" t="s">
        <v>1407</v>
      </c>
      <c r="K1564" s="326">
        <v>3</v>
      </c>
      <c r="L1564" s="358" t="s">
        <v>2247</v>
      </c>
      <c r="M1564" s="325" t="s">
        <v>2191</v>
      </c>
      <c r="N1564" s="372"/>
      <c r="O1564" s="370"/>
      <c r="P1564" s="364"/>
      <c r="Q1564" s="365"/>
      <c r="R1564" s="364"/>
      <c r="S1564" s="364"/>
      <c r="T1564" s="13" t="str">
        <f t="shared" si="262"/>
        <v>階別用途別床面積-3-4階</v>
      </c>
      <c r="V1564" s="202"/>
      <c r="W1564" s="202"/>
      <c r="X1564" s="202"/>
    </row>
    <row r="1565" spans="2:24">
      <c r="B1565" s="4"/>
      <c r="C1565" s="4"/>
      <c r="D1565" s="107">
        <f>'2_入力シート【用途面積】'!$K27</f>
        <v>0</v>
      </c>
      <c r="E1565" s="564">
        <f>'2_入力シート【用途面積】'!$K27</f>
        <v>0</v>
      </c>
      <c r="F1565" s="564" t="str">
        <f t="shared" si="263"/>
        <v>0</v>
      </c>
      <c r="G1565" s="24"/>
      <c r="H1565" s="577"/>
      <c r="I1565" s="383" t="s">
        <v>2246</v>
      </c>
      <c r="J1565" s="561" t="s">
        <v>1407</v>
      </c>
      <c r="K1565" s="326">
        <v>3</v>
      </c>
      <c r="L1565" s="358" t="s">
        <v>2247</v>
      </c>
      <c r="M1565" s="325" t="s">
        <v>2192</v>
      </c>
      <c r="N1565" s="372"/>
      <c r="O1565" s="370"/>
      <c r="P1565" s="364"/>
      <c r="Q1565" s="365"/>
      <c r="R1565" s="364"/>
      <c r="S1565" s="364"/>
      <c r="T1565" s="13" t="str">
        <f t="shared" si="262"/>
        <v>階別用途別床面積-3-5階</v>
      </c>
      <c r="V1565" s="202"/>
      <c r="W1565" s="202"/>
      <c r="X1565" s="202"/>
    </row>
    <row r="1566" spans="2:24">
      <c r="B1566" s="4"/>
      <c r="C1566" s="4"/>
      <c r="D1566" s="107">
        <f>'2_入力シート【用途面積】'!$K28</f>
        <v>0</v>
      </c>
      <c r="E1566" s="564">
        <f>'2_入力シート【用途面積】'!$K28</f>
        <v>0</v>
      </c>
      <c r="F1566" s="564" t="str">
        <f t="shared" si="263"/>
        <v>0</v>
      </c>
      <c r="G1566" s="24"/>
      <c r="H1566" s="577"/>
      <c r="I1566" s="383" t="s">
        <v>2246</v>
      </c>
      <c r="J1566" s="561" t="s">
        <v>1407</v>
      </c>
      <c r="K1566" s="326">
        <v>3</v>
      </c>
      <c r="L1566" s="358" t="s">
        <v>2247</v>
      </c>
      <c r="M1566" s="325" t="s">
        <v>2193</v>
      </c>
      <c r="N1566" s="372"/>
      <c r="O1566" s="370"/>
      <c r="P1566" s="364"/>
      <c r="Q1566" s="365"/>
      <c r="R1566" s="364"/>
      <c r="S1566" s="364"/>
      <c r="T1566" s="13" t="str">
        <f t="shared" si="262"/>
        <v>階別用途別床面積-3-6階</v>
      </c>
      <c r="V1566" s="202"/>
      <c r="W1566" s="202"/>
      <c r="X1566" s="202"/>
    </row>
    <row r="1567" spans="2:24">
      <c r="B1567" s="4"/>
      <c r="C1567" s="4"/>
      <c r="D1567" s="107">
        <f>'2_入力シート【用途面積】'!$K29</f>
        <v>0</v>
      </c>
      <c r="E1567" s="564">
        <f>'2_入力シート【用途面積】'!$K29</f>
        <v>0</v>
      </c>
      <c r="F1567" s="564" t="str">
        <f t="shared" si="263"/>
        <v>0</v>
      </c>
      <c r="G1567" s="24"/>
      <c r="H1567" s="577"/>
      <c r="I1567" s="383" t="s">
        <v>2246</v>
      </c>
      <c r="J1567" s="561" t="s">
        <v>1407</v>
      </c>
      <c r="K1567" s="326">
        <v>3</v>
      </c>
      <c r="L1567" s="358" t="s">
        <v>2247</v>
      </c>
      <c r="M1567" s="325" t="s">
        <v>2194</v>
      </c>
      <c r="N1567" s="372"/>
      <c r="O1567" s="371"/>
      <c r="P1567" s="203"/>
      <c r="Q1567" s="373"/>
      <c r="R1567" s="364"/>
      <c r="S1567" s="364"/>
      <c r="T1567" s="13" t="str">
        <f t="shared" si="262"/>
        <v>階別用途別床面積-3-7階</v>
      </c>
      <c r="V1567" s="202"/>
      <c r="W1567" s="202"/>
      <c r="X1567" s="202"/>
    </row>
    <row r="1568" spans="2:24">
      <c r="B1568" s="4"/>
      <c r="C1568" s="4"/>
      <c r="D1568" s="107">
        <f>'2_入力シート【用途面積】'!$K30</f>
        <v>0</v>
      </c>
      <c r="E1568" s="564">
        <f>'2_入力シート【用途面積】'!$K30</f>
        <v>0</v>
      </c>
      <c r="F1568" s="564" t="str">
        <f t="shared" si="263"/>
        <v>0</v>
      </c>
      <c r="G1568" s="24"/>
      <c r="H1568" s="577"/>
      <c r="I1568" s="383" t="s">
        <v>2246</v>
      </c>
      <c r="J1568" s="561" t="s">
        <v>1407</v>
      </c>
      <c r="K1568" s="326">
        <v>3</v>
      </c>
      <c r="L1568" s="358" t="s">
        <v>2247</v>
      </c>
      <c r="M1568" s="325" t="s">
        <v>2195</v>
      </c>
      <c r="N1568" s="372"/>
      <c r="O1568" s="371"/>
      <c r="P1568" s="364"/>
      <c r="Q1568" s="365"/>
      <c r="R1568" s="364"/>
      <c r="S1568" s="364"/>
      <c r="T1568" s="13" t="str">
        <f t="shared" si="262"/>
        <v>階別用途別床面積-3-8階</v>
      </c>
      <c r="V1568" s="202"/>
      <c r="W1568" s="202"/>
      <c r="X1568" s="202"/>
    </row>
    <row r="1569" spans="2:24">
      <c r="B1569" s="4"/>
      <c r="C1569" s="4"/>
      <c r="D1569" s="107">
        <f>'2_入力シート【用途面積】'!$K31</f>
        <v>0</v>
      </c>
      <c r="E1569" s="564">
        <f>'2_入力シート【用途面積】'!$K31</f>
        <v>0</v>
      </c>
      <c r="F1569" s="564" t="str">
        <f t="shared" si="263"/>
        <v>0</v>
      </c>
      <c r="G1569" s="24"/>
      <c r="H1569" s="577"/>
      <c r="I1569" s="383" t="s">
        <v>2246</v>
      </c>
      <c r="J1569" s="561" t="s">
        <v>1407</v>
      </c>
      <c r="K1569" s="326">
        <v>3</v>
      </c>
      <c r="L1569" s="358" t="s">
        <v>2247</v>
      </c>
      <c r="M1569" s="325" t="s">
        <v>2196</v>
      </c>
      <c r="N1569" s="372"/>
      <c r="O1569" s="371"/>
      <c r="P1569" s="364"/>
      <c r="Q1569" s="365"/>
      <c r="R1569" s="364"/>
      <c r="S1569" s="364"/>
      <c r="T1569" s="13" t="str">
        <f t="shared" si="262"/>
        <v>階別用途別床面積-3-9階</v>
      </c>
      <c r="V1569" s="202"/>
      <c r="W1569" s="202"/>
      <c r="X1569" s="202"/>
    </row>
    <row r="1570" spans="2:24">
      <c r="B1570" s="4"/>
      <c r="C1570" s="4"/>
      <c r="D1570" s="107">
        <f>'2_入力シート【用途面積】'!$K32</f>
        <v>0</v>
      </c>
      <c r="E1570" s="564">
        <f>'2_入力シート【用途面積】'!$K32</f>
        <v>0</v>
      </c>
      <c r="F1570" s="564" t="str">
        <f t="shared" si="263"/>
        <v>0</v>
      </c>
      <c r="G1570" s="24"/>
      <c r="H1570" s="577"/>
      <c r="I1570" s="383" t="s">
        <v>2246</v>
      </c>
      <c r="J1570" s="561" t="s">
        <v>1407</v>
      </c>
      <c r="K1570" s="326">
        <v>3</v>
      </c>
      <c r="L1570" s="358" t="s">
        <v>2247</v>
      </c>
      <c r="M1570" s="325" t="s">
        <v>2197</v>
      </c>
      <c r="N1570" s="372"/>
      <c r="O1570" s="371"/>
      <c r="P1570" s="364"/>
      <c r="Q1570" s="365"/>
      <c r="R1570" s="203"/>
      <c r="S1570" s="203"/>
      <c r="T1570" s="13" t="str">
        <f t="shared" si="262"/>
        <v>階別用途別床面積-3-10階</v>
      </c>
      <c r="V1570" s="202"/>
      <c r="W1570" s="202"/>
      <c r="X1570" s="202"/>
    </row>
    <row r="1571" spans="2:24">
      <c r="B1571" s="4"/>
      <c r="C1571" s="4"/>
      <c r="D1571" s="107">
        <f>'2_入力シート【用途面積】'!$K33</f>
        <v>0</v>
      </c>
      <c r="E1571" s="564">
        <f>'2_入力シート【用途面積】'!$K33</f>
        <v>0</v>
      </c>
      <c r="F1571" s="564" t="str">
        <f t="shared" si="263"/>
        <v>0</v>
      </c>
      <c r="G1571" s="24"/>
      <c r="H1571" s="577"/>
      <c r="I1571" s="383" t="s">
        <v>2246</v>
      </c>
      <c r="J1571" s="561" t="s">
        <v>1407</v>
      </c>
      <c r="K1571" s="326">
        <v>3</v>
      </c>
      <c r="L1571" s="358" t="s">
        <v>2247</v>
      </c>
      <c r="M1571" s="325" t="s">
        <v>2198</v>
      </c>
      <c r="N1571" s="372"/>
      <c r="O1571" s="371"/>
      <c r="P1571" s="364"/>
      <c r="Q1571" s="365"/>
      <c r="R1571" s="364"/>
      <c r="S1571" s="364"/>
      <c r="T1571" s="13" t="str">
        <f t="shared" si="262"/>
        <v>階別用途別床面積-3-11階</v>
      </c>
      <c r="V1571" s="202"/>
      <c r="W1571" s="202"/>
      <c r="X1571" s="202"/>
    </row>
    <row r="1572" spans="2:24">
      <c r="B1572" s="4"/>
      <c r="C1572" s="4"/>
      <c r="D1572" s="107">
        <f>'2_入力シート【用途面積】'!$K34</f>
        <v>0</v>
      </c>
      <c r="E1572" s="564">
        <f>'2_入力シート【用途面積】'!$K34</f>
        <v>0</v>
      </c>
      <c r="F1572" s="564" t="str">
        <f t="shared" si="263"/>
        <v>0</v>
      </c>
      <c r="G1572" s="24"/>
      <c r="H1572" s="577"/>
      <c r="I1572" s="383" t="s">
        <v>2246</v>
      </c>
      <c r="J1572" s="561" t="s">
        <v>1407</v>
      </c>
      <c r="K1572" s="326">
        <v>3</v>
      </c>
      <c r="L1572" s="358" t="s">
        <v>2247</v>
      </c>
      <c r="M1572" s="325" t="s">
        <v>2199</v>
      </c>
      <c r="N1572" s="372"/>
      <c r="O1572" s="370"/>
      <c r="P1572" s="364"/>
      <c r="Q1572" s="365"/>
      <c r="R1572" s="364"/>
      <c r="S1572" s="364"/>
      <c r="T1572" s="13" t="str">
        <f t="shared" ref="T1572:T1636" si="264">CONCATENATE(H1572,I1572,J1572,K1572,L1572,M1572,N1572,O1572,P1572,Q1572)</f>
        <v>階別用途別床面積-3-12階</v>
      </c>
      <c r="V1572" s="202"/>
      <c r="W1572" s="202"/>
      <c r="X1572" s="202"/>
    </row>
    <row r="1573" spans="2:24">
      <c r="B1573" s="4"/>
      <c r="C1573" s="4"/>
      <c r="D1573" s="107">
        <f>'2_入力シート【用途面積】'!$K35</f>
        <v>0</v>
      </c>
      <c r="E1573" s="564">
        <f>'2_入力シート【用途面積】'!$K35</f>
        <v>0</v>
      </c>
      <c r="F1573" s="564" t="str">
        <f t="shared" si="263"/>
        <v>0</v>
      </c>
      <c r="G1573" s="24"/>
      <c r="H1573" s="577"/>
      <c r="I1573" s="383" t="s">
        <v>2246</v>
      </c>
      <c r="J1573" s="561" t="s">
        <v>1407</v>
      </c>
      <c r="K1573" s="326">
        <v>3</v>
      </c>
      <c r="L1573" s="358" t="s">
        <v>2247</v>
      </c>
      <c r="M1573" s="325" t="s">
        <v>2200</v>
      </c>
      <c r="N1573" s="372"/>
      <c r="O1573" s="370"/>
      <c r="P1573" s="364"/>
      <c r="Q1573" s="365"/>
      <c r="R1573" s="364"/>
      <c r="S1573" s="364"/>
      <c r="T1573" s="13" t="str">
        <f t="shared" si="264"/>
        <v>階別用途別床面積-3-13階</v>
      </c>
      <c r="V1573" s="202"/>
      <c r="W1573" s="202"/>
      <c r="X1573" s="202"/>
    </row>
    <row r="1574" spans="2:24">
      <c r="B1574" s="4"/>
      <c r="C1574" s="4"/>
      <c r="D1574" s="107">
        <f>'2_入力シート【用途面積】'!$K36</f>
        <v>0</v>
      </c>
      <c r="E1574" s="564">
        <f>'2_入力シート【用途面積】'!$K36</f>
        <v>0</v>
      </c>
      <c r="F1574" s="564" t="str">
        <f t="shared" si="263"/>
        <v>0</v>
      </c>
      <c r="G1574" s="24"/>
      <c r="H1574" s="577"/>
      <c r="I1574" s="383" t="s">
        <v>2246</v>
      </c>
      <c r="J1574" s="561" t="s">
        <v>1407</v>
      </c>
      <c r="K1574" s="326">
        <v>3</v>
      </c>
      <c r="L1574" s="358" t="s">
        <v>2247</v>
      </c>
      <c r="M1574" s="325" t="s">
        <v>2201</v>
      </c>
      <c r="N1574" s="372"/>
      <c r="O1574" s="370"/>
      <c r="P1574" s="364"/>
      <c r="Q1574" s="365"/>
      <c r="R1574" s="364"/>
      <c r="S1574" s="364"/>
      <c r="T1574" s="13" t="str">
        <f t="shared" si="264"/>
        <v>階別用途別床面積-3-14階</v>
      </c>
      <c r="V1574" s="202"/>
      <c r="W1574" s="202"/>
      <c r="X1574" s="202"/>
    </row>
    <row r="1575" spans="2:24">
      <c r="B1575" s="4"/>
      <c r="C1575" s="4"/>
      <c r="D1575" s="107">
        <f>'2_入力シート【用途面積】'!$K37</f>
        <v>0</v>
      </c>
      <c r="E1575" s="564">
        <f>'2_入力シート【用途面積】'!$K37</f>
        <v>0</v>
      </c>
      <c r="F1575" s="564" t="str">
        <f t="shared" si="263"/>
        <v>0</v>
      </c>
      <c r="G1575" s="24"/>
      <c r="H1575" s="577"/>
      <c r="I1575" s="383" t="s">
        <v>2246</v>
      </c>
      <c r="J1575" s="561" t="s">
        <v>1407</v>
      </c>
      <c r="K1575" s="326">
        <v>3</v>
      </c>
      <c r="L1575" s="358" t="s">
        <v>2247</v>
      </c>
      <c r="M1575" s="325" t="s">
        <v>2202</v>
      </c>
      <c r="N1575" s="372"/>
      <c r="O1575" s="371"/>
      <c r="P1575" s="203"/>
      <c r="Q1575" s="373"/>
      <c r="R1575" s="364"/>
      <c r="S1575" s="364"/>
      <c r="T1575" s="13" t="str">
        <f t="shared" si="264"/>
        <v>階別用途別床面積-3-15階</v>
      </c>
      <c r="V1575" s="202"/>
      <c r="W1575" s="202"/>
      <c r="X1575" s="202"/>
    </row>
    <row r="1576" spans="2:24">
      <c r="B1576" s="4"/>
      <c r="C1576" s="4"/>
      <c r="D1576" s="107">
        <f>'2_入力シート【用途面積】'!$K38</f>
        <v>0</v>
      </c>
      <c r="E1576" s="564">
        <f>'2_入力シート【用途面積】'!$K38</f>
        <v>0</v>
      </c>
      <c r="F1576" s="564" t="str">
        <f t="shared" si="263"/>
        <v>0</v>
      </c>
      <c r="G1576" s="24"/>
      <c r="H1576" s="577"/>
      <c r="I1576" s="383" t="s">
        <v>2246</v>
      </c>
      <c r="J1576" s="561" t="s">
        <v>1407</v>
      </c>
      <c r="K1576" s="326">
        <v>3</v>
      </c>
      <c r="L1576" s="358" t="s">
        <v>2247</v>
      </c>
      <c r="M1576" s="325" t="s">
        <v>2203</v>
      </c>
      <c r="N1576" s="372"/>
      <c r="O1576" s="371"/>
      <c r="P1576" s="364"/>
      <c r="Q1576" s="365"/>
      <c r="R1576" s="364"/>
      <c r="S1576" s="364"/>
      <c r="T1576" s="13" t="str">
        <f t="shared" si="264"/>
        <v>階別用途別床面積-3-16階</v>
      </c>
      <c r="V1576" s="202"/>
      <c r="W1576" s="202"/>
      <c r="X1576" s="202"/>
    </row>
    <row r="1577" spans="2:24">
      <c r="B1577" s="4"/>
      <c r="C1577" s="4"/>
      <c r="D1577" s="107">
        <f>'2_入力シート【用途面積】'!$K39</f>
        <v>0</v>
      </c>
      <c r="E1577" s="564">
        <f>'2_入力シート【用途面積】'!$K39</f>
        <v>0</v>
      </c>
      <c r="F1577" s="564" t="str">
        <f t="shared" si="263"/>
        <v>0</v>
      </c>
      <c r="G1577" s="24"/>
      <c r="H1577" s="577"/>
      <c r="I1577" s="383" t="s">
        <v>2246</v>
      </c>
      <c r="J1577" s="561" t="s">
        <v>1407</v>
      </c>
      <c r="K1577" s="326">
        <v>3</v>
      </c>
      <c r="L1577" s="358" t="s">
        <v>2247</v>
      </c>
      <c r="M1577" s="325" t="s">
        <v>2204</v>
      </c>
      <c r="N1577" s="372"/>
      <c r="O1577" s="371"/>
      <c r="P1577" s="364"/>
      <c r="Q1577" s="365"/>
      <c r="R1577" s="364"/>
      <c r="S1577" s="364"/>
      <c r="T1577" s="13" t="str">
        <f t="shared" si="264"/>
        <v>階別用途別床面積-3-17階</v>
      </c>
      <c r="V1577" s="202"/>
      <c r="W1577" s="202"/>
      <c r="X1577" s="202"/>
    </row>
    <row r="1578" spans="2:24">
      <c r="B1578" s="4"/>
      <c r="C1578" s="4"/>
      <c r="D1578" s="107">
        <f>'2_入力シート【用途面積】'!$K40</f>
        <v>0</v>
      </c>
      <c r="E1578" s="564">
        <f>'2_入力シート【用途面積】'!$K40</f>
        <v>0</v>
      </c>
      <c r="F1578" s="564" t="str">
        <f t="shared" si="263"/>
        <v>0</v>
      </c>
      <c r="G1578" s="24"/>
      <c r="H1578" s="577"/>
      <c r="I1578" s="383" t="s">
        <v>2246</v>
      </c>
      <c r="J1578" s="561" t="s">
        <v>1407</v>
      </c>
      <c r="K1578" s="326">
        <v>3</v>
      </c>
      <c r="L1578" s="358" t="s">
        <v>2247</v>
      </c>
      <c r="M1578" s="325" t="s">
        <v>2205</v>
      </c>
      <c r="N1578" s="372"/>
      <c r="O1578" s="371"/>
      <c r="P1578" s="364"/>
      <c r="Q1578" s="365"/>
      <c r="R1578" s="203"/>
      <c r="S1578" s="203"/>
      <c r="T1578" s="13" t="str">
        <f t="shared" si="264"/>
        <v>階別用途別床面積-3-18階</v>
      </c>
      <c r="V1578" s="202"/>
      <c r="W1578" s="202"/>
      <c r="X1578" s="202"/>
    </row>
    <row r="1579" spans="2:24">
      <c r="B1579" s="4"/>
      <c r="C1579" s="4"/>
      <c r="D1579" s="107">
        <f>'2_入力シート【用途面積】'!$K41</f>
        <v>0</v>
      </c>
      <c r="E1579" s="564">
        <f>'2_入力シート【用途面積】'!$K41</f>
        <v>0</v>
      </c>
      <c r="F1579" s="564" t="str">
        <f t="shared" si="263"/>
        <v>0</v>
      </c>
      <c r="G1579" s="24"/>
      <c r="H1579" s="577"/>
      <c r="I1579" s="383" t="s">
        <v>2246</v>
      </c>
      <c r="J1579" s="561" t="s">
        <v>1407</v>
      </c>
      <c r="K1579" s="326">
        <v>3</v>
      </c>
      <c r="L1579" s="358" t="s">
        <v>2247</v>
      </c>
      <c r="M1579" s="325" t="s">
        <v>2206</v>
      </c>
      <c r="N1579" s="372"/>
      <c r="O1579" s="371"/>
      <c r="P1579" s="364"/>
      <c r="Q1579" s="365"/>
      <c r="R1579" s="364"/>
      <c r="S1579" s="364"/>
      <c r="T1579" s="13" t="str">
        <f t="shared" si="264"/>
        <v>階別用途別床面積-3-19階</v>
      </c>
      <c r="V1579" s="202"/>
      <c r="W1579" s="202"/>
      <c r="X1579" s="202"/>
    </row>
    <row r="1580" spans="2:24">
      <c r="B1580" s="4"/>
      <c r="C1580" s="4"/>
      <c r="D1580" s="107">
        <f>'2_入力シート【用途面積】'!$K42</f>
        <v>0</v>
      </c>
      <c r="E1580" s="564">
        <f>'2_入力シート【用途面積】'!$K42</f>
        <v>0</v>
      </c>
      <c r="F1580" s="564" t="str">
        <f t="shared" si="263"/>
        <v>0</v>
      </c>
      <c r="G1580" s="24"/>
      <c r="H1580" s="577"/>
      <c r="I1580" s="383" t="s">
        <v>2246</v>
      </c>
      <c r="J1580" s="561" t="s">
        <v>1407</v>
      </c>
      <c r="K1580" s="326">
        <v>3</v>
      </c>
      <c r="L1580" s="358" t="s">
        <v>2247</v>
      </c>
      <c r="M1580" s="325" t="s">
        <v>2207</v>
      </c>
      <c r="N1580" s="372"/>
      <c r="O1580" s="371"/>
      <c r="P1580" s="364"/>
      <c r="Q1580" s="365"/>
      <c r="R1580" s="364"/>
      <c r="S1580" s="364"/>
      <c r="T1580" s="13" t="str">
        <f t="shared" si="264"/>
        <v>階別用途別床面積-3-20階</v>
      </c>
      <c r="V1580" s="202"/>
      <c r="W1580" s="202"/>
      <c r="X1580" s="202"/>
    </row>
    <row r="1581" spans="2:24">
      <c r="B1581" s="4"/>
      <c r="C1581" s="4"/>
      <c r="D1581" s="107">
        <f>'2_入力シート【用途面積】'!$K43</f>
        <v>0</v>
      </c>
      <c r="E1581" s="564">
        <f>'2_入力シート【用途面積】'!$K43</f>
        <v>0</v>
      </c>
      <c r="F1581" s="564" t="str">
        <f t="shared" si="263"/>
        <v>0</v>
      </c>
      <c r="G1581" s="24"/>
      <c r="H1581" s="577"/>
      <c r="I1581" s="383" t="s">
        <v>2246</v>
      </c>
      <c r="J1581" s="561" t="s">
        <v>1407</v>
      </c>
      <c r="K1581" s="326">
        <v>3</v>
      </c>
      <c r="L1581" s="358" t="s">
        <v>2247</v>
      </c>
      <c r="M1581" s="325" t="s">
        <v>2208</v>
      </c>
      <c r="N1581" s="372"/>
      <c r="O1581" s="370"/>
      <c r="P1581" s="364"/>
      <c r="Q1581" s="365"/>
      <c r="R1581" s="364"/>
      <c r="S1581" s="364"/>
      <c r="T1581" s="13" t="str">
        <f t="shared" si="264"/>
        <v>階別用途別床面積-3-21階</v>
      </c>
      <c r="V1581" s="202"/>
      <c r="W1581" s="202"/>
      <c r="X1581" s="202"/>
    </row>
    <row r="1582" spans="2:24">
      <c r="B1582" s="4"/>
      <c r="C1582" s="4"/>
      <c r="D1582" s="107">
        <f>'2_入力シート【用途面積】'!$K44</f>
        <v>0</v>
      </c>
      <c r="E1582" s="564">
        <f>'2_入力シート【用途面積】'!$K44</f>
        <v>0</v>
      </c>
      <c r="F1582" s="564" t="str">
        <f t="shared" si="263"/>
        <v>0</v>
      </c>
      <c r="G1582" s="24"/>
      <c r="H1582" s="577"/>
      <c r="I1582" s="383" t="s">
        <v>2246</v>
      </c>
      <c r="J1582" s="561" t="s">
        <v>1407</v>
      </c>
      <c r="K1582" s="326">
        <v>3</v>
      </c>
      <c r="L1582" s="358" t="s">
        <v>2247</v>
      </c>
      <c r="M1582" s="325" t="s">
        <v>2209</v>
      </c>
      <c r="N1582" s="372"/>
      <c r="O1582" s="370"/>
      <c r="P1582" s="364"/>
      <c r="Q1582" s="365"/>
      <c r="R1582" s="364"/>
      <c r="S1582" s="364"/>
      <c r="T1582" s="13" t="str">
        <f t="shared" si="264"/>
        <v>階別用途別床面積-3-22階</v>
      </c>
      <c r="V1582" s="202"/>
      <c r="W1582" s="202"/>
      <c r="X1582" s="202"/>
    </row>
    <row r="1583" spans="2:24">
      <c r="B1583" s="4"/>
      <c r="C1583" s="4"/>
      <c r="D1583" s="107">
        <f>'2_入力シート【用途面積】'!$K45</f>
        <v>0</v>
      </c>
      <c r="E1583" s="564">
        <f>'2_入力シート【用途面積】'!$K45</f>
        <v>0</v>
      </c>
      <c r="F1583" s="564" t="str">
        <f t="shared" si="263"/>
        <v>0</v>
      </c>
      <c r="G1583" s="24"/>
      <c r="H1583" s="577"/>
      <c r="I1583" s="383" t="s">
        <v>2246</v>
      </c>
      <c r="J1583" s="561" t="s">
        <v>1407</v>
      </c>
      <c r="K1583" s="326">
        <v>3</v>
      </c>
      <c r="L1583" s="358" t="s">
        <v>2247</v>
      </c>
      <c r="M1583" s="325" t="s">
        <v>2210</v>
      </c>
      <c r="N1583" s="372"/>
      <c r="O1583" s="370"/>
      <c r="P1583" s="364"/>
      <c r="Q1583" s="365"/>
      <c r="R1583" s="364"/>
      <c r="S1583" s="364"/>
      <c r="T1583" s="13" t="str">
        <f t="shared" si="264"/>
        <v>階別用途別床面積-3-23階</v>
      </c>
      <c r="V1583" s="202"/>
      <c r="W1583" s="202"/>
      <c r="X1583" s="202"/>
    </row>
    <row r="1584" spans="2:24">
      <c r="B1584" s="4"/>
      <c r="C1584" s="4"/>
      <c r="D1584" s="107">
        <f>'2_入力シート【用途面積】'!$K46</f>
        <v>0</v>
      </c>
      <c r="E1584" s="564">
        <f>'2_入力シート【用途面積】'!$K46</f>
        <v>0</v>
      </c>
      <c r="F1584" s="564" t="str">
        <f t="shared" si="263"/>
        <v>0</v>
      </c>
      <c r="G1584" s="24"/>
      <c r="H1584" s="577"/>
      <c r="I1584" s="383" t="s">
        <v>2246</v>
      </c>
      <c r="J1584" s="561" t="s">
        <v>1407</v>
      </c>
      <c r="K1584" s="326">
        <v>3</v>
      </c>
      <c r="L1584" s="358" t="s">
        <v>2247</v>
      </c>
      <c r="M1584" s="325" t="s">
        <v>2211</v>
      </c>
      <c r="N1584" s="372"/>
      <c r="O1584" s="371"/>
      <c r="P1584" s="203"/>
      <c r="Q1584" s="373"/>
      <c r="R1584" s="364"/>
      <c r="S1584" s="364"/>
      <c r="T1584" s="13" t="str">
        <f t="shared" si="264"/>
        <v>階別用途別床面積-3-24階</v>
      </c>
      <c r="V1584" s="202"/>
      <c r="W1584" s="202"/>
      <c r="X1584" s="202"/>
    </row>
    <row r="1585" spans="2:24">
      <c r="B1585" s="4"/>
      <c r="C1585" s="4"/>
      <c r="D1585" s="107">
        <f>'2_入力シート【用途面積】'!$K47</f>
        <v>0</v>
      </c>
      <c r="E1585" s="564">
        <f>'2_入力シート【用途面積】'!$K47</f>
        <v>0</v>
      </c>
      <c r="F1585" s="564" t="str">
        <f t="shared" si="263"/>
        <v>0</v>
      </c>
      <c r="G1585" s="24"/>
      <c r="H1585" s="577"/>
      <c r="I1585" s="383" t="s">
        <v>2246</v>
      </c>
      <c r="J1585" s="561" t="s">
        <v>1407</v>
      </c>
      <c r="K1585" s="326">
        <v>3</v>
      </c>
      <c r="L1585" s="358" t="s">
        <v>2247</v>
      </c>
      <c r="M1585" s="325" t="s">
        <v>2212</v>
      </c>
      <c r="N1585" s="372"/>
      <c r="O1585" s="371"/>
      <c r="P1585" s="364"/>
      <c r="Q1585" s="365"/>
      <c r="R1585" s="364"/>
      <c r="S1585" s="364"/>
      <c r="T1585" s="13" t="str">
        <f t="shared" si="264"/>
        <v>階別用途別床面積-3-25階</v>
      </c>
      <c r="V1585" s="202"/>
      <c r="W1585" s="202"/>
      <c r="X1585" s="202"/>
    </row>
    <row r="1586" spans="2:24">
      <c r="B1586" s="4"/>
      <c r="C1586" s="4"/>
      <c r="D1586" s="107">
        <f>'2_入力シート【用途面積】'!$K48</f>
        <v>0</v>
      </c>
      <c r="E1586" s="564">
        <f>'2_入力シート【用途面積】'!$K48</f>
        <v>0</v>
      </c>
      <c r="F1586" s="564" t="str">
        <f t="shared" si="263"/>
        <v>0</v>
      </c>
      <c r="G1586" s="24"/>
      <c r="H1586" s="577"/>
      <c r="I1586" s="383" t="s">
        <v>2246</v>
      </c>
      <c r="J1586" s="561" t="s">
        <v>1407</v>
      </c>
      <c r="K1586" s="326">
        <v>3</v>
      </c>
      <c r="L1586" s="358" t="s">
        <v>2247</v>
      </c>
      <c r="M1586" s="325" t="s">
        <v>2213</v>
      </c>
      <c r="N1586" s="372"/>
      <c r="O1586" s="371"/>
      <c r="P1586" s="364"/>
      <c r="Q1586" s="365"/>
      <c r="R1586" s="203"/>
      <c r="S1586" s="203"/>
      <c r="T1586" s="13" t="str">
        <f t="shared" si="264"/>
        <v>階別用途別床面積-3-26階</v>
      </c>
      <c r="V1586" s="202"/>
      <c r="W1586" s="202"/>
      <c r="X1586" s="202"/>
    </row>
    <row r="1587" spans="2:24">
      <c r="B1587" s="4"/>
      <c r="C1587" s="4"/>
      <c r="D1587" s="107">
        <f>'2_入力シート【用途面積】'!$K49</f>
        <v>0</v>
      </c>
      <c r="E1587" s="564">
        <f>'2_入力シート【用途面積】'!$K49</f>
        <v>0</v>
      </c>
      <c r="F1587" s="564" t="str">
        <f t="shared" si="263"/>
        <v>0</v>
      </c>
      <c r="G1587" s="24"/>
      <c r="H1587" s="577"/>
      <c r="I1587" s="383" t="s">
        <v>2246</v>
      </c>
      <c r="J1587" s="561" t="s">
        <v>1407</v>
      </c>
      <c r="K1587" s="326">
        <v>3</v>
      </c>
      <c r="L1587" s="358" t="s">
        <v>2247</v>
      </c>
      <c r="M1587" s="325" t="s">
        <v>2214</v>
      </c>
      <c r="N1587" s="372"/>
      <c r="O1587" s="371"/>
      <c r="P1587" s="364"/>
      <c r="Q1587" s="365"/>
      <c r="R1587" s="364"/>
      <c r="S1587" s="364"/>
      <c r="T1587" s="13" t="str">
        <f t="shared" si="264"/>
        <v>階別用途別床面積-3-27階</v>
      </c>
      <c r="V1587" s="202"/>
      <c r="W1587" s="202"/>
      <c r="X1587" s="202"/>
    </row>
    <row r="1588" spans="2:24">
      <c r="B1588" s="4"/>
      <c r="C1588" s="4"/>
      <c r="D1588" s="107">
        <f>'2_入力シート【用途面積】'!$K50</f>
        <v>0</v>
      </c>
      <c r="E1588" s="564">
        <f>'2_入力シート【用途面積】'!$K50</f>
        <v>0</v>
      </c>
      <c r="F1588" s="564" t="str">
        <f t="shared" si="263"/>
        <v>0</v>
      </c>
      <c r="G1588" s="24"/>
      <c r="H1588" s="577"/>
      <c r="I1588" s="383" t="s">
        <v>2246</v>
      </c>
      <c r="J1588" s="561" t="s">
        <v>1407</v>
      </c>
      <c r="K1588" s="326">
        <v>3</v>
      </c>
      <c r="L1588" s="358" t="s">
        <v>2247</v>
      </c>
      <c r="M1588" s="325" t="s">
        <v>2215</v>
      </c>
      <c r="N1588" s="372"/>
      <c r="O1588" s="371"/>
      <c r="P1588" s="364"/>
      <c r="Q1588" s="365"/>
      <c r="R1588" s="364"/>
      <c r="S1588" s="364"/>
      <c r="T1588" s="13" t="str">
        <f t="shared" si="264"/>
        <v>階別用途別床面積-3-28階</v>
      </c>
      <c r="V1588" s="202"/>
      <c r="W1588" s="202"/>
      <c r="X1588" s="202"/>
    </row>
    <row r="1589" spans="2:24">
      <c r="B1589" s="4"/>
      <c r="C1589" s="4"/>
      <c r="D1589" s="107">
        <f>'2_入力シート【用途面積】'!$K51</f>
        <v>0</v>
      </c>
      <c r="E1589" s="564">
        <f>'2_入力シート【用途面積】'!$K51</f>
        <v>0</v>
      </c>
      <c r="F1589" s="564" t="str">
        <f t="shared" si="263"/>
        <v>0</v>
      </c>
      <c r="G1589" s="24"/>
      <c r="H1589" s="577"/>
      <c r="I1589" s="383" t="s">
        <v>2246</v>
      </c>
      <c r="J1589" s="561" t="s">
        <v>1407</v>
      </c>
      <c r="K1589" s="326">
        <v>3</v>
      </c>
      <c r="L1589" s="358" t="s">
        <v>2247</v>
      </c>
      <c r="M1589" s="325" t="s">
        <v>2216</v>
      </c>
      <c r="N1589" s="372"/>
      <c r="O1589" s="371"/>
      <c r="P1589" s="364"/>
      <c r="Q1589" s="365"/>
      <c r="R1589" s="364"/>
      <c r="S1589" s="364"/>
      <c r="T1589" s="13" t="str">
        <f t="shared" si="264"/>
        <v>階別用途別床面積-3-29階</v>
      </c>
      <c r="V1589" s="202"/>
      <c r="W1589" s="202"/>
      <c r="X1589" s="202"/>
    </row>
    <row r="1590" spans="2:24">
      <c r="B1590" s="4"/>
      <c r="C1590" s="4"/>
      <c r="D1590" s="107">
        <f>'2_入力シート【用途面積】'!$K52</f>
        <v>0</v>
      </c>
      <c r="E1590" s="564">
        <f>'2_入力シート【用途面積】'!$K52</f>
        <v>0</v>
      </c>
      <c r="F1590" s="564" t="str">
        <f t="shared" si="263"/>
        <v>0</v>
      </c>
      <c r="G1590" s="24"/>
      <c r="H1590" s="577"/>
      <c r="I1590" s="383" t="s">
        <v>2246</v>
      </c>
      <c r="J1590" s="561" t="s">
        <v>1407</v>
      </c>
      <c r="K1590" s="326">
        <v>3</v>
      </c>
      <c r="L1590" s="358" t="s">
        <v>2247</v>
      </c>
      <c r="M1590" s="325" t="s">
        <v>2217</v>
      </c>
      <c r="N1590" s="372"/>
      <c r="O1590" s="370"/>
      <c r="P1590" s="364"/>
      <c r="Q1590" s="365"/>
      <c r="R1590" s="364"/>
      <c r="S1590" s="364"/>
      <c r="T1590" s="13" t="str">
        <f t="shared" si="264"/>
        <v>階別用途別床面積-3-30階</v>
      </c>
      <c r="V1590" s="202"/>
      <c r="W1590" s="202"/>
      <c r="X1590" s="202"/>
    </row>
    <row r="1591" spans="2:24">
      <c r="B1591" s="4"/>
      <c r="C1591" s="4"/>
      <c r="D1591" s="107">
        <f>'2_入力シート【用途面積】'!$K53</f>
        <v>0</v>
      </c>
      <c r="E1591" s="564">
        <f>'2_入力シート【用途面積】'!$K53</f>
        <v>0</v>
      </c>
      <c r="F1591" s="564" t="str">
        <f t="shared" si="263"/>
        <v>0</v>
      </c>
      <c r="G1591" s="24"/>
      <c r="H1591" s="577"/>
      <c r="I1591" s="383" t="s">
        <v>2246</v>
      </c>
      <c r="J1591" s="561" t="s">
        <v>1407</v>
      </c>
      <c r="K1591" s="326">
        <v>3</v>
      </c>
      <c r="L1591" s="358" t="s">
        <v>2247</v>
      </c>
      <c r="M1591" s="325" t="s">
        <v>2218</v>
      </c>
      <c r="N1591" s="372"/>
      <c r="O1591" s="370"/>
      <c r="P1591" s="364"/>
      <c r="Q1591" s="365"/>
      <c r="R1591" s="364"/>
      <c r="S1591" s="364"/>
      <c r="T1591" s="13" t="str">
        <f t="shared" si="264"/>
        <v>階別用途別床面積-3-31階</v>
      </c>
      <c r="V1591" s="202"/>
      <c r="W1591" s="202"/>
      <c r="X1591" s="202"/>
    </row>
    <row r="1592" spans="2:24">
      <c r="B1592" s="4"/>
      <c r="C1592" s="4"/>
      <c r="D1592" s="107">
        <f>'2_入力シート【用途面積】'!$K54</f>
        <v>0</v>
      </c>
      <c r="E1592" s="564">
        <f>'2_入力シート【用途面積】'!$K54</f>
        <v>0</v>
      </c>
      <c r="F1592" s="564" t="str">
        <f t="shared" si="263"/>
        <v>0</v>
      </c>
      <c r="G1592" s="24"/>
      <c r="H1592" s="577"/>
      <c r="I1592" s="383" t="s">
        <v>2246</v>
      </c>
      <c r="J1592" s="561" t="s">
        <v>1407</v>
      </c>
      <c r="K1592" s="326">
        <v>3</v>
      </c>
      <c r="L1592" s="358" t="s">
        <v>2247</v>
      </c>
      <c r="M1592" s="325" t="s">
        <v>2219</v>
      </c>
      <c r="N1592" s="372"/>
      <c r="O1592" s="370"/>
      <c r="P1592" s="364"/>
      <c r="Q1592" s="365"/>
      <c r="R1592" s="364"/>
      <c r="S1592" s="364"/>
      <c r="T1592" s="13" t="str">
        <f t="shared" si="264"/>
        <v>階別用途別床面積-3-32階</v>
      </c>
      <c r="V1592" s="202"/>
      <c r="W1592" s="202"/>
      <c r="X1592" s="202"/>
    </row>
    <row r="1593" spans="2:24">
      <c r="B1593" s="4"/>
      <c r="C1593" s="4"/>
      <c r="D1593" s="107">
        <f>'2_入力シート【用途面積】'!$K55</f>
        <v>0</v>
      </c>
      <c r="E1593" s="564">
        <f>'2_入力シート【用途面積】'!$K55</f>
        <v>0</v>
      </c>
      <c r="F1593" s="564" t="str">
        <f t="shared" si="263"/>
        <v>0</v>
      </c>
      <c r="G1593" s="24"/>
      <c r="H1593" s="577"/>
      <c r="I1593" s="383" t="s">
        <v>2246</v>
      </c>
      <c r="J1593" s="561" t="s">
        <v>1407</v>
      </c>
      <c r="K1593" s="326">
        <v>3</v>
      </c>
      <c r="L1593" s="358" t="s">
        <v>2247</v>
      </c>
      <c r="M1593" s="325" t="s">
        <v>2220</v>
      </c>
      <c r="N1593" s="372"/>
      <c r="O1593" s="371"/>
      <c r="P1593" s="203"/>
      <c r="Q1593" s="373"/>
      <c r="R1593" s="364"/>
      <c r="S1593" s="364"/>
      <c r="T1593" s="13" t="str">
        <f t="shared" si="264"/>
        <v>階別用途別床面積-3-33階</v>
      </c>
      <c r="V1593" s="202"/>
      <c r="W1593" s="202"/>
      <c r="X1593" s="202"/>
    </row>
    <row r="1594" spans="2:24">
      <c r="B1594" s="4"/>
      <c r="C1594" s="4"/>
      <c r="D1594" s="107">
        <f>'2_入力シート【用途面積】'!$K56</f>
        <v>0</v>
      </c>
      <c r="E1594" s="564">
        <f>'2_入力シート【用途面積】'!$K56</f>
        <v>0</v>
      </c>
      <c r="F1594" s="564" t="str">
        <f t="shared" si="263"/>
        <v>0</v>
      </c>
      <c r="G1594" s="24"/>
      <c r="H1594" s="577"/>
      <c r="I1594" s="383" t="s">
        <v>2246</v>
      </c>
      <c r="J1594" s="561" t="s">
        <v>1407</v>
      </c>
      <c r="K1594" s="326">
        <v>3</v>
      </c>
      <c r="L1594" s="358" t="s">
        <v>2247</v>
      </c>
      <c r="M1594" s="325" t="s">
        <v>2221</v>
      </c>
      <c r="N1594" s="372"/>
      <c r="O1594" s="371"/>
      <c r="P1594" s="364"/>
      <c r="Q1594" s="365"/>
      <c r="R1594" s="364"/>
      <c r="S1594" s="364"/>
      <c r="T1594" s="13" t="str">
        <f t="shared" si="264"/>
        <v>階別用途別床面積-3-34階</v>
      </c>
      <c r="V1594" s="202"/>
      <c r="W1594" s="202"/>
      <c r="X1594" s="202"/>
    </row>
    <row r="1595" spans="2:24">
      <c r="B1595" s="4"/>
      <c r="C1595" s="4"/>
      <c r="D1595" s="107">
        <f>'2_入力シート【用途面積】'!$K57</f>
        <v>0</v>
      </c>
      <c r="E1595" s="564">
        <f>'2_入力シート【用途面積】'!$K57</f>
        <v>0</v>
      </c>
      <c r="F1595" s="564" t="str">
        <f t="shared" si="263"/>
        <v>0</v>
      </c>
      <c r="G1595" s="24"/>
      <c r="H1595" s="577"/>
      <c r="I1595" s="383" t="s">
        <v>2246</v>
      </c>
      <c r="J1595" s="561" t="s">
        <v>1407</v>
      </c>
      <c r="K1595" s="326">
        <v>3</v>
      </c>
      <c r="L1595" s="358" t="s">
        <v>2247</v>
      </c>
      <c r="M1595" s="325" t="s">
        <v>2222</v>
      </c>
      <c r="N1595" s="372"/>
      <c r="O1595" s="371"/>
      <c r="P1595" s="364"/>
      <c r="Q1595" s="365"/>
      <c r="R1595" s="203"/>
      <c r="S1595" s="203"/>
      <c r="T1595" s="13" t="str">
        <f t="shared" si="264"/>
        <v>階別用途別床面積-3-35階</v>
      </c>
      <c r="V1595" s="202"/>
      <c r="W1595" s="202"/>
      <c r="X1595" s="202"/>
    </row>
    <row r="1596" spans="2:24">
      <c r="B1596" s="4"/>
      <c r="C1596" s="4"/>
      <c r="D1596" s="107">
        <f>'2_入力シート【用途面積】'!$K58</f>
        <v>0</v>
      </c>
      <c r="E1596" s="564">
        <f>'2_入力シート【用途面積】'!$K58</f>
        <v>0</v>
      </c>
      <c r="F1596" s="564" t="str">
        <f t="shared" si="263"/>
        <v>0</v>
      </c>
      <c r="G1596" s="24"/>
      <c r="H1596" s="577"/>
      <c r="I1596" s="383" t="s">
        <v>2246</v>
      </c>
      <c r="J1596" s="561" t="s">
        <v>1407</v>
      </c>
      <c r="K1596" s="326">
        <v>3</v>
      </c>
      <c r="L1596" s="358" t="s">
        <v>2247</v>
      </c>
      <c r="M1596" s="325" t="s">
        <v>2223</v>
      </c>
      <c r="N1596" s="372"/>
      <c r="O1596" s="371"/>
      <c r="P1596" s="364"/>
      <c r="Q1596" s="365"/>
      <c r="R1596" s="364"/>
      <c r="S1596" s="364"/>
      <c r="T1596" s="13" t="str">
        <f t="shared" si="264"/>
        <v>階別用途別床面積-3-36階</v>
      </c>
      <c r="V1596" s="202"/>
      <c r="W1596" s="202"/>
      <c r="X1596" s="202"/>
    </row>
    <row r="1597" spans="2:24">
      <c r="B1597" s="4"/>
      <c r="C1597" s="4"/>
      <c r="D1597" s="107">
        <f>'2_入力シート【用途面積】'!$K59</f>
        <v>0</v>
      </c>
      <c r="E1597" s="564">
        <f>'2_入力シート【用途面積】'!$K59</f>
        <v>0</v>
      </c>
      <c r="F1597" s="564" t="str">
        <f t="shared" si="263"/>
        <v>0</v>
      </c>
      <c r="G1597" s="24"/>
      <c r="H1597" s="577"/>
      <c r="I1597" s="383" t="s">
        <v>2246</v>
      </c>
      <c r="J1597" s="561" t="s">
        <v>1407</v>
      </c>
      <c r="K1597" s="326">
        <v>3</v>
      </c>
      <c r="L1597" s="358" t="s">
        <v>2247</v>
      </c>
      <c r="M1597" s="325" t="s">
        <v>2224</v>
      </c>
      <c r="N1597" s="372"/>
      <c r="O1597" s="371"/>
      <c r="P1597" s="364"/>
      <c r="Q1597" s="365"/>
      <c r="R1597" s="364"/>
      <c r="S1597" s="364"/>
      <c r="T1597" s="13" t="str">
        <f t="shared" si="264"/>
        <v>階別用途別床面積-3-37階</v>
      </c>
      <c r="V1597" s="202"/>
      <c r="W1597" s="202"/>
      <c r="X1597" s="202"/>
    </row>
    <row r="1598" spans="2:24">
      <c r="B1598" s="4"/>
      <c r="C1598" s="4"/>
      <c r="D1598" s="107">
        <f>'2_入力シート【用途面積】'!$K60</f>
        <v>0</v>
      </c>
      <c r="E1598" s="564">
        <f>'2_入力シート【用途面積】'!$K60</f>
        <v>0</v>
      </c>
      <c r="F1598" s="564" t="str">
        <f t="shared" si="263"/>
        <v>0</v>
      </c>
      <c r="G1598" s="24"/>
      <c r="H1598" s="577"/>
      <c r="I1598" s="383" t="s">
        <v>2246</v>
      </c>
      <c r="J1598" s="561" t="s">
        <v>1407</v>
      </c>
      <c r="K1598" s="326">
        <v>3</v>
      </c>
      <c r="L1598" s="358" t="s">
        <v>2247</v>
      </c>
      <c r="M1598" s="325" t="s">
        <v>2225</v>
      </c>
      <c r="N1598" s="372"/>
      <c r="O1598" s="371"/>
      <c r="P1598" s="364"/>
      <c r="Q1598" s="365"/>
      <c r="R1598" s="364"/>
      <c r="S1598" s="364"/>
      <c r="T1598" s="13" t="str">
        <f t="shared" si="264"/>
        <v>階別用途別床面積-3-38階</v>
      </c>
      <c r="V1598" s="202"/>
      <c r="W1598" s="202"/>
      <c r="X1598" s="202"/>
    </row>
    <row r="1599" spans="2:24">
      <c r="B1599" s="4"/>
      <c r="C1599" s="4"/>
      <c r="D1599" s="107">
        <f>'2_入力シート【用途面積】'!$K61</f>
        <v>0</v>
      </c>
      <c r="E1599" s="564">
        <f>'2_入力シート【用途面積】'!$K61</f>
        <v>0</v>
      </c>
      <c r="F1599" s="564" t="str">
        <f t="shared" si="263"/>
        <v>0</v>
      </c>
      <c r="G1599" s="24"/>
      <c r="H1599" s="577"/>
      <c r="I1599" s="383" t="s">
        <v>2246</v>
      </c>
      <c r="J1599" s="561" t="s">
        <v>1407</v>
      </c>
      <c r="K1599" s="326">
        <v>3</v>
      </c>
      <c r="L1599" s="358" t="s">
        <v>2247</v>
      </c>
      <c r="M1599" s="325" t="s">
        <v>2226</v>
      </c>
      <c r="N1599" s="372"/>
      <c r="O1599" s="370"/>
      <c r="P1599" s="364"/>
      <c r="Q1599" s="365"/>
      <c r="R1599" s="364"/>
      <c r="S1599" s="364"/>
      <c r="T1599" s="13" t="str">
        <f t="shared" si="264"/>
        <v>階別用途別床面積-3-39階</v>
      </c>
      <c r="V1599" s="202"/>
      <c r="W1599" s="202"/>
      <c r="X1599" s="202"/>
    </row>
    <row r="1600" spans="2:24">
      <c r="B1600" s="4"/>
      <c r="C1600" s="4"/>
      <c r="D1600" s="107">
        <f>'2_入力シート【用途面積】'!$K62</f>
        <v>0</v>
      </c>
      <c r="E1600" s="564">
        <f>'2_入力シート【用途面積】'!$K62</f>
        <v>0</v>
      </c>
      <c r="F1600" s="564" t="str">
        <f t="shared" si="263"/>
        <v>0</v>
      </c>
      <c r="G1600" s="24"/>
      <c r="H1600" s="577"/>
      <c r="I1600" s="383" t="s">
        <v>2246</v>
      </c>
      <c r="J1600" s="561" t="s">
        <v>1407</v>
      </c>
      <c r="K1600" s="326">
        <v>3</v>
      </c>
      <c r="L1600" s="358" t="s">
        <v>2247</v>
      </c>
      <c r="M1600" s="325" t="s">
        <v>2227</v>
      </c>
      <c r="N1600" s="372"/>
      <c r="O1600" s="370"/>
      <c r="P1600" s="364"/>
      <c r="Q1600" s="365"/>
      <c r="R1600" s="364"/>
      <c r="S1600" s="364"/>
      <c r="T1600" s="13" t="str">
        <f t="shared" si="264"/>
        <v>階別用途別床面積-3-40階</v>
      </c>
      <c r="V1600" s="202"/>
      <c r="W1600" s="202"/>
      <c r="X1600" s="202"/>
    </row>
    <row r="1601" spans="2:28">
      <c r="B1601" s="4"/>
      <c r="C1601" s="4"/>
      <c r="D1601" s="107">
        <f>'2_入力シート【用途面積】'!$K63</f>
        <v>0</v>
      </c>
      <c r="E1601" s="564">
        <f>'2_入力シート【用途面積】'!$K63</f>
        <v>0</v>
      </c>
      <c r="F1601" s="564" t="str">
        <f t="shared" si="263"/>
        <v>0</v>
      </c>
      <c r="G1601" s="24"/>
      <c r="H1601" s="577"/>
      <c r="I1601" s="383" t="s">
        <v>2246</v>
      </c>
      <c r="J1601" s="561" t="s">
        <v>1407</v>
      </c>
      <c r="K1601" s="326">
        <v>3</v>
      </c>
      <c r="L1601" s="358" t="s">
        <v>2247</v>
      </c>
      <c r="M1601" s="325" t="s">
        <v>2228</v>
      </c>
      <c r="N1601" s="372"/>
      <c r="O1601" s="370"/>
      <c r="P1601" s="364"/>
      <c r="Q1601" s="365"/>
      <c r="R1601" s="364"/>
      <c r="S1601" s="364"/>
      <c r="T1601" s="13" t="str">
        <f t="shared" si="264"/>
        <v>階別用途別床面積-3-41階</v>
      </c>
      <c r="V1601" s="202"/>
      <c r="W1601" s="202"/>
      <c r="X1601" s="202"/>
    </row>
    <row r="1602" spans="2:28">
      <c r="B1602" s="4"/>
      <c r="C1602" s="4"/>
      <c r="D1602" s="107">
        <f>'2_入力シート【用途面積】'!$K64</f>
        <v>0</v>
      </c>
      <c r="E1602" s="564">
        <f>'2_入力シート【用途面積】'!$K64</f>
        <v>0</v>
      </c>
      <c r="F1602" s="564" t="str">
        <f t="shared" si="263"/>
        <v>0</v>
      </c>
      <c r="G1602" s="24"/>
      <c r="H1602" s="577"/>
      <c r="I1602" s="383" t="s">
        <v>2246</v>
      </c>
      <c r="J1602" s="561" t="s">
        <v>1407</v>
      </c>
      <c r="K1602" s="326">
        <v>3</v>
      </c>
      <c r="L1602" s="358" t="s">
        <v>2247</v>
      </c>
      <c r="M1602" s="325" t="s">
        <v>2229</v>
      </c>
      <c r="N1602" s="372"/>
      <c r="O1602" s="371"/>
      <c r="P1602" s="203"/>
      <c r="Q1602" s="373"/>
      <c r="R1602" s="364"/>
      <c r="S1602" s="364"/>
      <c r="T1602" s="13" t="str">
        <f t="shared" si="264"/>
        <v>階別用途別床面積-3-42階</v>
      </c>
      <c r="V1602" s="202"/>
      <c r="W1602" s="202"/>
      <c r="X1602" s="202"/>
    </row>
    <row r="1603" spans="2:28">
      <c r="B1603" s="4"/>
      <c r="C1603" s="4"/>
      <c r="D1603" s="107">
        <f>'2_入力シート【用途面積】'!$K65</f>
        <v>0</v>
      </c>
      <c r="E1603" s="564">
        <f>'2_入力シート【用途面積】'!$K65</f>
        <v>0</v>
      </c>
      <c r="F1603" s="564" t="str">
        <f t="shared" si="263"/>
        <v>0</v>
      </c>
      <c r="G1603" s="24"/>
      <c r="H1603" s="577"/>
      <c r="I1603" s="383" t="s">
        <v>2246</v>
      </c>
      <c r="J1603" s="561" t="s">
        <v>1407</v>
      </c>
      <c r="K1603" s="326">
        <v>3</v>
      </c>
      <c r="L1603" s="358" t="s">
        <v>2247</v>
      </c>
      <c r="M1603" s="325" t="s">
        <v>2230</v>
      </c>
      <c r="N1603" s="372"/>
      <c r="O1603" s="371"/>
      <c r="P1603" s="364"/>
      <c r="Q1603" s="365"/>
      <c r="R1603" s="364"/>
      <c r="S1603" s="364"/>
      <c r="T1603" s="13" t="str">
        <f t="shared" si="264"/>
        <v>階別用途別床面積-3-43階</v>
      </c>
      <c r="V1603" s="202"/>
      <c r="W1603" s="202"/>
      <c r="X1603" s="202"/>
    </row>
    <row r="1604" spans="2:28">
      <c r="B1604" s="4"/>
      <c r="C1604" s="4"/>
      <c r="D1604" s="107">
        <f>'2_入力シート【用途面積】'!$K66</f>
        <v>0</v>
      </c>
      <c r="E1604" s="564">
        <f>'2_入力シート【用途面積】'!$K66</f>
        <v>0</v>
      </c>
      <c r="F1604" s="564" t="str">
        <f t="shared" si="263"/>
        <v>0</v>
      </c>
      <c r="G1604" s="24"/>
      <c r="H1604" s="577"/>
      <c r="I1604" s="383" t="s">
        <v>2246</v>
      </c>
      <c r="J1604" s="561" t="s">
        <v>1407</v>
      </c>
      <c r="K1604" s="326">
        <v>3</v>
      </c>
      <c r="L1604" s="358" t="s">
        <v>2247</v>
      </c>
      <c r="M1604" s="325" t="s">
        <v>2231</v>
      </c>
      <c r="N1604" s="372"/>
      <c r="O1604" s="371"/>
      <c r="P1604" s="364"/>
      <c r="Q1604" s="365"/>
      <c r="R1604" s="203"/>
      <c r="S1604" s="203"/>
      <c r="T1604" s="13" t="str">
        <f t="shared" si="264"/>
        <v>階別用途別床面積-3-44階</v>
      </c>
      <c r="V1604" s="202"/>
      <c r="W1604" s="202"/>
      <c r="X1604" s="202"/>
    </row>
    <row r="1605" spans="2:28">
      <c r="B1605" s="4"/>
      <c r="C1605" s="4"/>
      <c r="D1605" s="107">
        <f>'2_入力シート【用途面積】'!$K67</f>
        <v>0</v>
      </c>
      <c r="E1605" s="564">
        <f>'2_入力シート【用途面積】'!$K67</f>
        <v>0</v>
      </c>
      <c r="F1605" s="564" t="str">
        <f t="shared" ref="F1605:F1668" si="265">SUBSTITUTE(E1605,CHAR(10),"")</f>
        <v>0</v>
      </c>
      <c r="G1605" s="24"/>
      <c r="H1605" s="577"/>
      <c r="I1605" s="383" t="s">
        <v>2246</v>
      </c>
      <c r="J1605" s="561" t="s">
        <v>1407</v>
      </c>
      <c r="K1605" s="326">
        <v>3</v>
      </c>
      <c r="L1605" s="358" t="s">
        <v>2247</v>
      </c>
      <c r="M1605" s="325" t="s">
        <v>2232</v>
      </c>
      <c r="N1605" s="372"/>
      <c r="O1605" s="371"/>
      <c r="P1605" s="364"/>
      <c r="Q1605" s="365"/>
      <c r="R1605" s="364"/>
      <c r="S1605" s="364"/>
      <c r="T1605" s="13" t="str">
        <f t="shared" si="264"/>
        <v>階別用途別床面積-3-45階</v>
      </c>
      <c r="V1605" s="202"/>
      <c r="W1605" s="202"/>
      <c r="X1605" s="202"/>
    </row>
    <row r="1606" spans="2:28">
      <c r="B1606" s="4"/>
      <c r="C1606" s="4"/>
      <c r="D1606" s="107">
        <f>'2_入力シート【用途面積】'!$K68</f>
        <v>0</v>
      </c>
      <c r="E1606" s="564">
        <f>'2_入力シート【用途面積】'!$K68</f>
        <v>0</v>
      </c>
      <c r="F1606" s="564" t="str">
        <f t="shared" si="265"/>
        <v>0</v>
      </c>
      <c r="G1606" s="24"/>
      <c r="H1606" s="577"/>
      <c r="I1606" s="383" t="s">
        <v>2246</v>
      </c>
      <c r="J1606" s="561" t="s">
        <v>1407</v>
      </c>
      <c r="K1606" s="326">
        <v>3</v>
      </c>
      <c r="L1606" s="358" t="s">
        <v>2247</v>
      </c>
      <c r="M1606" s="325" t="s">
        <v>2233</v>
      </c>
      <c r="N1606" s="372"/>
      <c r="O1606" s="371"/>
      <c r="P1606" s="364"/>
      <c r="Q1606" s="365"/>
      <c r="R1606" s="364"/>
      <c r="S1606" s="364"/>
      <c r="T1606" s="13" t="str">
        <f t="shared" si="264"/>
        <v>階別用途別床面積-3-46階</v>
      </c>
      <c r="V1606" s="202"/>
      <c r="W1606" s="202"/>
      <c r="X1606" s="202"/>
    </row>
    <row r="1607" spans="2:28">
      <c r="B1607" s="4"/>
      <c r="C1607" s="4"/>
      <c r="D1607" s="107">
        <f>'2_入力シート【用途面積】'!$K69</f>
        <v>0</v>
      </c>
      <c r="E1607" s="564">
        <f>'2_入力シート【用途面積】'!$K69</f>
        <v>0</v>
      </c>
      <c r="F1607" s="564" t="str">
        <f t="shared" si="265"/>
        <v>0</v>
      </c>
      <c r="G1607" s="24"/>
      <c r="H1607" s="577"/>
      <c r="I1607" s="383" t="s">
        <v>2246</v>
      </c>
      <c r="J1607" s="561" t="s">
        <v>1407</v>
      </c>
      <c r="K1607" s="326">
        <v>3</v>
      </c>
      <c r="L1607" s="358" t="s">
        <v>2247</v>
      </c>
      <c r="M1607" s="325" t="s">
        <v>2234</v>
      </c>
      <c r="N1607" s="372"/>
      <c r="O1607" s="371"/>
      <c r="P1607" s="364"/>
      <c r="Q1607" s="365"/>
      <c r="R1607" s="364"/>
      <c r="S1607" s="364"/>
      <c r="T1607" s="13" t="str">
        <f t="shared" si="264"/>
        <v>階別用途別床面積-3-47階</v>
      </c>
      <c r="V1607" s="202"/>
      <c r="W1607" s="202"/>
      <c r="X1607" s="202"/>
    </row>
    <row r="1608" spans="2:28">
      <c r="B1608" s="4"/>
      <c r="C1608" s="4"/>
      <c r="D1608" s="107">
        <f>'2_入力シート【用途面積】'!$K70</f>
        <v>0</v>
      </c>
      <c r="E1608" s="564">
        <f>'2_入力シート【用途面積】'!$K70</f>
        <v>0</v>
      </c>
      <c r="F1608" s="564" t="str">
        <f t="shared" si="265"/>
        <v>0</v>
      </c>
      <c r="G1608" s="24"/>
      <c r="H1608" s="577"/>
      <c r="I1608" s="383" t="s">
        <v>2246</v>
      </c>
      <c r="J1608" s="561" t="s">
        <v>1407</v>
      </c>
      <c r="K1608" s="326">
        <v>3</v>
      </c>
      <c r="L1608" s="358" t="s">
        <v>2247</v>
      </c>
      <c r="M1608" s="325" t="s">
        <v>2235</v>
      </c>
      <c r="N1608" s="372"/>
      <c r="O1608" s="370"/>
      <c r="P1608" s="364"/>
      <c r="Q1608" s="365"/>
      <c r="R1608" s="364"/>
      <c r="S1608" s="364"/>
      <c r="T1608" s="13" t="str">
        <f t="shared" si="264"/>
        <v>階別用途別床面積-3-48階</v>
      </c>
      <c r="V1608" s="202"/>
      <c r="W1608" s="202"/>
      <c r="X1608" s="202"/>
    </row>
    <row r="1609" spans="2:28">
      <c r="B1609" s="4"/>
      <c r="C1609" s="4"/>
      <c r="D1609" s="107">
        <f>'2_入力シート【用途面積】'!$K71</f>
        <v>0</v>
      </c>
      <c r="E1609" s="564">
        <f>'2_入力シート【用途面積】'!$K71</f>
        <v>0</v>
      </c>
      <c r="F1609" s="564" t="str">
        <f t="shared" si="265"/>
        <v>0</v>
      </c>
      <c r="G1609" s="24"/>
      <c r="H1609" s="577"/>
      <c r="I1609" s="383" t="s">
        <v>2246</v>
      </c>
      <c r="J1609" s="561" t="s">
        <v>1407</v>
      </c>
      <c r="K1609" s="326">
        <v>3</v>
      </c>
      <c r="L1609" s="358" t="s">
        <v>2247</v>
      </c>
      <c r="M1609" s="325" t="s">
        <v>2236</v>
      </c>
      <c r="N1609" s="372"/>
      <c r="O1609" s="370"/>
      <c r="P1609" s="364"/>
      <c r="Q1609" s="365"/>
      <c r="R1609" s="364"/>
      <c r="S1609" s="364"/>
      <c r="T1609" s="13" t="str">
        <f t="shared" si="264"/>
        <v>階別用途別床面積-3-49階</v>
      </c>
      <c r="V1609" s="202"/>
      <c r="W1609" s="202"/>
      <c r="X1609" s="202"/>
    </row>
    <row r="1610" spans="2:28">
      <c r="B1610" s="4"/>
      <c r="C1610" s="4"/>
      <c r="D1610" s="107">
        <f>'2_入力シート【用途面積】'!$K72</f>
        <v>0</v>
      </c>
      <c r="E1610" s="564">
        <f>'2_入力シート【用途面積】'!$K72</f>
        <v>0</v>
      </c>
      <c r="F1610" s="564" t="str">
        <f t="shared" si="265"/>
        <v>0</v>
      </c>
      <c r="G1610" s="24"/>
      <c r="H1610" s="577"/>
      <c r="I1610" s="383" t="s">
        <v>2246</v>
      </c>
      <c r="J1610" s="561" t="s">
        <v>1407</v>
      </c>
      <c r="K1610" s="326">
        <v>3</v>
      </c>
      <c r="L1610" s="358" t="s">
        <v>2247</v>
      </c>
      <c r="M1610" s="325" t="s">
        <v>2237</v>
      </c>
      <c r="N1610" s="372"/>
      <c r="O1610" s="370"/>
      <c r="P1610" s="364"/>
      <c r="Q1610" s="365"/>
      <c r="R1610" s="364"/>
      <c r="S1610" s="364"/>
      <c r="T1610" s="13" t="str">
        <f t="shared" si="264"/>
        <v>階別用途別床面積-3-50階</v>
      </c>
      <c r="V1610" s="202"/>
      <c r="W1610" s="202"/>
      <c r="X1610" s="202"/>
    </row>
    <row r="1611" spans="2:28">
      <c r="B1611" s="4"/>
      <c r="C1611" s="4"/>
      <c r="D1611" s="107">
        <f>'2_入力シート【用途面積】'!$M$4</f>
        <v>0</v>
      </c>
      <c r="E1611" s="564">
        <f>'2_入力シート【用途面積】'!$M$4</f>
        <v>0</v>
      </c>
      <c r="F1611" s="564" t="str">
        <f t="shared" si="265"/>
        <v>0</v>
      </c>
      <c r="G1611" s="24"/>
      <c r="H1611" s="577"/>
      <c r="I1611" s="383" t="s">
        <v>2246</v>
      </c>
      <c r="J1611" s="561" t="s">
        <v>1407</v>
      </c>
      <c r="K1611" s="326">
        <v>4</v>
      </c>
      <c r="L1611" s="358" t="s">
        <v>2247</v>
      </c>
      <c r="M1611" s="325" t="s">
        <v>2238</v>
      </c>
      <c r="N1611" s="372"/>
      <c r="O1611" s="371"/>
      <c r="P1611" s="203"/>
      <c r="Q1611" s="373"/>
      <c r="R1611" s="364"/>
      <c r="S1611" s="364"/>
      <c r="T1611" s="13" t="str">
        <f t="shared" si="264"/>
        <v>階別用途別床面積-4-大分類</v>
      </c>
      <c r="V1611" s="202"/>
      <c r="W1611" s="202"/>
      <c r="X1611" s="202"/>
    </row>
    <row r="1612" spans="2:28">
      <c r="B1612" s="4"/>
      <c r="C1612" s="4"/>
      <c r="D1612" s="107">
        <f>'2_入力シート【用途面積】'!$M$7</f>
        <v>0</v>
      </c>
      <c r="E1612" s="564">
        <f>'2_入力シート【用途面積】'!$M$7</f>
        <v>0</v>
      </c>
      <c r="F1612" s="564" t="str">
        <f t="shared" si="265"/>
        <v>0</v>
      </c>
      <c r="G1612" s="24"/>
      <c r="H1612" s="577"/>
      <c r="I1612" s="383" t="s">
        <v>2246</v>
      </c>
      <c r="J1612" s="561" t="s">
        <v>1407</v>
      </c>
      <c r="K1612" s="326">
        <v>4</v>
      </c>
      <c r="L1612" s="358" t="s">
        <v>2247</v>
      </c>
      <c r="M1612" s="325" t="s">
        <v>2239</v>
      </c>
      <c r="N1612" s="372"/>
      <c r="O1612" s="371"/>
      <c r="P1612" s="364"/>
      <c r="Q1612" s="365"/>
      <c r="R1612" s="364"/>
      <c r="S1612" s="364"/>
      <c r="T1612" s="13" t="str">
        <f t="shared" si="264"/>
        <v>階別用途別床面積-4-小分類</v>
      </c>
      <c r="V1612" s="202"/>
      <c r="W1612" s="202"/>
      <c r="X1612" s="202"/>
    </row>
    <row r="1613" spans="2:28">
      <c r="B1613" s="4"/>
      <c r="C1613" s="4"/>
      <c r="D1613" s="107"/>
      <c r="E1613" s="789">
        <f>'2_入力シート【用途面積】'!$M$12</f>
        <v>0</v>
      </c>
      <c r="F1613" s="789" t="str">
        <f t="shared" si="265"/>
        <v>0</v>
      </c>
      <c r="G1613" s="790"/>
      <c r="H1613" s="828"/>
      <c r="I1613" s="832" t="s">
        <v>3402</v>
      </c>
      <c r="J1613" s="796" t="s">
        <v>1879</v>
      </c>
      <c r="K1613" s="694">
        <v>4</v>
      </c>
      <c r="L1613" s="697" t="s">
        <v>1879</v>
      </c>
      <c r="M1613" s="698" t="s">
        <v>3401</v>
      </c>
      <c r="N1613" s="830"/>
      <c r="O1613" s="829"/>
      <c r="P1613" s="794"/>
      <c r="Q1613" s="831"/>
      <c r="R1613" s="794"/>
      <c r="S1613" s="794"/>
      <c r="T1613" s="382" t="str">
        <f t="shared" si="264"/>
        <v>階別用途別床面積-4-特記</v>
      </c>
      <c r="U1613" s="382"/>
      <c r="V1613" s="202"/>
      <c r="W1613" s="202"/>
      <c r="X1613" s="202"/>
      <c r="Y1613" s="382"/>
      <c r="Z1613" s="382"/>
      <c r="AA1613" s="382"/>
      <c r="AB1613" s="382"/>
    </row>
    <row r="1614" spans="2:28">
      <c r="B1614" s="4"/>
      <c r="C1614" s="4"/>
      <c r="D1614" s="107">
        <f>'2_入力シート【用途面積】'!$M14</f>
        <v>0</v>
      </c>
      <c r="E1614" s="564">
        <f>'2_入力シート【用途面積】'!$M14</f>
        <v>0</v>
      </c>
      <c r="F1614" s="564" t="str">
        <f t="shared" si="265"/>
        <v>0</v>
      </c>
      <c r="G1614" s="24"/>
      <c r="H1614" s="577"/>
      <c r="I1614" s="383" t="s">
        <v>2246</v>
      </c>
      <c r="J1614" s="561" t="s">
        <v>1407</v>
      </c>
      <c r="K1614" s="326">
        <v>4</v>
      </c>
      <c r="L1614" s="358" t="s">
        <v>2247</v>
      </c>
      <c r="M1614" s="249" t="s">
        <v>2179</v>
      </c>
      <c r="N1614" s="372"/>
      <c r="O1614" s="371"/>
      <c r="P1614" s="364"/>
      <c r="Q1614" s="365"/>
      <c r="R1614" s="203"/>
      <c r="S1614" s="203"/>
      <c r="T1614" s="13" t="str">
        <f t="shared" si="264"/>
        <v>階別用途別床面積-4-地下1階</v>
      </c>
      <c r="V1614" s="202"/>
      <c r="W1614" s="202"/>
      <c r="X1614" s="202"/>
    </row>
    <row r="1615" spans="2:28">
      <c r="B1615" s="4"/>
      <c r="C1615" s="4"/>
      <c r="D1615" s="107">
        <f>'2_入力シート【用途面積】'!$M15</f>
        <v>0</v>
      </c>
      <c r="E1615" s="564">
        <f>'2_入力シート【用途面積】'!$M15</f>
        <v>0</v>
      </c>
      <c r="F1615" s="564" t="str">
        <f t="shared" si="265"/>
        <v>0</v>
      </c>
      <c r="G1615" s="24"/>
      <c r="H1615" s="577"/>
      <c r="I1615" s="383" t="s">
        <v>2246</v>
      </c>
      <c r="J1615" s="561" t="s">
        <v>1407</v>
      </c>
      <c r="K1615" s="326">
        <v>4</v>
      </c>
      <c r="L1615" s="358" t="s">
        <v>2247</v>
      </c>
      <c r="M1615" s="249" t="s">
        <v>2180</v>
      </c>
      <c r="N1615" s="372"/>
      <c r="O1615" s="371"/>
      <c r="P1615" s="364"/>
      <c r="Q1615" s="365"/>
      <c r="R1615" s="364"/>
      <c r="S1615" s="364"/>
      <c r="T1615" s="13" t="str">
        <f t="shared" si="264"/>
        <v>階別用途別床面積-4-地下2階</v>
      </c>
      <c r="V1615" s="202"/>
      <c r="W1615" s="202"/>
      <c r="X1615" s="202"/>
    </row>
    <row r="1616" spans="2:28">
      <c r="B1616" s="4"/>
      <c r="C1616" s="4"/>
      <c r="D1616" s="107">
        <f>'2_入力シート【用途面積】'!$M16</f>
        <v>0</v>
      </c>
      <c r="E1616" s="564">
        <f>'2_入力シート【用途面積】'!$M16</f>
        <v>0</v>
      </c>
      <c r="F1616" s="564" t="str">
        <f t="shared" si="265"/>
        <v>0</v>
      </c>
      <c r="G1616" s="24"/>
      <c r="H1616" s="577"/>
      <c r="I1616" s="383" t="s">
        <v>2246</v>
      </c>
      <c r="J1616" s="561" t="s">
        <v>1407</v>
      </c>
      <c r="K1616" s="326">
        <v>4</v>
      </c>
      <c r="L1616" s="358" t="s">
        <v>2247</v>
      </c>
      <c r="M1616" s="249" t="s">
        <v>2181</v>
      </c>
      <c r="N1616" s="372"/>
      <c r="O1616" s="371"/>
      <c r="P1616" s="364"/>
      <c r="Q1616" s="365"/>
      <c r="R1616" s="364"/>
      <c r="S1616" s="364"/>
      <c r="T1616" s="13" t="str">
        <f t="shared" si="264"/>
        <v>階別用途別床面積-4-地下3階</v>
      </c>
      <c r="V1616" s="202"/>
      <c r="W1616" s="202"/>
      <c r="X1616" s="202"/>
    </row>
    <row r="1617" spans="2:24">
      <c r="B1617" s="4"/>
      <c r="C1617" s="4"/>
      <c r="D1617" s="107">
        <f>'2_入力シート【用途面積】'!$M17</f>
        <v>0</v>
      </c>
      <c r="E1617" s="564">
        <f>'2_入力シート【用途面積】'!$M17</f>
        <v>0</v>
      </c>
      <c r="F1617" s="564" t="str">
        <f t="shared" si="265"/>
        <v>0</v>
      </c>
      <c r="G1617" s="24"/>
      <c r="H1617" s="577"/>
      <c r="I1617" s="383" t="s">
        <v>2246</v>
      </c>
      <c r="J1617" s="561" t="s">
        <v>1407</v>
      </c>
      <c r="K1617" s="326">
        <v>4</v>
      </c>
      <c r="L1617" s="358" t="s">
        <v>2247</v>
      </c>
      <c r="M1617" s="249" t="s">
        <v>2182</v>
      </c>
      <c r="N1617" s="372"/>
      <c r="O1617" s="371"/>
      <c r="P1617" s="364"/>
      <c r="Q1617" s="365"/>
      <c r="R1617" s="364"/>
      <c r="S1617" s="364"/>
      <c r="T1617" s="13" t="str">
        <f t="shared" si="264"/>
        <v>階別用途別床面積-4-地下4階</v>
      </c>
      <c r="V1617" s="202"/>
      <c r="W1617" s="202"/>
      <c r="X1617" s="202"/>
    </row>
    <row r="1618" spans="2:24">
      <c r="B1618" s="4"/>
      <c r="C1618" s="4"/>
      <c r="D1618" s="107">
        <f>'2_入力シート【用途面積】'!$M18</f>
        <v>0</v>
      </c>
      <c r="E1618" s="564">
        <f>'2_入力シート【用途面積】'!$M18</f>
        <v>0</v>
      </c>
      <c r="F1618" s="564" t="str">
        <f t="shared" si="265"/>
        <v>0</v>
      </c>
      <c r="G1618" s="24"/>
      <c r="H1618" s="577"/>
      <c r="I1618" s="383" t="s">
        <v>2246</v>
      </c>
      <c r="J1618" s="561" t="s">
        <v>1407</v>
      </c>
      <c r="K1618" s="326">
        <v>4</v>
      </c>
      <c r="L1618" s="358" t="s">
        <v>2247</v>
      </c>
      <c r="M1618" s="249" t="s">
        <v>2183</v>
      </c>
      <c r="N1618" s="372"/>
      <c r="O1618" s="370"/>
      <c r="P1618" s="364"/>
      <c r="Q1618" s="365"/>
      <c r="R1618" s="364"/>
      <c r="S1618" s="364"/>
      <c r="T1618" s="13" t="str">
        <f t="shared" si="264"/>
        <v>階別用途別床面積-4-塔屋 1階</v>
      </c>
      <c r="V1618" s="202"/>
      <c r="W1618" s="202"/>
      <c r="X1618" s="202"/>
    </row>
    <row r="1619" spans="2:24">
      <c r="B1619" s="4"/>
      <c r="C1619" s="4"/>
      <c r="D1619" s="107">
        <f>'2_入力シート【用途面積】'!$M19</f>
        <v>0</v>
      </c>
      <c r="E1619" s="564">
        <f>'2_入力シート【用途面積】'!$M19</f>
        <v>0</v>
      </c>
      <c r="F1619" s="564" t="str">
        <f t="shared" si="265"/>
        <v>0</v>
      </c>
      <c r="G1619" s="24"/>
      <c r="H1619" s="577"/>
      <c r="I1619" s="383" t="s">
        <v>2246</v>
      </c>
      <c r="J1619" s="561" t="s">
        <v>1407</v>
      </c>
      <c r="K1619" s="326">
        <v>4</v>
      </c>
      <c r="L1619" s="358" t="s">
        <v>2247</v>
      </c>
      <c r="M1619" s="249" t="s">
        <v>2184</v>
      </c>
      <c r="N1619" s="372"/>
      <c r="O1619" s="370"/>
      <c r="P1619" s="364"/>
      <c r="Q1619" s="365"/>
      <c r="R1619" s="364"/>
      <c r="S1619" s="364"/>
      <c r="T1619" s="13" t="str">
        <f t="shared" si="264"/>
        <v>階別用途別床面積-4-塔屋 2階</v>
      </c>
      <c r="V1619" s="202"/>
      <c r="W1619" s="202"/>
      <c r="X1619" s="202"/>
    </row>
    <row r="1620" spans="2:24">
      <c r="B1620" s="4"/>
      <c r="C1620" s="4"/>
      <c r="D1620" s="107">
        <f>'2_入力シート【用途面積】'!$M20</f>
        <v>0</v>
      </c>
      <c r="E1620" s="564">
        <f>'2_入力シート【用途面積】'!$M20</f>
        <v>0</v>
      </c>
      <c r="F1620" s="564" t="str">
        <f t="shared" si="265"/>
        <v>0</v>
      </c>
      <c r="G1620" s="24"/>
      <c r="H1620" s="577"/>
      <c r="I1620" s="383" t="s">
        <v>2246</v>
      </c>
      <c r="J1620" s="561" t="s">
        <v>1407</v>
      </c>
      <c r="K1620" s="326">
        <v>4</v>
      </c>
      <c r="L1620" s="358" t="s">
        <v>2247</v>
      </c>
      <c r="M1620" s="249" t="s">
        <v>2185</v>
      </c>
      <c r="N1620" s="372"/>
      <c r="O1620" s="370"/>
      <c r="P1620" s="364"/>
      <c r="Q1620" s="365"/>
      <c r="R1620" s="364"/>
      <c r="S1620" s="364"/>
      <c r="T1620" s="13" t="str">
        <f t="shared" si="264"/>
        <v>階別用途別床面積-4-塔屋 3階</v>
      </c>
      <c r="V1620" s="202"/>
      <c r="W1620" s="202"/>
      <c r="X1620" s="202"/>
    </row>
    <row r="1621" spans="2:24">
      <c r="B1621" s="4"/>
      <c r="C1621" s="4"/>
      <c r="D1621" s="107">
        <f>'2_入力シート【用途面積】'!$M21</f>
        <v>0</v>
      </c>
      <c r="E1621" s="564">
        <f>'2_入力シート【用途面積】'!$M21</f>
        <v>0</v>
      </c>
      <c r="F1621" s="564" t="str">
        <f t="shared" si="265"/>
        <v>0</v>
      </c>
      <c r="G1621" s="24"/>
      <c r="H1621" s="577"/>
      <c r="I1621" s="383" t="s">
        <v>2246</v>
      </c>
      <c r="J1621" s="561" t="s">
        <v>1407</v>
      </c>
      <c r="K1621" s="326">
        <v>4</v>
      </c>
      <c r="L1621" s="358" t="s">
        <v>2247</v>
      </c>
      <c r="M1621" s="249" t="s">
        <v>2186</v>
      </c>
      <c r="N1621" s="372"/>
      <c r="O1621" s="371"/>
      <c r="P1621" s="203"/>
      <c r="Q1621" s="373"/>
      <c r="R1621" s="364"/>
      <c r="S1621" s="364"/>
      <c r="T1621" s="13" t="str">
        <f t="shared" si="264"/>
        <v>階別用途別床面積-4-塔屋 4階</v>
      </c>
      <c r="V1621" s="202"/>
      <c r="W1621" s="202"/>
      <c r="X1621" s="202"/>
    </row>
    <row r="1622" spans="2:24">
      <c r="B1622" s="4"/>
      <c r="C1622" s="4"/>
      <c r="D1622" s="107">
        <f>'2_入力シート【用途面積】'!$M22</f>
        <v>0</v>
      </c>
      <c r="E1622" s="564">
        <f>'2_入力シート【用途面積】'!$M22</f>
        <v>0</v>
      </c>
      <c r="F1622" s="564" t="str">
        <f t="shared" si="265"/>
        <v>0</v>
      </c>
      <c r="G1622" s="24"/>
      <c r="H1622" s="577"/>
      <c r="I1622" s="383" t="s">
        <v>2246</v>
      </c>
      <c r="J1622" s="561" t="s">
        <v>1407</v>
      </c>
      <c r="K1622" s="326">
        <v>4</v>
      </c>
      <c r="L1622" s="358" t="s">
        <v>2247</v>
      </c>
      <c r="M1622" s="249" t="s">
        <v>2187</v>
      </c>
      <c r="N1622" s="372"/>
      <c r="O1622" s="371"/>
      <c r="P1622" s="364"/>
      <c r="Q1622" s="365"/>
      <c r="R1622" s="364"/>
      <c r="S1622" s="364"/>
      <c r="T1622" s="13" t="str">
        <f t="shared" si="264"/>
        <v>階別用途別床面積-4-塔屋 5階</v>
      </c>
      <c r="V1622" s="202"/>
      <c r="W1622" s="202"/>
      <c r="X1622" s="202"/>
    </row>
    <row r="1623" spans="2:24">
      <c r="B1623" s="4"/>
      <c r="C1623" s="4"/>
      <c r="D1623" s="107">
        <f>'2_入力シート【用途面積】'!$M23</f>
        <v>0</v>
      </c>
      <c r="E1623" s="564">
        <f>'2_入力シート【用途面積】'!$M23</f>
        <v>0</v>
      </c>
      <c r="F1623" s="564" t="str">
        <f t="shared" si="265"/>
        <v>0</v>
      </c>
      <c r="G1623" s="24"/>
      <c r="H1623" s="577"/>
      <c r="I1623" s="383" t="s">
        <v>2246</v>
      </c>
      <c r="J1623" s="561" t="s">
        <v>1407</v>
      </c>
      <c r="K1623" s="326">
        <v>4</v>
      </c>
      <c r="L1623" s="358" t="s">
        <v>2247</v>
      </c>
      <c r="M1623" s="249" t="s">
        <v>2188</v>
      </c>
      <c r="N1623" s="372"/>
      <c r="O1623" s="371"/>
      <c r="P1623" s="364"/>
      <c r="Q1623" s="365"/>
      <c r="R1623" s="203"/>
      <c r="S1623" s="203"/>
      <c r="T1623" s="13" t="str">
        <f t="shared" si="264"/>
        <v>階別用途別床面積-4-1階</v>
      </c>
      <c r="V1623" s="202"/>
      <c r="W1623" s="202"/>
      <c r="X1623" s="202"/>
    </row>
    <row r="1624" spans="2:24">
      <c r="B1624" s="4"/>
      <c r="C1624" s="4"/>
      <c r="D1624" s="107">
        <f>'2_入力シート【用途面積】'!$M24</f>
        <v>0</v>
      </c>
      <c r="E1624" s="564">
        <f>'2_入力シート【用途面積】'!$M24</f>
        <v>0</v>
      </c>
      <c r="F1624" s="564" t="str">
        <f t="shared" si="265"/>
        <v>0</v>
      </c>
      <c r="G1624" s="24"/>
      <c r="H1624" s="577"/>
      <c r="I1624" s="383" t="s">
        <v>2246</v>
      </c>
      <c r="J1624" s="561" t="s">
        <v>1407</v>
      </c>
      <c r="K1624" s="326">
        <v>4</v>
      </c>
      <c r="L1624" s="358" t="s">
        <v>2247</v>
      </c>
      <c r="M1624" s="249" t="s">
        <v>2189</v>
      </c>
      <c r="N1624" s="372"/>
      <c r="O1624" s="371"/>
      <c r="P1624" s="364"/>
      <c r="Q1624" s="365"/>
      <c r="R1624" s="364"/>
      <c r="S1624" s="364"/>
      <c r="T1624" s="13" t="str">
        <f t="shared" si="264"/>
        <v>階別用途別床面積-4-2階</v>
      </c>
      <c r="V1624" s="202"/>
      <c r="W1624" s="202"/>
      <c r="X1624" s="202"/>
    </row>
    <row r="1625" spans="2:24">
      <c r="B1625" s="4"/>
      <c r="C1625" s="4"/>
      <c r="D1625" s="107">
        <f>'2_入力シート【用途面積】'!$M25</f>
        <v>0</v>
      </c>
      <c r="E1625" s="564">
        <f>'2_入力シート【用途面積】'!$M25</f>
        <v>0</v>
      </c>
      <c r="F1625" s="564" t="str">
        <f t="shared" si="265"/>
        <v>0</v>
      </c>
      <c r="G1625" s="24"/>
      <c r="H1625" s="577"/>
      <c r="I1625" s="383" t="s">
        <v>2246</v>
      </c>
      <c r="J1625" s="561" t="s">
        <v>1407</v>
      </c>
      <c r="K1625" s="326">
        <v>4</v>
      </c>
      <c r="L1625" s="358" t="s">
        <v>2247</v>
      </c>
      <c r="M1625" s="249" t="s">
        <v>2190</v>
      </c>
      <c r="N1625" s="372"/>
      <c r="O1625" s="371"/>
      <c r="P1625" s="364"/>
      <c r="Q1625" s="365"/>
      <c r="R1625" s="364"/>
      <c r="S1625" s="364"/>
      <c r="T1625" s="13" t="str">
        <f t="shared" si="264"/>
        <v>階別用途別床面積-4-3階</v>
      </c>
      <c r="V1625" s="202"/>
      <c r="W1625" s="202"/>
      <c r="X1625" s="202"/>
    </row>
    <row r="1626" spans="2:24">
      <c r="B1626" s="4"/>
      <c r="C1626" s="4"/>
      <c r="D1626" s="107">
        <f>'2_入力シート【用途面積】'!$M26</f>
        <v>0</v>
      </c>
      <c r="E1626" s="564">
        <f>'2_入力シート【用途面積】'!$M26</f>
        <v>0</v>
      </c>
      <c r="F1626" s="564" t="str">
        <f t="shared" si="265"/>
        <v>0</v>
      </c>
      <c r="G1626" s="24"/>
      <c r="H1626" s="577"/>
      <c r="I1626" s="383" t="s">
        <v>2246</v>
      </c>
      <c r="J1626" s="561" t="s">
        <v>1407</v>
      </c>
      <c r="K1626" s="326">
        <v>4</v>
      </c>
      <c r="L1626" s="358" t="s">
        <v>2247</v>
      </c>
      <c r="M1626" s="249" t="s">
        <v>2191</v>
      </c>
      <c r="N1626" s="372"/>
      <c r="O1626" s="371"/>
      <c r="P1626" s="364"/>
      <c r="Q1626" s="365"/>
      <c r="R1626" s="364"/>
      <c r="S1626" s="364"/>
      <c r="T1626" s="13" t="str">
        <f t="shared" si="264"/>
        <v>階別用途別床面積-4-4階</v>
      </c>
      <c r="V1626" s="202"/>
      <c r="W1626" s="202"/>
      <c r="X1626" s="202"/>
    </row>
    <row r="1627" spans="2:24">
      <c r="B1627" s="4"/>
      <c r="C1627" s="4"/>
      <c r="D1627" s="107">
        <f>'2_入力シート【用途面積】'!$M27</f>
        <v>0</v>
      </c>
      <c r="E1627" s="564">
        <f>'2_入力シート【用途面積】'!$M27</f>
        <v>0</v>
      </c>
      <c r="F1627" s="564" t="str">
        <f t="shared" si="265"/>
        <v>0</v>
      </c>
      <c r="G1627" s="24"/>
      <c r="H1627" s="577"/>
      <c r="I1627" s="383" t="s">
        <v>2246</v>
      </c>
      <c r="J1627" s="561" t="s">
        <v>1407</v>
      </c>
      <c r="K1627" s="326">
        <v>4</v>
      </c>
      <c r="L1627" s="358" t="s">
        <v>2247</v>
      </c>
      <c r="M1627" s="249" t="s">
        <v>2192</v>
      </c>
      <c r="N1627" s="372"/>
      <c r="O1627" s="370"/>
      <c r="P1627" s="364"/>
      <c r="Q1627" s="365"/>
      <c r="R1627" s="364"/>
      <c r="S1627" s="364"/>
      <c r="T1627" s="13" t="str">
        <f t="shared" si="264"/>
        <v>階別用途別床面積-4-5階</v>
      </c>
      <c r="V1627" s="202"/>
      <c r="W1627" s="202"/>
      <c r="X1627" s="202"/>
    </row>
    <row r="1628" spans="2:24">
      <c r="B1628" s="4"/>
      <c r="C1628" s="4"/>
      <c r="D1628" s="107">
        <f>'2_入力シート【用途面積】'!$M28</f>
        <v>0</v>
      </c>
      <c r="E1628" s="564">
        <f>'2_入力シート【用途面積】'!$M28</f>
        <v>0</v>
      </c>
      <c r="F1628" s="564" t="str">
        <f t="shared" si="265"/>
        <v>0</v>
      </c>
      <c r="G1628" s="24"/>
      <c r="H1628" s="577"/>
      <c r="I1628" s="383" t="s">
        <v>2246</v>
      </c>
      <c r="J1628" s="561" t="s">
        <v>1407</v>
      </c>
      <c r="K1628" s="326">
        <v>4</v>
      </c>
      <c r="L1628" s="358" t="s">
        <v>2247</v>
      </c>
      <c r="M1628" s="249" t="s">
        <v>2193</v>
      </c>
      <c r="N1628" s="372"/>
      <c r="O1628" s="370"/>
      <c r="P1628" s="364"/>
      <c r="Q1628" s="365"/>
      <c r="R1628" s="364"/>
      <c r="S1628" s="364"/>
      <c r="T1628" s="13" t="str">
        <f t="shared" si="264"/>
        <v>階別用途別床面積-4-6階</v>
      </c>
      <c r="V1628" s="202"/>
      <c r="W1628" s="202"/>
      <c r="X1628" s="202"/>
    </row>
    <row r="1629" spans="2:24">
      <c r="B1629" s="4"/>
      <c r="C1629" s="4"/>
      <c r="D1629" s="107">
        <f>'2_入力シート【用途面積】'!$M29</f>
        <v>0</v>
      </c>
      <c r="E1629" s="564">
        <f>'2_入力シート【用途面積】'!$M29</f>
        <v>0</v>
      </c>
      <c r="F1629" s="564" t="str">
        <f t="shared" si="265"/>
        <v>0</v>
      </c>
      <c r="G1629" s="24"/>
      <c r="H1629" s="577"/>
      <c r="I1629" s="383" t="s">
        <v>2246</v>
      </c>
      <c r="J1629" s="561" t="s">
        <v>1407</v>
      </c>
      <c r="K1629" s="326">
        <v>4</v>
      </c>
      <c r="L1629" s="358" t="s">
        <v>2247</v>
      </c>
      <c r="M1629" s="249" t="s">
        <v>2194</v>
      </c>
      <c r="N1629" s="372"/>
      <c r="O1629" s="370"/>
      <c r="P1629" s="364"/>
      <c r="Q1629" s="365"/>
      <c r="R1629" s="364"/>
      <c r="S1629" s="364"/>
      <c r="T1629" s="13" t="str">
        <f t="shared" si="264"/>
        <v>階別用途別床面積-4-7階</v>
      </c>
      <c r="V1629" s="202"/>
      <c r="W1629" s="202"/>
      <c r="X1629" s="202"/>
    </row>
    <row r="1630" spans="2:24">
      <c r="B1630" s="4"/>
      <c r="C1630" s="4"/>
      <c r="D1630" s="107">
        <f>'2_入力シート【用途面積】'!$M30</f>
        <v>0</v>
      </c>
      <c r="E1630" s="564">
        <f>'2_入力シート【用途面積】'!$M30</f>
        <v>0</v>
      </c>
      <c r="F1630" s="564" t="str">
        <f t="shared" si="265"/>
        <v>0</v>
      </c>
      <c r="G1630" s="24"/>
      <c r="H1630" s="577"/>
      <c r="I1630" s="383" t="s">
        <v>2246</v>
      </c>
      <c r="J1630" s="561" t="s">
        <v>1407</v>
      </c>
      <c r="K1630" s="326">
        <v>4</v>
      </c>
      <c r="L1630" s="358" t="s">
        <v>2247</v>
      </c>
      <c r="M1630" s="249" t="s">
        <v>2195</v>
      </c>
      <c r="N1630" s="372"/>
      <c r="O1630" s="371"/>
      <c r="P1630" s="203"/>
      <c r="Q1630" s="373"/>
      <c r="R1630" s="364"/>
      <c r="S1630" s="364"/>
      <c r="T1630" s="13" t="str">
        <f t="shared" si="264"/>
        <v>階別用途別床面積-4-8階</v>
      </c>
      <c r="V1630" s="202"/>
      <c r="W1630" s="202"/>
      <c r="X1630" s="202"/>
    </row>
    <row r="1631" spans="2:24">
      <c r="B1631" s="4"/>
      <c r="C1631" s="4"/>
      <c r="D1631" s="107">
        <f>'2_入力シート【用途面積】'!$M31</f>
        <v>0</v>
      </c>
      <c r="E1631" s="564">
        <f>'2_入力シート【用途面積】'!$M31</f>
        <v>0</v>
      </c>
      <c r="F1631" s="564" t="str">
        <f t="shared" si="265"/>
        <v>0</v>
      </c>
      <c r="G1631" s="24"/>
      <c r="H1631" s="577"/>
      <c r="I1631" s="383" t="s">
        <v>2246</v>
      </c>
      <c r="J1631" s="561" t="s">
        <v>1407</v>
      </c>
      <c r="K1631" s="326">
        <v>4</v>
      </c>
      <c r="L1631" s="358" t="s">
        <v>2247</v>
      </c>
      <c r="M1631" s="249" t="s">
        <v>2196</v>
      </c>
      <c r="N1631" s="372"/>
      <c r="O1631" s="371"/>
      <c r="P1631" s="364"/>
      <c r="Q1631" s="365"/>
      <c r="R1631" s="364"/>
      <c r="S1631" s="364"/>
      <c r="T1631" s="13" t="str">
        <f t="shared" si="264"/>
        <v>階別用途別床面積-4-9階</v>
      </c>
      <c r="V1631" s="202"/>
      <c r="W1631" s="202"/>
      <c r="X1631" s="202"/>
    </row>
    <row r="1632" spans="2:24">
      <c r="B1632" s="4"/>
      <c r="C1632" s="4"/>
      <c r="D1632" s="107">
        <f>'2_入力シート【用途面積】'!$M32</f>
        <v>0</v>
      </c>
      <c r="E1632" s="564">
        <f>'2_入力シート【用途面積】'!$M32</f>
        <v>0</v>
      </c>
      <c r="F1632" s="564" t="str">
        <f t="shared" si="265"/>
        <v>0</v>
      </c>
      <c r="G1632" s="24"/>
      <c r="H1632" s="577"/>
      <c r="I1632" s="383" t="s">
        <v>2246</v>
      </c>
      <c r="J1632" s="561" t="s">
        <v>1407</v>
      </c>
      <c r="K1632" s="326">
        <v>4</v>
      </c>
      <c r="L1632" s="358" t="s">
        <v>2247</v>
      </c>
      <c r="M1632" s="249" t="s">
        <v>2197</v>
      </c>
      <c r="N1632" s="372"/>
      <c r="O1632" s="371"/>
      <c r="P1632" s="364"/>
      <c r="Q1632" s="365"/>
      <c r="R1632" s="203"/>
      <c r="S1632" s="203"/>
      <c r="T1632" s="13" t="str">
        <f t="shared" si="264"/>
        <v>階別用途別床面積-4-10階</v>
      </c>
      <c r="V1632" s="202"/>
      <c r="W1632" s="202"/>
      <c r="X1632" s="202"/>
    </row>
    <row r="1633" spans="2:24">
      <c r="B1633" s="4"/>
      <c r="C1633" s="4"/>
      <c r="D1633" s="107">
        <f>'2_入力シート【用途面積】'!$M33</f>
        <v>0</v>
      </c>
      <c r="E1633" s="564">
        <f>'2_入力シート【用途面積】'!$M33</f>
        <v>0</v>
      </c>
      <c r="F1633" s="564" t="str">
        <f t="shared" si="265"/>
        <v>0</v>
      </c>
      <c r="G1633" s="24"/>
      <c r="H1633" s="577"/>
      <c r="I1633" s="383" t="s">
        <v>2246</v>
      </c>
      <c r="J1633" s="561" t="s">
        <v>1407</v>
      </c>
      <c r="K1633" s="326">
        <v>4</v>
      </c>
      <c r="L1633" s="358" t="s">
        <v>2247</v>
      </c>
      <c r="M1633" s="249" t="s">
        <v>2198</v>
      </c>
      <c r="N1633" s="372"/>
      <c r="O1633" s="371"/>
      <c r="P1633" s="364"/>
      <c r="Q1633" s="365"/>
      <c r="R1633" s="364"/>
      <c r="S1633" s="364"/>
      <c r="T1633" s="13" t="str">
        <f t="shared" si="264"/>
        <v>階別用途別床面積-4-11階</v>
      </c>
      <c r="V1633" s="202"/>
      <c r="W1633" s="202"/>
      <c r="X1633" s="202"/>
    </row>
    <row r="1634" spans="2:24">
      <c r="B1634" s="4"/>
      <c r="C1634" s="4"/>
      <c r="D1634" s="107">
        <f>'2_入力シート【用途面積】'!$M34</f>
        <v>0</v>
      </c>
      <c r="E1634" s="564">
        <f>'2_入力シート【用途面積】'!$M34</f>
        <v>0</v>
      </c>
      <c r="F1634" s="564" t="str">
        <f t="shared" si="265"/>
        <v>0</v>
      </c>
      <c r="G1634" s="24"/>
      <c r="H1634" s="577"/>
      <c r="I1634" s="383" t="s">
        <v>2246</v>
      </c>
      <c r="J1634" s="561" t="s">
        <v>1407</v>
      </c>
      <c r="K1634" s="326">
        <v>4</v>
      </c>
      <c r="L1634" s="358" t="s">
        <v>2247</v>
      </c>
      <c r="M1634" s="249" t="s">
        <v>2199</v>
      </c>
      <c r="N1634" s="372"/>
      <c r="O1634" s="371"/>
      <c r="P1634" s="364"/>
      <c r="Q1634" s="365"/>
      <c r="R1634" s="364"/>
      <c r="S1634" s="364"/>
      <c r="T1634" s="13" t="str">
        <f t="shared" si="264"/>
        <v>階別用途別床面積-4-12階</v>
      </c>
      <c r="V1634" s="202"/>
      <c r="W1634" s="202"/>
      <c r="X1634" s="202"/>
    </row>
    <row r="1635" spans="2:24">
      <c r="B1635" s="4"/>
      <c r="C1635" s="4"/>
      <c r="D1635" s="107">
        <f>'2_入力シート【用途面積】'!$M35</f>
        <v>0</v>
      </c>
      <c r="E1635" s="564">
        <f>'2_入力シート【用途面積】'!$M35</f>
        <v>0</v>
      </c>
      <c r="F1635" s="564" t="str">
        <f t="shared" si="265"/>
        <v>0</v>
      </c>
      <c r="G1635" s="24"/>
      <c r="H1635" s="577"/>
      <c r="I1635" s="383" t="s">
        <v>2246</v>
      </c>
      <c r="J1635" s="561" t="s">
        <v>1407</v>
      </c>
      <c r="K1635" s="326">
        <v>4</v>
      </c>
      <c r="L1635" s="358" t="s">
        <v>2247</v>
      </c>
      <c r="M1635" s="249" t="s">
        <v>2200</v>
      </c>
      <c r="N1635" s="372"/>
      <c r="O1635" s="371"/>
      <c r="P1635" s="364"/>
      <c r="Q1635" s="365"/>
      <c r="R1635" s="364"/>
      <c r="S1635" s="364"/>
      <c r="T1635" s="13" t="str">
        <f t="shared" si="264"/>
        <v>階別用途別床面積-4-13階</v>
      </c>
      <c r="V1635" s="202"/>
      <c r="W1635" s="202"/>
      <c r="X1635" s="202"/>
    </row>
    <row r="1636" spans="2:24">
      <c r="B1636" s="4"/>
      <c r="C1636" s="4"/>
      <c r="D1636" s="107">
        <f>'2_入力シート【用途面積】'!$M36</f>
        <v>0</v>
      </c>
      <c r="E1636" s="564">
        <f>'2_入力シート【用途面積】'!$M36</f>
        <v>0</v>
      </c>
      <c r="F1636" s="564" t="str">
        <f t="shared" si="265"/>
        <v>0</v>
      </c>
      <c r="G1636" s="24"/>
      <c r="H1636" s="577"/>
      <c r="I1636" s="383" t="s">
        <v>2246</v>
      </c>
      <c r="J1636" s="561" t="s">
        <v>1407</v>
      </c>
      <c r="K1636" s="326">
        <v>4</v>
      </c>
      <c r="L1636" s="358" t="s">
        <v>2247</v>
      </c>
      <c r="M1636" s="249" t="s">
        <v>2201</v>
      </c>
      <c r="N1636" s="372"/>
      <c r="O1636" s="370"/>
      <c r="P1636" s="364"/>
      <c r="Q1636" s="365"/>
      <c r="R1636" s="364"/>
      <c r="S1636" s="364"/>
      <c r="T1636" s="13" t="str">
        <f t="shared" si="264"/>
        <v>階別用途別床面積-4-14階</v>
      </c>
      <c r="V1636" s="202"/>
      <c r="W1636" s="202"/>
      <c r="X1636" s="202"/>
    </row>
    <row r="1637" spans="2:24">
      <c r="B1637" s="4"/>
      <c r="C1637" s="4"/>
      <c r="D1637" s="107">
        <f>'2_入力シート【用途面積】'!$M37</f>
        <v>0</v>
      </c>
      <c r="E1637" s="564">
        <f>'2_入力シート【用途面積】'!$M37</f>
        <v>0</v>
      </c>
      <c r="F1637" s="564" t="str">
        <f t="shared" si="265"/>
        <v>0</v>
      </c>
      <c r="G1637" s="24"/>
      <c r="H1637" s="577"/>
      <c r="I1637" s="383" t="s">
        <v>2246</v>
      </c>
      <c r="J1637" s="561" t="s">
        <v>1407</v>
      </c>
      <c r="K1637" s="326">
        <v>4</v>
      </c>
      <c r="L1637" s="358" t="s">
        <v>2247</v>
      </c>
      <c r="M1637" s="249" t="s">
        <v>2202</v>
      </c>
      <c r="N1637" s="372"/>
      <c r="O1637" s="370"/>
      <c r="P1637" s="364"/>
      <c r="Q1637" s="365"/>
      <c r="R1637" s="364"/>
      <c r="S1637" s="364"/>
      <c r="T1637" s="13" t="str">
        <f t="shared" ref="T1637:T1701" si="266">CONCATENATE(H1637,I1637,J1637,K1637,L1637,M1637,N1637,O1637,P1637,Q1637)</f>
        <v>階別用途別床面積-4-15階</v>
      </c>
      <c r="V1637" s="202"/>
      <c r="W1637" s="202"/>
      <c r="X1637" s="202"/>
    </row>
    <row r="1638" spans="2:24">
      <c r="B1638" s="4"/>
      <c r="C1638" s="4"/>
      <c r="D1638" s="107">
        <f>'2_入力シート【用途面積】'!$M38</f>
        <v>0</v>
      </c>
      <c r="E1638" s="564">
        <f>'2_入力シート【用途面積】'!$M38</f>
        <v>0</v>
      </c>
      <c r="F1638" s="564" t="str">
        <f t="shared" si="265"/>
        <v>0</v>
      </c>
      <c r="G1638" s="24"/>
      <c r="H1638" s="577"/>
      <c r="I1638" s="383" t="s">
        <v>2246</v>
      </c>
      <c r="J1638" s="561" t="s">
        <v>1407</v>
      </c>
      <c r="K1638" s="326">
        <v>4</v>
      </c>
      <c r="L1638" s="358" t="s">
        <v>2247</v>
      </c>
      <c r="M1638" s="249" t="s">
        <v>2203</v>
      </c>
      <c r="N1638" s="372"/>
      <c r="O1638" s="370"/>
      <c r="P1638" s="364"/>
      <c r="Q1638" s="365"/>
      <c r="R1638" s="364"/>
      <c r="S1638" s="364"/>
      <c r="T1638" s="13" t="str">
        <f t="shared" si="266"/>
        <v>階別用途別床面積-4-16階</v>
      </c>
      <c r="V1638" s="202"/>
      <c r="W1638" s="202"/>
      <c r="X1638" s="202"/>
    </row>
    <row r="1639" spans="2:24">
      <c r="B1639" s="4"/>
      <c r="C1639" s="4"/>
      <c r="D1639" s="107">
        <f>'2_入力シート【用途面積】'!$M39</f>
        <v>0</v>
      </c>
      <c r="E1639" s="564">
        <f>'2_入力シート【用途面積】'!$M39</f>
        <v>0</v>
      </c>
      <c r="F1639" s="564" t="str">
        <f t="shared" si="265"/>
        <v>0</v>
      </c>
      <c r="G1639" s="24"/>
      <c r="H1639" s="577"/>
      <c r="I1639" s="383" t="s">
        <v>2246</v>
      </c>
      <c r="J1639" s="561" t="s">
        <v>1407</v>
      </c>
      <c r="K1639" s="326">
        <v>4</v>
      </c>
      <c r="L1639" s="358" t="s">
        <v>2247</v>
      </c>
      <c r="M1639" s="249" t="s">
        <v>2204</v>
      </c>
      <c r="N1639" s="372"/>
      <c r="O1639" s="371"/>
      <c r="P1639" s="203"/>
      <c r="Q1639" s="373"/>
      <c r="R1639" s="364"/>
      <c r="S1639" s="364"/>
      <c r="T1639" s="13" t="str">
        <f t="shared" si="266"/>
        <v>階別用途別床面積-4-17階</v>
      </c>
      <c r="V1639" s="202"/>
      <c r="W1639" s="202"/>
      <c r="X1639" s="202"/>
    </row>
    <row r="1640" spans="2:24">
      <c r="B1640" s="4"/>
      <c r="C1640" s="4"/>
      <c r="D1640" s="107">
        <f>'2_入力シート【用途面積】'!$M40</f>
        <v>0</v>
      </c>
      <c r="E1640" s="564">
        <f>'2_入力シート【用途面積】'!$M40</f>
        <v>0</v>
      </c>
      <c r="F1640" s="564" t="str">
        <f t="shared" si="265"/>
        <v>0</v>
      </c>
      <c r="G1640" s="24"/>
      <c r="H1640" s="577"/>
      <c r="I1640" s="383" t="s">
        <v>2246</v>
      </c>
      <c r="J1640" s="561" t="s">
        <v>1407</v>
      </c>
      <c r="K1640" s="326">
        <v>4</v>
      </c>
      <c r="L1640" s="358" t="s">
        <v>2247</v>
      </c>
      <c r="M1640" s="249" t="s">
        <v>2205</v>
      </c>
      <c r="N1640" s="372"/>
      <c r="O1640" s="371"/>
      <c r="P1640" s="364"/>
      <c r="Q1640" s="365"/>
      <c r="R1640" s="364"/>
      <c r="S1640" s="364"/>
      <c r="T1640" s="13" t="str">
        <f t="shared" si="266"/>
        <v>階別用途別床面積-4-18階</v>
      </c>
      <c r="V1640" s="202"/>
      <c r="W1640" s="202"/>
      <c r="X1640" s="202"/>
    </row>
    <row r="1641" spans="2:24">
      <c r="B1641" s="4"/>
      <c r="C1641" s="4"/>
      <c r="D1641" s="107">
        <f>'2_入力シート【用途面積】'!$M41</f>
        <v>0</v>
      </c>
      <c r="E1641" s="564">
        <f>'2_入力シート【用途面積】'!$M41</f>
        <v>0</v>
      </c>
      <c r="F1641" s="564" t="str">
        <f t="shared" si="265"/>
        <v>0</v>
      </c>
      <c r="G1641" s="24"/>
      <c r="H1641" s="577"/>
      <c r="I1641" s="383" t="s">
        <v>2246</v>
      </c>
      <c r="J1641" s="561" t="s">
        <v>1407</v>
      </c>
      <c r="K1641" s="326">
        <v>4</v>
      </c>
      <c r="L1641" s="358" t="s">
        <v>2247</v>
      </c>
      <c r="M1641" s="249" t="s">
        <v>2206</v>
      </c>
      <c r="N1641" s="372"/>
      <c r="O1641" s="371"/>
      <c r="P1641" s="364"/>
      <c r="Q1641" s="365"/>
      <c r="R1641" s="203"/>
      <c r="S1641" s="203"/>
      <c r="T1641" s="13" t="str">
        <f t="shared" si="266"/>
        <v>階別用途別床面積-4-19階</v>
      </c>
      <c r="V1641" s="202"/>
      <c r="W1641" s="202"/>
      <c r="X1641" s="202"/>
    </row>
    <row r="1642" spans="2:24">
      <c r="B1642" s="4"/>
      <c r="C1642" s="4"/>
      <c r="D1642" s="107">
        <f>'2_入力シート【用途面積】'!$M42</f>
        <v>0</v>
      </c>
      <c r="E1642" s="564">
        <f>'2_入力シート【用途面積】'!$M42</f>
        <v>0</v>
      </c>
      <c r="F1642" s="564" t="str">
        <f t="shared" si="265"/>
        <v>0</v>
      </c>
      <c r="G1642" s="24"/>
      <c r="H1642" s="577"/>
      <c r="I1642" s="383" t="s">
        <v>2246</v>
      </c>
      <c r="J1642" s="561" t="s">
        <v>1407</v>
      </c>
      <c r="K1642" s="326">
        <v>4</v>
      </c>
      <c r="L1642" s="358" t="s">
        <v>2247</v>
      </c>
      <c r="M1642" s="249" t="s">
        <v>2207</v>
      </c>
      <c r="N1642" s="372"/>
      <c r="O1642" s="371"/>
      <c r="P1642" s="364"/>
      <c r="Q1642" s="365"/>
      <c r="R1642" s="364"/>
      <c r="S1642" s="364"/>
      <c r="T1642" s="13" t="str">
        <f t="shared" si="266"/>
        <v>階別用途別床面積-4-20階</v>
      </c>
      <c r="V1642" s="202"/>
      <c r="W1642" s="202"/>
      <c r="X1642" s="202"/>
    </row>
    <row r="1643" spans="2:24">
      <c r="B1643" s="4"/>
      <c r="C1643" s="4"/>
      <c r="D1643" s="107">
        <f>'2_入力シート【用途面積】'!$M43</f>
        <v>0</v>
      </c>
      <c r="E1643" s="564">
        <f>'2_入力シート【用途面積】'!$M43</f>
        <v>0</v>
      </c>
      <c r="F1643" s="564" t="str">
        <f t="shared" si="265"/>
        <v>0</v>
      </c>
      <c r="G1643" s="24"/>
      <c r="H1643" s="577"/>
      <c r="I1643" s="383" t="s">
        <v>2246</v>
      </c>
      <c r="J1643" s="561" t="s">
        <v>1407</v>
      </c>
      <c r="K1643" s="326">
        <v>4</v>
      </c>
      <c r="L1643" s="358" t="s">
        <v>2247</v>
      </c>
      <c r="M1643" s="249" t="s">
        <v>2208</v>
      </c>
      <c r="N1643" s="372"/>
      <c r="O1643" s="371"/>
      <c r="P1643" s="364"/>
      <c r="Q1643" s="365"/>
      <c r="R1643" s="364"/>
      <c r="S1643" s="364"/>
      <c r="T1643" s="13" t="str">
        <f t="shared" si="266"/>
        <v>階別用途別床面積-4-21階</v>
      </c>
      <c r="V1643" s="202"/>
      <c r="W1643" s="202"/>
      <c r="X1643" s="202"/>
    </row>
    <row r="1644" spans="2:24">
      <c r="B1644" s="4"/>
      <c r="C1644" s="4"/>
      <c r="D1644" s="107">
        <f>'2_入力シート【用途面積】'!$M44</f>
        <v>0</v>
      </c>
      <c r="E1644" s="564">
        <f>'2_入力シート【用途面積】'!$M44</f>
        <v>0</v>
      </c>
      <c r="F1644" s="564" t="str">
        <f t="shared" si="265"/>
        <v>0</v>
      </c>
      <c r="G1644" s="24"/>
      <c r="H1644" s="577"/>
      <c r="I1644" s="383" t="s">
        <v>2246</v>
      </c>
      <c r="J1644" s="561" t="s">
        <v>1407</v>
      </c>
      <c r="K1644" s="326">
        <v>4</v>
      </c>
      <c r="L1644" s="358" t="s">
        <v>2247</v>
      </c>
      <c r="M1644" s="249" t="s">
        <v>2209</v>
      </c>
      <c r="N1644" s="372"/>
      <c r="O1644" s="371"/>
      <c r="P1644" s="364"/>
      <c r="Q1644" s="365"/>
      <c r="R1644" s="364"/>
      <c r="S1644" s="364"/>
      <c r="T1644" s="13" t="str">
        <f t="shared" si="266"/>
        <v>階別用途別床面積-4-22階</v>
      </c>
      <c r="V1644" s="202"/>
      <c r="W1644" s="202"/>
      <c r="X1644" s="202"/>
    </row>
    <row r="1645" spans="2:24">
      <c r="B1645" s="4"/>
      <c r="C1645" s="4"/>
      <c r="D1645" s="107">
        <f>'2_入力シート【用途面積】'!$M45</f>
        <v>0</v>
      </c>
      <c r="E1645" s="564">
        <f>'2_入力シート【用途面積】'!$M45</f>
        <v>0</v>
      </c>
      <c r="F1645" s="564" t="str">
        <f t="shared" si="265"/>
        <v>0</v>
      </c>
      <c r="G1645" s="24"/>
      <c r="H1645" s="577"/>
      <c r="I1645" s="383" t="s">
        <v>2246</v>
      </c>
      <c r="J1645" s="561" t="s">
        <v>1407</v>
      </c>
      <c r="K1645" s="326">
        <v>4</v>
      </c>
      <c r="L1645" s="358" t="s">
        <v>2247</v>
      </c>
      <c r="M1645" s="249" t="s">
        <v>2210</v>
      </c>
      <c r="N1645" s="372"/>
      <c r="O1645" s="370"/>
      <c r="P1645" s="364"/>
      <c r="Q1645" s="365"/>
      <c r="R1645" s="364"/>
      <c r="S1645" s="364"/>
      <c r="T1645" s="13" t="str">
        <f t="shared" si="266"/>
        <v>階別用途別床面積-4-23階</v>
      </c>
      <c r="V1645" s="202"/>
      <c r="W1645" s="202"/>
      <c r="X1645" s="202"/>
    </row>
    <row r="1646" spans="2:24">
      <c r="B1646" s="4"/>
      <c r="C1646" s="4"/>
      <c r="D1646" s="107">
        <f>'2_入力シート【用途面積】'!$M46</f>
        <v>0</v>
      </c>
      <c r="E1646" s="564">
        <f>'2_入力シート【用途面積】'!$M46</f>
        <v>0</v>
      </c>
      <c r="F1646" s="564" t="str">
        <f t="shared" si="265"/>
        <v>0</v>
      </c>
      <c r="G1646" s="24"/>
      <c r="H1646" s="577"/>
      <c r="I1646" s="383" t="s">
        <v>2246</v>
      </c>
      <c r="J1646" s="561" t="s">
        <v>1407</v>
      </c>
      <c r="K1646" s="326">
        <v>4</v>
      </c>
      <c r="L1646" s="358" t="s">
        <v>2247</v>
      </c>
      <c r="M1646" s="249" t="s">
        <v>2211</v>
      </c>
      <c r="N1646" s="372"/>
      <c r="O1646" s="370"/>
      <c r="P1646" s="364"/>
      <c r="Q1646" s="365"/>
      <c r="R1646" s="364"/>
      <c r="S1646" s="364"/>
      <c r="T1646" s="13" t="str">
        <f t="shared" si="266"/>
        <v>階別用途別床面積-4-24階</v>
      </c>
      <c r="V1646" s="202"/>
      <c r="W1646" s="202"/>
      <c r="X1646" s="202"/>
    </row>
    <row r="1647" spans="2:24">
      <c r="B1647" s="4"/>
      <c r="C1647" s="4"/>
      <c r="D1647" s="107">
        <f>'2_入力シート【用途面積】'!$M47</f>
        <v>0</v>
      </c>
      <c r="E1647" s="564">
        <f>'2_入力シート【用途面積】'!$M47</f>
        <v>0</v>
      </c>
      <c r="F1647" s="564" t="str">
        <f t="shared" si="265"/>
        <v>0</v>
      </c>
      <c r="G1647" s="24"/>
      <c r="H1647" s="577"/>
      <c r="I1647" s="383" t="s">
        <v>2246</v>
      </c>
      <c r="J1647" s="561" t="s">
        <v>1407</v>
      </c>
      <c r="K1647" s="326">
        <v>4</v>
      </c>
      <c r="L1647" s="358" t="s">
        <v>2247</v>
      </c>
      <c r="M1647" s="249" t="s">
        <v>2212</v>
      </c>
      <c r="N1647" s="372"/>
      <c r="O1647" s="370"/>
      <c r="P1647" s="364"/>
      <c r="Q1647" s="365"/>
      <c r="R1647" s="364"/>
      <c r="S1647" s="364"/>
      <c r="T1647" s="13" t="str">
        <f t="shared" si="266"/>
        <v>階別用途別床面積-4-25階</v>
      </c>
      <c r="V1647" s="202"/>
      <c r="W1647" s="202"/>
      <c r="X1647" s="202"/>
    </row>
    <row r="1648" spans="2:24">
      <c r="B1648" s="4"/>
      <c r="C1648" s="4"/>
      <c r="D1648" s="107">
        <f>'2_入力シート【用途面積】'!$M48</f>
        <v>0</v>
      </c>
      <c r="E1648" s="564">
        <f>'2_入力シート【用途面積】'!$M48</f>
        <v>0</v>
      </c>
      <c r="F1648" s="564" t="str">
        <f t="shared" si="265"/>
        <v>0</v>
      </c>
      <c r="G1648" s="24"/>
      <c r="H1648" s="577"/>
      <c r="I1648" s="383" t="s">
        <v>2246</v>
      </c>
      <c r="J1648" s="561" t="s">
        <v>1407</v>
      </c>
      <c r="K1648" s="326">
        <v>4</v>
      </c>
      <c r="L1648" s="358" t="s">
        <v>2247</v>
      </c>
      <c r="M1648" s="249" t="s">
        <v>2213</v>
      </c>
      <c r="N1648" s="372"/>
      <c r="O1648" s="371"/>
      <c r="P1648" s="203"/>
      <c r="Q1648" s="373"/>
      <c r="R1648" s="364"/>
      <c r="S1648" s="364"/>
      <c r="T1648" s="13" t="str">
        <f t="shared" si="266"/>
        <v>階別用途別床面積-4-26階</v>
      </c>
      <c r="V1648" s="202"/>
      <c r="W1648" s="202"/>
      <c r="X1648" s="202"/>
    </row>
    <row r="1649" spans="2:24">
      <c r="B1649" s="4"/>
      <c r="C1649" s="4"/>
      <c r="D1649" s="107">
        <f>'2_入力シート【用途面積】'!$M49</f>
        <v>0</v>
      </c>
      <c r="E1649" s="564">
        <f>'2_入力シート【用途面積】'!$M49</f>
        <v>0</v>
      </c>
      <c r="F1649" s="564" t="str">
        <f t="shared" si="265"/>
        <v>0</v>
      </c>
      <c r="G1649" s="24"/>
      <c r="H1649" s="577"/>
      <c r="I1649" s="383" t="s">
        <v>2246</v>
      </c>
      <c r="J1649" s="561" t="s">
        <v>1407</v>
      </c>
      <c r="K1649" s="326">
        <v>4</v>
      </c>
      <c r="L1649" s="358" t="s">
        <v>2247</v>
      </c>
      <c r="M1649" s="249" t="s">
        <v>2214</v>
      </c>
      <c r="N1649" s="372"/>
      <c r="O1649" s="371"/>
      <c r="P1649" s="364"/>
      <c r="Q1649" s="365"/>
      <c r="R1649" s="364"/>
      <c r="S1649" s="364"/>
      <c r="T1649" s="13" t="str">
        <f t="shared" si="266"/>
        <v>階別用途別床面積-4-27階</v>
      </c>
      <c r="V1649" s="202"/>
      <c r="W1649" s="202"/>
      <c r="X1649" s="202"/>
    </row>
    <row r="1650" spans="2:24">
      <c r="B1650" s="4"/>
      <c r="C1650" s="4"/>
      <c r="D1650" s="107">
        <f>'2_入力シート【用途面積】'!$M50</f>
        <v>0</v>
      </c>
      <c r="E1650" s="564">
        <f>'2_入力シート【用途面積】'!$M50</f>
        <v>0</v>
      </c>
      <c r="F1650" s="564" t="str">
        <f t="shared" si="265"/>
        <v>0</v>
      </c>
      <c r="G1650" s="24"/>
      <c r="H1650" s="577"/>
      <c r="I1650" s="383" t="s">
        <v>2246</v>
      </c>
      <c r="J1650" s="561" t="s">
        <v>1407</v>
      </c>
      <c r="K1650" s="326">
        <v>4</v>
      </c>
      <c r="L1650" s="358" t="s">
        <v>2247</v>
      </c>
      <c r="M1650" s="249" t="s">
        <v>2215</v>
      </c>
      <c r="N1650" s="372"/>
      <c r="O1650" s="371"/>
      <c r="P1650" s="364"/>
      <c r="Q1650" s="365"/>
      <c r="R1650" s="203"/>
      <c r="S1650" s="203"/>
      <c r="T1650" s="13" t="str">
        <f t="shared" si="266"/>
        <v>階別用途別床面積-4-28階</v>
      </c>
      <c r="V1650" s="202"/>
      <c r="W1650" s="202"/>
      <c r="X1650" s="202"/>
    </row>
    <row r="1651" spans="2:24">
      <c r="B1651" s="4"/>
      <c r="C1651" s="4"/>
      <c r="D1651" s="107">
        <f>'2_入力シート【用途面積】'!$M51</f>
        <v>0</v>
      </c>
      <c r="E1651" s="564">
        <f>'2_入力シート【用途面積】'!$M51</f>
        <v>0</v>
      </c>
      <c r="F1651" s="564" t="str">
        <f t="shared" si="265"/>
        <v>0</v>
      </c>
      <c r="G1651" s="24"/>
      <c r="H1651" s="577"/>
      <c r="I1651" s="383" t="s">
        <v>2246</v>
      </c>
      <c r="J1651" s="561" t="s">
        <v>1407</v>
      </c>
      <c r="K1651" s="326">
        <v>4</v>
      </c>
      <c r="L1651" s="358" t="s">
        <v>2247</v>
      </c>
      <c r="M1651" s="249" t="s">
        <v>2216</v>
      </c>
      <c r="N1651" s="372"/>
      <c r="O1651" s="371"/>
      <c r="P1651" s="364"/>
      <c r="Q1651" s="365"/>
      <c r="R1651" s="364"/>
      <c r="S1651" s="364"/>
      <c r="T1651" s="13" t="str">
        <f t="shared" si="266"/>
        <v>階別用途別床面積-4-29階</v>
      </c>
      <c r="V1651" s="202"/>
      <c r="W1651" s="202"/>
      <c r="X1651" s="202"/>
    </row>
    <row r="1652" spans="2:24">
      <c r="B1652" s="4"/>
      <c r="C1652" s="4"/>
      <c r="D1652" s="107">
        <f>'2_入力シート【用途面積】'!$M52</f>
        <v>0</v>
      </c>
      <c r="E1652" s="564">
        <f>'2_入力シート【用途面積】'!$M52</f>
        <v>0</v>
      </c>
      <c r="F1652" s="564" t="str">
        <f t="shared" si="265"/>
        <v>0</v>
      </c>
      <c r="G1652" s="24"/>
      <c r="H1652" s="577"/>
      <c r="I1652" s="383" t="s">
        <v>2246</v>
      </c>
      <c r="J1652" s="561" t="s">
        <v>1407</v>
      </c>
      <c r="K1652" s="326">
        <v>4</v>
      </c>
      <c r="L1652" s="358" t="s">
        <v>2247</v>
      </c>
      <c r="M1652" s="249" t="s">
        <v>2217</v>
      </c>
      <c r="N1652" s="372"/>
      <c r="O1652" s="371"/>
      <c r="P1652" s="364"/>
      <c r="Q1652" s="365"/>
      <c r="R1652" s="364"/>
      <c r="S1652" s="364"/>
      <c r="T1652" s="13" t="str">
        <f t="shared" si="266"/>
        <v>階別用途別床面積-4-30階</v>
      </c>
      <c r="V1652" s="202"/>
      <c r="W1652" s="202"/>
      <c r="X1652" s="202"/>
    </row>
    <row r="1653" spans="2:24">
      <c r="B1653" s="4"/>
      <c r="C1653" s="4"/>
      <c r="D1653" s="107">
        <f>'2_入力シート【用途面積】'!$M53</f>
        <v>0</v>
      </c>
      <c r="E1653" s="564">
        <f>'2_入力シート【用途面積】'!$M53</f>
        <v>0</v>
      </c>
      <c r="F1653" s="564" t="str">
        <f t="shared" si="265"/>
        <v>0</v>
      </c>
      <c r="G1653" s="24"/>
      <c r="H1653" s="577"/>
      <c r="I1653" s="383" t="s">
        <v>2246</v>
      </c>
      <c r="J1653" s="561" t="s">
        <v>1407</v>
      </c>
      <c r="K1653" s="326">
        <v>4</v>
      </c>
      <c r="L1653" s="358" t="s">
        <v>2247</v>
      </c>
      <c r="M1653" s="249" t="s">
        <v>2218</v>
      </c>
      <c r="N1653" s="372"/>
      <c r="O1653" s="371"/>
      <c r="P1653" s="364"/>
      <c r="Q1653" s="365"/>
      <c r="R1653" s="364"/>
      <c r="S1653" s="364"/>
      <c r="T1653" s="13" t="str">
        <f t="shared" si="266"/>
        <v>階別用途別床面積-4-31階</v>
      </c>
      <c r="V1653" s="202"/>
      <c r="W1653" s="202"/>
      <c r="X1653" s="202"/>
    </row>
    <row r="1654" spans="2:24">
      <c r="B1654" s="4"/>
      <c r="C1654" s="4"/>
      <c r="D1654" s="107">
        <f>'2_入力シート【用途面積】'!$M54</f>
        <v>0</v>
      </c>
      <c r="E1654" s="564">
        <f>'2_入力シート【用途面積】'!$M54</f>
        <v>0</v>
      </c>
      <c r="F1654" s="564" t="str">
        <f t="shared" si="265"/>
        <v>0</v>
      </c>
      <c r="G1654" s="24"/>
      <c r="H1654" s="577"/>
      <c r="I1654" s="383" t="s">
        <v>2246</v>
      </c>
      <c r="J1654" s="561" t="s">
        <v>1407</v>
      </c>
      <c r="K1654" s="326">
        <v>4</v>
      </c>
      <c r="L1654" s="358" t="s">
        <v>2247</v>
      </c>
      <c r="M1654" s="249" t="s">
        <v>2219</v>
      </c>
      <c r="N1654" s="372"/>
      <c r="O1654" s="370"/>
      <c r="P1654" s="364"/>
      <c r="Q1654" s="365"/>
      <c r="R1654" s="364"/>
      <c r="S1654" s="364"/>
      <c r="T1654" s="13" t="str">
        <f t="shared" si="266"/>
        <v>階別用途別床面積-4-32階</v>
      </c>
      <c r="V1654" s="202"/>
      <c r="W1654" s="202"/>
      <c r="X1654" s="202"/>
    </row>
    <row r="1655" spans="2:24">
      <c r="B1655" s="4"/>
      <c r="C1655" s="4"/>
      <c r="D1655" s="107">
        <f>'2_入力シート【用途面積】'!$M55</f>
        <v>0</v>
      </c>
      <c r="E1655" s="564">
        <f>'2_入力シート【用途面積】'!$M55</f>
        <v>0</v>
      </c>
      <c r="F1655" s="564" t="str">
        <f t="shared" si="265"/>
        <v>0</v>
      </c>
      <c r="G1655" s="24"/>
      <c r="H1655" s="577"/>
      <c r="I1655" s="383" t="s">
        <v>2246</v>
      </c>
      <c r="J1655" s="561" t="s">
        <v>1407</v>
      </c>
      <c r="K1655" s="326">
        <v>4</v>
      </c>
      <c r="L1655" s="358" t="s">
        <v>2247</v>
      </c>
      <c r="M1655" s="249" t="s">
        <v>2220</v>
      </c>
      <c r="N1655" s="372"/>
      <c r="O1655" s="370"/>
      <c r="P1655" s="364"/>
      <c r="Q1655" s="365"/>
      <c r="R1655" s="364"/>
      <c r="S1655" s="364"/>
      <c r="T1655" s="13" t="str">
        <f t="shared" si="266"/>
        <v>階別用途別床面積-4-33階</v>
      </c>
      <c r="V1655" s="202"/>
      <c r="W1655" s="202"/>
      <c r="X1655" s="202"/>
    </row>
    <row r="1656" spans="2:24">
      <c r="B1656" s="4"/>
      <c r="C1656" s="4"/>
      <c r="D1656" s="107">
        <f>'2_入力シート【用途面積】'!$M56</f>
        <v>0</v>
      </c>
      <c r="E1656" s="564">
        <f>'2_入力シート【用途面積】'!$M56</f>
        <v>0</v>
      </c>
      <c r="F1656" s="564" t="str">
        <f t="shared" si="265"/>
        <v>0</v>
      </c>
      <c r="G1656" s="24"/>
      <c r="H1656" s="577"/>
      <c r="I1656" s="383" t="s">
        <v>2246</v>
      </c>
      <c r="J1656" s="561" t="s">
        <v>1407</v>
      </c>
      <c r="K1656" s="326">
        <v>4</v>
      </c>
      <c r="L1656" s="358" t="s">
        <v>2247</v>
      </c>
      <c r="M1656" s="249" t="s">
        <v>2221</v>
      </c>
      <c r="N1656" s="372"/>
      <c r="O1656" s="370"/>
      <c r="P1656" s="364"/>
      <c r="Q1656" s="365"/>
      <c r="R1656" s="364"/>
      <c r="S1656" s="364"/>
      <c r="T1656" s="13" t="str">
        <f t="shared" si="266"/>
        <v>階別用途別床面積-4-34階</v>
      </c>
      <c r="V1656" s="202"/>
      <c r="W1656" s="202"/>
      <c r="X1656" s="202"/>
    </row>
    <row r="1657" spans="2:24">
      <c r="B1657" s="4"/>
      <c r="C1657" s="4"/>
      <c r="D1657" s="107">
        <f>'2_入力シート【用途面積】'!$M57</f>
        <v>0</v>
      </c>
      <c r="E1657" s="564">
        <f>'2_入力シート【用途面積】'!$M57</f>
        <v>0</v>
      </c>
      <c r="F1657" s="564" t="str">
        <f t="shared" si="265"/>
        <v>0</v>
      </c>
      <c r="G1657" s="24"/>
      <c r="H1657" s="577"/>
      <c r="I1657" s="383" t="s">
        <v>2246</v>
      </c>
      <c r="J1657" s="561" t="s">
        <v>1407</v>
      </c>
      <c r="K1657" s="326">
        <v>4</v>
      </c>
      <c r="L1657" s="358" t="s">
        <v>2247</v>
      </c>
      <c r="M1657" s="249" t="s">
        <v>2222</v>
      </c>
      <c r="N1657" s="372"/>
      <c r="O1657" s="371"/>
      <c r="P1657" s="203"/>
      <c r="Q1657" s="373"/>
      <c r="R1657" s="364"/>
      <c r="S1657" s="364"/>
      <c r="T1657" s="13" t="str">
        <f t="shared" si="266"/>
        <v>階別用途別床面積-4-35階</v>
      </c>
      <c r="V1657" s="202"/>
      <c r="W1657" s="202"/>
      <c r="X1657" s="202"/>
    </row>
    <row r="1658" spans="2:24">
      <c r="B1658" s="4"/>
      <c r="C1658" s="4"/>
      <c r="D1658" s="107">
        <f>'2_入力シート【用途面積】'!$M58</f>
        <v>0</v>
      </c>
      <c r="E1658" s="564">
        <f>'2_入力シート【用途面積】'!$M58</f>
        <v>0</v>
      </c>
      <c r="F1658" s="564" t="str">
        <f t="shared" si="265"/>
        <v>0</v>
      </c>
      <c r="G1658" s="24"/>
      <c r="H1658" s="577"/>
      <c r="I1658" s="383" t="s">
        <v>2246</v>
      </c>
      <c r="J1658" s="561" t="s">
        <v>1407</v>
      </c>
      <c r="K1658" s="326">
        <v>4</v>
      </c>
      <c r="L1658" s="358" t="s">
        <v>2247</v>
      </c>
      <c r="M1658" s="249" t="s">
        <v>2223</v>
      </c>
      <c r="N1658" s="372"/>
      <c r="O1658" s="371"/>
      <c r="P1658" s="364"/>
      <c r="Q1658" s="365"/>
      <c r="R1658" s="364"/>
      <c r="S1658" s="364"/>
      <c r="T1658" s="13" t="str">
        <f t="shared" si="266"/>
        <v>階別用途別床面積-4-36階</v>
      </c>
      <c r="V1658" s="202"/>
      <c r="W1658" s="202"/>
      <c r="X1658" s="202"/>
    </row>
    <row r="1659" spans="2:24">
      <c r="B1659" s="4"/>
      <c r="C1659" s="4"/>
      <c r="D1659" s="107">
        <f>'2_入力シート【用途面積】'!$M59</f>
        <v>0</v>
      </c>
      <c r="E1659" s="564">
        <f>'2_入力シート【用途面積】'!$M59</f>
        <v>0</v>
      </c>
      <c r="F1659" s="564" t="str">
        <f t="shared" si="265"/>
        <v>0</v>
      </c>
      <c r="G1659" s="24"/>
      <c r="H1659" s="577"/>
      <c r="I1659" s="383" t="s">
        <v>2246</v>
      </c>
      <c r="J1659" s="561" t="s">
        <v>1407</v>
      </c>
      <c r="K1659" s="326">
        <v>4</v>
      </c>
      <c r="L1659" s="358" t="s">
        <v>2247</v>
      </c>
      <c r="M1659" s="249" t="s">
        <v>2224</v>
      </c>
      <c r="N1659" s="372"/>
      <c r="O1659" s="371"/>
      <c r="P1659" s="364"/>
      <c r="Q1659" s="365"/>
      <c r="R1659" s="203"/>
      <c r="S1659" s="203"/>
      <c r="T1659" s="13" t="str">
        <f t="shared" si="266"/>
        <v>階別用途別床面積-4-37階</v>
      </c>
      <c r="V1659" s="202"/>
      <c r="W1659" s="202"/>
      <c r="X1659" s="202"/>
    </row>
    <row r="1660" spans="2:24">
      <c r="B1660" s="4"/>
      <c r="C1660" s="4"/>
      <c r="D1660" s="107">
        <f>'2_入力シート【用途面積】'!$M60</f>
        <v>0</v>
      </c>
      <c r="E1660" s="564">
        <f>'2_入力シート【用途面積】'!$M60</f>
        <v>0</v>
      </c>
      <c r="F1660" s="564" t="str">
        <f t="shared" si="265"/>
        <v>0</v>
      </c>
      <c r="G1660" s="24"/>
      <c r="H1660" s="577"/>
      <c r="I1660" s="383" t="s">
        <v>2246</v>
      </c>
      <c r="J1660" s="561" t="s">
        <v>1407</v>
      </c>
      <c r="K1660" s="326">
        <v>4</v>
      </c>
      <c r="L1660" s="358" t="s">
        <v>2247</v>
      </c>
      <c r="M1660" s="249" t="s">
        <v>2225</v>
      </c>
      <c r="N1660" s="372"/>
      <c r="O1660" s="371"/>
      <c r="P1660" s="364"/>
      <c r="Q1660" s="365"/>
      <c r="R1660" s="364"/>
      <c r="S1660" s="364"/>
      <c r="T1660" s="13" t="str">
        <f t="shared" si="266"/>
        <v>階別用途別床面積-4-38階</v>
      </c>
      <c r="V1660" s="202"/>
      <c r="W1660" s="202"/>
      <c r="X1660" s="202"/>
    </row>
    <row r="1661" spans="2:24">
      <c r="B1661" s="4"/>
      <c r="C1661" s="4"/>
      <c r="D1661" s="107">
        <f>'2_入力シート【用途面積】'!$M61</f>
        <v>0</v>
      </c>
      <c r="E1661" s="564">
        <f>'2_入力シート【用途面積】'!$M61</f>
        <v>0</v>
      </c>
      <c r="F1661" s="564" t="str">
        <f t="shared" si="265"/>
        <v>0</v>
      </c>
      <c r="G1661" s="24"/>
      <c r="H1661" s="577"/>
      <c r="I1661" s="383" t="s">
        <v>2246</v>
      </c>
      <c r="J1661" s="561" t="s">
        <v>1407</v>
      </c>
      <c r="K1661" s="326">
        <v>4</v>
      </c>
      <c r="L1661" s="358" t="s">
        <v>2247</v>
      </c>
      <c r="M1661" s="249" t="s">
        <v>2226</v>
      </c>
      <c r="N1661" s="372"/>
      <c r="O1661" s="371"/>
      <c r="P1661" s="364"/>
      <c r="Q1661" s="365"/>
      <c r="R1661" s="364"/>
      <c r="S1661" s="364"/>
      <c r="T1661" s="13" t="str">
        <f t="shared" si="266"/>
        <v>階別用途別床面積-4-39階</v>
      </c>
      <c r="V1661" s="202"/>
      <c r="W1661" s="202"/>
      <c r="X1661" s="202"/>
    </row>
    <row r="1662" spans="2:24">
      <c r="B1662" s="4"/>
      <c r="C1662" s="4"/>
      <c r="D1662" s="107">
        <f>'2_入力シート【用途面積】'!$M62</f>
        <v>0</v>
      </c>
      <c r="E1662" s="564">
        <f>'2_入力シート【用途面積】'!$M62</f>
        <v>0</v>
      </c>
      <c r="F1662" s="564" t="str">
        <f t="shared" si="265"/>
        <v>0</v>
      </c>
      <c r="G1662" s="24"/>
      <c r="H1662" s="577"/>
      <c r="I1662" s="383" t="s">
        <v>2246</v>
      </c>
      <c r="J1662" s="561" t="s">
        <v>1407</v>
      </c>
      <c r="K1662" s="326">
        <v>4</v>
      </c>
      <c r="L1662" s="358" t="s">
        <v>2247</v>
      </c>
      <c r="M1662" s="249" t="s">
        <v>2227</v>
      </c>
      <c r="N1662" s="372"/>
      <c r="O1662" s="371"/>
      <c r="P1662" s="364"/>
      <c r="Q1662" s="365"/>
      <c r="R1662" s="364"/>
      <c r="S1662" s="364"/>
      <c r="T1662" s="13" t="str">
        <f t="shared" si="266"/>
        <v>階別用途別床面積-4-40階</v>
      </c>
      <c r="V1662" s="202"/>
      <c r="W1662" s="202"/>
      <c r="X1662" s="202"/>
    </row>
    <row r="1663" spans="2:24">
      <c r="B1663" s="4"/>
      <c r="C1663" s="4"/>
      <c r="D1663" s="107">
        <f>'2_入力シート【用途面積】'!$M63</f>
        <v>0</v>
      </c>
      <c r="E1663" s="564">
        <f>'2_入力シート【用途面積】'!$M63</f>
        <v>0</v>
      </c>
      <c r="F1663" s="564" t="str">
        <f t="shared" si="265"/>
        <v>0</v>
      </c>
      <c r="G1663" s="24"/>
      <c r="H1663" s="577"/>
      <c r="I1663" s="383" t="s">
        <v>2246</v>
      </c>
      <c r="J1663" s="561" t="s">
        <v>1407</v>
      </c>
      <c r="K1663" s="326">
        <v>4</v>
      </c>
      <c r="L1663" s="358" t="s">
        <v>2247</v>
      </c>
      <c r="M1663" s="249" t="s">
        <v>2228</v>
      </c>
      <c r="N1663" s="372"/>
      <c r="O1663" s="370"/>
      <c r="P1663" s="364"/>
      <c r="Q1663" s="365"/>
      <c r="R1663" s="364"/>
      <c r="S1663" s="364"/>
      <c r="T1663" s="13" t="str">
        <f t="shared" si="266"/>
        <v>階別用途別床面積-4-41階</v>
      </c>
      <c r="V1663" s="202"/>
      <c r="W1663" s="202"/>
      <c r="X1663" s="202"/>
    </row>
    <row r="1664" spans="2:24">
      <c r="B1664" s="4"/>
      <c r="C1664" s="4"/>
      <c r="D1664" s="107">
        <f>'2_入力シート【用途面積】'!$M64</f>
        <v>0</v>
      </c>
      <c r="E1664" s="564">
        <f>'2_入力シート【用途面積】'!$M64</f>
        <v>0</v>
      </c>
      <c r="F1664" s="564" t="str">
        <f t="shared" si="265"/>
        <v>0</v>
      </c>
      <c r="G1664" s="24"/>
      <c r="H1664" s="577"/>
      <c r="I1664" s="383" t="s">
        <v>2246</v>
      </c>
      <c r="J1664" s="561" t="s">
        <v>1407</v>
      </c>
      <c r="K1664" s="326">
        <v>4</v>
      </c>
      <c r="L1664" s="358" t="s">
        <v>2247</v>
      </c>
      <c r="M1664" s="249" t="s">
        <v>2229</v>
      </c>
      <c r="N1664" s="372"/>
      <c r="O1664" s="370"/>
      <c r="P1664" s="364"/>
      <c r="Q1664" s="365"/>
      <c r="R1664" s="364"/>
      <c r="S1664" s="364"/>
      <c r="T1664" s="13" t="str">
        <f t="shared" si="266"/>
        <v>階別用途別床面積-4-42階</v>
      </c>
      <c r="V1664" s="202"/>
      <c r="W1664" s="202"/>
      <c r="X1664" s="202"/>
    </row>
    <row r="1665" spans="2:28">
      <c r="B1665" s="4"/>
      <c r="C1665" s="4"/>
      <c r="D1665" s="107">
        <f>'2_入力シート【用途面積】'!$M65</f>
        <v>0</v>
      </c>
      <c r="E1665" s="564">
        <f>'2_入力シート【用途面積】'!$M65</f>
        <v>0</v>
      </c>
      <c r="F1665" s="564" t="str">
        <f t="shared" si="265"/>
        <v>0</v>
      </c>
      <c r="G1665" s="24"/>
      <c r="H1665" s="577"/>
      <c r="I1665" s="383" t="s">
        <v>2246</v>
      </c>
      <c r="J1665" s="561" t="s">
        <v>1407</v>
      </c>
      <c r="K1665" s="326">
        <v>4</v>
      </c>
      <c r="L1665" s="358" t="s">
        <v>2247</v>
      </c>
      <c r="M1665" s="249" t="s">
        <v>2230</v>
      </c>
      <c r="N1665" s="372"/>
      <c r="O1665" s="370"/>
      <c r="P1665" s="364"/>
      <c r="Q1665" s="365"/>
      <c r="R1665" s="364"/>
      <c r="S1665" s="364"/>
      <c r="T1665" s="13" t="str">
        <f t="shared" si="266"/>
        <v>階別用途別床面積-4-43階</v>
      </c>
      <c r="V1665" s="202"/>
      <c r="W1665" s="202"/>
      <c r="X1665" s="202"/>
    </row>
    <row r="1666" spans="2:28">
      <c r="B1666" s="4"/>
      <c r="C1666" s="4"/>
      <c r="D1666" s="107">
        <f>'2_入力シート【用途面積】'!$M66</f>
        <v>0</v>
      </c>
      <c r="E1666" s="564">
        <f>'2_入力シート【用途面積】'!$M66</f>
        <v>0</v>
      </c>
      <c r="F1666" s="564" t="str">
        <f t="shared" si="265"/>
        <v>0</v>
      </c>
      <c r="G1666" s="24"/>
      <c r="H1666" s="577"/>
      <c r="I1666" s="383" t="s">
        <v>2246</v>
      </c>
      <c r="J1666" s="561" t="s">
        <v>1407</v>
      </c>
      <c r="K1666" s="326">
        <v>4</v>
      </c>
      <c r="L1666" s="358" t="s">
        <v>2247</v>
      </c>
      <c r="M1666" s="249" t="s">
        <v>2231</v>
      </c>
      <c r="N1666" s="372"/>
      <c r="O1666" s="371"/>
      <c r="P1666" s="202"/>
      <c r="Q1666" s="375"/>
      <c r="R1666" s="364"/>
      <c r="S1666" s="364"/>
      <c r="T1666" s="13" t="str">
        <f t="shared" si="266"/>
        <v>階別用途別床面積-4-44階</v>
      </c>
      <c r="V1666" s="202"/>
      <c r="W1666" s="202"/>
      <c r="X1666" s="202"/>
    </row>
    <row r="1667" spans="2:28">
      <c r="B1667" s="4"/>
      <c r="C1667" s="4"/>
      <c r="D1667" s="107">
        <f>'2_入力シート【用途面積】'!$M67</f>
        <v>0</v>
      </c>
      <c r="E1667" s="564">
        <f>'2_入力シート【用途面積】'!$M67</f>
        <v>0</v>
      </c>
      <c r="F1667" s="564" t="str">
        <f t="shared" si="265"/>
        <v>0</v>
      </c>
      <c r="G1667" s="24"/>
      <c r="H1667" s="563"/>
      <c r="I1667" s="383" t="s">
        <v>2246</v>
      </c>
      <c r="J1667" s="561" t="s">
        <v>1407</v>
      </c>
      <c r="K1667" s="326">
        <v>4</v>
      </c>
      <c r="L1667" s="358" t="s">
        <v>2247</v>
      </c>
      <c r="M1667" s="249" t="s">
        <v>2232</v>
      </c>
      <c r="N1667" s="355"/>
      <c r="O1667" s="352"/>
      <c r="R1667" s="364"/>
      <c r="S1667" s="364"/>
      <c r="T1667" s="382" t="str">
        <f t="shared" si="266"/>
        <v>階別用途別床面積-4-45階</v>
      </c>
      <c r="V1667" s="202"/>
      <c r="W1667" s="202"/>
      <c r="X1667" s="202"/>
    </row>
    <row r="1668" spans="2:28">
      <c r="B1668" s="4"/>
      <c r="C1668" s="4"/>
      <c r="D1668" s="107">
        <f>'2_入力シート【用途面積】'!$M68</f>
        <v>0</v>
      </c>
      <c r="E1668" s="564">
        <f>'2_入力シート【用途面積】'!$M68</f>
        <v>0</v>
      </c>
      <c r="F1668" s="564" t="str">
        <f t="shared" si="265"/>
        <v>0</v>
      </c>
      <c r="G1668" s="24"/>
      <c r="H1668" s="563"/>
      <c r="I1668" s="383" t="s">
        <v>2246</v>
      </c>
      <c r="J1668" s="561" t="s">
        <v>1407</v>
      </c>
      <c r="K1668" s="326">
        <v>4</v>
      </c>
      <c r="L1668" s="358" t="s">
        <v>2247</v>
      </c>
      <c r="M1668" s="249" t="s">
        <v>2233</v>
      </c>
      <c r="N1668" s="355"/>
      <c r="O1668" s="352"/>
      <c r="R1668" s="203"/>
      <c r="S1668" s="203"/>
      <c r="T1668" s="382" t="str">
        <f t="shared" si="266"/>
        <v>階別用途別床面積-4-46階</v>
      </c>
      <c r="V1668" s="202"/>
      <c r="W1668" s="202"/>
      <c r="X1668" s="202"/>
    </row>
    <row r="1669" spans="2:28">
      <c r="B1669" s="4"/>
      <c r="C1669" s="4"/>
      <c r="D1669" s="107">
        <f>'2_入力シート【用途面積】'!$M69</f>
        <v>0</v>
      </c>
      <c r="E1669" s="564">
        <f>'2_入力シート【用途面積】'!$M69</f>
        <v>0</v>
      </c>
      <c r="F1669" s="564" t="str">
        <f t="shared" ref="F1669:F1732" si="267">SUBSTITUTE(E1669,CHAR(10),"")</f>
        <v>0</v>
      </c>
      <c r="G1669" s="24"/>
      <c r="H1669" s="563"/>
      <c r="I1669" s="383" t="s">
        <v>2246</v>
      </c>
      <c r="J1669" s="561" t="s">
        <v>1407</v>
      </c>
      <c r="K1669" s="326">
        <v>4</v>
      </c>
      <c r="L1669" s="358" t="s">
        <v>2247</v>
      </c>
      <c r="M1669" s="249" t="s">
        <v>2234</v>
      </c>
      <c r="N1669" s="355"/>
      <c r="O1669" s="352"/>
      <c r="R1669" s="364"/>
      <c r="S1669" s="364"/>
      <c r="T1669" s="382" t="str">
        <f t="shared" si="266"/>
        <v>階別用途別床面積-4-47階</v>
      </c>
      <c r="V1669" s="202"/>
      <c r="W1669" s="202"/>
      <c r="X1669" s="202"/>
    </row>
    <row r="1670" spans="2:28">
      <c r="B1670" s="4"/>
      <c r="C1670" s="4"/>
      <c r="D1670" s="107">
        <f>'2_入力シート【用途面積】'!$M70</f>
        <v>0</v>
      </c>
      <c r="E1670" s="564">
        <f>'2_入力シート【用途面積】'!$M70</f>
        <v>0</v>
      </c>
      <c r="F1670" s="564" t="str">
        <f t="shared" si="267"/>
        <v>0</v>
      </c>
      <c r="G1670" s="24"/>
      <c r="H1670" s="563"/>
      <c r="I1670" s="383" t="s">
        <v>2246</v>
      </c>
      <c r="J1670" s="561" t="s">
        <v>1407</v>
      </c>
      <c r="K1670" s="326">
        <v>4</v>
      </c>
      <c r="L1670" s="358" t="s">
        <v>2247</v>
      </c>
      <c r="M1670" s="249" t="s">
        <v>2235</v>
      </c>
      <c r="N1670" s="355"/>
      <c r="O1670" s="352"/>
      <c r="R1670" s="364"/>
      <c r="S1670" s="364"/>
      <c r="T1670" s="382" t="str">
        <f t="shared" si="266"/>
        <v>階別用途別床面積-4-48階</v>
      </c>
      <c r="V1670" s="202"/>
      <c r="W1670" s="202"/>
      <c r="X1670" s="202"/>
    </row>
    <row r="1671" spans="2:28">
      <c r="B1671" s="4"/>
      <c r="C1671" s="4"/>
      <c r="D1671" s="107">
        <f>'2_入力シート【用途面積】'!$M71</f>
        <v>0</v>
      </c>
      <c r="E1671" s="564">
        <f>'2_入力シート【用途面積】'!$M71</f>
        <v>0</v>
      </c>
      <c r="F1671" s="564" t="str">
        <f t="shared" si="267"/>
        <v>0</v>
      </c>
      <c r="G1671" s="24"/>
      <c r="H1671" s="563"/>
      <c r="I1671" s="383" t="s">
        <v>2246</v>
      </c>
      <c r="J1671" s="561" t="s">
        <v>1407</v>
      </c>
      <c r="K1671" s="326">
        <v>4</v>
      </c>
      <c r="L1671" s="358" t="s">
        <v>2247</v>
      </c>
      <c r="M1671" s="249" t="s">
        <v>2236</v>
      </c>
      <c r="N1671" s="355"/>
      <c r="O1671" s="352"/>
      <c r="R1671" s="364"/>
      <c r="S1671" s="364"/>
      <c r="T1671" s="382" t="str">
        <f t="shared" si="266"/>
        <v>階別用途別床面積-4-49階</v>
      </c>
      <c r="V1671" s="202"/>
      <c r="W1671" s="202"/>
      <c r="X1671" s="202"/>
    </row>
    <row r="1672" spans="2:28">
      <c r="B1672" s="4"/>
      <c r="C1672" s="4"/>
      <c r="D1672" s="107">
        <f>'2_入力シート【用途面積】'!$M72</f>
        <v>0</v>
      </c>
      <c r="E1672" s="564">
        <f>'2_入力シート【用途面積】'!$M72</f>
        <v>0</v>
      </c>
      <c r="F1672" s="564" t="str">
        <f t="shared" si="267"/>
        <v>0</v>
      </c>
      <c r="G1672" s="24"/>
      <c r="H1672" s="563"/>
      <c r="I1672" s="383" t="s">
        <v>2246</v>
      </c>
      <c r="J1672" s="561" t="s">
        <v>1407</v>
      </c>
      <c r="K1672" s="326">
        <v>4</v>
      </c>
      <c r="L1672" s="358" t="s">
        <v>2247</v>
      </c>
      <c r="M1672" s="249" t="s">
        <v>2237</v>
      </c>
      <c r="N1672" s="355"/>
      <c r="O1672" s="352"/>
      <c r="R1672" s="364"/>
      <c r="S1672" s="364"/>
      <c r="T1672" s="382" t="str">
        <f t="shared" si="266"/>
        <v>階別用途別床面積-4-50階</v>
      </c>
      <c r="V1672" s="202"/>
      <c r="W1672" s="202"/>
      <c r="X1672" s="202"/>
    </row>
    <row r="1673" spans="2:28">
      <c r="B1673" s="4"/>
      <c r="C1673" s="4"/>
      <c r="D1673" s="107">
        <f>'2_入力シート【用途面積】'!$O$4</f>
        <v>0</v>
      </c>
      <c r="E1673" s="564">
        <f>'2_入力シート【用途面積】'!$O$4</f>
        <v>0</v>
      </c>
      <c r="F1673" s="564" t="str">
        <f t="shared" si="267"/>
        <v>0</v>
      </c>
      <c r="G1673" s="24"/>
      <c r="H1673" s="563"/>
      <c r="I1673" s="383" t="s">
        <v>2246</v>
      </c>
      <c r="J1673" s="561" t="s">
        <v>1407</v>
      </c>
      <c r="K1673" s="322" t="s">
        <v>2241</v>
      </c>
      <c r="L1673" s="358" t="s">
        <v>2247</v>
      </c>
      <c r="M1673" s="325" t="s">
        <v>2238</v>
      </c>
      <c r="N1673" s="355"/>
      <c r="O1673" s="352"/>
      <c r="R1673" s="364"/>
      <c r="S1673" s="364"/>
      <c r="T1673" s="382" t="str">
        <f t="shared" si="266"/>
        <v>階別用途別床面積-5-大分類</v>
      </c>
      <c r="V1673" s="202"/>
      <c r="W1673" s="202"/>
      <c r="X1673" s="202"/>
    </row>
    <row r="1674" spans="2:28">
      <c r="B1674" s="4"/>
      <c r="C1674" s="4"/>
      <c r="D1674" s="107">
        <f>'2_入力シート【用途面積】'!$O$7</f>
        <v>0</v>
      </c>
      <c r="E1674" s="564">
        <f>'2_入力シート【用途面積】'!$O$7</f>
        <v>0</v>
      </c>
      <c r="F1674" s="564" t="str">
        <f t="shared" si="267"/>
        <v>0</v>
      </c>
      <c r="G1674" s="24"/>
      <c r="H1674" s="563"/>
      <c r="I1674" s="383" t="s">
        <v>2246</v>
      </c>
      <c r="J1674" s="561" t="s">
        <v>1407</v>
      </c>
      <c r="K1674" s="322" t="s">
        <v>2241</v>
      </c>
      <c r="L1674" s="358" t="s">
        <v>2247</v>
      </c>
      <c r="M1674" s="325" t="s">
        <v>2239</v>
      </c>
      <c r="N1674" s="355"/>
      <c r="O1674" s="352"/>
      <c r="R1674" s="364"/>
      <c r="S1674" s="364"/>
      <c r="T1674" s="382" t="str">
        <f t="shared" si="266"/>
        <v>階別用途別床面積-5-小分類</v>
      </c>
      <c r="V1674" s="202"/>
      <c r="W1674" s="202"/>
      <c r="X1674" s="202"/>
    </row>
    <row r="1675" spans="2:28">
      <c r="B1675" s="4"/>
      <c r="C1675" s="4"/>
      <c r="D1675" s="107"/>
      <c r="E1675" s="789">
        <f>'2_入力シート【用途面積】'!$O$12</f>
        <v>0</v>
      </c>
      <c r="F1675" s="789" t="str">
        <f t="shared" si="267"/>
        <v>0</v>
      </c>
      <c r="G1675" s="790"/>
      <c r="H1675" s="828"/>
      <c r="I1675" s="832" t="s">
        <v>3402</v>
      </c>
      <c r="J1675" s="796" t="s">
        <v>1879</v>
      </c>
      <c r="K1675" s="696" t="s">
        <v>1756</v>
      </c>
      <c r="L1675" s="697" t="s">
        <v>1879</v>
      </c>
      <c r="M1675" s="698" t="s">
        <v>3401</v>
      </c>
      <c r="N1675" s="830"/>
      <c r="O1675" s="829"/>
      <c r="P1675" s="794"/>
      <c r="Q1675" s="831"/>
      <c r="R1675" s="794"/>
      <c r="S1675" s="794"/>
      <c r="T1675" s="382" t="str">
        <f t="shared" si="266"/>
        <v>階別用途別床面積-5-特記</v>
      </c>
      <c r="U1675" s="382"/>
      <c r="V1675" s="202"/>
      <c r="W1675" s="202"/>
      <c r="X1675" s="202"/>
      <c r="Y1675" s="382"/>
      <c r="Z1675" s="382"/>
      <c r="AA1675" s="382"/>
      <c r="AB1675" s="382"/>
    </row>
    <row r="1676" spans="2:28">
      <c r="B1676" s="4"/>
      <c r="C1676" s="4"/>
      <c r="D1676" s="107">
        <f>'2_入力シート【用途面積】'!$O14</f>
        <v>0</v>
      </c>
      <c r="E1676" s="564">
        <f>'2_入力シート【用途面積】'!$O14</f>
        <v>0</v>
      </c>
      <c r="F1676" s="564" t="str">
        <f t="shared" si="267"/>
        <v>0</v>
      </c>
      <c r="G1676" s="24"/>
      <c r="H1676" s="563"/>
      <c r="I1676" s="383" t="s">
        <v>2246</v>
      </c>
      <c r="J1676" s="561" t="s">
        <v>1407</v>
      </c>
      <c r="K1676" s="322" t="s">
        <v>2240</v>
      </c>
      <c r="L1676" s="358" t="s">
        <v>2247</v>
      </c>
      <c r="M1676" s="325" t="s">
        <v>2179</v>
      </c>
      <c r="N1676" s="355"/>
      <c r="O1676" s="352"/>
      <c r="R1676" s="364"/>
      <c r="S1676" s="364"/>
      <c r="T1676" s="382" t="str">
        <f t="shared" si="266"/>
        <v>階別用途別床面積-5-地下1階</v>
      </c>
      <c r="V1676" s="202"/>
      <c r="W1676" s="202"/>
      <c r="X1676" s="202"/>
    </row>
    <row r="1677" spans="2:28">
      <c r="B1677" s="4"/>
      <c r="C1677" s="4"/>
      <c r="D1677" s="107">
        <f>'2_入力シート【用途面積】'!$O15</f>
        <v>0</v>
      </c>
      <c r="E1677" s="564">
        <f>'2_入力シート【用途面積】'!$O15</f>
        <v>0</v>
      </c>
      <c r="F1677" s="564" t="str">
        <f t="shared" si="267"/>
        <v>0</v>
      </c>
      <c r="G1677" s="24"/>
      <c r="H1677" s="563"/>
      <c r="I1677" s="383" t="s">
        <v>2246</v>
      </c>
      <c r="J1677" s="561" t="s">
        <v>1407</v>
      </c>
      <c r="K1677" s="322" t="s">
        <v>2240</v>
      </c>
      <c r="L1677" s="358" t="s">
        <v>2247</v>
      </c>
      <c r="M1677" s="325" t="s">
        <v>2180</v>
      </c>
      <c r="N1677" s="355"/>
      <c r="O1677" s="352"/>
      <c r="R1677" s="364"/>
      <c r="S1677" s="364"/>
      <c r="T1677" s="382" t="str">
        <f t="shared" si="266"/>
        <v>階別用途別床面積-5-地下2階</v>
      </c>
      <c r="V1677" s="202"/>
      <c r="W1677" s="202"/>
      <c r="X1677" s="202"/>
    </row>
    <row r="1678" spans="2:28">
      <c r="B1678" s="4"/>
      <c r="C1678" s="4"/>
      <c r="D1678" s="107">
        <f>'2_入力シート【用途面積】'!$O16</f>
        <v>0</v>
      </c>
      <c r="E1678" s="564">
        <f>'2_入力シート【用途面積】'!$O16</f>
        <v>0</v>
      </c>
      <c r="F1678" s="564" t="str">
        <f t="shared" si="267"/>
        <v>0</v>
      </c>
      <c r="G1678" s="24"/>
      <c r="H1678" s="563"/>
      <c r="I1678" s="383" t="s">
        <v>2246</v>
      </c>
      <c r="J1678" s="561" t="s">
        <v>1407</v>
      </c>
      <c r="K1678" s="322" t="s">
        <v>2240</v>
      </c>
      <c r="L1678" s="358" t="s">
        <v>2247</v>
      </c>
      <c r="M1678" s="325" t="s">
        <v>2181</v>
      </c>
      <c r="N1678" s="355"/>
      <c r="O1678" s="352"/>
      <c r="T1678" s="382" t="str">
        <f t="shared" si="266"/>
        <v>階別用途別床面積-5-地下3階</v>
      </c>
      <c r="V1678" s="202"/>
      <c r="W1678" s="202"/>
      <c r="X1678" s="202"/>
    </row>
    <row r="1679" spans="2:28">
      <c r="B1679" s="4"/>
      <c r="C1679" s="4"/>
      <c r="D1679" s="107">
        <f>'2_入力シート【用途面積】'!$O17</f>
        <v>0</v>
      </c>
      <c r="E1679" s="564">
        <f>'2_入力シート【用途面積】'!$O17</f>
        <v>0</v>
      </c>
      <c r="F1679" s="564" t="str">
        <f t="shared" si="267"/>
        <v>0</v>
      </c>
      <c r="G1679" s="24"/>
      <c r="H1679" s="563"/>
      <c r="I1679" s="383" t="s">
        <v>2246</v>
      </c>
      <c r="J1679" s="561" t="s">
        <v>1407</v>
      </c>
      <c r="K1679" s="322" t="s">
        <v>2240</v>
      </c>
      <c r="L1679" s="358" t="s">
        <v>2247</v>
      </c>
      <c r="M1679" s="325" t="s">
        <v>2182</v>
      </c>
      <c r="N1679" s="355"/>
      <c r="O1679" s="352"/>
      <c r="T1679" s="382" t="str">
        <f t="shared" si="266"/>
        <v>階別用途別床面積-5-地下4階</v>
      </c>
      <c r="V1679" s="202"/>
      <c r="W1679" s="202"/>
      <c r="X1679" s="202"/>
    </row>
    <row r="1680" spans="2:28">
      <c r="B1680" s="4"/>
      <c r="C1680" s="4"/>
      <c r="D1680" s="107">
        <f>'2_入力シート【用途面積】'!$O18</f>
        <v>0</v>
      </c>
      <c r="E1680" s="564">
        <f>'2_入力シート【用途面積】'!$O18</f>
        <v>0</v>
      </c>
      <c r="F1680" s="564" t="str">
        <f t="shared" si="267"/>
        <v>0</v>
      </c>
      <c r="G1680" s="24"/>
      <c r="H1680" s="563"/>
      <c r="I1680" s="383" t="s">
        <v>2246</v>
      </c>
      <c r="J1680" s="561" t="s">
        <v>1407</v>
      </c>
      <c r="K1680" s="322" t="s">
        <v>2240</v>
      </c>
      <c r="L1680" s="358" t="s">
        <v>2247</v>
      </c>
      <c r="M1680" s="325" t="s">
        <v>2183</v>
      </c>
      <c r="N1680" s="355"/>
      <c r="O1680" s="352"/>
      <c r="T1680" s="382" t="str">
        <f t="shared" si="266"/>
        <v>階別用途別床面積-5-塔屋 1階</v>
      </c>
      <c r="V1680" s="202"/>
      <c r="W1680" s="202"/>
      <c r="X1680" s="202"/>
    </row>
    <row r="1681" spans="2:24">
      <c r="B1681" s="4"/>
      <c r="C1681" s="4"/>
      <c r="D1681" s="107">
        <f>'2_入力シート【用途面積】'!$O19</f>
        <v>0</v>
      </c>
      <c r="E1681" s="564">
        <f>'2_入力シート【用途面積】'!$O19</f>
        <v>0</v>
      </c>
      <c r="F1681" s="564" t="str">
        <f t="shared" si="267"/>
        <v>0</v>
      </c>
      <c r="G1681" s="24"/>
      <c r="H1681" s="563"/>
      <c r="I1681" s="383" t="s">
        <v>2246</v>
      </c>
      <c r="J1681" s="561" t="s">
        <v>1407</v>
      </c>
      <c r="K1681" s="322" t="s">
        <v>2240</v>
      </c>
      <c r="L1681" s="358" t="s">
        <v>2247</v>
      </c>
      <c r="M1681" s="325" t="s">
        <v>2184</v>
      </c>
      <c r="N1681" s="355"/>
      <c r="O1681" s="352"/>
      <c r="T1681" s="382" t="str">
        <f t="shared" si="266"/>
        <v>階別用途別床面積-5-塔屋 2階</v>
      </c>
      <c r="V1681" s="202"/>
      <c r="W1681" s="202"/>
      <c r="X1681" s="202"/>
    </row>
    <row r="1682" spans="2:24">
      <c r="B1682" s="4"/>
      <c r="C1682" s="4"/>
      <c r="D1682" s="107">
        <f>'2_入力シート【用途面積】'!$O20</f>
        <v>0</v>
      </c>
      <c r="E1682" s="564">
        <f>'2_入力シート【用途面積】'!$O20</f>
        <v>0</v>
      </c>
      <c r="F1682" s="564" t="str">
        <f t="shared" si="267"/>
        <v>0</v>
      </c>
      <c r="G1682" s="24"/>
      <c r="H1682" s="563"/>
      <c r="I1682" s="383" t="s">
        <v>2246</v>
      </c>
      <c r="J1682" s="561" t="s">
        <v>1407</v>
      </c>
      <c r="K1682" s="322" t="s">
        <v>2240</v>
      </c>
      <c r="L1682" s="358" t="s">
        <v>2247</v>
      </c>
      <c r="M1682" s="325" t="s">
        <v>2185</v>
      </c>
      <c r="N1682" s="355"/>
      <c r="O1682" s="352"/>
      <c r="T1682" s="382" t="str">
        <f t="shared" si="266"/>
        <v>階別用途別床面積-5-塔屋 3階</v>
      </c>
      <c r="V1682" s="202"/>
      <c r="W1682" s="202"/>
      <c r="X1682" s="202"/>
    </row>
    <row r="1683" spans="2:24">
      <c r="B1683" s="4"/>
      <c r="C1683" s="4"/>
      <c r="D1683" s="107">
        <f>'2_入力シート【用途面積】'!$O21</f>
        <v>0</v>
      </c>
      <c r="E1683" s="564">
        <f>'2_入力シート【用途面積】'!$O21</f>
        <v>0</v>
      </c>
      <c r="F1683" s="564" t="str">
        <f t="shared" si="267"/>
        <v>0</v>
      </c>
      <c r="G1683" s="24"/>
      <c r="H1683" s="563"/>
      <c r="I1683" s="383" t="s">
        <v>2246</v>
      </c>
      <c r="J1683" s="561" t="s">
        <v>1407</v>
      </c>
      <c r="K1683" s="322" t="s">
        <v>2240</v>
      </c>
      <c r="L1683" s="358" t="s">
        <v>2247</v>
      </c>
      <c r="M1683" s="325" t="s">
        <v>2186</v>
      </c>
      <c r="N1683" s="355"/>
      <c r="O1683" s="352"/>
      <c r="T1683" s="382" t="str">
        <f t="shared" si="266"/>
        <v>階別用途別床面積-5-塔屋 4階</v>
      </c>
      <c r="V1683" s="202"/>
      <c r="W1683" s="202"/>
      <c r="X1683" s="202"/>
    </row>
    <row r="1684" spans="2:24">
      <c r="B1684" s="4"/>
      <c r="C1684" s="4"/>
      <c r="D1684" s="107">
        <f>'2_入力シート【用途面積】'!$O22</f>
        <v>0</v>
      </c>
      <c r="E1684" s="564">
        <f>'2_入力シート【用途面積】'!$O22</f>
        <v>0</v>
      </c>
      <c r="F1684" s="564" t="str">
        <f t="shared" si="267"/>
        <v>0</v>
      </c>
      <c r="G1684" s="24"/>
      <c r="H1684" s="563"/>
      <c r="I1684" s="383" t="s">
        <v>2246</v>
      </c>
      <c r="J1684" s="561" t="s">
        <v>1407</v>
      </c>
      <c r="K1684" s="322" t="s">
        <v>2240</v>
      </c>
      <c r="L1684" s="358" t="s">
        <v>2247</v>
      </c>
      <c r="M1684" s="325" t="s">
        <v>2187</v>
      </c>
      <c r="N1684" s="355"/>
      <c r="O1684" s="352"/>
      <c r="T1684" s="382" t="str">
        <f t="shared" si="266"/>
        <v>階別用途別床面積-5-塔屋 5階</v>
      </c>
      <c r="V1684" s="202"/>
      <c r="W1684" s="202"/>
      <c r="X1684" s="202"/>
    </row>
    <row r="1685" spans="2:24">
      <c r="B1685" s="4"/>
      <c r="C1685" s="4"/>
      <c r="D1685" s="107">
        <f>'2_入力シート【用途面積】'!$O23</f>
        <v>0</v>
      </c>
      <c r="E1685" s="564">
        <f>'2_入力シート【用途面積】'!$O23</f>
        <v>0</v>
      </c>
      <c r="F1685" s="564" t="str">
        <f t="shared" si="267"/>
        <v>0</v>
      </c>
      <c r="G1685" s="24"/>
      <c r="H1685" s="563"/>
      <c r="I1685" s="383" t="s">
        <v>2246</v>
      </c>
      <c r="J1685" s="561" t="s">
        <v>1407</v>
      </c>
      <c r="K1685" s="322" t="s">
        <v>2240</v>
      </c>
      <c r="L1685" s="358" t="s">
        <v>2247</v>
      </c>
      <c r="M1685" s="325" t="s">
        <v>2188</v>
      </c>
      <c r="N1685" s="355"/>
      <c r="O1685" s="352"/>
      <c r="T1685" s="382" t="str">
        <f t="shared" si="266"/>
        <v>階別用途別床面積-5-1階</v>
      </c>
      <c r="V1685" s="202"/>
      <c r="W1685" s="202"/>
      <c r="X1685" s="202"/>
    </row>
    <row r="1686" spans="2:24">
      <c r="B1686" s="4"/>
      <c r="C1686" s="4"/>
      <c r="D1686" s="107">
        <f>'2_入力シート【用途面積】'!$O24</f>
        <v>0</v>
      </c>
      <c r="E1686" s="564">
        <f>'2_入力シート【用途面積】'!$O24</f>
        <v>0</v>
      </c>
      <c r="F1686" s="564" t="str">
        <f t="shared" si="267"/>
        <v>0</v>
      </c>
      <c r="G1686" s="24"/>
      <c r="H1686" s="563"/>
      <c r="I1686" s="383" t="s">
        <v>2246</v>
      </c>
      <c r="J1686" s="561" t="s">
        <v>1407</v>
      </c>
      <c r="K1686" s="322" t="s">
        <v>2240</v>
      </c>
      <c r="L1686" s="358" t="s">
        <v>2247</v>
      </c>
      <c r="M1686" s="325" t="s">
        <v>2189</v>
      </c>
      <c r="N1686" s="355"/>
      <c r="O1686" s="352"/>
      <c r="T1686" s="382" t="str">
        <f t="shared" si="266"/>
        <v>階別用途別床面積-5-2階</v>
      </c>
      <c r="V1686" s="202"/>
      <c r="W1686" s="202"/>
      <c r="X1686" s="202"/>
    </row>
    <row r="1687" spans="2:24">
      <c r="B1687" s="4"/>
      <c r="C1687" s="4"/>
      <c r="D1687" s="107">
        <f>'2_入力シート【用途面積】'!$O25</f>
        <v>0</v>
      </c>
      <c r="E1687" s="564">
        <f>'2_入力シート【用途面積】'!$O25</f>
        <v>0</v>
      </c>
      <c r="F1687" s="564" t="str">
        <f t="shared" si="267"/>
        <v>0</v>
      </c>
      <c r="G1687" s="24"/>
      <c r="H1687" s="563"/>
      <c r="I1687" s="383" t="s">
        <v>2246</v>
      </c>
      <c r="J1687" s="561" t="s">
        <v>1407</v>
      </c>
      <c r="K1687" s="322" t="s">
        <v>2240</v>
      </c>
      <c r="L1687" s="358" t="s">
        <v>2247</v>
      </c>
      <c r="M1687" s="325" t="s">
        <v>2190</v>
      </c>
      <c r="N1687" s="355"/>
      <c r="O1687" s="352"/>
      <c r="T1687" s="382" t="str">
        <f t="shared" si="266"/>
        <v>階別用途別床面積-5-3階</v>
      </c>
      <c r="V1687" s="202"/>
      <c r="W1687" s="202"/>
      <c r="X1687" s="202"/>
    </row>
    <row r="1688" spans="2:24">
      <c r="B1688" s="4"/>
      <c r="C1688" s="4"/>
      <c r="D1688" s="107">
        <f>'2_入力シート【用途面積】'!$O26</f>
        <v>0</v>
      </c>
      <c r="E1688" s="564">
        <f>'2_入力シート【用途面積】'!$O26</f>
        <v>0</v>
      </c>
      <c r="F1688" s="564" t="str">
        <f t="shared" si="267"/>
        <v>0</v>
      </c>
      <c r="G1688" s="24"/>
      <c r="H1688" s="563"/>
      <c r="I1688" s="383" t="s">
        <v>2246</v>
      </c>
      <c r="J1688" s="561" t="s">
        <v>1407</v>
      </c>
      <c r="K1688" s="322" t="s">
        <v>2240</v>
      </c>
      <c r="L1688" s="358" t="s">
        <v>2247</v>
      </c>
      <c r="M1688" s="325" t="s">
        <v>2191</v>
      </c>
      <c r="N1688" s="355"/>
      <c r="O1688" s="352"/>
      <c r="T1688" s="382" t="str">
        <f t="shared" si="266"/>
        <v>階別用途別床面積-5-4階</v>
      </c>
      <c r="V1688" s="202"/>
      <c r="W1688" s="202"/>
      <c r="X1688" s="202"/>
    </row>
    <row r="1689" spans="2:24">
      <c r="B1689" s="4"/>
      <c r="C1689" s="4"/>
      <c r="D1689" s="107">
        <f>'2_入力シート【用途面積】'!$O27</f>
        <v>0</v>
      </c>
      <c r="E1689" s="564">
        <f>'2_入力シート【用途面積】'!$O27</f>
        <v>0</v>
      </c>
      <c r="F1689" s="564" t="str">
        <f t="shared" si="267"/>
        <v>0</v>
      </c>
      <c r="G1689" s="24"/>
      <c r="H1689" s="563"/>
      <c r="I1689" s="383" t="s">
        <v>2246</v>
      </c>
      <c r="J1689" s="561" t="s">
        <v>1407</v>
      </c>
      <c r="K1689" s="322" t="s">
        <v>2240</v>
      </c>
      <c r="L1689" s="358" t="s">
        <v>2247</v>
      </c>
      <c r="M1689" s="325" t="s">
        <v>2192</v>
      </c>
      <c r="N1689" s="355"/>
      <c r="O1689" s="352"/>
      <c r="T1689" s="382" t="str">
        <f t="shared" si="266"/>
        <v>階別用途別床面積-5-5階</v>
      </c>
      <c r="V1689" s="202"/>
      <c r="W1689" s="202"/>
      <c r="X1689" s="202"/>
    </row>
    <row r="1690" spans="2:24">
      <c r="B1690" s="4"/>
      <c r="C1690" s="4"/>
      <c r="D1690" s="107">
        <f>'2_入力シート【用途面積】'!$O28</f>
        <v>0</v>
      </c>
      <c r="E1690" s="564">
        <f>'2_入力シート【用途面積】'!$O28</f>
        <v>0</v>
      </c>
      <c r="F1690" s="564" t="str">
        <f t="shared" si="267"/>
        <v>0</v>
      </c>
      <c r="G1690" s="24"/>
      <c r="H1690" s="563"/>
      <c r="I1690" s="383" t="s">
        <v>2246</v>
      </c>
      <c r="J1690" s="561" t="s">
        <v>1407</v>
      </c>
      <c r="K1690" s="322" t="s">
        <v>2240</v>
      </c>
      <c r="L1690" s="358" t="s">
        <v>2247</v>
      </c>
      <c r="M1690" s="325" t="s">
        <v>2193</v>
      </c>
      <c r="N1690" s="355"/>
      <c r="O1690" s="352"/>
      <c r="T1690" s="382" t="str">
        <f t="shared" si="266"/>
        <v>階別用途別床面積-5-6階</v>
      </c>
      <c r="V1690" s="202"/>
      <c r="W1690" s="202"/>
      <c r="X1690" s="202"/>
    </row>
    <row r="1691" spans="2:24">
      <c r="B1691" s="4"/>
      <c r="C1691" s="4"/>
      <c r="D1691" s="107">
        <f>'2_入力シート【用途面積】'!$O29</f>
        <v>0</v>
      </c>
      <c r="E1691" s="564">
        <f>'2_入力シート【用途面積】'!$O29</f>
        <v>0</v>
      </c>
      <c r="F1691" s="564" t="str">
        <f t="shared" si="267"/>
        <v>0</v>
      </c>
      <c r="G1691" s="24"/>
      <c r="H1691" s="563"/>
      <c r="I1691" s="383" t="s">
        <v>2246</v>
      </c>
      <c r="J1691" s="561" t="s">
        <v>1407</v>
      </c>
      <c r="K1691" s="322" t="s">
        <v>2240</v>
      </c>
      <c r="L1691" s="358" t="s">
        <v>2247</v>
      </c>
      <c r="M1691" s="325" t="s">
        <v>2194</v>
      </c>
      <c r="N1691" s="355"/>
      <c r="O1691" s="352"/>
      <c r="T1691" s="382" t="str">
        <f t="shared" si="266"/>
        <v>階別用途別床面積-5-7階</v>
      </c>
      <c r="V1691" s="202"/>
      <c r="W1691" s="202"/>
      <c r="X1691" s="202"/>
    </row>
    <row r="1692" spans="2:24">
      <c r="B1692" s="4"/>
      <c r="C1692" s="4"/>
      <c r="D1692" s="107">
        <f>'2_入力シート【用途面積】'!$O30</f>
        <v>0</v>
      </c>
      <c r="E1692" s="564">
        <f>'2_入力シート【用途面積】'!$O30</f>
        <v>0</v>
      </c>
      <c r="F1692" s="564" t="str">
        <f t="shared" si="267"/>
        <v>0</v>
      </c>
      <c r="G1692" s="24"/>
      <c r="H1692" s="563"/>
      <c r="I1692" s="383" t="s">
        <v>2246</v>
      </c>
      <c r="J1692" s="561" t="s">
        <v>1407</v>
      </c>
      <c r="K1692" s="322" t="s">
        <v>2240</v>
      </c>
      <c r="L1692" s="358" t="s">
        <v>2247</v>
      </c>
      <c r="M1692" s="325" t="s">
        <v>2195</v>
      </c>
      <c r="N1692" s="355"/>
      <c r="O1692" s="352"/>
      <c r="T1692" s="382" t="str">
        <f t="shared" si="266"/>
        <v>階別用途別床面積-5-8階</v>
      </c>
      <c r="V1692" s="202"/>
      <c r="W1692" s="202"/>
      <c r="X1692" s="202"/>
    </row>
    <row r="1693" spans="2:24">
      <c r="B1693" s="4"/>
      <c r="C1693" s="4"/>
      <c r="D1693" s="107">
        <f>'2_入力シート【用途面積】'!$O31</f>
        <v>0</v>
      </c>
      <c r="E1693" s="564">
        <f>'2_入力シート【用途面積】'!$O31</f>
        <v>0</v>
      </c>
      <c r="F1693" s="564" t="str">
        <f t="shared" si="267"/>
        <v>0</v>
      </c>
      <c r="G1693" s="24"/>
      <c r="H1693" s="563"/>
      <c r="I1693" s="383" t="s">
        <v>2246</v>
      </c>
      <c r="J1693" s="561" t="s">
        <v>1407</v>
      </c>
      <c r="K1693" s="322" t="s">
        <v>2240</v>
      </c>
      <c r="L1693" s="358" t="s">
        <v>2247</v>
      </c>
      <c r="M1693" s="325" t="s">
        <v>2196</v>
      </c>
      <c r="N1693" s="355"/>
      <c r="O1693" s="352"/>
      <c r="T1693" s="382" t="str">
        <f t="shared" si="266"/>
        <v>階別用途別床面積-5-9階</v>
      </c>
      <c r="V1693" s="202"/>
      <c r="W1693" s="202"/>
      <c r="X1693" s="202"/>
    </row>
    <row r="1694" spans="2:24">
      <c r="B1694" s="4"/>
      <c r="C1694" s="4"/>
      <c r="D1694" s="107">
        <f>'2_入力シート【用途面積】'!$O32</f>
        <v>0</v>
      </c>
      <c r="E1694" s="564">
        <f>'2_入力シート【用途面積】'!$O32</f>
        <v>0</v>
      </c>
      <c r="F1694" s="564" t="str">
        <f t="shared" si="267"/>
        <v>0</v>
      </c>
      <c r="G1694" s="24"/>
      <c r="H1694" s="563"/>
      <c r="I1694" s="383" t="s">
        <v>2246</v>
      </c>
      <c r="J1694" s="561" t="s">
        <v>1407</v>
      </c>
      <c r="K1694" s="322" t="s">
        <v>2240</v>
      </c>
      <c r="L1694" s="358" t="s">
        <v>2247</v>
      </c>
      <c r="M1694" s="325" t="s">
        <v>2197</v>
      </c>
      <c r="N1694" s="355"/>
      <c r="O1694" s="352"/>
      <c r="T1694" s="382" t="str">
        <f t="shared" si="266"/>
        <v>階別用途別床面積-5-10階</v>
      </c>
      <c r="V1694" s="202"/>
      <c r="W1694" s="202"/>
      <c r="X1694" s="202"/>
    </row>
    <row r="1695" spans="2:24">
      <c r="B1695" s="4"/>
      <c r="C1695" s="4"/>
      <c r="D1695" s="107">
        <f>'2_入力シート【用途面積】'!$O33</f>
        <v>0</v>
      </c>
      <c r="E1695" s="564">
        <f>'2_入力シート【用途面積】'!$O33</f>
        <v>0</v>
      </c>
      <c r="F1695" s="564" t="str">
        <f t="shared" si="267"/>
        <v>0</v>
      </c>
      <c r="G1695" s="24"/>
      <c r="H1695" s="563"/>
      <c r="I1695" s="383" t="s">
        <v>2246</v>
      </c>
      <c r="J1695" s="561" t="s">
        <v>1407</v>
      </c>
      <c r="K1695" s="322" t="s">
        <v>2240</v>
      </c>
      <c r="L1695" s="358" t="s">
        <v>2247</v>
      </c>
      <c r="M1695" s="325" t="s">
        <v>2198</v>
      </c>
      <c r="N1695" s="355"/>
      <c r="O1695" s="352"/>
      <c r="T1695" s="382" t="str">
        <f t="shared" si="266"/>
        <v>階別用途別床面積-5-11階</v>
      </c>
      <c r="V1695" s="202"/>
      <c r="W1695" s="202"/>
      <c r="X1695" s="202"/>
    </row>
    <row r="1696" spans="2:24">
      <c r="B1696" s="4"/>
      <c r="C1696" s="4"/>
      <c r="D1696" s="107">
        <f>'2_入力シート【用途面積】'!$O34</f>
        <v>0</v>
      </c>
      <c r="E1696" s="564">
        <f>'2_入力シート【用途面積】'!$O34</f>
        <v>0</v>
      </c>
      <c r="F1696" s="564" t="str">
        <f t="shared" si="267"/>
        <v>0</v>
      </c>
      <c r="G1696" s="24"/>
      <c r="H1696" s="563"/>
      <c r="I1696" s="383" t="s">
        <v>2246</v>
      </c>
      <c r="J1696" s="561" t="s">
        <v>1407</v>
      </c>
      <c r="K1696" s="322" t="s">
        <v>2240</v>
      </c>
      <c r="L1696" s="358" t="s">
        <v>2247</v>
      </c>
      <c r="M1696" s="325" t="s">
        <v>2199</v>
      </c>
      <c r="N1696" s="355"/>
      <c r="O1696" s="352"/>
      <c r="T1696" s="382" t="str">
        <f t="shared" si="266"/>
        <v>階別用途別床面積-5-12階</v>
      </c>
      <c r="V1696" s="202"/>
      <c r="W1696" s="202"/>
      <c r="X1696" s="202"/>
    </row>
    <row r="1697" spans="2:24">
      <c r="B1697" s="4"/>
      <c r="C1697" s="4"/>
      <c r="D1697" s="107">
        <f>'2_入力シート【用途面積】'!$O35</f>
        <v>0</v>
      </c>
      <c r="E1697" s="564">
        <f>'2_入力シート【用途面積】'!$O35</f>
        <v>0</v>
      </c>
      <c r="F1697" s="564" t="str">
        <f t="shared" si="267"/>
        <v>0</v>
      </c>
      <c r="G1697" s="24"/>
      <c r="H1697" s="563"/>
      <c r="I1697" s="383" t="s">
        <v>2246</v>
      </c>
      <c r="J1697" s="561" t="s">
        <v>1407</v>
      </c>
      <c r="K1697" s="322" t="s">
        <v>2240</v>
      </c>
      <c r="L1697" s="358" t="s">
        <v>2247</v>
      </c>
      <c r="M1697" s="325" t="s">
        <v>2200</v>
      </c>
      <c r="N1697" s="355"/>
      <c r="O1697" s="352"/>
      <c r="T1697" s="382" t="str">
        <f t="shared" si="266"/>
        <v>階別用途別床面積-5-13階</v>
      </c>
      <c r="V1697" s="202"/>
      <c r="W1697" s="202"/>
      <c r="X1697" s="202"/>
    </row>
    <row r="1698" spans="2:24">
      <c r="B1698" s="4"/>
      <c r="C1698" s="4"/>
      <c r="D1698" s="107">
        <f>'2_入力シート【用途面積】'!$O36</f>
        <v>0</v>
      </c>
      <c r="E1698" s="564">
        <f>'2_入力シート【用途面積】'!$O36</f>
        <v>0</v>
      </c>
      <c r="F1698" s="564" t="str">
        <f t="shared" si="267"/>
        <v>0</v>
      </c>
      <c r="G1698" s="24"/>
      <c r="H1698" s="563"/>
      <c r="I1698" s="383" t="s">
        <v>2246</v>
      </c>
      <c r="J1698" s="561" t="s">
        <v>1407</v>
      </c>
      <c r="K1698" s="322" t="s">
        <v>2240</v>
      </c>
      <c r="L1698" s="358" t="s">
        <v>2247</v>
      </c>
      <c r="M1698" s="325" t="s">
        <v>2201</v>
      </c>
      <c r="N1698" s="355"/>
      <c r="O1698" s="352"/>
      <c r="T1698" s="382" t="str">
        <f t="shared" si="266"/>
        <v>階別用途別床面積-5-14階</v>
      </c>
      <c r="V1698" s="202"/>
      <c r="W1698" s="202"/>
      <c r="X1698" s="202"/>
    </row>
    <row r="1699" spans="2:24">
      <c r="B1699" s="4"/>
      <c r="C1699" s="4"/>
      <c r="D1699" s="107">
        <f>'2_入力シート【用途面積】'!$O37</f>
        <v>0</v>
      </c>
      <c r="E1699" s="564">
        <f>'2_入力シート【用途面積】'!$O37</f>
        <v>0</v>
      </c>
      <c r="F1699" s="564" t="str">
        <f t="shared" si="267"/>
        <v>0</v>
      </c>
      <c r="G1699" s="24"/>
      <c r="H1699" s="563"/>
      <c r="I1699" s="383" t="s">
        <v>2246</v>
      </c>
      <c r="J1699" s="561" t="s">
        <v>1407</v>
      </c>
      <c r="K1699" s="322" t="s">
        <v>2240</v>
      </c>
      <c r="L1699" s="358" t="s">
        <v>2247</v>
      </c>
      <c r="M1699" s="325" t="s">
        <v>2202</v>
      </c>
      <c r="N1699" s="355"/>
      <c r="O1699" s="352"/>
      <c r="T1699" s="382" t="str">
        <f t="shared" si="266"/>
        <v>階別用途別床面積-5-15階</v>
      </c>
      <c r="V1699" s="202"/>
      <c r="W1699" s="202"/>
      <c r="X1699" s="202"/>
    </row>
    <row r="1700" spans="2:24">
      <c r="B1700" s="4"/>
      <c r="C1700" s="4"/>
      <c r="D1700" s="107">
        <f>'2_入力シート【用途面積】'!$O38</f>
        <v>0</v>
      </c>
      <c r="E1700" s="564">
        <f>'2_入力シート【用途面積】'!$O38</f>
        <v>0</v>
      </c>
      <c r="F1700" s="564" t="str">
        <f t="shared" si="267"/>
        <v>0</v>
      </c>
      <c r="G1700" s="24"/>
      <c r="H1700" s="563"/>
      <c r="I1700" s="383" t="s">
        <v>2246</v>
      </c>
      <c r="J1700" s="561" t="s">
        <v>1407</v>
      </c>
      <c r="K1700" s="322" t="s">
        <v>2240</v>
      </c>
      <c r="L1700" s="358" t="s">
        <v>2247</v>
      </c>
      <c r="M1700" s="325" t="s">
        <v>2203</v>
      </c>
      <c r="N1700" s="355"/>
      <c r="O1700" s="352"/>
      <c r="T1700" s="382" t="str">
        <f t="shared" si="266"/>
        <v>階別用途別床面積-5-16階</v>
      </c>
      <c r="V1700" s="202"/>
      <c r="W1700" s="202"/>
      <c r="X1700" s="202"/>
    </row>
    <row r="1701" spans="2:24">
      <c r="B1701" s="4"/>
      <c r="C1701" s="4"/>
      <c r="D1701" s="107">
        <f>'2_入力シート【用途面積】'!$O39</f>
        <v>0</v>
      </c>
      <c r="E1701" s="564">
        <f>'2_入力シート【用途面積】'!$O39</f>
        <v>0</v>
      </c>
      <c r="F1701" s="564" t="str">
        <f t="shared" si="267"/>
        <v>0</v>
      </c>
      <c r="G1701" s="24"/>
      <c r="H1701" s="563"/>
      <c r="I1701" s="383" t="s">
        <v>2246</v>
      </c>
      <c r="J1701" s="561" t="s">
        <v>1407</v>
      </c>
      <c r="K1701" s="322" t="s">
        <v>2240</v>
      </c>
      <c r="L1701" s="358" t="s">
        <v>2247</v>
      </c>
      <c r="M1701" s="325" t="s">
        <v>2204</v>
      </c>
      <c r="N1701" s="355"/>
      <c r="O1701" s="352"/>
      <c r="T1701" s="382" t="str">
        <f t="shared" si="266"/>
        <v>階別用途別床面積-5-17階</v>
      </c>
      <c r="V1701" s="202"/>
      <c r="W1701" s="202"/>
      <c r="X1701" s="202"/>
    </row>
    <row r="1702" spans="2:24">
      <c r="B1702" s="4"/>
      <c r="C1702" s="4"/>
      <c r="D1702" s="107">
        <f>'2_入力シート【用途面積】'!$O40</f>
        <v>0</v>
      </c>
      <c r="E1702" s="564">
        <f>'2_入力シート【用途面積】'!$O40</f>
        <v>0</v>
      </c>
      <c r="F1702" s="564" t="str">
        <f t="shared" si="267"/>
        <v>0</v>
      </c>
      <c r="G1702" s="24"/>
      <c r="H1702" s="563"/>
      <c r="I1702" s="383" t="s">
        <v>2246</v>
      </c>
      <c r="J1702" s="561" t="s">
        <v>1407</v>
      </c>
      <c r="K1702" s="322" t="s">
        <v>2240</v>
      </c>
      <c r="L1702" s="358" t="s">
        <v>2247</v>
      </c>
      <c r="M1702" s="325" t="s">
        <v>2205</v>
      </c>
      <c r="N1702" s="355"/>
      <c r="O1702" s="352"/>
      <c r="T1702" s="382" t="str">
        <f t="shared" ref="T1702:T1766" si="268">CONCATENATE(H1702,I1702,J1702,K1702,L1702,M1702,N1702,O1702,P1702,Q1702)</f>
        <v>階別用途別床面積-5-18階</v>
      </c>
      <c r="V1702" s="202"/>
      <c r="W1702" s="202"/>
      <c r="X1702" s="202"/>
    </row>
    <row r="1703" spans="2:24">
      <c r="B1703" s="4"/>
      <c r="C1703" s="4"/>
      <c r="D1703" s="107">
        <f>'2_入力シート【用途面積】'!$O41</f>
        <v>0</v>
      </c>
      <c r="E1703" s="564">
        <f>'2_入力シート【用途面積】'!$O41</f>
        <v>0</v>
      </c>
      <c r="F1703" s="564" t="str">
        <f t="shared" si="267"/>
        <v>0</v>
      </c>
      <c r="G1703" s="24"/>
      <c r="H1703" s="563"/>
      <c r="I1703" s="383" t="s">
        <v>2246</v>
      </c>
      <c r="J1703" s="561" t="s">
        <v>1407</v>
      </c>
      <c r="K1703" s="322" t="s">
        <v>2240</v>
      </c>
      <c r="L1703" s="358" t="s">
        <v>2247</v>
      </c>
      <c r="M1703" s="325" t="s">
        <v>2206</v>
      </c>
      <c r="N1703" s="355"/>
      <c r="O1703" s="352"/>
      <c r="T1703" s="382" t="str">
        <f t="shared" si="268"/>
        <v>階別用途別床面積-5-19階</v>
      </c>
      <c r="V1703" s="202"/>
      <c r="W1703" s="202"/>
      <c r="X1703" s="202"/>
    </row>
    <row r="1704" spans="2:24">
      <c r="B1704" s="4"/>
      <c r="C1704" s="4"/>
      <c r="D1704" s="107">
        <f>'2_入力シート【用途面積】'!$O42</f>
        <v>0</v>
      </c>
      <c r="E1704" s="564">
        <f>'2_入力シート【用途面積】'!$O42</f>
        <v>0</v>
      </c>
      <c r="F1704" s="564" t="str">
        <f t="shared" si="267"/>
        <v>0</v>
      </c>
      <c r="G1704" s="24"/>
      <c r="H1704" s="563"/>
      <c r="I1704" s="383" t="s">
        <v>2246</v>
      </c>
      <c r="J1704" s="561" t="s">
        <v>1407</v>
      </c>
      <c r="K1704" s="322" t="s">
        <v>2240</v>
      </c>
      <c r="L1704" s="358" t="s">
        <v>2247</v>
      </c>
      <c r="M1704" s="325" t="s">
        <v>2207</v>
      </c>
      <c r="N1704" s="355"/>
      <c r="O1704" s="352"/>
      <c r="T1704" s="382" t="str">
        <f t="shared" si="268"/>
        <v>階別用途別床面積-5-20階</v>
      </c>
      <c r="V1704" s="202"/>
      <c r="W1704" s="202"/>
      <c r="X1704" s="202"/>
    </row>
    <row r="1705" spans="2:24">
      <c r="B1705" s="4"/>
      <c r="C1705" s="4"/>
      <c r="D1705" s="107">
        <f>'2_入力シート【用途面積】'!$O43</f>
        <v>0</v>
      </c>
      <c r="E1705" s="564">
        <f>'2_入力シート【用途面積】'!$O43</f>
        <v>0</v>
      </c>
      <c r="F1705" s="564" t="str">
        <f t="shared" si="267"/>
        <v>0</v>
      </c>
      <c r="G1705" s="24"/>
      <c r="H1705" s="563"/>
      <c r="I1705" s="383" t="s">
        <v>2246</v>
      </c>
      <c r="J1705" s="561" t="s">
        <v>1407</v>
      </c>
      <c r="K1705" s="322" t="s">
        <v>2240</v>
      </c>
      <c r="L1705" s="358" t="s">
        <v>2247</v>
      </c>
      <c r="M1705" s="325" t="s">
        <v>2208</v>
      </c>
      <c r="N1705" s="355"/>
      <c r="O1705" s="352"/>
      <c r="T1705" s="382" t="str">
        <f t="shared" si="268"/>
        <v>階別用途別床面積-5-21階</v>
      </c>
      <c r="V1705" s="202"/>
      <c r="W1705" s="202"/>
      <c r="X1705" s="202"/>
    </row>
    <row r="1706" spans="2:24">
      <c r="B1706" s="4"/>
      <c r="C1706" s="4"/>
      <c r="D1706" s="107">
        <f>'2_入力シート【用途面積】'!$O44</f>
        <v>0</v>
      </c>
      <c r="E1706" s="564">
        <f>'2_入力シート【用途面積】'!$O44</f>
        <v>0</v>
      </c>
      <c r="F1706" s="564" t="str">
        <f t="shared" si="267"/>
        <v>0</v>
      </c>
      <c r="G1706" s="24"/>
      <c r="H1706" s="563"/>
      <c r="I1706" s="383" t="s">
        <v>2246</v>
      </c>
      <c r="J1706" s="561" t="s">
        <v>1407</v>
      </c>
      <c r="K1706" s="322" t="s">
        <v>2240</v>
      </c>
      <c r="L1706" s="358" t="s">
        <v>2247</v>
      </c>
      <c r="M1706" s="325" t="s">
        <v>2209</v>
      </c>
      <c r="N1706" s="355"/>
      <c r="O1706" s="352"/>
      <c r="T1706" s="382" t="str">
        <f t="shared" si="268"/>
        <v>階別用途別床面積-5-22階</v>
      </c>
      <c r="V1706" s="202"/>
      <c r="W1706" s="202"/>
      <c r="X1706" s="202"/>
    </row>
    <row r="1707" spans="2:24">
      <c r="B1707" s="4"/>
      <c r="C1707" s="4"/>
      <c r="D1707" s="107">
        <f>'2_入力シート【用途面積】'!$O45</f>
        <v>0</v>
      </c>
      <c r="E1707" s="564">
        <f>'2_入力シート【用途面積】'!$O45</f>
        <v>0</v>
      </c>
      <c r="F1707" s="564" t="str">
        <f t="shared" si="267"/>
        <v>0</v>
      </c>
      <c r="G1707" s="24"/>
      <c r="H1707" s="563"/>
      <c r="I1707" s="383" t="s">
        <v>2246</v>
      </c>
      <c r="J1707" s="561" t="s">
        <v>1407</v>
      </c>
      <c r="K1707" s="322" t="s">
        <v>2240</v>
      </c>
      <c r="L1707" s="358" t="s">
        <v>2247</v>
      </c>
      <c r="M1707" s="325" t="s">
        <v>2210</v>
      </c>
      <c r="N1707" s="355"/>
      <c r="O1707" s="352"/>
      <c r="T1707" s="382" t="str">
        <f t="shared" si="268"/>
        <v>階別用途別床面積-5-23階</v>
      </c>
      <c r="V1707" s="202"/>
      <c r="W1707" s="202"/>
      <c r="X1707" s="202"/>
    </row>
    <row r="1708" spans="2:24">
      <c r="B1708" s="4"/>
      <c r="C1708" s="4"/>
      <c r="D1708" s="107">
        <f>'2_入力シート【用途面積】'!$O46</f>
        <v>0</v>
      </c>
      <c r="E1708" s="564">
        <f>'2_入力シート【用途面積】'!$O46</f>
        <v>0</v>
      </c>
      <c r="F1708" s="564" t="str">
        <f t="shared" si="267"/>
        <v>0</v>
      </c>
      <c r="G1708" s="24"/>
      <c r="H1708" s="563"/>
      <c r="I1708" s="383" t="s">
        <v>2246</v>
      </c>
      <c r="J1708" s="561" t="s">
        <v>1407</v>
      </c>
      <c r="K1708" s="322" t="s">
        <v>2240</v>
      </c>
      <c r="L1708" s="358" t="s">
        <v>2247</v>
      </c>
      <c r="M1708" s="325" t="s">
        <v>2211</v>
      </c>
      <c r="N1708" s="355"/>
      <c r="O1708" s="352"/>
      <c r="T1708" s="382" t="str">
        <f t="shared" si="268"/>
        <v>階別用途別床面積-5-24階</v>
      </c>
      <c r="V1708" s="202"/>
      <c r="W1708" s="202"/>
      <c r="X1708" s="202"/>
    </row>
    <row r="1709" spans="2:24">
      <c r="B1709" s="4"/>
      <c r="C1709" s="4"/>
      <c r="D1709" s="107">
        <f>'2_入力シート【用途面積】'!$O47</f>
        <v>0</v>
      </c>
      <c r="E1709" s="564">
        <f>'2_入力シート【用途面積】'!$O47</f>
        <v>0</v>
      </c>
      <c r="F1709" s="564" t="str">
        <f t="shared" si="267"/>
        <v>0</v>
      </c>
      <c r="G1709" s="24"/>
      <c r="H1709" s="563"/>
      <c r="I1709" s="383" t="s">
        <v>2246</v>
      </c>
      <c r="J1709" s="561" t="s">
        <v>1407</v>
      </c>
      <c r="K1709" s="322" t="s">
        <v>2240</v>
      </c>
      <c r="L1709" s="358" t="s">
        <v>2247</v>
      </c>
      <c r="M1709" s="325" t="s">
        <v>2212</v>
      </c>
      <c r="N1709" s="355"/>
      <c r="O1709" s="352"/>
      <c r="T1709" s="382" t="str">
        <f t="shared" si="268"/>
        <v>階別用途別床面積-5-25階</v>
      </c>
      <c r="V1709" s="202"/>
      <c r="W1709" s="202"/>
      <c r="X1709" s="202"/>
    </row>
    <row r="1710" spans="2:24">
      <c r="B1710" s="4"/>
      <c r="C1710" s="4"/>
      <c r="D1710" s="107">
        <f>'2_入力シート【用途面積】'!$O48</f>
        <v>0</v>
      </c>
      <c r="E1710" s="564">
        <f>'2_入力シート【用途面積】'!$O48</f>
        <v>0</v>
      </c>
      <c r="F1710" s="564" t="str">
        <f t="shared" si="267"/>
        <v>0</v>
      </c>
      <c r="G1710" s="24"/>
      <c r="H1710" s="563"/>
      <c r="I1710" s="383" t="s">
        <v>2246</v>
      </c>
      <c r="J1710" s="561" t="s">
        <v>1407</v>
      </c>
      <c r="K1710" s="322" t="s">
        <v>2240</v>
      </c>
      <c r="L1710" s="358" t="s">
        <v>2247</v>
      </c>
      <c r="M1710" s="325" t="s">
        <v>2213</v>
      </c>
      <c r="N1710" s="355"/>
      <c r="O1710" s="352"/>
      <c r="T1710" s="382" t="str">
        <f t="shared" si="268"/>
        <v>階別用途別床面積-5-26階</v>
      </c>
      <c r="V1710" s="202"/>
      <c r="W1710" s="202"/>
      <c r="X1710" s="202"/>
    </row>
    <row r="1711" spans="2:24">
      <c r="B1711" s="4"/>
      <c r="C1711" s="4"/>
      <c r="D1711" s="107">
        <f>'2_入力シート【用途面積】'!$O49</f>
        <v>0</v>
      </c>
      <c r="E1711" s="564">
        <f>'2_入力シート【用途面積】'!$O49</f>
        <v>0</v>
      </c>
      <c r="F1711" s="564" t="str">
        <f t="shared" si="267"/>
        <v>0</v>
      </c>
      <c r="G1711" s="24"/>
      <c r="H1711" s="563"/>
      <c r="I1711" s="383" t="s">
        <v>2246</v>
      </c>
      <c r="J1711" s="561" t="s">
        <v>1407</v>
      </c>
      <c r="K1711" s="322" t="s">
        <v>2240</v>
      </c>
      <c r="L1711" s="358" t="s">
        <v>2247</v>
      </c>
      <c r="M1711" s="325" t="s">
        <v>2214</v>
      </c>
      <c r="N1711" s="355"/>
      <c r="O1711" s="352"/>
      <c r="T1711" s="382" t="str">
        <f t="shared" si="268"/>
        <v>階別用途別床面積-5-27階</v>
      </c>
      <c r="V1711" s="202"/>
      <c r="W1711" s="202"/>
      <c r="X1711" s="202"/>
    </row>
    <row r="1712" spans="2:24">
      <c r="B1712" s="4"/>
      <c r="C1712" s="4"/>
      <c r="D1712" s="107">
        <f>'2_入力シート【用途面積】'!$O50</f>
        <v>0</v>
      </c>
      <c r="E1712" s="564">
        <f>'2_入力シート【用途面積】'!$O50</f>
        <v>0</v>
      </c>
      <c r="F1712" s="564" t="str">
        <f t="shared" si="267"/>
        <v>0</v>
      </c>
      <c r="G1712" s="24"/>
      <c r="H1712" s="563"/>
      <c r="I1712" s="383" t="s">
        <v>2246</v>
      </c>
      <c r="J1712" s="561" t="s">
        <v>1407</v>
      </c>
      <c r="K1712" s="322" t="s">
        <v>2240</v>
      </c>
      <c r="L1712" s="358" t="s">
        <v>2247</v>
      </c>
      <c r="M1712" s="325" t="s">
        <v>2215</v>
      </c>
      <c r="N1712" s="355"/>
      <c r="O1712" s="352"/>
      <c r="T1712" s="382" t="str">
        <f t="shared" si="268"/>
        <v>階別用途別床面積-5-28階</v>
      </c>
      <c r="V1712" s="202"/>
      <c r="W1712" s="202"/>
      <c r="X1712" s="202"/>
    </row>
    <row r="1713" spans="2:24">
      <c r="B1713" s="4"/>
      <c r="C1713" s="4"/>
      <c r="D1713" s="107">
        <f>'2_入力シート【用途面積】'!$O51</f>
        <v>0</v>
      </c>
      <c r="E1713" s="564">
        <f>'2_入力シート【用途面積】'!$O51</f>
        <v>0</v>
      </c>
      <c r="F1713" s="564" t="str">
        <f t="shared" si="267"/>
        <v>0</v>
      </c>
      <c r="G1713" s="24"/>
      <c r="H1713" s="563"/>
      <c r="I1713" s="383" t="s">
        <v>2246</v>
      </c>
      <c r="J1713" s="561" t="s">
        <v>1407</v>
      </c>
      <c r="K1713" s="322" t="s">
        <v>2240</v>
      </c>
      <c r="L1713" s="358" t="s">
        <v>2247</v>
      </c>
      <c r="M1713" s="325" t="s">
        <v>2216</v>
      </c>
      <c r="N1713" s="355"/>
      <c r="O1713" s="352"/>
      <c r="T1713" s="382" t="str">
        <f t="shared" si="268"/>
        <v>階別用途別床面積-5-29階</v>
      </c>
      <c r="V1713" s="202"/>
      <c r="W1713" s="202"/>
      <c r="X1713" s="202"/>
    </row>
    <row r="1714" spans="2:24">
      <c r="B1714" s="4"/>
      <c r="C1714" s="4"/>
      <c r="D1714" s="107">
        <f>'2_入力シート【用途面積】'!$O52</f>
        <v>0</v>
      </c>
      <c r="E1714" s="564">
        <f>'2_入力シート【用途面積】'!$O52</f>
        <v>0</v>
      </c>
      <c r="F1714" s="564" t="str">
        <f t="shared" si="267"/>
        <v>0</v>
      </c>
      <c r="G1714" s="24"/>
      <c r="H1714" s="563"/>
      <c r="I1714" s="383" t="s">
        <v>2246</v>
      </c>
      <c r="J1714" s="561" t="s">
        <v>1407</v>
      </c>
      <c r="K1714" s="322" t="s">
        <v>2240</v>
      </c>
      <c r="L1714" s="358" t="s">
        <v>2247</v>
      </c>
      <c r="M1714" s="325" t="s">
        <v>2217</v>
      </c>
      <c r="N1714" s="355"/>
      <c r="O1714" s="352"/>
      <c r="T1714" s="382" t="str">
        <f t="shared" si="268"/>
        <v>階別用途別床面積-5-30階</v>
      </c>
      <c r="V1714" s="202"/>
      <c r="W1714" s="202"/>
      <c r="X1714" s="202"/>
    </row>
    <row r="1715" spans="2:24">
      <c r="B1715" s="4"/>
      <c r="C1715" s="4"/>
      <c r="D1715" s="107">
        <f>'2_入力シート【用途面積】'!$O53</f>
        <v>0</v>
      </c>
      <c r="E1715" s="564">
        <f>'2_入力シート【用途面積】'!$O53</f>
        <v>0</v>
      </c>
      <c r="F1715" s="564" t="str">
        <f t="shared" si="267"/>
        <v>0</v>
      </c>
      <c r="G1715" s="24"/>
      <c r="H1715" s="563"/>
      <c r="I1715" s="383" t="s">
        <v>2246</v>
      </c>
      <c r="J1715" s="561" t="s">
        <v>1407</v>
      </c>
      <c r="K1715" s="322" t="s">
        <v>2240</v>
      </c>
      <c r="L1715" s="358" t="s">
        <v>2247</v>
      </c>
      <c r="M1715" s="325" t="s">
        <v>2218</v>
      </c>
      <c r="N1715" s="355"/>
      <c r="O1715" s="352"/>
      <c r="T1715" s="382" t="str">
        <f t="shared" si="268"/>
        <v>階別用途別床面積-5-31階</v>
      </c>
      <c r="V1715" s="202"/>
      <c r="W1715" s="202"/>
      <c r="X1715" s="202"/>
    </row>
    <row r="1716" spans="2:24">
      <c r="B1716" s="4"/>
      <c r="C1716" s="4"/>
      <c r="D1716" s="107">
        <f>'2_入力シート【用途面積】'!$O54</f>
        <v>0</v>
      </c>
      <c r="E1716" s="564">
        <f>'2_入力シート【用途面積】'!$O54</f>
        <v>0</v>
      </c>
      <c r="F1716" s="564" t="str">
        <f t="shared" si="267"/>
        <v>0</v>
      </c>
      <c r="G1716" s="24"/>
      <c r="H1716" s="563"/>
      <c r="I1716" s="383" t="s">
        <v>2246</v>
      </c>
      <c r="J1716" s="561" t="s">
        <v>1407</v>
      </c>
      <c r="K1716" s="322" t="s">
        <v>2240</v>
      </c>
      <c r="L1716" s="358" t="s">
        <v>2247</v>
      </c>
      <c r="M1716" s="325" t="s">
        <v>2219</v>
      </c>
      <c r="N1716" s="355"/>
      <c r="O1716" s="352"/>
      <c r="T1716" s="382" t="str">
        <f t="shared" si="268"/>
        <v>階別用途別床面積-5-32階</v>
      </c>
      <c r="V1716" s="202"/>
      <c r="W1716" s="202"/>
      <c r="X1716" s="202"/>
    </row>
    <row r="1717" spans="2:24">
      <c r="B1717" s="4"/>
      <c r="C1717" s="4"/>
      <c r="D1717" s="107">
        <f>'2_入力シート【用途面積】'!$O55</f>
        <v>0</v>
      </c>
      <c r="E1717" s="564">
        <f>'2_入力シート【用途面積】'!$O55</f>
        <v>0</v>
      </c>
      <c r="F1717" s="564" t="str">
        <f t="shared" si="267"/>
        <v>0</v>
      </c>
      <c r="G1717" s="24"/>
      <c r="H1717" s="563"/>
      <c r="I1717" s="383" t="s">
        <v>2246</v>
      </c>
      <c r="J1717" s="561" t="s">
        <v>1407</v>
      </c>
      <c r="K1717" s="322" t="s">
        <v>2240</v>
      </c>
      <c r="L1717" s="358" t="s">
        <v>2247</v>
      </c>
      <c r="M1717" s="325" t="s">
        <v>2220</v>
      </c>
      <c r="N1717" s="355"/>
      <c r="O1717" s="352"/>
      <c r="T1717" s="382" t="str">
        <f t="shared" si="268"/>
        <v>階別用途別床面積-5-33階</v>
      </c>
      <c r="V1717" s="202"/>
      <c r="W1717" s="202"/>
      <c r="X1717" s="202"/>
    </row>
    <row r="1718" spans="2:24">
      <c r="B1718" s="4"/>
      <c r="C1718" s="4"/>
      <c r="D1718" s="107">
        <f>'2_入力シート【用途面積】'!$O56</f>
        <v>0</v>
      </c>
      <c r="E1718" s="564">
        <f>'2_入力シート【用途面積】'!$O56</f>
        <v>0</v>
      </c>
      <c r="F1718" s="564" t="str">
        <f t="shared" si="267"/>
        <v>0</v>
      </c>
      <c r="G1718" s="24"/>
      <c r="H1718" s="563"/>
      <c r="I1718" s="383" t="s">
        <v>2246</v>
      </c>
      <c r="J1718" s="561" t="s">
        <v>1407</v>
      </c>
      <c r="K1718" s="322" t="s">
        <v>2240</v>
      </c>
      <c r="L1718" s="358" t="s">
        <v>2247</v>
      </c>
      <c r="M1718" s="325" t="s">
        <v>2221</v>
      </c>
      <c r="N1718" s="355"/>
      <c r="O1718" s="352"/>
      <c r="T1718" s="382" t="str">
        <f t="shared" si="268"/>
        <v>階別用途別床面積-5-34階</v>
      </c>
      <c r="V1718" s="202"/>
      <c r="W1718" s="202"/>
      <c r="X1718" s="202"/>
    </row>
    <row r="1719" spans="2:24">
      <c r="B1719" s="4"/>
      <c r="C1719" s="4"/>
      <c r="D1719" s="107">
        <f>'2_入力シート【用途面積】'!$O57</f>
        <v>0</v>
      </c>
      <c r="E1719" s="564">
        <f>'2_入力シート【用途面積】'!$O57</f>
        <v>0</v>
      </c>
      <c r="F1719" s="564" t="str">
        <f t="shared" si="267"/>
        <v>0</v>
      </c>
      <c r="G1719" s="24"/>
      <c r="H1719" s="563"/>
      <c r="I1719" s="383" t="s">
        <v>2246</v>
      </c>
      <c r="J1719" s="561" t="s">
        <v>1407</v>
      </c>
      <c r="K1719" s="322" t="s">
        <v>2240</v>
      </c>
      <c r="L1719" s="358" t="s">
        <v>2247</v>
      </c>
      <c r="M1719" s="325" t="s">
        <v>2222</v>
      </c>
      <c r="N1719" s="355"/>
      <c r="O1719" s="352"/>
      <c r="T1719" s="382" t="str">
        <f t="shared" si="268"/>
        <v>階別用途別床面積-5-35階</v>
      </c>
      <c r="V1719" s="202"/>
      <c r="W1719" s="202"/>
      <c r="X1719" s="202"/>
    </row>
    <row r="1720" spans="2:24">
      <c r="B1720" s="4"/>
      <c r="C1720" s="4"/>
      <c r="D1720" s="107">
        <f>'2_入力シート【用途面積】'!$O58</f>
        <v>0</v>
      </c>
      <c r="E1720" s="564">
        <f>'2_入力シート【用途面積】'!$O58</f>
        <v>0</v>
      </c>
      <c r="F1720" s="564" t="str">
        <f t="shared" si="267"/>
        <v>0</v>
      </c>
      <c r="G1720" s="24"/>
      <c r="H1720" s="563"/>
      <c r="I1720" s="383" t="s">
        <v>2246</v>
      </c>
      <c r="J1720" s="561" t="s">
        <v>1407</v>
      </c>
      <c r="K1720" s="322" t="s">
        <v>2240</v>
      </c>
      <c r="L1720" s="358" t="s">
        <v>2247</v>
      </c>
      <c r="M1720" s="325" t="s">
        <v>2223</v>
      </c>
      <c r="N1720" s="355"/>
      <c r="O1720" s="352"/>
      <c r="T1720" s="382" t="str">
        <f t="shared" si="268"/>
        <v>階別用途別床面積-5-36階</v>
      </c>
      <c r="V1720" s="202"/>
      <c r="W1720" s="202"/>
      <c r="X1720" s="202"/>
    </row>
    <row r="1721" spans="2:24">
      <c r="B1721" s="4"/>
      <c r="C1721" s="4"/>
      <c r="D1721" s="107">
        <f>'2_入力シート【用途面積】'!$O59</f>
        <v>0</v>
      </c>
      <c r="E1721" s="564">
        <f>'2_入力シート【用途面積】'!$O59</f>
        <v>0</v>
      </c>
      <c r="F1721" s="564" t="str">
        <f t="shared" si="267"/>
        <v>0</v>
      </c>
      <c r="G1721" s="24"/>
      <c r="H1721" s="563"/>
      <c r="I1721" s="383" t="s">
        <v>2246</v>
      </c>
      <c r="J1721" s="561" t="s">
        <v>1407</v>
      </c>
      <c r="K1721" s="322" t="s">
        <v>2240</v>
      </c>
      <c r="L1721" s="358" t="s">
        <v>2247</v>
      </c>
      <c r="M1721" s="325" t="s">
        <v>2224</v>
      </c>
      <c r="N1721" s="355"/>
      <c r="O1721" s="352"/>
      <c r="T1721" s="382" t="str">
        <f t="shared" si="268"/>
        <v>階別用途別床面積-5-37階</v>
      </c>
      <c r="V1721" s="202"/>
      <c r="W1721" s="202"/>
      <c r="X1721" s="202"/>
    </row>
    <row r="1722" spans="2:24">
      <c r="B1722" s="4"/>
      <c r="C1722" s="4"/>
      <c r="D1722" s="107">
        <f>'2_入力シート【用途面積】'!$O60</f>
        <v>0</v>
      </c>
      <c r="E1722" s="564">
        <f>'2_入力シート【用途面積】'!$O60</f>
        <v>0</v>
      </c>
      <c r="F1722" s="564" t="str">
        <f t="shared" si="267"/>
        <v>0</v>
      </c>
      <c r="G1722" s="24"/>
      <c r="H1722" s="563"/>
      <c r="I1722" s="383" t="s">
        <v>2246</v>
      </c>
      <c r="J1722" s="561" t="s">
        <v>1407</v>
      </c>
      <c r="K1722" s="322" t="s">
        <v>2240</v>
      </c>
      <c r="L1722" s="358" t="s">
        <v>2247</v>
      </c>
      <c r="M1722" s="325" t="s">
        <v>2225</v>
      </c>
      <c r="N1722" s="355"/>
      <c r="O1722" s="352"/>
      <c r="T1722" s="382" t="str">
        <f t="shared" si="268"/>
        <v>階別用途別床面積-5-38階</v>
      </c>
      <c r="V1722" s="202"/>
      <c r="W1722" s="202"/>
      <c r="X1722" s="202"/>
    </row>
    <row r="1723" spans="2:24">
      <c r="B1723" s="4"/>
      <c r="C1723" s="4"/>
      <c r="D1723" s="107">
        <f>'2_入力シート【用途面積】'!$O61</f>
        <v>0</v>
      </c>
      <c r="E1723" s="564">
        <f>'2_入力シート【用途面積】'!$O61</f>
        <v>0</v>
      </c>
      <c r="F1723" s="564" t="str">
        <f t="shared" si="267"/>
        <v>0</v>
      </c>
      <c r="G1723" s="24"/>
      <c r="H1723" s="563"/>
      <c r="I1723" s="383" t="s">
        <v>2246</v>
      </c>
      <c r="J1723" s="561" t="s">
        <v>1407</v>
      </c>
      <c r="K1723" s="322" t="s">
        <v>2240</v>
      </c>
      <c r="L1723" s="358" t="s">
        <v>2247</v>
      </c>
      <c r="M1723" s="325" t="s">
        <v>2226</v>
      </c>
      <c r="N1723" s="355"/>
      <c r="O1723" s="352"/>
      <c r="T1723" s="382" t="str">
        <f t="shared" si="268"/>
        <v>階別用途別床面積-5-39階</v>
      </c>
      <c r="V1723" s="202"/>
      <c r="W1723" s="202"/>
      <c r="X1723" s="202"/>
    </row>
    <row r="1724" spans="2:24">
      <c r="B1724" s="4"/>
      <c r="C1724" s="4"/>
      <c r="D1724" s="107">
        <f>'2_入力シート【用途面積】'!$O62</f>
        <v>0</v>
      </c>
      <c r="E1724" s="564">
        <f>'2_入力シート【用途面積】'!$O62</f>
        <v>0</v>
      </c>
      <c r="F1724" s="564" t="str">
        <f t="shared" si="267"/>
        <v>0</v>
      </c>
      <c r="G1724" s="24"/>
      <c r="H1724" s="563"/>
      <c r="I1724" s="383" t="s">
        <v>2246</v>
      </c>
      <c r="J1724" s="561" t="s">
        <v>1407</v>
      </c>
      <c r="K1724" s="322" t="s">
        <v>2240</v>
      </c>
      <c r="L1724" s="358" t="s">
        <v>2247</v>
      </c>
      <c r="M1724" s="325" t="s">
        <v>2227</v>
      </c>
      <c r="N1724" s="355"/>
      <c r="O1724" s="352"/>
      <c r="T1724" s="382" t="str">
        <f t="shared" si="268"/>
        <v>階別用途別床面積-5-40階</v>
      </c>
      <c r="V1724" s="202"/>
      <c r="W1724" s="202"/>
      <c r="X1724" s="202"/>
    </row>
    <row r="1725" spans="2:24">
      <c r="B1725" s="4"/>
      <c r="C1725" s="4"/>
      <c r="D1725" s="107">
        <f>'2_入力シート【用途面積】'!$O63</f>
        <v>0</v>
      </c>
      <c r="E1725" s="564">
        <f>'2_入力シート【用途面積】'!$O63</f>
        <v>0</v>
      </c>
      <c r="F1725" s="564" t="str">
        <f t="shared" si="267"/>
        <v>0</v>
      </c>
      <c r="G1725" s="24"/>
      <c r="H1725" s="563"/>
      <c r="I1725" s="383" t="s">
        <v>2246</v>
      </c>
      <c r="J1725" s="561" t="s">
        <v>1407</v>
      </c>
      <c r="K1725" s="322" t="s">
        <v>2240</v>
      </c>
      <c r="L1725" s="358" t="s">
        <v>2247</v>
      </c>
      <c r="M1725" s="325" t="s">
        <v>2228</v>
      </c>
      <c r="N1725" s="355"/>
      <c r="O1725" s="352"/>
      <c r="T1725" s="382" t="str">
        <f t="shared" si="268"/>
        <v>階別用途別床面積-5-41階</v>
      </c>
      <c r="V1725" s="202"/>
      <c r="W1725" s="202"/>
      <c r="X1725" s="202"/>
    </row>
    <row r="1726" spans="2:24">
      <c r="B1726" s="4"/>
      <c r="C1726" s="4"/>
      <c r="D1726" s="107">
        <f>'2_入力シート【用途面積】'!$O64</f>
        <v>0</v>
      </c>
      <c r="E1726" s="564">
        <f>'2_入力シート【用途面積】'!$O64</f>
        <v>0</v>
      </c>
      <c r="F1726" s="564" t="str">
        <f t="shared" si="267"/>
        <v>0</v>
      </c>
      <c r="G1726" s="24"/>
      <c r="H1726" s="563"/>
      <c r="I1726" s="383" t="s">
        <v>2246</v>
      </c>
      <c r="J1726" s="561" t="s">
        <v>1407</v>
      </c>
      <c r="K1726" s="322" t="s">
        <v>2240</v>
      </c>
      <c r="L1726" s="358" t="s">
        <v>2247</v>
      </c>
      <c r="M1726" s="325" t="s">
        <v>2229</v>
      </c>
      <c r="N1726" s="355"/>
      <c r="O1726" s="352"/>
      <c r="T1726" s="382" t="str">
        <f t="shared" si="268"/>
        <v>階別用途別床面積-5-42階</v>
      </c>
      <c r="V1726" s="202"/>
      <c r="W1726" s="202"/>
      <c r="X1726" s="202"/>
    </row>
    <row r="1727" spans="2:24">
      <c r="B1727" s="4"/>
      <c r="C1727" s="4"/>
      <c r="D1727" s="107">
        <f>'2_入力シート【用途面積】'!$O65</f>
        <v>0</v>
      </c>
      <c r="E1727" s="564">
        <f>'2_入力シート【用途面積】'!$O65</f>
        <v>0</v>
      </c>
      <c r="F1727" s="564" t="str">
        <f t="shared" si="267"/>
        <v>0</v>
      </c>
      <c r="G1727" s="24"/>
      <c r="H1727" s="563"/>
      <c r="I1727" s="383" t="s">
        <v>2246</v>
      </c>
      <c r="J1727" s="561" t="s">
        <v>1407</v>
      </c>
      <c r="K1727" s="322" t="s">
        <v>2240</v>
      </c>
      <c r="L1727" s="358" t="s">
        <v>2247</v>
      </c>
      <c r="M1727" s="325" t="s">
        <v>2230</v>
      </c>
      <c r="N1727" s="355"/>
      <c r="O1727" s="352"/>
      <c r="T1727" s="382" t="str">
        <f t="shared" si="268"/>
        <v>階別用途別床面積-5-43階</v>
      </c>
      <c r="V1727" s="202"/>
      <c r="W1727" s="202"/>
      <c r="X1727" s="202"/>
    </row>
    <row r="1728" spans="2:24">
      <c r="B1728" s="4"/>
      <c r="C1728" s="4"/>
      <c r="D1728" s="107">
        <f>'2_入力シート【用途面積】'!$O66</f>
        <v>0</v>
      </c>
      <c r="E1728" s="564">
        <f>'2_入力シート【用途面積】'!$O66</f>
        <v>0</v>
      </c>
      <c r="F1728" s="564" t="str">
        <f t="shared" si="267"/>
        <v>0</v>
      </c>
      <c r="G1728" s="24"/>
      <c r="H1728" s="563"/>
      <c r="I1728" s="383" t="s">
        <v>2246</v>
      </c>
      <c r="J1728" s="561" t="s">
        <v>1407</v>
      </c>
      <c r="K1728" s="322" t="s">
        <v>2240</v>
      </c>
      <c r="L1728" s="358" t="s">
        <v>2247</v>
      </c>
      <c r="M1728" s="325" t="s">
        <v>2231</v>
      </c>
      <c r="N1728" s="355"/>
      <c r="O1728" s="352"/>
      <c r="T1728" s="382" t="str">
        <f t="shared" si="268"/>
        <v>階別用途別床面積-5-44階</v>
      </c>
      <c r="V1728" s="202"/>
      <c r="W1728" s="202"/>
      <c r="X1728" s="202"/>
    </row>
    <row r="1729" spans="2:28">
      <c r="B1729" s="4"/>
      <c r="C1729" s="4"/>
      <c r="D1729" s="107">
        <f>'2_入力シート【用途面積】'!$O67</f>
        <v>0</v>
      </c>
      <c r="E1729" s="564">
        <f>'2_入力シート【用途面積】'!$O67</f>
        <v>0</v>
      </c>
      <c r="F1729" s="564" t="str">
        <f t="shared" si="267"/>
        <v>0</v>
      </c>
      <c r="G1729" s="24"/>
      <c r="H1729" s="563"/>
      <c r="I1729" s="383" t="s">
        <v>2246</v>
      </c>
      <c r="J1729" s="561" t="s">
        <v>1407</v>
      </c>
      <c r="K1729" s="322" t="s">
        <v>2240</v>
      </c>
      <c r="L1729" s="358" t="s">
        <v>2247</v>
      </c>
      <c r="M1729" s="325" t="s">
        <v>2232</v>
      </c>
      <c r="N1729" s="355"/>
      <c r="O1729" s="352"/>
      <c r="T1729" s="382" t="str">
        <f t="shared" si="268"/>
        <v>階別用途別床面積-5-45階</v>
      </c>
      <c r="V1729" s="202"/>
      <c r="W1729" s="202"/>
      <c r="X1729" s="202"/>
    </row>
    <row r="1730" spans="2:28">
      <c r="B1730" s="4"/>
      <c r="C1730" s="4"/>
      <c r="D1730" s="107">
        <f>'2_入力シート【用途面積】'!$O68</f>
        <v>0</v>
      </c>
      <c r="E1730" s="564">
        <f>'2_入力シート【用途面積】'!$O68</f>
        <v>0</v>
      </c>
      <c r="F1730" s="564" t="str">
        <f t="shared" si="267"/>
        <v>0</v>
      </c>
      <c r="G1730" s="24"/>
      <c r="H1730" s="563"/>
      <c r="I1730" s="383" t="s">
        <v>2246</v>
      </c>
      <c r="J1730" s="561" t="s">
        <v>1407</v>
      </c>
      <c r="K1730" s="322" t="s">
        <v>2240</v>
      </c>
      <c r="L1730" s="358" t="s">
        <v>2247</v>
      </c>
      <c r="M1730" s="325" t="s">
        <v>2233</v>
      </c>
      <c r="N1730" s="355"/>
      <c r="O1730" s="352"/>
      <c r="T1730" s="382" t="str">
        <f t="shared" si="268"/>
        <v>階別用途別床面積-5-46階</v>
      </c>
      <c r="V1730" s="202"/>
      <c r="W1730" s="202"/>
      <c r="X1730" s="202"/>
    </row>
    <row r="1731" spans="2:28">
      <c r="B1731" s="4"/>
      <c r="C1731" s="4"/>
      <c r="D1731" s="107">
        <f>'2_入力シート【用途面積】'!$O69</f>
        <v>0</v>
      </c>
      <c r="E1731" s="564">
        <f>'2_入力シート【用途面積】'!$O69</f>
        <v>0</v>
      </c>
      <c r="F1731" s="564" t="str">
        <f t="shared" si="267"/>
        <v>0</v>
      </c>
      <c r="G1731" s="24"/>
      <c r="H1731" s="563"/>
      <c r="I1731" s="383" t="s">
        <v>2246</v>
      </c>
      <c r="J1731" s="561" t="s">
        <v>1407</v>
      </c>
      <c r="K1731" s="322" t="s">
        <v>2240</v>
      </c>
      <c r="L1731" s="358" t="s">
        <v>2247</v>
      </c>
      <c r="M1731" s="325" t="s">
        <v>2234</v>
      </c>
      <c r="N1731" s="355"/>
      <c r="O1731" s="352"/>
      <c r="T1731" s="382" t="str">
        <f t="shared" si="268"/>
        <v>階別用途別床面積-5-47階</v>
      </c>
      <c r="V1731" s="202"/>
      <c r="W1731" s="202"/>
      <c r="X1731" s="202"/>
    </row>
    <row r="1732" spans="2:28">
      <c r="B1732" s="4"/>
      <c r="C1732" s="4"/>
      <c r="D1732" s="107">
        <f>'2_入力シート【用途面積】'!$O70</f>
        <v>0</v>
      </c>
      <c r="E1732" s="564">
        <f>'2_入力シート【用途面積】'!$O70</f>
        <v>0</v>
      </c>
      <c r="F1732" s="564" t="str">
        <f t="shared" si="267"/>
        <v>0</v>
      </c>
      <c r="G1732" s="24"/>
      <c r="H1732" s="563"/>
      <c r="I1732" s="383" t="s">
        <v>2246</v>
      </c>
      <c r="J1732" s="561" t="s">
        <v>1407</v>
      </c>
      <c r="K1732" s="322" t="s">
        <v>2240</v>
      </c>
      <c r="L1732" s="358" t="s">
        <v>2247</v>
      </c>
      <c r="M1732" s="325" t="s">
        <v>2235</v>
      </c>
      <c r="N1732" s="355"/>
      <c r="O1732" s="352"/>
      <c r="T1732" s="382" t="str">
        <f t="shared" si="268"/>
        <v>階別用途別床面積-5-48階</v>
      </c>
      <c r="V1732" s="202"/>
      <c r="W1732" s="202"/>
      <c r="X1732" s="202"/>
    </row>
    <row r="1733" spans="2:28">
      <c r="B1733" s="4"/>
      <c r="C1733" s="4"/>
      <c r="D1733" s="107">
        <f>'2_入力シート【用途面積】'!$O71</f>
        <v>0</v>
      </c>
      <c r="E1733" s="564">
        <f>'2_入力シート【用途面積】'!$O71</f>
        <v>0</v>
      </c>
      <c r="F1733" s="564" t="str">
        <f t="shared" ref="F1733:F1796" si="269">SUBSTITUTE(E1733,CHAR(10),"")</f>
        <v>0</v>
      </c>
      <c r="G1733" s="24"/>
      <c r="H1733" s="563"/>
      <c r="I1733" s="383" t="s">
        <v>2246</v>
      </c>
      <c r="J1733" s="561" t="s">
        <v>1407</v>
      </c>
      <c r="K1733" s="322" t="s">
        <v>2240</v>
      </c>
      <c r="L1733" s="358" t="s">
        <v>2247</v>
      </c>
      <c r="M1733" s="325" t="s">
        <v>2236</v>
      </c>
      <c r="N1733" s="355"/>
      <c r="O1733" s="352"/>
      <c r="T1733" s="382" t="str">
        <f t="shared" si="268"/>
        <v>階別用途別床面積-5-49階</v>
      </c>
      <c r="V1733" s="202"/>
      <c r="W1733" s="202"/>
      <c r="X1733" s="202"/>
    </row>
    <row r="1734" spans="2:28">
      <c r="B1734" s="4"/>
      <c r="C1734" s="4"/>
      <c r="D1734" s="107">
        <f>'2_入力シート【用途面積】'!$O72</f>
        <v>0</v>
      </c>
      <c r="E1734" s="564">
        <f>'2_入力シート【用途面積】'!$O72</f>
        <v>0</v>
      </c>
      <c r="F1734" s="564" t="str">
        <f t="shared" si="269"/>
        <v>0</v>
      </c>
      <c r="G1734" s="24"/>
      <c r="H1734" s="563"/>
      <c r="I1734" s="383" t="s">
        <v>2246</v>
      </c>
      <c r="J1734" s="561" t="s">
        <v>1407</v>
      </c>
      <c r="K1734" s="322" t="s">
        <v>2240</v>
      </c>
      <c r="L1734" s="358" t="s">
        <v>2247</v>
      </c>
      <c r="M1734" s="325" t="s">
        <v>2237</v>
      </c>
      <c r="N1734" s="355"/>
      <c r="O1734" s="352"/>
      <c r="T1734" s="382" t="str">
        <f t="shared" si="268"/>
        <v>階別用途別床面積-5-50階</v>
      </c>
      <c r="V1734" s="202"/>
      <c r="W1734" s="202"/>
      <c r="X1734" s="202"/>
    </row>
    <row r="1735" spans="2:28">
      <c r="B1735" s="4"/>
      <c r="C1735" s="4"/>
      <c r="D1735" s="107">
        <f>'2_入力シート【用途面積】'!$Q$4</f>
        <v>0</v>
      </c>
      <c r="E1735" s="564">
        <f>'2_入力シート【用途面積】'!$Q$4</f>
        <v>0</v>
      </c>
      <c r="F1735" s="564" t="str">
        <f t="shared" si="269"/>
        <v>0</v>
      </c>
      <c r="G1735" s="24"/>
      <c r="H1735" s="563"/>
      <c r="I1735" s="383" t="s">
        <v>2246</v>
      </c>
      <c r="J1735" s="561" t="s">
        <v>1407</v>
      </c>
      <c r="K1735" s="322" t="s">
        <v>2243</v>
      </c>
      <c r="L1735" s="358" t="s">
        <v>2247</v>
      </c>
      <c r="M1735" s="325" t="s">
        <v>2238</v>
      </c>
      <c r="N1735" s="355"/>
      <c r="O1735" s="352"/>
      <c r="T1735" s="382" t="str">
        <f t="shared" si="268"/>
        <v>階別用途別床面積-6-大分類</v>
      </c>
      <c r="V1735" s="202"/>
      <c r="W1735" s="202"/>
      <c r="X1735" s="202"/>
    </row>
    <row r="1736" spans="2:28">
      <c r="B1736" s="4"/>
      <c r="C1736" s="4"/>
      <c r="D1736" s="107">
        <f>'2_入力シート【用途面積】'!$Q$7</f>
        <v>0</v>
      </c>
      <c r="E1736" s="564">
        <f>'2_入力シート【用途面積】'!$Q$7</f>
        <v>0</v>
      </c>
      <c r="F1736" s="564" t="str">
        <f t="shared" si="269"/>
        <v>0</v>
      </c>
      <c r="G1736" s="24"/>
      <c r="H1736" s="563"/>
      <c r="I1736" s="383" t="s">
        <v>2246</v>
      </c>
      <c r="J1736" s="561" t="s">
        <v>1407</v>
      </c>
      <c r="K1736" s="322" t="s">
        <v>2243</v>
      </c>
      <c r="L1736" s="358" t="s">
        <v>2247</v>
      </c>
      <c r="M1736" s="325" t="s">
        <v>2239</v>
      </c>
      <c r="N1736" s="355"/>
      <c r="O1736" s="352"/>
      <c r="T1736" s="382" t="str">
        <f t="shared" si="268"/>
        <v>階別用途別床面積-6-小分類</v>
      </c>
      <c r="V1736" s="202"/>
      <c r="W1736" s="202"/>
      <c r="X1736" s="202"/>
    </row>
    <row r="1737" spans="2:28">
      <c r="B1737" s="4"/>
      <c r="C1737" s="4"/>
      <c r="D1737" s="107"/>
      <c r="E1737" s="789">
        <f>'2_入力シート【用途面積】'!$Q$12</f>
        <v>0</v>
      </c>
      <c r="F1737" s="789" t="str">
        <f t="shared" si="269"/>
        <v>0</v>
      </c>
      <c r="G1737" s="790"/>
      <c r="H1737" s="828"/>
      <c r="I1737" s="832" t="s">
        <v>3402</v>
      </c>
      <c r="J1737" s="796" t="s">
        <v>1879</v>
      </c>
      <c r="K1737" s="696" t="s">
        <v>1774</v>
      </c>
      <c r="L1737" s="697" t="s">
        <v>1879</v>
      </c>
      <c r="M1737" s="698" t="s">
        <v>3401</v>
      </c>
      <c r="N1737" s="830"/>
      <c r="O1737" s="829"/>
      <c r="P1737" s="794"/>
      <c r="Q1737" s="831"/>
      <c r="R1737" s="794"/>
      <c r="S1737" s="794"/>
      <c r="T1737" s="382" t="str">
        <f t="shared" si="268"/>
        <v>階別用途別床面積-6-特記</v>
      </c>
      <c r="U1737" s="382"/>
      <c r="V1737" s="202"/>
      <c r="W1737" s="202"/>
      <c r="X1737" s="202"/>
      <c r="Y1737" s="382"/>
      <c r="Z1737" s="382"/>
      <c r="AA1737" s="382"/>
      <c r="AB1737" s="382"/>
    </row>
    <row r="1738" spans="2:28">
      <c r="B1738" s="4"/>
      <c r="C1738" s="4"/>
      <c r="D1738" s="107">
        <f>'2_入力シート【用途面積】'!$Q14</f>
        <v>0</v>
      </c>
      <c r="E1738" s="564">
        <f>'2_入力シート【用途面積】'!$Q14</f>
        <v>0</v>
      </c>
      <c r="F1738" s="564" t="str">
        <f t="shared" si="269"/>
        <v>0</v>
      </c>
      <c r="G1738" s="24"/>
      <c r="H1738" s="563"/>
      <c r="I1738" s="383" t="s">
        <v>2246</v>
      </c>
      <c r="J1738" s="561" t="s">
        <v>1407</v>
      </c>
      <c r="K1738" s="322" t="s">
        <v>2242</v>
      </c>
      <c r="L1738" s="358" t="s">
        <v>2247</v>
      </c>
      <c r="M1738" s="325" t="s">
        <v>2179</v>
      </c>
      <c r="N1738" s="355"/>
      <c r="O1738" s="352"/>
      <c r="T1738" s="382" t="str">
        <f t="shared" si="268"/>
        <v>階別用途別床面積-6-地下1階</v>
      </c>
      <c r="V1738" s="202"/>
      <c r="W1738" s="202"/>
      <c r="X1738" s="202"/>
    </row>
    <row r="1739" spans="2:28">
      <c r="B1739" s="4"/>
      <c r="C1739" s="4"/>
      <c r="D1739" s="107">
        <f>'2_入力シート【用途面積】'!$Q15</f>
        <v>0</v>
      </c>
      <c r="E1739" s="564">
        <f>'2_入力シート【用途面積】'!$Q15</f>
        <v>0</v>
      </c>
      <c r="F1739" s="564" t="str">
        <f t="shared" si="269"/>
        <v>0</v>
      </c>
      <c r="G1739" s="24"/>
      <c r="H1739" s="563"/>
      <c r="I1739" s="383" t="s">
        <v>2246</v>
      </c>
      <c r="J1739" s="561" t="s">
        <v>1407</v>
      </c>
      <c r="K1739" s="322" t="s">
        <v>2242</v>
      </c>
      <c r="L1739" s="358" t="s">
        <v>2247</v>
      </c>
      <c r="M1739" s="325" t="s">
        <v>2180</v>
      </c>
      <c r="N1739" s="355"/>
      <c r="O1739" s="352"/>
      <c r="T1739" s="382" t="str">
        <f t="shared" si="268"/>
        <v>階別用途別床面積-6-地下2階</v>
      </c>
      <c r="V1739" s="202"/>
      <c r="W1739" s="202"/>
      <c r="X1739" s="202"/>
    </row>
    <row r="1740" spans="2:28">
      <c r="B1740" s="4"/>
      <c r="C1740" s="4"/>
      <c r="D1740" s="107">
        <f>'2_入力シート【用途面積】'!$Q16</f>
        <v>0</v>
      </c>
      <c r="E1740" s="564">
        <f>'2_入力シート【用途面積】'!$Q16</f>
        <v>0</v>
      </c>
      <c r="F1740" s="564" t="str">
        <f t="shared" si="269"/>
        <v>0</v>
      </c>
      <c r="G1740" s="24"/>
      <c r="H1740" s="563"/>
      <c r="I1740" s="383" t="s">
        <v>2246</v>
      </c>
      <c r="J1740" s="561" t="s">
        <v>1407</v>
      </c>
      <c r="K1740" s="322" t="s">
        <v>2242</v>
      </c>
      <c r="L1740" s="358" t="s">
        <v>2247</v>
      </c>
      <c r="M1740" s="325" t="s">
        <v>2181</v>
      </c>
      <c r="N1740" s="355"/>
      <c r="O1740" s="352"/>
      <c r="T1740" s="382" t="str">
        <f t="shared" si="268"/>
        <v>階別用途別床面積-6-地下3階</v>
      </c>
      <c r="V1740" s="202"/>
      <c r="W1740" s="202"/>
      <c r="X1740" s="202"/>
    </row>
    <row r="1741" spans="2:28">
      <c r="B1741" s="4"/>
      <c r="C1741" s="4"/>
      <c r="D1741" s="107">
        <f>'2_入力シート【用途面積】'!$Q17</f>
        <v>0</v>
      </c>
      <c r="E1741" s="564">
        <f>'2_入力シート【用途面積】'!$Q17</f>
        <v>0</v>
      </c>
      <c r="F1741" s="564" t="str">
        <f t="shared" si="269"/>
        <v>0</v>
      </c>
      <c r="G1741" s="24"/>
      <c r="H1741" s="563"/>
      <c r="I1741" s="383" t="s">
        <v>2246</v>
      </c>
      <c r="J1741" s="561" t="s">
        <v>1407</v>
      </c>
      <c r="K1741" s="322" t="s">
        <v>2242</v>
      </c>
      <c r="L1741" s="358" t="s">
        <v>2247</v>
      </c>
      <c r="M1741" s="325" t="s">
        <v>2182</v>
      </c>
      <c r="N1741" s="355"/>
      <c r="O1741" s="352"/>
      <c r="T1741" s="382" t="str">
        <f t="shared" si="268"/>
        <v>階別用途別床面積-6-地下4階</v>
      </c>
      <c r="V1741" s="202"/>
      <c r="W1741" s="202"/>
      <c r="X1741" s="202"/>
    </row>
    <row r="1742" spans="2:28">
      <c r="B1742" s="4"/>
      <c r="C1742" s="4"/>
      <c r="D1742" s="107">
        <f>'2_入力シート【用途面積】'!$Q18</f>
        <v>0</v>
      </c>
      <c r="E1742" s="564">
        <f>'2_入力シート【用途面積】'!$Q18</f>
        <v>0</v>
      </c>
      <c r="F1742" s="564" t="str">
        <f t="shared" si="269"/>
        <v>0</v>
      </c>
      <c r="G1742" s="24"/>
      <c r="H1742" s="563"/>
      <c r="I1742" s="383" t="s">
        <v>2246</v>
      </c>
      <c r="J1742" s="561" t="s">
        <v>1407</v>
      </c>
      <c r="K1742" s="322" t="s">
        <v>2242</v>
      </c>
      <c r="L1742" s="358" t="s">
        <v>2247</v>
      </c>
      <c r="M1742" s="325" t="s">
        <v>2183</v>
      </c>
      <c r="N1742" s="355"/>
      <c r="O1742" s="352"/>
      <c r="T1742" s="382" t="str">
        <f t="shared" si="268"/>
        <v>階別用途別床面積-6-塔屋 1階</v>
      </c>
      <c r="V1742" s="202"/>
      <c r="W1742" s="202"/>
      <c r="X1742" s="202"/>
    </row>
    <row r="1743" spans="2:28">
      <c r="B1743" s="4"/>
      <c r="C1743" s="4"/>
      <c r="D1743" s="107">
        <f>'2_入力シート【用途面積】'!$Q19</f>
        <v>0</v>
      </c>
      <c r="E1743" s="564">
        <f>'2_入力シート【用途面積】'!$Q19</f>
        <v>0</v>
      </c>
      <c r="F1743" s="564" t="str">
        <f t="shared" si="269"/>
        <v>0</v>
      </c>
      <c r="G1743" s="24"/>
      <c r="H1743" s="563"/>
      <c r="I1743" s="383" t="s">
        <v>2246</v>
      </c>
      <c r="J1743" s="561" t="s">
        <v>1407</v>
      </c>
      <c r="K1743" s="322" t="s">
        <v>2242</v>
      </c>
      <c r="L1743" s="358" t="s">
        <v>2247</v>
      </c>
      <c r="M1743" s="325" t="s">
        <v>2184</v>
      </c>
      <c r="N1743" s="355"/>
      <c r="O1743" s="352"/>
      <c r="T1743" s="382" t="str">
        <f t="shared" si="268"/>
        <v>階別用途別床面積-6-塔屋 2階</v>
      </c>
      <c r="V1743" s="202"/>
      <c r="W1743" s="202"/>
      <c r="X1743" s="202"/>
    </row>
    <row r="1744" spans="2:28">
      <c r="B1744" s="4"/>
      <c r="C1744" s="4"/>
      <c r="D1744" s="107">
        <f>'2_入力シート【用途面積】'!$Q20</f>
        <v>0</v>
      </c>
      <c r="E1744" s="564">
        <f>'2_入力シート【用途面積】'!$Q20</f>
        <v>0</v>
      </c>
      <c r="F1744" s="564" t="str">
        <f t="shared" si="269"/>
        <v>0</v>
      </c>
      <c r="G1744" s="24"/>
      <c r="H1744" s="563"/>
      <c r="I1744" s="383" t="s">
        <v>2246</v>
      </c>
      <c r="J1744" s="561" t="s">
        <v>1407</v>
      </c>
      <c r="K1744" s="322" t="s">
        <v>2242</v>
      </c>
      <c r="L1744" s="358" t="s">
        <v>2247</v>
      </c>
      <c r="M1744" s="325" t="s">
        <v>2185</v>
      </c>
      <c r="N1744" s="355"/>
      <c r="O1744" s="352"/>
      <c r="T1744" s="382" t="str">
        <f t="shared" si="268"/>
        <v>階別用途別床面積-6-塔屋 3階</v>
      </c>
      <c r="V1744" s="202"/>
      <c r="W1744" s="202"/>
      <c r="X1744" s="202"/>
    </row>
    <row r="1745" spans="2:24">
      <c r="B1745" s="4"/>
      <c r="C1745" s="4"/>
      <c r="D1745" s="107">
        <f>'2_入力シート【用途面積】'!$Q21</f>
        <v>0</v>
      </c>
      <c r="E1745" s="564">
        <f>'2_入力シート【用途面積】'!$Q21</f>
        <v>0</v>
      </c>
      <c r="F1745" s="564" t="str">
        <f t="shared" si="269"/>
        <v>0</v>
      </c>
      <c r="G1745" s="24"/>
      <c r="H1745" s="563"/>
      <c r="I1745" s="383" t="s">
        <v>2246</v>
      </c>
      <c r="J1745" s="561" t="s">
        <v>1407</v>
      </c>
      <c r="K1745" s="322" t="s">
        <v>2242</v>
      </c>
      <c r="L1745" s="358" t="s">
        <v>2247</v>
      </c>
      <c r="M1745" s="325" t="s">
        <v>2186</v>
      </c>
      <c r="N1745" s="355"/>
      <c r="O1745" s="352"/>
      <c r="T1745" s="382" t="str">
        <f t="shared" si="268"/>
        <v>階別用途別床面積-6-塔屋 4階</v>
      </c>
      <c r="V1745" s="202"/>
      <c r="W1745" s="202"/>
      <c r="X1745" s="202"/>
    </row>
    <row r="1746" spans="2:24">
      <c r="B1746" s="4"/>
      <c r="C1746" s="4"/>
      <c r="D1746" s="107">
        <f>'2_入力シート【用途面積】'!$Q22</f>
        <v>0</v>
      </c>
      <c r="E1746" s="564">
        <f>'2_入力シート【用途面積】'!$Q22</f>
        <v>0</v>
      </c>
      <c r="F1746" s="564" t="str">
        <f t="shared" si="269"/>
        <v>0</v>
      </c>
      <c r="G1746" s="24"/>
      <c r="H1746" s="563"/>
      <c r="I1746" s="383" t="s">
        <v>2246</v>
      </c>
      <c r="J1746" s="561" t="s">
        <v>1407</v>
      </c>
      <c r="K1746" s="322" t="s">
        <v>2242</v>
      </c>
      <c r="L1746" s="358" t="s">
        <v>2247</v>
      </c>
      <c r="M1746" s="325" t="s">
        <v>2187</v>
      </c>
      <c r="N1746" s="355"/>
      <c r="O1746" s="352"/>
      <c r="T1746" s="382" t="str">
        <f t="shared" si="268"/>
        <v>階別用途別床面積-6-塔屋 5階</v>
      </c>
      <c r="V1746" s="202"/>
      <c r="W1746" s="202"/>
      <c r="X1746" s="202"/>
    </row>
    <row r="1747" spans="2:24">
      <c r="B1747" s="4"/>
      <c r="C1747" s="4"/>
      <c r="D1747" s="107">
        <f>'2_入力シート【用途面積】'!$Q23</f>
        <v>0</v>
      </c>
      <c r="E1747" s="564">
        <f>'2_入力シート【用途面積】'!$Q23</f>
        <v>0</v>
      </c>
      <c r="F1747" s="564" t="str">
        <f t="shared" si="269"/>
        <v>0</v>
      </c>
      <c r="G1747" s="24"/>
      <c r="H1747" s="563"/>
      <c r="I1747" s="383" t="s">
        <v>2246</v>
      </c>
      <c r="J1747" s="561" t="s">
        <v>1407</v>
      </c>
      <c r="K1747" s="322" t="s">
        <v>2242</v>
      </c>
      <c r="L1747" s="358" t="s">
        <v>2247</v>
      </c>
      <c r="M1747" s="325" t="s">
        <v>2188</v>
      </c>
      <c r="N1747" s="355"/>
      <c r="O1747" s="352"/>
      <c r="T1747" s="382" t="str">
        <f t="shared" si="268"/>
        <v>階別用途別床面積-6-1階</v>
      </c>
      <c r="V1747" s="202"/>
      <c r="W1747" s="202"/>
      <c r="X1747" s="202"/>
    </row>
    <row r="1748" spans="2:24">
      <c r="B1748" s="4"/>
      <c r="C1748" s="4"/>
      <c r="D1748" s="107">
        <f>'2_入力シート【用途面積】'!$Q24</f>
        <v>0</v>
      </c>
      <c r="E1748" s="564">
        <f>'2_入力シート【用途面積】'!$Q24</f>
        <v>0</v>
      </c>
      <c r="F1748" s="564" t="str">
        <f t="shared" si="269"/>
        <v>0</v>
      </c>
      <c r="G1748" s="24"/>
      <c r="H1748" s="563"/>
      <c r="I1748" s="383" t="s">
        <v>2246</v>
      </c>
      <c r="J1748" s="561" t="s">
        <v>1407</v>
      </c>
      <c r="K1748" s="322" t="s">
        <v>2242</v>
      </c>
      <c r="L1748" s="358" t="s">
        <v>2247</v>
      </c>
      <c r="M1748" s="325" t="s">
        <v>2189</v>
      </c>
      <c r="N1748" s="355"/>
      <c r="O1748" s="352"/>
      <c r="T1748" s="382" t="str">
        <f t="shared" si="268"/>
        <v>階別用途別床面積-6-2階</v>
      </c>
      <c r="V1748" s="202"/>
      <c r="W1748" s="202"/>
      <c r="X1748" s="202"/>
    </row>
    <row r="1749" spans="2:24">
      <c r="B1749" s="4"/>
      <c r="C1749" s="4"/>
      <c r="D1749" s="107">
        <f>'2_入力シート【用途面積】'!$Q25</f>
        <v>0</v>
      </c>
      <c r="E1749" s="564">
        <f>'2_入力シート【用途面積】'!$Q25</f>
        <v>0</v>
      </c>
      <c r="F1749" s="564" t="str">
        <f t="shared" si="269"/>
        <v>0</v>
      </c>
      <c r="G1749" s="24"/>
      <c r="H1749" s="563"/>
      <c r="I1749" s="383" t="s">
        <v>2246</v>
      </c>
      <c r="J1749" s="561" t="s">
        <v>1407</v>
      </c>
      <c r="K1749" s="322" t="s">
        <v>2242</v>
      </c>
      <c r="L1749" s="358" t="s">
        <v>2247</v>
      </c>
      <c r="M1749" s="325" t="s">
        <v>2190</v>
      </c>
      <c r="N1749" s="355"/>
      <c r="O1749" s="352"/>
      <c r="T1749" s="382" t="str">
        <f t="shared" si="268"/>
        <v>階別用途別床面積-6-3階</v>
      </c>
      <c r="V1749" s="202"/>
      <c r="W1749" s="202"/>
      <c r="X1749" s="202"/>
    </row>
    <row r="1750" spans="2:24">
      <c r="B1750" s="4"/>
      <c r="C1750" s="4"/>
      <c r="D1750" s="107">
        <f>'2_入力シート【用途面積】'!$Q26</f>
        <v>0</v>
      </c>
      <c r="E1750" s="564">
        <f>'2_入力シート【用途面積】'!$Q26</f>
        <v>0</v>
      </c>
      <c r="F1750" s="564" t="str">
        <f t="shared" si="269"/>
        <v>0</v>
      </c>
      <c r="G1750" s="24"/>
      <c r="H1750" s="563"/>
      <c r="I1750" s="383" t="s">
        <v>2246</v>
      </c>
      <c r="J1750" s="561" t="s">
        <v>1407</v>
      </c>
      <c r="K1750" s="322" t="s">
        <v>2242</v>
      </c>
      <c r="L1750" s="358" t="s">
        <v>2247</v>
      </c>
      <c r="M1750" s="325" t="s">
        <v>2191</v>
      </c>
      <c r="N1750" s="355"/>
      <c r="O1750" s="352"/>
      <c r="T1750" s="382" t="str">
        <f t="shared" si="268"/>
        <v>階別用途別床面積-6-4階</v>
      </c>
      <c r="V1750" s="202"/>
      <c r="W1750" s="202"/>
      <c r="X1750" s="202"/>
    </row>
    <row r="1751" spans="2:24">
      <c r="B1751" s="4"/>
      <c r="C1751" s="4"/>
      <c r="D1751" s="107">
        <f>'2_入力シート【用途面積】'!$Q27</f>
        <v>0</v>
      </c>
      <c r="E1751" s="564">
        <f>'2_入力シート【用途面積】'!$Q27</f>
        <v>0</v>
      </c>
      <c r="F1751" s="564" t="str">
        <f t="shared" si="269"/>
        <v>0</v>
      </c>
      <c r="G1751" s="24"/>
      <c r="H1751" s="563"/>
      <c r="I1751" s="383" t="s">
        <v>2246</v>
      </c>
      <c r="J1751" s="561" t="s">
        <v>1407</v>
      </c>
      <c r="K1751" s="322" t="s">
        <v>2242</v>
      </c>
      <c r="L1751" s="358" t="s">
        <v>2247</v>
      </c>
      <c r="M1751" s="325" t="s">
        <v>2192</v>
      </c>
      <c r="N1751" s="355"/>
      <c r="O1751" s="352"/>
      <c r="T1751" s="382" t="str">
        <f t="shared" si="268"/>
        <v>階別用途別床面積-6-5階</v>
      </c>
      <c r="V1751" s="202"/>
      <c r="W1751" s="202"/>
      <c r="X1751" s="202"/>
    </row>
    <row r="1752" spans="2:24">
      <c r="B1752" s="4"/>
      <c r="C1752" s="4"/>
      <c r="D1752" s="107">
        <f>'2_入力シート【用途面積】'!$Q28</f>
        <v>0</v>
      </c>
      <c r="E1752" s="564">
        <f>'2_入力シート【用途面積】'!$Q28</f>
        <v>0</v>
      </c>
      <c r="F1752" s="564" t="str">
        <f t="shared" si="269"/>
        <v>0</v>
      </c>
      <c r="G1752" s="24"/>
      <c r="H1752" s="563"/>
      <c r="I1752" s="383" t="s">
        <v>2246</v>
      </c>
      <c r="J1752" s="561" t="s">
        <v>1407</v>
      </c>
      <c r="K1752" s="322" t="s">
        <v>2242</v>
      </c>
      <c r="L1752" s="358" t="s">
        <v>2247</v>
      </c>
      <c r="M1752" s="325" t="s">
        <v>2193</v>
      </c>
      <c r="N1752" s="355"/>
      <c r="O1752" s="352"/>
      <c r="T1752" s="382" t="str">
        <f t="shared" si="268"/>
        <v>階別用途別床面積-6-6階</v>
      </c>
      <c r="V1752" s="202"/>
      <c r="W1752" s="202"/>
      <c r="X1752" s="202"/>
    </row>
    <row r="1753" spans="2:24">
      <c r="B1753" s="4"/>
      <c r="C1753" s="4"/>
      <c r="D1753" s="107">
        <f>'2_入力シート【用途面積】'!$Q29</f>
        <v>0</v>
      </c>
      <c r="E1753" s="564">
        <f>'2_入力シート【用途面積】'!$Q29</f>
        <v>0</v>
      </c>
      <c r="F1753" s="564" t="str">
        <f t="shared" si="269"/>
        <v>0</v>
      </c>
      <c r="G1753" s="24"/>
      <c r="H1753" s="563"/>
      <c r="I1753" s="383" t="s">
        <v>2246</v>
      </c>
      <c r="J1753" s="561" t="s">
        <v>1407</v>
      </c>
      <c r="K1753" s="322" t="s">
        <v>2242</v>
      </c>
      <c r="L1753" s="358" t="s">
        <v>2247</v>
      </c>
      <c r="M1753" s="325" t="s">
        <v>2194</v>
      </c>
      <c r="N1753" s="355"/>
      <c r="O1753" s="352"/>
      <c r="T1753" s="382" t="str">
        <f t="shared" si="268"/>
        <v>階別用途別床面積-6-7階</v>
      </c>
      <c r="V1753" s="202"/>
      <c r="W1753" s="202"/>
      <c r="X1753" s="202"/>
    </row>
    <row r="1754" spans="2:24">
      <c r="B1754" s="4"/>
      <c r="C1754" s="4"/>
      <c r="D1754" s="107">
        <f>'2_入力シート【用途面積】'!$Q30</f>
        <v>0</v>
      </c>
      <c r="E1754" s="564">
        <f>'2_入力シート【用途面積】'!$Q30</f>
        <v>0</v>
      </c>
      <c r="F1754" s="564" t="str">
        <f t="shared" si="269"/>
        <v>0</v>
      </c>
      <c r="G1754" s="24"/>
      <c r="H1754" s="563"/>
      <c r="I1754" s="383" t="s">
        <v>2246</v>
      </c>
      <c r="J1754" s="561" t="s">
        <v>1407</v>
      </c>
      <c r="K1754" s="322" t="s">
        <v>2242</v>
      </c>
      <c r="L1754" s="358" t="s">
        <v>2247</v>
      </c>
      <c r="M1754" s="325" t="s">
        <v>2195</v>
      </c>
      <c r="N1754" s="355"/>
      <c r="O1754" s="352"/>
      <c r="T1754" s="382" t="str">
        <f t="shared" si="268"/>
        <v>階別用途別床面積-6-8階</v>
      </c>
      <c r="V1754" s="202"/>
      <c r="W1754" s="202"/>
      <c r="X1754" s="202"/>
    </row>
    <row r="1755" spans="2:24">
      <c r="B1755" s="4"/>
      <c r="C1755" s="4"/>
      <c r="D1755" s="107">
        <f>'2_入力シート【用途面積】'!$Q31</f>
        <v>0</v>
      </c>
      <c r="E1755" s="564">
        <f>'2_入力シート【用途面積】'!$Q31</f>
        <v>0</v>
      </c>
      <c r="F1755" s="564" t="str">
        <f t="shared" si="269"/>
        <v>0</v>
      </c>
      <c r="G1755" s="24"/>
      <c r="H1755" s="563"/>
      <c r="I1755" s="383" t="s">
        <v>2246</v>
      </c>
      <c r="J1755" s="561" t="s">
        <v>1407</v>
      </c>
      <c r="K1755" s="322" t="s">
        <v>2242</v>
      </c>
      <c r="L1755" s="358" t="s">
        <v>2247</v>
      </c>
      <c r="M1755" s="325" t="s">
        <v>2196</v>
      </c>
      <c r="N1755" s="355"/>
      <c r="O1755" s="352"/>
      <c r="T1755" s="382" t="str">
        <f t="shared" si="268"/>
        <v>階別用途別床面積-6-9階</v>
      </c>
      <c r="V1755" s="202"/>
      <c r="W1755" s="202"/>
      <c r="X1755" s="202"/>
    </row>
    <row r="1756" spans="2:24">
      <c r="B1756" s="4"/>
      <c r="C1756" s="4"/>
      <c r="D1756" s="107">
        <f>'2_入力シート【用途面積】'!$Q32</f>
        <v>0</v>
      </c>
      <c r="E1756" s="564">
        <f>'2_入力シート【用途面積】'!$Q32</f>
        <v>0</v>
      </c>
      <c r="F1756" s="564" t="str">
        <f t="shared" si="269"/>
        <v>0</v>
      </c>
      <c r="G1756" s="24"/>
      <c r="H1756" s="563"/>
      <c r="I1756" s="383" t="s">
        <v>2246</v>
      </c>
      <c r="J1756" s="561" t="s">
        <v>1407</v>
      </c>
      <c r="K1756" s="322" t="s">
        <v>2242</v>
      </c>
      <c r="L1756" s="358" t="s">
        <v>2247</v>
      </c>
      <c r="M1756" s="325" t="s">
        <v>2197</v>
      </c>
      <c r="N1756" s="355"/>
      <c r="O1756" s="352"/>
      <c r="T1756" s="382" t="str">
        <f t="shared" si="268"/>
        <v>階別用途別床面積-6-10階</v>
      </c>
      <c r="V1756" s="202"/>
      <c r="W1756" s="202"/>
      <c r="X1756" s="202"/>
    </row>
    <row r="1757" spans="2:24">
      <c r="B1757" s="4"/>
      <c r="C1757" s="4"/>
      <c r="D1757" s="107">
        <f>'2_入力シート【用途面積】'!$Q33</f>
        <v>0</v>
      </c>
      <c r="E1757" s="564">
        <f>'2_入力シート【用途面積】'!$Q33</f>
        <v>0</v>
      </c>
      <c r="F1757" s="564" t="str">
        <f t="shared" si="269"/>
        <v>0</v>
      </c>
      <c r="G1757" s="24"/>
      <c r="H1757" s="563"/>
      <c r="I1757" s="383" t="s">
        <v>2246</v>
      </c>
      <c r="J1757" s="561" t="s">
        <v>1407</v>
      </c>
      <c r="K1757" s="322" t="s">
        <v>2242</v>
      </c>
      <c r="L1757" s="358" t="s">
        <v>2247</v>
      </c>
      <c r="M1757" s="325" t="s">
        <v>2198</v>
      </c>
      <c r="N1757" s="355"/>
      <c r="O1757" s="352"/>
      <c r="T1757" s="382" t="str">
        <f t="shared" si="268"/>
        <v>階別用途別床面積-6-11階</v>
      </c>
      <c r="V1757" s="202"/>
      <c r="W1757" s="202"/>
      <c r="X1757" s="202"/>
    </row>
    <row r="1758" spans="2:24">
      <c r="B1758" s="4"/>
      <c r="C1758" s="4"/>
      <c r="D1758" s="107">
        <f>'2_入力シート【用途面積】'!$Q34</f>
        <v>0</v>
      </c>
      <c r="E1758" s="564">
        <f>'2_入力シート【用途面積】'!$Q34</f>
        <v>0</v>
      </c>
      <c r="F1758" s="564" t="str">
        <f t="shared" si="269"/>
        <v>0</v>
      </c>
      <c r="G1758" s="24"/>
      <c r="H1758" s="563"/>
      <c r="I1758" s="383" t="s">
        <v>2246</v>
      </c>
      <c r="J1758" s="561" t="s">
        <v>1407</v>
      </c>
      <c r="K1758" s="322" t="s">
        <v>2242</v>
      </c>
      <c r="L1758" s="358" t="s">
        <v>2247</v>
      </c>
      <c r="M1758" s="325" t="s">
        <v>2199</v>
      </c>
      <c r="N1758" s="355"/>
      <c r="O1758" s="352"/>
      <c r="T1758" s="382" t="str">
        <f t="shared" si="268"/>
        <v>階別用途別床面積-6-12階</v>
      </c>
      <c r="V1758" s="202"/>
      <c r="W1758" s="202"/>
      <c r="X1758" s="202"/>
    </row>
    <row r="1759" spans="2:24">
      <c r="B1759" s="4"/>
      <c r="C1759" s="4"/>
      <c r="D1759" s="107">
        <f>'2_入力シート【用途面積】'!$Q35</f>
        <v>0</v>
      </c>
      <c r="E1759" s="564">
        <f>'2_入力シート【用途面積】'!$Q35</f>
        <v>0</v>
      </c>
      <c r="F1759" s="564" t="str">
        <f t="shared" si="269"/>
        <v>0</v>
      </c>
      <c r="G1759" s="24"/>
      <c r="H1759" s="563"/>
      <c r="I1759" s="383" t="s">
        <v>2246</v>
      </c>
      <c r="J1759" s="561" t="s">
        <v>1407</v>
      </c>
      <c r="K1759" s="322" t="s">
        <v>2242</v>
      </c>
      <c r="L1759" s="358" t="s">
        <v>2247</v>
      </c>
      <c r="M1759" s="325" t="s">
        <v>2200</v>
      </c>
      <c r="N1759" s="355"/>
      <c r="O1759" s="352"/>
      <c r="T1759" s="382" t="str">
        <f t="shared" si="268"/>
        <v>階別用途別床面積-6-13階</v>
      </c>
      <c r="V1759" s="202"/>
      <c r="W1759" s="202"/>
      <c r="X1759" s="202"/>
    </row>
    <row r="1760" spans="2:24">
      <c r="B1760" s="4"/>
      <c r="C1760" s="4"/>
      <c r="D1760" s="107">
        <f>'2_入力シート【用途面積】'!$Q36</f>
        <v>0</v>
      </c>
      <c r="E1760" s="564">
        <f>'2_入力シート【用途面積】'!$Q36</f>
        <v>0</v>
      </c>
      <c r="F1760" s="564" t="str">
        <f t="shared" si="269"/>
        <v>0</v>
      </c>
      <c r="G1760" s="24"/>
      <c r="H1760" s="563"/>
      <c r="I1760" s="383" t="s">
        <v>2246</v>
      </c>
      <c r="J1760" s="561" t="s">
        <v>1407</v>
      </c>
      <c r="K1760" s="322" t="s">
        <v>2242</v>
      </c>
      <c r="L1760" s="358" t="s">
        <v>2247</v>
      </c>
      <c r="M1760" s="325" t="s">
        <v>2201</v>
      </c>
      <c r="N1760" s="355"/>
      <c r="O1760" s="352"/>
      <c r="T1760" s="382" t="str">
        <f t="shared" si="268"/>
        <v>階別用途別床面積-6-14階</v>
      </c>
      <c r="V1760" s="202"/>
      <c r="W1760" s="202"/>
      <c r="X1760" s="202"/>
    </row>
    <row r="1761" spans="2:24">
      <c r="B1761" s="4"/>
      <c r="C1761" s="4"/>
      <c r="D1761" s="107">
        <f>'2_入力シート【用途面積】'!$Q37</f>
        <v>0</v>
      </c>
      <c r="E1761" s="564">
        <f>'2_入力シート【用途面積】'!$Q37</f>
        <v>0</v>
      </c>
      <c r="F1761" s="564" t="str">
        <f t="shared" si="269"/>
        <v>0</v>
      </c>
      <c r="G1761" s="24"/>
      <c r="H1761" s="563"/>
      <c r="I1761" s="383" t="s">
        <v>2246</v>
      </c>
      <c r="J1761" s="561" t="s">
        <v>1407</v>
      </c>
      <c r="K1761" s="322" t="s">
        <v>2242</v>
      </c>
      <c r="L1761" s="358" t="s">
        <v>2247</v>
      </c>
      <c r="M1761" s="325" t="s">
        <v>2202</v>
      </c>
      <c r="N1761" s="355"/>
      <c r="O1761" s="352"/>
      <c r="T1761" s="382" t="str">
        <f t="shared" si="268"/>
        <v>階別用途別床面積-6-15階</v>
      </c>
      <c r="V1761" s="202"/>
      <c r="W1761" s="202"/>
      <c r="X1761" s="202"/>
    </row>
    <row r="1762" spans="2:24">
      <c r="B1762" s="4"/>
      <c r="C1762" s="4"/>
      <c r="D1762" s="107">
        <f>'2_入力シート【用途面積】'!$Q38</f>
        <v>0</v>
      </c>
      <c r="E1762" s="564">
        <f>'2_入力シート【用途面積】'!$Q38</f>
        <v>0</v>
      </c>
      <c r="F1762" s="564" t="str">
        <f t="shared" si="269"/>
        <v>0</v>
      </c>
      <c r="G1762" s="24"/>
      <c r="H1762" s="563"/>
      <c r="I1762" s="383" t="s">
        <v>2246</v>
      </c>
      <c r="J1762" s="561" t="s">
        <v>1407</v>
      </c>
      <c r="K1762" s="322" t="s">
        <v>2242</v>
      </c>
      <c r="L1762" s="358" t="s">
        <v>2247</v>
      </c>
      <c r="M1762" s="325" t="s">
        <v>2203</v>
      </c>
      <c r="N1762" s="355"/>
      <c r="O1762" s="352"/>
      <c r="T1762" s="382" t="str">
        <f t="shared" si="268"/>
        <v>階別用途別床面積-6-16階</v>
      </c>
      <c r="V1762" s="202"/>
      <c r="W1762" s="202"/>
      <c r="X1762" s="202"/>
    </row>
    <row r="1763" spans="2:24">
      <c r="B1763" s="4"/>
      <c r="C1763" s="4"/>
      <c r="D1763" s="107">
        <f>'2_入力シート【用途面積】'!$Q39</f>
        <v>0</v>
      </c>
      <c r="E1763" s="564">
        <f>'2_入力シート【用途面積】'!$Q39</f>
        <v>0</v>
      </c>
      <c r="F1763" s="564" t="str">
        <f t="shared" si="269"/>
        <v>0</v>
      </c>
      <c r="G1763" s="24"/>
      <c r="H1763" s="563"/>
      <c r="I1763" s="383" t="s">
        <v>2246</v>
      </c>
      <c r="J1763" s="561" t="s">
        <v>1407</v>
      </c>
      <c r="K1763" s="322" t="s">
        <v>2242</v>
      </c>
      <c r="L1763" s="358" t="s">
        <v>2247</v>
      </c>
      <c r="M1763" s="325" t="s">
        <v>2204</v>
      </c>
      <c r="N1763" s="355"/>
      <c r="O1763" s="352"/>
      <c r="T1763" s="382" t="str">
        <f t="shared" si="268"/>
        <v>階別用途別床面積-6-17階</v>
      </c>
      <c r="V1763" s="202"/>
      <c r="W1763" s="202"/>
      <c r="X1763" s="202"/>
    </row>
    <row r="1764" spans="2:24">
      <c r="B1764" s="4"/>
      <c r="C1764" s="4"/>
      <c r="D1764" s="107">
        <f>'2_入力シート【用途面積】'!$Q40</f>
        <v>0</v>
      </c>
      <c r="E1764" s="564">
        <f>'2_入力シート【用途面積】'!$Q40</f>
        <v>0</v>
      </c>
      <c r="F1764" s="564" t="str">
        <f t="shared" si="269"/>
        <v>0</v>
      </c>
      <c r="G1764" s="24"/>
      <c r="H1764" s="563"/>
      <c r="I1764" s="383" t="s">
        <v>2246</v>
      </c>
      <c r="J1764" s="561" t="s">
        <v>1407</v>
      </c>
      <c r="K1764" s="322" t="s">
        <v>2242</v>
      </c>
      <c r="L1764" s="358" t="s">
        <v>2247</v>
      </c>
      <c r="M1764" s="325" t="s">
        <v>2205</v>
      </c>
      <c r="N1764" s="355"/>
      <c r="O1764" s="352"/>
      <c r="T1764" s="382" t="str">
        <f t="shared" si="268"/>
        <v>階別用途別床面積-6-18階</v>
      </c>
      <c r="V1764" s="202"/>
      <c r="W1764" s="202"/>
      <c r="X1764" s="202"/>
    </row>
    <row r="1765" spans="2:24">
      <c r="B1765" s="4"/>
      <c r="C1765" s="4"/>
      <c r="D1765" s="107">
        <f>'2_入力シート【用途面積】'!$Q41</f>
        <v>0</v>
      </c>
      <c r="E1765" s="564">
        <f>'2_入力シート【用途面積】'!$Q41</f>
        <v>0</v>
      </c>
      <c r="F1765" s="564" t="str">
        <f t="shared" si="269"/>
        <v>0</v>
      </c>
      <c r="G1765" s="24"/>
      <c r="H1765" s="563"/>
      <c r="I1765" s="383" t="s">
        <v>2246</v>
      </c>
      <c r="J1765" s="561" t="s">
        <v>1407</v>
      </c>
      <c r="K1765" s="322" t="s">
        <v>2242</v>
      </c>
      <c r="L1765" s="358" t="s">
        <v>2247</v>
      </c>
      <c r="M1765" s="325" t="s">
        <v>2206</v>
      </c>
      <c r="N1765" s="355"/>
      <c r="O1765" s="352"/>
      <c r="T1765" s="382" t="str">
        <f t="shared" si="268"/>
        <v>階別用途別床面積-6-19階</v>
      </c>
      <c r="V1765" s="202"/>
      <c r="W1765" s="202"/>
      <c r="X1765" s="202"/>
    </row>
    <row r="1766" spans="2:24">
      <c r="B1766" s="4"/>
      <c r="C1766" s="4"/>
      <c r="D1766" s="107">
        <f>'2_入力シート【用途面積】'!$Q42</f>
        <v>0</v>
      </c>
      <c r="E1766" s="564">
        <f>'2_入力シート【用途面積】'!$Q42</f>
        <v>0</v>
      </c>
      <c r="F1766" s="564" t="str">
        <f t="shared" si="269"/>
        <v>0</v>
      </c>
      <c r="G1766" s="24"/>
      <c r="H1766" s="563"/>
      <c r="I1766" s="383" t="s">
        <v>2246</v>
      </c>
      <c r="J1766" s="561" t="s">
        <v>1407</v>
      </c>
      <c r="K1766" s="322" t="s">
        <v>2242</v>
      </c>
      <c r="L1766" s="358" t="s">
        <v>2247</v>
      </c>
      <c r="M1766" s="325" t="s">
        <v>2207</v>
      </c>
      <c r="N1766" s="355"/>
      <c r="O1766" s="352"/>
      <c r="T1766" s="382" t="str">
        <f t="shared" si="268"/>
        <v>階別用途別床面積-6-20階</v>
      </c>
      <c r="V1766" s="202"/>
      <c r="W1766" s="202"/>
      <c r="X1766" s="202"/>
    </row>
    <row r="1767" spans="2:24">
      <c r="B1767" s="4"/>
      <c r="C1767" s="4"/>
      <c r="D1767" s="107">
        <f>'2_入力シート【用途面積】'!$Q43</f>
        <v>0</v>
      </c>
      <c r="E1767" s="564">
        <f>'2_入力シート【用途面積】'!$Q43</f>
        <v>0</v>
      </c>
      <c r="F1767" s="564" t="str">
        <f t="shared" si="269"/>
        <v>0</v>
      </c>
      <c r="G1767" s="24"/>
      <c r="H1767" s="563"/>
      <c r="I1767" s="383" t="s">
        <v>2246</v>
      </c>
      <c r="J1767" s="561" t="s">
        <v>1407</v>
      </c>
      <c r="K1767" s="322" t="s">
        <v>2242</v>
      </c>
      <c r="L1767" s="358" t="s">
        <v>2247</v>
      </c>
      <c r="M1767" s="325" t="s">
        <v>2208</v>
      </c>
      <c r="N1767" s="355"/>
      <c r="O1767" s="352"/>
      <c r="T1767" s="382" t="str">
        <f t="shared" ref="T1767:T1831" si="270">CONCATENATE(H1767,I1767,J1767,K1767,L1767,M1767,N1767,O1767,P1767,Q1767)</f>
        <v>階別用途別床面積-6-21階</v>
      </c>
      <c r="V1767" s="202"/>
      <c r="W1767" s="202"/>
      <c r="X1767" s="202"/>
    </row>
    <row r="1768" spans="2:24">
      <c r="B1768" s="4"/>
      <c r="C1768" s="4"/>
      <c r="D1768" s="107">
        <f>'2_入力シート【用途面積】'!$Q44</f>
        <v>0</v>
      </c>
      <c r="E1768" s="564">
        <f>'2_入力シート【用途面積】'!$Q44</f>
        <v>0</v>
      </c>
      <c r="F1768" s="564" t="str">
        <f t="shared" si="269"/>
        <v>0</v>
      </c>
      <c r="G1768" s="24"/>
      <c r="H1768" s="563"/>
      <c r="I1768" s="383" t="s">
        <v>2246</v>
      </c>
      <c r="J1768" s="561" t="s">
        <v>1407</v>
      </c>
      <c r="K1768" s="322" t="s">
        <v>2242</v>
      </c>
      <c r="L1768" s="358" t="s">
        <v>2247</v>
      </c>
      <c r="M1768" s="325" t="s">
        <v>2209</v>
      </c>
      <c r="N1768" s="355"/>
      <c r="O1768" s="352"/>
      <c r="T1768" s="382" t="str">
        <f t="shared" si="270"/>
        <v>階別用途別床面積-6-22階</v>
      </c>
      <c r="V1768" s="202"/>
      <c r="W1768" s="202"/>
      <c r="X1768" s="202"/>
    </row>
    <row r="1769" spans="2:24">
      <c r="B1769" s="4"/>
      <c r="C1769" s="4"/>
      <c r="D1769" s="107">
        <f>'2_入力シート【用途面積】'!$Q45</f>
        <v>0</v>
      </c>
      <c r="E1769" s="564">
        <f>'2_入力シート【用途面積】'!$Q45</f>
        <v>0</v>
      </c>
      <c r="F1769" s="564" t="str">
        <f t="shared" si="269"/>
        <v>0</v>
      </c>
      <c r="G1769" s="24"/>
      <c r="H1769" s="563"/>
      <c r="I1769" s="383" t="s">
        <v>2246</v>
      </c>
      <c r="J1769" s="561" t="s">
        <v>1407</v>
      </c>
      <c r="K1769" s="322" t="s">
        <v>2242</v>
      </c>
      <c r="L1769" s="358" t="s">
        <v>2247</v>
      </c>
      <c r="M1769" s="325" t="s">
        <v>2210</v>
      </c>
      <c r="N1769" s="355"/>
      <c r="O1769" s="352"/>
      <c r="T1769" s="382" t="str">
        <f t="shared" si="270"/>
        <v>階別用途別床面積-6-23階</v>
      </c>
      <c r="V1769" s="202"/>
      <c r="W1769" s="202"/>
      <c r="X1769" s="202"/>
    </row>
    <row r="1770" spans="2:24">
      <c r="B1770" s="4"/>
      <c r="C1770" s="4"/>
      <c r="D1770" s="107">
        <f>'2_入力シート【用途面積】'!$Q46</f>
        <v>0</v>
      </c>
      <c r="E1770" s="564">
        <f>'2_入力シート【用途面積】'!$Q46</f>
        <v>0</v>
      </c>
      <c r="F1770" s="564" t="str">
        <f t="shared" si="269"/>
        <v>0</v>
      </c>
      <c r="G1770" s="24"/>
      <c r="H1770" s="563"/>
      <c r="I1770" s="383" t="s">
        <v>2246</v>
      </c>
      <c r="J1770" s="561" t="s">
        <v>1407</v>
      </c>
      <c r="K1770" s="322" t="s">
        <v>2242</v>
      </c>
      <c r="L1770" s="358" t="s">
        <v>2247</v>
      </c>
      <c r="M1770" s="325" t="s">
        <v>2211</v>
      </c>
      <c r="N1770" s="355"/>
      <c r="O1770" s="352"/>
      <c r="T1770" s="382" t="str">
        <f t="shared" si="270"/>
        <v>階別用途別床面積-6-24階</v>
      </c>
      <c r="V1770" s="202"/>
      <c r="W1770" s="202"/>
      <c r="X1770" s="202"/>
    </row>
    <row r="1771" spans="2:24">
      <c r="B1771" s="4"/>
      <c r="C1771" s="4"/>
      <c r="D1771" s="107">
        <f>'2_入力シート【用途面積】'!$Q47</f>
        <v>0</v>
      </c>
      <c r="E1771" s="564">
        <f>'2_入力シート【用途面積】'!$Q47</f>
        <v>0</v>
      </c>
      <c r="F1771" s="564" t="str">
        <f t="shared" si="269"/>
        <v>0</v>
      </c>
      <c r="G1771" s="24"/>
      <c r="H1771" s="563"/>
      <c r="I1771" s="383" t="s">
        <v>2246</v>
      </c>
      <c r="J1771" s="561" t="s">
        <v>1407</v>
      </c>
      <c r="K1771" s="322" t="s">
        <v>2242</v>
      </c>
      <c r="L1771" s="358" t="s">
        <v>2247</v>
      </c>
      <c r="M1771" s="325" t="s">
        <v>2212</v>
      </c>
      <c r="N1771" s="355"/>
      <c r="O1771" s="352"/>
      <c r="T1771" s="382" t="str">
        <f t="shared" si="270"/>
        <v>階別用途別床面積-6-25階</v>
      </c>
      <c r="V1771" s="202"/>
      <c r="W1771" s="202"/>
      <c r="X1771" s="202"/>
    </row>
    <row r="1772" spans="2:24">
      <c r="B1772" s="4"/>
      <c r="C1772" s="4"/>
      <c r="D1772" s="107">
        <f>'2_入力シート【用途面積】'!$Q48</f>
        <v>0</v>
      </c>
      <c r="E1772" s="564">
        <f>'2_入力シート【用途面積】'!$Q48</f>
        <v>0</v>
      </c>
      <c r="F1772" s="564" t="str">
        <f t="shared" si="269"/>
        <v>0</v>
      </c>
      <c r="G1772" s="24"/>
      <c r="H1772" s="563"/>
      <c r="I1772" s="383" t="s">
        <v>2246</v>
      </c>
      <c r="J1772" s="561" t="s">
        <v>1407</v>
      </c>
      <c r="K1772" s="322" t="s">
        <v>2242</v>
      </c>
      <c r="L1772" s="358" t="s">
        <v>2247</v>
      </c>
      <c r="M1772" s="325" t="s">
        <v>2213</v>
      </c>
      <c r="N1772" s="355"/>
      <c r="O1772" s="352"/>
      <c r="T1772" s="382" t="str">
        <f t="shared" si="270"/>
        <v>階別用途別床面積-6-26階</v>
      </c>
      <c r="V1772" s="202"/>
      <c r="W1772" s="202"/>
      <c r="X1772" s="202"/>
    </row>
    <row r="1773" spans="2:24">
      <c r="B1773" s="4"/>
      <c r="C1773" s="4"/>
      <c r="D1773" s="107">
        <f>'2_入力シート【用途面積】'!$Q49</f>
        <v>0</v>
      </c>
      <c r="E1773" s="564">
        <f>'2_入力シート【用途面積】'!$Q49</f>
        <v>0</v>
      </c>
      <c r="F1773" s="564" t="str">
        <f t="shared" si="269"/>
        <v>0</v>
      </c>
      <c r="G1773" s="24"/>
      <c r="H1773" s="563"/>
      <c r="I1773" s="383" t="s">
        <v>2246</v>
      </c>
      <c r="J1773" s="561" t="s">
        <v>1407</v>
      </c>
      <c r="K1773" s="322" t="s">
        <v>2242</v>
      </c>
      <c r="L1773" s="358" t="s">
        <v>2247</v>
      </c>
      <c r="M1773" s="325" t="s">
        <v>2214</v>
      </c>
      <c r="N1773" s="355"/>
      <c r="O1773" s="352"/>
      <c r="T1773" s="382" t="str">
        <f t="shared" si="270"/>
        <v>階別用途別床面積-6-27階</v>
      </c>
      <c r="V1773" s="202"/>
      <c r="W1773" s="202"/>
      <c r="X1773" s="202"/>
    </row>
    <row r="1774" spans="2:24">
      <c r="B1774" s="4"/>
      <c r="C1774" s="4"/>
      <c r="D1774" s="107">
        <f>'2_入力シート【用途面積】'!$Q50</f>
        <v>0</v>
      </c>
      <c r="E1774" s="564">
        <f>'2_入力シート【用途面積】'!$Q50</f>
        <v>0</v>
      </c>
      <c r="F1774" s="564" t="str">
        <f t="shared" si="269"/>
        <v>0</v>
      </c>
      <c r="G1774" s="24"/>
      <c r="H1774" s="563"/>
      <c r="I1774" s="383" t="s">
        <v>2246</v>
      </c>
      <c r="J1774" s="561" t="s">
        <v>1407</v>
      </c>
      <c r="K1774" s="322" t="s">
        <v>2242</v>
      </c>
      <c r="L1774" s="358" t="s">
        <v>2247</v>
      </c>
      <c r="M1774" s="325" t="s">
        <v>2215</v>
      </c>
      <c r="N1774" s="355"/>
      <c r="O1774" s="352"/>
      <c r="T1774" s="382" t="str">
        <f t="shared" si="270"/>
        <v>階別用途別床面積-6-28階</v>
      </c>
      <c r="V1774" s="202"/>
      <c r="W1774" s="202"/>
      <c r="X1774" s="202"/>
    </row>
    <row r="1775" spans="2:24">
      <c r="B1775" s="4"/>
      <c r="C1775" s="4"/>
      <c r="D1775" s="107">
        <f>'2_入力シート【用途面積】'!$Q51</f>
        <v>0</v>
      </c>
      <c r="E1775" s="564">
        <f>'2_入力シート【用途面積】'!$Q51</f>
        <v>0</v>
      </c>
      <c r="F1775" s="564" t="str">
        <f t="shared" si="269"/>
        <v>0</v>
      </c>
      <c r="G1775" s="24"/>
      <c r="H1775" s="563"/>
      <c r="I1775" s="383" t="s">
        <v>2246</v>
      </c>
      <c r="J1775" s="561" t="s">
        <v>1407</v>
      </c>
      <c r="K1775" s="322" t="s">
        <v>2242</v>
      </c>
      <c r="L1775" s="358" t="s">
        <v>2247</v>
      </c>
      <c r="M1775" s="325" t="s">
        <v>2216</v>
      </c>
      <c r="N1775" s="355"/>
      <c r="O1775" s="352"/>
      <c r="T1775" s="382" t="str">
        <f t="shared" si="270"/>
        <v>階別用途別床面積-6-29階</v>
      </c>
      <c r="V1775" s="202"/>
      <c r="W1775" s="202"/>
      <c r="X1775" s="202"/>
    </row>
    <row r="1776" spans="2:24">
      <c r="B1776" s="4"/>
      <c r="C1776" s="4"/>
      <c r="D1776" s="107">
        <f>'2_入力シート【用途面積】'!$Q52</f>
        <v>0</v>
      </c>
      <c r="E1776" s="564">
        <f>'2_入力シート【用途面積】'!$Q52</f>
        <v>0</v>
      </c>
      <c r="F1776" s="564" t="str">
        <f t="shared" si="269"/>
        <v>0</v>
      </c>
      <c r="G1776" s="24"/>
      <c r="H1776" s="563"/>
      <c r="I1776" s="383" t="s">
        <v>2246</v>
      </c>
      <c r="J1776" s="561" t="s">
        <v>1407</v>
      </c>
      <c r="K1776" s="322" t="s">
        <v>2242</v>
      </c>
      <c r="L1776" s="358" t="s">
        <v>2247</v>
      </c>
      <c r="M1776" s="325" t="s">
        <v>2217</v>
      </c>
      <c r="N1776" s="355"/>
      <c r="O1776" s="352"/>
      <c r="T1776" s="382" t="str">
        <f t="shared" si="270"/>
        <v>階別用途別床面積-6-30階</v>
      </c>
      <c r="V1776" s="202"/>
      <c r="W1776" s="202"/>
      <c r="X1776" s="202"/>
    </row>
    <row r="1777" spans="2:24">
      <c r="B1777" s="4"/>
      <c r="C1777" s="4"/>
      <c r="D1777" s="107">
        <f>'2_入力シート【用途面積】'!$Q53</f>
        <v>0</v>
      </c>
      <c r="E1777" s="564">
        <f>'2_入力シート【用途面積】'!$Q53</f>
        <v>0</v>
      </c>
      <c r="F1777" s="564" t="str">
        <f t="shared" si="269"/>
        <v>0</v>
      </c>
      <c r="G1777" s="24"/>
      <c r="H1777" s="563"/>
      <c r="I1777" s="383" t="s">
        <v>2246</v>
      </c>
      <c r="J1777" s="561" t="s">
        <v>1407</v>
      </c>
      <c r="K1777" s="322" t="s">
        <v>2242</v>
      </c>
      <c r="L1777" s="358" t="s">
        <v>2247</v>
      </c>
      <c r="M1777" s="325" t="s">
        <v>2218</v>
      </c>
      <c r="N1777" s="355"/>
      <c r="O1777" s="352"/>
      <c r="T1777" s="382" t="str">
        <f t="shared" si="270"/>
        <v>階別用途別床面積-6-31階</v>
      </c>
      <c r="V1777" s="202"/>
      <c r="W1777" s="202"/>
      <c r="X1777" s="202"/>
    </row>
    <row r="1778" spans="2:24">
      <c r="B1778" s="4"/>
      <c r="C1778" s="4"/>
      <c r="D1778" s="107">
        <f>'2_入力シート【用途面積】'!$Q54</f>
        <v>0</v>
      </c>
      <c r="E1778" s="564">
        <f>'2_入力シート【用途面積】'!$Q54</f>
        <v>0</v>
      </c>
      <c r="F1778" s="564" t="str">
        <f t="shared" si="269"/>
        <v>0</v>
      </c>
      <c r="G1778" s="24"/>
      <c r="H1778" s="563"/>
      <c r="I1778" s="383" t="s">
        <v>2246</v>
      </c>
      <c r="J1778" s="561" t="s">
        <v>1407</v>
      </c>
      <c r="K1778" s="322" t="s">
        <v>2242</v>
      </c>
      <c r="L1778" s="358" t="s">
        <v>2247</v>
      </c>
      <c r="M1778" s="325" t="s">
        <v>2219</v>
      </c>
      <c r="N1778" s="355"/>
      <c r="O1778" s="352"/>
      <c r="T1778" s="382" t="str">
        <f t="shared" si="270"/>
        <v>階別用途別床面積-6-32階</v>
      </c>
      <c r="V1778" s="202"/>
      <c r="W1778" s="202"/>
      <c r="X1778" s="202"/>
    </row>
    <row r="1779" spans="2:24">
      <c r="B1779" s="4"/>
      <c r="C1779" s="4"/>
      <c r="D1779" s="107">
        <f>'2_入力シート【用途面積】'!$Q55</f>
        <v>0</v>
      </c>
      <c r="E1779" s="564">
        <f>'2_入力シート【用途面積】'!$Q55</f>
        <v>0</v>
      </c>
      <c r="F1779" s="564" t="str">
        <f t="shared" si="269"/>
        <v>0</v>
      </c>
      <c r="G1779" s="24"/>
      <c r="H1779" s="563"/>
      <c r="I1779" s="383" t="s">
        <v>2246</v>
      </c>
      <c r="J1779" s="561" t="s">
        <v>1407</v>
      </c>
      <c r="K1779" s="322" t="s">
        <v>2242</v>
      </c>
      <c r="L1779" s="358" t="s">
        <v>2247</v>
      </c>
      <c r="M1779" s="325" t="s">
        <v>2220</v>
      </c>
      <c r="N1779" s="355"/>
      <c r="O1779" s="352"/>
      <c r="T1779" s="382" t="str">
        <f t="shared" si="270"/>
        <v>階別用途別床面積-6-33階</v>
      </c>
      <c r="V1779" s="202"/>
      <c r="W1779" s="202"/>
      <c r="X1779" s="202"/>
    </row>
    <row r="1780" spans="2:24">
      <c r="B1780" s="4"/>
      <c r="C1780" s="4"/>
      <c r="D1780" s="107">
        <f>'2_入力シート【用途面積】'!$Q56</f>
        <v>0</v>
      </c>
      <c r="E1780" s="564">
        <f>'2_入力シート【用途面積】'!$Q56</f>
        <v>0</v>
      </c>
      <c r="F1780" s="564" t="str">
        <f t="shared" si="269"/>
        <v>0</v>
      </c>
      <c r="G1780" s="24"/>
      <c r="H1780" s="563"/>
      <c r="I1780" s="383" t="s">
        <v>2246</v>
      </c>
      <c r="J1780" s="561" t="s">
        <v>1407</v>
      </c>
      <c r="K1780" s="322" t="s">
        <v>2242</v>
      </c>
      <c r="L1780" s="358" t="s">
        <v>2247</v>
      </c>
      <c r="M1780" s="325" t="s">
        <v>2221</v>
      </c>
      <c r="N1780" s="355"/>
      <c r="O1780" s="352"/>
      <c r="T1780" s="382" t="str">
        <f t="shared" si="270"/>
        <v>階別用途別床面積-6-34階</v>
      </c>
      <c r="V1780" s="202"/>
      <c r="W1780" s="202"/>
      <c r="X1780" s="202"/>
    </row>
    <row r="1781" spans="2:24">
      <c r="B1781" s="4"/>
      <c r="C1781" s="4"/>
      <c r="D1781" s="107">
        <f>'2_入力シート【用途面積】'!$Q57</f>
        <v>0</v>
      </c>
      <c r="E1781" s="564">
        <f>'2_入力シート【用途面積】'!$Q57</f>
        <v>0</v>
      </c>
      <c r="F1781" s="564" t="str">
        <f t="shared" si="269"/>
        <v>0</v>
      </c>
      <c r="G1781" s="24"/>
      <c r="H1781" s="563"/>
      <c r="I1781" s="383" t="s">
        <v>2246</v>
      </c>
      <c r="J1781" s="561" t="s">
        <v>1407</v>
      </c>
      <c r="K1781" s="322" t="s">
        <v>2242</v>
      </c>
      <c r="L1781" s="358" t="s">
        <v>2247</v>
      </c>
      <c r="M1781" s="325" t="s">
        <v>2222</v>
      </c>
      <c r="N1781" s="355"/>
      <c r="O1781" s="352"/>
      <c r="T1781" s="382" t="str">
        <f t="shared" si="270"/>
        <v>階別用途別床面積-6-35階</v>
      </c>
      <c r="V1781" s="202"/>
      <c r="W1781" s="202"/>
      <c r="X1781" s="202"/>
    </row>
    <row r="1782" spans="2:24">
      <c r="B1782" s="4"/>
      <c r="C1782" s="4"/>
      <c r="D1782" s="107">
        <f>'2_入力シート【用途面積】'!$Q58</f>
        <v>0</v>
      </c>
      <c r="E1782" s="564">
        <f>'2_入力シート【用途面積】'!$Q58</f>
        <v>0</v>
      </c>
      <c r="F1782" s="564" t="str">
        <f t="shared" si="269"/>
        <v>0</v>
      </c>
      <c r="G1782" s="24"/>
      <c r="H1782" s="563"/>
      <c r="I1782" s="383" t="s">
        <v>2246</v>
      </c>
      <c r="J1782" s="561" t="s">
        <v>1407</v>
      </c>
      <c r="K1782" s="322" t="s">
        <v>2242</v>
      </c>
      <c r="L1782" s="358" t="s">
        <v>2247</v>
      </c>
      <c r="M1782" s="325" t="s">
        <v>2223</v>
      </c>
      <c r="N1782" s="355"/>
      <c r="O1782" s="352"/>
      <c r="T1782" s="382" t="str">
        <f t="shared" si="270"/>
        <v>階別用途別床面積-6-36階</v>
      </c>
      <c r="V1782" s="202"/>
      <c r="W1782" s="202"/>
      <c r="X1782" s="202"/>
    </row>
    <row r="1783" spans="2:24">
      <c r="B1783" s="4"/>
      <c r="C1783" s="4"/>
      <c r="D1783" s="107">
        <f>'2_入力シート【用途面積】'!$Q59</f>
        <v>0</v>
      </c>
      <c r="E1783" s="564">
        <f>'2_入力シート【用途面積】'!$Q59</f>
        <v>0</v>
      </c>
      <c r="F1783" s="564" t="str">
        <f t="shared" si="269"/>
        <v>0</v>
      </c>
      <c r="G1783" s="24"/>
      <c r="H1783" s="563"/>
      <c r="I1783" s="383" t="s">
        <v>2246</v>
      </c>
      <c r="J1783" s="561" t="s">
        <v>1407</v>
      </c>
      <c r="K1783" s="322" t="s">
        <v>2242</v>
      </c>
      <c r="L1783" s="358" t="s">
        <v>2247</v>
      </c>
      <c r="M1783" s="325" t="s">
        <v>2224</v>
      </c>
      <c r="N1783" s="355"/>
      <c r="O1783" s="352"/>
      <c r="T1783" s="382" t="str">
        <f t="shared" si="270"/>
        <v>階別用途別床面積-6-37階</v>
      </c>
      <c r="V1783" s="202"/>
      <c r="W1783" s="202"/>
      <c r="X1783" s="202"/>
    </row>
    <row r="1784" spans="2:24">
      <c r="B1784" s="4"/>
      <c r="C1784" s="4"/>
      <c r="D1784" s="107">
        <f>'2_入力シート【用途面積】'!$Q60</f>
        <v>0</v>
      </c>
      <c r="E1784" s="564">
        <f>'2_入力シート【用途面積】'!$Q60</f>
        <v>0</v>
      </c>
      <c r="F1784" s="564" t="str">
        <f t="shared" si="269"/>
        <v>0</v>
      </c>
      <c r="G1784" s="24"/>
      <c r="H1784" s="563"/>
      <c r="I1784" s="383" t="s">
        <v>2246</v>
      </c>
      <c r="J1784" s="561" t="s">
        <v>1407</v>
      </c>
      <c r="K1784" s="322" t="s">
        <v>2242</v>
      </c>
      <c r="L1784" s="358" t="s">
        <v>2247</v>
      </c>
      <c r="M1784" s="325" t="s">
        <v>2225</v>
      </c>
      <c r="N1784" s="355"/>
      <c r="O1784" s="352"/>
      <c r="T1784" s="382" t="str">
        <f t="shared" si="270"/>
        <v>階別用途別床面積-6-38階</v>
      </c>
      <c r="V1784" s="202"/>
      <c r="W1784" s="202"/>
      <c r="X1784" s="202"/>
    </row>
    <row r="1785" spans="2:24">
      <c r="B1785" s="4"/>
      <c r="C1785" s="4"/>
      <c r="D1785" s="107">
        <f>'2_入力シート【用途面積】'!$Q61</f>
        <v>0</v>
      </c>
      <c r="E1785" s="564">
        <f>'2_入力シート【用途面積】'!$Q61</f>
        <v>0</v>
      </c>
      <c r="F1785" s="564" t="str">
        <f t="shared" si="269"/>
        <v>0</v>
      </c>
      <c r="G1785" s="24"/>
      <c r="H1785" s="563"/>
      <c r="I1785" s="383" t="s">
        <v>2246</v>
      </c>
      <c r="J1785" s="561" t="s">
        <v>1407</v>
      </c>
      <c r="K1785" s="322" t="s">
        <v>2242</v>
      </c>
      <c r="L1785" s="358" t="s">
        <v>2247</v>
      </c>
      <c r="M1785" s="325" t="s">
        <v>2226</v>
      </c>
      <c r="N1785" s="355"/>
      <c r="O1785" s="352"/>
      <c r="T1785" s="382" t="str">
        <f t="shared" si="270"/>
        <v>階別用途別床面積-6-39階</v>
      </c>
      <c r="V1785" s="202"/>
      <c r="W1785" s="202"/>
      <c r="X1785" s="202"/>
    </row>
    <row r="1786" spans="2:24">
      <c r="B1786" s="4"/>
      <c r="C1786" s="4"/>
      <c r="D1786" s="107">
        <f>'2_入力シート【用途面積】'!$Q62</f>
        <v>0</v>
      </c>
      <c r="E1786" s="564">
        <f>'2_入力シート【用途面積】'!$Q62</f>
        <v>0</v>
      </c>
      <c r="F1786" s="564" t="str">
        <f t="shared" si="269"/>
        <v>0</v>
      </c>
      <c r="G1786" s="24"/>
      <c r="H1786" s="563"/>
      <c r="I1786" s="383" t="s">
        <v>2246</v>
      </c>
      <c r="J1786" s="561" t="s">
        <v>1407</v>
      </c>
      <c r="K1786" s="322" t="s">
        <v>2242</v>
      </c>
      <c r="L1786" s="358" t="s">
        <v>2247</v>
      </c>
      <c r="M1786" s="325" t="s">
        <v>2227</v>
      </c>
      <c r="N1786" s="355"/>
      <c r="O1786" s="352"/>
      <c r="T1786" s="382" t="str">
        <f t="shared" si="270"/>
        <v>階別用途別床面積-6-40階</v>
      </c>
      <c r="V1786" s="202"/>
      <c r="W1786" s="202"/>
      <c r="X1786" s="202"/>
    </row>
    <row r="1787" spans="2:24">
      <c r="B1787" s="4"/>
      <c r="C1787" s="4"/>
      <c r="D1787" s="107">
        <f>'2_入力シート【用途面積】'!$Q63</f>
        <v>0</v>
      </c>
      <c r="E1787" s="564">
        <f>'2_入力シート【用途面積】'!$Q63</f>
        <v>0</v>
      </c>
      <c r="F1787" s="564" t="str">
        <f t="shared" si="269"/>
        <v>0</v>
      </c>
      <c r="G1787" s="24"/>
      <c r="H1787" s="563"/>
      <c r="I1787" s="383" t="s">
        <v>2246</v>
      </c>
      <c r="J1787" s="561" t="s">
        <v>1407</v>
      </c>
      <c r="K1787" s="322" t="s">
        <v>2242</v>
      </c>
      <c r="L1787" s="358" t="s">
        <v>2247</v>
      </c>
      <c r="M1787" s="325" t="s">
        <v>2228</v>
      </c>
      <c r="N1787" s="355"/>
      <c r="O1787" s="352"/>
      <c r="T1787" s="382" t="str">
        <f t="shared" si="270"/>
        <v>階別用途別床面積-6-41階</v>
      </c>
      <c r="V1787" s="202"/>
      <c r="W1787" s="202"/>
      <c r="X1787" s="202"/>
    </row>
    <row r="1788" spans="2:24">
      <c r="B1788" s="4"/>
      <c r="C1788" s="4"/>
      <c r="D1788" s="107">
        <f>'2_入力シート【用途面積】'!$Q64</f>
        <v>0</v>
      </c>
      <c r="E1788" s="564">
        <f>'2_入力シート【用途面積】'!$Q64</f>
        <v>0</v>
      </c>
      <c r="F1788" s="564" t="str">
        <f t="shared" si="269"/>
        <v>0</v>
      </c>
      <c r="G1788" s="24"/>
      <c r="H1788" s="563"/>
      <c r="I1788" s="383" t="s">
        <v>2246</v>
      </c>
      <c r="J1788" s="561" t="s">
        <v>1407</v>
      </c>
      <c r="K1788" s="322" t="s">
        <v>2242</v>
      </c>
      <c r="L1788" s="358" t="s">
        <v>2247</v>
      </c>
      <c r="M1788" s="325" t="s">
        <v>2229</v>
      </c>
      <c r="N1788" s="355"/>
      <c r="O1788" s="352"/>
      <c r="T1788" s="382" t="str">
        <f t="shared" si="270"/>
        <v>階別用途別床面積-6-42階</v>
      </c>
      <c r="V1788" s="202"/>
      <c r="W1788" s="202"/>
      <c r="X1788" s="202"/>
    </row>
    <row r="1789" spans="2:24">
      <c r="B1789" s="4"/>
      <c r="C1789" s="4"/>
      <c r="D1789" s="107">
        <f>'2_入力シート【用途面積】'!$Q65</f>
        <v>0</v>
      </c>
      <c r="E1789" s="564">
        <f>'2_入力シート【用途面積】'!$Q65</f>
        <v>0</v>
      </c>
      <c r="F1789" s="564" t="str">
        <f t="shared" si="269"/>
        <v>0</v>
      </c>
      <c r="G1789" s="24"/>
      <c r="H1789" s="563"/>
      <c r="I1789" s="383" t="s">
        <v>2246</v>
      </c>
      <c r="J1789" s="561" t="s">
        <v>1407</v>
      </c>
      <c r="K1789" s="322" t="s">
        <v>2242</v>
      </c>
      <c r="L1789" s="358" t="s">
        <v>2247</v>
      </c>
      <c r="M1789" s="325" t="s">
        <v>2230</v>
      </c>
      <c r="N1789" s="355"/>
      <c r="O1789" s="352"/>
      <c r="T1789" s="382" t="str">
        <f t="shared" si="270"/>
        <v>階別用途別床面積-6-43階</v>
      </c>
      <c r="V1789" s="202"/>
      <c r="W1789" s="202"/>
      <c r="X1789" s="202"/>
    </row>
    <row r="1790" spans="2:24">
      <c r="B1790" s="4"/>
      <c r="C1790" s="4"/>
      <c r="D1790" s="107">
        <f>'2_入力シート【用途面積】'!$Q66</f>
        <v>0</v>
      </c>
      <c r="E1790" s="564">
        <f>'2_入力シート【用途面積】'!$Q66</f>
        <v>0</v>
      </c>
      <c r="F1790" s="564" t="str">
        <f t="shared" si="269"/>
        <v>0</v>
      </c>
      <c r="G1790" s="24"/>
      <c r="H1790" s="563"/>
      <c r="I1790" s="383" t="s">
        <v>2246</v>
      </c>
      <c r="J1790" s="561" t="s">
        <v>1407</v>
      </c>
      <c r="K1790" s="322" t="s">
        <v>2242</v>
      </c>
      <c r="L1790" s="358" t="s">
        <v>2247</v>
      </c>
      <c r="M1790" s="325" t="s">
        <v>2231</v>
      </c>
      <c r="N1790" s="355"/>
      <c r="O1790" s="352"/>
      <c r="T1790" s="382" t="str">
        <f t="shared" si="270"/>
        <v>階別用途別床面積-6-44階</v>
      </c>
      <c r="V1790" s="202"/>
      <c r="W1790" s="202"/>
      <c r="X1790" s="202"/>
    </row>
    <row r="1791" spans="2:24">
      <c r="B1791" s="4"/>
      <c r="C1791" s="4"/>
      <c r="D1791" s="107">
        <f>'2_入力シート【用途面積】'!$Q67</f>
        <v>0</v>
      </c>
      <c r="E1791" s="564">
        <f>'2_入力シート【用途面積】'!$Q67</f>
        <v>0</v>
      </c>
      <c r="F1791" s="564" t="str">
        <f t="shared" si="269"/>
        <v>0</v>
      </c>
      <c r="G1791" s="24"/>
      <c r="H1791" s="563"/>
      <c r="I1791" s="383" t="s">
        <v>2246</v>
      </c>
      <c r="J1791" s="561" t="s">
        <v>1407</v>
      </c>
      <c r="K1791" s="322" t="s">
        <v>2242</v>
      </c>
      <c r="L1791" s="358" t="s">
        <v>2247</v>
      </c>
      <c r="M1791" s="325" t="s">
        <v>2232</v>
      </c>
      <c r="N1791" s="355"/>
      <c r="O1791" s="352"/>
      <c r="T1791" s="382" t="str">
        <f t="shared" si="270"/>
        <v>階別用途別床面積-6-45階</v>
      </c>
      <c r="V1791" s="202"/>
      <c r="W1791" s="202"/>
      <c r="X1791" s="202"/>
    </row>
    <row r="1792" spans="2:24">
      <c r="B1792" s="4"/>
      <c r="C1792" s="4"/>
      <c r="D1792" s="107">
        <f>'2_入力シート【用途面積】'!$Q68</f>
        <v>0</v>
      </c>
      <c r="E1792" s="564">
        <f>'2_入力シート【用途面積】'!$Q68</f>
        <v>0</v>
      </c>
      <c r="F1792" s="564" t="str">
        <f t="shared" si="269"/>
        <v>0</v>
      </c>
      <c r="G1792" s="24"/>
      <c r="H1792" s="563"/>
      <c r="I1792" s="383" t="s">
        <v>2246</v>
      </c>
      <c r="J1792" s="561" t="s">
        <v>1407</v>
      </c>
      <c r="K1792" s="322" t="s">
        <v>2242</v>
      </c>
      <c r="L1792" s="358" t="s">
        <v>2247</v>
      </c>
      <c r="M1792" s="325" t="s">
        <v>2233</v>
      </c>
      <c r="N1792" s="355"/>
      <c r="O1792" s="352"/>
      <c r="T1792" s="382" t="str">
        <f t="shared" si="270"/>
        <v>階別用途別床面積-6-46階</v>
      </c>
      <c r="V1792" s="202"/>
      <c r="W1792" s="202"/>
      <c r="X1792" s="202"/>
    </row>
    <row r="1793" spans="2:28">
      <c r="B1793" s="4"/>
      <c r="C1793" s="4"/>
      <c r="D1793" s="107">
        <f>'2_入力シート【用途面積】'!$Q69</f>
        <v>0</v>
      </c>
      <c r="E1793" s="564">
        <f>'2_入力シート【用途面積】'!$Q69</f>
        <v>0</v>
      </c>
      <c r="F1793" s="564" t="str">
        <f t="shared" si="269"/>
        <v>0</v>
      </c>
      <c r="G1793" s="24"/>
      <c r="H1793" s="563"/>
      <c r="I1793" s="383" t="s">
        <v>2246</v>
      </c>
      <c r="J1793" s="561" t="s">
        <v>1407</v>
      </c>
      <c r="K1793" s="322" t="s">
        <v>2242</v>
      </c>
      <c r="L1793" s="358" t="s">
        <v>2247</v>
      </c>
      <c r="M1793" s="325" t="s">
        <v>2234</v>
      </c>
      <c r="N1793" s="355"/>
      <c r="O1793" s="352"/>
      <c r="T1793" s="382" t="str">
        <f t="shared" si="270"/>
        <v>階別用途別床面積-6-47階</v>
      </c>
      <c r="V1793" s="202"/>
      <c r="W1793" s="202"/>
      <c r="X1793" s="202"/>
    </row>
    <row r="1794" spans="2:28">
      <c r="B1794" s="4"/>
      <c r="C1794" s="4"/>
      <c r="D1794" s="107">
        <f>'2_入力シート【用途面積】'!$Q70</f>
        <v>0</v>
      </c>
      <c r="E1794" s="564">
        <f>'2_入力シート【用途面積】'!$Q70</f>
        <v>0</v>
      </c>
      <c r="F1794" s="564" t="str">
        <f t="shared" si="269"/>
        <v>0</v>
      </c>
      <c r="G1794" s="24"/>
      <c r="H1794" s="563"/>
      <c r="I1794" s="383" t="s">
        <v>2246</v>
      </c>
      <c r="J1794" s="561" t="s">
        <v>1407</v>
      </c>
      <c r="K1794" s="322" t="s">
        <v>2242</v>
      </c>
      <c r="L1794" s="358" t="s">
        <v>2247</v>
      </c>
      <c r="M1794" s="325" t="s">
        <v>2235</v>
      </c>
      <c r="N1794" s="355"/>
      <c r="O1794" s="352"/>
      <c r="T1794" s="382" t="str">
        <f t="shared" si="270"/>
        <v>階別用途別床面積-6-48階</v>
      </c>
      <c r="V1794" s="202"/>
      <c r="W1794" s="202"/>
      <c r="X1794" s="202"/>
    </row>
    <row r="1795" spans="2:28">
      <c r="B1795" s="4"/>
      <c r="C1795" s="4"/>
      <c r="D1795" s="107">
        <f>'2_入力シート【用途面積】'!$Q71</f>
        <v>0</v>
      </c>
      <c r="E1795" s="564">
        <f>'2_入力シート【用途面積】'!$Q71</f>
        <v>0</v>
      </c>
      <c r="F1795" s="564" t="str">
        <f t="shared" si="269"/>
        <v>0</v>
      </c>
      <c r="G1795" s="24"/>
      <c r="H1795" s="563"/>
      <c r="I1795" s="383" t="s">
        <v>2246</v>
      </c>
      <c r="J1795" s="561" t="s">
        <v>1407</v>
      </c>
      <c r="K1795" s="322" t="s">
        <v>2242</v>
      </c>
      <c r="L1795" s="358" t="s">
        <v>2247</v>
      </c>
      <c r="M1795" s="325" t="s">
        <v>2236</v>
      </c>
      <c r="N1795" s="355"/>
      <c r="O1795" s="352"/>
      <c r="T1795" s="382" t="str">
        <f t="shared" si="270"/>
        <v>階別用途別床面積-6-49階</v>
      </c>
      <c r="V1795" s="202"/>
      <c r="W1795" s="202"/>
      <c r="X1795" s="202"/>
    </row>
    <row r="1796" spans="2:28">
      <c r="B1796" s="4"/>
      <c r="C1796" s="4"/>
      <c r="D1796" s="107">
        <f>'2_入力シート【用途面積】'!$Q72</f>
        <v>0</v>
      </c>
      <c r="E1796" s="564">
        <f>'2_入力シート【用途面積】'!$Q72</f>
        <v>0</v>
      </c>
      <c r="F1796" s="564" t="str">
        <f t="shared" si="269"/>
        <v>0</v>
      </c>
      <c r="G1796" s="24"/>
      <c r="H1796" s="563"/>
      <c r="I1796" s="383" t="s">
        <v>2246</v>
      </c>
      <c r="J1796" s="561" t="s">
        <v>1407</v>
      </c>
      <c r="K1796" s="322" t="s">
        <v>2242</v>
      </c>
      <c r="L1796" s="358" t="s">
        <v>2247</v>
      </c>
      <c r="M1796" s="325" t="s">
        <v>2237</v>
      </c>
      <c r="N1796" s="355"/>
      <c r="O1796" s="352"/>
      <c r="T1796" s="382" t="str">
        <f t="shared" si="270"/>
        <v>階別用途別床面積-6-50階</v>
      </c>
      <c r="V1796" s="202"/>
      <c r="W1796" s="202"/>
      <c r="X1796" s="202"/>
    </row>
    <row r="1797" spans="2:28">
      <c r="B1797" s="4"/>
      <c r="C1797" s="4"/>
      <c r="D1797" s="107">
        <f>'2_入力シート【用途面積】'!$S$4</f>
        <v>0</v>
      </c>
      <c r="E1797" s="564">
        <f>'2_入力シート【用途面積】'!$S$4</f>
        <v>0</v>
      </c>
      <c r="F1797" s="564" t="str">
        <f t="shared" ref="F1797:F1860" si="271">SUBSTITUTE(E1797,CHAR(10),"")</f>
        <v>0</v>
      </c>
      <c r="G1797" s="24"/>
      <c r="H1797" s="563"/>
      <c r="I1797" s="383" t="s">
        <v>2246</v>
      </c>
      <c r="J1797" s="561" t="s">
        <v>1407</v>
      </c>
      <c r="K1797" s="322" t="s">
        <v>2245</v>
      </c>
      <c r="L1797" s="358" t="s">
        <v>2247</v>
      </c>
      <c r="M1797" s="325" t="s">
        <v>2238</v>
      </c>
      <c r="N1797" s="355"/>
      <c r="O1797" s="352"/>
      <c r="T1797" s="382" t="str">
        <f t="shared" si="270"/>
        <v>階別用途別床面積-7-大分類</v>
      </c>
      <c r="V1797" s="202"/>
      <c r="W1797" s="202"/>
      <c r="X1797" s="202"/>
    </row>
    <row r="1798" spans="2:28">
      <c r="B1798" s="4"/>
      <c r="C1798" s="4"/>
      <c r="D1798" s="107">
        <f>'2_入力シート【用途面積】'!$S$7</f>
        <v>0</v>
      </c>
      <c r="E1798" s="564">
        <f>'2_入力シート【用途面積】'!$S$7</f>
        <v>0</v>
      </c>
      <c r="F1798" s="564" t="str">
        <f t="shared" si="271"/>
        <v>0</v>
      </c>
      <c r="G1798" s="24"/>
      <c r="H1798" s="563"/>
      <c r="I1798" s="383" t="s">
        <v>2246</v>
      </c>
      <c r="J1798" s="561" t="s">
        <v>1407</v>
      </c>
      <c r="K1798" s="322" t="s">
        <v>2245</v>
      </c>
      <c r="L1798" s="358" t="s">
        <v>2247</v>
      </c>
      <c r="M1798" s="325" t="s">
        <v>2239</v>
      </c>
      <c r="N1798" s="355"/>
      <c r="O1798" s="352"/>
      <c r="T1798" s="382" t="str">
        <f t="shared" si="270"/>
        <v>階別用途別床面積-7-小分類</v>
      </c>
      <c r="V1798" s="202"/>
      <c r="W1798" s="202"/>
      <c r="X1798" s="202"/>
    </row>
    <row r="1799" spans="2:28">
      <c r="B1799" s="4"/>
      <c r="C1799" s="4"/>
      <c r="D1799" s="107"/>
      <c r="E1799" s="789">
        <f>'2_入力シート【用途面積】'!$S$12</f>
        <v>0</v>
      </c>
      <c r="F1799" s="789" t="str">
        <f t="shared" si="271"/>
        <v>0</v>
      </c>
      <c r="G1799" s="790"/>
      <c r="H1799" s="828"/>
      <c r="I1799" s="832" t="s">
        <v>3402</v>
      </c>
      <c r="J1799" s="796" t="s">
        <v>1879</v>
      </c>
      <c r="K1799" s="696" t="s">
        <v>1792</v>
      </c>
      <c r="L1799" s="697" t="s">
        <v>1879</v>
      </c>
      <c r="M1799" s="698" t="s">
        <v>3401</v>
      </c>
      <c r="N1799" s="830"/>
      <c r="O1799" s="829"/>
      <c r="P1799" s="794"/>
      <c r="Q1799" s="831"/>
      <c r="R1799" s="794"/>
      <c r="S1799" s="794"/>
      <c r="T1799" s="382" t="str">
        <f t="shared" si="270"/>
        <v>階別用途別床面積-7-特記</v>
      </c>
      <c r="U1799" s="382"/>
      <c r="V1799" s="202"/>
      <c r="W1799" s="202"/>
      <c r="X1799" s="202"/>
      <c r="Y1799" s="382"/>
      <c r="Z1799" s="382"/>
      <c r="AA1799" s="382"/>
      <c r="AB1799" s="382"/>
    </row>
    <row r="1800" spans="2:28">
      <c r="B1800" s="4"/>
      <c r="C1800" s="4"/>
      <c r="D1800" s="107">
        <f>'2_入力シート【用途面積】'!$S14</f>
        <v>0</v>
      </c>
      <c r="E1800" s="564">
        <f>'2_入力シート【用途面積】'!$S14</f>
        <v>0</v>
      </c>
      <c r="F1800" s="564" t="str">
        <f t="shared" si="271"/>
        <v>0</v>
      </c>
      <c r="G1800" s="24"/>
      <c r="H1800" s="563"/>
      <c r="I1800" s="383" t="s">
        <v>2246</v>
      </c>
      <c r="J1800" s="561" t="s">
        <v>1407</v>
      </c>
      <c r="K1800" s="322" t="s">
        <v>2244</v>
      </c>
      <c r="L1800" s="358" t="s">
        <v>2247</v>
      </c>
      <c r="M1800" s="325" t="s">
        <v>2179</v>
      </c>
      <c r="N1800" s="355"/>
      <c r="O1800" s="352"/>
      <c r="T1800" s="382" t="str">
        <f t="shared" si="270"/>
        <v>階別用途別床面積-7-地下1階</v>
      </c>
      <c r="V1800" s="202"/>
      <c r="W1800" s="202"/>
      <c r="X1800" s="202"/>
    </row>
    <row r="1801" spans="2:28">
      <c r="B1801" s="4"/>
      <c r="C1801" s="4"/>
      <c r="D1801" s="107">
        <f>'2_入力シート【用途面積】'!$S15</f>
        <v>0</v>
      </c>
      <c r="E1801" s="564">
        <f>'2_入力シート【用途面積】'!$S15</f>
        <v>0</v>
      </c>
      <c r="F1801" s="564" t="str">
        <f t="shared" si="271"/>
        <v>0</v>
      </c>
      <c r="G1801" s="24"/>
      <c r="H1801" s="563"/>
      <c r="I1801" s="383" t="s">
        <v>2246</v>
      </c>
      <c r="J1801" s="561" t="s">
        <v>1407</v>
      </c>
      <c r="K1801" s="322" t="s">
        <v>2244</v>
      </c>
      <c r="L1801" s="358" t="s">
        <v>2247</v>
      </c>
      <c r="M1801" s="325" t="s">
        <v>2180</v>
      </c>
      <c r="N1801" s="355"/>
      <c r="O1801" s="352"/>
      <c r="T1801" s="382" t="str">
        <f t="shared" si="270"/>
        <v>階別用途別床面積-7-地下2階</v>
      </c>
      <c r="V1801" s="202"/>
      <c r="W1801" s="202"/>
      <c r="X1801" s="202"/>
    </row>
    <row r="1802" spans="2:28">
      <c r="B1802" s="4"/>
      <c r="C1802" s="4"/>
      <c r="D1802" s="107">
        <f>'2_入力シート【用途面積】'!$S16</f>
        <v>0</v>
      </c>
      <c r="E1802" s="564">
        <f>'2_入力シート【用途面積】'!$S16</f>
        <v>0</v>
      </c>
      <c r="F1802" s="564" t="str">
        <f t="shared" si="271"/>
        <v>0</v>
      </c>
      <c r="G1802" s="24"/>
      <c r="H1802" s="563"/>
      <c r="I1802" s="383" t="s">
        <v>2246</v>
      </c>
      <c r="J1802" s="561" t="s">
        <v>1407</v>
      </c>
      <c r="K1802" s="322" t="s">
        <v>2244</v>
      </c>
      <c r="L1802" s="358" t="s">
        <v>2247</v>
      </c>
      <c r="M1802" s="325" t="s">
        <v>2181</v>
      </c>
      <c r="N1802" s="355"/>
      <c r="O1802" s="352"/>
      <c r="T1802" s="382" t="str">
        <f t="shared" si="270"/>
        <v>階別用途別床面積-7-地下3階</v>
      </c>
      <c r="V1802" s="202"/>
      <c r="W1802" s="202"/>
      <c r="X1802" s="202"/>
    </row>
    <row r="1803" spans="2:28">
      <c r="B1803" s="4"/>
      <c r="C1803" s="4"/>
      <c r="D1803" s="107">
        <f>'2_入力シート【用途面積】'!$S17</f>
        <v>0</v>
      </c>
      <c r="E1803" s="564">
        <f>'2_入力シート【用途面積】'!$S17</f>
        <v>0</v>
      </c>
      <c r="F1803" s="564" t="str">
        <f t="shared" si="271"/>
        <v>0</v>
      </c>
      <c r="G1803" s="24"/>
      <c r="H1803" s="563"/>
      <c r="I1803" s="383" t="s">
        <v>2246</v>
      </c>
      <c r="J1803" s="561" t="s">
        <v>1407</v>
      </c>
      <c r="K1803" s="322" t="s">
        <v>2244</v>
      </c>
      <c r="L1803" s="358" t="s">
        <v>2247</v>
      </c>
      <c r="M1803" s="325" t="s">
        <v>2182</v>
      </c>
      <c r="N1803" s="355"/>
      <c r="O1803" s="352"/>
      <c r="T1803" s="382" t="str">
        <f t="shared" si="270"/>
        <v>階別用途別床面積-7-地下4階</v>
      </c>
      <c r="V1803" s="202"/>
      <c r="W1803" s="202"/>
      <c r="X1803" s="202"/>
    </row>
    <row r="1804" spans="2:28">
      <c r="B1804" s="4"/>
      <c r="C1804" s="4"/>
      <c r="D1804" s="107">
        <f>'2_入力シート【用途面積】'!$S18</f>
        <v>0</v>
      </c>
      <c r="E1804" s="564">
        <f>'2_入力シート【用途面積】'!$S18</f>
        <v>0</v>
      </c>
      <c r="F1804" s="564" t="str">
        <f t="shared" si="271"/>
        <v>0</v>
      </c>
      <c r="G1804" s="24"/>
      <c r="H1804" s="563"/>
      <c r="I1804" s="383" t="s">
        <v>2246</v>
      </c>
      <c r="J1804" s="561" t="s">
        <v>1407</v>
      </c>
      <c r="K1804" s="322" t="s">
        <v>2244</v>
      </c>
      <c r="L1804" s="358" t="s">
        <v>2247</v>
      </c>
      <c r="M1804" s="325" t="s">
        <v>2183</v>
      </c>
      <c r="N1804" s="355"/>
      <c r="O1804" s="352"/>
      <c r="T1804" s="382" t="str">
        <f t="shared" si="270"/>
        <v>階別用途別床面積-7-塔屋 1階</v>
      </c>
      <c r="V1804" s="202"/>
      <c r="W1804" s="202"/>
      <c r="X1804" s="202"/>
    </row>
    <row r="1805" spans="2:28">
      <c r="B1805" s="4"/>
      <c r="C1805" s="4"/>
      <c r="D1805" s="107">
        <f>'2_入力シート【用途面積】'!$S19</f>
        <v>0</v>
      </c>
      <c r="E1805" s="564">
        <f>'2_入力シート【用途面積】'!$S19</f>
        <v>0</v>
      </c>
      <c r="F1805" s="564" t="str">
        <f t="shared" si="271"/>
        <v>0</v>
      </c>
      <c r="G1805" s="24"/>
      <c r="H1805" s="563"/>
      <c r="I1805" s="383" t="s">
        <v>2246</v>
      </c>
      <c r="J1805" s="561" t="s">
        <v>1407</v>
      </c>
      <c r="K1805" s="322" t="s">
        <v>2244</v>
      </c>
      <c r="L1805" s="358" t="s">
        <v>2247</v>
      </c>
      <c r="M1805" s="325" t="s">
        <v>2184</v>
      </c>
      <c r="N1805" s="355"/>
      <c r="O1805" s="352"/>
      <c r="T1805" s="382" t="str">
        <f t="shared" si="270"/>
        <v>階別用途別床面積-7-塔屋 2階</v>
      </c>
      <c r="V1805" s="202"/>
      <c r="W1805" s="202"/>
      <c r="X1805" s="202"/>
    </row>
    <row r="1806" spans="2:28">
      <c r="B1806" s="4"/>
      <c r="C1806" s="4"/>
      <c r="D1806" s="107">
        <f>'2_入力シート【用途面積】'!$S20</f>
        <v>0</v>
      </c>
      <c r="E1806" s="564">
        <f>'2_入力シート【用途面積】'!$S20</f>
        <v>0</v>
      </c>
      <c r="F1806" s="564" t="str">
        <f t="shared" si="271"/>
        <v>0</v>
      </c>
      <c r="G1806" s="24"/>
      <c r="H1806" s="563"/>
      <c r="I1806" s="383" t="s">
        <v>2246</v>
      </c>
      <c r="J1806" s="561" t="s">
        <v>1407</v>
      </c>
      <c r="K1806" s="322" t="s">
        <v>2244</v>
      </c>
      <c r="L1806" s="358" t="s">
        <v>2247</v>
      </c>
      <c r="M1806" s="325" t="s">
        <v>2185</v>
      </c>
      <c r="N1806" s="355"/>
      <c r="O1806" s="352"/>
      <c r="T1806" s="382" t="str">
        <f t="shared" si="270"/>
        <v>階別用途別床面積-7-塔屋 3階</v>
      </c>
      <c r="V1806" s="202"/>
      <c r="W1806" s="202"/>
      <c r="X1806" s="202"/>
    </row>
    <row r="1807" spans="2:28">
      <c r="B1807" s="4"/>
      <c r="C1807" s="4"/>
      <c r="D1807" s="107">
        <f>'2_入力シート【用途面積】'!$S21</f>
        <v>0</v>
      </c>
      <c r="E1807" s="564">
        <f>'2_入力シート【用途面積】'!$S21</f>
        <v>0</v>
      </c>
      <c r="F1807" s="564" t="str">
        <f t="shared" si="271"/>
        <v>0</v>
      </c>
      <c r="G1807" s="24"/>
      <c r="H1807" s="563"/>
      <c r="I1807" s="383" t="s">
        <v>2246</v>
      </c>
      <c r="J1807" s="561" t="s">
        <v>1407</v>
      </c>
      <c r="K1807" s="322" t="s">
        <v>2244</v>
      </c>
      <c r="L1807" s="358" t="s">
        <v>2247</v>
      </c>
      <c r="M1807" s="325" t="s">
        <v>2186</v>
      </c>
      <c r="N1807" s="355"/>
      <c r="O1807" s="352"/>
      <c r="T1807" s="382" t="str">
        <f t="shared" si="270"/>
        <v>階別用途別床面積-7-塔屋 4階</v>
      </c>
      <c r="V1807" s="202"/>
      <c r="W1807" s="202"/>
      <c r="X1807" s="202"/>
    </row>
    <row r="1808" spans="2:28">
      <c r="B1808" s="4"/>
      <c r="C1808" s="4"/>
      <c r="D1808" s="107">
        <f>'2_入力シート【用途面積】'!$S22</f>
        <v>0</v>
      </c>
      <c r="E1808" s="564">
        <f>'2_入力シート【用途面積】'!$S22</f>
        <v>0</v>
      </c>
      <c r="F1808" s="564" t="str">
        <f t="shared" si="271"/>
        <v>0</v>
      </c>
      <c r="G1808" s="24"/>
      <c r="H1808" s="563"/>
      <c r="I1808" s="383" t="s">
        <v>2246</v>
      </c>
      <c r="J1808" s="561" t="s">
        <v>1407</v>
      </c>
      <c r="K1808" s="322" t="s">
        <v>2244</v>
      </c>
      <c r="L1808" s="358" t="s">
        <v>2247</v>
      </c>
      <c r="M1808" s="325" t="s">
        <v>2187</v>
      </c>
      <c r="N1808" s="355"/>
      <c r="O1808" s="352"/>
      <c r="T1808" s="382" t="str">
        <f t="shared" si="270"/>
        <v>階別用途別床面積-7-塔屋 5階</v>
      </c>
      <c r="V1808" s="202"/>
      <c r="W1808" s="202"/>
      <c r="X1808" s="202"/>
    </row>
    <row r="1809" spans="2:24">
      <c r="B1809" s="4"/>
      <c r="C1809" s="4"/>
      <c r="D1809" s="107">
        <f>'2_入力シート【用途面積】'!$S23</f>
        <v>0</v>
      </c>
      <c r="E1809" s="564">
        <f>'2_入力シート【用途面積】'!$S23</f>
        <v>0</v>
      </c>
      <c r="F1809" s="564" t="str">
        <f t="shared" si="271"/>
        <v>0</v>
      </c>
      <c r="G1809" s="24"/>
      <c r="H1809" s="563"/>
      <c r="I1809" s="383" t="s">
        <v>2246</v>
      </c>
      <c r="J1809" s="561" t="s">
        <v>1407</v>
      </c>
      <c r="K1809" s="322" t="s">
        <v>2244</v>
      </c>
      <c r="L1809" s="358" t="s">
        <v>2247</v>
      </c>
      <c r="M1809" s="325" t="s">
        <v>2188</v>
      </c>
      <c r="N1809" s="355"/>
      <c r="O1809" s="352"/>
      <c r="T1809" s="382" t="str">
        <f t="shared" si="270"/>
        <v>階別用途別床面積-7-1階</v>
      </c>
      <c r="V1809" s="202"/>
      <c r="W1809" s="202"/>
      <c r="X1809" s="202"/>
    </row>
    <row r="1810" spans="2:24">
      <c r="B1810" s="4"/>
      <c r="C1810" s="4"/>
      <c r="D1810" s="107">
        <f>'2_入力シート【用途面積】'!$S24</f>
        <v>0</v>
      </c>
      <c r="E1810" s="564">
        <f>'2_入力シート【用途面積】'!$S24</f>
        <v>0</v>
      </c>
      <c r="F1810" s="564" t="str">
        <f t="shared" si="271"/>
        <v>0</v>
      </c>
      <c r="G1810" s="24"/>
      <c r="H1810" s="563"/>
      <c r="I1810" s="383" t="s">
        <v>2246</v>
      </c>
      <c r="J1810" s="561" t="s">
        <v>1407</v>
      </c>
      <c r="K1810" s="322" t="s">
        <v>2244</v>
      </c>
      <c r="L1810" s="358" t="s">
        <v>2247</v>
      </c>
      <c r="M1810" s="325" t="s">
        <v>2189</v>
      </c>
      <c r="N1810" s="355"/>
      <c r="O1810" s="352"/>
      <c r="T1810" s="382" t="str">
        <f t="shared" si="270"/>
        <v>階別用途別床面積-7-2階</v>
      </c>
      <c r="V1810" s="202"/>
      <c r="W1810" s="202"/>
      <c r="X1810" s="202"/>
    </row>
    <row r="1811" spans="2:24">
      <c r="B1811" s="4"/>
      <c r="C1811" s="4"/>
      <c r="D1811" s="107">
        <f>'2_入力シート【用途面積】'!$S25</f>
        <v>0</v>
      </c>
      <c r="E1811" s="564">
        <f>'2_入力シート【用途面積】'!$S25</f>
        <v>0</v>
      </c>
      <c r="F1811" s="564" t="str">
        <f t="shared" si="271"/>
        <v>0</v>
      </c>
      <c r="G1811" s="24"/>
      <c r="H1811" s="563"/>
      <c r="I1811" s="383" t="s">
        <v>2246</v>
      </c>
      <c r="J1811" s="561" t="s">
        <v>1407</v>
      </c>
      <c r="K1811" s="322" t="s">
        <v>2244</v>
      </c>
      <c r="L1811" s="358" t="s">
        <v>2247</v>
      </c>
      <c r="M1811" s="325" t="s">
        <v>2190</v>
      </c>
      <c r="N1811" s="355"/>
      <c r="O1811" s="352"/>
      <c r="T1811" s="382" t="str">
        <f t="shared" si="270"/>
        <v>階別用途別床面積-7-3階</v>
      </c>
      <c r="V1811" s="202"/>
      <c r="W1811" s="202"/>
      <c r="X1811" s="202"/>
    </row>
    <row r="1812" spans="2:24">
      <c r="B1812" s="4"/>
      <c r="C1812" s="4"/>
      <c r="D1812" s="107">
        <f>'2_入力シート【用途面積】'!$S26</f>
        <v>0</v>
      </c>
      <c r="E1812" s="564">
        <f>'2_入力シート【用途面積】'!$S26</f>
        <v>0</v>
      </c>
      <c r="F1812" s="564" t="str">
        <f t="shared" si="271"/>
        <v>0</v>
      </c>
      <c r="G1812" s="24"/>
      <c r="H1812" s="563"/>
      <c r="I1812" s="383" t="s">
        <v>2246</v>
      </c>
      <c r="J1812" s="561" t="s">
        <v>1407</v>
      </c>
      <c r="K1812" s="322" t="s">
        <v>2244</v>
      </c>
      <c r="L1812" s="358" t="s">
        <v>2247</v>
      </c>
      <c r="M1812" s="325" t="s">
        <v>2191</v>
      </c>
      <c r="N1812" s="355"/>
      <c r="O1812" s="352"/>
      <c r="T1812" s="382" t="str">
        <f t="shared" si="270"/>
        <v>階別用途別床面積-7-4階</v>
      </c>
      <c r="V1812" s="202"/>
      <c r="W1812" s="202"/>
      <c r="X1812" s="202"/>
    </row>
    <row r="1813" spans="2:24">
      <c r="B1813" s="4"/>
      <c r="C1813" s="4"/>
      <c r="D1813" s="107">
        <f>'2_入力シート【用途面積】'!$S27</f>
        <v>0</v>
      </c>
      <c r="E1813" s="564">
        <f>'2_入力シート【用途面積】'!$S27</f>
        <v>0</v>
      </c>
      <c r="F1813" s="564" t="str">
        <f t="shared" si="271"/>
        <v>0</v>
      </c>
      <c r="G1813" s="24"/>
      <c r="H1813" s="563"/>
      <c r="I1813" s="383" t="s">
        <v>2246</v>
      </c>
      <c r="J1813" s="561" t="s">
        <v>1407</v>
      </c>
      <c r="K1813" s="322" t="s">
        <v>2244</v>
      </c>
      <c r="L1813" s="358" t="s">
        <v>2247</v>
      </c>
      <c r="M1813" s="325" t="s">
        <v>2192</v>
      </c>
      <c r="N1813" s="355"/>
      <c r="O1813" s="352"/>
      <c r="T1813" s="382" t="str">
        <f t="shared" si="270"/>
        <v>階別用途別床面積-7-5階</v>
      </c>
      <c r="V1813" s="202"/>
      <c r="W1813" s="202"/>
      <c r="X1813" s="202"/>
    </row>
    <row r="1814" spans="2:24">
      <c r="B1814" s="4"/>
      <c r="C1814" s="4"/>
      <c r="D1814" s="107">
        <f>'2_入力シート【用途面積】'!$S28</f>
        <v>0</v>
      </c>
      <c r="E1814" s="564">
        <f>'2_入力シート【用途面積】'!$S28</f>
        <v>0</v>
      </c>
      <c r="F1814" s="564" t="str">
        <f t="shared" si="271"/>
        <v>0</v>
      </c>
      <c r="G1814" s="24"/>
      <c r="H1814" s="563"/>
      <c r="I1814" s="383" t="s">
        <v>2246</v>
      </c>
      <c r="J1814" s="561" t="s">
        <v>1407</v>
      </c>
      <c r="K1814" s="322" t="s">
        <v>2244</v>
      </c>
      <c r="L1814" s="358" t="s">
        <v>2247</v>
      </c>
      <c r="M1814" s="325" t="s">
        <v>2193</v>
      </c>
      <c r="N1814" s="355"/>
      <c r="O1814" s="352"/>
      <c r="T1814" s="382" t="str">
        <f t="shared" si="270"/>
        <v>階別用途別床面積-7-6階</v>
      </c>
      <c r="V1814" s="202"/>
      <c r="W1814" s="202"/>
      <c r="X1814" s="202"/>
    </row>
    <row r="1815" spans="2:24">
      <c r="B1815" s="4"/>
      <c r="C1815" s="4"/>
      <c r="D1815" s="107">
        <f>'2_入力シート【用途面積】'!$S29</f>
        <v>0</v>
      </c>
      <c r="E1815" s="564">
        <f>'2_入力シート【用途面積】'!$S29</f>
        <v>0</v>
      </c>
      <c r="F1815" s="564" t="str">
        <f t="shared" si="271"/>
        <v>0</v>
      </c>
      <c r="G1815" s="24"/>
      <c r="H1815" s="563"/>
      <c r="I1815" s="383" t="s">
        <v>2246</v>
      </c>
      <c r="J1815" s="561" t="s">
        <v>1407</v>
      </c>
      <c r="K1815" s="322" t="s">
        <v>2244</v>
      </c>
      <c r="L1815" s="358" t="s">
        <v>2247</v>
      </c>
      <c r="M1815" s="325" t="s">
        <v>2194</v>
      </c>
      <c r="N1815" s="355"/>
      <c r="O1815" s="352"/>
      <c r="T1815" s="382" t="str">
        <f t="shared" si="270"/>
        <v>階別用途別床面積-7-7階</v>
      </c>
      <c r="V1815" s="202"/>
      <c r="W1815" s="202"/>
      <c r="X1815" s="202"/>
    </row>
    <row r="1816" spans="2:24">
      <c r="B1816" s="4"/>
      <c r="C1816" s="4"/>
      <c r="D1816" s="107">
        <f>'2_入力シート【用途面積】'!$S30</f>
        <v>0</v>
      </c>
      <c r="E1816" s="564">
        <f>'2_入力シート【用途面積】'!$S30</f>
        <v>0</v>
      </c>
      <c r="F1816" s="564" t="str">
        <f t="shared" si="271"/>
        <v>0</v>
      </c>
      <c r="G1816" s="24"/>
      <c r="H1816" s="563"/>
      <c r="I1816" s="383" t="s">
        <v>2246</v>
      </c>
      <c r="J1816" s="561" t="s">
        <v>1407</v>
      </c>
      <c r="K1816" s="322" t="s">
        <v>2244</v>
      </c>
      <c r="L1816" s="358" t="s">
        <v>2247</v>
      </c>
      <c r="M1816" s="325" t="s">
        <v>2195</v>
      </c>
      <c r="N1816" s="355"/>
      <c r="O1816" s="352"/>
      <c r="T1816" s="382" t="str">
        <f t="shared" si="270"/>
        <v>階別用途別床面積-7-8階</v>
      </c>
      <c r="V1816" s="202"/>
      <c r="W1816" s="202"/>
      <c r="X1816" s="202"/>
    </row>
    <row r="1817" spans="2:24">
      <c r="B1817" s="4"/>
      <c r="C1817" s="4"/>
      <c r="D1817" s="107">
        <f>'2_入力シート【用途面積】'!$S31</f>
        <v>0</v>
      </c>
      <c r="E1817" s="564">
        <f>'2_入力シート【用途面積】'!$S31</f>
        <v>0</v>
      </c>
      <c r="F1817" s="564" t="str">
        <f t="shared" si="271"/>
        <v>0</v>
      </c>
      <c r="G1817" s="24"/>
      <c r="H1817" s="563"/>
      <c r="I1817" s="383" t="s">
        <v>2246</v>
      </c>
      <c r="J1817" s="561" t="s">
        <v>1407</v>
      </c>
      <c r="K1817" s="322" t="s">
        <v>2244</v>
      </c>
      <c r="L1817" s="358" t="s">
        <v>2247</v>
      </c>
      <c r="M1817" s="325" t="s">
        <v>2196</v>
      </c>
      <c r="N1817" s="355"/>
      <c r="O1817" s="352"/>
      <c r="T1817" s="382" t="str">
        <f t="shared" si="270"/>
        <v>階別用途別床面積-7-9階</v>
      </c>
      <c r="V1817" s="202"/>
      <c r="W1817" s="202"/>
      <c r="X1817" s="202"/>
    </row>
    <row r="1818" spans="2:24">
      <c r="B1818" s="4"/>
      <c r="C1818" s="4"/>
      <c r="D1818" s="107">
        <f>'2_入力シート【用途面積】'!$S32</f>
        <v>0</v>
      </c>
      <c r="E1818" s="564">
        <f>'2_入力シート【用途面積】'!$S32</f>
        <v>0</v>
      </c>
      <c r="F1818" s="564" t="str">
        <f t="shared" si="271"/>
        <v>0</v>
      </c>
      <c r="G1818" s="24"/>
      <c r="H1818" s="563"/>
      <c r="I1818" s="383" t="s">
        <v>2246</v>
      </c>
      <c r="J1818" s="561" t="s">
        <v>1407</v>
      </c>
      <c r="K1818" s="322" t="s">
        <v>2244</v>
      </c>
      <c r="L1818" s="358" t="s">
        <v>2247</v>
      </c>
      <c r="M1818" s="325" t="s">
        <v>2197</v>
      </c>
      <c r="N1818" s="355"/>
      <c r="O1818" s="352"/>
      <c r="T1818" s="382" t="str">
        <f t="shared" si="270"/>
        <v>階別用途別床面積-7-10階</v>
      </c>
      <c r="V1818" s="202"/>
      <c r="W1818" s="202"/>
      <c r="X1818" s="202"/>
    </row>
    <row r="1819" spans="2:24">
      <c r="B1819" s="4"/>
      <c r="C1819" s="4"/>
      <c r="D1819" s="107">
        <f>'2_入力シート【用途面積】'!$S33</f>
        <v>0</v>
      </c>
      <c r="E1819" s="564">
        <f>'2_入力シート【用途面積】'!$S33</f>
        <v>0</v>
      </c>
      <c r="F1819" s="564" t="str">
        <f t="shared" si="271"/>
        <v>0</v>
      </c>
      <c r="G1819" s="24"/>
      <c r="H1819" s="563"/>
      <c r="I1819" s="383" t="s">
        <v>2246</v>
      </c>
      <c r="J1819" s="561" t="s">
        <v>1407</v>
      </c>
      <c r="K1819" s="322" t="s">
        <v>2244</v>
      </c>
      <c r="L1819" s="358" t="s">
        <v>2247</v>
      </c>
      <c r="M1819" s="325" t="s">
        <v>2198</v>
      </c>
      <c r="N1819" s="355"/>
      <c r="O1819" s="352"/>
      <c r="T1819" s="382" t="str">
        <f t="shared" si="270"/>
        <v>階別用途別床面積-7-11階</v>
      </c>
      <c r="V1819" s="202"/>
      <c r="W1819" s="202"/>
      <c r="X1819" s="202"/>
    </row>
    <row r="1820" spans="2:24">
      <c r="B1820" s="4"/>
      <c r="C1820" s="4"/>
      <c r="D1820" s="107">
        <f>'2_入力シート【用途面積】'!$S34</f>
        <v>0</v>
      </c>
      <c r="E1820" s="564">
        <f>'2_入力シート【用途面積】'!$S34</f>
        <v>0</v>
      </c>
      <c r="F1820" s="564" t="str">
        <f t="shared" si="271"/>
        <v>0</v>
      </c>
      <c r="G1820" s="24"/>
      <c r="H1820" s="563"/>
      <c r="I1820" s="383" t="s">
        <v>2246</v>
      </c>
      <c r="J1820" s="561" t="s">
        <v>1407</v>
      </c>
      <c r="K1820" s="322" t="s">
        <v>2244</v>
      </c>
      <c r="L1820" s="358" t="s">
        <v>2247</v>
      </c>
      <c r="M1820" s="325" t="s">
        <v>2199</v>
      </c>
      <c r="N1820" s="355"/>
      <c r="O1820" s="352"/>
      <c r="T1820" s="382" t="str">
        <f t="shared" si="270"/>
        <v>階別用途別床面積-7-12階</v>
      </c>
      <c r="V1820" s="202"/>
      <c r="W1820" s="202"/>
      <c r="X1820" s="202"/>
    </row>
    <row r="1821" spans="2:24">
      <c r="B1821" s="4"/>
      <c r="C1821" s="4"/>
      <c r="D1821" s="107">
        <f>'2_入力シート【用途面積】'!$S35</f>
        <v>0</v>
      </c>
      <c r="E1821" s="564">
        <f>'2_入力シート【用途面積】'!$S35</f>
        <v>0</v>
      </c>
      <c r="F1821" s="564" t="str">
        <f t="shared" si="271"/>
        <v>0</v>
      </c>
      <c r="G1821" s="24"/>
      <c r="H1821" s="563"/>
      <c r="I1821" s="383" t="s">
        <v>2246</v>
      </c>
      <c r="J1821" s="561" t="s">
        <v>1407</v>
      </c>
      <c r="K1821" s="322" t="s">
        <v>2244</v>
      </c>
      <c r="L1821" s="358" t="s">
        <v>2247</v>
      </c>
      <c r="M1821" s="325" t="s">
        <v>2200</v>
      </c>
      <c r="N1821" s="355"/>
      <c r="O1821" s="352"/>
      <c r="T1821" s="382" t="str">
        <f t="shared" si="270"/>
        <v>階別用途別床面積-7-13階</v>
      </c>
      <c r="V1821" s="202"/>
      <c r="W1821" s="202"/>
      <c r="X1821" s="202"/>
    </row>
    <row r="1822" spans="2:24">
      <c r="B1822" s="4"/>
      <c r="C1822" s="4"/>
      <c r="D1822" s="107">
        <f>'2_入力シート【用途面積】'!$S36</f>
        <v>0</v>
      </c>
      <c r="E1822" s="564">
        <f>'2_入力シート【用途面積】'!$S36</f>
        <v>0</v>
      </c>
      <c r="F1822" s="564" t="str">
        <f t="shared" si="271"/>
        <v>0</v>
      </c>
      <c r="G1822" s="24"/>
      <c r="H1822" s="563"/>
      <c r="I1822" s="383" t="s">
        <v>2246</v>
      </c>
      <c r="J1822" s="561" t="s">
        <v>1407</v>
      </c>
      <c r="K1822" s="322" t="s">
        <v>2244</v>
      </c>
      <c r="L1822" s="358" t="s">
        <v>2247</v>
      </c>
      <c r="M1822" s="325" t="s">
        <v>2201</v>
      </c>
      <c r="N1822" s="355"/>
      <c r="O1822" s="352"/>
      <c r="T1822" s="382" t="str">
        <f t="shared" si="270"/>
        <v>階別用途別床面積-7-14階</v>
      </c>
      <c r="V1822" s="202"/>
      <c r="W1822" s="202"/>
      <c r="X1822" s="202"/>
    </row>
    <row r="1823" spans="2:24">
      <c r="B1823" s="4"/>
      <c r="C1823" s="4"/>
      <c r="D1823" s="107">
        <f>'2_入力シート【用途面積】'!$S37</f>
        <v>0</v>
      </c>
      <c r="E1823" s="564">
        <f>'2_入力シート【用途面積】'!$S37</f>
        <v>0</v>
      </c>
      <c r="F1823" s="564" t="str">
        <f t="shared" si="271"/>
        <v>0</v>
      </c>
      <c r="G1823" s="24"/>
      <c r="H1823" s="563"/>
      <c r="I1823" s="383" t="s">
        <v>2246</v>
      </c>
      <c r="J1823" s="561" t="s">
        <v>1407</v>
      </c>
      <c r="K1823" s="322" t="s">
        <v>2244</v>
      </c>
      <c r="L1823" s="358" t="s">
        <v>2247</v>
      </c>
      <c r="M1823" s="325" t="s">
        <v>2202</v>
      </c>
      <c r="N1823" s="355"/>
      <c r="O1823" s="352"/>
      <c r="T1823" s="382" t="str">
        <f t="shared" si="270"/>
        <v>階別用途別床面積-7-15階</v>
      </c>
      <c r="V1823" s="202"/>
      <c r="W1823" s="202"/>
      <c r="X1823" s="202"/>
    </row>
    <row r="1824" spans="2:24">
      <c r="B1824" s="4"/>
      <c r="C1824" s="4"/>
      <c r="D1824" s="107">
        <f>'2_入力シート【用途面積】'!$S38</f>
        <v>0</v>
      </c>
      <c r="E1824" s="564">
        <f>'2_入力シート【用途面積】'!$S38</f>
        <v>0</v>
      </c>
      <c r="F1824" s="564" t="str">
        <f t="shared" si="271"/>
        <v>0</v>
      </c>
      <c r="G1824" s="24"/>
      <c r="H1824" s="563"/>
      <c r="I1824" s="383" t="s">
        <v>2246</v>
      </c>
      <c r="J1824" s="561" t="s">
        <v>1407</v>
      </c>
      <c r="K1824" s="322" t="s">
        <v>2244</v>
      </c>
      <c r="L1824" s="358" t="s">
        <v>2247</v>
      </c>
      <c r="M1824" s="325" t="s">
        <v>2203</v>
      </c>
      <c r="N1824" s="355"/>
      <c r="O1824" s="352"/>
      <c r="T1824" s="382" t="str">
        <f t="shared" si="270"/>
        <v>階別用途別床面積-7-16階</v>
      </c>
      <c r="V1824" s="202"/>
      <c r="W1824" s="202"/>
      <c r="X1824" s="202"/>
    </row>
    <row r="1825" spans="2:24">
      <c r="B1825" s="4"/>
      <c r="C1825" s="4"/>
      <c r="D1825" s="107">
        <f>'2_入力シート【用途面積】'!$S39</f>
        <v>0</v>
      </c>
      <c r="E1825" s="564">
        <f>'2_入力シート【用途面積】'!$S39</f>
        <v>0</v>
      </c>
      <c r="F1825" s="564" t="str">
        <f t="shared" si="271"/>
        <v>0</v>
      </c>
      <c r="G1825" s="24"/>
      <c r="H1825" s="563"/>
      <c r="I1825" s="383" t="s">
        <v>2246</v>
      </c>
      <c r="J1825" s="561" t="s">
        <v>1407</v>
      </c>
      <c r="K1825" s="322" t="s">
        <v>2244</v>
      </c>
      <c r="L1825" s="358" t="s">
        <v>2247</v>
      </c>
      <c r="M1825" s="325" t="s">
        <v>2204</v>
      </c>
      <c r="N1825" s="355"/>
      <c r="O1825" s="352"/>
      <c r="T1825" s="382" t="str">
        <f t="shared" si="270"/>
        <v>階別用途別床面積-7-17階</v>
      </c>
      <c r="V1825" s="202"/>
      <c r="W1825" s="202"/>
      <c r="X1825" s="202"/>
    </row>
    <row r="1826" spans="2:24">
      <c r="B1826" s="4"/>
      <c r="C1826" s="4"/>
      <c r="D1826" s="107">
        <f>'2_入力シート【用途面積】'!$S40</f>
        <v>0</v>
      </c>
      <c r="E1826" s="564">
        <f>'2_入力シート【用途面積】'!$S40</f>
        <v>0</v>
      </c>
      <c r="F1826" s="564" t="str">
        <f t="shared" si="271"/>
        <v>0</v>
      </c>
      <c r="G1826" s="24"/>
      <c r="H1826" s="563"/>
      <c r="I1826" s="383" t="s">
        <v>2246</v>
      </c>
      <c r="J1826" s="561" t="s">
        <v>1407</v>
      </c>
      <c r="K1826" s="322" t="s">
        <v>2244</v>
      </c>
      <c r="L1826" s="358" t="s">
        <v>2247</v>
      </c>
      <c r="M1826" s="325" t="s">
        <v>2205</v>
      </c>
      <c r="N1826" s="355"/>
      <c r="O1826" s="352"/>
      <c r="T1826" s="382" t="str">
        <f t="shared" si="270"/>
        <v>階別用途別床面積-7-18階</v>
      </c>
      <c r="V1826" s="202"/>
      <c r="W1826" s="202"/>
      <c r="X1826" s="202"/>
    </row>
    <row r="1827" spans="2:24">
      <c r="B1827" s="4"/>
      <c r="C1827" s="4"/>
      <c r="D1827" s="107">
        <f>'2_入力シート【用途面積】'!$S41</f>
        <v>0</v>
      </c>
      <c r="E1827" s="564">
        <f>'2_入力シート【用途面積】'!$S41</f>
        <v>0</v>
      </c>
      <c r="F1827" s="564" t="str">
        <f t="shared" si="271"/>
        <v>0</v>
      </c>
      <c r="G1827" s="24"/>
      <c r="H1827" s="563"/>
      <c r="I1827" s="383" t="s">
        <v>2246</v>
      </c>
      <c r="J1827" s="561" t="s">
        <v>1407</v>
      </c>
      <c r="K1827" s="322" t="s">
        <v>2244</v>
      </c>
      <c r="L1827" s="358" t="s">
        <v>2247</v>
      </c>
      <c r="M1827" s="325" t="s">
        <v>2206</v>
      </c>
      <c r="N1827" s="355"/>
      <c r="O1827" s="352"/>
      <c r="T1827" s="382" t="str">
        <f t="shared" si="270"/>
        <v>階別用途別床面積-7-19階</v>
      </c>
      <c r="V1827" s="202"/>
      <c r="W1827" s="202"/>
      <c r="X1827" s="202"/>
    </row>
    <row r="1828" spans="2:24">
      <c r="B1828" s="4"/>
      <c r="C1828" s="4"/>
      <c r="D1828" s="107">
        <f>'2_入力シート【用途面積】'!$S42</f>
        <v>0</v>
      </c>
      <c r="E1828" s="564">
        <f>'2_入力シート【用途面積】'!$S42</f>
        <v>0</v>
      </c>
      <c r="F1828" s="564" t="str">
        <f t="shared" si="271"/>
        <v>0</v>
      </c>
      <c r="G1828" s="24"/>
      <c r="H1828" s="563"/>
      <c r="I1828" s="383" t="s">
        <v>2246</v>
      </c>
      <c r="J1828" s="561" t="s">
        <v>1407</v>
      </c>
      <c r="K1828" s="322" t="s">
        <v>2244</v>
      </c>
      <c r="L1828" s="358" t="s">
        <v>2247</v>
      </c>
      <c r="M1828" s="325" t="s">
        <v>2207</v>
      </c>
      <c r="N1828" s="355"/>
      <c r="O1828" s="352"/>
      <c r="T1828" s="382" t="str">
        <f t="shared" si="270"/>
        <v>階別用途別床面積-7-20階</v>
      </c>
      <c r="V1828" s="202"/>
      <c r="W1828" s="202"/>
      <c r="X1828" s="202"/>
    </row>
    <row r="1829" spans="2:24">
      <c r="B1829" s="4"/>
      <c r="C1829" s="4"/>
      <c r="D1829" s="107">
        <f>'2_入力シート【用途面積】'!$S43</f>
        <v>0</v>
      </c>
      <c r="E1829" s="564">
        <f>'2_入力シート【用途面積】'!$S43</f>
        <v>0</v>
      </c>
      <c r="F1829" s="564" t="str">
        <f t="shared" si="271"/>
        <v>0</v>
      </c>
      <c r="G1829" s="24"/>
      <c r="H1829" s="563"/>
      <c r="I1829" s="383" t="s">
        <v>2246</v>
      </c>
      <c r="J1829" s="561" t="s">
        <v>1407</v>
      </c>
      <c r="K1829" s="322" t="s">
        <v>2244</v>
      </c>
      <c r="L1829" s="358" t="s">
        <v>2247</v>
      </c>
      <c r="M1829" s="325" t="s">
        <v>2208</v>
      </c>
      <c r="N1829" s="355"/>
      <c r="O1829" s="352"/>
      <c r="T1829" s="382" t="str">
        <f t="shared" si="270"/>
        <v>階別用途別床面積-7-21階</v>
      </c>
      <c r="V1829" s="202"/>
      <c r="W1829" s="202"/>
      <c r="X1829" s="202"/>
    </row>
    <row r="1830" spans="2:24">
      <c r="B1830" s="4"/>
      <c r="C1830" s="4"/>
      <c r="D1830" s="107">
        <f>'2_入力シート【用途面積】'!$S44</f>
        <v>0</v>
      </c>
      <c r="E1830" s="564">
        <f>'2_入力シート【用途面積】'!$S44</f>
        <v>0</v>
      </c>
      <c r="F1830" s="564" t="str">
        <f t="shared" si="271"/>
        <v>0</v>
      </c>
      <c r="G1830" s="24"/>
      <c r="H1830" s="563"/>
      <c r="I1830" s="383" t="s">
        <v>2246</v>
      </c>
      <c r="J1830" s="561" t="s">
        <v>1407</v>
      </c>
      <c r="K1830" s="322" t="s">
        <v>2244</v>
      </c>
      <c r="L1830" s="358" t="s">
        <v>2247</v>
      </c>
      <c r="M1830" s="325" t="s">
        <v>2209</v>
      </c>
      <c r="N1830" s="355"/>
      <c r="O1830" s="352"/>
      <c r="T1830" s="382" t="str">
        <f t="shared" si="270"/>
        <v>階別用途別床面積-7-22階</v>
      </c>
      <c r="V1830" s="202"/>
      <c r="W1830" s="202"/>
      <c r="X1830" s="202"/>
    </row>
    <row r="1831" spans="2:24">
      <c r="B1831" s="4"/>
      <c r="C1831" s="4"/>
      <c r="D1831" s="107">
        <f>'2_入力シート【用途面積】'!$S45</f>
        <v>0</v>
      </c>
      <c r="E1831" s="564">
        <f>'2_入力シート【用途面積】'!$S45</f>
        <v>0</v>
      </c>
      <c r="F1831" s="564" t="str">
        <f t="shared" si="271"/>
        <v>0</v>
      </c>
      <c r="G1831" s="24"/>
      <c r="H1831" s="563"/>
      <c r="I1831" s="383" t="s">
        <v>2246</v>
      </c>
      <c r="J1831" s="561" t="s">
        <v>1407</v>
      </c>
      <c r="K1831" s="322" t="s">
        <v>2244</v>
      </c>
      <c r="L1831" s="358" t="s">
        <v>2247</v>
      </c>
      <c r="M1831" s="325" t="s">
        <v>2210</v>
      </c>
      <c r="N1831" s="355"/>
      <c r="O1831" s="352"/>
      <c r="T1831" s="382" t="str">
        <f t="shared" si="270"/>
        <v>階別用途別床面積-7-23階</v>
      </c>
      <c r="V1831" s="202"/>
      <c r="W1831" s="202"/>
      <c r="X1831" s="202"/>
    </row>
    <row r="1832" spans="2:24">
      <c r="B1832" s="4"/>
      <c r="C1832" s="4"/>
      <c r="D1832" s="107">
        <f>'2_入力シート【用途面積】'!$S46</f>
        <v>0</v>
      </c>
      <c r="E1832" s="564">
        <f>'2_入力シート【用途面積】'!$S46</f>
        <v>0</v>
      </c>
      <c r="F1832" s="564" t="str">
        <f t="shared" si="271"/>
        <v>0</v>
      </c>
      <c r="G1832" s="24"/>
      <c r="H1832" s="563"/>
      <c r="I1832" s="383" t="s">
        <v>2246</v>
      </c>
      <c r="J1832" s="561" t="s">
        <v>1407</v>
      </c>
      <c r="K1832" s="322" t="s">
        <v>2244</v>
      </c>
      <c r="L1832" s="358" t="s">
        <v>2247</v>
      </c>
      <c r="M1832" s="325" t="s">
        <v>2211</v>
      </c>
      <c r="N1832" s="355"/>
      <c r="O1832" s="352"/>
      <c r="T1832" s="382" t="str">
        <f t="shared" ref="T1832:T1919" si="272">CONCATENATE(H1832,I1832,J1832,K1832,L1832,M1832,N1832,O1832,P1832,Q1832)</f>
        <v>階別用途別床面積-7-24階</v>
      </c>
      <c r="V1832" s="202"/>
      <c r="W1832" s="202"/>
      <c r="X1832" s="202"/>
    </row>
    <row r="1833" spans="2:24">
      <c r="B1833" s="4"/>
      <c r="C1833" s="4"/>
      <c r="D1833" s="107">
        <f>'2_入力シート【用途面積】'!$S47</f>
        <v>0</v>
      </c>
      <c r="E1833" s="564">
        <f>'2_入力シート【用途面積】'!$S47</f>
        <v>0</v>
      </c>
      <c r="F1833" s="564" t="str">
        <f t="shared" si="271"/>
        <v>0</v>
      </c>
      <c r="G1833" s="24"/>
      <c r="H1833" s="563"/>
      <c r="I1833" s="383" t="s">
        <v>2246</v>
      </c>
      <c r="J1833" s="561" t="s">
        <v>1407</v>
      </c>
      <c r="K1833" s="322" t="s">
        <v>2244</v>
      </c>
      <c r="L1833" s="358" t="s">
        <v>2247</v>
      </c>
      <c r="M1833" s="325" t="s">
        <v>2212</v>
      </c>
      <c r="N1833" s="355"/>
      <c r="O1833" s="352"/>
      <c r="T1833" s="382" t="str">
        <f t="shared" si="272"/>
        <v>階別用途別床面積-7-25階</v>
      </c>
      <c r="V1833" s="202"/>
      <c r="W1833" s="202"/>
      <c r="X1833" s="202"/>
    </row>
    <row r="1834" spans="2:24">
      <c r="B1834" s="4"/>
      <c r="C1834" s="4"/>
      <c r="D1834" s="107">
        <f>'2_入力シート【用途面積】'!$S48</f>
        <v>0</v>
      </c>
      <c r="E1834" s="564">
        <f>'2_入力シート【用途面積】'!$S48</f>
        <v>0</v>
      </c>
      <c r="F1834" s="564" t="str">
        <f t="shared" si="271"/>
        <v>0</v>
      </c>
      <c r="G1834" s="24"/>
      <c r="H1834" s="563"/>
      <c r="I1834" s="383" t="s">
        <v>2246</v>
      </c>
      <c r="J1834" s="561" t="s">
        <v>1407</v>
      </c>
      <c r="K1834" s="322" t="s">
        <v>2244</v>
      </c>
      <c r="L1834" s="358" t="s">
        <v>2247</v>
      </c>
      <c r="M1834" s="325" t="s">
        <v>2213</v>
      </c>
      <c r="N1834" s="355"/>
      <c r="O1834" s="352"/>
      <c r="T1834" s="382" t="str">
        <f t="shared" si="272"/>
        <v>階別用途別床面積-7-26階</v>
      </c>
      <c r="V1834" s="202"/>
      <c r="W1834" s="202"/>
      <c r="X1834" s="202"/>
    </row>
    <row r="1835" spans="2:24">
      <c r="B1835" s="4"/>
      <c r="C1835" s="4"/>
      <c r="D1835" s="107">
        <f>'2_入力シート【用途面積】'!$S49</f>
        <v>0</v>
      </c>
      <c r="E1835" s="564">
        <f>'2_入力シート【用途面積】'!$S49</f>
        <v>0</v>
      </c>
      <c r="F1835" s="564" t="str">
        <f t="shared" si="271"/>
        <v>0</v>
      </c>
      <c r="G1835" s="24"/>
      <c r="H1835" s="563"/>
      <c r="I1835" s="383" t="s">
        <v>2246</v>
      </c>
      <c r="J1835" s="561" t="s">
        <v>1407</v>
      </c>
      <c r="K1835" s="322" t="s">
        <v>2244</v>
      </c>
      <c r="L1835" s="358" t="s">
        <v>2247</v>
      </c>
      <c r="M1835" s="325" t="s">
        <v>2214</v>
      </c>
      <c r="N1835" s="355"/>
      <c r="O1835" s="352"/>
      <c r="T1835" s="382" t="str">
        <f t="shared" si="272"/>
        <v>階別用途別床面積-7-27階</v>
      </c>
      <c r="V1835" s="202"/>
      <c r="W1835" s="202"/>
      <c r="X1835" s="202"/>
    </row>
    <row r="1836" spans="2:24">
      <c r="B1836" s="4"/>
      <c r="C1836" s="4"/>
      <c r="D1836" s="107">
        <f>'2_入力シート【用途面積】'!$S50</f>
        <v>0</v>
      </c>
      <c r="E1836" s="564">
        <f>'2_入力シート【用途面積】'!$S50</f>
        <v>0</v>
      </c>
      <c r="F1836" s="564" t="str">
        <f t="shared" si="271"/>
        <v>0</v>
      </c>
      <c r="G1836" s="24"/>
      <c r="H1836" s="563"/>
      <c r="I1836" s="383" t="s">
        <v>2246</v>
      </c>
      <c r="J1836" s="561" t="s">
        <v>1407</v>
      </c>
      <c r="K1836" s="322" t="s">
        <v>2244</v>
      </c>
      <c r="L1836" s="358" t="s">
        <v>2247</v>
      </c>
      <c r="M1836" s="325" t="s">
        <v>2215</v>
      </c>
      <c r="N1836" s="355"/>
      <c r="O1836" s="352"/>
      <c r="T1836" s="382" t="str">
        <f t="shared" si="272"/>
        <v>階別用途別床面積-7-28階</v>
      </c>
      <c r="V1836" s="202"/>
      <c r="W1836" s="202"/>
      <c r="X1836" s="202"/>
    </row>
    <row r="1837" spans="2:24">
      <c r="B1837" s="4"/>
      <c r="C1837" s="4"/>
      <c r="D1837" s="107">
        <f>'2_入力シート【用途面積】'!$S51</f>
        <v>0</v>
      </c>
      <c r="E1837" s="564">
        <f>'2_入力シート【用途面積】'!$S51</f>
        <v>0</v>
      </c>
      <c r="F1837" s="564" t="str">
        <f t="shared" si="271"/>
        <v>0</v>
      </c>
      <c r="G1837" s="24"/>
      <c r="H1837" s="563"/>
      <c r="I1837" s="383" t="s">
        <v>2246</v>
      </c>
      <c r="J1837" s="561" t="s">
        <v>1407</v>
      </c>
      <c r="K1837" s="322" t="s">
        <v>2244</v>
      </c>
      <c r="L1837" s="358" t="s">
        <v>2247</v>
      </c>
      <c r="M1837" s="325" t="s">
        <v>2216</v>
      </c>
      <c r="N1837" s="355"/>
      <c r="O1837" s="352"/>
      <c r="T1837" s="382" t="str">
        <f t="shared" si="272"/>
        <v>階別用途別床面積-7-29階</v>
      </c>
      <c r="V1837" s="202"/>
      <c r="W1837" s="202"/>
      <c r="X1837" s="202"/>
    </row>
    <row r="1838" spans="2:24">
      <c r="B1838" s="4"/>
      <c r="C1838" s="4"/>
      <c r="D1838" s="107">
        <f>'2_入力シート【用途面積】'!$S52</f>
        <v>0</v>
      </c>
      <c r="E1838" s="564">
        <f>'2_入力シート【用途面積】'!$S52</f>
        <v>0</v>
      </c>
      <c r="F1838" s="564" t="str">
        <f t="shared" si="271"/>
        <v>0</v>
      </c>
      <c r="G1838" s="24"/>
      <c r="H1838" s="563"/>
      <c r="I1838" s="383" t="s">
        <v>2246</v>
      </c>
      <c r="J1838" s="561" t="s">
        <v>1407</v>
      </c>
      <c r="K1838" s="322" t="s">
        <v>2244</v>
      </c>
      <c r="L1838" s="358" t="s">
        <v>2247</v>
      </c>
      <c r="M1838" s="325" t="s">
        <v>2217</v>
      </c>
      <c r="N1838" s="355"/>
      <c r="O1838" s="352"/>
      <c r="T1838" s="382" t="str">
        <f t="shared" si="272"/>
        <v>階別用途別床面積-7-30階</v>
      </c>
      <c r="V1838" s="202"/>
      <c r="W1838" s="202"/>
      <c r="X1838" s="202"/>
    </row>
    <row r="1839" spans="2:24">
      <c r="B1839" s="4"/>
      <c r="C1839" s="4"/>
      <c r="D1839" s="107">
        <f>'2_入力シート【用途面積】'!$S53</f>
        <v>0</v>
      </c>
      <c r="E1839" s="564">
        <f>'2_入力シート【用途面積】'!$S53</f>
        <v>0</v>
      </c>
      <c r="F1839" s="564" t="str">
        <f t="shared" si="271"/>
        <v>0</v>
      </c>
      <c r="G1839" s="24"/>
      <c r="H1839" s="563"/>
      <c r="I1839" s="383" t="s">
        <v>2246</v>
      </c>
      <c r="J1839" s="561" t="s">
        <v>1407</v>
      </c>
      <c r="K1839" s="322" t="s">
        <v>2244</v>
      </c>
      <c r="L1839" s="358" t="s">
        <v>2247</v>
      </c>
      <c r="M1839" s="325" t="s">
        <v>2218</v>
      </c>
      <c r="N1839" s="355"/>
      <c r="O1839" s="352"/>
      <c r="T1839" s="382" t="str">
        <f t="shared" si="272"/>
        <v>階別用途別床面積-7-31階</v>
      </c>
      <c r="V1839" s="202"/>
      <c r="W1839" s="202"/>
      <c r="X1839" s="202"/>
    </row>
    <row r="1840" spans="2:24">
      <c r="B1840" s="4"/>
      <c r="C1840" s="4"/>
      <c r="D1840" s="107">
        <f>'2_入力シート【用途面積】'!$S54</f>
        <v>0</v>
      </c>
      <c r="E1840" s="564">
        <f>'2_入力シート【用途面積】'!$S54</f>
        <v>0</v>
      </c>
      <c r="F1840" s="564" t="str">
        <f t="shared" si="271"/>
        <v>0</v>
      </c>
      <c r="G1840" s="24"/>
      <c r="H1840" s="563"/>
      <c r="I1840" s="383" t="s">
        <v>2246</v>
      </c>
      <c r="J1840" s="561" t="s">
        <v>1407</v>
      </c>
      <c r="K1840" s="322" t="s">
        <v>2244</v>
      </c>
      <c r="L1840" s="358" t="s">
        <v>2247</v>
      </c>
      <c r="M1840" s="325" t="s">
        <v>2219</v>
      </c>
      <c r="N1840" s="355"/>
      <c r="O1840" s="352"/>
      <c r="T1840" s="382" t="str">
        <f t="shared" si="272"/>
        <v>階別用途別床面積-7-32階</v>
      </c>
      <c r="V1840" s="202"/>
      <c r="W1840" s="202"/>
      <c r="X1840" s="202"/>
    </row>
    <row r="1841" spans="2:24">
      <c r="B1841" s="4"/>
      <c r="C1841" s="4"/>
      <c r="D1841" s="107">
        <f>'2_入力シート【用途面積】'!$S55</f>
        <v>0</v>
      </c>
      <c r="E1841" s="564">
        <f>'2_入力シート【用途面積】'!$S55</f>
        <v>0</v>
      </c>
      <c r="F1841" s="564" t="str">
        <f t="shared" si="271"/>
        <v>0</v>
      </c>
      <c r="G1841" s="24"/>
      <c r="H1841" s="563"/>
      <c r="I1841" s="383" t="s">
        <v>2246</v>
      </c>
      <c r="J1841" s="561" t="s">
        <v>1407</v>
      </c>
      <c r="K1841" s="322" t="s">
        <v>2244</v>
      </c>
      <c r="L1841" s="358" t="s">
        <v>2247</v>
      </c>
      <c r="M1841" s="325" t="s">
        <v>2220</v>
      </c>
      <c r="N1841" s="355"/>
      <c r="O1841" s="352"/>
      <c r="T1841" s="382" t="str">
        <f t="shared" si="272"/>
        <v>階別用途別床面積-7-33階</v>
      </c>
      <c r="V1841" s="202"/>
      <c r="W1841" s="202"/>
      <c r="X1841" s="202"/>
    </row>
    <row r="1842" spans="2:24">
      <c r="B1842" s="4"/>
      <c r="C1842" s="4"/>
      <c r="D1842" s="107">
        <f>'2_入力シート【用途面積】'!$S56</f>
        <v>0</v>
      </c>
      <c r="E1842" s="564">
        <f>'2_入力シート【用途面積】'!$S56</f>
        <v>0</v>
      </c>
      <c r="F1842" s="564" t="str">
        <f t="shared" si="271"/>
        <v>0</v>
      </c>
      <c r="G1842" s="24"/>
      <c r="H1842" s="563"/>
      <c r="I1842" s="383" t="s">
        <v>2246</v>
      </c>
      <c r="J1842" s="561" t="s">
        <v>1407</v>
      </c>
      <c r="K1842" s="322" t="s">
        <v>2244</v>
      </c>
      <c r="L1842" s="358" t="s">
        <v>2247</v>
      </c>
      <c r="M1842" s="325" t="s">
        <v>2221</v>
      </c>
      <c r="N1842" s="355"/>
      <c r="O1842" s="352"/>
      <c r="T1842" s="382" t="str">
        <f t="shared" si="272"/>
        <v>階別用途別床面積-7-34階</v>
      </c>
      <c r="V1842" s="202"/>
      <c r="W1842" s="202"/>
      <c r="X1842" s="202"/>
    </row>
    <row r="1843" spans="2:24">
      <c r="B1843" s="4"/>
      <c r="C1843" s="4"/>
      <c r="D1843" s="107">
        <f>'2_入力シート【用途面積】'!$S57</f>
        <v>0</v>
      </c>
      <c r="E1843" s="564">
        <f>'2_入力シート【用途面積】'!$S57</f>
        <v>0</v>
      </c>
      <c r="F1843" s="564" t="str">
        <f t="shared" si="271"/>
        <v>0</v>
      </c>
      <c r="G1843" s="24"/>
      <c r="H1843" s="563"/>
      <c r="I1843" s="383" t="s">
        <v>2246</v>
      </c>
      <c r="J1843" s="561" t="s">
        <v>1407</v>
      </c>
      <c r="K1843" s="322" t="s">
        <v>2244</v>
      </c>
      <c r="L1843" s="358" t="s">
        <v>2247</v>
      </c>
      <c r="M1843" s="325" t="s">
        <v>2222</v>
      </c>
      <c r="N1843" s="355"/>
      <c r="O1843" s="352"/>
      <c r="T1843" s="382" t="str">
        <f t="shared" si="272"/>
        <v>階別用途別床面積-7-35階</v>
      </c>
      <c r="V1843" s="202"/>
      <c r="W1843" s="202"/>
      <c r="X1843" s="202"/>
    </row>
    <row r="1844" spans="2:24">
      <c r="B1844" s="4"/>
      <c r="C1844" s="4"/>
      <c r="D1844" s="107">
        <f>'2_入力シート【用途面積】'!$S58</f>
        <v>0</v>
      </c>
      <c r="E1844" s="564">
        <f>'2_入力シート【用途面積】'!$S58</f>
        <v>0</v>
      </c>
      <c r="F1844" s="564" t="str">
        <f t="shared" si="271"/>
        <v>0</v>
      </c>
      <c r="G1844" s="24"/>
      <c r="H1844" s="563"/>
      <c r="I1844" s="383" t="s">
        <v>2246</v>
      </c>
      <c r="J1844" s="561" t="s">
        <v>1407</v>
      </c>
      <c r="K1844" s="322" t="s">
        <v>2244</v>
      </c>
      <c r="L1844" s="358" t="s">
        <v>2247</v>
      </c>
      <c r="M1844" s="325" t="s">
        <v>2223</v>
      </c>
      <c r="N1844" s="355"/>
      <c r="O1844" s="352"/>
      <c r="T1844" s="382" t="str">
        <f t="shared" si="272"/>
        <v>階別用途別床面積-7-36階</v>
      </c>
      <c r="V1844" s="202"/>
      <c r="W1844" s="202"/>
      <c r="X1844" s="202"/>
    </row>
    <row r="1845" spans="2:24">
      <c r="B1845" s="4"/>
      <c r="C1845" s="4"/>
      <c r="D1845" s="107">
        <f>'2_入力シート【用途面積】'!$S59</f>
        <v>0</v>
      </c>
      <c r="E1845" s="564">
        <f>'2_入力シート【用途面積】'!$S59</f>
        <v>0</v>
      </c>
      <c r="F1845" s="564" t="str">
        <f t="shared" si="271"/>
        <v>0</v>
      </c>
      <c r="G1845" s="24"/>
      <c r="H1845" s="563"/>
      <c r="I1845" s="383" t="s">
        <v>2246</v>
      </c>
      <c r="J1845" s="561" t="s">
        <v>1407</v>
      </c>
      <c r="K1845" s="322" t="s">
        <v>2244</v>
      </c>
      <c r="L1845" s="358" t="s">
        <v>2247</v>
      </c>
      <c r="M1845" s="325" t="s">
        <v>2224</v>
      </c>
      <c r="N1845" s="355"/>
      <c r="O1845" s="352"/>
      <c r="T1845" s="382" t="str">
        <f t="shared" si="272"/>
        <v>階別用途別床面積-7-37階</v>
      </c>
      <c r="V1845" s="202"/>
      <c r="W1845" s="202"/>
      <c r="X1845" s="202"/>
    </row>
    <row r="1846" spans="2:24">
      <c r="B1846" s="4"/>
      <c r="C1846" s="4"/>
      <c r="D1846" s="107">
        <f>'2_入力シート【用途面積】'!$S60</f>
        <v>0</v>
      </c>
      <c r="E1846" s="564">
        <f>'2_入力シート【用途面積】'!$S60</f>
        <v>0</v>
      </c>
      <c r="F1846" s="564" t="str">
        <f t="shared" si="271"/>
        <v>0</v>
      </c>
      <c r="G1846" s="24"/>
      <c r="H1846" s="563"/>
      <c r="I1846" s="383" t="s">
        <v>2246</v>
      </c>
      <c r="J1846" s="561" t="s">
        <v>1407</v>
      </c>
      <c r="K1846" s="322" t="s">
        <v>2244</v>
      </c>
      <c r="L1846" s="358" t="s">
        <v>2247</v>
      </c>
      <c r="M1846" s="325" t="s">
        <v>2225</v>
      </c>
      <c r="N1846" s="355"/>
      <c r="O1846" s="352"/>
      <c r="T1846" s="382" t="str">
        <f t="shared" si="272"/>
        <v>階別用途別床面積-7-38階</v>
      </c>
      <c r="V1846" s="202"/>
      <c r="W1846" s="202"/>
      <c r="X1846" s="202"/>
    </row>
    <row r="1847" spans="2:24">
      <c r="B1847" s="4"/>
      <c r="C1847" s="4"/>
      <c r="D1847" s="107">
        <f>'2_入力シート【用途面積】'!$S61</f>
        <v>0</v>
      </c>
      <c r="E1847" s="564">
        <f>'2_入力シート【用途面積】'!$S61</f>
        <v>0</v>
      </c>
      <c r="F1847" s="564" t="str">
        <f t="shared" si="271"/>
        <v>0</v>
      </c>
      <c r="G1847" s="24"/>
      <c r="H1847" s="563"/>
      <c r="I1847" s="383" t="s">
        <v>2246</v>
      </c>
      <c r="J1847" s="561" t="s">
        <v>1407</v>
      </c>
      <c r="K1847" s="322" t="s">
        <v>2244</v>
      </c>
      <c r="L1847" s="358" t="s">
        <v>2247</v>
      </c>
      <c r="M1847" s="325" t="s">
        <v>2226</v>
      </c>
      <c r="N1847" s="355"/>
      <c r="O1847" s="352"/>
      <c r="T1847" s="382" t="str">
        <f t="shared" si="272"/>
        <v>階別用途別床面積-7-39階</v>
      </c>
      <c r="V1847" s="202"/>
      <c r="W1847" s="202"/>
      <c r="X1847" s="202"/>
    </row>
    <row r="1848" spans="2:24">
      <c r="B1848" s="4"/>
      <c r="C1848" s="4"/>
      <c r="D1848" s="107">
        <f>'2_入力シート【用途面積】'!$S62</f>
        <v>0</v>
      </c>
      <c r="E1848" s="564">
        <f>'2_入力シート【用途面積】'!$S62</f>
        <v>0</v>
      </c>
      <c r="F1848" s="564" t="str">
        <f t="shared" si="271"/>
        <v>0</v>
      </c>
      <c r="G1848" s="24"/>
      <c r="H1848" s="563"/>
      <c r="I1848" s="383" t="s">
        <v>2246</v>
      </c>
      <c r="J1848" s="561" t="s">
        <v>1407</v>
      </c>
      <c r="K1848" s="322" t="s">
        <v>2244</v>
      </c>
      <c r="L1848" s="358" t="s">
        <v>2247</v>
      </c>
      <c r="M1848" s="325" t="s">
        <v>2227</v>
      </c>
      <c r="N1848" s="355"/>
      <c r="O1848" s="352"/>
      <c r="T1848" s="382" t="str">
        <f t="shared" si="272"/>
        <v>階別用途別床面積-7-40階</v>
      </c>
      <c r="V1848" s="202"/>
      <c r="W1848" s="202"/>
      <c r="X1848" s="202"/>
    </row>
    <row r="1849" spans="2:24">
      <c r="B1849" s="4"/>
      <c r="C1849" s="4"/>
      <c r="D1849" s="107">
        <f>'2_入力シート【用途面積】'!$S63</f>
        <v>0</v>
      </c>
      <c r="E1849" s="564">
        <f>'2_入力シート【用途面積】'!$S63</f>
        <v>0</v>
      </c>
      <c r="F1849" s="564" t="str">
        <f t="shared" si="271"/>
        <v>0</v>
      </c>
      <c r="G1849" s="24"/>
      <c r="H1849" s="563"/>
      <c r="I1849" s="383" t="s">
        <v>2246</v>
      </c>
      <c r="J1849" s="561" t="s">
        <v>1407</v>
      </c>
      <c r="K1849" s="322" t="s">
        <v>2244</v>
      </c>
      <c r="L1849" s="358" t="s">
        <v>2247</v>
      </c>
      <c r="M1849" s="325" t="s">
        <v>2228</v>
      </c>
      <c r="N1849" s="355"/>
      <c r="O1849" s="352"/>
      <c r="T1849" s="382" t="str">
        <f t="shared" si="272"/>
        <v>階別用途別床面積-7-41階</v>
      </c>
      <c r="V1849" s="202"/>
      <c r="W1849" s="202"/>
      <c r="X1849" s="202"/>
    </row>
    <row r="1850" spans="2:24">
      <c r="B1850" s="4"/>
      <c r="C1850" s="4"/>
      <c r="D1850" s="107">
        <f>'2_入力シート【用途面積】'!$S64</f>
        <v>0</v>
      </c>
      <c r="E1850" s="564">
        <f>'2_入力シート【用途面積】'!$S64</f>
        <v>0</v>
      </c>
      <c r="F1850" s="564" t="str">
        <f t="shared" si="271"/>
        <v>0</v>
      </c>
      <c r="G1850" s="24"/>
      <c r="H1850" s="563"/>
      <c r="I1850" s="383" t="s">
        <v>2246</v>
      </c>
      <c r="J1850" s="561" t="s">
        <v>1407</v>
      </c>
      <c r="K1850" s="322" t="s">
        <v>2244</v>
      </c>
      <c r="L1850" s="358" t="s">
        <v>2247</v>
      </c>
      <c r="M1850" s="325" t="s">
        <v>2229</v>
      </c>
      <c r="N1850" s="355"/>
      <c r="O1850" s="352"/>
      <c r="T1850" s="382" t="str">
        <f t="shared" si="272"/>
        <v>階別用途別床面積-7-42階</v>
      </c>
      <c r="V1850" s="202"/>
      <c r="W1850" s="202"/>
      <c r="X1850" s="202"/>
    </row>
    <row r="1851" spans="2:24">
      <c r="B1851" s="4"/>
      <c r="C1851" s="4"/>
      <c r="D1851" s="107">
        <f>'2_入力シート【用途面積】'!$S65</f>
        <v>0</v>
      </c>
      <c r="E1851" s="564">
        <f>'2_入力シート【用途面積】'!$S65</f>
        <v>0</v>
      </c>
      <c r="F1851" s="564" t="str">
        <f t="shared" si="271"/>
        <v>0</v>
      </c>
      <c r="G1851" s="24"/>
      <c r="H1851" s="563"/>
      <c r="I1851" s="383" t="s">
        <v>2246</v>
      </c>
      <c r="J1851" s="561" t="s">
        <v>1407</v>
      </c>
      <c r="K1851" s="322" t="s">
        <v>2244</v>
      </c>
      <c r="L1851" s="358" t="s">
        <v>2247</v>
      </c>
      <c r="M1851" s="325" t="s">
        <v>2230</v>
      </c>
      <c r="N1851" s="355"/>
      <c r="O1851" s="352"/>
      <c r="T1851" s="382" t="str">
        <f t="shared" si="272"/>
        <v>階別用途別床面積-7-43階</v>
      </c>
      <c r="V1851" s="202"/>
      <c r="W1851" s="202"/>
      <c r="X1851" s="202"/>
    </row>
    <row r="1852" spans="2:24">
      <c r="B1852" s="4"/>
      <c r="C1852" s="4"/>
      <c r="D1852" s="107">
        <f>'2_入力シート【用途面積】'!$S66</f>
        <v>0</v>
      </c>
      <c r="E1852" s="564">
        <f>'2_入力シート【用途面積】'!$S66</f>
        <v>0</v>
      </c>
      <c r="F1852" s="564" t="str">
        <f t="shared" si="271"/>
        <v>0</v>
      </c>
      <c r="G1852" s="24"/>
      <c r="H1852" s="563"/>
      <c r="I1852" s="383" t="s">
        <v>2246</v>
      </c>
      <c r="J1852" s="561" t="s">
        <v>1407</v>
      </c>
      <c r="K1852" s="322" t="s">
        <v>2244</v>
      </c>
      <c r="L1852" s="358" t="s">
        <v>2247</v>
      </c>
      <c r="M1852" s="325" t="s">
        <v>2231</v>
      </c>
      <c r="N1852" s="355"/>
      <c r="O1852" s="352"/>
      <c r="T1852" s="382" t="str">
        <f t="shared" si="272"/>
        <v>階別用途別床面積-7-44階</v>
      </c>
      <c r="V1852" s="202"/>
      <c r="W1852" s="202"/>
      <c r="X1852" s="202"/>
    </row>
    <row r="1853" spans="2:24">
      <c r="B1853" s="4"/>
      <c r="C1853" s="4"/>
      <c r="D1853" s="107">
        <f>'2_入力シート【用途面積】'!$S67</f>
        <v>0</v>
      </c>
      <c r="E1853" s="564">
        <f>'2_入力シート【用途面積】'!$S67</f>
        <v>0</v>
      </c>
      <c r="F1853" s="564" t="str">
        <f t="shared" si="271"/>
        <v>0</v>
      </c>
      <c r="G1853" s="24"/>
      <c r="H1853" s="563"/>
      <c r="I1853" s="383" t="s">
        <v>2246</v>
      </c>
      <c r="J1853" s="561" t="s">
        <v>1407</v>
      </c>
      <c r="K1853" s="322" t="s">
        <v>2244</v>
      </c>
      <c r="L1853" s="358" t="s">
        <v>2247</v>
      </c>
      <c r="M1853" s="325" t="s">
        <v>2232</v>
      </c>
      <c r="N1853" s="355"/>
      <c r="O1853" s="352"/>
      <c r="T1853" s="382" t="str">
        <f t="shared" si="272"/>
        <v>階別用途別床面積-7-45階</v>
      </c>
      <c r="V1853" s="202"/>
      <c r="W1853" s="202"/>
      <c r="X1853" s="202"/>
    </row>
    <row r="1854" spans="2:24">
      <c r="B1854" s="4"/>
      <c r="C1854" s="4"/>
      <c r="D1854" s="107">
        <f>'2_入力シート【用途面積】'!$S68</f>
        <v>0</v>
      </c>
      <c r="E1854" s="564">
        <f>'2_入力シート【用途面積】'!$S68</f>
        <v>0</v>
      </c>
      <c r="F1854" s="564" t="str">
        <f t="shared" si="271"/>
        <v>0</v>
      </c>
      <c r="G1854" s="24"/>
      <c r="H1854" s="563"/>
      <c r="I1854" s="383" t="s">
        <v>2246</v>
      </c>
      <c r="J1854" s="561" t="s">
        <v>1407</v>
      </c>
      <c r="K1854" s="322" t="s">
        <v>2244</v>
      </c>
      <c r="L1854" s="358" t="s">
        <v>2247</v>
      </c>
      <c r="M1854" s="325" t="s">
        <v>2233</v>
      </c>
      <c r="N1854" s="355"/>
      <c r="O1854" s="352"/>
      <c r="T1854" s="382" t="str">
        <f t="shared" si="272"/>
        <v>階別用途別床面積-7-46階</v>
      </c>
      <c r="V1854" s="202"/>
      <c r="W1854" s="202"/>
      <c r="X1854" s="202"/>
    </row>
    <row r="1855" spans="2:24">
      <c r="B1855" s="4"/>
      <c r="C1855" s="4"/>
      <c r="D1855" s="107">
        <f>'2_入力シート【用途面積】'!$S69</f>
        <v>0</v>
      </c>
      <c r="E1855" s="564">
        <f>'2_入力シート【用途面積】'!$S69</f>
        <v>0</v>
      </c>
      <c r="F1855" s="564" t="str">
        <f t="shared" si="271"/>
        <v>0</v>
      </c>
      <c r="G1855" s="24"/>
      <c r="H1855" s="563"/>
      <c r="I1855" s="383" t="s">
        <v>2246</v>
      </c>
      <c r="J1855" s="561" t="s">
        <v>1407</v>
      </c>
      <c r="K1855" s="322" t="s">
        <v>2244</v>
      </c>
      <c r="L1855" s="358" t="s">
        <v>2247</v>
      </c>
      <c r="M1855" s="325" t="s">
        <v>2234</v>
      </c>
      <c r="N1855" s="355"/>
      <c r="O1855" s="352"/>
      <c r="T1855" s="382" t="str">
        <f t="shared" si="272"/>
        <v>階別用途別床面積-7-47階</v>
      </c>
      <c r="V1855" s="202"/>
      <c r="W1855" s="202"/>
      <c r="X1855" s="202"/>
    </row>
    <row r="1856" spans="2:24">
      <c r="B1856" s="4"/>
      <c r="C1856" s="4"/>
      <c r="D1856" s="107">
        <f>'2_入力シート【用途面積】'!$S70</f>
        <v>0</v>
      </c>
      <c r="E1856" s="564">
        <f>'2_入力シート【用途面積】'!$S70</f>
        <v>0</v>
      </c>
      <c r="F1856" s="564" t="str">
        <f t="shared" si="271"/>
        <v>0</v>
      </c>
      <c r="G1856" s="24"/>
      <c r="H1856" s="563"/>
      <c r="I1856" s="383" t="s">
        <v>2246</v>
      </c>
      <c r="J1856" s="561" t="s">
        <v>1407</v>
      </c>
      <c r="K1856" s="322" t="s">
        <v>2244</v>
      </c>
      <c r="L1856" s="358" t="s">
        <v>2247</v>
      </c>
      <c r="M1856" s="325" t="s">
        <v>2235</v>
      </c>
      <c r="N1856" s="355"/>
      <c r="O1856" s="352"/>
      <c r="T1856" s="382" t="str">
        <f t="shared" si="272"/>
        <v>階別用途別床面積-7-48階</v>
      </c>
      <c r="V1856" s="202"/>
      <c r="W1856" s="202"/>
      <c r="X1856" s="202"/>
    </row>
    <row r="1857" spans="2:28">
      <c r="B1857" s="4"/>
      <c r="C1857" s="4"/>
      <c r="D1857" s="107">
        <f>'2_入力シート【用途面積】'!$S71</f>
        <v>0</v>
      </c>
      <c r="E1857" s="564">
        <f>'2_入力シート【用途面積】'!$S71</f>
        <v>0</v>
      </c>
      <c r="F1857" s="564" t="str">
        <f t="shared" si="271"/>
        <v>0</v>
      </c>
      <c r="G1857" s="24"/>
      <c r="H1857" s="563"/>
      <c r="I1857" s="383" t="s">
        <v>2246</v>
      </c>
      <c r="J1857" s="561" t="s">
        <v>1407</v>
      </c>
      <c r="K1857" s="322" t="s">
        <v>2244</v>
      </c>
      <c r="L1857" s="358" t="s">
        <v>2247</v>
      </c>
      <c r="M1857" s="325" t="s">
        <v>2236</v>
      </c>
      <c r="N1857" s="355"/>
      <c r="O1857" s="352"/>
      <c r="T1857" s="382" t="str">
        <f t="shared" si="272"/>
        <v>階別用途別床面積-7-49階</v>
      </c>
      <c r="V1857" s="202"/>
      <c r="W1857" s="202"/>
      <c r="X1857" s="202"/>
    </row>
    <row r="1858" spans="2:28">
      <c r="B1858" s="4"/>
      <c r="C1858" s="4"/>
      <c r="D1858" s="107">
        <f>'2_入力シート【用途面積】'!$S72</f>
        <v>0</v>
      </c>
      <c r="E1858" s="564">
        <f>'2_入力シート【用途面積】'!$S72</f>
        <v>0</v>
      </c>
      <c r="F1858" s="564" t="str">
        <f t="shared" si="271"/>
        <v>0</v>
      </c>
      <c r="G1858" s="24"/>
      <c r="H1858" s="563"/>
      <c r="I1858" s="383" t="s">
        <v>2246</v>
      </c>
      <c r="J1858" s="561" t="s">
        <v>1407</v>
      </c>
      <c r="K1858" s="322" t="s">
        <v>2244</v>
      </c>
      <c r="L1858" s="358" t="s">
        <v>2247</v>
      </c>
      <c r="M1858" s="325" t="s">
        <v>2237</v>
      </c>
      <c r="N1858" s="355"/>
      <c r="O1858" s="352"/>
      <c r="T1858" s="382" t="str">
        <f t="shared" si="272"/>
        <v>階別用途別床面積-7-50階</v>
      </c>
      <c r="V1858" s="202"/>
      <c r="W1858" s="202"/>
      <c r="X1858" s="202"/>
    </row>
    <row r="1859" spans="2:28">
      <c r="B1859" s="4"/>
      <c r="C1859" s="4"/>
      <c r="D1859" s="107"/>
      <c r="E1859" s="789">
        <f>'2_入力シート【用途面積】'!$E$13</f>
        <v>0</v>
      </c>
      <c r="F1859" s="789" t="str">
        <f t="shared" si="271"/>
        <v>0</v>
      </c>
      <c r="G1859" s="790"/>
      <c r="H1859" s="805"/>
      <c r="I1859" s="803" t="s">
        <v>3373</v>
      </c>
      <c r="J1859" s="806"/>
      <c r="K1859" s="807"/>
      <c r="L1859" s="808"/>
      <c r="M1859" s="809"/>
      <c r="N1859" s="810"/>
      <c r="O1859" s="811"/>
      <c r="P1859" s="788"/>
      <c r="Q1859" s="812"/>
      <c r="R1859" s="788"/>
      <c r="S1859" s="788"/>
      <c r="T1859" s="382" t="str">
        <f t="shared" si="272"/>
        <v>延べ面積</v>
      </c>
      <c r="U1859" s="382"/>
      <c r="V1859" s="202"/>
      <c r="W1859" s="202"/>
      <c r="X1859" s="202"/>
      <c r="Y1859" s="382"/>
      <c r="Z1859" s="382"/>
      <c r="AA1859" s="382"/>
      <c r="AB1859" s="382"/>
    </row>
    <row r="1860" spans="2:28">
      <c r="B1860" s="4"/>
      <c r="C1860" s="4"/>
      <c r="D1860" s="107"/>
      <c r="E1860" s="789" t="str">
        <f>'3_入力シート【写真】'!$D$11</f>
        <v/>
      </c>
      <c r="F1860" s="789" t="str">
        <f t="shared" si="271"/>
        <v/>
      </c>
      <c r="G1860" s="790"/>
      <c r="H1860" s="816"/>
      <c r="I1860" s="817" t="s">
        <v>3374</v>
      </c>
      <c r="J1860" s="818" t="s">
        <v>1879</v>
      </c>
      <c r="K1860" s="819" t="s">
        <v>3378</v>
      </c>
      <c r="L1860" s="820" t="s">
        <v>1879</v>
      </c>
      <c r="M1860" s="821" t="s">
        <v>3399</v>
      </c>
      <c r="N1860" s="810"/>
      <c r="O1860" s="811"/>
      <c r="P1860" s="788"/>
      <c r="Q1860" s="812"/>
      <c r="R1860" s="788"/>
      <c r="S1860" s="788"/>
      <c r="T1860" s="382" t="str">
        <f t="shared" si="272"/>
        <v>関係写真-1-項目番号</v>
      </c>
      <c r="U1860" s="382"/>
      <c r="V1860" s="202"/>
      <c r="W1860" s="202"/>
      <c r="X1860" s="202"/>
      <c r="Y1860" s="382"/>
      <c r="Z1860" s="382"/>
      <c r="AA1860" s="382"/>
      <c r="AB1860" s="382"/>
    </row>
    <row r="1861" spans="2:28">
      <c r="B1861" s="4"/>
      <c r="C1861" s="4"/>
      <c r="D1861" s="107"/>
      <c r="E1861" s="789" t="b">
        <f>'3_入力シート【写真】'!$BA$12</f>
        <v>0</v>
      </c>
      <c r="F1861" s="789" t="str">
        <f t="shared" ref="F1861:F1919" si="273">SUBSTITUTE(E1861,CHAR(10),"")</f>
        <v>FALSE</v>
      </c>
      <c r="G1861" s="790"/>
      <c r="H1861" s="816"/>
      <c r="I1861" s="817" t="s">
        <v>3374</v>
      </c>
      <c r="J1861" s="818" t="s">
        <v>1879</v>
      </c>
      <c r="K1861" s="819" t="s">
        <v>3378</v>
      </c>
      <c r="L1861" s="820" t="s">
        <v>1879</v>
      </c>
      <c r="M1861" s="821" t="s">
        <v>3400</v>
      </c>
      <c r="N1861" s="810"/>
      <c r="O1861" s="811"/>
      <c r="P1861" s="788"/>
      <c r="Q1861" s="812"/>
      <c r="R1861" s="788"/>
      <c r="S1861" s="788"/>
      <c r="T1861" s="382" t="str">
        <f t="shared" si="272"/>
        <v>関係写真-1-その他チェック</v>
      </c>
      <c r="U1861" s="382"/>
      <c r="V1861" s="202"/>
      <c r="W1861" s="202"/>
      <c r="X1861" s="202"/>
      <c r="Y1861" s="382"/>
      <c r="Z1861" s="382"/>
      <c r="AA1861" s="382"/>
      <c r="AB1861" s="382"/>
    </row>
    <row r="1862" spans="2:28">
      <c r="B1862" s="4"/>
      <c r="C1862" s="4"/>
      <c r="D1862" s="107">
        <f>'3_入力シート【写真】'!$Z$19</f>
        <v>0</v>
      </c>
      <c r="E1862" s="107">
        <f>'3_入力シート【写真】'!$Z$19</f>
        <v>0</v>
      </c>
      <c r="F1862" s="107" t="str">
        <f t="shared" si="273"/>
        <v>0</v>
      </c>
      <c r="G1862" s="24"/>
      <c r="H1862" s="822"/>
      <c r="I1862" s="823" t="s">
        <v>3375</v>
      </c>
      <c r="J1862" s="824" t="s">
        <v>1879</v>
      </c>
      <c r="K1862" s="825" t="s">
        <v>3379</v>
      </c>
      <c r="L1862" s="826" t="s">
        <v>1879</v>
      </c>
      <c r="M1862" s="827" t="s">
        <v>3377</v>
      </c>
      <c r="N1862" s="813"/>
      <c r="O1862" s="814"/>
      <c r="P1862" s="380"/>
      <c r="Q1862" s="815"/>
      <c r="R1862" s="380"/>
      <c r="S1862" s="380"/>
      <c r="T1862" s="382" t="str">
        <f t="shared" si="272"/>
        <v>関係写真-1-特記事項(自由記入)</v>
      </c>
      <c r="V1862" s="202"/>
      <c r="W1862" s="202"/>
      <c r="X1862" s="202"/>
    </row>
    <row r="1863" spans="2:28">
      <c r="B1863" s="4"/>
      <c r="C1863" s="4"/>
      <c r="D1863" s="107"/>
      <c r="E1863" s="789" t="str">
        <f>'3_入力シート【写真】'!$D$34</f>
        <v/>
      </c>
      <c r="F1863" s="789" t="str">
        <f t="shared" si="273"/>
        <v/>
      </c>
      <c r="G1863" s="790"/>
      <c r="H1863" s="816"/>
      <c r="I1863" s="817" t="s">
        <v>3374</v>
      </c>
      <c r="J1863" s="818" t="s">
        <v>1879</v>
      </c>
      <c r="K1863" s="819" t="s">
        <v>3380</v>
      </c>
      <c r="L1863" s="820" t="s">
        <v>1879</v>
      </c>
      <c r="M1863" s="821" t="s">
        <v>3399</v>
      </c>
      <c r="N1863" s="810"/>
      <c r="O1863" s="811"/>
      <c r="P1863" s="788"/>
      <c r="Q1863" s="812"/>
      <c r="R1863" s="788"/>
      <c r="S1863" s="788"/>
      <c r="T1863" s="382" t="str">
        <f t="shared" ref="T1863:T1864" si="274">CONCATENATE(H1863,I1863,J1863,K1863,L1863,M1863,N1863,O1863,P1863,Q1863)</f>
        <v>関係写真-2-項目番号</v>
      </c>
      <c r="U1863" s="382"/>
      <c r="V1863" s="202"/>
      <c r="W1863" s="202"/>
      <c r="X1863" s="202"/>
      <c r="Y1863" s="382"/>
      <c r="Z1863" s="382"/>
      <c r="AA1863" s="382"/>
      <c r="AB1863" s="382"/>
    </row>
    <row r="1864" spans="2:28">
      <c r="B1864" s="4"/>
      <c r="C1864" s="4"/>
      <c r="D1864" s="107"/>
      <c r="E1864" s="789" t="b">
        <f>'3_入力シート【写真】'!$BA$35</f>
        <v>0</v>
      </c>
      <c r="F1864" s="789" t="str">
        <f t="shared" si="273"/>
        <v>FALSE</v>
      </c>
      <c r="G1864" s="790"/>
      <c r="H1864" s="816"/>
      <c r="I1864" s="817" t="s">
        <v>3374</v>
      </c>
      <c r="J1864" s="818" t="s">
        <v>1879</v>
      </c>
      <c r="K1864" s="819" t="s">
        <v>3380</v>
      </c>
      <c r="L1864" s="820" t="s">
        <v>1879</v>
      </c>
      <c r="M1864" s="821" t="s">
        <v>3400</v>
      </c>
      <c r="N1864" s="810"/>
      <c r="O1864" s="811"/>
      <c r="P1864" s="788"/>
      <c r="Q1864" s="812"/>
      <c r="R1864" s="788"/>
      <c r="S1864" s="788"/>
      <c r="T1864" s="382" t="str">
        <f t="shared" si="274"/>
        <v>関係写真-2-その他チェック</v>
      </c>
      <c r="U1864" s="382"/>
      <c r="V1864" s="202"/>
      <c r="W1864" s="202"/>
      <c r="X1864" s="202"/>
      <c r="Y1864" s="382"/>
      <c r="Z1864" s="382"/>
      <c r="AA1864" s="382"/>
      <c r="AB1864" s="382"/>
    </row>
    <row r="1865" spans="2:28">
      <c r="B1865" s="4"/>
      <c r="C1865" s="4"/>
      <c r="D1865" s="107">
        <f>'3_入力シート【写真】'!$Z$42</f>
        <v>0</v>
      </c>
      <c r="E1865" s="575">
        <f>'3_入力シート【写真】'!$Z$42</f>
        <v>0</v>
      </c>
      <c r="F1865" s="575" t="str">
        <f t="shared" si="273"/>
        <v>0</v>
      </c>
      <c r="G1865" s="24"/>
      <c r="H1865" s="822"/>
      <c r="I1865" s="823" t="s">
        <v>3374</v>
      </c>
      <c r="J1865" s="824" t="s">
        <v>1879</v>
      </c>
      <c r="K1865" s="825" t="s">
        <v>3380</v>
      </c>
      <c r="L1865" s="826" t="s">
        <v>1879</v>
      </c>
      <c r="M1865" s="827" t="s">
        <v>3376</v>
      </c>
      <c r="N1865" s="813"/>
      <c r="O1865" s="814"/>
      <c r="P1865" s="380"/>
      <c r="Q1865" s="815"/>
      <c r="R1865" s="380"/>
      <c r="S1865" s="380"/>
      <c r="T1865" s="382" t="str">
        <f t="shared" si="272"/>
        <v>関係写真-2-特記事項(自由記入)</v>
      </c>
      <c r="V1865" s="202"/>
      <c r="W1865" s="202"/>
      <c r="X1865" s="202"/>
    </row>
    <row r="1866" spans="2:28">
      <c r="B1866" s="4"/>
      <c r="C1866" s="4"/>
      <c r="D1866" s="107"/>
      <c r="E1866" s="789" t="str">
        <f>'3_入力シート【写真】'!$D$70</f>
        <v/>
      </c>
      <c r="F1866" s="789" t="str">
        <f t="shared" si="273"/>
        <v/>
      </c>
      <c r="G1866" s="790"/>
      <c r="H1866" s="816"/>
      <c r="I1866" s="817" t="s">
        <v>3374</v>
      </c>
      <c r="J1866" s="818" t="s">
        <v>1879</v>
      </c>
      <c r="K1866" s="819" t="s">
        <v>3381</v>
      </c>
      <c r="L1866" s="820" t="s">
        <v>1879</v>
      </c>
      <c r="M1866" s="821" t="s">
        <v>3399</v>
      </c>
      <c r="N1866" s="810"/>
      <c r="O1866" s="811"/>
      <c r="P1866" s="788"/>
      <c r="Q1866" s="812"/>
      <c r="R1866" s="788"/>
      <c r="S1866" s="788"/>
      <c r="T1866" s="382" t="str">
        <f t="shared" si="272"/>
        <v>関係写真-3-項目番号</v>
      </c>
      <c r="U1866" s="382"/>
      <c r="V1866" s="202"/>
      <c r="W1866" s="202"/>
      <c r="X1866" s="202"/>
      <c r="Y1866" s="382"/>
      <c r="Z1866" s="382"/>
      <c r="AA1866" s="382"/>
      <c r="AB1866" s="382"/>
    </row>
    <row r="1867" spans="2:28">
      <c r="B1867" s="4"/>
      <c r="C1867" s="4"/>
      <c r="D1867" s="107"/>
      <c r="E1867" s="789" t="b">
        <f>'3_入力シート【写真】'!$BA$71</f>
        <v>0</v>
      </c>
      <c r="F1867" s="789" t="str">
        <f t="shared" si="273"/>
        <v>FALSE</v>
      </c>
      <c r="G1867" s="790"/>
      <c r="H1867" s="816"/>
      <c r="I1867" s="817" t="s">
        <v>3374</v>
      </c>
      <c r="J1867" s="818" t="s">
        <v>1879</v>
      </c>
      <c r="K1867" s="819" t="s">
        <v>3381</v>
      </c>
      <c r="L1867" s="820" t="s">
        <v>1879</v>
      </c>
      <c r="M1867" s="821" t="s">
        <v>3400</v>
      </c>
      <c r="N1867" s="810"/>
      <c r="O1867" s="811"/>
      <c r="P1867" s="788"/>
      <c r="Q1867" s="812"/>
      <c r="R1867" s="788"/>
      <c r="S1867" s="788"/>
      <c r="T1867" s="382" t="str">
        <f t="shared" si="272"/>
        <v>関係写真-3-その他チェック</v>
      </c>
      <c r="U1867" s="382"/>
      <c r="V1867" s="202"/>
      <c r="W1867" s="202"/>
      <c r="X1867" s="202"/>
      <c r="Y1867" s="382"/>
      <c r="Z1867" s="382"/>
      <c r="AA1867" s="382"/>
      <c r="AB1867" s="382"/>
    </row>
    <row r="1868" spans="2:28">
      <c r="B1868" s="4"/>
      <c r="C1868" s="4"/>
      <c r="D1868" s="107">
        <f>'3_入力シート【写真】'!$Z$78</f>
        <v>0</v>
      </c>
      <c r="E1868" s="575">
        <f>'3_入力シート【写真】'!$Z$78</f>
        <v>0</v>
      </c>
      <c r="F1868" s="575" t="str">
        <f t="shared" si="273"/>
        <v>0</v>
      </c>
      <c r="G1868" s="24"/>
      <c r="H1868" s="822"/>
      <c r="I1868" s="823" t="s">
        <v>3374</v>
      </c>
      <c r="J1868" s="824" t="s">
        <v>1879</v>
      </c>
      <c r="K1868" s="825" t="s">
        <v>3381</v>
      </c>
      <c r="L1868" s="826" t="s">
        <v>1879</v>
      </c>
      <c r="M1868" s="827" t="s">
        <v>3376</v>
      </c>
      <c r="N1868" s="813"/>
      <c r="O1868" s="814"/>
      <c r="P1868" s="380"/>
      <c r="Q1868" s="815"/>
      <c r="R1868" s="380"/>
      <c r="S1868" s="380"/>
      <c r="T1868" s="382" t="str">
        <f t="shared" si="272"/>
        <v>関係写真-3-特記事項(自由記入)</v>
      </c>
      <c r="V1868" s="202"/>
      <c r="W1868" s="202"/>
      <c r="X1868" s="202"/>
    </row>
    <row r="1869" spans="2:28">
      <c r="B1869" s="4"/>
      <c r="C1869" s="4"/>
      <c r="D1869" s="107"/>
      <c r="E1869" s="789" t="str">
        <f>'3_入力シート【写真】'!$D$93</f>
        <v/>
      </c>
      <c r="F1869" s="789" t="str">
        <f t="shared" si="273"/>
        <v/>
      </c>
      <c r="G1869" s="790"/>
      <c r="H1869" s="816"/>
      <c r="I1869" s="817" t="s">
        <v>3374</v>
      </c>
      <c r="J1869" s="818" t="s">
        <v>1879</v>
      </c>
      <c r="K1869" s="819" t="s">
        <v>3382</v>
      </c>
      <c r="L1869" s="820" t="s">
        <v>1879</v>
      </c>
      <c r="M1869" s="821" t="s">
        <v>3399</v>
      </c>
      <c r="N1869" s="810"/>
      <c r="O1869" s="811"/>
      <c r="P1869" s="788"/>
      <c r="Q1869" s="812"/>
      <c r="R1869" s="788"/>
      <c r="S1869" s="788"/>
      <c r="T1869" s="382" t="str">
        <f t="shared" ref="T1869:T1870" si="275">CONCATENATE(H1869,I1869,J1869,K1869,L1869,M1869,N1869,O1869,P1869,Q1869)</f>
        <v>関係写真-4-項目番号</v>
      </c>
      <c r="U1869" s="382"/>
      <c r="V1869" s="202"/>
      <c r="W1869" s="202"/>
      <c r="X1869" s="202"/>
      <c r="Y1869" s="382"/>
      <c r="Z1869" s="382"/>
      <c r="AA1869" s="382"/>
      <c r="AB1869" s="382"/>
    </row>
    <row r="1870" spans="2:28">
      <c r="B1870" s="4"/>
      <c r="C1870" s="4"/>
      <c r="D1870" s="107"/>
      <c r="E1870" s="789" t="b">
        <f>'3_入力シート【写真】'!$BA$94</f>
        <v>0</v>
      </c>
      <c r="F1870" s="789" t="str">
        <f t="shared" si="273"/>
        <v>FALSE</v>
      </c>
      <c r="G1870" s="790"/>
      <c r="H1870" s="816"/>
      <c r="I1870" s="817" t="s">
        <v>3374</v>
      </c>
      <c r="J1870" s="818" t="s">
        <v>1879</v>
      </c>
      <c r="K1870" s="819" t="s">
        <v>3382</v>
      </c>
      <c r="L1870" s="820" t="s">
        <v>1879</v>
      </c>
      <c r="M1870" s="821" t="s">
        <v>3400</v>
      </c>
      <c r="N1870" s="810"/>
      <c r="O1870" s="811"/>
      <c r="P1870" s="788"/>
      <c r="Q1870" s="812"/>
      <c r="R1870" s="788"/>
      <c r="S1870" s="788"/>
      <c r="T1870" s="382" t="str">
        <f t="shared" si="275"/>
        <v>関係写真-4-その他チェック</v>
      </c>
      <c r="U1870" s="382"/>
      <c r="V1870" s="202"/>
      <c r="W1870" s="202"/>
      <c r="X1870" s="202"/>
      <c r="Y1870" s="382"/>
      <c r="Z1870" s="382"/>
      <c r="AA1870" s="382"/>
      <c r="AB1870" s="382"/>
    </row>
    <row r="1871" spans="2:28">
      <c r="B1871" s="4"/>
      <c r="C1871" s="4"/>
      <c r="D1871" s="107">
        <f>'3_入力シート【写真】'!$Z$101</f>
        <v>0</v>
      </c>
      <c r="E1871" s="575">
        <f>'3_入力シート【写真】'!$Z$101</f>
        <v>0</v>
      </c>
      <c r="F1871" s="575" t="str">
        <f t="shared" si="273"/>
        <v>0</v>
      </c>
      <c r="G1871" s="24"/>
      <c r="H1871" s="822"/>
      <c r="I1871" s="823" t="s">
        <v>3374</v>
      </c>
      <c r="J1871" s="824" t="s">
        <v>1879</v>
      </c>
      <c r="K1871" s="825" t="s">
        <v>3382</v>
      </c>
      <c r="L1871" s="826" t="s">
        <v>1879</v>
      </c>
      <c r="M1871" s="827" t="s">
        <v>3376</v>
      </c>
      <c r="N1871" s="813"/>
      <c r="O1871" s="814"/>
      <c r="P1871" s="380"/>
      <c r="Q1871" s="815"/>
      <c r="R1871" s="380"/>
      <c r="S1871" s="380"/>
      <c r="T1871" s="382" t="str">
        <f t="shared" si="272"/>
        <v>関係写真-4-特記事項(自由記入)</v>
      </c>
      <c r="V1871" s="202"/>
      <c r="W1871" s="202"/>
      <c r="X1871" s="202"/>
    </row>
    <row r="1872" spans="2:28">
      <c r="B1872" s="4"/>
      <c r="C1872" s="4"/>
      <c r="D1872" s="107"/>
      <c r="E1872" s="789" t="str">
        <f>'3_入力シート【写真】'!$D$130</f>
        <v/>
      </c>
      <c r="F1872" s="789" t="str">
        <f t="shared" si="273"/>
        <v/>
      </c>
      <c r="G1872" s="790"/>
      <c r="H1872" s="816"/>
      <c r="I1872" s="817" t="s">
        <v>3374</v>
      </c>
      <c r="J1872" s="818" t="s">
        <v>1879</v>
      </c>
      <c r="K1872" s="819" t="s">
        <v>3383</v>
      </c>
      <c r="L1872" s="820" t="s">
        <v>1879</v>
      </c>
      <c r="M1872" s="821" t="s">
        <v>3399</v>
      </c>
      <c r="N1872" s="810"/>
      <c r="O1872" s="811"/>
      <c r="P1872" s="788"/>
      <c r="Q1872" s="812"/>
      <c r="R1872" s="788"/>
      <c r="S1872" s="788"/>
      <c r="T1872" s="382" t="str">
        <f t="shared" si="272"/>
        <v>関係写真-5-項目番号</v>
      </c>
      <c r="U1872" s="382"/>
      <c r="V1872" s="202"/>
      <c r="W1872" s="202"/>
      <c r="X1872" s="202"/>
      <c r="Y1872" s="382"/>
      <c r="Z1872" s="382"/>
      <c r="AA1872" s="382"/>
      <c r="AB1872" s="382"/>
    </row>
    <row r="1873" spans="2:28">
      <c r="B1873" s="4"/>
      <c r="C1873" s="4"/>
      <c r="D1873" s="107"/>
      <c r="E1873" s="789" t="b">
        <f>'3_入力シート【写真】'!$BA$131</f>
        <v>0</v>
      </c>
      <c r="F1873" s="789" t="str">
        <f t="shared" si="273"/>
        <v>FALSE</v>
      </c>
      <c r="G1873" s="790"/>
      <c r="H1873" s="816"/>
      <c r="I1873" s="817" t="s">
        <v>3374</v>
      </c>
      <c r="J1873" s="818" t="s">
        <v>1879</v>
      </c>
      <c r="K1873" s="819" t="s">
        <v>3383</v>
      </c>
      <c r="L1873" s="820" t="s">
        <v>1879</v>
      </c>
      <c r="M1873" s="821" t="s">
        <v>3400</v>
      </c>
      <c r="N1873" s="810"/>
      <c r="O1873" s="811"/>
      <c r="P1873" s="788"/>
      <c r="Q1873" s="812"/>
      <c r="R1873" s="788"/>
      <c r="S1873" s="788"/>
      <c r="T1873" s="382" t="str">
        <f t="shared" si="272"/>
        <v>関係写真-5-その他チェック</v>
      </c>
      <c r="U1873" s="382"/>
      <c r="V1873" s="202"/>
      <c r="W1873" s="202"/>
      <c r="X1873" s="202"/>
      <c r="Y1873" s="382"/>
      <c r="Z1873" s="382"/>
      <c r="AA1873" s="382"/>
      <c r="AB1873" s="382"/>
    </row>
    <row r="1874" spans="2:28">
      <c r="B1874" s="4"/>
      <c r="C1874" s="4"/>
      <c r="D1874" s="107">
        <f>'3_入力シート【写真】'!$Z$138</f>
        <v>0</v>
      </c>
      <c r="E1874" s="575">
        <f>'3_入力シート【写真】'!$Z$138</f>
        <v>0</v>
      </c>
      <c r="F1874" s="575" t="str">
        <f t="shared" si="273"/>
        <v>0</v>
      </c>
      <c r="G1874" s="24"/>
      <c r="H1874" s="822"/>
      <c r="I1874" s="823" t="s">
        <v>3374</v>
      </c>
      <c r="J1874" s="824" t="s">
        <v>1879</v>
      </c>
      <c r="K1874" s="825" t="s">
        <v>3383</v>
      </c>
      <c r="L1874" s="826" t="s">
        <v>1879</v>
      </c>
      <c r="M1874" s="827" t="s">
        <v>3376</v>
      </c>
      <c r="N1874" s="813"/>
      <c r="O1874" s="814"/>
      <c r="P1874" s="380"/>
      <c r="Q1874" s="815"/>
      <c r="R1874" s="380"/>
      <c r="S1874" s="380"/>
      <c r="T1874" s="382" t="str">
        <f t="shared" si="272"/>
        <v>関係写真-5-特記事項(自由記入)</v>
      </c>
      <c r="V1874" s="202"/>
      <c r="W1874" s="202"/>
      <c r="X1874" s="202"/>
    </row>
    <row r="1875" spans="2:28">
      <c r="B1875" s="4"/>
      <c r="C1875" s="4"/>
      <c r="D1875" s="107"/>
      <c r="E1875" s="789" t="str">
        <f>'3_入力シート【写真】'!$D$153</f>
        <v/>
      </c>
      <c r="F1875" s="789" t="str">
        <f t="shared" si="273"/>
        <v/>
      </c>
      <c r="G1875" s="790"/>
      <c r="H1875" s="816"/>
      <c r="I1875" s="817" t="s">
        <v>3374</v>
      </c>
      <c r="J1875" s="818" t="s">
        <v>1879</v>
      </c>
      <c r="K1875" s="819" t="s">
        <v>3384</v>
      </c>
      <c r="L1875" s="820" t="s">
        <v>1879</v>
      </c>
      <c r="M1875" s="821" t="s">
        <v>3399</v>
      </c>
      <c r="N1875" s="810"/>
      <c r="O1875" s="811"/>
      <c r="P1875" s="788"/>
      <c r="Q1875" s="812"/>
      <c r="R1875" s="788"/>
      <c r="S1875" s="788"/>
      <c r="T1875" s="382" t="str">
        <f t="shared" ref="T1875:T1876" si="276">CONCATENATE(H1875,I1875,J1875,K1875,L1875,M1875,N1875,O1875,P1875,Q1875)</f>
        <v>関係写真-6-項目番号</v>
      </c>
      <c r="U1875" s="382"/>
      <c r="V1875" s="202"/>
      <c r="W1875" s="202"/>
      <c r="X1875" s="202"/>
      <c r="Y1875" s="382"/>
      <c r="Z1875" s="382"/>
      <c r="AA1875" s="382"/>
      <c r="AB1875" s="382"/>
    </row>
    <row r="1876" spans="2:28">
      <c r="B1876" s="4"/>
      <c r="C1876" s="4"/>
      <c r="D1876" s="107"/>
      <c r="E1876" s="789" t="b">
        <f>'3_入力シート【写真】'!$BA$154</f>
        <v>0</v>
      </c>
      <c r="F1876" s="789" t="str">
        <f t="shared" si="273"/>
        <v>FALSE</v>
      </c>
      <c r="G1876" s="790"/>
      <c r="H1876" s="816"/>
      <c r="I1876" s="817" t="s">
        <v>3374</v>
      </c>
      <c r="J1876" s="818" t="s">
        <v>1879</v>
      </c>
      <c r="K1876" s="819" t="s">
        <v>3384</v>
      </c>
      <c r="L1876" s="820" t="s">
        <v>1879</v>
      </c>
      <c r="M1876" s="821" t="s">
        <v>3400</v>
      </c>
      <c r="N1876" s="810"/>
      <c r="O1876" s="811"/>
      <c r="P1876" s="788"/>
      <c r="Q1876" s="812"/>
      <c r="R1876" s="788"/>
      <c r="S1876" s="788"/>
      <c r="T1876" s="382" t="str">
        <f t="shared" si="276"/>
        <v>関係写真-6-その他チェック</v>
      </c>
      <c r="U1876" s="382"/>
      <c r="V1876" s="202"/>
      <c r="W1876" s="202"/>
      <c r="X1876" s="202"/>
      <c r="Y1876" s="382"/>
      <c r="Z1876" s="382"/>
      <c r="AA1876" s="382"/>
      <c r="AB1876" s="382"/>
    </row>
    <row r="1877" spans="2:28">
      <c r="B1877" s="4"/>
      <c r="C1877" s="4"/>
      <c r="D1877" s="107">
        <f>'3_入力シート【写真】'!$Z$161</f>
        <v>0</v>
      </c>
      <c r="E1877" s="575">
        <f>'3_入力シート【写真】'!$Z$161</f>
        <v>0</v>
      </c>
      <c r="F1877" s="575" t="str">
        <f t="shared" si="273"/>
        <v>0</v>
      </c>
      <c r="G1877" s="24"/>
      <c r="H1877" s="822"/>
      <c r="I1877" s="823" t="s">
        <v>3374</v>
      </c>
      <c r="J1877" s="824" t="s">
        <v>1879</v>
      </c>
      <c r="K1877" s="825" t="s">
        <v>3384</v>
      </c>
      <c r="L1877" s="826" t="s">
        <v>1879</v>
      </c>
      <c r="M1877" s="827" t="s">
        <v>3376</v>
      </c>
      <c r="N1877" s="813"/>
      <c r="O1877" s="814"/>
      <c r="P1877" s="380"/>
      <c r="Q1877" s="815"/>
      <c r="R1877" s="380"/>
      <c r="S1877" s="380"/>
      <c r="T1877" s="382" t="str">
        <f t="shared" si="272"/>
        <v>関係写真-6-特記事項(自由記入)</v>
      </c>
      <c r="V1877" s="202"/>
      <c r="W1877" s="202"/>
      <c r="X1877" s="202"/>
    </row>
    <row r="1878" spans="2:28">
      <c r="B1878" s="4"/>
      <c r="C1878" s="4"/>
      <c r="D1878" s="107"/>
      <c r="E1878" s="789" t="str">
        <f>'3_入力シート【写真】'!$D$190</f>
        <v/>
      </c>
      <c r="F1878" s="789" t="str">
        <f t="shared" si="273"/>
        <v/>
      </c>
      <c r="G1878" s="790"/>
      <c r="H1878" s="816"/>
      <c r="I1878" s="817" t="s">
        <v>3374</v>
      </c>
      <c r="J1878" s="818" t="s">
        <v>1879</v>
      </c>
      <c r="K1878" s="819" t="s">
        <v>3385</v>
      </c>
      <c r="L1878" s="820" t="s">
        <v>1879</v>
      </c>
      <c r="M1878" s="821" t="s">
        <v>3399</v>
      </c>
      <c r="N1878" s="810"/>
      <c r="O1878" s="811"/>
      <c r="P1878" s="788"/>
      <c r="Q1878" s="812"/>
      <c r="R1878" s="788"/>
      <c r="S1878" s="788"/>
      <c r="T1878" s="382" t="str">
        <f t="shared" si="272"/>
        <v>関係写真-7-項目番号</v>
      </c>
      <c r="U1878" s="382"/>
      <c r="V1878" s="202"/>
      <c r="W1878" s="202"/>
      <c r="X1878" s="202"/>
      <c r="Y1878" s="382"/>
      <c r="Z1878" s="382"/>
      <c r="AA1878" s="382"/>
      <c r="AB1878" s="382"/>
    </row>
    <row r="1879" spans="2:28">
      <c r="B1879" s="4"/>
      <c r="C1879" s="4"/>
      <c r="D1879" s="107"/>
      <c r="E1879" s="789" t="b">
        <f>'3_入力シート【写真】'!$BA$191</f>
        <v>0</v>
      </c>
      <c r="F1879" s="789" t="str">
        <f t="shared" si="273"/>
        <v>FALSE</v>
      </c>
      <c r="G1879" s="790"/>
      <c r="H1879" s="816"/>
      <c r="I1879" s="817" t="s">
        <v>3374</v>
      </c>
      <c r="J1879" s="818" t="s">
        <v>1879</v>
      </c>
      <c r="K1879" s="819" t="s">
        <v>3385</v>
      </c>
      <c r="L1879" s="820" t="s">
        <v>1879</v>
      </c>
      <c r="M1879" s="821" t="s">
        <v>3400</v>
      </c>
      <c r="N1879" s="810"/>
      <c r="O1879" s="811"/>
      <c r="P1879" s="788"/>
      <c r="Q1879" s="812"/>
      <c r="R1879" s="788"/>
      <c r="S1879" s="788"/>
      <c r="T1879" s="382" t="str">
        <f t="shared" si="272"/>
        <v>関係写真-7-その他チェック</v>
      </c>
      <c r="U1879" s="382"/>
      <c r="V1879" s="202"/>
      <c r="W1879" s="202"/>
      <c r="X1879" s="202"/>
      <c r="Y1879" s="382"/>
      <c r="Z1879" s="382"/>
      <c r="AA1879" s="382"/>
      <c r="AB1879" s="382"/>
    </row>
    <row r="1880" spans="2:28">
      <c r="B1880" s="4"/>
      <c r="C1880" s="4"/>
      <c r="D1880" s="107">
        <f>'3_入力シート【写真】'!$Z$198</f>
        <v>0</v>
      </c>
      <c r="E1880" s="575">
        <f>'3_入力シート【写真】'!$Z$198</f>
        <v>0</v>
      </c>
      <c r="F1880" s="575" t="str">
        <f t="shared" si="273"/>
        <v>0</v>
      </c>
      <c r="G1880" s="24"/>
      <c r="H1880" s="822"/>
      <c r="I1880" s="823" t="s">
        <v>3374</v>
      </c>
      <c r="J1880" s="824" t="s">
        <v>1879</v>
      </c>
      <c r="K1880" s="825" t="s">
        <v>3385</v>
      </c>
      <c r="L1880" s="826" t="s">
        <v>1879</v>
      </c>
      <c r="M1880" s="827" t="s">
        <v>3376</v>
      </c>
      <c r="N1880" s="813"/>
      <c r="O1880" s="814"/>
      <c r="P1880" s="380"/>
      <c r="Q1880" s="815"/>
      <c r="R1880" s="380"/>
      <c r="S1880" s="380"/>
      <c r="T1880" s="382" t="str">
        <f t="shared" si="272"/>
        <v>関係写真-7-特記事項(自由記入)</v>
      </c>
      <c r="V1880" s="202"/>
      <c r="W1880" s="202"/>
      <c r="X1880" s="202"/>
    </row>
    <row r="1881" spans="2:28">
      <c r="B1881" s="4"/>
      <c r="C1881" s="4"/>
      <c r="D1881" s="107"/>
      <c r="E1881" s="789" t="str">
        <f>'3_入力シート【写真】'!$D$213</f>
        <v/>
      </c>
      <c r="F1881" s="789" t="str">
        <f t="shared" si="273"/>
        <v/>
      </c>
      <c r="G1881" s="790"/>
      <c r="H1881" s="816"/>
      <c r="I1881" s="817" t="s">
        <v>3374</v>
      </c>
      <c r="J1881" s="818" t="s">
        <v>1879</v>
      </c>
      <c r="K1881" s="819" t="s">
        <v>3386</v>
      </c>
      <c r="L1881" s="820" t="s">
        <v>1879</v>
      </c>
      <c r="M1881" s="821" t="s">
        <v>3399</v>
      </c>
      <c r="N1881" s="810"/>
      <c r="O1881" s="811"/>
      <c r="P1881" s="788"/>
      <c r="Q1881" s="812"/>
      <c r="R1881" s="788"/>
      <c r="S1881" s="788"/>
      <c r="T1881" s="382" t="str">
        <f t="shared" ref="T1881:T1882" si="277">CONCATENATE(H1881,I1881,J1881,K1881,L1881,M1881,N1881,O1881,P1881,Q1881)</f>
        <v>関係写真-8-項目番号</v>
      </c>
      <c r="U1881" s="382"/>
      <c r="V1881" s="202"/>
      <c r="W1881" s="202"/>
      <c r="X1881" s="202"/>
      <c r="Y1881" s="382"/>
      <c r="Z1881" s="382"/>
      <c r="AA1881" s="382"/>
      <c r="AB1881" s="382"/>
    </row>
    <row r="1882" spans="2:28">
      <c r="B1882" s="4"/>
      <c r="C1882" s="4"/>
      <c r="D1882" s="107"/>
      <c r="E1882" s="789" t="b">
        <f>'3_入力シート【写真】'!$BA$214</f>
        <v>0</v>
      </c>
      <c r="F1882" s="789" t="str">
        <f t="shared" si="273"/>
        <v>FALSE</v>
      </c>
      <c r="G1882" s="790"/>
      <c r="H1882" s="816"/>
      <c r="I1882" s="817" t="s">
        <v>3374</v>
      </c>
      <c r="J1882" s="818" t="s">
        <v>1879</v>
      </c>
      <c r="K1882" s="819" t="s">
        <v>3386</v>
      </c>
      <c r="L1882" s="820" t="s">
        <v>1879</v>
      </c>
      <c r="M1882" s="821" t="s">
        <v>3400</v>
      </c>
      <c r="N1882" s="810"/>
      <c r="O1882" s="811"/>
      <c r="P1882" s="788"/>
      <c r="Q1882" s="812"/>
      <c r="R1882" s="788"/>
      <c r="S1882" s="788"/>
      <c r="T1882" s="382" t="str">
        <f t="shared" si="277"/>
        <v>関係写真-8-その他チェック</v>
      </c>
      <c r="U1882" s="382"/>
      <c r="V1882" s="202"/>
      <c r="W1882" s="202"/>
      <c r="X1882" s="202"/>
      <c r="Y1882" s="382"/>
      <c r="Z1882" s="382"/>
      <c r="AA1882" s="382"/>
      <c r="AB1882" s="382"/>
    </row>
    <row r="1883" spans="2:28">
      <c r="B1883" s="4"/>
      <c r="C1883" s="4"/>
      <c r="D1883" s="107">
        <f>'3_入力シート【写真】'!$Z$221</f>
        <v>0</v>
      </c>
      <c r="E1883" s="575">
        <f>'3_入力シート【写真】'!$Z$221</f>
        <v>0</v>
      </c>
      <c r="F1883" s="575" t="str">
        <f t="shared" si="273"/>
        <v>0</v>
      </c>
      <c r="G1883" s="24"/>
      <c r="H1883" s="822"/>
      <c r="I1883" s="823" t="s">
        <v>3374</v>
      </c>
      <c r="J1883" s="824" t="s">
        <v>1879</v>
      </c>
      <c r="K1883" s="825" t="s">
        <v>3386</v>
      </c>
      <c r="L1883" s="826" t="s">
        <v>1879</v>
      </c>
      <c r="M1883" s="827" t="s">
        <v>3376</v>
      </c>
      <c r="N1883" s="813"/>
      <c r="O1883" s="814"/>
      <c r="P1883" s="380"/>
      <c r="Q1883" s="815"/>
      <c r="R1883" s="380"/>
      <c r="S1883" s="380"/>
      <c r="T1883" s="382" t="str">
        <f t="shared" si="272"/>
        <v>関係写真-8-特記事項(自由記入)</v>
      </c>
      <c r="V1883" s="202"/>
      <c r="W1883" s="202"/>
      <c r="X1883" s="202"/>
    </row>
    <row r="1884" spans="2:28">
      <c r="B1884" s="4"/>
      <c r="C1884" s="4"/>
      <c r="D1884" s="107"/>
      <c r="E1884" s="789" t="str">
        <f>'3_入力シート【写真】'!$D$250</f>
        <v/>
      </c>
      <c r="F1884" s="789" t="str">
        <f t="shared" si="273"/>
        <v/>
      </c>
      <c r="G1884" s="790"/>
      <c r="H1884" s="816"/>
      <c r="I1884" s="817" t="s">
        <v>3374</v>
      </c>
      <c r="J1884" s="818" t="s">
        <v>1879</v>
      </c>
      <c r="K1884" s="819" t="s">
        <v>3387</v>
      </c>
      <c r="L1884" s="820" t="s">
        <v>1879</v>
      </c>
      <c r="M1884" s="821" t="s">
        <v>3399</v>
      </c>
      <c r="N1884" s="810"/>
      <c r="O1884" s="811"/>
      <c r="P1884" s="788"/>
      <c r="Q1884" s="812"/>
      <c r="R1884" s="788"/>
      <c r="S1884" s="788"/>
      <c r="T1884" s="382" t="str">
        <f t="shared" si="272"/>
        <v>関係写真-9-項目番号</v>
      </c>
      <c r="U1884" s="382"/>
      <c r="V1884" s="202"/>
      <c r="W1884" s="202"/>
      <c r="X1884" s="202"/>
      <c r="Y1884" s="382"/>
      <c r="Z1884" s="382"/>
      <c r="AA1884" s="382"/>
      <c r="AB1884" s="382"/>
    </row>
    <row r="1885" spans="2:28">
      <c r="B1885" s="4"/>
      <c r="C1885" s="4"/>
      <c r="D1885" s="107"/>
      <c r="E1885" s="789" t="b">
        <f>'3_入力シート【写真】'!$BA$251</f>
        <v>0</v>
      </c>
      <c r="F1885" s="789" t="str">
        <f t="shared" si="273"/>
        <v>FALSE</v>
      </c>
      <c r="G1885" s="790"/>
      <c r="H1885" s="816"/>
      <c r="I1885" s="817" t="s">
        <v>3374</v>
      </c>
      <c r="J1885" s="818" t="s">
        <v>1879</v>
      </c>
      <c r="K1885" s="819" t="s">
        <v>3387</v>
      </c>
      <c r="L1885" s="820" t="s">
        <v>1879</v>
      </c>
      <c r="M1885" s="821" t="s">
        <v>3400</v>
      </c>
      <c r="N1885" s="810"/>
      <c r="O1885" s="811"/>
      <c r="P1885" s="788"/>
      <c r="Q1885" s="812"/>
      <c r="R1885" s="788"/>
      <c r="S1885" s="788"/>
      <c r="T1885" s="382" t="str">
        <f t="shared" si="272"/>
        <v>関係写真-9-その他チェック</v>
      </c>
      <c r="U1885" s="382"/>
      <c r="V1885" s="202"/>
      <c r="W1885" s="202"/>
      <c r="X1885" s="202"/>
      <c r="Y1885" s="382"/>
      <c r="Z1885" s="382"/>
      <c r="AA1885" s="382"/>
      <c r="AB1885" s="382"/>
    </row>
    <row r="1886" spans="2:28">
      <c r="B1886" s="4"/>
      <c r="C1886" s="4"/>
      <c r="D1886" s="107">
        <f>'3_入力シート【写真】'!$Z$258</f>
        <v>0</v>
      </c>
      <c r="E1886" s="575">
        <f>'3_入力シート【写真】'!$Z$258</f>
        <v>0</v>
      </c>
      <c r="F1886" s="575" t="str">
        <f t="shared" si="273"/>
        <v>0</v>
      </c>
      <c r="G1886" s="24"/>
      <c r="H1886" s="822"/>
      <c r="I1886" s="823" t="s">
        <v>3374</v>
      </c>
      <c r="J1886" s="824" t="s">
        <v>1879</v>
      </c>
      <c r="K1886" s="825" t="s">
        <v>3387</v>
      </c>
      <c r="L1886" s="826" t="s">
        <v>1879</v>
      </c>
      <c r="M1886" s="827" t="s">
        <v>3376</v>
      </c>
      <c r="N1886" s="813"/>
      <c r="O1886" s="814"/>
      <c r="P1886" s="380"/>
      <c r="Q1886" s="815"/>
      <c r="R1886" s="380"/>
      <c r="S1886" s="380"/>
      <c r="T1886" s="382" t="str">
        <f t="shared" si="272"/>
        <v>関係写真-9-特記事項(自由記入)</v>
      </c>
      <c r="V1886" s="202"/>
      <c r="W1886" s="202"/>
      <c r="X1886" s="202"/>
    </row>
    <row r="1887" spans="2:28">
      <c r="B1887" s="4"/>
      <c r="C1887" s="4"/>
      <c r="D1887" s="107"/>
      <c r="E1887" s="789" t="str">
        <f>'3_入力シート【写真】'!$D$273</f>
        <v/>
      </c>
      <c r="F1887" s="789" t="str">
        <f t="shared" si="273"/>
        <v/>
      </c>
      <c r="G1887" s="790"/>
      <c r="H1887" s="816"/>
      <c r="I1887" s="817" t="s">
        <v>3374</v>
      </c>
      <c r="J1887" s="818" t="s">
        <v>1879</v>
      </c>
      <c r="K1887" s="819" t="s">
        <v>3388</v>
      </c>
      <c r="L1887" s="820" t="s">
        <v>1879</v>
      </c>
      <c r="M1887" s="821" t="s">
        <v>3399</v>
      </c>
      <c r="N1887" s="810"/>
      <c r="O1887" s="811"/>
      <c r="P1887" s="788"/>
      <c r="Q1887" s="812"/>
      <c r="R1887" s="788"/>
      <c r="S1887" s="788"/>
      <c r="T1887" s="382" t="str">
        <f t="shared" ref="T1887:T1888" si="278">CONCATENATE(H1887,I1887,J1887,K1887,L1887,M1887,N1887,O1887,P1887,Q1887)</f>
        <v>関係写真-10-項目番号</v>
      </c>
      <c r="U1887" s="382"/>
      <c r="V1887" s="202"/>
      <c r="W1887" s="202"/>
      <c r="X1887" s="202"/>
      <c r="Y1887" s="382"/>
      <c r="Z1887" s="382"/>
      <c r="AA1887" s="382"/>
      <c r="AB1887" s="382"/>
    </row>
    <row r="1888" spans="2:28">
      <c r="B1888" s="4"/>
      <c r="C1888" s="4"/>
      <c r="D1888" s="107"/>
      <c r="E1888" s="789" t="b">
        <f>'3_入力シート【写真】'!$BA$274</f>
        <v>0</v>
      </c>
      <c r="F1888" s="789" t="str">
        <f t="shared" si="273"/>
        <v>FALSE</v>
      </c>
      <c r="G1888" s="790"/>
      <c r="H1888" s="816"/>
      <c r="I1888" s="817" t="s">
        <v>3374</v>
      </c>
      <c r="J1888" s="818" t="s">
        <v>1879</v>
      </c>
      <c r="K1888" s="819" t="s">
        <v>3388</v>
      </c>
      <c r="L1888" s="820" t="s">
        <v>1879</v>
      </c>
      <c r="M1888" s="821" t="s">
        <v>3400</v>
      </c>
      <c r="N1888" s="810"/>
      <c r="O1888" s="811"/>
      <c r="P1888" s="788"/>
      <c r="Q1888" s="812"/>
      <c r="R1888" s="788"/>
      <c r="S1888" s="788"/>
      <c r="T1888" s="382" t="str">
        <f t="shared" si="278"/>
        <v>関係写真-10-その他チェック</v>
      </c>
      <c r="U1888" s="382"/>
      <c r="V1888" s="202"/>
      <c r="W1888" s="202"/>
      <c r="X1888" s="202"/>
      <c r="Y1888" s="382"/>
      <c r="Z1888" s="382"/>
      <c r="AA1888" s="382"/>
      <c r="AB1888" s="382"/>
    </row>
    <row r="1889" spans="2:28">
      <c r="B1889" s="4"/>
      <c r="C1889" s="4"/>
      <c r="D1889" s="107">
        <f>'3_入力シート【写真】'!$Z$281</f>
        <v>0</v>
      </c>
      <c r="E1889" s="575">
        <f>'3_入力シート【写真】'!$Z$281</f>
        <v>0</v>
      </c>
      <c r="F1889" s="575" t="str">
        <f t="shared" si="273"/>
        <v>0</v>
      </c>
      <c r="G1889" s="24"/>
      <c r="H1889" s="822"/>
      <c r="I1889" s="823" t="s">
        <v>3374</v>
      </c>
      <c r="J1889" s="824" t="s">
        <v>1879</v>
      </c>
      <c r="K1889" s="825" t="s">
        <v>3388</v>
      </c>
      <c r="L1889" s="826" t="s">
        <v>1879</v>
      </c>
      <c r="M1889" s="827" t="s">
        <v>3376</v>
      </c>
      <c r="N1889" s="813"/>
      <c r="O1889" s="814"/>
      <c r="P1889" s="380"/>
      <c r="Q1889" s="815"/>
      <c r="R1889" s="380"/>
      <c r="S1889" s="380"/>
      <c r="T1889" s="382" t="str">
        <f t="shared" si="272"/>
        <v>関係写真-10-特記事項(自由記入)</v>
      </c>
      <c r="V1889" s="202"/>
      <c r="W1889" s="202"/>
      <c r="X1889" s="202"/>
    </row>
    <row r="1890" spans="2:28">
      <c r="B1890" s="4"/>
      <c r="C1890" s="4"/>
      <c r="D1890" s="107"/>
      <c r="E1890" s="789" t="str">
        <f>'3_入力シート【写真】'!$D$310</f>
        <v/>
      </c>
      <c r="F1890" s="789" t="str">
        <f t="shared" si="273"/>
        <v/>
      </c>
      <c r="G1890" s="790"/>
      <c r="H1890" s="816"/>
      <c r="I1890" s="817" t="s">
        <v>3374</v>
      </c>
      <c r="J1890" s="818" t="s">
        <v>1879</v>
      </c>
      <c r="K1890" s="819" t="s">
        <v>3389</v>
      </c>
      <c r="L1890" s="820" t="s">
        <v>1879</v>
      </c>
      <c r="M1890" s="821" t="s">
        <v>3399</v>
      </c>
      <c r="N1890" s="810"/>
      <c r="O1890" s="811"/>
      <c r="P1890" s="788"/>
      <c r="Q1890" s="812"/>
      <c r="R1890" s="788"/>
      <c r="S1890" s="788"/>
      <c r="T1890" s="382" t="str">
        <f t="shared" si="272"/>
        <v>関係写真-11-項目番号</v>
      </c>
      <c r="U1890" s="382"/>
      <c r="V1890" s="202"/>
      <c r="W1890" s="202"/>
      <c r="X1890" s="202"/>
      <c r="Y1890" s="382"/>
      <c r="Z1890" s="382"/>
      <c r="AA1890" s="382"/>
      <c r="AB1890" s="382"/>
    </row>
    <row r="1891" spans="2:28">
      <c r="B1891" s="4"/>
      <c r="C1891" s="4"/>
      <c r="D1891" s="107"/>
      <c r="E1891" s="789" t="b">
        <f>'3_入力シート【写真】'!$BA$311</f>
        <v>0</v>
      </c>
      <c r="F1891" s="789" t="str">
        <f t="shared" si="273"/>
        <v>FALSE</v>
      </c>
      <c r="G1891" s="790"/>
      <c r="H1891" s="816"/>
      <c r="I1891" s="817" t="s">
        <v>3374</v>
      </c>
      <c r="J1891" s="818" t="s">
        <v>1879</v>
      </c>
      <c r="K1891" s="819" t="s">
        <v>3389</v>
      </c>
      <c r="L1891" s="820" t="s">
        <v>1879</v>
      </c>
      <c r="M1891" s="821" t="s">
        <v>3400</v>
      </c>
      <c r="N1891" s="810"/>
      <c r="O1891" s="811"/>
      <c r="P1891" s="788"/>
      <c r="Q1891" s="812"/>
      <c r="R1891" s="788"/>
      <c r="S1891" s="788"/>
      <c r="T1891" s="382" t="str">
        <f t="shared" si="272"/>
        <v>関係写真-11-その他チェック</v>
      </c>
      <c r="U1891" s="382"/>
      <c r="V1891" s="202"/>
      <c r="W1891" s="202"/>
      <c r="X1891" s="202"/>
      <c r="Y1891" s="382"/>
      <c r="Z1891" s="382"/>
      <c r="AA1891" s="382"/>
      <c r="AB1891" s="382"/>
    </row>
    <row r="1892" spans="2:28">
      <c r="B1892" s="4"/>
      <c r="C1892" s="4"/>
      <c r="D1892" s="107">
        <f>'3_入力シート【写真】'!$Z$318</f>
        <v>0</v>
      </c>
      <c r="E1892" s="575">
        <f>'3_入力シート【写真】'!$Z$318</f>
        <v>0</v>
      </c>
      <c r="F1892" s="575" t="str">
        <f t="shared" si="273"/>
        <v>0</v>
      </c>
      <c r="G1892" s="24"/>
      <c r="H1892" s="822"/>
      <c r="I1892" s="823" t="s">
        <v>3374</v>
      </c>
      <c r="J1892" s="824" t="s">
        <v>1879</v>
      </c>
      <c r="K1892" s="825" t="s">
        <v>3389</v>
      </c>
      <c r="L1892" s="826" t="s">
        <v>1879</v>
      </c>
      <c r="M1892" s="827" t="s">
        <v>3376</v>
      </c>
      <c r="N1892" s="813"/>
      <c r="O1892" s="814"/>
      <c r="P1892" s="380"/>
      <c r="Q1892" s="815"/>
      <c r="R1892" s="380"/>
      <c r="S1892" s="380"/>
      <c r="T1892" s="382" t="str">
        <f t="shared" si="272"/>
        <v>関係写真-11-特記事項(自由記入)</v>
      </c>
      <c r="V1892" s="202"/>
      <c r="W1892" s="202"/>
      <c r="X1892" s="202"/>
    </row>
    <row r="1893" spans="2:28">
      <c r="B1893" s="4"/>
      <c r="C1893" s="4"/>
      <c r="D1893" s="107"/>
      <c r="E1893" s="789" t="str">
        <f>'3_入力シート【写真】'!$D$333</f>
        <v/>
      </c>
      <c r="F1893" s="789" t="str">
        <f t="shared" si="273"/>
        <v/>
      </c>
      <c r="G1893" s="790"/>
      <c r="H1893" s="816"/>
      <c r="I1893" s="817" t="s">
        <v>3374</v>
      </c>
      <c r="J1893" s="818" t="s">
        <v>1879</v>
      </c>
      <c r="K1893" s="819" t="s">
        <v>3390</v>
      </c>
      <c r="L1893" s="820" t="s">
        <v>1879</v>
      </c>
      <c r="M1893" s="821" t="s">
        <v>3399</v>
      </c>
      <c r="N1893" s="810"/>
      <c r="O1893" s="811"/>
      <c r="P1893" s="788"/>
      <c r="Q1893" s="812"/>
      <c r="R1893" s="788"/>
      <c r="S1893" s="788"/>
      <c r="T1893" s="382" t="str">
        <f t="shared" ref="T1893:T1894" si="279">CONCATENATE(H1893,I1893,J1893,K1893,L1893,M1893,N1893,O1893,P1893,Q1893)</f>
        <v>関係写真-12-項目番号</v>
      </c>
      <c r="U1893" s="382"/>
      <c r="V1893" s="202"/>
      <c r="W1893" s="202"/>
      <c r="X1893" s="202"/>
      <c r="Y1893" s="382"/>
      <c r="Z1893" s="382"/>
      <c r="AA1893" s="382"/>
      <c r="AB1893" s="382"/>
    </row>
    <row r="1894" spans="2:28">
      <c r="B1894" s="4"/>
      <c r="C1894" s="4"/>
      <c r="D1894" s="107"/>
      <c r="E1894" s="789" t="b">
        <f>'3_入力シート【写真】'!$BA$334</f>
        <v>0</v>
      </c>
      <c r="F1894" s="789" t="str">
        <f t="shared" si="273"/>
        <v>FALSE</v>
      </c>
      <c r="G1894" s="790"/>
      <c r="H1894" s="816"/>
      <c r="I1894" s="817" t="s">
        <v>3374</v>
      </c>
      <c r="J1894" s="818" t="s">
        <v>1879</v>
      </c>
      <c r="K1894" s="819" t="s">
        <v>3390</v>
      </c>
      <c r="L1894" s="820" t="s">
        <v>1879</v>
      </c>
      <c r="M1894" s="821" t="s">
        <v>3400</v>
      </c>
      <c r="N1894" s="810"/>
      <c r="O1894" s="811"/>
      <c r="P1894" s="788"/>
      <c r="Q1894" s="812"/>
      <c r="R1894" s="788"/>
      <c r="S1894" s="788"/>
      <c r="T1894" s="382" t="str">
        <f t="shared" si="279"/>
        <v>関係写真-12-その他チェック</v>
      </c>
      <c r="U1894" s="382"/>
      <c r="V1894" s="202"/>
      <c r="W1894" s="202"/>
      <c r="X1894" s="202"/>
      <c r="Y1894" s="382"/>
      <c r="Z1894" s="382"/>
      <c r="AA1894" s="382"/>
      <c r="AB1894" s="382"/>
    </row>
    <row r="1895" spans="2:28">
      <c r="B1895" s="4"/>
      <c r="C1895" s="4"/>
      <c r="D1895" s="107">
        <f>'3_入力シート【写真】'!$Z$341</f>
        <v>0</v>
      </c>
      <c r="E1895" s="575">
        <f>'3_入力シート【写真】'!$Z$341</f>
        <v>0</v>
      </c>
      <c r="F1895" s="575" t="str">
        <f t="shared" si="273"/>
        <v>0</v>
      </c>
      <c r="G1895" s="24"/>
      <c r="H1895" s="822"/>
      <c r="I1895" s="823" t="s">
        <v>3374</v>
      </c>
      <c r="J1895" s="824" t="s">
        <v>1879</v>
      </c>
      <c r="K1895" s="825" t="s">
        <v>3390</v>
      </c>
      <c r="L1895" s="826" t="s">
        <v>1879</v>
      </c>
      <c r="M1895" s="827" t="s">
        <v>3376</v>
      </c>
      <c r="N1895" s="813"/>
      <c r="O1895" s="814"/>
      <c r="P1895" s="380"/>
      <c r="Q1895" s="815"/>
      <c r="R1895" s="380"/>
      <c r="S1895" s="380"/>
      <c r="T1895" s="382" t="str">
        <f t="shared" si="272"/>
        <v>関係写真-12-特記事項(自由記入)</v>
      </c>
      <c r="V1895" s="202"/>
      <c r="W1895" s="202"/>
      <c r="X1895" s="202"/>
    </row>
    <row r="1896" spans="2:28">
      <c r="B1896" s="4"/>
      <c r="C1896" s="4"/>
      <c r="D1896" s="107"/>
      <c r="E1896" s="789" t="str">
        <f>'3_入力シート【写真】'!$D$370</f>
        <v/>
      </c>
      <c r="F1896" s="789" t="str">
        <f t="shared" si="273"/>
        <v/>
      </c>
      <c r="G1896" s="790"/>
      <c r="H1896" s="816"/>
      <c r="I1896" s="817" t="s">
        <v>3374</v>
      </c>
      <c r="J1896" s="818" t="s">
        <v>1879</v>
      </c>
      <c r="K1896" s="819" t="s">
        <v>3391</v>
      </c>
      <c r="L1896" s="820" t="s">
        <v>1879</v>
      </c>
      <c r="M1896" s="821" t="s">
        <v>3399</v>
      </c>
      <c r="N1896" s="810"/>
      <c r="O1896" s="811"/>
      <c r="P1896" s="788"/>
      <c r="Q1896" s="812"/>
      <c r="R1896" s="788"/>
      <c r="S1896" s="788"/>
      <c r="T1896" s="382" t="str">
        <f t="shared" si="272"/>
        <v>関係写真-13-項目番号</v>
      </c>
      <c r="U1896" s="382"/>
      <c r="V1896" s="202"/>
      <c r="W1896" s="202"/>
      <c r="X1896" s="202"/>
      <c r="Y1896" s="382"/>
      <c r="Z1896" s="382"/>
      <c r="AA1896" s="382"/>
      <c r="AB1896" s="382"/>
    </row>
    <row r="1897" spans="2:28">
      <c r="B1897" s="4"/>
      <c r="C1897" s="4"/>
      <c r="D1897" s="107"/>
      <c r="E1897" s="789" t="b">
        <f>'3_入力シート【写真】'!$BA$371</f>
        <v>0</v>
      </c>
      <c r="F1897" s="789" t="str">
        <f t="shared" si="273"/>
        <v>FALSE</v>
      </c>
      <c r="G1897" s="790"/>
      <c r="H1897" s="816"/>
      <c r="I1897" s="817" t="s">
        <v>3374</v>
      </c>
      <c r="J1897" s="818" t="s">
        <v>1879</v>
      </c>
      <c r="K1897" s="819" t="s">
        <v>3391</v>
      </c>
      <c r="L1897" s="820" t="s">
        <v>1879</v>
      </c>
      <c r="M1897" s="821" t="s">
        <v>3400</v>
      </c>
      <c r="N1897" s="810"/>
      <c r="O1897" s="811"/>
      <c r="P1897" s="788"/>
      <c r="Q1897" s="812"/>
      <c r="R1897" s="788"/>
      <c r="S1897" s="788"/>
      <c r="T1897" s="382" t="str">
        <f t="shared" si="272"/>
        <v>関係写真-13-その他チェック</v>
      </c>
      <c r="U1897" s="382"/>
      <c r="V1897" s="202"/>
      <c r="W1897" s="202"/>
      <c r="X1897" s="202"/>
      <c r="Y1897" s="382"/>
      <c r="Z1897" s="382"/>
      <c r="AA1897" s="382"/>
      <c r="AB1897" s="382"/>
    </row>
    <row r="1898" spans="2:28">
      <c r="B1898" s="4"/>
      <c r="C1898" s="4"/>
      <c r="D1898" s="107">
        <f>'3_入力シート【写真】'!$Z$378</f>
        <v>0</v>
      </c>
      <c r="E1898" s="575">
        <f>'3_入力シート【写真】'!$Z$378</f>
        <v>0</v>
      </c>
      <c r="F1898" s="575" t="str">
        <f t="shared" si="273"/>
        <v>0</v>
      </c>
      <c r="G1898" s="24"/>
      <c r="H1898" s="822"/>
      <c r="I1898" s="823" t="s">
        <v>3374</v>
      </c>
      <c r="J1898" s="824" t="s">
        <v>1879</v>
      </c>
      <c r="K1898" s="825" t="s">
        <v>3391</v>
      </c>
      <c r="L1898" s="826" t="s">
        <v>1879</v>
      </c>
      <c r="M1898" s="827" t="s">
        <v>3376</v>
      </c>
      <c r="N1898" s="813"/>
      <c r="O1898" s="814"/>
      <c r="P1898" s="380"/>
      <c r="Q1898" s="815"/>
      <c r="R1898" s="380"/>
      <c r="S1898" s="380"/>
      <c r="T1898" s="382" t="str">
        <f t="shared" si="272"/>
        <v>関係写真-13-特記事項(自由記入)</v>
      </c>
      <c r="V1898" s="202"/>
      <c r="W1898" s="202"/>
      <c r="X1898" s="202"/>
    </row>
    <row r="1899" spans="2:28">
      <c r="B1899" s="4"/>
      <c r="C1899" s="4"/>
      <c r="D1899" s="107"/>
      <c r="E1899" s="789" t="str">
        <f>'3_入力シート【写真】'!$D$393</f>
        <v/>
      </c>
      <c r="F1899" s="789" t="str">
        <f t="shared" si="273"/>
        <v/>
      </c>
      <c r="G1899" s="790"/>
      <c r="H1899" s="816"/>
      <c r="I1899" s="817" t="s">
        <v>3374</v>
      </c>
      <c r="J1899" s="818" t="s">
        <v>1879</v>
      </c>
      <c r="K1899" s="819" t="s">
        <v>3392</v>
      </c>
      <c r="L1899" s="820" t="s">
        <v>1879</v>
      </c>
      <c r="M1899" s="821" t="s">
        <v>3399</v>
      </c>
      <c r="N1899" s="810"/>
      <c r="O1899" s="811"/>
      <c r="P1899" s="788"/>
      <c r="Q1899" s="812"/>
      <c r="R1899" s="788"/>
      <c r="S1899" s="788"/>
      <c r="T1899" s="382" t="str">
        <f t="shared" ref="T1899:T1900" si="280">CONCATENATE(H1899,I1899,J1899,K1899,L1899,M1899,N1899,O1899,P1899,Q1899)</f>
        <v>関係写真-14-項目番号</v>
      </c>
      <c r="U1899" s="382"/>
      <c r="V1899" s="202"/>
      <c r="W1899" s="202"/>
      <c r="X1899" s="202"/>
      <c r="Y1899" s="382"/>
      <c r="Z1899" s="382"/>
      <c r="AA1899" s="382"/>
      <c r="AB1899" s="382"/>
    </row>
    <row r="1900" spans="2:28">
      <c r="B1900" s="4"/>
      <c r="C1900" s="4"/>
      <c r="D1900" s="107"/>
      <c r="E1900" s="789" t="b">
        <f>'3_入力シート【写真】'!$BA$394</f>
        <v>0</v>
      </c>
      <c r="F1900" s="789" t="str">
        <f t="shared" si="273"/>
        <v>FALSE</v>
      </c>
      <c r="G1900" s="790"/>
      <c r="H1900" s="816"/>
      <c r="I1900" s="817" t="s">
        <v>3374</v>
      </c>
      <c r="J1900" s="818" t="s">
        <v>1879</v>
      </c>
      <c r="K1900" s="819" t="s">
        <v>3392</v>
      </c>
      <c r="L1900" s="820" t="s">
        <v>1879</v>
      </c>
      <c r="M1900" s="821" t="s">
        <v>3400</v>
      </c>
      <c r="N1900" s="810"/>
      <c r="O1900" s="811"/>
      <c r="P1900" s="788"/>
      <c r="Q1900" s="812"/>
      <c r="R1900" s="788"/>
      <c r="S1900" s="788"/>
      <c r="T1900" s="382" t="str">
        <f t="shared" si="280"/>
        <v>関係写真-14-その他チェック</v>
      </c>
      <c r="U1900" s="382"/>
      <c r="V1900" s="202"/>
      <c r="W1900" s="202"/>
      <c r="X1900" s="202"/>
      <c r="Y1900" s="382"/>
      <c r="Z1900" s="382"/>
      <c r="AA1900" s="382"/>
      <c r="AB1900" s="382"/>
    </row>
    <row r="1901" spans="2:28">
      <c r="B1901" s="4"/>
      <c r="C1901" s="4"/>
      <c r="D1901" s="107">
        <f>'3_入力シート【写真】'!$Z$401</f>
        <v>0</v>
      </c>
      <c r="E1901" s="575">
        <f>'3_入力シート【写真】'!$Z$401</f>
        <v>0</v>
      </c>
      <c r="F1901" s="575" t="str">
        <f t="shared" si="273"/>
        <v>0</v>
      </c>
      <c r="G1901" s="24"/>
      <c r="H1901" s="822"/>
      <c r="I1901" s="823" t="s">
        <v>3374</v>
      </c>
      <c r="J1901" s="824" t="s">
        <v>1879</v>
      </c>
      <c r="K1901" s="825" t="s">
        <v>3392</v>
      </c>
      <c r="L1901" s="826" t="s">
        <v>1879</v>
      </c>
      <c r="M1901" s="827" t="s">
        <v>3376</v>
      </c>
      <c r="N1901" s="813"/>
      <c r="O1901" s="814"/>
      <c r="P1901" s="380"/>
      <c r="Q1901" s="815"/>
      <c r="R1901" s="380"/>
      <c r="S1901" s="380"/>
      <c r="T1901" s="382" t="str">
        <f t="shared" si="272"/>
        <v>関係写真-14-特記事項(自由記入)</v>
      </c>
      <c r="V1901" s="202"/>
      <c r="W1901" s="202"/>
      <c r="X1901" s="202"/>
    </row>
    <row r="1902" spans="2:28">
      <c r="B1902" s="4"/>
      <c r="C1902" s="4"/>
      <c r="D1902" s="107"/>
      <c r="E1902" s="789" t="str">
        <f>'3_入力シート【写真】'!$D$430</f>
        <v/>
      </c>
      <c r="F1902" s="789" t="str">
        <f t="shared" si="273"/>
        <v/>
      </c>
      <c r="G1902" s="790"/>
      <c r="H1902" s="816"/>
      <c r="I1902" s="817" t="s">
        <v>3374</v>
      </c>
      <c r="J1902" s="818" t="s">
        <v>1879</v>
      </c>
      <c r="K1902" s="819" t="s">
        <v>3393</v>
      </c>
      <c r="L1902" s="820" t="s">
        <v>1879</v>
      </c>
      <c r="M1902" s="821" t="s">
        <v>3399</v>
      </c>
      <c r="N1902" s="810"/>
      <c r="O1902" s="811"/>
      <c r="P1902" s="788"/>
      <c r="Q1902" s="812"/>
      <c r="R1902" s="788"/>
      <c r="S1902" s="788"/>
      <c r="T1902" s="382" t="str">
        <f t="shared" si="272"/>
        <v>関係写真-15-項目番号</v>
      </c>
      <c r="U1902" s="382"/>
      <c r="V1902" s="202"/>
      <c r="W1902" s="202"/>
      <c r="X1902" s="202"/>
      <c r="Y1902" s="382"/>
      <c r="Z1902" s="382"/>
      <c r="AA1902" s="382"/>
      <c r="AB1902" s="382"/>
    </row>
    <row r="1903" spans="2:28">
      <c r="B1903" s="4"/>
      <c r="C1903" s="4"/>
      <c r="D1903" s="107"/>
      <c r="E1903" s="789" t="b">
        <f>'3_入力シート【写真】'!$BA$431</f>
        <v>0</v>
      </c>
      <c r="F1903" s="789" t="str">
        <f t="shared" si="273"/>
        <v>FALSE</v>
      </c>
      <c r="G1903" s="790"/>
      <c r="H1903" s="816"/>
      <c r="I1903" s="817" t="s">
        <v>3374</v>
      </c>
      <c r="J1903" s="818" t="s">
        <v>1879</v>
      </c>
      <c r="K1903" s="819" t="s">
        <v>3393</v>
      </c>
      <c r="L1903" s="820" t="s">
        <v>1879</v>
      </c>
      <c r="M1903" s="821" t="s">
        <v>3400</v>
      </c>
      <c r="N1903" s="810"/>
      <c r="O1903" s="811"/>
      <c r="P1903" s="788"/>
      <c r="Q1903" s="812"/>
      <c r="R1903" s="788"/>
      <c r="S1903" s="788"/>
      <c r="T1903" s="382" t="str">
        <f t="shared" si="272"/>
        <v>関係写真-15-その他チェック</v>
      </c>
      <c r="U1903" s="382"/>
      <c r="V1903" s="202"/>
      <c r="W1903" s="202"/>
      <c r="X1903" s="202"/>
      <c r="Y1903" s="382"/>
      <c r="Z1903" s="382"/>
      <c r="AA1903" s="382"/>
      <c r="AB1903" s="382"/>
    </row>
    <row r="1904" spans="2:28">
      <c r="B1904" s="4"/>
      <c r="C1904" s="4"/>
      <c r="D1904" s="107">
        <f>'3_入力シート【写真】'!$Z$438</f>
        <v>0</v>
      </c>
      <c r="E1904" s="575">
        <f>'3_入力シート【写真】'!$Z$438</f>
        <v>0</v>
      </c>
      <c r="F1904" s="575" t="str">
        <f t="shared" si="273"/>
        <v>0</v>
      </c>
      <c r="G1904" s="24"/>
      <c r="H1904" s="822"/>
      <c r="I1904" s="823" t="s">
        <v>3374</v>
      </c>
      <c r="J1904" s="824" t="s">
        <v>1879</v>
      </c>
      <c r="K1904" s="825" t="s">
        <v>3393</v>
      </c>
      <c r="L1904" s="826" t="s">
        <v>1879</v>
      </c>
      <c r="M1904" s="827" t="s">
        <v>3376</v>
      </c>
      <c r="N1904" s="813"/>
      <c r="O1904" s="814"/>
      <c r="P1904" s="380"/>
      <c r="Q1904" s="815"/>
      <c r="R1904" s="380"/>
      <c r="S1904" s="380"/>
      <c r="T1904" s="382" t="str">
        <f t="shared" si="272"/>
        <v>関係写真-15-特記事項(自由記入)</v>
      </c>
      <c r="V1904" s="202"/>
      <c r="W1904" s="202"/>
      <c r="X1904" s="202"/>
    </row>
    <row r="1905" spans="2:28">
      <c r="B1905" s="4"/>
      <c r="C1905" s="4"/>
      <c r="D1905" s="107"/>
      <c r="E1905" s="789" t="str">
        <f>'3_入力シート【写真】'!$D$453</f>
        <v/>
      </c>
      <c r="F1905" s="789" t="str">
        <f t="shared" si="273"/>
        <v/>
      </c>
      <c r="G1905" s="790"/>
      <c r="H1905" s="816"/>
      <c r="I1905" s="817" t="s">
        <v>3374</v>
      </c>
      <c r="J1905" s="818" t="s">
        <v>1879</v>
      </c>
      <c r="K1905" s="819" t="s">
        <v>3394</v>
      </c>
      <c r="L1905" s="820" t="s">
        <v>1879</v>
      </c>
      <c r="M1905" s="821" t="s">
        <v>3399</v>
      </c>
      <c r="N1905" s="810"/>
      <c r="O1905" s="811"/>
      <c r="P1905" s="788"/>
      <c r="Q1905" s="812"/>
      <c r="R1905" s="788"/>
      <c r="S1905" s="788"/>
      <c r="T1905" s="382" t="str">
        <f t="shared" ref="T1905:T1906" si="281">CONCATENATE(H1905,I1905,J1905,K1905,L1905,M1905,N1905,O1905,P1905,Q1905)</f>
        <v>関係写真-16-項目番号</v>
      </c>
      <c r="U1905" s="382"/>
      <c r="V1905" s="202"/>
      <c r="W1905" s="202"/>
      <c r="X1905" s="202"/>
      <c r="Y1905" s="382"/>
      <c r="Z1905" s="382"/>
      <c r="AA1905" s="382"/>
      <c r="AB1905" s="382"/>
    </row>
    <row r="1906" spans="2:28">
      <c r="B1906" s="4"/>
      <c r="C1906" s="4"/>
      <c r="D1906" s="107"/>
      <c r="E1906" s="789" t="b">
        <f>'3_入力シート【写真】'!$BA$454</f>
        <v>0</v>
      </c>
      <c r="F1906" s="789" t="str">
        <f t="shared" si="273"/>
        <v>FALSE</v>
      </c>
      <c r="G1906" s="790"/>
      <c r="H1906" s="816"/>
      <c r="I1906" s="817" t="s">
        <v>3374</v>
      </c>
      <c r="J1906" s="818" t="s">
        <v>1879</v>
      </c>
      <c r="K1906" s="819" t="s">
        <v>3394</v>
      </c>
      <c r="L1906" s="820" t="s">
        <v>1879</v>
      </c>
      <c r="M1906" s="821" t="s">
        <v>3400</v>
      </c>
      <c r="N1906" s="810"/>
      <c r="O1906" s="811"/>
      <c r="P1906" s="788"/>
      <c r="Q1906" s="812"/>
      <c r="R1906" s="788"/>
      <c r="S1906" s="788"/>
      <c r="T1906" s="382" t="str">
        <f t="shared" si="281"/>
        <v>関係写真-16-その他チェック</v>
      </c>
      <c r="U1906" s="382"/>
      <c r="V1906" s="202"/>
      <c r="W1906" s="202"/>
      <c r="X1906" s="202"/>
      <c r="Y1906" s="382"/>
      <c r="Z1906" s="382"/>
      <c r="AA1906" s="382"/>
      <c r="AB1906" s="382"/>
    </row>
    <row r="1907" spans="2:28">
      <c r="B1907" s="4"/>
      <c r="C1907" s="4"/>
      <c r="D1907" s="107">
        <f>'3_入力シート【写真】'!$Z$461</f>
        <v>0</v>
      </c>
      <c r="E1907" s="575">
        <f>'3_入力シート【写真】'!$Z$461</f>
        <v>0</v>
      </c>
      <c r="F1907" s="575" t="str">
        <f t="shared" si="273"/>
        <v>0</v>
      </c>
      <c r="G1907" s="24"/>
      <c r="H1907" s="822"/>
      <c r="I1907" s="823" t="s">
        <v>3374</v>
      </c>
      <c r="J1907" s="824" t="s">
        <v>1879</v>
      </c>
      <c r="K1907" s="825" t="s">
        <v>3394</v>
      </c>
      <c r="L1907" s="826" t="s">
        <v>1879</v>
      </c>
      <c r="M1907" s="827" t="s">
        <v>3376</v>
      </c>
      <c r="N1907" s="813"/>
      <c r="O1907" s="814"/>
      <c r="P1907" s="380"/>
      <c r="Q1907" s="815"/>
      <c r="R1907" s="380"/>
      <c r="S1907" s="380"/>
      <c r="T1907" s="382" t="str">
        <f t="shared" si="272"/>
        <v>関係写真-16-特記事項(自由記入)</v>
      </c>
      <c r="V1907" s="202"/>
      <c r="W1907" s="202"/>
      <c r="X1907" s="202"/>
    </row>
    <row r="1908" spans="2:28">
      <c r="B1908" s="4"/>
      <c r="C1908" s="4"/>
      <c r="D1908" s="107"/>
      <c r="E1908" s="789" t="str">
        <f>'3_入力シート【写真】'!$D$490</f>
        <v/>
      </c>
      <c r="F1908" s="789" t="str">
        <f t="shared" si="273"/>
        <v/>
      </c>
      <c r="G1908" s="790"/>
      <c r="H1908" s="816"/>
      <c r="I1908" s="817" t="s">
        <v>3374</v>
      </c>
      <c r="J1908" s="818" t="s">
        <v>1879</v>
      </c>
      <c r="K1908" s="819" t="s">
        <v>3395</v>
      </c>
      <c r="L1908" s="820" t="s">
        <v>1879</v>
      </c>
      <c r="M1908" s="821" t="s">
        <v>3399</v>
      </c>
      <c r="N1908" s="810"/>
      <c r="O1908" s="811"/>
      <c r="P1908" s="788"/>
      <c r="Q1908" s="812"/>
      <c r="R1908" s="788"/>
      <c r="S1908" s="788"/>
      <c r="T1908" s="382" t="str">
        <f t="shared" si="272"/>
        <v>関係写真-17-項目番号</v>
      </c>
      <c r="U1908" s="382"/>
      <c r="V1908" s="202"/>
      <c r="W1908" s="202"/>
      <c r="X1908" s="202"/>
      <c r="Y1908" s="382"/>
      <c r="Z1908" s="382"/>
      <c r="AA1908" s="382"/>
      <c r="AB1908" s="382"/>
    </row>
    <row r="1909" spans="2:28">
      <c r="B1909" s="4"/>
      <c r="C1909" s="4"/>
      <c r="D1909" s="107"/>
      <c r="E1909" s="789" t="b">
        <f>'3_入力シート【写真】'!$BA$491</f>
        <v>0</v>
      </c>
      <c r="F1909" s="789" t="str">
        <f t="shared" si="273"/>
        <v>FALSE</v>
      </c>
      <c r="G1909" s="790"/>
      <c r="H1909" s="816"/>
      <c r="I1909" s="817" t="s">
        <v>3374</v>
      </c>
      <c r="J1909" s="818" t="s">
        <v>1879</v>
      </c>
      <c r="K1909" s="819" t="s">
        <v>3395</v>
      </c>
      <c r="L1909" s="820" t="s">
        <v>1879</v>
      </c>
      <c r="M1909" s="821" t="s">
        <v>3400</v>
      </c>
      <c r="N1909" s="810"/>
      <c r="O1909" s="811"/>
      <c r="P1909" s="788"/>
      <c r="Q1909" s="812"/>
      <c r="R1909" s="788"/>
      <c r="S1909" s="788"/>
      <c r="T1909" s="382" t="str">
        <f t="shared" si="272"/>
        <v>関係写真-17-その他チェック</v>
      </c>
      <c r="U1909" s="382"/>
      <c r="V1909" s="202"/>
      <c r="W1909" s="202"/>
      <c r="X1909" s="202"/>
      <c r="Y1909" s="382"/>
      <c r="Z1909" s="382"/>
      <c r="AA1909" s="382"/>
      <c r="AB1909" s="382"/>
    </row>
    <row r="1910" spans="2:28">
      <c r="B1910" s="4"/>
      <c r="C1910" s="4"/>
      <c r="D1910" s="107">
        <f>'3_入力シート【写真】'!$Z$498</f>
        <v>0</v>
      </c>
      <c r="E1910" s="575">
        <f>'3_入力シート【写真】'!$Z$498</f>
        <v>0</v>
      </c>
      <c r="F1910" s="575" t="str">
        <f t="shared" si="273"/>
        <v>0</v>
      </c>
      <c r="G1910" s="24"/>
      <c r="H1910" s="822"/>
      <c r="I1910" s="823" t="s">
        <v>3374</v>
      </c>
      <c r="J1910" s="824" t="s">
        <v>1879</v>
      </c>
      <c r="K1910" s="825" t="s">
        <v>3395</v>
      </c>
      <c r="L1910" s="826" t="s">
        <v>1879</v>
      </c>
      <c r="M1910" s="827" t="s">
        <v>3376</v>
      </c>
      <c r="N1910" s="813"/>
      <c r="O1910" s="814"/>
      <c r="P1910" s="380"/>
      <c r="Q1910" s="815"/>
      <c r="R1910" s="380"/>
      <c r="S1910" s="380"/>
      <c r="T1910" s="382" t="str">
        <f t="shared" si="272"/>
        <v>関係写真-17-特記事項(自由記入)</v>
      </c>
      <c r="V1910" s="202"/>
      <c r="W1910" s="202"/>
      <c r="X1910" s="202"/>
    </row>
    <row r="1911" spans="2:28">
      <c r="B1911" s="4"/>
      <c r="C1911" s="4"/>
      <c r="D1911" s="107"/>
      <c r="E1911" s="789" t="str">
        <f>'3_入力シート【写真】'!$D$513</f>
        <v/>
      </c>
      <c r="F1911" s="789" t="str">
        <f t="shared" si="273"/>
        <v/>
      </c>
      <c r="G1911" s="790"/>
      <c r="H1911" s="816"/>
      <c r="I1911" s="817" t="s">
        <v>3374</v>
      </c>
      <c r="J1911" s="818" t="s">
        <v>1879</v>
      </c>
      <c r="K1911" s="819" t="s">
        <v>3396</v>
      </c>
      <c r="L1911" s="820" t="s">
        <v>1879</v>
      </c>
      <c r="M1911" s="821" t="s">
        <v>3399</v>
      </c>
      <c r="N1911" s="810"/>
      <c r="O1911" s="811"/>
      <c r="P1911" s="788"/>
      <c r="Q1911" s="812"/>
      <c r="R1911" s="788"/>
      <c r="S1911" s="788"/>
      <c r="T1911" s="382" t="str">
        <f t="shared" ref="T1911:T1912" si="282">CONCATENATE(H1911,I1911,J1911,K1911,L1911,M1911,N1911,O1911,P1911,Q1911)</f>
        <v>関係写真-18-項目番号</v>
      </c>
      <c r="U1911" s="382"/>
      <c r="V1911" s="202"/>
      <c r="W1911" s="202"/>
      <c r="X1911" s="202"/>
      <c r="Y1911" s="382"/>
      <c r="Z1911" s="382"/>
      <c r="AA1911" s="382"/>
      <c r="AB1911" s="382"/>
    </row>
    <row r="1912" spans="2:28">
      <c r="B1912" s="4"/>
      <c r="C1912" s="4"/>
      <c r="D1912" s="107"/>
      <c r="E1912" s="789" t="b">
        <f>'3_入力シート【写真】'!$BA$514</f>
        <v>0</v>
      </c>
      <c r="F1912" s="789" t="str">
        <f t="shared" si="273"/>
        <v>FALSE</v>
      </c>
      <c r="G1912" s="790"/>
      <c r="H1912" s="816"/>
      <c r="I1912" s="817" t="s">
        <v>3374</v>
      </c>
      <c r="J1912" s="818" t="s">
        <v>1879</v>
      </c>
      <c r="K1912" s="819" t="s">
        <v>3396</v>
      </c>
      <c r="L1912" s="820" t="s">
        <v>1879</v>
      </c>
      <c r="M1912" s="821" t="s">
        <v>3400</v>
      </c>
      <c r="N1912" s="810"/>
      <c r="O1912" s="811"/>
      <c r="P1912" s="788"/>
      <c r="Q1912" s="812"/>
      <c r="R1912" s="788"/>
      <c r="S1912" s="788"/>
      <c r="T1912" s="382" t="str">
        <f t="shared" si="282"/>
        <v>関係写真-18-その他チェック</v>
      </c>
      <c r="U1912" s="382"/>
      <c r="V1912" s="202"/>
      <c r="W1912" s="202"/>
      <c r="X1912" s="202"/>
      <c r="Y1912" s="382"/>
      <c r="Z1912" s="382"/>
      <c r="AA1912" s="382"/>
      <c r="AB1912" s="382"/>
    </row>
    <row r="1913" spans="2:28">
      <c r="B1913" s="4"/>
      <c r="C1913" s="4"/>
      <c r="D1913" s="107">
        <f>'3_入力シート【写真】'!$Z$521</f>
        <v>0</v>
      </c>
      <c r="E1913" s="575">
        <f>'3_入力シート【写真】'!$Z$521</f>
        <v>0</v>
      </c>
      <c r="F1913" s="575" t="str">
        <f t="shared" si="273"/>
        <v>0</v>
      </c>
      <c r="G1913" s="24"/>
      <c r="H1913" s="822"/>
      <c r="I1913" s="823" t="s">
        <v>3374</v>
      </c>
      <c r="J1913" s="824" t="s">
        <v>1879</v>
      </c>
      <c r="K1913" s="825" t="s">
        <v>3396</v>
      </c>
      <c r="L1913" s="826" t="s">
        <v>1879</v>
      </c>
      <c r="M1913" s="827" t="s">
        <v>3376</v>
      </c>
      <c r="N1913" s="813"/>
      <c r="O1913" s="814"/>
      <c r="P1913" s="380"/>
      <c r="Q1913" s="815"/>
      <c r="R1913" s="380"/>
      <c r="S1913" s="380"/>
      <c r="T1913" s="382" t="str">
        <f t="shared" si="272"/>
        <v>関係写真-18-特記事項(自由記入)</v>
      </c>
      <c r="V1913" s="202"/>
      <c r="W1913" s="202"/>
      <c r="X1913" s="202"/>
    </row>
    <row r="1914" spans="2:28">
      <c r="B1914" s="4"/>
      <c r="C1914" s="4"/>
      <c r="D1914" s="107"/>
      <c r="E1914" s="789" t="str">
        <f>'3_入力シート【写真】'!$D$550</f>
        <v/>
      </c>
      <c r="F1914" s="789" t="str">
        <f t="shared" si="273"/>
        <v/>
      </c>
      <c r="G1914" s="790"/>
      <c r="H1914" s="816"/>
      <c r="I1914" s="817" t="s">
        <v>3374</v>
      </c>
      <c r="J1914" s="818" t="s">
        <v>1879</v>
      </c>
      <c r="K1914" s="819" t="s">
        <v>3397</v>
      </c>
      <c r="L1914" s="820" t="s">
        <v>1879</v>
      </c>
      <c r="M1914" s="821" t="s">
        <v>3399</v>
      </c>
      <c r="N1914" s="810"/>
      <c r="O1914" s="811"/>
      <c r="P1914" s="788"/>
      <c r="Q1914" s="812"/>
      <c r="R1914" s="788"/>
      <c r="S1914" s="788"/>
      <c r="T1914" s="382" t="str">
        <f t="shared" si="272"/>
        <v>関係写真-19-項目番号</v>
      </c>
      <c r="U1914" s="382"/>
      <c r="V1914" s="202"/>
      <c r="W1914" s="202"/>
      <c r="X1914" s="202"/>
      <c r="Y1914" s="382"/>
      <c r="Z1914" s="382"/>
      <c r="AA1914" s="382"/>
      <c r="AB1914" s="382"/>
    </row>
    <row r="1915" spans="2:28">
      <c r="B1915" s="4"/>
      <c r="C1915" s="4"/>
      <c r="D1915" s="107"/>
      <c r="E1915" s="789" t="b">
        <f>'3_入力シート【写真】'!$BA$551</f>
        <v>0</v>
      </c>
      <c r="F1915" s="789" t="str">
        <f t="shared" si="273"/>
        <v>FALSE</v>
      </c>
      <c r="G1915" s="790"/>
      <c r="H1915" s="816"/>
      <c r="I1915" s="817" t="s">
        <v>3374</v>
      </c>
      <c r="J1915" s="818" t="s">
        <v>1879</v>
      </c>
      <c r="K1915" s="819" t="s">
        <v>3397</v>
      </c>
      <c r="L1915" s="820" t="s">
        <v>1879</v>
      </c>
      <c r="M1915" s="821" t="s">
        <v>3400</v>
      </c>
      <c r="N1915" s="810"/>
      <c r="O1915" s="811"/>
      <c r="P1915" s="788"/>
      <c r="Q1915" s="812"/>
      <c r="R1915" s="788"/>
      <c r="S1915" s="788"/>
      <c r="T1915" s="382" t="str">
        <f t="shared" si="272"/>
        <v>関係写真-19-その他チェック</v>
      </c>
      <c r="U1915" s="382"/>
      <c r="V1915" s="202"/>
      <c r="W1915" s="202"/>
      <c r="X1915" s="202"/>
      <c r="Y1915" s="382"/>
      <c r="Z1915" s="382"/>
      <c r="AA1915" s="382"/>
      <c r="AB1915" s="382"/>
    </row>
    <row r="1916" spans="2:28">
      <c r="B1916" s="4"/>
      <c r="C1916" s="4"/>
      <c r="D1916" s="107">
        <f>'3_入力シート【写真】'!$Z$558</f>
        <v>0</v>
      </c>
      <c r="E1916" s="575">
        <f>'3_入力シート【写真】'!$Z$558</f>
        <v>0</v>
      </c>
      <c r="F1916" s="575" t="str">
        <f t="shared" si="273"/>
        <v>0</v>
      </c>
      <c r="G1916" s="24"/>
      <c r="H1916" s="822"/>
      <c r="I1916" s="823" t="s">
        <v>3374</v>
      </c>
      <c r="J1916" s="824" t="s">
        <v>1879</v>
      </c>
      <c r="K1916" s="825" t="s">
        <v>3397</v>
      </c>
      <c r="L1916" s="826" t="s">
        <v>1879</v>
      </c>
      <c r="M1916" s="827" t="s">
        <v>3376</v>
      </c>
      <c r="N1916" s="813"/>
      <c r="O1916" s="814"/>
      <c r="P1916" s="380"/>
      <c r="Q1916" s="815"/>
      <c r="R1916" s="380"/>
      <c r="S1916" s="380"/>
      <c r="T1916" s="382" t="str">
        <f t="shared" si="272"/>
        <v>関係写真-19-特記事項(自由記入)</v>
      </c>
      <c r="V1916" s="202"/>
      <c r="W1916" s="202"/>
      <c r="X1916" s="202"/>
    </row>
    <row r="1917" spans="2:28">
      <c r="B1917" s="4"/>
      <c r="C1917" s="4"/>
      <c r="D1917" s="107"/>
      <c r="E1917" s="789" t="str">
        <f>'3_入力シート【写真】'!$D$573</f>
        <v/>
      </c>
      <c r="F1917" s="789" t="str">
        <f t="shared" si="273"/>
        <v/>
      </c>
      <c r="G1917" s="790"/>
      <c r="H1917" s="816"/>
      <c r="I1917" s="817" t="s">
        <v>3374</v>
      </c>
      <c r="J1917" s="818" t="s">
        <v>1879</v>
      </c>
      <c r="K1917" s="819" t="s">
        <v>3398</v>
      </c>
      <c r="L1917" s="820" t="s">
        <v>1879</v>
      </c>
      <c r="M1917" s="821" t="s">
        <v>3399</v>
      </c>
      <c r="N1917" s="810"/>
      <c r="O1917" s="811"/>
      <c r="P1917" s="788"/>
      <c r="Q1917" s="812"/>
      <c r="R1917" s="788"/>
      <c r="S1917" s="788"/>
      <c r="T1917" s="382" t="str">
        <f t="shared" ref="T1917:T1918" si="283">CONCATENATE(H1917,I1917,J1917,K1917,L1917,M1917,N1917,O1917,P1917,Q1917)</f>
        <v>関係写真-20-項目番号</v>
      </c>
      <c r="U1917" s="382"/>
      <c r="V1917" s="202"/>
      <c r="W1917" s="202"/>
      <c r="X1917" s="202"/>
      <c r="Y1917" s="382"/>
      <c r="Z1917" s="382"/>
      <c r="AA1917" s="382"/>
      <c r="AB1917" s="382"/>
    </row>
    <row r="1918" spans="2:28">
      <c r="B1918" s="4"/>
      <c r="C1918" s="4"/>
      <c r="D1918" s="107"/>
      <c r="E1918" s="789" t="b">
        <f>'3_入力シート【写真】'!$BA$574</f>
        <v>0</v>
      </c>
      <c r="F1918" s="789" t="str">
        <f t="shared" si="273"/>
        <v>FALSE</v>
      </c>
      <c r="G1918" s="790"/>
      <c r="H1918" s="816"/>
      <c r="I1918" s="817" t="s">
        <v>3374</v>
      </c>
      <c r="J1918" s="818" t="s">
        <v>1879</v>
      </c>
      <c r="K1918" s="819" t="s">
        <v>3398</v>
      </c>
      <c r="L1918" s="820" t="s">
        <v>1879</v>
      </c>
      <c r="M1918" s="821" t="s">
        <v>3400</v>
      </c>
      <c r="N1918" s="810"/>
      <c r="O1918" s="811"/>
      <c r="P1918" s="788"/>
      <c r="Q1918" s="812"/>
      <c r="R1918" s="788"/>
      <c r="S1918" s="788"/>
      <c r="T1918" s="382" t="str">
        <f t="shared" si="283"/>
        <v>関係写真-20-その他チェック</v>
      </c>
      <c r="U1918" s="382"/>
      <c r="V1918" s="202"/>
      <c r="W1918" s="202"/>
      <c r="X1918" s="202"/>
      <c r="Y1918" s="382"/>
      <c r="Z1918" s="382"/>
      <c r="AA1918" s="382"/>
      <c r="AB1918" s="382"/>
    </row>
    <row r="1919" spans="2:28">
      <c r="B1919" s="4"/>
      <c r="C1919" s="4"/>
      <c r="D1919" s="107">
        <f>'3_入力シート【写真】'!$Z$581</f>
        <v>0</v>
      </c>
      <c r="E1919" s="107">
        <f>'3_入力シート【写真】'!$Z$581</f>
        <v>0</v>
      </c>
      <c r="F1919" s="107" t="str">
        <f t="shared" si="273"/>
        <v>0</v>
      </c>
      <c r="G1919" s="24"/>
      <c r="H1919" s="822"/>
      <c r="I1919" s="823" t="s">
        <v>3374</v>
      </c>
      <c r="J1919" s="824" t="s">
        <v>1879</v>
      </c>
      <c r="K1919" s="825" t="s">
        <v>3398</v>
      </c>
      <c r="L1919" s="826" t="s">
        <v>1879</v>
      </c>
      <c r="M1919" s="827" t="s">
        <v>3376</v>
      </c>
      <c r="N1919" s="813"/>
      <c r="O1919" s="814"/>
      <c r="P1919" s="380"/>
      <c r="Q1919" s="815"/>
      <c r="R1919" s="380"/>
      <c r="S1919" s="380"/>
      <c r="T1919" s="382" t="str">
        <f t="shared" si="272"/>
        <v>関係写真-20-特記事項(自由記入)</v>
      </c>
      <c r="V1919" s="202"/>
      <c r="W1919" s="202"/>
      <c r="X1919" s="202"/>
    </row>
    <row r="1920" spans="2:28">
      <c r="B1920" s="4"/>
      <c r="C1920" s="4"/>
      <c r="D1920" s="107"/>
      <c r="E1920" s="564"/>
      <c r="F1920" s="564"/>
      <c r="G1920" s="24"/>
      <c r="H1920" s="563"/>
      <c r="I1920" s="804"/>
      <c r="J1920" s="353"/>
      <c r="K1920" s="354"/>
      <c r="L1920" s="355"/>
      <c r="M1920" s="356"/>
      <c r="N1920" s="355"/>
      <c r="O1920" s="352"/>
      <c r="P1920" s="382"/>
      <c r="R1920" s="382"/>
      <c r="S1920" s="382"/>
      <c r="T1920" s="382"/>
      <c r="V1920" s="202"/>
      <c r="W1920" s="202"/>
      <c r="X1920" s="202"/>
    </row>
    <row r="1921" spans="2:24">
      <c r="B1921" s="4"/>
      <c r="C1921" s="4"/>
      <c r="D1921" s="107"/>
      <c r="G1921" s="6"/>
      <c r="H1921" s="351"/>
      <c r="I1921" s="352"/>
      <c r="J1921" s="353"/>
      <c r="K1921" s="354"/>
      <c r="L1921" s="355"/>
      <c r="M1921" s="356"/>
      <c r="N1921" s="355"/>
      <c r="O1921" s="352"/>
      <c r="V1921" s="202"/>
      <c r="W1921" s="202"/>
      <c r="X1921" s="202"/>
    </row>
    <row r="1922" spans="2:24">
      <c r="B1922" s="4"/>
      <c r="C1922" s="4"/>
      <c r="D1922" s="107"/>
      <c r="G1922" s="6"/>
      <c r="H1922" s="351"/>
      <c r="I1922" s="352"/>
      <c r="J1922" s="353"/>
      <c r="K1922" s="354"/>
      <c r="L1922" s="355"/>
      <c r="M1922" s="356"/>
      <c r="N1922" s="355"/>
      <c r="O1922" s="352"/>
      <c r="V1922" s="202"/>
      <c r="W1922" s="202"/>
      <c r="X1922" s="202"/>
    </row>
    <row r="1923" spans="2:24">
      <c r="B1923" s="4"/>
      <c r="C1923" s="4"/>
      <c r="D1923" s="107"/>
      <c r="G1923" s="6"/>
      <c r="H1923" s="351"/>
      <c r="I1923" s="352"/>
      <c r="J1923" s="353"/>
      <c r="K1923" s="354"/>
      <c r="L1923" s="355"/>
      <c r="M1923" s="356"/>
      <c r="N1923" s="355"/>
      <c r="O1923" s="352"/>
      <c r="V1923" s="202"/>
      <c r="W1923" s="202"/>
      <c r="X1923" s="202"/>
    </row>
    <row r="1924" spans="2:24">
      <c r="B1924" s="4"/>
      <c r="C1924" s="4"/>
      <c r="D1924" s="107"/>
      <c r="G1924" s="6"/>
      <c r="H1924" s="351"/>
      <c r="I1924" s="352"/>
      <c r="J1924" s="353"/>
      <c r="K1924" s="354"/>
      <c r="L1924" s="355"/>
      <c r="M1924" s="356"/>
      <c r="N1924" s="355"/>
      <c r="O1924" s="352"/>
      <c r="V1924" s="202"/>
      <c r="W1924" s="202"/>
      <c r="X1924" s="202"/>
    </row>
    <row r="1925" spans="2:24">
      <c r="B1925" s="4"/>
      <c r="C1925" s="4"/>
      <c r="D1925" s="107"/>
      <c r="G1925" s="6"/>
      <c r="H1925" s="351"/>
      <c r="I1925" s="352"/>
      <c r="J1925" s="353"/>
      <c r="K1925" s="354"/>
      <c r="L1925" s="355"/>
      <c r="M1925" s="356"/>
      <c r="N1925" s="355"/>
      <c r="O1925" s="352"/>
      <c r="V1925" s="202"/>
      <c r="W1925" s="202"/>
      <c r="X1925" s="202"/>
    </row>
    <row r="1926" spans="2:24">
      <c r="B1926" s="4"/>
      <c r="C1926" s="4"/>
      <c r="D1926" s="107"/>
      <c r="G1926" s="6"/>
      <c r="H1926" s="351"/>
      <c r="I1926" s="352"/>
      <c r="J1926" s="353"/>
      <c r="K1926" s="354"/>
      <c r="L1926" s="355"/>
      <c r="M1926" s="356"/>
      <c r="N1926" s="355"/>
      <c r="O1926" s="352"/>
      <c r="V1926" s="202"/>
      <c r="W1926" s="202"/>
      <c r="X1926" s="202"/>
    </row>
    <row r="1927" spans="2:24">
      <c r="B1927" s="4"/>
      <c r="C1927" s="4"/>
      <c r="D1927" s="107"/>
      <c r="G1927" s="6"/>
      <c r="H1927" s="351"/>
      <c r="I1927" s="352"/>
      <c r="J1927" s="353"/>
      <c r="K1927" s="354"/>
      <c r="L1927" s="355"/>
      <c r="M1927" s="356"/>
      <c r="N1927" s="355"/>
      <c r="O1927" s="352"/>
      <c r="V1927" s="202"/>
      <c r="W1927" s="202"/>
      <c r="X1927" s="202"/>
    </row>
    <row r="1928" spans="2:24">
      <c r="B1928" s="4"/>
      <c r="C1928" s="4"/>
      <c r="D1928" s="107"/>
      <c r="G1928" s="6"/>
      <c r="H1928" s="351"/>
      <c r="I1928" s="352"/>
      <c r="J1928" s="353"/>
      <c r="K1928" s="354"/>
      <c r="L1928" s="355"/>
      <c r="M1928" s="356"/>
      <c r="N1928" s="355"/>
      <c r="O1928" s="352"/>
      <c r="V1928" s="202"/>
      <c r="W1928" s="202"/>
      <c r="X1928" s="202"/>
    </row>
    <row r="1929" spans="2:24">
      <c r="B1929" s="4"/>
      <c r="C1929" s="4"/>
      <c r="D1929" s="107"/>
      <c r="G1929" s="6"/>
      <c r="H1929" s="351"/>
      <c r="I1929" s="352"/>
      <c r="J1929" s="353"/>
      <c r="K1929" s="354"/>
      <c r="L1929" s="355"/>
      <c r="M1929" s="356"/>
      <c r="N1929" s="355"/>
      <c r="O1929" s="352"/>
      <c r="V1929" s="202"/>
      <c r="W1929" s="202"/>
      <c r="X1929" s="202"/>
    </row>
    <row r="1930" spans="2:24">
      <c r="B1930" s="4"/>
      <c r="C1930" s="4"/>
      <c r="D1930" s="107"/>
      <c r="G1930" s="6"/>
      <c r="H1930" s="351"/>
      <c r="I1930" s="352"/>
      <c r="J1930" s="353"/>
      <c r="K1930" s="354"/>
      <c r="L1930" s="355"/>
      <c r="M1930" s="356"/>
      <c r="N1930" s="355"/>
      <c r="O1930" s="352"/>
      <c r="V1930" s="202"/>
      <c r="W1930" s="202"/>
      <c r="X1930" s="202"/>
    </row>
    <row r="1931" spans="2:24">
      <c r="B1931" s="4"/>
      <c r="C1931" s="4"/>
      <c r="D1931" s="107"/>
      <c r="G1931" s="6"/>
      <c r="H1931" s="351"/>
      <c r="I1931" s="352"/>
      <c r="J1931" s="353"/>
      <c r="K1931" s="354"/>
      <c r="L1931" s="355"/>
      <c r="M1931" s="356"/>
      <c r="N1931" s="355"/>
      <c r="O1931" s="352"/>
      <c r="V1931" s="202"/>
      <c r="W1931" s="202"/>
      <c r="X1931" s="202"/>
    </row>
    <row r="1932" spans="2:24">
      <c r="B1932" s="4"/>
      <c r="C1932" s="4"/>
      <c r="D1932" s="107"/>
      <c r="G1932" s="6"/>
      <c r="H1932" s="351"/>
      <c r="I1932" s="352"/>
      <c r="J1932" s="353"/>
      <c r="K1932" s="354"/>
      <c r="L1932" s="355"/>
      <c r="M1932" s="356"/>
      <c r="N1932" s="355"/>
      <c r="O1932" s="352"/>
      <c r="V1932" s="202"/>
      <c r="W1932" s="202"/>
      <c r="X1932" s="202"/>
    </row>
    <row r="1933" spans="2:24">
      <c r="B1933" s="4"/>
      <c r="C1933" s="4"/>
      <c r="D1933" s="107"/>
      <c r="G1933" s="6"/>
      <c r="H1933" s="351"/>
      <c r="I1933" s="352"/>
      <c r="J1933" s="353"/>
      <c r="K1933" s="354"/>
      <c r="L1933" s="355"/>
      <c r="M1933" s="356"/>
      <c r="N1933" s="355"/>
      <c r="O1933" s="352"/>
      <c r="V1933" s="202"/>
      <c r="W1933" s="202"/>
      <c r="X1933" s="202"/>
    </row>
    <row r="1934" spans="2:24">
      <c r="B1934" s="4"/>
      <c r="C1934" s="4"/>
      <c r="D1934" s="107"/>
      <c r="G1934" s="6"/>
      <c r="H1934" s="351"/>
      <c r="I1934" s="352"/>
      <c r="J1934" s="353"/>
      <c r="K1934" s="354"/>
      <c r="L1934" s="355"/>
      <c r="M1934" s="356"/>
      <c r="N1934" s="355"/>
      <c r="O1934" s="352"/>
      <c r="V1934" s="202"/>
      <c r="W1934" s="202"/>
      <c r="X1934" s="202"/>
    </row>
    <row r="1935" spans="2:24">
      <c r="B1935" s="4"/>
      <c r="C1935" s="4"/>
      <c r="D1935" s="107"/>
      <c r="G1935" s="6"/>
      <c r="H1935" s="351"/>
      <c r="I1935" s="352"/>
      <c r="J1935" s="353"/>
      <c r="K1935" s="354"/>
      <c r="L1935" s="355"/>
      <c r="M1935" s="356"/>
      <c r="N1935" s="355"/>
      <c r="O1935" s="352"/>
      <c r="V1935" s="202"/>
      <c r="W1935" s="202"/>
      <c r="X1935" s="202"/>
    </row>
    <row r="1936" spans="2:24">
      <c r="B1936" s="4"/>
      <c r="C1936" s="4"/>
      <c r="D1936" s="107"/>
      <c r="G1936" s="6"/>
      <c r="H1936" s="351"/>
      <c r="I1936" s="352"/>
      <c r="J1936" s="353"/>
      <c r="K1936" s="354"/>
      <c r="L1936" s="355"/>
      <c r="M1936" s="356"/>
      <c r="N1936" s="355"/>
      <c r="O1936" s="352"/>
      <c r="V1936" s="202"/>
      <c r="W1936" s="202"/>
      <c r="X1936" s="202"/>
    </row>
    <row r="1937" spans="2:24">
      <c r="B1937" s="4"/>
      <c r="C1937" s="4"/>
      <c r="D1937" s="107"/>
      <c r="G1937" s="6"/>
      <c r="H1937" s="351"/>
      <c r="I1937" s="352"/>
      <c r="J1937" s="353"/>
      <c r="K1937" s="354"/>
      <c r="L1937" s="355"/>
      <c r="M1937" s="356"/>
      <c r="N1937" s="355"/>
      <c r="O1937" s="352"/>
      <c r="V1937" s="202"/>
      <c r="W1937" s="202"/>
      <c r="X1937" s="202"/>
    </row>
    <row r="1938" spans="2:24">
      <c r="B1938" s="4"/>
      <c r="C1938" s="4"/>
      <c r="D1938" s="107"/>
      <c r="G1938" s="6"/>
      <c r="H1938" s="351"/>
      <c r="I1938" s="352"/>
      <c r="J1938" s="353"/>
      <c r="K1938" s="354"/>
      <c r="L1938" s="355"/>
      <c r="M1938" s="356"/>
      <c r="N1938" s="355"/>
      <c r="O1938" s="352"/>
      <c r="V1938" s="202"/>
      <c r="W1938" s="202"/>
      <c r="X1938" s="202"/>
    </row>
    <row r="1939" spans="2:24">
      <c r="B1939" s="4"/>
      <c r="C1939" s="4"/>
      <c r="D1939" s="107"/>
      <c r="G1939" s="6"/>
      <c r="H1939" s="351"/>
      <c r="I1939" s="352"/>
      <c r="J1939" s="353"/>
      <c r="K1939" s="354"/>
      <c r="L1939" s="355"/>
      <c r="M1939" s="356"/>
      <c r="N1939" s="355"/>
      <c r="O1939" s="352"/>
      <c r="V1939" s="202"/>
      <c r="W1939" s="202"/>
      <c r="X1939" s="202"/>
    </row>
    <row r="1940" spans="2:24">
      <c r="B1940" s="4"/>
      <c r="C1940" s="4"/>
      <c r="D1940" s="107"/>
      <c r="G1940" s="6"/>
      <c r="H1940" s="351"/>
      <c r="I1940" s="352"/>
      <c r="J1940" s="353"/>
      <c r="K1940" s="354"/>
      <c r="L1940" s="355"/>
      <c r="M1940" s="356"/>
      <c r="N1940" s="355"/>
      <c r="O1940" s="352"/>
      <c r="V1940" s="202"/>
      <c r="W1940" s="202"/>
      <c r="X1940" s="202"/>
    </row>
    <row r="1941" spans="2:24">
      <c r="B1941" s="4"/>
      <c r="C1941" s="4"/>
      <c r="D1941" s="107"/>
      <c r="G1941" s="6"/>
      <c r="H1941" s="351"/>
      <c r="I1941" s="352"/>
      <c r="J1941" s="353"/>
      <c r="K1941" s="354"/>
      <c r="L1941" s="355"/>
      <c r="M1941" s="356"/>
      <c r="N1941" s="355"/>
      <c r="O1941" s="352"/>
      <c r="V1941" s="202"/>
      <c r="W1941" s="202"/>
      <c r="X1941" s="202"/>
    </row>
    <row r="1942" spans="2:24">
      <c r="B1942" s="4"/>
      <c r="C1942" s="4"/>
      <c r="D1942" s="107"/>
      <c r="G1942" s="6"/>
      <c r="H1942" s="351"/>
      <c r="I1942" s="352"/>
      <c r="J1942" s="353"/>
      <c r="K1942" s="354"/>
      <c r="L1942" s="355"/>
      <c r="M1942" s="356"/>
      <c r="N1942" s="355"/>
      <c r="O1942" s="352"/>
      <c r="V1942" s="202"/>
      <c r="W1942" s="202"/>
      <c r="X1942" s="202"/>
    </row>
    <row r="1943" spans="2:24">
      <c r="B1943" s="4"/>
      <c r="C1943" s="4"/>
      <c r="D1943" s="107"/>
      <c r="G1943" s="6"/>
      <c r="H1943" s="351"/>
      <c r="I1943" s="352"/>
      <c r="J1943" s="353"/>
      <c r="K1943" s="354"/>
      <c r="L1943" s="355"/>
      <c r="M1943" s="356"/>
      <c r="N1943" s="355"/>
      <c r="O1943" s="352"/>
      <c r="V1943" s="202"/>
      <c r="W1943" s="202"/>
      <c r="X1943" s="202"/>
    </row>
    <row r="1944" spans="2:24">
      <c r="B1944" s="4"/>
      <c r="C1944" s="4"/>
      <c r="D1944" s="107"/>
      <c r="G1944" s="6"/>
      <c r="H1944" s="351"/>
      <c r="I1944" s="352"/>
      <c r="J1944" s="353"/>
      <c r="K1944" s="354"/>
      <c r="L1944" s="355"/>
      <c r="M1944" s="356"/>
      <c r="N1944" s="355"/>
      <c r="O1944" s="352"/>
      <c r="V1944" s="202"/>
      <c r="W1944" s="202"/>
      <c r="X1944" s="202"/>
    </row>
    <row r="1945" spans="2:24">
      <c r="B1945" s="4"/>
      <c r="C1945" s="4"/>
      <c r="D1945" s="107"/>
      <c r="G1945" s="6"/>
      <c r="H1945" s="351"/>
      <c r="I1945" s="352"/>
      <c r="J1945" s="353"/>
      <c r="K1945" s="354"/>
      <c r="L1945" s="355"/>
      <c r="M1945" s="356"/>
      <c r="N1945" s="355"/>
      <c r="O1945" s="352"/>
      <c r="V1945" s="202"/>
      <c r="W1945" s="202"/>
      <c r="X1945" s="202"/>
    </row>
    <row r="1946" spans="2:24">
      <c r="B1946" s="4"/>
      <c r="C1946" s="4"/>
      <c r="D1946" s="107"/>
      <c r="G1946" s="6"/>
      <c r="H1946" s="351"/>
      <c r="I1946" s="352"/>
      <c r="J1946" s="353"/>
      <c r="K1946" s="354"/>
      <c r="L1946" s="355"/>
      <c r="M1946" s="356"/>
      <c r="N1946" s="355"/>
      <c r="O1946" s="352"/>
      <c r="V1946" s="202"/>
      <c r="W1946" s="202"/>
      <c r="X1946" s="202"/>
    </row>
    <row r="1947" spans="2:24">
      <c r="B1947" s="4"/>
      <c r="C1947" s="4"/>
      <c r="D1947" s="107"/>
      <c r="G1947" s="6"/>
      <c r="H1947" s="351"/>
      <c r="I1947" s="352"/>
      <c r="J1947" s="353"/>
      <c r="K1947" s="354"/>
      <c r="L1947" s="355"/>
      <c r="M1947" s="356"/>
      <c r="N1947" s="355"/>
      <c r="O1947" s="352"/>
      <c r="V1947" s="202"/>
      <c r="W1947" s="202"/>
      <c r="X1947" s="202"/>
    </row>
    <row r="1948" spans="2:24">
      <c r="B1948" s="4"/>
      <c r="C1948" s="4"/>
      <c r="D1948" s="107"/>
      <c r="G1948" s="6"/>
      <c r="H1948" s="351"/>
      <c r="I1948" s="352"/>
      <c r="J1948" s="353"/>
      <c r="K1948" s="354"/>
      <c r="L1948" s="355"/>
      <c r="M1948" s="356"/>
      <c r="N1948" s="355"/>
      <c r="V1948" s="202"/>
      <c r="W1948" s="202"/>
      <c r="X1948" s="202"/>
    </row>
    <row r="1949" spans="2:24">
      <c r="B1949" s="4"/>
      <c r="C1949" s="4"/>
      <c r="D1949" s="107"/>
      <c r="G1949" s="6"/>
    </row>
    <row r="1950" spans="2:24">
      <c r="B1950" s="4"/>
      <c r="C1950" s="4"/>
      <c r="D1950" s="107"/>
      <c r="G1950" s="6"/>
    </row>
    <row r="1951" spans="2:24">
      <c r="B1951" s="4"/>
      <c r="C1951" s="4"/>
      <c r="D1951" s="107"/>
      <c r="G1951" s="6"/>
    </row>
    <row r="1952" spans="2:24">
      <c r="B1952" s="4"/>
      <c r="C1952" s="4"/>
      <c r="D1952" s="107"/>
      <c r="G1952" s="6"/>
    </row>
    <row r="1953" spans="2:7">
      <c r="B1953" s="4"/>
      <c r="C1953" s="4"/>
      <c r="D1953" s="107"/>
      <c r="G1953" s="6"/>
    </row>
    <row r="1954" spans="2:7">
      <c r="B1954" s="4"/>
      <c r="C1954" s="4"/>
      <c r="D1954" s="107"/>
      <c r="G1954" s="6"/>
    </row>
    <row r="1955" spans="2:7">
      <c r="B1955" s="4"/>
      <c r="C1955" s="4"/>
      <c r="D1955" s="107"/>
      <c r="G1955" s="6"/>
    </row>
    <row r="1956" spans="2:7">
      <c r="B1956" s="4"/>
      <c r="C1956" s="4"/>
      <c r="D1956" s="107"/>
      <c r="G1956" s="6"/>
    </row>
    <row r="1957" spans="2:7">
      <c r="B1957" s="4"/>
      <c r="C1957" s="4"/>
      <c r="D1957" s="107"/>
      <c r="G1957" s="6"/>
    </row>
    <row r="1958" spans="2:7">
      <c r="B1958" s="4"/>
      <c r="C1958" s="4"/>
      <c r="D1958" s="107"/>
      <c r="G1958" s="6"/>
    </row>
  </sheetData>
  <mergeCells count="1">
    <mergeCell ref="K8:M8"/>
  </mergeCells>
  <phoneticPr fontId="3"/>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BUR16373"/>
  <sheetViews>
    <sheetView zoomScale="70" zoomScaleNormal="70" workbookViewId="0"/>
  </sheetViews>
  <sheetFormatPr defaultColWidth="9" defaultRowHeight="13"/>
  <cols>
    <col min="1" max="1" width="50.6328125" style="345" customWidth="1"/>
    <col min="2" max="2" width="50.6328125" style="22" customWidth="1"/>
    <col min="3" max="1800" width="50.6328125" style="23" customWidth="1"/>
    <col min="1801" max="1916" width="50.7265625" style="23" customWidth="1"/>
    <col min="1917" max="16384" width="9" style="23"/>
  </cols>
  <sheetData>
    <row r="1" spans="1:1916" s="589" customFormat="1" ht="26">
      <c r="A1" s="592" t="s">
        <v>2459</v>
      </c>
      <c r="B1" s="592" t="s">
        <v>2409</v>
      </c>
      <c r="C1" s="592" t="s">
        <v>2410</v>
      </c>
      <c r="D1" s="592" t="s">
        <v>2411</v>
      </c>
      <c r="E1" s="592" t="s">
        <v>1408</v>
      </c>
      <c r="F1" s="592" t="s">
        <v>1708</v>
      </c>
      <c r="G1" s="592" t="s">
        <v>1409</v>
      </c>
      <c r="H1" s="592" t="s">
        <v>1410</v>
      </c>
      <c r="I1" s="592" t="s">
        <v>1711</v>
      </c>
      <c r="J1" s="592" t="s">
        <v>1712</v>
      </c>
      <c r="K1" s="592" t="s">
        <v>1713</v>
      </c>
      <c r="L1" s="592" t="s">
        <v>1715</v>
      </c>
      <c r="M1" s="592" t="s">
        <v>1716</v>
      </c>
      <c r="N1" s="592" t="s">
        <v>1718</v>
      </c>
      <c r="O1" s="592" t="s">
        <v>1719</v>
      </c>
      <c r="P1" s="592" t="s">
        <v>1721</v>
      </c>
      <c r="Q1" s="592" t="s">
        <v>1722</v>
      </c>
      <c r="R1" s="592" t="s">
        <v>1723</v>
      </c>
      <c r="S1" s="592" t="s">
        <v>3403</v>
      </c>
      <c r="T1" s="592" t="s">
        <v>3404</v>
      </c>
      <c r="U1" s="592" t="s">
        <v>1726</v>
      </c>
      <c r="V1" s="592" t="s">
        <v>1727</v>
      </c>
      <c r="W1" s="592" t="s">
        <v>1729</v>
      </c>
      <c r="X1" s="592" t="s">
        <v>1730</v>
      </c>
      <c r="Y1" s="592" t="s">
        <v>1732</v>
      </c>
      <c r="Z1" s="592" t="s">
        <v>1733</v>
      </c>
      <c r="AA1" s="592" t="s">
        <v>1735</v>
      </c>
      <c r="AB1" s="592" t="s">
        <v>1736</v>
      </c>
      <c r="AC1" s="592" t="s">
        <v>1738</v>
      </c>
      <c r="AD1" s="592" t="s">
        <v>1739</v>
      </c>
      <c r="AE1" s="592" t="s">
        <v>1740</v>
      </c>
      <c r="AF1" s="592" t="s">
        <v>2460</v>
      </c>
      <c r="AG1" s="592" t="s">
        <v>1742</v>
      </c>
      <c r="AH1" s="592" t="s">
        <v>2461</v>
      </c>
      <c r="AI1" s="592" t="s">
        <v>1743</v>
      </c>
      <c r="AJ1" s="592" t="s">
        <v>2462</v>
      </c>
      <c r="AK1" s="592" t="s">
        <v>1744</v>
      </c>
      <c r="AL1" s="592" t="s">
        <v>1745</v>
      </c>
      <c r="AM1" s="592" t="s">
        <v>1746</v>
      </c>
      <c r="AN1" s="592" t="s">
        <v>1747</v>
      </c>
      <c r="AO1" s="592" t="s">
        <v>1749</v>
      </c>
      <c r="AP1" s="592" t="s">
        <v>2463</v>
      </c>
      <c r="AQ1" s="592" t="s">
        <v>1750</v>
      </c>
      <c r="AR1" s="592" t="s">
        <v>2464</v>
      </c>
      <c r="AS1" s="592" t="s">
        <v>1751</v>
      </c>
      <c r="AT1" s="592" t="s">
        <v>2465</v>
      </c>
      <c r="AU1" s="592" t="s">
        <v>1752</v>
      </c>
      <c r="AV1" s="592" t="s">
        <v>1753</v>
      </c>
      <c r="AW1" s="592" t="s">
        <v>1754</v>
      </c>
      <c r="AX1" s="592" t="s">
        <v>1755</v>
      </c>
      <c r="AY1" s="592" t="s">
        <v>3405</v>
      </c>
      <c r="AZ1" s="592" t="s">
        <v>1758</v>
      </c>
      <c r="BA1" s="592" t="s">
        <v>1759</v>
      </c>
      <c r="BB1" s="592" t="s">
        <v>1760</v>
      </c>
      <c r="BC1" s="592" t="s">
        <v>1761</v>
      </c>
      <c r="BD1" s="592" t="s">
        <v>1762</v>
      </c>
      <c r="BE1" s="592" t="s">
        <v>1763</v>
      </c>
      <c r="BF1" s="592" t="s">
        <v>1764</v>
      </c>
      <c r="BG1" s="592" t="s">
        <v>1767</v>
      </c>
      <c r="BH1" s="592" t="s">
        <v>1768</v>
      </c>
      <c r="BI1" s="592" t="s">
        <v>1769</v>
      </c>
      <c r="BJ1" s="592" t="s">
        <v>1771</v>
      </c>
      <c r="BK1" s="592" t="s">
        <v>1772</v>
      </c>
      <c r="BL1" s="592" t="s">
        <v>1773</v>
      </c>
      <c r="BM1" s="592" t="s">
        <v>1777</v>
      </c>
      <c r="BN1" s="592" t="s">
        <v>1778</v>
      </c>
      <c r="BO1" s="592" t="s">
        <v>1779</v>
      </c>
      <c r="BP1" s="592" t="s">
        <v>1780</v>
      </c>
      <c r="BQ1" s="592" t="s">
        <v>1781</v>
      </c>
      <c r="BR1" s="592" t="s">
        <v>1782</v>
      </c>
      <c r="BS1" s="592" t="s">
        <v>1783</v>
      </c>
      <c r="BT1" s="592" t="s">
        <v>1784</v>
      </c>
      <c r="BU1" s="592" t="s">
        <v>1785</v>
      </c>
      <c r="BV1" s="592" t="s">
        <v>1786</v>
      </c>
      <c r="BW1" s="592" t="s">
        <v>1787</v>
      </c>
      <c r="BX1" s="592" t="s">
        <v>1788</v>
      </c>
      <c r="BY1" s="592" t="s">
        <v>1789</v>
      </c>
      <c r="BZ1" s="592" t="s">
        <v>1791</v>
      </c>
      <c r="CA1" s="592" t="s">
        <v>1795</v>
      </c>
      <c r="CB1" s="592" t="s">
        <v>1796</v>
      </c>
      <c r="CC1" s="592" t="s">
        <v>1797</v>
      </c>
      <c r="CD1" s="592" t="s">
        <v>1798</v>
      </c>
      <c r="CE1" s="592" t="s">
        <v>1799</v>
      </c>
      <c r="CF1" s="592" t="s">
        <v>1800</v>
      </c>
      <c r="CG1" s="592" t="s">
        <v>1801</v>
      </c>
      <c r="CH1" s="592" t="s">
        <v>4626</v>
      </c>
      <c r="CI1" s="592" t="s">
        <v>4627</v>
      </c>
      <c r="CJ1" s="592" t="s">
        <v>4628</v>
      </c>
      <c r="CK1" s="592" t="s">
        <v>4629</v>
      </c>
      <c r="CL1" s="592" t="s">
        <v>4630</v>
      </c>
      <c r="CM1" s="592" t="s">
        <v>4631</v>
      </c>
      <c r="CN1" s="592" t="s">
        <v>4632</v>
      </c>
      <c r="CO1" s="592" t="s">
        <v>1804</v>
      </c>
      <c r="CP1" s="592" t="s">
        <v>1806</v>
      </c>
      <c r="CQ1" s="592" t="s">
        <v>1808</v>
      </c>
      <c r="CR1" s="592" t="s">
        <v>1809</v>
      </c>
      <c r="CS1" s="592" t="s">
        <v>1811</v>
      </c>
      <c r="CT1" s="592" t="s">
        <v>1813</v>
      </c>
      <c r="CU1" s="592" t="s">
        <v>1815</v>
      </c>
      <c r="CV1" s="592" t="s">
        <v>1819</v>
      </c>
      <c r="CW1" s="592" t="s">
        <v>1821</v>
      </c>
      <c r="CX1" s="592" t="s">
        <v>1823</v>
      </c>
      <c r="CY1" s="592" t="s">
        <v>1824</v>
      </c>
      <c r="CZ1" s="592" t="s">
        <v>1825</v>
      </c>
      <c r="DA1" s="592" t="s">
        <v>1827</v>
      </c>
      <c r="DB1" s="592" t="s">
        <v>1828</v>
      </c>
      <c r="DC1" s="592" t="s">
        <v>1830</v>
      </c>
      <c r="DD1" s="592" t="s">
        <v>1833</v>
      </c>
      <c r="DE1" s="592" t="s">
        <v>1834</v>
      </c>
      <c r="DF1" s="592" t="s">
        <v>1835</v>
      </c>
      <c r="DG1" s="592" t="s">
        <v>1836</v>
      </c>
      <c r="DH1" s="592" t="s">
        <v>1837</v>
      </c>
      <c r="DI1" s="592" t="s">
        <v>1838</v>
      </c>
      <c r="DJ1" s="592" t="s">
        <v>1840</v>
      </c>
      <c r="DK1" s="592" t="s">
        <v>1841</v>
      </c>
      <c r="DL1" s="592" t="s">
        <v>2466</v>
      </c>
      <c r="DM1" s="592" t="s">
        <v>1844</v>
      </c>
      <c r="DN1" s="592" t="s">
        <v>2467</v>
      </c>
      <c r="DO1" s="592" t="s">
        <v>2468</v>
      </c>
      <c r="DP1" s="592" t="s">
        <v>2469</v>
      </c>
      <c r="DQ1" s="592" t="s">
        <v>2470</v>
      </c>
      <c r="DR1" s="592" t="s">
        <v>2471</v>
      </c>
      <c r="DS1" s="592" t="s">
        <v>1845</v>
      </c>
      <c r="DT1" s="592" t="s">
        <v>2472</v>
      </c>
      <c r="DU1" s="592" t="s">
        <v>2473</v>
      </c>
      <c r="DV1" s="592" t="s">
        <v>2474</v>
      </c>
      <c r="DW1" s="592" t="s">
        <v>2475</v>
      </c>
      <c r="DX1" s="592" t="s">
        <v>2476</v>
      </c>
      <c r="DY1" s="592" t="s">
        <v>1846</v>
      </c>
      <c r="DZ1" s="592" t="s">
        <v>2477</v>
      </c>
      <c r="EA1" s="592" t="s">
        <v>2478</v>
      </c>
      <c r="EB1" s="592" t="s">
        <v>2479</v>
      </c>
      <c r="EC1" s="592" t="s">
        <v>2480</v>
      </c>
      <c r="ED1" s="592" t="s">
        <v>2481</v>
      </c>
      <c r="EE1" s="592" t="s">
        <v>1847</v>
      </c>
      <c r="EF1" s="592" t="s">
        <v>2482</v>
      </c>
      <c r="EG1" s="592" t="s">
        <v>2483</v>
      </c>
      <c r="EH1" s="592" t="s">
        <v>2484</v>
      </c>
      <c r="EI1" s="592" t="s">
        <v>2485</v>
      </c>
      <c r="EJ1" s="592" t="s">
        <v>2486</v>
      </c>
      <c r="EK1" s="592" t="s">
        <v>1851</v>
      </c>
      <c r="EL1" s="592" t="s">
        <v>1852</v>
      </c>
      <c r="EM1" s="592" t="s">
        <v>1853</v>
      </c>
      <c r="EN1" s="592" t="s">
        <v>1854</v>
      </c>
      <c r="EO1" s="592" t="s">
        <v>1855</v>
      </c>
      <c r="EP1" s="592" t="s">
        <v>1856</v>
      </c>
      <c r="EQ1" s="592" t="s">
        <v>1857</v>
      </c>
      <c r="ER1" s="592" t="s">
        <v>1858</v>
      </c>
      <c r="ES1" s="592" t="s">
        <v>1860</v>
      </c>
      <c r="ET1" s="592" t="s">
        <v>1862</v>
      </c>
      <c r="EU1" s="592" t="s">
        <v>1863</v>
      </c>
      <c r="EV1" s="592" t="s">
        <v>1865</v>
      </c>
      <c r="EW1" s="592" t="s">
        <v>1866</v>
      </c>
      <c r="EX1" s="592" t="s">
        <v>1867</v>
      </c>
      <c r="EY1" s="592" t="s">
        <v>1868</v>
      </c>
      <c r="EZ1" s="592" t="s">
        <v>1869</v>
      </c>
      <c r="FA1" s="592" t="s">
        <v>1870</v>
      </c>
      <c r="FB1" s="592" t="s">
        <v>1871</v>
      </c>
      <c r="FC1" s="592" t="s">
        <v>1872</v>
      </c>
      <c r="FD1" s="592" t="s">
        <v>1875</v>
      </c>
      <c r="FE1" s="592" t="s">
        <v>1876</v>
      </c>
      <c r="FF1" s="592" t="s">
        <v>1877</v>
      </c>
      <c r="FG1" s="592" t="s">
        <v>1878</v>
      </c>
      <c r="FH1" s="592" t="s">
        <v>1880</v>
      </c>
      <c r="FI1" s="592" t="s">
        <v>1881</v>
      </c>
      <c r="FJ1" s="592" t="s">
        <v>1882</v>
      </c>
      <c r="FK1" s="592" t="s">
        <v>1883</v>
      </c>
      <c r="FL1" s="592" t="s">
        <v>1884</v>
      </c>
      <c r="FM1" s="592" t="s">
        <v>1885</v>
      </c>
      <c r="FN1" s="592" t="s">
        <v>1886</v>
      </c>
      <c r="FO1" s="592" t="s">
        <v>1887</v>
      </c>
      <c r="FP1" s="592" t="s">
        <v>1888</v>
      </c>
      <c r="FQ1" s="592" t="s">
        <v>1889</v>
      </c>
      <c r="FR1" s="592" t="s">
        <v>1890</v>
      </c>
      <c r="FS1" s="592" t="s">
        <v>1891</v>
      </c>
      <c r="FT1" s="592" t="s">
        <v>1892</v>
      </c>
      <c r="FU1" s="592" t="s">
        <v>1893</v>
      </c>
      <c r="FV1" s="592" t="s">
        <v>1894</v>
      </c>
      <c r="FW1" s="592" t="s">
        <v>1895</v>
      </c>
      <c r="FX1" s="592" t="s">
        <v>1897</v>
      </c>
      <c r="FY1" s="592" t="s">
        <v>1898</v>
      </c>
      <c r="FZ1" s="592" t="s">
        <v>1902</v>
      </c>
      <c r="GA1" s="592" t="s">
        <v>1906</v>
      </c>
      <c r="GB1" s="592" t="s">
        <v>1907</v>
      </c>
      <c r="GC1" s="592" t="s">
        <v>1908</v>
      </c>
      <c r="GD1" s="592" t="s">
        <v>1909</v>
      </c>
      <c r="GE1" s="592" t="s">
        <v>1910</v>
      </c>
      <c r="GF1" s="592" t="s">
        <v>1911</v>
      </c>
      <c r="GG1" s="592" t="s">
        <v>1912</v>
      </c>
      <c r="GH1" s="592" t="s">
        <v>1913</v>
      </c>
      <c r="GI1" s="592" t="s">
        <v>1914</v>
      </c>
      <c r="GJ1" s="592" t="s">
        <v>1915</v>
      </c>
      <c r="GK1" s="592" t="s">
        <v>1916</v>
      </c>
      <c r="GL1" s="592" t="s">
        <v>1917</v>
      </c>
      <c r="GM1" s="592" t="s">
        <v>1918</v>
      </c>
      <c r="GN1" s="592" t="s">
        <v>1919</v>
      </c>
      <c r="GO1" s="592" t="s">
        <v>1921</v>
      </c>
      <c r="GP1" s="592" t="s">
        <v>1922</v>
      </c>
      <c r="GQ1" s="592" t="s">
        <v>1923</v>
      </c>
      <c r="GR1" s="592" t="s">
        <v>1924</v>
      </c>
      <c r="GS1" s="592" t="s">
        <v>1925</v>
      </c>
      <c r="GT1" s="592" t="s">
        <v>1927</v>
      </c>
      <c r="GU1" s="592" t="s">
        <v>1928</v>
      </c>
      <c r="GV1" s="592" t="s">
        <v>1929</v>
      </c>
      <c r="GW1" s="592" t="s">
        <v>1930</v>
      </c>
      <c r="GX1" s="592" t="s">
        <v>1931</v>
      </c>
      <c r="GY1" s="592" t="s">
        <v>1934</v>
      </c>
      <c r="GZ1" s="592" t="s">
        <v>1935</v>
      </c>
      <c r="HA1" s="592" t="s">
        <v>1936</v>
      </c>
      <c r="HB1" s="592" t="s">
        <v>1938</v>
      </c>
      <c r="HC1" s="592" t="s">
        <v>1939</v>
      </c>
      <c r="HD1" s="592" t="s">
        <v>1941</v>
      </c>
      <c r="HE1" s="592" t="s">
        <v>1944</v>
      </c>
      <c r="HF1" s="592" t="s">
        <v>1946</v>
      </c>
      <c r="HG1" s="592" t="s">
        <v>1947</v>
      </c>
      <c r="HH1" s="592" t="s">
        <v>1948</v>
      </c>
      <c r="HI1" s="592" t="s">
        <v>1949</v>
      </c>
      <c r="HJ1" s="592" t="s">
        <v>1950</v>
      </c>
      <c r="HK1" s="592" t="s">
        <v>1951</v>
      </c>
      <c r="HL1" s="592" t="s">
        <v>1952</v>
      </c>
      <c r="HM1" s="592" t="s">
        <v>1956</v>
      </c>
      <c r="HN1" s="592" t="s">
        <v>1958</v>
      </c>
      <c r="HO1" s="592" t="s">
        <v>1960</v>
      </c>
      <c r="HP1" s="592" t="s">
        <v>1961</v>
      </c>
      <c r="HQ1" s="592" t="s">
        <v>1962</v>
      </c>
      <c r="HR1" s="592" t="s">
        <v>1963</v>
      </c>
      <c r="HS1" s="592" t="s">
        <v>1964</v>
      </c>
      <c r="HT1" s="592" t="s">
        <v>1965</v>
      </c>
      <c r="HU1" s="592" t="s">
        <v>1967</v>
      </c>
      <c r="HV1" s="592" t="s">
        <v>1968</v>
      </c>
      <c r="HW1" s="592" t="s">
        <v>1970</v>
      </c>
      <c r="HX1" s="592" t="s">
        <v>1971</v>
      </c>
      <c r="HY1" s="592" t="s">
        <v>1972</v>
      </c>
      <c r="HZ1" s="592" t="s">
        <v>1973</v>
      </c>
      <c r="IA1" s="592" t="s">
        <v>1974</v>
      </c>
      <c r="IB1" s="592" t="s">
        <v>1975</v>
      </c>
      <c r="IC1" s="592" t="s">
        <v>1976</v>
      </c>
      <c r="ID1" s="592" t="s">
        <v>1977</v>
      </c>
      <c r="IE1" s="592" t="s">
        <v>1978</v>
      </c>
      <c r="IF1" s="592" t="s">
        <v>1979</v>
      </c>
      <c r="IG1" s="592" t="s">
        <v>1980</v>
      </c>
      <c r="IH1" s="592" t="s">
        <v>1981</v>
      </c>
      <c r="II1" s="592" t="s">
        <v>1982</v>
      </c>
      <c r="IJ1" s="592" t="s">
        <v>1983</v>
      </c>
      <c r="IK1" s="592" t="s">
        <v>1984</v>
      </c>
      <c r="IL1" s="592" t="s">
        <v>1985</v>
      </c>
      <c r="IM1" s="592" t="s">
        <v>1986</v>
      </c>
      <c r="IN1" s="592" t="s">
        <v>1987</v>
      </c>
      <c r="IO1" s="592" t="s">
        <v>1988</v>
      </c>
      <c r="IP1" s="592" t="s">
        <v>1989</v>
      </c>
      <c r="IQ1" s="592" t="s">
        <v>1990</v>
      </c>
      <c r="IR1" s="592" t="s">
        <v>1991</v>
      </c>
      <c r="IS1" s="592" t="s">
        <v>1992</v>
      </c>
      <c r="IT1" s="592" t="s">
        <v>1993</v>
      </c>
      <c r="IU1" s="592" t="s">
        <v>1994</v>
      </c>
      <c r="IV1" s="592" t="s">
        <v>1995</v>
      </c>
      <c r="IW1" s="592" t="s">
        <v>1996</v>
      </c>
      <c r="IX1" s="592" t="s">
        <v>1997</v>
      </c>
      <c r="IY1" s="592" t="s">
        <v>1998</v>
      </c>
      <c r="IZ1" s="592" t="s">
        <v>1999</v>
      </c>
      <c r="JA1" s="592" t="s">
        <v>2000</v>
      </c>
      <c r="JB1" s="592" t="s">
        <v>2001</v>
      </c>
      <c r="JC1" s="592" t="s">
        <v>2002</v>
      </c>
      <c r="JD1" s="592" t="s">
        <v>2003</v>
      </c>
      <c r="JE1" s="592" t="s">
        <v>2004</v>
      </c>
      <c r="JF1" s="592" t="s">
        <v>2005</v>
      </c>
      <c r="JG1" s="592" t="s">
        <v>2006</v>
      </c>
      <c r="JH1" s="592" t="s">
        <v>2009</v>
      </c>
      <c r="JI1" s="592" t="s">
        <v>4638</v>
      </c>
      <c r="JJ1" s="592" t="s">
        <v>4640</v>
      </c>
      <c r="JK1" s="592" t="s">
        <v>4641</v>
      </c>
      <c r="JL1" s="592" t="s">
        <v>4642</v>
      </c>
      <c r="JM1" s="592" t="s">
        <v>4643</v>
      </c>
      <c r="JN1" s="592" t="s">
        <v>4644</v>
      </c>
      <c r="JO1" s="592" t="s">
        <v>5037</v>
      </c>
      <c r="JP1" s="592" t="s">
        <v>3406</v>
      </c>
      <c r="JQ1" s="592" t="s">
        <v>3407</v>
      </c>
      <c r="JR1" s="592" t="s">
        <v>3408</v>
      </c>
      <c r="JS1" s="592" t="s">
        <v>3409</v>
      </c>
      <c r="JT1" s="592" t="s">
        <v>3410</v>
      </c>
      <c r="JU1" s="592" t="s">
        <v>3411</v>
      </c>
      <c r="JV1" s="592" t="s">
        <v>3412</v>
      </c>
      <c r="JW1" s="592" t="s">
        <v>3413</v>
      </c>
      <c r="JX1" s="592" t="s">
        <v>3414</v>
      </c>
      <c r="JY1" s="592" t="s">
        <v>3415</v>
      </c>
      <c r="JZ1" s="592" t="s">
        <v>3416</v>
      </c>
      <c r="KA1" s="592" t="s">
        <v>3417</v>
      </c>
      <c r="KB1" s="592" t="s">
        <v>3418</v>
      </c>
      <c r="KC1" s="592" t="s">
        <v>3419</v>
      </c>
      <c r="KD1" s="592" t="s">
        <v>3420</v>
      </c>
      <c r="KE1" s="592" t="s">
        <v>3421</v>
      </c>
      <c r="KF1" s="592" t="s">
        <v>3422</v>
      </c>
      <c r="KG1" s="592" t="s">
        <v>3423</v>
      </c>
      <c r="KH1" s="592" t="s">
        <v>3424</v>
      </c>
      <c r="KI1" s="592" t="s">
        <v>3425</v>
      </c>
      <c r="KJ1" s="592" t="s">
        <v>3426</v>
      </c>
      <c r="KK1" s="592" t="s">
        <v>3427</v>
      </c>
      <c r="KL1" s="592" t="s">
        <v>3428</v>
      </c>
      <c r="KM1" s="592" t="s">
        <v>3429</v>
      </c>
      <c r="KN1" s="592" t="s">
        <v>3430</v>
      </c>
      <c r="KO1" s="592" t="s">
        <v>3431</v>
      </c>
      <c r="KP1" s="592" t="s">
        <v>3432</v>
      </c>
      <c r="KQ1" s="592" t="s">
        <v>3433</v>
      </c>
      <c r="KR1" s="592" t="s">
        <v>3434</v>
      </c>
      <c r="KS1" s="592" t="s">
        <v>3435</v>
      </c>
      <c r="KT1" s="592" t="s">
        <v>3436</v>
      </c>
      <c r="KU1" s="592" t="s">
        <v>3437</v>
      </c>
      <c r="KV1" s="592" t="s">
        <v>3438</v>
      </c>
      <c r="KW1" s="592" t="s">
        <v>3439</v>
      </c>
      <c r="KX1" s="592" t="s">
        <v>3440</v>
      </c>
      <c r="KY1" s="592" t="s">
        <v>3441</v>
      </c>
      <c r="KZ1" s="592" t="s">
        <v>3442</v>
      </c>
      <c r="LA1" s="592" t="s">
        <v>3443</v>
      </c>
      <c r="LB1" s="592" t="s">
        <v>3444</v>
      </c>
      <c r="LC1" s="592" t="s">
        <v>3445</v>
      </c>
      <c r="LD1" s="592" t="s">
        <v>3446</v>
      </c>
      <c r="LE1" s="592" t="s">
        <v>3447</v>
      </c>
      <c r="LF1" s="592" t="s">
        <v>3448</v>
      </c>
      <c r="LG1" s="592" t="s">
        <v>3449</v>
      </c>
      <c r="LH1" s="592" t="s">
        <v>3450</v>
      </c>
      <c r="LI1" s="592" t="s">
        <v>3451</v>
      </c>
      <c r="LJ1" s="592" t="s">
        <v>3452</v>
      </c>
      <c r="LK1" s="592" t="s">
        <v>3453</v>
      </c>
      <c r="LL1" s="592" t="s">
        <v>3454</v>
      </c>
      <c r="LM1" s="592" t="s">
        <v>3455</v>
      </c>
      <c r="LN1" s="592" t="s">
        <v>3456</v>
      </c>
      <c r="LO1" s="592" t="s">
        <v>3457</v>
      </c>
      <c r="LP1" s="592" t="s">
        <v>3458</v>
      </c>
      <c r="LQ1" s="592" t="s">
        <v>3459</v>
      </c>
      <c r="LR1" s="592" t="s">
        <v>3460</v>
      </c>
      <c r="LS1" s="592" t="s">
        <v>3461</v>
      </c>
      <c r="LT1" s="592" t="s">
        <v>3462</v>
      </c>
      <c r="LU1" s="592" t="s">
        <v>3463</v>
      </c>
      <c r="LV1" s="592" t="s">
        <v>3464</v>
      </c>
      <c r="LW1" s="592" t="s">
        <v>3465</v>
      </c>
      <c r="LX1" s="592" t="s">
        <v>3466</v>
      </c>
      <c r="LY1" s="592" t="s">
        <v>3467</v>
      </c>
      <c r="LZ1" s="592" t="s">
        <v>3468</v>
      </c>
      <c r="MA1" s="592" t="s">
        <v>3469</v>
      </c>
      <c r="MB1" s="592" t="s">
        <v>3470</v>
      </c>
      <c r="MC1" s="592" t="s">
        <v>3471</v>
      </c>
      <c r="MD1" s="592" t="s">
        <v>3472</v>
      </c>
      <c r="ME1" s="592" t="s">
        <v>3473</v>
      </c>
      <c r="MF1" s="592" t="s">
        <v>3474</v>
      </c>
      <c r="MG1" s="592" t="s">
        <v>3475</v>
      </c>
      <c r="MH1" s="592" t="s">
        <v>3476</v>
      </c>
      <c r="MI1" s="592" t="s">
        <v>3477</v>
      </c>
      <c r="MJ1" s="592" t="s">
        <v>3478</v>
      </c>
      <c r="MK1" s="592" t="s">
        <v>3479</v>
      </c>
      <c r="ML1" s="592" t="s">
        <v>3480</v>
      </c>
      <c r="MM1" s="592" t="s">
        <v>3481</v>
      </c>
      <c r="MN1" s="592" t="s">
        <v>3482</v>
      </c>
      <c r="MO1" s="592" t="s">
        <v>3483</v>
      </c>
      <c r="MP1" s="592" t="s">
        <v>3484</v>
      </c>
      <c r="MQ1" s="592" t="s">
        <v>3485</v>
      </c>
      <c r="MR1" s="592" t="s">
        <v>3486</v>
      </c>
      <c r="MS1" s="592" t="s">
        <v>3487</v>
      </c>
      <c r="MT1" s="592" t="s">
        <v>3488</v>
      </c>
      <c r="MU1" s="592" t="s">
        <v>3489</v>
      </c>
      <c r="MV1" s="592" t="s">
        <v>3490</v>
      </c>
      <c r="MW1" s="592" t="s">
        <v>3491</v>
      </c>
      <c r="MX1" s="592" t="s">
        <v>3492</v>
      </c>
      <c r="MY1" s="592" t="s">
        <v>3493</v>
      </c>
      <c r="MZ1" s="592" t="s">
        <v>3494</v>
      </c>
      <c r="NA1" s="592" t="s">
        <v>3495</v>
      </c>
      <c r="NB1" s="592" t="s">
        <v>3496</v>
      </c>
      <c r="NC1" s="592" t="s">
        <v>3497</v>
      </c>
      <c r="ND1" s="592" t="s">
        <v>3498</v>
      </c>
      <c r="NE1" s="592" t="s">
        <v>3499</v>
      </c>
      <c r="NF1" s="592" t="s">
        <v>3500</v>
      </c>
      <c r="NG1" s="592" t="s">
        <v>3501</v>
      </c>
      <c r="NH1" s="592" t="s">
        <v>3502</v>
      </c>
      <c r="NI1" s="592" t="s">
        <v>3503</v>
      </c>
      <c r="NJ1" s="592" t="s">
        <v>3504</v>
      </c>
      <c r="NK1" s="592" t="s">
        <v>3505</v>
      </c>
      <c r="NL1" s="592" t="s">
        <v>3506</v>
      </c>
      <c r="NM1" s="592" t="s">
        <v>3507</v>
      </c>
      <c r="NN1" s="592" t="s">
        <v>3508</v>
      </c>
      <c r="NO1" s="592" t="s">
        <v>3509</v>
      </c>
      <c r="NP1" s="592" t="s">
        <v>3510</v>
      </c>
      <c r="NQ1" s="592" t="s">
        <v>3511</v>
      </c>
      <c r="NR1" s="592" t="s">
        <v>3512</v>
      </c>
      <c r="NS1" s="592" t="s">
        <v>3513</v>
      </c>
      <c r="NT1" s="592" t="s">
        <v>3514</v>
      </c>
      <c r="NU1" s="592" t="s">
        <v>3515</v>
      </c>
      <c r="NV1" s="592" t="s">
        <v>3516</v>
      </c>
      <c r="NW1" s="592" t="s">
        <v>3517</v>
      </c>
      <c r="NX1" s="592" t="s">
        <v>3518</v>
      </c>
      <c r="NY1" s="592" t="s">
        <v>3519</v>
      </c>
      <c r="NZ1" s="592" t="s">
        <v>3520</v>
      </c>
      <c r="OA1" s="592" t="s">
        <v>3521</v>
      </c>
      <c r="OB1" s="592" t="s">
        <v>3522</v>
      </c>
      <c r="OC1" s="592" t="s">
        <v>3523</v>
      </c>
      <c r="OD1" s="592" t="s">
        <v>3524</v>
      </c>
      <c r="OE1" s="592" t="s">
        <v>3525</v>
      </c>
      <c r="OF1" s="592" t="s">
        <v>3526</v>
      </c>
      <c r="OG1" s="592" t="s">
        <v>3527</v>
      </c>
      <c r="OH1" s="592" t="s">
        <v>3528</v>
      </c>
      <c r="OI1" s="592" t="s">
        <v>3529</v>
      </c>
      <c r="OJ1" s="592" t="s">
        <v>3530</v>
      </c>
      <c r="OK1" s="592" t="s">
        <v>3531</v>
      </c>
      <c r="OL1" s="592" t="s">
        <v>3532</v>
      </c>
      <c r="OM1" s="592" t="s">
        <v>3533</v>
      </c>
      <c r="ON1" s="592" t="s">
        <v>3534</v>
      </c>
      <c r="OO1" s="592" t="s">
        <v>3535</v>
      </c>
      <c r="OP1" s="592" t="s">
        <v>3536</v>
      </c>
      <c r="OQ1" s="592" t="s">
        <v>3537</v>
      </c>
      <c r="OR1" s="592" t="s">
        <v>3538</v>
      </c>
      <c r="OS1" s="592" t="s">
        <v>3539</v>
      </c>
      <c r="OT1" s="592" t="s">
        <v>3540</v>
      </c>
      <c r="OU1" s="592" t="s">
        <v>3541</v>
      </c>
      <c r="OV1" s="592" t="s">
        <v>3542</v>
      </c>
      <c r="OW1" s="592" t="s">
        <v>3543</v>
      </c>
      <c r="OX1" s="592" t="s">
        <v>3544</v>
      </c>
      <c r="OY1" s="592" t="s">
        <v>3545</v>
      </c>
      <c r="OZ1" s="592" t="s">
        <v>3546</v>
      </c>
      <c r="PA1" s="592" t="s">
        <v>3547</v>
      </c>
      <c r="PB1" s="592" t="s">
        <v>3548</v>
      </c>
      <c r="PC1" s="592" t="s">
        <v>3549</v>
      </c>
      <c r="PD1" s="592" t="s">
        <v>3550</v>
      </c>
      <c r="PE1" s="592" t="s">
        <v>3551</v>
      </c>
      <c r="PF1" s="592" t="s">
        <v>3552</v>
      </c>
      <c r="PG1" s="592" t="s">
        <v>3553</v>
      </c>
      <c r="PH1" s="592" t="s">
        <v>3554</v>
      </c>
      <c r="PI1" s="592" t="s">
        <v>3555</v>
      </c>
      <c r="PJ1" s="592" t="s">
        <v>3556</v>
      </c>
      <c r="PK1" s="592" t="s">
        <v>3557</v>
      </c>
      <c r="PL1" s="592" t="s">
        <v>3558</v>
      </c>
      <c r="PM1" s="592" t="s">
        <v>3559</v>
      </c>
      <c r="PN1" s="592" t="s">
        <v>3560</v>
      </c>
      <c r="PO1" s="592" t="s">
        <v>3561</v>
      </c>
      <c r="PP1" s="592" t="s">
        <v>3562</v>
      </c>
      <c r="PQ1" s="592" t="s">
        <v>3563</v>
      </c>
      <c r="PR1" s="592" t="s">
        <v>3564</v>
      </c>
      <c r="PS1" s="592" t="s">
        <v>3565</v>
      </c>
      <c r="PT1" s="592" t="s">
        <v>3566</v>
      </c>
      <c r="PU1" s="592" t="s">
        <v>3567</v>
      </c>
      <c r="PV1" s="592" t="s">
        <v>3568</v>
      </c>
      <c r="PW1" s="592" t="s">
        <v>3569</v>
      </c>
      <c r="PX1" s="592" t="s">
        <v>3570</v>
      </c>
      <c r="PY1" s="592" t="s">
        <v>3571</v>
      </c>
      <c r="PZ1" s="592" t="s">
        <v>3572</v>
      </c>
      <c r="QA1" s="592" t="s">
        <v>3573</v>
      </c>
      <c r="QB1" s="592" t="s">
        <v>3574</v>
      </c>
      <c r="QC1" s="592" t="s">
        <v>3575</v>
      </c>
      <c r="QD1" s="592" t="s">
        <v>3576</v>
      </c>
      <c r="QE1" s="592" t="s">
        <v>3577</v>
      </c>
      <c r="QF1" s="592" t="s">
        <v>3578</v>
      </c>
      <c r="QG1" s="592" t="s">
        <v>3579</v>
      </c>
      <c r="QH1" s="592" t="s">
        <v>3580</v>
      </c>
      <c r="QI1" s="592" t="s">
        <v>3581</v>
      </c>
      <c r="QJ1" s="592" t="s">
        <v>3582</v>
      </c>
      <c r="QK1" s="592" t="s">
        <v>3583</v>
      </c>
      <c r="QL1" s="592" t="s">
        <v>3584</v>
      </c>
      <c r="QM1" s="592" t="s">
        <v>3585</v>
      </c>
      <c r="QN1" s="592" t="s">
        <v>3586</v>
      </c>
      <c r="QO1" s="592" t="s">
        <v>3587</v>
      </c>
      <c r="QP1" s="592" t="s">
        <v>3588</v>
      </c>
      <c r="QQ1" s="592" t="s">
        <v>3589</v>
      </c>
      <c r="QR1" s="592" t="s">
        <v>3590</v>
      </c>
      <c r="QS1" s="592" t="s">
        <v>3591</v>
      </c>
      <c r="QT1" s="592" t="s">
        <v>3592</v>
      </c>
      <c r="QU1" s="592" t="s">
        <v>3593</v>
      </c>
      <c r="QV1" s="592" t="s">
        <v>3594</v>
      </c>
      <c r="QW1" s="592" t="s">
        <v>3595</v>
      </c>
      <c r="QX1" s="592" t="s">
        <v>3596</v>
      </c>
      <c r="QY1" s="592" t="s">
        <v>3597</v>
      </c>
      <c r="QZ1" s="592" t="s">
        <v>3598</v>
      </c>
      <c r="RA1" s="592" t="s">
        <v>3599</v>
      </c>
      <c r="RB1" s="592" t="s">
        <v>3600</v>
      </c>
      <c r="RC1" s="592" t="s">
        <v>3601</v>
      </c>
      <c r="RD1" s="592" t="s">
        <v>3602</v>
      </c>
      <c r="RE1" s="592" t="s">
        <v>3603</v>
      </c>
      <c r="RF1" s="592" t="s">
        <v>3604</v>
      </c>
      <c r="RG1" s="592" t="s">
        <v>3605</v>
      </c>
      <c r="RH1" s="592" t="s">
        <v>3606</v>
      </c>
      <c r="RI1" s="592" t="s">
        <v>3607</v>
      </c>
      <c r="RJ1" s="592" t="s">
        <v>3608</v>
      </c>
      <c r="RK1" s="592" t="s">
        <v>3609</v>
      </c>
      <c r="RL1" s="592" t="s">
        <v>3610</v>
      </c>
      <c r="RM1" s="592" t="s">
        <v>3611</v>
      </c>
      <c r="RN1" s="592" t="s">
        <v>3612</v>
      </c>
      <c r="RO1" s="592" t="s">
        <v>3613</v>
      </c>
      <c r="RP1" s="592" t="s">
        <v>3614</v>
      </c>
      <c r="RQ1" s="592" t="s">
        <v>3615</v>
      </c>
      <c r="RR1" s="592" t="s">
        <v>3616</v>
      </c>
      <c r="RS1" s="592" t="s">
        <v>3617</v>
      </c>
      <c r="RT1" s="592" t="s">
        <v>3618</v>
      </c>
      <c r="RU1" s="592" t="s">
        <v>3619</v>
      </c>
      <c r="RV1" s="592" t="s">
        <v>3620</v>
      </c>
      <c r="RW1" s="592" t="s">
        <v>3621</v>
      </c>
      <c r="RX1" s="592" t="s">
        <v>3622</v>
      </c>
      <c r="RY1" s="592" t="s">
        <v>3623</v>
      </c>
      <c r="RZ1" s="592" t="s">
        <v>3624</v>
      </c>
      <c r="SA1" s="592" t="s">
        <v>3625</v>
      </c>
      <c r="SB1" s="592" t="s">
        <v>3626</v>
      </c>
      <c r="SC1" s="592" t="s">
        <v>3627</v>
      </c>
      <c r="SD1" s="592" t="s">
        <v>3628</v>
      </c>
      <c r="SE1" s="592" t="s">
        <v>3629</v>
      </c>
      <c r="SF1" s="592" t="s">
        <v>3630</v>
      </c>
      <c r="SG1" s="592" t="s">
        <v>3631</v>
      </c>
      <c r="SH1" s="592" t="s">
        <v>3632</v>
      </c>
      <c r="SI1" s="592" t="s">
        <v>3633</v>
      </c>
      <c r="SJ1" s="592" t="s">
        <v>3634</v>
      </c>
      <c r="SK1" s="592" t="s">
        <v>3635</v>
      </c>
      <c r="SL1" s="592" t="s">
        <v>3636</v>
      </c>
      <c r="SM1" s="592" t="s">
        <v>3637</v>
      </c>
      <c r="SN1" s="592" t="s">
        <v>3638</v>
      </c>
      <c r="SO1" s="592" t="s">
        <v>3639</v>
      </c>
      <c r="SP1" s="592" t="s">
        <v>3640</v>
      </c>
      <c r="SQ1" s="592" t="s">
        <v>3641</v>
      </c>
      <c r="SR1" s="592" t="s">
        <v>3642</v>
      </c>
      <c r="SS1" s="592" t="s">
        <v>3643</v>
      </c>
      <c r="ST1" s="592" t="s">
        <v>3644</v>
      </c>
      <c r="SU1" s="592" t="s">
        <v>3645</v>
      </c>
      <c r="SV1" s="592" t="s">
        <v>3646</v>
      </c>
      <c r="SW1" s="592" t="s">
        <v>3647</v>
      </c>
      <c r="SX1" s="592" t="s">
        <v>3648</v>
      </c>
      <c r="SY1" s="592" t="s">
        <v>3649</v>
      </c>
      <c r="SZ1" s="592" t="s">
        <v>3650</v>
      </c>
      <c r="TA1" s="592" t="s">
        <v>3651</v>
      </c>
      <c r="TB1" s="592" t="s">
        <v>3652</v>
      </c>
      <c r="TC1" s="592" t="s">
        <v>3653</v>
      </c>
      <c r="TD1" s="592" t="s">
        <v>3654</v>
      </c>
      <c r="TE1" s="592" t="s">
        <v>3655</v>
      </c>
      <c r="TF1" s="592" t="s">
        <v>3656</v>
      </c>
      <c r="TG1" s="592" t="s">
        <v>3657</v>
      </c>
      <c r="TH1" s="592" t="s">
        <v>3658</v>
      </c>
      <c r="TI1" s="592" t="s">
        <v>3659</v>
      </c>
      <c r="TJ1" s="592" t="s">
        <v>3660</v>
      </c>
      <c r="TK1" s="592" t="s">
        <v>3661</v>
      </c>
      <c r="TL1" s="592" t="s">
        <v>3662</v>
      </c>
      <c r="TM1" s="592" t="s">
        <v>3663</v>
      </c>
      <c r="TN1" s="592" t="s">
        <v>3664</v>
      </c>
      <c r="TO1" s="592" t="s">
        <v>3665</v>
      </c>
      <c r="TP1" s="592" t="s">
        <v>3666</v>
      </c>
      <c r="TQ1" s="592" t="s">
        <v>3667</v>
      </c>
      <c r="TR1" s="592" t="s">
        <v>3668</v>
      </c>
      <c r="TS1" s="592" t="s">
        <v>3669</v>
      </c>
      <c r="TT1" s="592" t="s">
        <v>3670</v>
      </c>
      <c r="TU1" s="592" t="s">
        <v>3671</v>
      </c>
      <c r="TV1" s="592" t="s">
        <v>3672</v>
      </c>
      <c r="TW1" s="592" t="s">
        <v>3673</v>
      </c>
      <c r="TX1" s="592" t="s">
        <v>3674</v>
      </c>
      <c r="TY1" s="592" t="s">
        <v>3675</v>
      </c>
      <c r="TZ1" s="592" t="s">
        <v>3676</v>
      </c>
      <c r="UA1" s="592" t="s">
        <v>3677</v>
      </c>
      <c r="UB1" s="592" t="s">
        <v>3678</v>
      </c>
      <c r="UC1" s="592" t="s">
        <v>3679</v>
      </c>
      <c r="UD1" s="592" t="s">
        <v>3680</v>
      </c>
      <c r="UE1" s="592" t="s">
        <v>3681</v>
      </c>
      <c r="UF1" s="592" t="s">
        <v>3682</v>
      </c>
      <c r="UG1" s="592" t="s">
        <v>3683</v>
      </c>
      <c r="UH1" s="592" t="s">
        <v>3684</v>
      </c>
      <c r="UI1" s="592" t="s">
        <v>3685</v>
      </c>
      <c r="UJ1" s="592" t="s">
        <v>3686</v>
      </c>
      <c r="UK1" s="592" t="s">
        <v>3687</v>
      </c>
      <c r="UL1" s="592" t="s">
        <v>3688</v>
      </c>
      <c r="UM1" s="592" t="s">
        <v>3689</v>
      </c>
      <c r="UN1" s="592" t="s">
        <v>3690</v>
      </c>
      <c r="UO1" s="592" t="s">
        <v>3691</v>
      </c>
      <c r="UP1" s="592" t="s">
        <v>3692</v>
      </c>
      <c r="UQ1" s="592" t="s">
        <v>3693</v>
      </c>
      <c r="UR1" s="592" t="s">
        <v>3694</v>
      </c>
      <c r="US1" s="592" t="s">
        <v>3695</v>
      </c>
      <c r="UT1" s="592" t="s">
        <v>3696</v>
      </c>
      <c r="UU1" s="592" t="s">
        <v>3697</v>
      </c>
      <c r="UV1" s="592" t="s">
        <v>3698</v>
      </c>
      <c r="UW1" s="592" t="s">
        <v>3699</v>
      </c>
      <c r="UX1" s="592" t="s">
        <v>3700</v>
      </c>
      <c r="UY1" s="592" t="s">
        <v>3701</v>
      </c>
      <c r="UZ1" s="592" t="s">
        <v>3702</v>
      </c>
      <c r="VA1" s="592" t="s">
        <v>3703</v>
      </c>
      <c r="VB1" s="592" t="s">
        <v>3704</v>
      </c>
      <c r="VC1" s="592" t="s">
        <v>3705</v>
      </c>
      <c r="VD1" s="592" t="s">
        <v>3706</v>
      </c>
      <c r="VE1" s="592" t="s">
        <v>3707</v>
      </c>
      <c r="VF1" s="592" t="s">
        <v>3708</v>
      </c>
      <c r="VG1" s="592" t="s">
        <v>3709</v>
      </c>
      <c r="VH1" s="592" t="s">
        <v>3710</v>
      </c>
      <c r="VI1" s="592" t="s">
        <v>3711</v>
      </c>
      <c r="VJ1" s="592" t="s">
        <v>3712</v>
      </c>
      <c r="VK1" s="592" t="s">
        <v>3713</v>
      </c>
      <c r="VL1" s="592" t="s">
        <v>3714</v>
      </c>
      <c r="VM1" s="592" t="s">
        <v>3715</v>
      </c>
      <c r="VN1" s="592" t="s">
        <v>3716</v>
      </c>
      <c r="VO1" s="592" t="s">
        <v>3717</v>
      </c>
      <c r="VP1" s="592" t="s">
        <v>3718</v>
      </c>
      <c r="VQ1" s="592" t="s">
        <v>3719</v>
      </c>
      <c r="VR1" s="592" t="s">
        <v>3720</v>
      </c>
      <c r="VS1" s="592" t="s">
        <v>3721</v>
      </c>
      <c r="VT1" s="592" t="s">
        <v>3722</v>
      </c>
      <c r="VU1" s="592" t="s">
        <v>3723</v>
      </c>
      <c r="VV1" s="592" t="s">
        <v>3724</v>
      </c>
      <c r="VW1" s="592" t="s">
        <v>3725</v>
      </c>
      <c r="VX1" s="592" t="s">
        <v>3726</v>
      </c>
      <c r="VY1" s="592" t="s">
        <v>3727</v>
      </c>
      <c r="VZ1" s="592" t="s">
        <v>3728</v>
      </c>
      <c r="WA1" s="592" t="s">
        <v>3729</v>
      </c>
      <c r="WB1" s="592" t="s">
        <v>3730</v>
      </c>
      <c r="WC1" s="592" t="s">
        <v>3731</v>
      </c>
      <c r="WD1" s="592" t="s">
        <v>3732</v>
      </c>
      <c r="WE1" s="592" t="s">
        <v>3733</v>
      </c>
      <c r="WF1" s="592" t="s">
        <v>3734</v>
      </c>
      <c r="WG1" s="592" t="s">
        <v>3735</v>
      </c>
      <c r="WH1" s="592" t="s">
        <v>3736</v>
      </c>
      <c r="WI1" s="592" t="s">
        <v>3737</v>
      </c>
      <c r="WJ1" s="592" t="s">
        <v>3738</v>
      </c>
      <c r="WK1" s="592" t="s">
        <v>3739</v>
      </c>
      <c r="WL1" s="592" t="s">
        <v>3740</v>
      </c>
      <c r="WM1" s="592" t="s">
        <v>3741</v>
      </c>
      <c r="WN1" s="592" t="s">
        <v>3742</v>
      </c>
      <c r="WO1" s="592" t="s">
        <v>3743</v>
      </c>
      <c r="WP1" s="592" t="s">
        <v>3744</v>
      </c>
      <c r="WQ1" s="592" t="s">
        <v>3745</v>
      </c>
      <c r="WR1" s="592" t="s">
        <v>3746</v>
      </c>
      <c r="WS1" s="592" t="s">
        <v>3747</v>
      </c>
      <c r="WT1" s="592" t="s">
        <v>3748</v>
      </c>
      <c r="WU1" s="592" t="s">
        <v>3749</v>
      </c>
      <c r="WV1" s="592" t="s">
        <v>3750</v>
      </c>
      <c r="WW1" s="592" t="s">
        <v>3751</v>
      </c>
      <c r="WX1" s="592" t="s">
        <v>3752</v>
      </c>
      <c r="WY1" s="592" t="s">
        <v>3753</v>
      </c>
      <c r="WZ1" s="592" t="s">
        <v>3754</v>
      </c>
      <c r="XA1" s="592" t="s">
        <v>3755</v>
      </c>
      <c r="XB1" s="592" t="s">
        <v>3756</v>
      </c>
      <c r="XC1" s="592" t="s">
        <v>3757</v>
      </c>
      <c r="XD1" s="592" t="s">
        <v>3758</v>
      </c>
      <c r="XE1" s="592" t="s">
        <v>3759</v>
      </c>
      <c r="XF1" s="592" t="s">
        <v>3760</v>
      </c>
      <c r="XG1" s="592" t="s">
        <v>3761</v>
      </c>
      <c r="XH1" s="592" t="s">
        <v>3762</v>
      </c>
      <c r="XI1" s="592" t="s">
        <v>3763</v>
      </c>
      <c r="XJ1" s="592" t="s">
        <v>3764</v>
      </c>
      <c r="XK1" s="592" t="s">
        <v>3765</v>
      </c>
      <c r="XL1" s="592" t="s">
        <v>3766</v>
      </c>
      <c r="XM1" s="592" t="s">
        <v>3767</v>
      </c>
      <c r="XN1" s="592" t="s">
        <v>3768</v>
      </c>
      <c r="XO1" s="592" t="s">
        <v>3769</v>
      </c>
      <c r="XP1" s="592" t="s">
        <v>3770</v>
      </c>
      <c r="XQ1" s="592" t="s">
        <v>3771</v>
      </c>
      <c r="XR1" s="592" t="s">
        <v>3772</v>
      </c>
      <c r="XS1" s="592" t="s">
        <v>3773</v>
      </c>
      <c r="XT1" s="592" t="s">
        <v>3774</v>
      </c>
      <c r="XU1" s="592" t="s">
        <v>3775</v>
      </c>
      <c r="XV1" s="592" t="s">
        <v>3776</v>
      </c>
      <c r="XW1" s="592" t="s">
        <v>3777</v>
      </c>
      <c r="XX1" s="592" t="s">
        <v>3778</v>
      </c>
      <c r="XY1" s="592" t="s">
        <v>3779</v>
      </c>
      <c r="XZ1" s="592" t="s">
        <v>3780</v>
      </c>
      <c r="YA1" s="592" t="s">
        <v>3781</v>
      </c>
      <c r="YB1" s="592" t="s">
        <v>3782</v>
      </c>
      <c r="YC1" s="592" t="s">
        <v>3783</v>
      </c>
      <c r="YD1" s="592" t="s">
        <v>3784</v>
      </c>
      <c r="YE1" s="592" t="s">
        <v>3785</v>
      </c>
      <c r="YF1" s="592" t="s">
        <v>3786</v>
      </c>
      <c r="YG1" s="592" t="s">
        <v>3787</v>
      </c>
      <c r="YH1" s="592" t="s">
        <v>3788</v>
      </c>
      <c r="YI1" s="592" t="s">
        <v>3789</v>
      </c>
      <c r="YJ1" s="592" t="s">
        <v>3790</v>
      </c>
      <c r="YK1" s="592" t="s">
        <v>3791</v>
      </c>
      <c r="YL1" s="592" t="s">
        <v>3792</v>
      </c>
      <c r="YM1" s="592" t="s">
        <v>3793</v>
      </c>
      <c r="YN1" s="592" t="s">
        <v>3794</v>
      </c>
      <c r="YO1" s="592" t="s">
        <v>3795</v>
      </c>
      <c r="YP1" s="592" t="s">
        <v>3796</v>
      </c>
      <c r="YQ1" s="592" t="s">
        <v>3797</v>
      </c>
      <c r="YR1" s="592" t="s">
        <v>3798</v>
      </c>
      <c r="YS1" s="592" t="s">
        <v>3799</v>
      </c>
      <c r="YT1" s="592" t="s">
        <v>3800</v>
      </c>
      <c r="YU1" s="592" t="s">
        <v>3801</v>
      </c>
      <c r="YV1" s="592" t="s">
        <v>3802</v>
      </c>
      <c r="YW1" s="592" t="s">
        <v>3803</v>
      </c>
      <c r="YX1" s="592" t="s">
        <v>3804</v>
      </c>
      <c r="YY1" s="592" t="s">
        <v>3805</v>
      </c>
      <c r="YZ1" s="592" t="s">
        <v>3806</v>
      </c>
      <c r="ZA1" s="592" t="s">
        <v>3807</v>
      </c>
      <c r="ZB1" s="592" t="s">
        <v>3808</v>
      </c>
      <c r="ZC1" s="592" t="s">
        <v>3809</v>
      </c>
      <c r="ZD1" s="592" t="s">
        <v>3810</v>
      </c>
      <c r="ZE1" s="592" t="s">
        <v>3811</v>
      </c>
      <c r="ZF1" s="592" t="s">
        <v>3812</v>
      </c>
      <c r="ZG1" s="592" t="s">
        <v>3813</v>
      </c>
      <c r="ZH1" s="592" t="s">
        <v>3814</v>
      </c>
      <c r="ZI1" s="592" t="s">
        <v>3815</v>
      </c>
      <c r="ZJ1" s="592" t="s">
        <v>3816</v>
      </c>
      <c r="ZK1" s="592" t="s">
        <v>3817</v>
      </c>
      <c r="ZL1" s="592" t="s">
        <v>3818</v>
      </c>
      <c r="ZM1" s="592" t="s">
        <v>3819</v>
      </c>
      <c r="ZN1" s="592" t="s">
        <v>3820</v>
      </c>
      <c r="ZO1" s="592" t="s">
        <v>3821</v>
      </c>
      <c r="ZP1" s="592" t="s">
        <v>3822</v>
      </c>
      <c r="ZQ1" s="592" t="s">
        <v>3823</v>
      </c>
      <c r="ZR1" s="592" t="s">
        <v>3824</v>
      </c>
      <c r="ZS1" s="592" t="s">
        <v>3825</v>
      </c>
      <c r="ZT1" s="592" t="s">
        <v>3826</v>
      </c>
      <c r="ZU1" s="592" t="s">
        <v>3827</v>
      </c>
      <c r="ZV1" s="592" t="s">
        <v>3828</v>
      </c>
      <c r="ZW1" s="592" t="s">
        <v>3829</v>
      </c>
      <c r="ZX1" s="592" t="s">
        <v>3830</v>
      </c>
      <c r="ZY1" s="592" t="s">
        <v>3831</v>
      </c>
      <c r="ZZ1" s="592" t="s">
        <v>3832</v>
      </c>
      <c r="AAA1" s="592" t="s">
        <v>3833</v>
      </c>
      <c r="AAB1" s="592" t="s">
        <v>3834</v>
      </c>
      <c r="AAC1" s="592" t="s">
        <v>3835</v>
      </c>
      <c r="AAD1" s="592" t="s">
        <v>3836</v>
      </c>
      <c r="AAE1" s="592" t="s">
        <v>3837</v>
      </c>
      <c r="AAF1" s="592" t="s">
        <v>3838</v>
      </c>
      <c r="AAG1" s="592" t="s">
        <v>3839</v>
      </c>
      <c r="AAH1" s="592" t="s">
        <v>3840</v>
      </c>
      <c r="AAI1" s="592" t="s">
        <v>3841</v>
      </c>
      <c r="AAJ1" s="592" t="s">
        <v>3842</v>
      </c>
      <c r="AAK1" s="592" t="s">
        <v>3843</v>
      </c>
      <c r="AAL1" s="592" t="s">
        <v>3844</v>
      </c>
      <c r="AAM1" s="592" t="s">
        <v>3845</v>
      </c>
      <c r="AAN1" s="592" t="s">
        <v>3846</v>
      </c>
      <c r="AAO1" s="592" t="s">
        <v>3847</v>
      </c>
      <c r="AAP1" s="592" t="s">
        <v>3848</v>
      </c>
      <c r="AAQ1" s="592" t="s">
        <v>3849</v>
      </c>
      <c r="AAR1" s="592" t="s">
        <v>3850</v>
      </c>
      <c r="AAS1" s="592" t="s">
        <v>3851</v>
      </c>
      <c r="AAT1" s="592" t="s">
        <v>3852</v>
      </c>
      <c r="AAU1" s="592" t="s">
        <v>3853</v>
      </c>
      <c r="AAV1" s="592" t="s">
        <v>3854</v>
      </c>
      <c r="AAW1" s="592" t="s">
        <v>3855</v>
      </c>
      <c r="AAX1" s="592" t="s">
        <v>3856</v>
      </c>
      <c r="AAY1" s="592" t="s">
        <v>3857</v>
      </c>
      <c r="AAZ1" s="592" t="s">
        <v>3858</v>
      </c>
      <c r="ABA1" s="592" t="s">
        <v>3859</v>
      </c>
      <c r="ABB1" s="592" t="s">
        <v>3860</v>
      </c>
      <c r="ABC1" s="592" t="s">
        <v>3861</v>
      </c>
      <c r="ABD1" s="592" t="s">
        <v>3862</v>
      </c>
      <c r="ABE1" s="592" t="s">
        <v>3863</v>
      </c>
      <c r="ABF1" s="592" t="s">
        <v>3864</v>
      </c>
      <c r="ABG1" s="592" t="s">
        <v>3865</v>
      </c>
      <c r="ABH1" s="592" t="s">
        <v>3866</v>
      </c>
      <c r="ABI1" s="592" t="s">
        <v>3867</v>
      </c>
      <c r="ABJ1" s="592" t="s">
        <v>3868</v>
      </c>
      <c r="ABK1" s="592" t="s">
        <v>3869</v>
      </c>
      <c r="ABL1" s="592" t="s">
        <v>3870</v>
      </c>
      <c r="ABM1" s="592" t="s">
        <v>3871</v>
      </c>
      <c r="ABN1" s="592" t="s">
        <v>3872</v>
      </c>
      <c r="ABO1" s="592" t="s">
        <v>3873</v>
      </c>
      <c r="ABP1" s="592" t="s">
        <v>3874</v>
      </c>
      <c r="ABQ1" s="592" t="s">
        <v>3875</v>
      </c>
      <c r="ABR1" s="592" t="s">
        <v>3876</v>
      </c>
      <c r="ABS1" s="592" t="s">
        <v>3877</v>
      </c>
      <c r="ABT1" s="592" t="s">
        <v>3878</v>
      </c>
      <c r="ABU1" s="592" t="s">
        <v>3879</v>
      </c>
      <c r="ABV1" s="592" t="s">
        <v>3880</v>
      </c>
      <c r="ABW1" s="592" t="s">
        <v>3881</v>
      </c>
      <c r="ABX1" s="592" t="s">
        <v>3882</v>
      </c>
      <c r="ABY1" s="592" t="s">
        <v>3883</v>
      </c>
      <c r="ABZ1" s="592" t="s">
        <v>3884</v>
      </c>
      <c r="ACA1" s="592" t="s">
        <v>3885</v>
      </c>
      <c r="ACB1" s="592" t="s">
        <v>3886</v>
      </c>
      <c r="ACC1" s="592" t="s">
        <v>3887</v>
      </c>
      <c r="ACD1" s="592" t="s">
        <v>3888</v>
      </c>
      <c r="ACE1" s="592" t="s">
        <v>3889</v>
      </c>
      <c r="ACF1" s="592" t="s">
        <v>3890</v>
      </c>
      <c r="ACG1" s="592" t="s">
        <v>3891</v>
      </c>
      <c r="ACH1" s="592" t="s">
        <v>3892</v>
      </c>
      <c r="ACI1" s="592" t="s">
        <v>3893</v>
      </c>
      <c r="ACJ1" s="592" t="s">
        <v>3894</v>
      </c>
      <c r="ACK1" s="592" t="s">
        <v>3895</v>
      </c>
      <c r="ACL1" s="592" t="s">
        <v>3896</v>
      </c>
      <c r="ACM1" s="592" t="s">
        <v>3897</v>
      </c>
      <c r="ACN1" s="592" t="s">
        <v>3898</v>
      </c>
      <c r="ACO1" s="592" t="s">
        <v>3899</v>
      </c>
      <c r="ACP1" s="592" t="s">
        <v>3900</v>
      </c>
      <c r="ACQ1" s="592" t="s">
        <v>3901</v>
      </c>
      <c r="ACR1" s="592" t="s">
        <v>3902</v>
      </c>
      <c r="ACS1" s="592" t="s">
        <v>3903</v>
      </c>
      <c r="ACT1" s="592" t="s">
        <v>3904</v>
      </c>
      <c r="ACU1" s="592" t="s">
        <v>3905</v>
      </c>
      <c r="ACV1" s="592" t="s">
        <v>3906</v>
      </c>
      <c r="ACW1" s="592" t="s">
        <v>3907</v>
      </c>
      <c r="ACX1" s="592" t="s">
        <v>3908</v>
      </c>
      <c r="ACY1" s="592" t="s">
        <v>3909</v>
      </c>
      <c r="ACZ1" s="592" t="s">
        <v>3910</v>
      </c>
      <c r="ADA1" s="592" t="s">
        <v>3911</v>
      </c>
      <c r="ADB1" s="592" t="s">
        <v>3912</v>
      </c>
      <c r="ADC1" s="592" t="s">
        <v>3913</v>
      </c>
      <c r="ADD1" s="592" t="s">
        <v>3914</v>
      </c>
      <c r="ADE1" s="592" t="s">
        <v>3915</v>
      </c>
      <c r="ADF1" s="592" t="s">
        <v>3916</v>
      </c>
      <c r="ADG1" s="592" t="s">
        <v>3917</v>
      </c>
      <c r="ADH1" s="592" t="s">
        <v>3918</v>
      </c>
      <c r="ADI1" s="592" t="s">
        <v>3919</v>
      </c>
      <c r="ADJ1" s="592" t="s">
        <v>3920</v>
      </c>
      <c r="ADK1" s="592" t="s">
        <v>3921</v>
      </c>
      <c r="ADL1" s="592" t="s">
        <v>3922</v>
      </c>
      <c r="ADM1" s="592" t="s">
        <v>3923</v>
      </c>
      <c r="ADN1" s="592" t="s">
        <v>3924</v>
      </c>
      <c r="ADO1" s="592" t="s">
        <v>3925</v>
      </c>
      <c r="ADP1" s="592" t="s">
        <v>3926</v>
      </c>
      <c r="ADQ1" s="592" t="s">
        <v>3927</v>
      </c>
      <c r="ADR1" s="592" t="s">
        <v>3928</v>
      </c>
      <c r="ADS1" s="592" t="s">
        <v>3929</v>
      </c>
      <c r="ADT1" s="592" t="s">
        <v>3930</v>
      </c>
      <c r="ADU1" s="592" t="s">
        <v>3931</v>
      </c>
      <c r="ADV1" s="592" t="s">
        <v>3932</v>
      </c>
      <c r="ADW1" s="592" t="s">
        <v>3933</v>
      </c>
      <c r="ADX1" s="592" t="s">
        <v>3934</v>
      </c>
      <c r="ADY1" s="592" t="s">
        <v>3935</v>
      </c>
      <c r="ADZ1" s="592" t="s">
        <v>3936</v>
      </c>
      <c r="AEA1" s="592" t="s">
        <v>3937</v>
      </c>
      <c r="AEB1" s="592" t="s">
        <v>3938</v>
      </c>
      <c r="AEC1" s="592" t="s">
        <v>3939</v>
      </c>
      <c r="AED1" s="592" t="s">
        <v>3940</v>
      </c>
      <c r="AEE1" s="592" t="s">
        <v>3941</v>
      </c>
      <c r="AEF1" s="592" t="s">
        <v>3942</v>
      </c>
      <c r="AEG1" s="592" t="s">
        <v>3943</v>
      </c>
      <c r="AEH1" s="592" t="s">
        <v>3944</v>
      </c>
      <c r="AEI1" s="592" t="s">
        <v>3945</v>
      </c>
      <c r="AEJ1" s="592" t="s">
        <v>3946</v>
      </c>
      <c r="AEK1" s="592" t="s">
        <v>3947</v>
      </c>
      <c r="AEL1" s="592" t="s">
        <v>3948</v>
      </c>
      <c r="AEM1" s="592" t="s">
        <v>3949</v>
      </c>
      <c r="AEN1" s="592" t="s">
        <v>3950</v>
      </c>
      <c r="AEO1" s="592" t="s">
        <v>3951</v>
      </c>
      <c r="AEP1" s="592" t="s">
        <v>3952</v>
      </c>
      <c r="AEQ1" s="592" t="s">
        <v>3953</v>
      </c>
      <c r="AER1" s="592" t="s">
        <v>3954</v>
      </c>
      <c r="AES1" s="592" t="s">
        <v>3955</v>
      </c>
      <c r="AET1" s="592" t="s">
        <v>3956</v>
      </c>
      <c r="AEU1" s="592" t="s">
        <v>3957</v>
      </c>
      <c r="AEV1" s="592" t="s">
        <v>3958</v>
      </c>
      <c r="AEW1" s="592" t="s">
        <v>3959</v>
      </c>
      <c r="AEX1" s="592" t="s">
        <v>3960</v>
      </c>
      <c r="AEY1" s="592" t="s">
        <v>3961</v>
      </c>
      <c r="AEZ1" s="592" t="s">
        <v>3962</v>
      </c>
      <c r="AFA1" s="592" t="s">
        <v>3963</v>
      </c>
      <c r="AFB1" s="592" t="s">
        <v>3964</v>
      </c>
      <c r="AFC1" s="592" t="s">
        <v>3965</v>
      </c>
      <c r="AFD1" s="592" t="s">
        <v>3966</v>
      </c>
      <c r="AFE1" s="592" t="s">
        <v>3967</v>
      </c>
      <c r="AFF1" s="592" t="s">
        <v>3968</v>
      </c>
      <c r="AFG1" s="592" t="s">
        <v>3969</v>
      </c>
      <c r="AFH1" s="592" t="s">
        <v>3970</v>
      </c>
      <c r="AFI1" s="592" t="s">
        <v>3971</v>
      </c>
      <c r="AFJ1" s="592" t="s">
        <v>3972</v>
      </c>
      <c r="AFK1" s="592" t="s">
        <v>3973</v>
      </c>
      <c r="AFL1" s="592" t="s">
        <v>3974</v>
      </c>
      <c r="AFM1" s="592" t="s">
        <v>3975</v>
      </c>
      <c r="AFN1" s="592" t="s">
        <v>3976</v>
      </c>
      <c r="AFO1" s="592" t="s">
        <v>3977</v>
      </c>
      <c r="AFP1" s="592" t="s">
        <v>3978</v>
      </c>
      <c r="AFQ1" s="592" t="s">
        <v>3979</v>
      </c>
      <c r="AFR1" s="592" t="s">
        <v>3980</v>
      </c>
      <c r="AFS1" s="592" t="s">
        <v>3981</v>
      </c>
      <c r="AFT1" s="592" t="s">
        <v>3982</v>
      </c>
      <c r="AFU1" s="592" t="s">
        <v>3983</v>
      </c>
      <c r="AFV1" s="592" t="s">
        <v>3984</v>
      </c>
      <c r="AFW1" s="592" t="s">
        <v>3985</v>
      </c>
      <c r="AFX1" s="592" t="s">
        <v>3986</v>
      </c>
      <c r="AFY1" s="592" t="s">
        <v>3987</v>
      </c>
      <c r="AFZ1" s="592" t="s">
        <v>3988</v>
      </c>
      <c r="AGA1" s="592" t="s">
        <v>3989</v>
      </c>
      <c r="AGB1" s="592" t="s">
        <v>3990</v>
      </c>
      <c r="AGC1" s="592" t="s">
        <v>3991</v>
      </c>
      <c r="AGD1" s="592" t="s">
        <v>3992</v>
      </c>
      <c r="AGE1" s="592" t="s">
        <v>3993</v>
      </c>
      <c r="AGF1" s="592" t="s">
        <v>3994</v>
      </c>
      <c r="AGG1" s="592" t="s">
        <v>3995</v>
      </c>
      <c r="AGH1" s="592" t="s">
        <v>3996</v>
      </c>
      <c r="AGI1" s="592" t="s">
        <v>3997</v>
      </c>
      <c r="AGJ1" s="592" t="s">
        <v>3998</v>
      </c>
      <c r="AGK1" s="592" t="s">
        <v>3999</v>
      </c>
      <c r="AGL1" s="592" t="s">
        <v>4000</v>
      </c>
      <c r="AGM1" s="592" t="s">
        <v>4001</v>
      </c>
      <c r="AGN1" s="592" t="s">
        <v>4002</v>
      </c>
      <c r="AGO1" s="592" t="s">
        <v>4003</v>
      </c>
      <c r="AGP1" s="592" t="s">
        <v>4004</v>
      </c>
      <c r="AGQ1" s="592" t="s">
        <v>4005</v>
      </c>
      <c r="AGR1" s="592" t="s">
        <v>4006</v>
      </c>
      <c r="AGS1" s="592" t="s">
        <v>4007</v>
      </c>
      <c r="AGT1" s="592" t="s">
        <v>4008</v>
      </c>
      <c r="AGU1" s="592" t="s">
        <v>4009</v>
      </c>
      <c r="AGV1" s="592" t="s">
        <v>4010</v>
      </c>
      <c r="AGW1" s="592" t="s">
        <v>4011</v>
      </c>
      <c r="AGX1" s="592" t="s">
        <v>4012</v>
      </c>
      <c r="AGY1" s="592" t="s">
        <v>4013</v>
      </c>
      <c r="AGZ1" s="592" t="s">
        <v>4014</v>
      </c>
      <c r="AHA1" s="592" t="s">
        <v>4015</v>
      </c>
      <c r="AHB1" s="592" t="s">
        <v>4016</v>
      </c>
      <c r="AHC1" s="592" t="s">
        <v>4017</v>
      </c>
      <c r="AHD1" s="592" t="s">
        <v>4018</v>
      </c>
      <c r="AHE1" s="592" t="s">
        <v>4019</v>
      </c>
      <c r="AHF1" s="592" t="s">
        <v>4020</v>
      </c>
      <c r="AHG1" s="592" t="s">
        <v>4021</v>
      </c>
      <c r="AHH1" s="592" t="s">
        <v>4022</v>
      </c>
      <c r="AHI1" s="592" t="s">
        <v>4023</v>
      </c>
      <c r="AHJ1" s="592" t="s">
        <v>4024</v>
      </c>
      <c r="AHK1" s="592" t="s">
        <v>4025</v>
      </c>
      <c r="AHL1" s="592" t="s">
        <v>4026</v>
      </c>
      <c r="AHM1" s="592" t="s">
        <v>4027</v>
      </c>
      <c r="AHN1" s="592" t="s">
        <v>4028</v>
      </c>
      <c r="AHO1" s="592" t="s">
        <v>4029</v>
      </c>
      <c r="AHP1" s="592" t="s">
        <v>4030</v>
      </c>
      <c r="AHQ1" s="592" t="s">
        <v>4031</v>
      </c>
      <c r="AHR1" s="592" t="s">
        <v>4032</v>
      </c>
      <c r="AHS1" s="592" t="s">
        <v>4033</v>
      </c>
      <c r="AHT1" s="592" t="s">
        <v>4034</v>
      </c>
      <c r="AHU1" s="592" t="s">
        <v>4035</v>
      </c>
      <c r="AHV1" s="592" t="s">
        <v>4036</v>
      </c>
      <c r="AHW1" s="592" t="s">
        <v>4037</v>
      </c>
      <c r="AHX1" s="592" t="s">
        <v>4038</v>
      </c>
      <c r="AHY1" s="592" t="s">
        <v>4039</v>
      </c>
      <c r="AHZ1" s="592" t="s">
        <v>4040</v>
      </c>
      <c r="AIA1" s="592" t="s">
        <v>4041</v>
      </c>
      <c r="AIB1" s="592" t="s">
        <v>4042</v>
      </c>
      <c r="AIC1" s="592" t="s">
        <v>4043</v>
      </c>
      <c r="AID1" s="592" t="s">
        <v>4044</v>
      </c>
      <c r="AIE1" s="592" t="s">
        <v>4045</v>
      </c>
      <c r="AIF1" s="592" t="s">
        <v>4046</v>
      </c>
      <c r="AIG1" s="592" t="s">
        <v>4047</v>
      </c>
      <c r="AIH1" s="592" t="s">
        <v>4048</v>
      </c>
      <c r="AII1" s="592" t="s">
        <v>4049</v>
      </c>
      <c r="AIJ1" s="592" t="s">
        <v>4050</v>
      </c>
      <c r="AIK1" s="592" t="s">
        <v>4051</v>
      </c>
      <c r="AIL1" s="592" t="s">
        <v>4052</v>
      </c>
      <c r="AIM1" s="592" t="s">
        <v>4053</v>
      </c>
      <c r="AIN1" s="592" t="s">
        <v>4054</v>
      </c>
      <c r="AIO1" s="592" t="s">
        <v>4055</v>
      </c>
      <c r="AIP1" s="592" t="s">
        <v>4056</v>
      </c>
      <c r="AIQ1" s="592" t="s">
        <v>4057</v>
      </c>
      <c r="AIR1" s="592" t="s">
        <v>4058</v>
      </c>
      <c r="AIS1" s="592" t="s">
        <v>4059</v>
      </c>
      <c r="AIT1" s="592" t="s">
        <v>4060</v>
      </c>
      <c r="AIU1" s="592" t="s">
        <v>4061</v>
      </c>
      <c r="AIV1" s="592" t="s">
        <v>4062</v>
      </c>
      <c r="AIW1" s="592" t="s">
        <v>4063</v>
      </c>
      <c r="AIX1" s="592" t="s">
        <v>4064</v>
      </c>
      <c r="AIY1" s="592" t="s">
        <v>4065</v>
      </c>
      <c r="AIZ1" s="592" t="s">
        <v>4066</v>
      </c>
      <c r="AJA1" s="592" t="s">
        <v>4067</v>
      </c>
      <c r="AJB1" s="592" t="s">
        <v>4068</v>
      </c>
      <c r="AJC1" s="592" t="s">
        <v>4069</v>
      </c>
      <c r="AJD1" s="592" t="s">
        <v>4070</v>
      </c>
      <c r="AJE1" s="592" t="s">
        <v>4071</v>
      </c>
      <c r="AJF1" s="592" t="s">
        <v>4072</v>
      </c>
      <c r="AJG1" s="592" t="s">
        <v>4073</v>
      </c>
      <c r="AJH1" s="592" t="s">
        <v>4074</v>
      </c>
      <c r="AJI1" s="592" t="s">
        <v>4075</v>
      </c>
      <c r="AJJ1" s="592" t="s">
        <v>4076</v>
      </c>
      <c r="AJK1" s="592" t="s">
        <v>4077</v>
      </c>
      <c r="AJL1" s="592" t="s">
        <v>4078</v>
      </c>
      <c r="AJM1" s="592" t="s">
        <v>4079</v>
      </c>
      <c r="AJN1" s="592" t="s">
        <v>4080</v>
      </c>
      <c r="AJO1" s="592" t="s">
        <v>4081</v>
      </c>
      <c r="AJP1" s="592" t="s">
        <v>4082</v>
      </c>
      <c r="AJQ1" s="592" t="s">
        <v>4083</v>
      </c>
      <c r="AJR1" s="592" t="s">
        <v>4084</v>
      </c>
      <c r="AJS1" s="592" t="s">
        <v>4085</v>
      </c>
      <c r="AJT1" s="592" t="s">
        <v>4086</v>
      </c>
      <c r="AJU1" s="592" t="s">
        <v>4087</v>
      </c>
      <c r="AJV1" s="592" t="s">
        <v>4088</v>
      </c>
      <c r="AJW1" s="592" t="s">
        <v>4089</v>
      </c>
      <c r="AJX1" s="592" t="s">
        <v>4090</v>
      </c>
      <c r="AJY1" s="592" t="s">
        <v>4091</v>
      </c>
      <c r="AJZ1" s="592" t="s">
        <v>4092</v>
      </c>
      <c r="AKA1" s="592" t="s">
        <v>4093</v>
      </c>
      <c r="AKB1" s="592" t="s">
        <v>4094</v>
      </c>
      <c r="AKC1" s="592" t="s">
        <v>4095</v>
      </c>
      <c r="AKD1" s="592" t="s">
        <v>4096</v>
      </c>
      <c r="AKE1" s="592" t="s">
        <v>4097</v>
      </c>
      <c r="AKF1" s="592" t="s">
        <v>4098</v>
      </c>
      <c r="AKG1" s="592" t="s">
        <v>4099</v>
      </c>
      <c r="AKH1" s="592" t="s">
        <v>4100</v>
      </c>
      <c r="AKI1" s="592" t="s">
        <v>4101</v>
      </c>
      <c r="AKJ1" s="592" t="s">
        <v>4102</v>
      </c>
      <c r="AKK1" s="592" t="s">
        <v>4103</v>
      </c>
      <c r="AKL1" s="592" t="s">
        <v>4104</v>
      </c>
      <c r="AKM1" s="592" t="s">
        <v>4105</v>
      </c>
      <c r="AKN1" s="592" t="s">
        <v>4106</v>
      </c>
      <c r="AKO1" s="592" t="s">
        <v>4107</v>
      </c>
      <c r="AKP1" s="592" t="s">
        <v>4108</v>
      </c>
      <c r="AKQ1" s="592" t="s">
        <v>4109</v>
      </c>
      <c r="AKR1" s="592" t="s">
        <v>4110</v>
      </c>
      <c r="AKS1" s="592" t="s">
        <v>4111</v>
      </c>
      <c r="AKT1" s="592" t="s">
        <v>4112</v>
      </c>
      <c r="AKU1" s="592" t="s">
        <v>4113</v>
      </c>
      <c r="AKV1" s="592" t="s">
        <v>4114</v>
      </c>
      <c r="AKW1" s="592" t="s">
        <v>4115</v>
      </c>
      <c r="AKX1" s="592" t="s">
        <v>4116</v>
      </c>
      <c r="AKY1" s="592" t="s">
        <v>4117</v>
      </c>
      <c r="AKZ1" s="592" t="s">
        <v>4118</v>
      </c>
      <c r="ALA1" s="592" t="s">
        <v>4119</v>
      </c>
      <c r="ALB1" s="592" t="s">
        <v>4120</v>
      </c>
      <c r="ALC1" s="592" t="s">
        <v>4121</v>
      </c>
      <c r="ALD1" s="592" t="s">
        <v>4122</v>
      </c>
      <c r="ALE1" s="592" t="s">
        <v>4123</v>
      </c>
      <c r="ALF1" s="592" t="s">
        <v>4124</v>
      </c>
      <c r="ALG1" s="592" t="s">
        <v>4125</v>
      </c>
      <c r="ALH1" s="592" t="s">
        <v>4126</v>
      </c>
      <c r="ALI1" s="592" t="s">
        <v>4127</v>
      </c>
      <c r="ALJ1" s="592" t="s">
        <v>4128</v>
      </c>
      <c r="ALK1" s="592" t="s">
        <v>4129</v>
      </c>
      <c r="ALL1" s="592" t="s">
        <v>4130</v>
      </c>
      <c r="ALM1" s="592" t="s">
        <v>4131</v>
      </c>
      <c r="ALN1" s="592" t="s">
        <v>4132</v>
      </c>
      <c r="ALO1" s="592" t="s">
        <v>4133</v>
      </c>
      <c r="ALP1" s="592" t="s">
        <v>4134</v>
      </c>
      <c r="ALQ1" s="592" t="s">
        <v>4135</v>
      </c>
      <c r="ALR1" s="592" t="s">
        <v>4136</v>
      </c>
      <c r="ALS1" s="592" t="s">
        <v>4137</v>
      </c>
      <c r="ALT1" s="592" t="s">
        <v>4138</v>
      </c>
      <c r="ALU1" s="592" t="s">
        <v>4139</v>
      </c>
      <c r="ALV1" s="592" t="s">
        <v>4140</v>
      </c>
      <c r="ALW1" s="592" t="s">
        <v>4141</v>
      </c>
      <c r="ALX1" s="592" t="s">
        <v>4142</v>
      </c>
      <c r="ALY1" s="592" t="s">
        <v>4143</v>
      </c>
      <c r="ALZ1" s="592" t="s">
        <v>4144</v>
      </c>
      <c r="AMA1" s="592" t="s">
        <v>4145</v>
      </c>
      <c r="AMB1" s="592" t="s">
        <v>4146</v>
      </c>
      <c r="AMC1" s="592" t="s">
        <v>4147</v>
      </c>
      <c r="AMD1" s="592" t="s">
        <v>4148</v>
      </c>
      <c r="AME1" s="592" t="s">
        <v>4149</v>
      </c>
      <c r="AMF1" s="592" t="s">
        <v>4150</v>
      </c>
      <c r="AMG1" s="592" t="s">
        <v>4151</v>
      </c>
      <c r="AMH1" s="592" t="s">
        <v>4152</v>
      </c>
      <c r="AMI1" s="592" t="s">
        <v>4153</v>
      </c>
      <c r="AMJ1" s="592" t="s">
        <v>4154</v>
      </c>
      <c r="AMK1" s="592" t="s">
        <v>4155</v>
      </c>
      <c r="AML1" s="592" t="s">
        <v>4156</v>
      </c>
      <c r="AMM1" s="592" t="s">
        <v>4157</v>
      </c>
      <c r="AMN1" s="592" t="s">
        <v>4158</v>
      </c>
      <c r="AMO1" s="592" t="s">
        <v>4159</v>
      </c>
      <c r="AMP1" s="592" t="s">
        <v>4160</v>
      </c>
      <c r="AMQ1" s="592" t="s">
        <v>4161</v>
      </c>
      <c r="AMR1" s="592" t="s">
        <v>4162</v>
      </c>
      <c r="AMS1" s="592" t="s">
        <v>4163</v>
      </c>
      <c r="AMT1" s="592" t="s">
        <v>4164</v>
      </c>
      <c r="AMU1" s="592" t="s">
        <v>4165</v>
      </c>
      <c r="AMV1" s="592" t="s">
        <v>4166</v>
      </c>
      <c r="AMW1" s="592" t="s">
        <v>4167</v>
      </c>
      <c r="AMX1" s="592" t="s">
        <v>4168</v>
      </c>
      <c r="AMY1" s="592" t="s">
        <v>4169</v>
      </c>
      <c r="AMZ1" s="592" t="s">
        <v>4170</v>
      </c>
      <c r="ANA1" s="592" t="s">
        <v>4171</v>
      </c>
      <c r="ANB1" s="592" t="s">
        <v>4172</v>
      </c>
      <c r="ANC1" s="592" t="s">
        <v>4173</v>
      </c>
      <c r="AND1" s="592" t="s">
        <v>4174</v>
      </c>
      <c r="ANE1" s="592" t="s">
        <v>4175</v>
      </c>
      <c r="ANF1" s="592" t="s">
        <v>4176</v>
      </c>
      <c r="ANG1" s="592" t="s">
        <v>4177</v>
      </c>
      <c r="ANH1" s="592" t="s">
        <v>4178</v>
      </c>
      <c r="ANI1" s="592" t="s">
        <v>4179</v>
      </c>
      <c r="ANJ1" s="592" t="s">
        <v>4180</v>
      </c>
      <c r="ANK1" s="592" t="s">
        <v>4181</v>
      </c>
      <c r="ANL1" s="592" t="s">
        <v>4182</v>
      </c>
      <c r="ANM1" s="592" t="s">
        <v>4183</v>
      </c>
      <c r="ANN1" s="592" t="s">
        <v>4184</v>
      </c>
      <c r="ANO1" s="592" t="s">
        <v>4185</v>
      </c>
      <c r="ANP1" s="592" t="s">
        <v>4186</v>
      </c>
      <c r="ANQ1" s="592" t="s">
        <v>4187</v>
      </c>
      <c r="ANR1" s="592" t="s">
        <v>4188</v>
      </c>
      <c r="ANS1" s="592" t="s">
        <v>4189</v>
      </c>
      <c r="ANT1" s="592" t="s">
        <v>4190</v>
      </c>
      <c r="ANU1" s="592" t="s">
        <v>4191</v>
      </c>
      <c r="ANV1" s="592" t="s">
        <v>4192</v>
      </c>
      <c r="ANW1" s="592" t="s">
        <v>4193</v>
      </c>
      <c r="ANX1" s="592" t="s">
        <v>4194</v>
      </c>
      <c r="ANY1" s="592" t="s">
        <v>4195</v>
      </c>
      <c r="ANZ1" s="592" t="s">
        <v>4196</v>
      </c>
      <c r="AOA1" s="592" t="s">
        <v>4197</v>
      </c>
      <c r="AOB1" s="592" t="s">
        <v>4198</v>
      </c>
      <c r="AOC1" s="592" t="s">
        <v>4199</v>
      </c>
      <c r="AOD1" s="592" t="s">
        <v>4200</v>
      </c>
      <c r="AOE1" s="592" t="s">
        <v>4201</v>
      </c>
      <c r="AOF1" s="592" t="s">
        <v>4202</v>
      </c>
      <c r="AOG1" s="592" t="s">
        <v>4203</v>
      </c>
      <c r="AOH1" s="592" t="s">
        <v>4204</v>
      </c>
      <c r="AOI1" s="592" t="s">
        <v>4205</v>
      </c>
      <c r="AOJ1" s="592" t="s">
        <v>4206</v>
      </c>
      <c r="AOK1" s="592" t="s">
        <v>4207</v>
      </c>
      <c r="AOL1" s="592" t="s">
        <v>4208</v>
      </c>
      <c r="AOM1" s="592" t="s">
        <v>4209</v>
      </c>
      <c r="AON1" s="592" t="s">
        <v>4210</v>
      </c>
      <c r="AOO1" s="592" t="s">
        <v>4211</v>
      </c>
      <c r="AOP1" s="592" t="s">
        <v>4212</v>
      </c>
      <c r="AOQ1" s="592" t="s">
        <v>4213</v>
      </c>
      <c r="AOR1" s="592" t="s">
        <v>4214</v>
      </c>
      <c r="AOS1" s="592" t="s">
        <v>4215</v>
      </c>
      <c r="AOT1" s="592" t="s">
        <v>4216</v>
      </c>
      <c r="AOU1" s="592" t="s">
        <v>4217</v>
      </c>
      <c r="AOV1" s="592" t="s">
        <v>4218</v>
      </c>
      <c r="AOW1" s="592" t="s">
        <v>4219</v>
      </c>
      <c r="AOX1" s="592" t="s">
        <v>4220</v>
      </c>
      <c r="AOY1" s="592" t="s">
        <v>4221</v>
      </c>
      <c r="AOZ1" s="592" t="s">
        <v>4222</v>
      </c>
      <c r="APA1" s="592" t="s">
        <v>4223</v>
      </c>
      <c r="APB1" s="592" t="s">
        <v>4224</v>
      </c>
      <c r="APC1" s="592" t="s">
        <v>4225</v>
      </c>
      <c r="APD1" s="592" t="s">
        <v>4226</v>
      </c>
      <c r="APE1" s="592" t="s">
        <v>4227</v>
      </c>
      <c r="APF1" s="592" t="s">
        <v>4228</v>
      </c>
      <c r="APG1" s="592" t="s">
        <v>4229</v>
      </c>
      <c r="APH1" s="592" t="s">
        <v>4230</v>
      </c>
      <c r="API1" s="592" t="s">
        <v>4231</v>
      </c>
      <c r="APJ1" s="592" t="s">
        <v>4232</v>
      </c>
      <c r="APK1" s="592" t="s">
        <v>4233</v>
      </c>
      <c r="APL1" s="592" t="s">
        <v>4234</v>
      </c>
      <c r="APM1" s="592" t="s">
        <v>4235</v>
      </c>
      <c r="APN1" s="592" t="s">
        <v>4236</v>
      </c>
      <c r="APO1" s="592" t="s">
        <v>4237</v>
      </c>
      <c r="APP1" s="592" t="s">
        <v>4238</v>
      </c>
      <c r="APQ1" s="592" t="s">
        <v>4239</v>
      </c>
      <c r="APR1" s="592" t="s">
        <v>4240</v>
      </c>
      <c r="APS1" s="592" t="s">
        <v>4241</v>
      </c>
      <c r="APT1" s="592" t="s">
        <v>4242</v>
      </c>
      <c r="APU1" s="592" t="s">
        <v>4243</v>
      </c>
      <c r="APV1" s="592" t="s">
        <v>4244</v>
      </c>
      <c r="APW1" s="592" t="s">
        <v>4245</v>
      </c>
      <c r="APX1" s="592" t="s">
        <v>4246</v>
      </c>
      <c r="APY1" s="592" t="s">
        <v>4247</v>
      </c>
      <c r="APZ1" s="592" t="s">
        <v>4248</v>
      </c>
      <c r="AQA1" s="592" t="s">
        <v>4249</v>
      </c>
      <c r="AQB1" s="592" t="s">
        <v>4250</v>
      </c>
      <c r="AQC1" s="592" t="s">
        <v>4251</v>
      </c>
      <c r="AQD1" s="592" t="s">
        <v>4252</v>
      </c>
      <c r="AQE1" s="592" t="s">
        <v>4253</v>
      </c>
      <c r="AQF1" s="592" t="s">
        <v>4254</v>
      </c>
      <c r="AQG1" s="592" t="s">
        <v>4255</v>
      </c>
      <c r="AQH1" s="592" t="s">
        <v>4256</v>
      </c>
      <c r="AQI1" s="592" t="s">
        <v>4257</v>
      </c>
      <c r="AQJ1" s="592" t="s">
        <v>4258</v>
      </c>
      <c r="AQK1" s="592" t="s">
        <v>4259</v>
      </c>
      <c r="AQL1" s="592" t="s">
        <v>4260</v>
      </c>
      <c r="AQM1" s="592" t="s">
        <v>4261</v>
      </c>
      <c r="AQN1" s="592" t="s">
        <v>4262</v>
      </c>
      <c r="AQO1" s="592" t="s">
        <v>4263</v>
      </c>
      <c r="AQP1" s="592" t="s">
        <v>4264</v>
      </c>
      <c r="AQQ1" s="592" t="s">
        <v>4265</v>
      </c>
      <c r="AQR1" s="592" t="s">
        <v>4266</v>
      </c>
      <c r="AQS1" s="592" t="s">
        <v>4267</v>
      </c>
      <c r="AQT1" s="592" t="s">
        <v>4268</v>
      </c>
      <c r="AQU1" s="592" t="s">
        <v>4269</v>
      </c>
      <c r="AQV1" s="592" t="s">
        <v>4270</v>
      </c>
      <c r="AQW1" s="592" t="s">
        <v>4271</v>
      </c>
      <c r="AQX1" s="592" t="s">
        <v>4272</v>
      </c>
      <c r="AQY1" s="592" t="s">
        <v>4273</v>
      </c>
      <c r="AQZ1" s="592" t="s">
        <v>4274</v>
      </c>
      <c r="ARA1" s="592" t="s">
        <v>4275</v>
      </c>
      <c r="ARB1" s="592" t="s">
        <v>4276</v>
      </c>
      <c r="ARC1" s="592" t="s">
        <v>4277</v>
      </c>
      <c r="ARD1" s="592" t="s">
        <v>4278</v>
      </c>
      <c r="ARE1" s="592" t="s">
        <v>4279</v>
      </c>
      <c r="ARF1" s="592" t="s">
        <v>4280</v>
      </c>
      <c r="ARG1" s="592" t="s">
        <v>4281</v>
      </c>
      <c r="ARH1" s="592" t="s">
        <v>4282</v>
      </c>
      <c r="ARI1" s="592" t="s">
        <v>4283</v>
      </c>
      <c r="ARJ1" s="592" t="s">
        <v>4284</v>
      </c>
      <c r="ARK1" s="592" t="s">
        <v>4285</v>
      </c>
      <c r="ARL1" s="592" t="s">
        <v>4286</v>
      </c>
      <c r="ARM1" s="592" t="s">
        <v>4287</v>
      </c>
      <c r="ARN1" s="592" t="s">
        <v>4288</v>
      </c>
      <c r="ARO1" s="592" t="s">
        <v>4289</v>
      </c>
      <c r="ARP1" s="592" t="s">
        <v>4290</v>
      </c>
      <c r="ARQ1" s="592" t="s">
        <v>4291</v>
      </c>
      <c r="ARR1" s="592" t="s">
        <v>4292</v>
      </c>
      <c r="ARS1" s="592" t="s">
        <v>4293</v>
      </c>
      <c r="ART1" s="592" t="s">
        <v>4294</v>
      </c>
      <c r="ARU1" s="592" t="s">
        <v>4295</v>
      </c>
      <c r="ARV1" s="592" t="s">
        <v>4296</v>
      </c>
      <c r="ARW1" s="592" t="s">
        <v>4297</v>
      </c>
      <c r="ARX1" s="592" t="s">
        <v>4298</v>
      </c>
      <c r="ARY1" s="592" t="s">
        <v>4299</v>
      </c>
      <c r="ARZ1" s="592" t="s">
        <v>4300</v>
      </c>
      <c r="ASA1" s="592" t="s">
        <v>4301</v>
      </c>
      <c r="ASB1" s="592" t="s">
        <v>4302</v>
      </c>
      <c r="ASC1" s="592" t="s">
        <v>4303</v>
      </c>
      <c r="ASD1" s="592" t="s">
        <v>4304</v>
      </c>
      <c r="ASE1" s="592" t="s">
        <v>4305</v>
      </c>
      <c r="ASF1" s="592" t="s">
        <v>4306</v>
      </c>
      <c r="ASG1" s="592" t="s">
        <v>4307</v>
      </c>
      <c r="ASH1" s="592" t="s">
        <v>4308</v>
      </c>
      <c r="ASI1" s="592" t="s">
        <v>4309</v>
      </c>
      <c r="ASJ1" s="592" t="s">
        <v>4310</v>
      </c>
      <c r="ASK1" s="592" t="s">
        <v>4311</v>
      </c>
      <c r="ASL1" s="592" t="s">
        <v>4312</v>
      </c>
      <c r="ASM1" s="592" t="s">
        <v>4313</v>
      </c>
      <c r="ASN1" s="592" t="s">
        <v>4314</v>
      </c>
      <c r="ASO1" s="592" t="s">
        <v>4315</v>
      </c>
      <c r="ASP1" s="592" t="s">
        <v>4316</v>
      </c>
      <c r="ASQ1" s="592" t="s">
        <v>4317</v>
      </c>
      <c r="ASR1" s="592" t="s">
        <v>4318</v>
      </c>
      <c r="ASS1" s="592" t="s">
        <v>4319</v>
      </c>
      <c r="AST1" s="592" t="s">
        <v>4320</v>
      </c>
      <c r="ASU1" s="592" t="s">
        <v>4321</v>
      </c>
      <c r="ASV1" s="592" t="s">
        <v>4322</v>
      </c>
      <c r="ASW1" s="592" t="s">
        <v>4323</v>
      </c>
      <c r="ASX1" s="592" t="s">
        <v>4324</v>
      </c>
      <c r="ASY1" s="592" t="s">
        <v>4325</v>
      </c>
      <c r="ASZ1" s="592" t="s">
        <v>4326</v>
      </c>
      <c r="ATA1" s="592" t="s">
        <v>4327</v>
      </c>
      <c r="ATB1" s="592" t="s">
        <v>4328</v>
      </c>
      <c r="ATC1" s="592" t="s">
        <v>4329</v>
      </c>
      <c r="ATD1" s="592" t="s">
        <v>4330</v>
      </c>
      <c r="ATE1" s="592" t="s">
        <v>4331</v>
      </c>
      <c r="ATF1" s="592" t="s">
        <v>4332</v>
      </c>
      <c r="ATG1" s="592" t="s">
        <v>4333</v>
      </c>
      <c r="ATH1" s="592" t="s">
        <v>4334</v>
      </c>
      <c r="ATI1" s="592" t="s">
        <v>4335</v>
      </c>
      <c r="ATJ1" s="592" t="s">
        <v>4336</v>
      </c>
      <c r="ATK1" s="592" t="s">
        <v>4337</v>
      </c>
      <c r="ATL1" s="592" t="s">
        <v>4338</v>
      </c>
      <c r="ATM1" s="592" t="s">
        <v>4339</v>
      </c>
      <c r="ATN1" s="592" t="s">
        <v>4340</v>
      </c>
      <c r="ATO1" s="592" t="s">
        <v>4341</v>
      </c>
      <c r="ATP1" s="592" t="s">
        <v>4342</v>
      </c>
      <c r="ATQ1" s="592" t="s">
        <v>4343</v>
      </c>
      <c r="ATR1" s="592" t="s">
        <v>4344</v>
      </c>
      <c r="ATS1" s="592" t="s">
        <v>4345</v>
      </c>
      <c r="ATT1" s="592" t="s">
        <v>4346</v>
      </c>
      <c r="ATU1" s="592" t="s">
        <v>5618</v>
      </c>
      <c r="ATV1" s="592" t="s">
        <v>4347</v>
      </c>
      <c r="ATW1" s="592" t="s">
        <v>4348</v>
      </c>
      <c r="ATX1" s="592" t="s">
        <v>4349</v>
      </c>
      <c r="ATY1" s="592" t="s">
        <v>4350</v>
      </c>
      <c r="ATZ1" s="592" t="s">
        <v>4351</v>
      </c>
      <c r="AUA1" s="592" t="s">
        <v>4352</v>
      </c>
      <c r="AUB1" s="592" t="s">
        <v>4353</v>
      </c>
      <c r="AUC1" s="592" t="s">
        <v>4354</v>
      </c>
      <c r="AUD1" s="592" t="s">
        <v>4355</v>
      </c>
      <c r="AUE1" s="592" t="s">
        <v>4356</v>
      </c>
      <c r="AUF1" s="592" t="s">
        <v>4357</v>
      </c>
      <c r="AUG1" s="592" t="s">
        <v>4358</v>
      </c>
      <c r="AUH1" s="592" t="s">
        <v>4359</v>
      </c>
      <c r="AUI1" s="592" t="s">
        <v>4360</v>
      </c>
      <c r="AUJ1" s="592" t="s">
        <v>4361</v>
      </c>
      <c r="AUK1" s="592" t="s">
        <v>4362</v>
      </c>
      <c r="AUL1" s="592" t="s">
        <v>4363</v>
      </c>
      <c r="AUM1" s="592" t="s">
        <v>4364</v>
      </c>
      <c r="AUN1" s="592" t="s">
        <v>4365</v>
      </c>
      <c r="AUO1" s="592" t="s">
        <v>4366</v>
      </c>
      <c r="AUP1" s="592" t="s">
        <v>4367</v>
      </c>
      <c r="AUQ1" s="592" t="s">
        <v>4368</v>
      </c>
      <c r="AUR1" s="592" t="s">
        <v>4369</v>
      </c>
      <c r="AUS1" s="592" t="s">
        <v>4370</v>
      </c>
      <c r="AUT1" s="592" t="s">
        <v>4371</v>
      </c>
      <c r="AUU1" s="592" t="s">
        <v>4372</v>
      </c>
      <c r="AUV1" s="592" t="s">
        <v>4373</v>
      </c>
      <c r="AUW1" s="592" t="s">
        <v>4374</v>
      </c>
      <c r="AUX1" s="592" t="s">
        <v>4375</v>
      </c>
      <c r="AUY1" s="592" t="s">
        <v>4376</v>
      </c>
      <c r="AUZ1" s="592" t="s">
        <v>4377</v>
      </c>
      <c r="AVA1" s="592" t="s">
        <v>4378</v>
      </c>
      <c r="AVB1" s="592" t="s">
        <v>4379</v>
      </c>
      <c r="AVC1" s="592" t="s">
        <v>4380</v>
      </c>
      <c r="AVD1" s="592" t="s">
        <v>4381</v>
      </c>
      <c r="AVE1" s="592" t="s">
        <v>4382</v>
      </c>
      <c r="AVF1" s="592" t="s">
        <v>4383</v>
      </c>
      <c r="AVG1" s="592" t="s">
        <v>4384</v>
      </c>
      <c r="AVH1" s="592" t="s">
        <v>4385</v>
      </c>
      <c r="AVI1" s="592" t="s">
        <v>4386</v>
      </c>
      <c r="AVJ1" s="592" t="s">
        <v>4387</v>
      </c>
      <c r="AVK1" s="592" t="s">
        <v>4388</v>
      </c>
      <c r="AVL1" s="592" t="s">
        <v>4389</v>
      </c>
      <c r="AVM1" s="592" t="s">
        <v>4390</v>
      </c>
      <c r="AVN1" s="592" t="s">
        <v>4391</v>
      </c>
      <c r="AVO1" s="592" t="s">
        <v>4392</v>
      </c>
      <c r="AVP1" s="592" t="s">
        <v>4393</v>
      </c>
      <c r="AVQ1" s="592" t="s">
        <v>4394</v>
      </c>
      <c r="AVR1" s="592" t="s">
        <v>4395</v>
      </c>
      <c r="AVS1" s="592" t="s">
        <v>4396</v>
      </c>
      <c r="AVT1" s="592" t="s">
        <v>4397</v>
      </c>
      <c r="AVU1" s="592" t="s">
        <v>4398</v>
      </c>
      <c r="AVV1" s="592" t="s">
        <v>4399</v>
      </c>
      <c r="AVW1" s="592" t="s">
        <v>4400</v>
      </c>
      <c r="AVX1" s="592" t="s">
        <v>4401</v>
      </c>
      <c r="AVY1" s="592" t="s">
        <v>4402</v>
      </c>
      <c r="AVZ1" s="592" t="s">
        <v>4403</v>
      </c>
      <c r="AWA1" s="592" t="s">
        <v>4404</v>
      </c>
      <c r="AWB1" s="592" t="s">
        <v>4405</v>
      </c>
      <c r="AWC1" s="592" t="s">
        <v>4406</v>
      </c>
      <c r="AWD1" s="592" t="s">
        <v>4407</v>
      </c>
      <c r="AWE1" s="592" t="s">
        <v>4408</v>
      </c>
      <c r="AWF1" s="592" t="s">
        <v>4409</v>
      </c>
      <c r="AWG1" s="592" t="s">
        <v>4410</v>
      </c>
      <c r="AWH1" s="592" t="s">
        <v>4411</v>
      </c>
      <c r="AWI1" s="592" t="s">
        <v>4412</v>
      </c>
      <c r="AWJ1" s="592" t="s">
        <v>4413</v>
      </c>
      <c r="AWK1" s="592" t="s">
        <v>4414</v>
      </c>
      <c r="AWL1" s="592" t="s">
        <v>4415</v>
      </c>
      <c r="AWM1" s="592" t="s">
        <v>4416</v>
      </c>
      <c r="AWN1" s="592" t="s">
        <v>4417</v>
      </c>
      <c r="AWO1" s="592" t="s">
        <v>4418</v>
      </c>
      <c r="AWP1" s="592" t="s">
        <v>4419</v>
      </c>
      <c r="AWQ1" s="592" t="s">
        <v>4420</v>
      </c>
      <c r="AWR1" s="592" t="s">
        <v>4421</v>
      </c>
      <c r="AWS1" s="592" t="s">
        <v>4422</v>
      </c>
      <c r="AWT1" s="592" t="s">
        <v>4423</v>
      </c>
      <c r="AWU1" s="592" t="s">
        <v>4424</v>
      </c>
      <c r="AWV1" s="592" t="s">
        <v>4425</v>
      </c>
      <c r="AWW1" s="592" t="s">
        <v>4426</v>
      </c>
      <c r="AWX1" s="592" t="s">
        <v>4427</v>
      </c>
      <c r="AWY1" s="592" t="s">
        <v>4428</v>
      </c>
      <c r="AWZ1" s="592" t="s">
        <v>4429</v>
      </c>
      <c r="AXA1" s="592" t="s">
        <v>4430</v>
      </c>
      <c r="AXB1" s="592" t="s">
        <v>4431</v>
      </c>
      <c r="AXC1" s="592" t="s">
        <v>4432</v>
      </c>
      <c r="AXD1" s="592" t="s">
        <v>4433</v>
      </c>
      <c r="AXE1" s="592" t="s">
        <v>4434</v>
      </c>
      <c r="AXF1" s="592" t="s">
        <v>4435</v>
      </c>
      <c r="AXG1" s="592" t="s">
        <v>4436</v>
      </c>
      <c r="AXH1" s="592" t="s">
        <v>4437</v>
      </c>
      <c r="AXI1" s="592" t="s">
        <v>4438</v>
      </c>
      <c r="AXJ1" s="592" t="s">
        <v>4439</v>
      </c>
      <c r="AXK1" s="592" t="s">
        <v>4440</v>
      </c>
      <c r="AXL1" s="592" t="s">
        <v>4441</v>
      </c>
      <c r="AXM1" s="592" t="s">
        <v>4442</v>
      </c>
      <c r="AXN1" s="592" t="s">
        <v>4443</v>
      </c>
      <c r="AXO1" s="592" t="s">
        <v>4444</v>
      </c>
      <c r="AXP1" s="592" t="s">
        <v>4445</v>
      </c>
      <c r="AXQ1" s="592" t="s">
        <v>4446</v>
      </c>
      <c r="AXR1" s="592" t="s">
        <v>4447</v>
      </c>
      <c r="AXS1" s="592" t="s">
        <v>4448</v>
      </c>
      <c r="AXT1" s="592" t="s">
        <v>4449</v>
      </c>
      <c r="AXU1" s="592" t="s">
        <v>4450</v>
      </c>
      <c r="AXV1" s="592" t="s">
        <v>4451</v>
      </c>
      <c r="AXW1" s="592" t="s">
        <v>4452</v>
      </c>
      <c r="AXX1" s="592" t="s">
        <v>4453</v>
      </c>
      <c r="AXY1" s="592" t="s">
        <v>4454</v>
      </c>
      <c r="AXZ1" s="592" t="s">
        <v>4455</v>
      </c>
      <c r="AYA1" s="592" t="s">
        <v>4456</v>
      </c>
      <c r="AYB1" s="592" t="s">
        <v>4457</v>
      </c>
      <c r="AYC1" s="592" t="s">
        <v>4458</v>
      </c>
      <c r="AYD1" s="592" t="s">
        <v>4459</v>
      </c>
      <c r="AYE1" s="592" t="s">
        <v>4460</v>
      </c>
      <c r="AYF1" s="592" t="s">
        <v>4461</v>
      </c>
      <c r="AYG1" s="592" t="s">
        <v>4462</v>
      </c>
      <c r="AYH1" s="592" t="s">
        <v>4463</v>
      </c>
      <c r="AYI1" s="592" t="s">
        <v>4464</v>
      </c>
      <c r="AYJ1" s="592" t="s">
        <v>4465</v>
      </c>
      <c r="AYK1" s="592" t="s">
        <v>4466</v>
      </c>
      <c r="AYL1" s="592" t="s">
        <v>4467</v>
      </c>
      <c r="AYM1" s="592" t="s">
        <v>4468</v>
      </c>
      <c r="AYN1" s="592" t="s">
        <v>4469</v>
      </c>
      <c r="AYO1" s="592" t="s">
        <v>4470</v>
      </c>
      <c r="AYP1" s="592" t="s">
        <v>4471</v>
      </c>
      <c r="AYQ1" s="592" t="s">
        <v>4472</v>
      </c>
      <c r="AYR1" s="592" t="s">
        <v>4473</v>
      </c>
      <c r="AYS1" s="592" t="s">
        <v>4474</v>
      </c>
      <c r="AYT1" s="592" t="s">
        <v>4475</v>
      </c>
      <c r="AYU1" s="592" t="s">
        <v>4476</v>
      </c>
      <c r="AYV1" s="592" t="s">
        <v>4477</v>
      </c>
      <c r="AYW1" s="592" t="s">
        <v>4478</v>
      </c>
      <c r="AYX1" s="592" t="s">
        <v>4479</v>
      </c>
      <c r="AYY1" s="592" t="s">
        <v>4480</v>
      </c>
      <c r="AYZ1" s="592" t="s">
        <v>4481</v>
      </c>
      <c r="AZA1" s="592" t="s">
        <v>4482</v>
      </c>
      <c r="AZB1" s="592" t="s">
        <v>4483</v>
      </c>
      <c r="AZC1" s="592" t="s">
        <v>4484</v>
      </c>
      <c r="AZD1" s="592" t="s">
        <v>4485</v>
      </c>
      <c r="AZE1" s="592" t="s">
        <v>4486</v>
      </c>
      <c r="AZF1" s="592" t="s">
        <v>4487</v>
      </c>
      <c r="AZG1" s="592" t="s">
        <v>4488</v>
      </c>
      <c r="AZH1" s="592" t="s">
        <v>4489</v>
      </c>
      <c r="AZI1" s="592" t="s">
        <v>4490</v>
      </c>
      <c r="AZJ1" s="592" t="s">
        <v>4491</v>
      </c>
      <c r="AZK1" s="592" t="s">
        <v>4492</v>
      </c>
      <c r="AZL1" s="592" t="s">
        <v>4493</v>
      </c>
      <c r="AZM1" s="592" t="s">
        <v>4494</v>
      </c>
      <c r="AZN1" s="592" t="s">
        <v>4495</v>
      </c>
      <c r="AZO1" s="592" t="s">
        <v>4496</v>
      </c>
      <c r="AZP1" s="592" t="s">
        <v>4497</v>
      </c>
      <c r="AZQ1" s="592" t="s">
        <v>4498</v>
      </c>
      <c r="AZR1" s="592" t="s">
        <v>4499</v>
      </c>
      <c r="AZS1" s="592" t="s">
        <v>4500</v>
      </c>
      <c r="AZT1" s="592" t="s">
        <v>4501</v>
      </c>
      <c r="AZU1" s="592" t="s">
        <v>4502</v>
      </c>
      <c r="AZV1" s="592" t="s">
        <v>4503</v>
      </c>
      <c r="AZW1" s="592" t="s">
        <v>4504</v>
      </c>
      <c r="AZX1" s="592" t="s">
        <v>4505</v>
      </c>
      <c r="AZY1" s="592" t="s">
        <v>4506</v>
      </c>
      <c r="AZZ1" s="592" t="s">
        <v>4507</v>
      </c>
      <c r="BAA1" s="592" t="s">
        <v>4508</v>
      </c>
      <c r="BAB1" s="592" t="s">
        <v>4509</v>
      </c>
      <c r="BAC1" s="592" t="s">
        <v>4510</v>
      </c>
      <c r="BAD1" s="592" t="s">
        <v>4511</v>
      </c>
      <c r="BAE1" s="592" t="s">
        <v>4512</v>
      </c>
      <c r="BAF1" s="592" t="s">
        <v>4513</v>
      </c>
      <c r="BAG1" s="592" t="s">
        <v>4514</v>
      </c>
      <c r="BAH1" s="592" t="s">
        <v>4515</v>
      </c>
      <c r="BAI1" s="592" t="s">
        <v>4516</v>
      </c>
      <c r="BAJ1" s="592" t="s">
        <v>4517</v>
      </c>
      <c r="BAK1" s="592" t="s">
        <v>4518</v>
      </c>
      <c r="BAL1" s="592" t="s">
        <v>4519</v>
      </c>
      <c r="BAM1" s="592" t="s">
        <v>4520</v>
      </c>
      <c r="BAN1" s="592" t="s">
        <v>4521</v>
      </c>
      <c r="BAO1" s="592" t="s">
        <v>4522</v>
      </c>
      <c r="BAP1" s="592" t="s">
        <v>4523</v>
      </c>
      <c r="BAQ1" s="592" t="s">
        <v>4524</v>
      </c>
      <c r="BAR1" s="592" t="s">
        <v>4525</v>
      </c>
      <c r="BAS1" s="592" t="s">
        <v>4526</v>
      </c>
      <c r="BAT1" s="592" t="s">
        <v>4527</v>
      </c>
      <c r="BAU1" s="592" t="s">
        <v>4528</v>
      </c>
      <c r="BAV1" s="592" t="s">
        <v>4529</v>
      </c>
      <c r="BAW1" s="592" t="s">
        <v>4530</v>
      </c>
      <c r="BAX1" s="592" t="s">
        <v>4531</v>
      </c>
      <c r="BAY1" s="592" t="s">
        <v>4532</v>
      </c>
      <c r="BAZ1" s="592" t="s">
        <v>4533</v>
      </c>
      <c r="BBA1" s="592" t="s">
        <v>4534</v>
      </c>
      <c r="BBB1" s="592" t="s">
        <v>4535</v>
      </c>
      <c r="BBC1" s="592" t="s">
        <v>4536</v>
      </c>
      <c r="BBD1" s="592" t="s">
        <v>4537</v>
      </c>
      <c r="BBE1" s="592" t="s">
        <v>4538</v>
      </c>
      <c r="BBF1" s="592" t="s">
        <v>4539</v>
      </c>
      <c r="BBG1" s="592" t="s">
        <v>4540</v>
      </c>
      <c r="BBH1" s="592" t="s">
        <v>4541</v>
      </c>
      <c r="BBI1" s="592" t="s">
        <v>4542</v>
      </c>
      <c r="BBJ1" s="592" t="s">
        <v>4543</v>
      </c>
      <c r="BBK1" s="592" t="s">
        <v>4544</v>
      </c>
      <c r="BBL1" s="592" t="s">
        <v>4545</v>
      </c>
      <c r="BBM1" s="592" t="s">
        <v>4546</v>
      </c>
      <c r="BBN1" s="592" t="s">
        <v>4547</v>
      </c>
      <c r="BBO1" s="592" t="s">
        <v>4548</v>
      </c>
      <c r="BBP1" s="592" t="s">
        <v>4549</v>
      </c>
      <c r="BBQ1" s="592" t="s">
        <v>4550</v>
      </c>
      <c r="BBR1" s="592" t="s">
        <v>1413</v>
      </c>
      <c r="BBS1" s="592" t="s">
        <v>1414</v>
      </c>
      <c r="BBT1" s="592" t="s">
        <v>4551</v>
      </c>
      <c r="BBU1" s="592" t="s">
        <v>1415</v>
      </c>
      <c r="BBV1" s="592" t="s">
        <v>1416</v>
      </c>
      <c r="BBW1" s="592" t="s">
        <v>1417</v>
      </c>
      <c r="BBX1" s="592" t="s">
        <v>2174</v>
      </c>
      <c r="BBY1" s="592" t="s">
        <v>1418</v>
      </c>
      <c r="BBZ1" s="592" t="s">
        <v>1419</v>
      </c>
      <c r="BCA1" s="592" t="s">
        <v>1420</v>
      </c>
      <c r="BCB1" s="592" t="s">
        <v>2175</v>
      </c>
      <c r="BCC1" s="592" t="s">
        <v>1421</v>
      </c>
      <c r="BCD1" s="592" t="s">
        <v>1422</v>
      </c>
      <c r="BCE1" s="592" t="s">
        <v>1423</v>
      </c>
      <c r="BCF1" s="592" t="s">
        <v>1424</v>
      </c>
      <c r="BCG1" s="592" t="s">
        <v>2176</v>
      </c>
      <c r="BCH1" s="592" t="s">
        <v>1425</v>
      </c>
      <c r="BCI1" s="592" t="s">
        <v>1426</v>
      </c>
      <c r="BCJ1" s="592" t="s">
        <v>1427</v>
      </c>
      <c r="BCK1" s="592" t="s">
        <v>1428</v>
      </c>
      <c r="BCL1" s="592" t="s">
        <v>1429</v>
      </c>
      <c r="BCM1" s="592" t="s">
        <v>1430</v>
      </c>
      <c r="BCN1" s="592" t="s">
        <v>1431</v>
      </c>
      <c r="BCO1" s="592" t="s">
        <v>1432</v>
      </c>
      <c r="BCP1" s="592" t="s">
        <v>1433</v>
      </c>
      <c r="BCQ1" s="592" t="s">
        <v>2248</v>
      </c>
      <c r="BCR1" s="592" t="s">
        <v>1434</v>
      </c>
      <c r="BCS1" s="592" t="s">
        <v>1435</v>
      </c>
      <c r="BCT1" s="592" t="s">
        <v>1436</v>
      </c>
      <c r="BCU1" s="592" t="s">
        <v>1437</v>
      </c>
      <c r="BCV1" s="592" t="s">
        <v>1438</v>
      </c>
      <c r="BCW1" s="592" t="s">
        <v>1439</v>
      </c>
      <c r="BCX1" s="592" t="s">
        <v>1440</v>
      </c>
      <c r="BCY1" s="592" t="s">
        <v>1441</v>
      </c>
      <c r="BCZ1" s="592" t="s">
        <v>1442</v>
      </c>
      <c r="BDA1" s="592" t="s">
        <v>2249</v>
      </c>
      <c r="BDB1" s="592" t="s">
        <v>1443</v>
      </c>
      <c r="BDC1" s="592" t="s">
        <v>1444</v>
      </c>
      <c r="BDD1" s="592" t="s">
        <v>1445</v>
      </c>
      <c r="BDE1" s="592" t="s">
        <v>1446</v>
      </c>
      <c r="BDF1" s="592" t="s">
        <v>1447</v>
      </c>
      <c r="BDG1" s="592" t="s">
        <v>1448</v>
      </c>
      <c r="BDH1" s="592" t="s">
        <v>1449</v>
      </c>
      <c r="BDI1" s="592" t="s">
        <v>1450</v>
      </c>
      <c r="BDJ1" s="592" t="s">
        <v>1451</v>
      </c>
      <c r="BDK1" s="592" t="s">
        <v>2250</v>
      </c>
      <c r="BDL1" s="592" t="s">
        <v>1452</v>
      </c>
      <c r="BDM1" s="592" t="s">
        <v>1453</v>
      </c>
      <c r="BDN1" s="592" t="s">
        <v>1454</v>
      </c>
      <c r="BDO1" s="592" t="s">
        <v>1455</v>
      </c>
      <c r="BDP1" s="592" t="s">
        <v>1456</v>
      </c>
      <c r="BDQ1" s="592" t="s">
        <v>2251</v>
      </c>
      <c r="BDR1" s="592" t="s">
        <v>2252</v>
      </c>
      <c r="BDS1" s="592" t="s">
        <v>2253</v>
      </c>
      <c r="BDT1" s="592" t="s">
        <v>2254</v>
      </c>
      <c r="BDU1" s="592" t="s">
        <v>2255</v>
      </c>
      <c r="BDV1" s="592" t="s">
        <v>2256</v>
      </c>
      <c r="BDW1" s="592" t="s">
        <v>2257</v>
      </c>
      <c r="BDX1" s="592" t="s">
        <v>2258</v>
      </c>
      <c r="BDY1" s="592" t="s">
        <v>2259</v>
      </c>
      <c r="BDZ1" s="592" t="s">
        <v>2260</v>
      </c>
      <c r="BEA1" s="592" t="s">
        <v>1457</v>
      </c>
      <c r="BEB1" s="592" t="s">
        <v>1458</v>
      </c>
      <c r="BEC1" s="592" t="s">
        <v>1459</v>
      </c>
      <c r="BED1" s="592" t="s">
        <v>4552</v>
      </c>
      <c r="BEE1" s="592" t="s">
        <v>1460</v>
      </c>
      <c r="BEF1" s="592" t="s">
        <v>1461</v>
      </c>
      <c r="BEG1" s="592" t="s">
        <v>1462</v>
      </c>
      <c r="BEH1" s="592" t="s">
        <v>2177</v>
      </c>
      <c r="BEI1" s="592" t="s">
        <v>1463</v>
      </c>
      <c r="BEJ1" s="592" t="s">
        <v>1464</v>
      </c>
      <c r="BEK1" s="592" t="s">
        <v>1465</v>
      </c>
      <c r="BEL1" s="592" t="s">
        <v>2178</v>
      </c>
      <c r="BEM1" s="592" t="s">
        <v>1466</v>
      </c>
      <c r="BEN1" s="592" t="s">
        <v>1467</v>
      </c>
      <c r="BEO1" s="592" t="s">
        <v>1468</v>
      </c>
      <c r="BEP1" s="592" t="s">
        <v>1469</v>
      </c>
      <c r="BEQ1" s="592" t="s">
        <v>2261</v>
      </c>
      <c r="BER1" s="592" t="s">
        <v>1470</v>
      </c>
      <c r="BES1" s="592" t="s">
        <v>1471</v>
      </c>
      <c r="BET1" s="592" t="s">
        <v>1472</v>
      </c>
      <c r="BEU1" s="592" t="s">
        <v>1473</v>
      </c>
      <c r="BEV1" s="592" t="s">
        <v>1474</v>
      </c>
      <c r="BEW1" s="592" t="s">
        <v>1475</v>
      </c>
      <c r="BEX1" s="592" t="s">
        <v>1476</v>
      </c>
      <c r="BEY1" s="592" t="s">
        <v>1477</v>
      </c>
      <c r="BEZ1" s="592" t="s">
        <v>1478</v>
      </c>
      <c r="BFA1" s="592" t="s">
        <v>2262</v>
      </c>
      <c r="BFB1" s="592" t="s">
        <v>1479</v>
      </c>
      <c r="BFC1" s="592" t="s">
        <v>1480</v>
      </c>
      <c r="BFD1" s="592" t="s">
        <v>1481</v>
      </c>
      <c r="BFE1" s="592" t="s">
        <v>1482</v>
      </c>
      <c r="BFF1" s="592" t="s">
        <v>1483</v>
      </c>
      <c r="BFG1" s="592" t="s">
        <v>1484</v>
      </c>
      <c r="BFH1" s="592" t="s">
        <v>1485</v>
      </c>
      <c r="BFI1" s="592" t="s">
        <v>1486</v>
      </c>
      <c r="BFJ1" s="592" t="s">
        <v>1487</v>
      </c>
      <c r="BFK1" s="592" t="s">
        <v>2263</v>
      </c>
      <c r="BFL1" s="592" t="s">
        <v>1488</v>
      </c>
      <c r="BFM1" s="592" t="s">
        <v>1489</v>
      </c>
      <c r="BFN1" s="592" t="s">
        <v>1490</v>
      </c>
      <c r="BFO1" s="592" t="s">
        <v>1491</v>
      </c>
      <c r="BFP1" s="592" t="s">
        <v>1492</v>
      </c>
      <c r="BFQ1" s="592" t="s">
        <v>1493</v>
      </c>
      <c r="BFR1" s="592" t="s">
        <v>1494</v>
      </c>
      <c r="BFS1" s="592" t="s">
        <v>1495</v>
      </c>
      <c r="BFT1" s="592" t="s">
        <v>1496</v>
      </c>
      <c r="BFU1" s="592" t="s">
        <v>2264</v>
      </c>
      <c r="BFV1" s="592" t="s">
        <v>1497</v>
      </c>
      <c r="BFW1" s="592" t="s">
        <v>1498</v>
      </c>
      <c r="BFX1" s="592" t="s">
        <v>1499</v>
      </c>
      <c r="BFY1" s="592" t="s">
        <v>1500</v>
      </c>
      <c r="BFZ1" s="592" t="s">
        <v>1501</v>
      </c>
      <c r="BGA1" s="592" t="s">
        <v>2265</v>
      </c>
      <c r="BGB1" s="592" t="s">
        <v>2266</v>
      </c>
      <c r="BGC1" s="592" t="s">
        <v>2267</v>
      </c>
      <c r="BGD1" s="592" t="s">
        <v>2268</v>
      </c>
      <c r="BGE1" s="592" t="s">
        <v>2269</v>
      </c>
      <c r="BGF1" s="592" t="s">
        <v>2270</v>
      </c>
      <c r="BGG1" s="592" t="s">
        <v>2271</v>
      </c>
      <c r="BGH1" s="592" t="s">
        <v>2272</v>
      </c>
      <c r="BGI1" s="592" t="s">
        <v>2273</v>
      </c>
      <c r="BGJ1" s="592" t="s">
        <v>2274</v>
      </c>
      <c r="BGK1" s="592" t="s">
        <v>1503</v>
      </c>
      <c r="BGL1" s="592" t="s">
        <v>1504</v>
      </c>
      <c r="BGM1" s="592" t="s">
        <v>1505</v>
      </c>
      <c r="BGN1" s="592" t="s">
        <v>4553</v>
      </c>
      <c r="BGO1" s="592" t="s">
        <v>1506</v>
      </c>
      <c r="BGP1" s="592" t="s">
        <v>1507</v>
      </c>
      <c r="BGQ1" s="592" t="s">
        <v>1508</v>
      </c>
      <c r="BGR1" s="592" t="s">
        <v>2275</v>
      </c>
      <c r="BGS1" s="592" t="s">
        <v>1509</v>
      </c>
      <c r="BGT1" s="592" t="s">
        <v>1510</v>
      </c>
      <c r="BGU1" s="592" t="s">
        <v>1512</v>
      </c>
      <c r="BGV1" s="592" t="s">
        <v>2276</v>
      </c>
      <c r="BGW1" s="592" t="s">
        <v>1513</v>
      </c>
      <c r="BGX1" s="592" t="s">
        <v>1514</v>
      </c>
      <c r="BGY1" s="592" t="s">
        <v>1515</v>
      </c>
      <c r="BGZ1" s="592" t="s">
        <v>1516</v>
      </c>
      <c r="BHA1" s="592" t="s">
        <v>2277</v>
      </c>
      <c r="BHB1" s="592" t="s">
        <v>1517</v>
      </c>
      <c r="BHC1" s="592" t="s">
        <v>1518</v>
      </c>
      <c r="BHD1" s="592" t="s">
        <v>1520</v>
      </c>
      <c r="BHE1" s="592" t="s">
        <v>1521</v>
      </c>
      <c r="BHF1" s="592" t="s">
        <v>1522</v>
      </c>
      <c r="BHG1" s="592" t="s">
        <v>1523</v>
      </c>
      <c r="BHH1" s="592" t="s">
        <v>1524</v>
      </c>
      <c r="BHI1" s="592" t="s">
        <v>1525</v>
      </c>
      <c r="BHJ1" s="592" t="s">
        <v>1526</v>
      </c>
      <c r="BHK1" s="592" t="s">
        <v>2278</v>
      </c>
      <c r="BHL1" s="592" t="s">
        <v>1527</v>
      </c>
      <c r="BHM1" s="592" t="s">
        <v>1529</v>
      </c>
      <c r="BHN1" s="592" t="s">
        <v>1530</v>
      </c>
      <c r="BHO1" s="592" t="s">
        <v>1531</v>
      </c>
      <c r="BHP1" s="592" t="s">
        <v>1532</v>
      </c>
      <c r="BHQ1" s="592" t="s">
        <v>1533</v>
      </c>
      <c r="BHR1" s="592" t="s">
        <v>1534</v>
      </c>
      <c r="BHS1" s="592" t="s">
        <v>1535</v>
      </c>
      <c r="BHT1" s="592" t="s">
        <v>1536</v>
      </c>
      <c r="BHU1" s="592" t="s">
        <v>2279</v>
      </c>
      <c r="BHV1" s="592" t="s">
        <v>1538</v>
      </c>
      <c r="BHW1" s="592" t="s">
        <v>1539</v>
      </c>
      <c r="BHX1" s="592" t="s">
        <v>1540</v>
      </c>
      <c r="BHY1" s="592" t="s">
        <v>1541</v>
      </c>
      <c r="BHZ1" s="592" t="s">
        <v>1542</v>
      </c>
      <c r="BIA1" s="592" t="s">
        <v>1543</v>
      </c>
      <c r="BIB1" s="592" t="s">
        <v>1544</v>
      </c>
      <c r="BIC1" s="592" t="s">
        <v>1545</v>
      </c>
      <c r="BID1" s="592" t="s">
        <v>1546</v>
      </c>
      <c r="BIE1" s="592" t="s">
        <v>2280</v>
      </c>
      <c r="BIF1" s="592" t="s">
        <v>1548</v>
      </c>
      <c r="BIG1" s="592" t="s">
        <v>1549</v>
      </c>
      <c r="BIH1" s="592" t="s">
        <v>1550</v>
      </c>
      <c r="BII1" s="592" t="s">
        <v>1551</v>
      </c>
      <c r="BIJ1" s="592" t="s">
        <v>1552</v>
      </c>
      <c r="BIK1" s="592" t="s">
        <v>2281</v>
      </c>
      <c r="BIL1" s="592" t="s">
        <v>2282</v>
      </c>
      <c r="BIM1" s="592" t="s">
        <v>2283</v>
      </c>
      <c r="BIN1" s="592" t="s">
        <v>2284</v>
      </c>
      <c r="BIO1" s="592" t="s">
        <v>2285</v>
      </c>
      <c r="BIP1" s="592" t="s">
        <v>2286</v>
      </c>
      <c r="BIQ1" s="592" t="s">
        <v>2287</v>
      </c>
      <c r="BIR1" s="592" t="s">
        <v>2288</v>
      </c>
      <c r="BIS1" s="592" t="s">
        <v>2289</v>
      </c>
      <c r="BIT1" s="592" t="s">
        <v>2290</v>
      </c>
      <c r="BIU1" s="592" t="s">
        <v>1554</v>
      </c>
      <c r="BIV1" s="592" t="s">
        <v>2291</v>
      </c>
      <c r="BIW1" s="592" t="s">
        <v>2292</v>
      </c>
      <c r="BIX1" s="592" t="s">
        <v>4554</v>
      </c>
      <c r="BIY1" s="592" t="s">
        <v>2293</v>
      </c>
      <c r="BIZ1" s="592" t="s">
        <v>2294</v>
      </c>
      <c r="BJA1" s="592" t="s">
        <v>2295</v>
      </c>
      <c r="BJB1" s="592" t="s">
        <v>2296</v>
      </c>
      <c r="BJC1" s="592" t="s">
        <v>2297</v>
      </c>
      <c r="BJD1" s="592" t="s">
        <v>2298</v>
      </c>
      <c r="BJE1" s="592" t="s">
        <v>2299</v>
      </c>
      <c r="BJF1" s="592" t="s">
        <v>2300</v>
      </c>
      <c r="BJG1" s="592" t="s">
        <v>2301</v>
      </c>
      <c r="BJH1" s="592" t="s">
        <v>2302</v>
      </c>
      <c r="BJI1" s="592" t="s">
        <v>2303</v>
      </c>
      <c r="BJJ1" s="592" t="s">
        <v>2304</v>
      </c>
      <c r="BJK1" s="592" t="s">
        <v>2305</v>
      </c>
      <c r="BJL1" s="592" t="s">
        <v>2306</v>
      </c>
      <c r="BJM1" s="592" t="s">
        <v>2307</v>
      </c>
      <c r="BJN1" s="592" t="s">
        <v>2308</v>
      </c>
      <c r="BJO1" s="592" t="s">
        <v>2309</v>
      </c>
      <c r="BJP1" s="592" t="s">
        <v>2310</v>
      </c>
      <c r="BJQ1" s="592" t="s">
        <v>2311</v>
      </c>
      <c r="BJR1" s="592" t="s">
        <v>2312</v>
      </c>
      <c r="BJS1" s="592" t="s">
        <v>2313</v>
      </c>
      <c r="BJT1" s="592" t="s">
        <v>2314</v>
      </c>
      <c r="BJU1" s="592" t="s">
        <v>2315</v>
      </c>
      <c r="BJV1" s="592" t="s">
        <v>2316</v>
      </c>
      <c r="BJW1" s="592" t="s">
        <v>2317</v>
      </c>
      <c r="BJX1" s="592" t="s">
        <v>2318</v>
      </c>
      <c r="BJY1" s="592" t="s">
        <v>2319</v>
      </c>
      <c r="BJZ1" s="592" t="s">
        <v>2320</v>
      </c>
      <c r="BKA1" s="592" t="s">
        <v>2321</v>
      </c>
      <c r="BKB1" s="592" t="s">
        <v>2322</v>
      </c>
      <c r="BKC1" s="592" t="s">
        <v>2323</v>
      </c>
      <c r="BKD1" s="592" t="s">
        <v>2324</v>
      </c>
      <c r="BKE1" s="592" t="s">
        <v>2325</v>
      </c>
      <c r="BKF1" s="592" t="s">
        <v>2326</v>
      </c>
      <c r="BKG1" s="592" t="s">
        <v>2327</v>
      </c>
      <c r="BKH1" s="592" t="s">
        <v>2328</v>
      </c>
      <c r="BKI1" s="592" t="s">
        <v>2329</v>
      </c>
      <c r="BKJ1" s="592" t="s">
        <v>2330</v>
      </c>
      <c r="BKK1" s="592" t="s">
        <v>2331</v>
      </c>
      <c r="BKL1" s="592" t="s">
        <v>2332</v>
      </c>
      <c r="BKM1" s="592" t="s">
        <v>2333</v>
      </c>
      <c r="BKN1" s="592" t="s">
        <v>2334</v>
      </c>
      <c r="BKO1" s="592" t="s">
        <v>2335</v>
      </c>
      <c r="BKP1" s="592" t="s">
        <v>2336</v>
      </c>
      <c r="BKQ1" s="592" t="s">
        <v>2337</v>
      </c>
      <c r="BKR1" s="592" t="s">
        <v>2338</v>
      </c>
      <c r="BKS1" s="592" t="s">
        <v>2339</v>
      </c>
      <c r="BKT1" s="592" t="s">
        <v>2340</v>
      </c>
      <c r="BKU1" s="592" t="s">
        <v>2341</v>
      </c>
      <c r="BKV1" s="592" t="s">
        <v>2342</v>
      </c>
      <c r="BKW1" s="592" t="s">
        <v>2343</v>
      </c>
      <c r="BKX1" s="592" t="s">
        <v>2344</v>
      </c>
      <c r="BKY1" s="592" t="s">
        <v>2345</v>
      </c>
      <c r="BKZ1" s="592" t="s">
        <v>2346</v>
      </c>
      <c r="BLA1" s="592" t="s">
        <v>2347</v>
      </c>
      <c r="BLB1" s="592" t="s">
        <v>2348</v>
      </c>
      <c r="BLC1" s="592" t="s">
        <v>2349</v>
      </c>
      <c r="BLD1" s="592" t="s">
        <v>2350</v>
      </c>
      <c r="BLE1" s="592" t="s">
        <v>2351</v>
      </c>
      <c r="BLF1" s="592" t="s">
        <v>1558</v>
      </c>
      <c r="BLG1" s="592" t="s">
        <v>1559</v>
      </c>
      <c r="BLH1" s="592" t="s">
        <v>4555</v>
      </c>
      <c r="BLI1" s="592" t="s">
        <v>1560</v>
      </c>
      <c r="BLJ1" s="592" t="s">
        <v>1561</v>
      </c>
      <c r="BLK1" s="592" t="s">
        <v>1562</v>
      </c>
      <c r="BLL1" s="592" t="s">
        <v>2352</v>
      </c>
      <c r="BLM1" s="592" t="s">
        <v>1563</v>
      </c>
      <c r="BLN1" s="592" t="s">
        <v>1564</v>
      </c>
      <c r="BLO1" s="592" t="s">
        <v>1565</v>
      </c>
      <c r="BLP1" s="592" t="s">
        <v>2353</v>
      </c>
      <c r="BLQ1" s="592" t="s">
        <v>1566</v>
      </c>
      <c r="BLR1" s="592" t="s">
        <v>1567</v>
      </c>
      <c r="BLS1" s="592" t="s">
        <v>1568</v>
      </c>
      <c r="BLT1" s="592" t="s">
        <v>1569</v>
      </c>
      <c r="BLU1" s="592" t="s">
        <v>2354</v>
      </c>
      <c r="BLV1" s="592" t="s">
        <v>1570</v>
      </c>
      <c r="BLW1" s="592" t="s">
        <v>1571</v>
      </c>
      <c r="BLX1" s="592" t="s">
        <v>1572</v>
      </c>
      <c r="BLY1" s="592" t="s">
        <v>1573</v>
      </c>
      <c r="BLZ1" s="592" t="s">
        <v>1574</v>
      </c>
      <c r="BMA1" s="592" t="s">
        <v>1575</v>
      </c>
      <c r="BMB1" s="592" t="s">
        <v>1576</v>
      </c>
      <c r="BMC1" s="592" t="s">
        <v>1577</v>
      </c>
      <c r="BMD1" s="592" t="s">
        <v>1578</v>
      </c>
      <c r="BME1" s="592" t="s">
        <v>2355</v>
      </c>
      <c r="BMF1" s="592" t="s">
        <v>1579</v>
      </c>
      <c r="BMG1" s="592" t="s">
        <v>1580</v>
      </c>
      <c r="BMH1" s="592" t="s">
        <v>1581</v>
      </c>
      <c r="BMI1" s="592" t="s">
        <v>1582</v>
      </c>
      <c r="BMJ1" s="592" t="s">
        <v>1583</v>
      </c>
      <c r="BMK1" s="592" t="s">
        <v>1584</v>
      </c>
      <c r="BML1" s="592" t="s">
        <v>1585</v>
      </c>
      <c r="BMM1" s="592" t="s">
        <v>1586</v>
      </c>
      <c r="BMN1" s="592" t="s">
        <v>1587</v>
      </c>
      <c r="BMO1" s="592" t="s">
        <v>2356</v>
      </c>
      <c r="BMP1" s="592" t="s">
        <v>1588</v>
      </c>
      <c r="BMQ1" s="592" t="s">
        <v>1589</v>
      </c>
      <c r="BMR1" s="592" t="s">
        <v>1590</v>
      </c>
      <c r="BMS1" s="592" t="s">
        <v>1591</v>
      </c>
      <c r="BMT1" s="592" t="s">
        <v>1592</v>
      </c>
      <c r="BMU1" s="592" t="s">
        <v>1593</v>
      </c>
      <c r="BMV1" s="592" t="s">
        <v>1594</v>
      </c>
      <c r="BMW1" s="592" t="s">
        <v>1595</v>
      </c>
      <c r="BMX1" s="592" t="s">
        <v>1596</v>
      </c>
      <c r="BMY1" s="592" t="s">
        <v>2357</v>
      </c>
      <c r="BMZ1" s="592" t="s">
        <v>1597</v>
      </c>
      <c r="BNA1" s="592" t="s">
        <v>1598</v>
      </c>
      <c r="BNB1" s="592" t="s">
        <v>1599</v>
      </c>
      <c r="BNC1" s="592" t="s">
        <v>1600</v>
      </c>
      <c r="BND1" s="592" t="s">
        <v>1601</v>
      </c>
      <c r="BNE1" s="592" t="s">
        <v>2358</v>
      </c>
      <c r="BNF1" s="592" t="s">
        <v>2359</v>
      </c>
      <c r="BNG1" s="592" t="s">
        <v>2360</v>
      </c>
      <c r="BNH1" s="592" t="s">
        <v>2361</v>
      </c>
      <c r="BNI1" s="592" t="s">
        <v>2362</v>
      </c>
      <c r="BNJ1" s="592" t="s">
        <v>2363</v>
      </c>
      <c r="BNK1" s="592" t="s">
        <v>2364</v>
      </c>
      <c r="BNL1" s="592" t="s">
        <v>2365</v>
      </c>
      <c r="BNM1" s="592" t="s">
        <v>2366</v>
      </c>
      <c r="BNN1" s="592" t="s">
        <v>2367</v>
      </c>
      <c r="BNO1" s="592" t="s">
        <v>1602</v>
      </c>
      <c r="BNP1" s="592" t="s">
        <v>1603</v>
      </c>
      <c r="BNQ1" s="592" t="s">
        <v>1604</v>
      </c>
      <c r="BNR1" s="592" t="s">
        <v>4556</v>
      </c>
      <c r="BNS1" s="592" t="s">
        <v>1605</v>
      </c>
      <c r="BNT1" s="592" t="s">
        <v>1606</v>
      </c>
      <c r="BNU1" s="592" t="s">
        <v>1607</v>
      </c>
      <c r="BNV1" s="592" t="s">
        <v>2368</v>
      </c>
      <c r="BNW1" s="592" t="s">
        <v>1608</v>
      </c>
      <c r="BNX1" s="592" t="s">
        <v>1609</v>
      </c>
      <c r="BNY1" s="592" t="s">
        <v>1610</v>
      </c>
      <c r="BNZ1" s="592" t="s">
        <v>2369</v>
      </c>
      <c r="BOA1" s="592" t="s">
        <v>1611</v>
      </c>
      <c r="BOB1" s="592" t="s">
        <v>1612</v>
      </c>
      <c r="BOC1" s="592" t="s">
        <v>1613</v>
      </c>
      <c r="BOD1" s="592" t="s">
        <v>1614</v>
      </c>
      <c r="BOE1" s="592" t="s">
        <v>2370</v>
      </c>
      <c r="BOF1" s="592" t="s">
        <v>1615</v>
      </c>
      <c r="BOG1" s="592" t="s">
        <v>1616</v>
      </c>
      <c r="BOH1" s="592" t="s">
        <v>1617</v>
      </c>
      <c r="BOI1" s="592" t="s">
        <v>1618</v>
      </c>
      <c r="BOJ1" s="592" t="s">
        <v>1619</v>
      </c>
      <c r="BOK1" s="592" t="s">
        <v>1620</v>
      </c>
      <c r="BOL1" s="592" t="s">
        <v>1621</v>
      </c>
      <c r="BOM1" s="592" t="s">
        <v>1622</v>
      </c>
      <c r="BON1" s="592" t="s">
        <v>1623</v>
      </c>
      <c r="BOO1" s="592" t="s">
        <v>2371</v>
      </c>
      <c r="BOP1" s="592" t="s">
        <v>1624</v>
      </c>
      <c r="BOQ1" s="592" t="s">
        <v>1625</v>
      </c>
      <c r="BOR1" s="592" t="s">
        <v>1626</v>
      </c>
      <c r="BOS1" s="592" t="s">
        <v>1627</v>
      </c>
      <c r="BOT1" s="592" t="s">
        <v>1628</v>
      </c>
      <c r="BOU1" s="592" t="s">
        <v>1629</v>
      </c>
      <c r="BOV1" s="592" t="s">
        <v>1630</v>
      </c>
      <c r="BOW1" s="592" t="s">
        <v>1631</v>
      </c>
      <c r="BOX1" s="592" t="s">
        <v>1632</v>
      </c>
      <c r="BOY1" s="592" t="s">
        <v>2372</v>
      </c>
      <c r="BOZ1" s="592" t="s">
        <v>1633</v>
      </c>
      <c r="BPA1" s="592" t="s">
        <v>1634</v>
      </c>
      <c r="BPB1" s="592" t="s">
        <v>1635</v>
      </c>
      <c r="BPC1" s="592" t="s">
        <v>1636</v>
      </c>
      <c r="BPD1" s="592" t="s">
        <v>1637</v>
      </c>
      <c r="BPE1" s="592" t="s">
        <v>1638</v>
      </c>
      <c r="BPF1" s="592" t="s">
        <v>1639</v>
      </c>
      <c r="BPG1" s="592" t="s">
        <v>1640</v>
      </c>
      <c r="BPH1" s="592" t="s">
        <v>1641</v>
      </c>
      <c r="BPI1" s="592" t="s">
        <v>2373</v>
      </c>
      <c r="BPJ1" s="592" t="s">
        <v>1642</v>
      </c>
      <c r="BPK1" s="592" t="s">
        <v>1643</v>
      </c>
      <c r="BPL1" s="592" t="s">
        <v>1644</v>
      </c>
      <c r="BPM1" s="592" t="s">
        <v>1645</v>
      </c>
      <c r="BPN1" s="592" t="s">
        <v>1646</v>
      </c>
      <c r="BPO1" s="592" t="s">
        <v>2374</v>
      </c>
      <c r="BPP1" s="592" t="s">
        <v>2375</v>
      </c>
      <c r="BPQ1" s="592" t="s">
        <v>2376</v>
      </c>
      <c r="BPR1" s="592" t="s">
        <v>2377</v>
      </c>
      <c r="BPS1" s="592" t="s">
        <v>2378</v>
      </c>
      <c r="BPT1" s="592" t="s">
        <v>2379</v>
      </c>
      <c r="BPU1" s="592" t="s">
        <v>2380</v>
      </c>
      <c r="BPV1" s="592" t="s">
        <v>2381</v>
      </c>
      <c r="BPW1" s="592" t="s">
        <v>2382</v>
      </c>
      <c r="BPX1" s="592" t="s">
        <v>2383</v>
      </c>
      <c r="BPY1" s="592" t="s">
        <v>1647</v>
      </c>
      <c r="BPZ1" s="592" t="s">
        <v>1648</v>
      </c>
      <c r="BQA1" s="592" t="s">
        <v>1649</v>
      </c>
      <c r="BQB1" s="592" t="s">
        <v>4557</v>
      </c>
      <c r="BQC1" s="592" t="s">
        <v>1650</v>
      </c>
      <c r="BQD1" s="592" t="s">
        <v>1651</v>
      </c>
      <c r="BQE1" s="592" t="s">
        <v>1652</v>
      </c>
      <c r="BQF1" s="592" t="s">
        <v>2384</v>
      </c>
      <c r="BQG1" s="592" t="s">
        <v>1653</v>
      </c>
      <c r="BQH1" s="592" t="s">
        <v>1654</v>
      </c>
      <c r="BQI1" s="592" t="s">
        <v>1655</v>
      </c>
      <c r="BQJ1" s="592" t="s">
        <v>2385</v>
      </c>
      <c r="BQK1" s="592" t="s">
        <v>1656</v>
      </c>
      <c r="BQL1" s="592" t="s">
        <v>1657</v>
      </c>
      <c r="BQM1" s="592" t="s">
        <v>1658</v>
      </c>
      <c r="BQN1" s="592" t="s">
        <v>1659</v>
      </c>
      <c r="BQO1" s="592" t="s">
        <v>2386</v>
      </c>
      <c r="BQP1" s="592" t="s">
        <v>1660</v>
      </c>
      <c r="BQQ1" s="592" t="s">
        <v>1661</v>
      </c>
      <c r="BQR1" s="592" t="s">
        <v>1662</v>
      </c>
      <c r="BQS1" s="592" t="s">
        <v>1663</v>
      </c>
      <c r="BQT1" s="592" t="s">
        <v>1664</v>
      </c>
      <c r="BQU1" s="592" t="s">
        <v>1665</v>
      </c>
      <c r="BQV1" s="592" t="s">
        <v>1666</v>
      </c>
      <c r="BQW1" s="592" t="s">
        <v>1667</v>
      </c>
      <c r="BQX1" s="592" t="s">
        <v>1668</v>
      </c>
      <c r="BQY1" s="592" t="s">
        <v>2387</v>
      </c>
      <c r="BQZ1" s="592" t="s">
        <v>1669</v>
      </c>
      <c r="BRA1" s="592" t="s">
        <v>1670</v>
      </c>
      <c r="BRB1" s="592" t="s">
        <v>1671</v>
      </c>
      <c r="BRC1" s="592" t="s">
        <v>1672</v>
      </c>
      <c r="BRD1" s="592" t="s">
        <v>1673</v>
      </c>
      <c r="BRE1" s="592" t="s">
        <v>1674</v>
      </c>
      <c r="BRF1" s="592" t="s">
        <v>1675</v>
      </c>
      <c r="BRG1" s="592" t="s">
        <v>1676</v>
      </c>
      <c r="BRH1" s="592" t="s">
        <v>1677</v>
      </c>
      <c r="BRI1" s="592" t="s">
        <v>2388</v>
      </c>
      <c r="BRJ1" s="592" t="s">
        <v>1678</v>
      </c>
      <c r="BRK1" s="592" t="s">
        <v>1679</v>
      </c>
      <c r="BRL1" s="592" t="s">
        <v>1680</v>
      </c>
      <c r="BRM1" s="592" t="s">
        <v>1681</v>
      </c>
      <c r="BRN1" s="592" t="s">
        <v>1682</v>
      </c>
      <c r="BRO1" s="592" t="s">
        <v>1683</v>
      </c>
      <c r="BRP1" s="592" t="s">
        <v>1684</v>
      </c>
      <c r="BRQ1" s="592" t="s">
        <v>1685</v>
      </c>
      <c r="BRR1" s="592" t="s">
        <v>1686</v>
      </c>
      <c r="BRS1" s="592" t="s">
        <v>2389</v>
      </c>
      <c r="BRT1" s="592" t="s">
        <v>1687</v>
      </c>
      <c r="BRU1" s="592" t="s">
        <v>1688</v>
      </c>
      <c r="BRV1" s="592" t="s">
        <v>1689</v>
      </c>
      <c r="BRW1" s="592" t="s">
        <v>1690</v>
      </c>
      <c r="BRX1" s="592" t="s">
        <v>1691</v>
      </c>
      <c r="BRY1" s="592" t="s">
        <v>2390</v>
      </c>
      <c r="BRZ1" s="592" t="s">
        <v>2391</v>
      </c>
      <c r="BSA1" s="592" t="s">
        <v>2392</v>
      </c>
      <c r="BSB1" s="592" t="s">
        <v>2393</v>
      </c>
      <c r="BSC1" s="592" t="s">
        <v>2394</v>
      </c>
      <c r="BSD1" s="592" t="s">
        <v>2395</v>
      </c>
      <c r="BSE1" s="592" t="s">
        <v>2396</v>
      </c>
      <c r="BSF1" s="592" t="s">
        <v>2397</v>
      </c>
      <c r="BSG1" s="592" t="s">
        <v>2398</v>
      </c>
      <c r="BSH1" s="592" t="s">
        <v>2399</v>
      </c>
      <c r="BSI1" s="592" t="s">
        <v>1692</v>
      </c>
      <c r="BSJ1" s="592" t="s">
        <v>4558</v>
      </c>
      <c r="BSK1" s="592" t="s">
        <v>4559</v>
      </c>
      <c r="BSL1" s="592" t="s">
        <v>4560</v>
      </c>
      <c r="BSM1" s="592" t="s">
        <v>4561</v>
      </c>
      <c r="BSN1" s="592" t="s">
        <v>4562</v>
      </c>
      <c r="BSO1" s="592" t="s">
        <v>4563</v>
      </c>
      <c r="BSP1" s="592" t="s">
        <v>4564</v>
      </c>
      <c r="BSQ1" s="592" t="s">
        <v>4565</v>
      </c>
      <c r="BSR1" s="592" t="s">
        <v>4566</v>
      </c>
      <c r="BSS1" s="592" t="s">
        <v>4567</v>
      </c>
      <c r="BST1" s="592" t="s">
        <v>4568</v>
      </c>
      <c r="BSU1" s="592" t="s">
        <v>4569</v>
      </c>
      <c r="BSV1" s="592" t="s">
        <v>4570</v>
      </c>
      <c r="BSW1" s="592" t="s">
        <v>4571</v>
      </c>
      <c r="BSX1" s="592" t="s">
        <v>4572</v>
      </c>
      <c r="BSY1" s="592" t="s">
        <v>4573</v>
      </c>
      <c r="BSZ1" s="592" t="s">
        <v>4574</v>
      </c>
      <c r="BTA1" s="592" t="s">
        <v>4575</v>
      </c>
      <c r="BTB1" s="592" t="s">
        <v>4576</v>
      </c>
      <c r="BTC1" s="592" t="s">
        <v>4577</v>
      </c>
      <c r="BTD1" s="592" t="s">
        <v>4578</v>
      </c>
      <c r="BTE1" s="592" t="s">
        <v>4579</v>
      </c>
      <c r="BTF1" s="592" t="s">
        <v>4580</v>
      </c>
      <c r="BTG1" s="592" t="s">
        <v>4581</v>
      </c>
      <c r="BTH1" s="592" t="s">
        <v>4582</v>
      </c>
      <c r="BTI1" s="592" t="s">
        <v>4583</v>
      </c>
      <c r="BTJ1" s="592" t="s">
        <v>4584</v>
      </c>
      <c r="BTK1" s="592" t="s">
        <v>4585</v>
      </c>
      <c r="BTL1" s="592" t="s">
        <v>4586</v>
      </c>
      <c r="BTM1" s="592" t="s">
        <v>4587</v>
      </c>
      <c r="BTN1" s="592" t="s">
        <v>4588</v>
      </c>
      <c r="BTO1" s="592" t="s">
        <v>4589</v>
      </c>
      <c r="BTP1" s="592" t="s">
        <v>4590</v>
      </c>
      <c r="BTQ1" s="592" t="s">
        <v>4591</v>
      </c>
      <c r="BTR1" s="592" t="s">
        <v>4592</v>
      </c>
      <c r="BTS1" s="592" t="s">
        <v>4593</v>
      </c>
      <c r="BTT1" s="592" t="s">
        <v>4594</v>
      </c>
      <c r="BTU1" s="592" t="s">
        <v>4595</v>
      </c>
      <c r="BTV1" s="592" t="s">
        <v>4596</v>
      </c>
      <c r="BTW1" s="592" t="s">
        <v>4597</v>
      </c>
      <c r="BTX1" s="592" t="s">
        <v>4598</v>
      </c>
      <c r="BTY1" s="592" t="s">
        <v>4599</v>
      </c>
      <c r="BTZ1" s="592" t="s">
        <v>4600</v>
      </c>
      <c r="BUA1" s="592" t="s">
        <v>4601</v>
      </c>
      <c r="BUB1" s="592" t="s">
        <v>4602</v>
      </c>
      <c r="BUC1" s="592" t="s">
        <v>4603</v>
      </c>
      <c r="BUD1" s="592" t="s">
        <v>4604</v>
      </c>
      <c r="BUE1" s="592" t="s">
        <v>4605</v>
      </c>
      <c r="BUF1" s="592" t="s">
        <v>4606</v>
      </c>
      <c r="BUG1" s="592" t="s">
        <v>4607</v>
      </c>
      <c r="BUH1" s="592" t="s">
        <v>4608</v>
      </c>
      <c r="BUI1" s="592" t="s">
        <v>4609</v>
      </c>
      <c r="BUJ1" s="592" t="s">
        <v>4610</v>
      </c>
      <c r="BUK1" s="592" t="s">
        <v>4611</v>
      </c>
      <c r="BUL1" s="592" t="s">
        <v>4612</v>
      </c>
      <c r="BUM1" s="592" t="s">
        <v>4613</v>
      </c>
      <c r="BUN1" s="592" t="s">
        <v>4614</v>
      </c>
      <c r="BUO1" s="592" t="s">
        <v>4615</v>
      </c>
      <c r="BUP1" s="592" t="s">
        <v>4616</v>
      </c>
      <c r="BUQ1" s="592" t="s">
        <v>4617</v>
      </c>
      <c r="BUR1" s="592" t="s">
        <v>4618</v>
      </c>
    </row>
    <row r="2" spans="1:1916" customFormat="1" ht="17.25" customHeight="1">
      <c r="A2" t="str">
        <f t="array" ref="A2:BUR2">TRANSPOSE(リンクシート!F4:F1919)</f>
        <v>●●●●</v>
      </c>
      <c r="B2" t="str">
        <v>令和</v>
      </c>
      <c r="C2" t="str">
        <v>0</v>
      </c>
      <c r="D2" t="str">
        <v>建築</v>
      </c>
      <c r="E2" t="str">
        <v>令和</v>
      </c>
      <c r="F2" t="str">
        <v>0</v>
      </c>
      <c r="G2" t="str">
        <v>0</v>
      </c>
      <c r="H2" t="str">
        <v>0</v>
      </c>
      <c r="I2" t="str">
        <v>0</v>
      </c>
      <c r="J2" t="str">
        <v>0</v>
      </c>
      <c r="K2" t="str">
        <v>0000</v>
      </c>
      <c r="L2" t="str">
        <v>0</v>
      </c>
      <c r="M2" t="str">
        <v>0</v>
      </c>
      <c r="N2" t="str">
        <v>0</v>
      </c>
      <c r="O2" t="str">
        <v>京都市</v>
      </c>
      <c r="P2" t="str">
        <v>0</v>
      </c>
      <c r="Q2" t="str">
        <v>0</v>
      </c>
      <c r="R2" t="str">
        <v>0</v>
      </c>
      <c r="S2" t="str">
        <v>FALSE</v>
      </c>
      <c r="T2" t="str">
        <v>FALSE</v>
      </c>
      <c r="U2" t="str">
        <v>0</v>
      </c>
      <c r="V2" t="str">
        <v>0</v>
      </c>
      <c r="W2" t="str">
        <v>0</v>
      </c>
      <c r="X2" t="str">
        <v>0</v>
      </c>
      <c r="Y2" t="str">
        <v>0</v>
      </c>
      <c r="Z2" t="str">
        <v>0</v>
      </c>
      <c r="AA2" t="str">
        <v>-</v>
      </c>
      <c r="AB2" t="str">
        <v>0</v>
      </c>
      <c r="AC2" t="str">
        <v>--</v>
      </c>
      <c r="AD2" t="str">
        <v>--</v>
      </c>
      <c r="AE2" t="str">
        <v>0</v>
      </c>
      <c r="AF2" t="str">
        <v>0</v>
      </c>
      <c r="AG2" t="str">
        <v>0</v>
      </c>
      <c r="AH2" t="str">
        <v>0</v>
      </c>
      <c r="AI2" t="str">
        <v>0</v>
      </c>
      <c r="AJ2" t="str">
        <v>0</v>
      </c>
      <c r="AK2" t="str">
        <v>0</v>
      </c>
      <c r="AL2" t="str">
        <v>-</v>
      </c>
      <c r="AM2" t="str">
        <v>0</v>
      </c>
      <c r="AN2" t="str">
        <v>--</v>
      </c>
      <c r="AO2" t="str">
        <v>FALSE</v>
      </c>
      <c r="AP2" t="str">
        <v>0</v>
      </c>
      <c r="AQ2" t="str">
        <v>0</v>
      </c>
      <c r="AR2" t="str">
        <v>0</v>
      </c>
      <c r="AS2" t="str">
        <v>0</v>
      </c>
      <c r="AT2" t="str">
        <v>0</v>
      </c>
      <c r="AU2" t="str">
        <v>0</v>
      </c>
      <c r="AV2" t="str">
        <v>-</v>
      </c>
      <c r="AW2" t="str">
        <v>0</v>
      </c>
      <c r="AX2" t="str">
        <v>--</v>
      </c>
      <c r="AY2" t="str">
        <v>0</v>
      </c>
      <c r="AZ2" t="str">
        <v>0</v>
      </c>
      <c r="BA2" t="str">
        <v>0</v>
      </c>
      <c r="BB2" t="str">
        <v>0</v>
      </c>
      <c r="BC2" t="str">
        <v>0</v>
      </c>
      <c r="BD2" t="str">
        <v>0</v>
      </c>
      <c r="BE2" t="str">
        <v>0</v>
      </c>
      <c r="BF2" t="str">
        <v>0</v>
      </c>
      <c r="BG2" t="str">
        <v>0</v>
      </c>
      <c r="BH2" t="str">
        <v>0</v>
      </c>
      <c r="BI2" t="str">
        <v>0</v>
      </c>
      <c r="BJ2" t="str">
        <v>-</v>
      </c>
      <c r="BK2" t="str">
        <v>0</v>
      </c>
      <c r="BL2" t="str">
        <v>--</v>
      </c>
      <c r="BM2" t="str">
        <v>FALSE</v>
      </c>
      <c r="BN2" t="str">
        <v>0</v>
      </c>
      <c r="BO2" t="str">
        <v>0</v>
      </c>
      <c r="BP2" t="str">
        <v>0</v>
      </c>
      <c r="BQ2" t="str">
        <v>0</v>
      </c>
      <c r="BR2" t="str">
        <v>0</v>
      </c>
      <c r="BS2" t="str">
        <v>0</v>
      </c>
      <c r="BT2" t="str">
        <v>0</v>
      </c>
      <c r="BU2" t="str">
        <v>0</v>
      </c>
      <c r="BV2" t="str">
        <v>0</v>
      </c>
      <c r="BW2" t="str">
        <v>0</v>
      </c>
      <c r="BX2" t="str">
        <v>-</v>
      </c>
      <c r="BY2" t="str">
        <v>0</v>
      </c>
      <c r="BZ2" t="str">
        <v>--</v>
      </c>
      <c r="CA2" t="str">
        <v>FALSE</v>
      </c>
      <c r="CB2" t="str">
        <v>0</v>
      </c>
      <c r="CC2" t="str">
        <v>0</v>
      </c>
      <c r="CD2" t="str">
        <v>0</v>
      </c>
      <c r="CE2" t="str">
        <v>0</v>
      </c>
      <c r="CF2" t="str">
        <v>0</v>
      </c>
      <c r="CG2" t="str">
        <v>0</v>
      </c>
      <c r="CH2" t="str">
        <v>0</v>
      </c>
      <c r="CI2" t="str">
        <v>0</v>
      </c>
      <c r="CJ2" t="str">
        <v>0</v>
      </c>
      <c r="CK2" t="str">
        <v>0</v>
      </c>
      <c r="CL2" t="str">
        <v>-</v>
      </c>
      <c r="CM2" t="str">
        <v>0</v>
      </c>
      <c r="CN2" t="str">
        <v>--</v>
      </c>
      <c r="CO2" t="str">
        <v>0</v>
      </c>
      <c r="CP2" t="str">
        <v>0</v>
      </c>
      <c r="CQ2" t="str">
        <v>0</v>
      </c>
      <c r="CR2" t="str">
        <v>0</v>
      </c>
      <c r="CS2" t="str">
        <v>0</v>
      </c>
      <c r="CT2" t="str">
        <v>0</v>
      </c>
      <c r="CU2" t="str">
        <v>0</v>
      </c>
      <c r="CV2" t="str">
        <v>0</v>
      </c>
      <c r="CW2" t="str">
        <v>0</v>
      </c>
      <c r="CX2" t="str">
        <v>0</v>
      </c>
      <c r="CY2" t="str">
        <v>0</v>
      </c>
      <c r="CZ2" t="str">
        <v>0</v>
      </c>
      <c r="DA2" t="str">
        <v>0</v>
      </c>
      <c r="DB2" t="str">
        <v>0</v>
      </c>
      <c r="DC2" t="str">
        <v>0</v>
      </c>
      <c r="DD2" t="str">
        <v>0</v>
      </c>
      <c r="DE2" t="str">
        <v>0</v>
      </c>
      <c r="DF2" t="str">
        <v>0</v>
      </c>
      <c r="DG2" t="str">
        <v>0</v>
      </c>
      <c r="DH2" t="str">
        <v>0</v>
      </c>
      <c r="DI2" t="str">
        <v>0</v>
      </c>
      <c r="DJ2" t="str">
        <v>0</v>
      </c>
      <c r="DK2" t="str">
        <v>0</v>
      </c>
      <c r="DL2" t="str">
        <v>0</v>
      </c>
      <c r="DM2" t="str">
        <v>0</v>
      </c>
      <c r="DN2" t="str">
        <v>0</v>
      </c>
      <c r="DO2" t="str">
        <v>0</v>
      </c>
      <c r="DP2" t="str">
        <v>0</v>
      </c>
      <c r="DQ2" t="str">
        <v>0</v>
      </c>
      <c r="DR2" t="str">
        <v>0</v>
      </c>
      <c r="DS2" t="str">
        <v>0</v>
      </c>
      <c r="DT2" t="str">
        <v>0</v>
      </c>
      <c r="DU2" t="str">
        <v>0</v>
      </c>
      <c r="DV2" t="str">
        <v>0</v>
      </c>
      <c r="DW2" t="str">
        <v>0</v>
      </c>
      <c r="DX2" t="str">
        <v>0</v>
      </c>
      <c r="DY2" t="str">
        <v>0</v>
      </c>
      <c r="DZ2" t="str">
        <v>0</v>
      </c>
      <c r="EA2" t="str">
        <v>0</v>
      </c>
      <c r="EB2" t="str">
        <v>0</v>
      </c>
      <c r="EC2" t="str">
        <v>0</v>
      </c>
      <c r="ED2" t="str">
        <v>0</v>
      </c>
      <c r="EE2" t="str">
        <v>0</v>
      </c>
      <c r="EF2" t="str">
        <v>0</v>
      </c>
      <c r="EG2" t="str">
        <v>0</v>
      </c>
      <c r="EH2" t="str">
        <v>0</v>
      </c>
      <c r="EI2" t="str">
        <v>0</v>
      </c>
      <c r="EJ2" t="str">
        <v>0</v>
      </c>
      <c r="EK2" t="str">
        <v>0</v>
      </c>
      <c r="EL2" t="str">
        <v>0</v>
      </c>
      <c r="EM2" t="str">
        <v>0</v>
      </c>
      <c r="EN2" t="str">
        <v>0</v>
      </c>
      <c r="EO2" t="str">
        <v>0</v>
      </c>
      <c r="EP2" t="str">
        <v>0</v>
      </c>
      <c r="EQ2" t="str">
        <v>0</v>
      </c>
      <c r="ER2" t="str">
        <v>0</v>
      </c>
      <c r="ES2" t="str">
        <v>0</v>
      </c>
      <c r="ET2" t="str">
        <v>0</v>
      </c>
      <c r="EU2" t="str">
        <v>0</v>
      </c>
      <c r="EV2" t="str">
        <v>0</v>
      </c>
      <c r="EW2" t="str">
        <v>0</v>
      </c>
      <c r="EX2" t="str">
        <v>0</v>
      </c>
      <c r="EY2" t="str">
        <v>0</v>
      </c>
      <c r="EZ2" t="str">
        <v>0</v>
      </c>
      <c r="FA2" t="str">
        <v>0</v>
      </c>
      <c r="FB2" t="str">
        <v>0</v>
      </c>
      <c r="FC2" t="str">
        <v>0</v>
      </c>
      <c r="FD2" t="str">
        <v>FALSE</v>
      </c>
      <c r="FE2" t="str">
        <v>0</v>
      </c>
      <c r="FF2" t="str">
        <v>0</v>
      </c>
      <c r="FG2" t="str">
        <v>0</v>
      </c>
      <c r="FH2" t="str">
        <v>0</v>
      </c>
      <c r="FI2" t="str">
        <v>0</v>
      </c>
      <c r="FJ2" t="str">
        <v>0</v>
      </c>
      <c r="FK2" t="str">
        <v>0</v>
      </c>
      <c r="FL2" t="str">
        <v>0</v>
      </c>
      <c r="FM2" t="str">
        <v>0</v>
      </c>
      <c r="FN2" t="str">
        <v>0</v>
      </c>
      <c r="FO2" t="str">
        <v>0</v>
      </c>
      <c r="FP2" t="str">
        <v>0</v>
      </c>
      <c r="FQ2" t="str">
        <v>0</v>
      </c>
      <c r="FR2" t="str">
        <v>0</v>
      </c>
      <c r="FS2" t="str">
        <v>0</v>
      </c>
      <c r="FT2" t="str">
        <v>0</v>
      </c>
      <c r="FU2" t="str">
        <v>0</v>
      </c>
      <c r="FV2" t="str">
        <v>0</v>
      </c>
      <c r="FW2" t="str">
        <v>0</v>
      </c>
      <c r="FX2" t="str">
        <v>0</v>
      </c>
      <c r="FY2" t="str">
        <v>0</v>
      </c>
      <c r="FZ2" t="str">
        <v>0</v>
      </c>
      <c r="GA2" t="str">
        <v>令和</v>
      </c>
      <c r="GB2" t="str">
        <v>0</v>
      </c>
      <c r="GC2" t="str">
        <v>0</v>
      </c>
      <c r="GD2" t="str">
        <v>0</v>
      </c>
      <c r="GE2" t="str">
        <v>0</v>
      </c>
      <c r="GF2" t="str">
        <v>0</v>
      </c>
      <c r="GG2" t="str">
        <v>0</v>
      </c>
      <c r="GH2" t="str">
        <v>0</v>
      </c>
      <c r="GI2" t="str">
        <v>0</v>
      </c>
      <c r="GJ2" t="str">
        <v>0</v>
      </c>
      <c r="GK2" t="str">
        <v>0</v>
      </c>
      <c r="GL2" t="str">
        <v>0</v>
      </c>
      <c r="GM2" t="str">
        <v>0</v>
      </c>
      <c r="GN2" t="str">
        <v>0</v>
      </c>
      <c r="GO2" t="str">
        <v>0</v>
      </c>
      <c r="GP2" t="str">
        <v>0</v>
      </c>
      <c r="GQ2" t="str">
        <v>0</v>
      </c>
      <c r="GR2" t="str">
        <v>0</v>
      </c>
      <c r="GS2" t="str">
        <v>0</v>
      </c>
      <c r="GT2" t="str">
        <v>0</v>
      </c>
      <c r="GU2" t="str">
        <v>0</v>
      </c>
      <c r="GV2" t="str">
        <v>0</v>
      </c>
      <c r="GW2" t="str">
        <v>0</v>
      </c>
      <c r="GX2" t="str">
        <v>0</v>
      </c>
      <c r="GY2" t="str">
        <v>0</v>
      </c>
      <c r="GZ2" t="str">
        <v>0</v>
      </c>
      <c r="HA2" t="str">
        <v>0</v>
      </c>
      <c r="HB2" t="str">
        <v>令和</v>
      </c>
      <c r="HC2" t="str">
        <v>0</v>
      </c>
      <c r="HD2" t="str">
        <v>0</v>
      </c>
      <c r="HE2" t="str">
        <v>0</v>
      </c>
      <c r="HF2" t="str">
        <v>0</v>
      </c>
      <c r="HG2" t="str">
        <v>0</v>
      </c>
      <c r="HH2" t="str">
        <v>0</v>
      </c>
      <c r="HI2" t="str">
        <v>0</v>
      </c>
      <c r="HJ2" t="str">
        <v>0</v>
      </c>
      <c r="HK2" t="str">
        <v>0</v>
      </c>
      <c r="HL2" t="str">
        <v>0</v>
      </c>
      <c r="HM2" t="str">
        <v>0</v>
      </c>
      <c r="HN2" t="str">
        <v>0</v>
      </c>
      <c r="HO2" t="str">
        <v>0</v>
      </c>
      <c r="HP2" t="str">
        <v>0</v>
      </c>
      <c r="HQ2" t="str">
        <v>0</v>
      </c>
      <c r="HR2" t="str">
        <v>0</v>
      </c>
      <c r="HS2" t="str">
        <v>0</v>
      </c>
      <c r="HT2" t="str">
        <v>0</v>
      </c>
      <c r="HU2" t="str">
        <v>0</v>
      </c>
      <c r="HV2" t="str">
        <v>0</v>
      </c>
      <c r="HW2" t="str">
        <v>0</v>
      </c>
      <c r="HX2" t="str">
        <v>0</v>
      </c>
      <c r="HY2" t="str">
        <v>0</v>
      </c>
      <c r="HZ2" t="str">
        <v>0</v>
      </c>
      <c r="IA2" t="str">
        <v>0</v>
      </c>
      <c r="IB2" t="str">
        <v>0</v>
      </c>
      <c r="IC2" t="str">
        <v>0</v>
      </c>
      <c r="ID2" t="str">
        <v>0</v>
      </c>
      <c r="IE2" t="str">
        <v>0</v>
      </c>
      <c r="IF2" t="str">
        <v>0</v>
      </c>
      <c r="IG2" t="str">
        <v>0</v>
      </c>
      <c r="IH2" t="str">
        <v>0</v>
      </c>
      <c r="II2" t="str">
        <v>0</v>
      </c>
      <c r="IJ2" t="str">
        <v>0</v>
      </c>
      <c r="IK2" t="str">
        <v>0</v>
      </c>
      <c r="IL2" t="str">
        <v>0</v>
      </c>
      <c r="IM2" t="str">
        <v>0</v>
      </c>
      <c r="IN2" t="str">
        <v>0</v>
      </c>
      <c r="IO2" t="str">
        <v>0</v>
      </c>
      <c r="IP2" t="str">
        <v>0</v>
      </c>
      <c r="IQ2" t="str">
        <v>0</v>
      </c>
      <c r="IR2" t="str">
        <v>0</v>
      </c>
      <c r="IS2" t="str">
        <v>0</v>
      </c>
      <c r="IT2" t="str">
        <v>0</v>
      </c>
      <c r="IU2" t="str">
        <v>0</v>
      </c>
      <c r="IV2" t="str">
        <v>0</v>
      </c>
      <c r="IW2" t="str">
        <v>0</v>
      </c>
      <c r="IX2" t="str">
        <v>0</v>
      </c>
      <c r="IY2" t="str">
        <v>0</v>
      </c>
      <c r="IZ2" t="str">
        <v>0</v>
      </c>
      <c r="JA2" t="str">
        <v>0</v>
      </c>
      <c r="JB2" t="str">
        <v>0</v>
      </c>
      <c r="JC2" t="str">
        <v>0</v>
      </c>
      <c r="JD2" t="str">
        <v>0</v>
      </c>
      <c r="JE2" t="str">
        <v>0</v>
      </c>
      <c r="JF2" t="str">
        <v>0</v>
      </c>
      <c r="JG2" t="str">
        <v>0</v>
      </c>
      <c r="JH2" t="str">
        <v>0</v>
      </c>
      <c r="JI2" t="str">
        <v>0</v>
      </c>
      <c r="JJ2" t="str">
        <v>0</v>
      </c>
      <c r="JK2" t="str">
        <v>0</v>
      </c>
      <c r="JL2" t="str">
        <v>0</v>
      </c>
      <c r="JM2" t="str">
        <v>0</v>
      </c>
      <c r="JN2" t="str">
        <v>0</v>
      </c>
      <c r="JO2" t="str">
        <v>0</v>
      </c>
      <c r="JP2" t="str">
        <v>0</v>
      </c>
      <c r="JQ2" t="str">
        <v>0</v>
      </c>
      <c r="JR2" t="str">
        <v>0</v>
      </c>
      <c r="JS2" t="str">
        <v>0</v>
      </c>
      <c r="JT2" t="str">
        <v>0</v>
      </c>
      <c r="JU2" t="str">
        <v>0</v>
      </c>
      <c r="JV2" t="str">
        <v>0</v>
      </c>
      <c r="JW2" t="str">
        <v>0</v>
      </c>
      <c r="JX2" t="str">
        <v>0</v>
      </c>
      <c r="JY2" t="str">
        <v>0</v>
      </c>
      <c r="JZ2" t="str">
        <v>0</v>
      </c>
      <c r="KA2" t="str">
        <v>0</v>
      </c>
      <c r="KB2" t="str">
        <v>0</v>
      </c>
      <c r="KC2" t="str">
        <v>0</v>
      </c>
      <c r="KD2" t="str">
        <v>0</v>
      </c>
      <c r="KE2" t="str">
        <v>0</v>
      </c>
      <c r="KF2" t="str">
        <v>0</v>
      </c>
      <c r="KG2" t="str">
        <v/>
      </c>
      <c r="KH2" t="str">
        <v>0</v>
      </c>
      <c r="KI2" t="str">
        <v>0</v>
      </c>
      <c r="KJ2" t="str">
        <v>0</v>
      </c>
      <c r="KK2" t="str">
        <v>0</v>
      </c>
      <c r="KL2" t="str">
        <v>0</v>
      </c>
      <c r="KM2" t="str">
        <v>0</v>
      </c>
      <c r="KN2" t="str">
        <v/>
      </c>
      <c r="KO2" t="str">
        <v>0</v>
      </c>
      <c r="KP2" t="str">
        <v>0</v>
      </c>
      <c r="KQ2" t="str">
        <v>0</v>
      </c>
      <c r="KR2" t="str">
        <v>0</v>
      </c>
      <c r="KS2" t="str">
        <v>0</v>
      </c>
      <c r="KT2" t="str">
        <v>0</v>
      </c>
      <c r="KU2" t="str">
        <v/>
      </c>
      <c r="KV2" t="str">
        <v>0</v>
      </c>
      <c r="KW2" t="str">
        <v>0</v>
      </c>
      <c r="KX2" t="str">
        <v>0</v>
      </c>
      <c r="KY2" t="str">
        <v>0</v>
      </c>
      <c r="KZ2" t="str">
        <v>0</v>
      </c>
      <c r="LA2" t="str">
        <v>0</v>
      </c>
      <c r="LB2" t="str">
        <v/>
      </c>
      <c r="LC2" t="str">
        <v>0</v>
      </c>
      <c r="LD2" t="str">
        <v>0</v>
      </c>
      <c r="LE2" t="str">
        <v>0</v>
      </c>
      <c r="LF2" t="str">
        <v>0</v>
      </c>
      <c r="LG2" t="str">
        <v>0</v>
      </c>
      <c r="LH2" t="str">
        <v>0</v>
      </c>
      <c r="LI2" t="str">
        <v/>
      </c>
      <c r="LJ2" t="str">
        <v>0</v>
      </c>
      <c r="LK2" t="str">
        <v>0</v>
      </c>
      <c r="LL2" t="str">
        <v>0</v>
      </c>
      <c r="LM2" t="str">
        <v>0</v>
      </c>
      <c r="LN2" t="str">
        <v>0</v>
      </c>
      <c r="LO2" t="str">
        <v>0</v>
      </c>
      <c r="LP2" t="str">
        <v/>
      </c>
      <c r="LQ2" t="str">
        <v>0</v>
      </c>
      <c r="LR2" t="str">
        <v>0</v>
      </c>
      <c r="LS2" t="str">
        <v>0</v>
      </c>
      <c r="LT2" t="str">
        <v>0</v>
      </c>
      <c r="LU2" t="str">
        <v>0</v>
      </c>
      <c r="LV2" t="str">
        <v>0</v>
      </c>
      <c r="LW2" t="str">
        <v/>
      </c>
      <c r="LX2" t="str">
        <v>0</v>
      </c>
      <c r="LY2" t="str">
        <v>0</v>
      </c>
      <c r="LZ2" t="str">
        <v>0</v>
      </c>
      <c r="MA2" t="str">
        <v>0</v>
      </c>
      <c r="MB2" t="str">
        <v>0</v>
      </c>
      <c r="MC2" t="str">
        <v>0</v>
      </c>
      <c r="MD2" t="str">
        <v/>
      </c>
      <c r="ME2" t="str">
        <v>0</v>
      </c>
      <c r="MF2" t="str">
        <v>0</v>
      </c>
      <c r="MG2" t="str">
        <v>0</v>
      </c>
      <c r="MH2" t="str">
        <v>0</v>
      </c>
      <c r="MI2" t="str">
        <v>0</v>
      </c>
      <c r="MJ2" t="str">
        <v>0</v>
      </c>
      <c r="MK2" t="str">
        <v/>
      </c>
      <c r="ML2" t="str">
        <v>0</v>
      </c>
      <c r="MM2" t="str">
        <v>0</v>
      </c>
      <c r="MN2" t="str">
        <v>0</v>
      </c>
      <c r="MO2" t="str">
        <v>0</v>
      </c>
      <c r="MP2" t="str">
        <v>0</v>
      </c>
      <c r="MQ2" t="str">
        <v>0</v>
      </c>
      <c r="MR2" t="str">
        <v/>
      </c>
      <c r="MS2" t="str">
        <v>0</v>
      </c>
      <c r="MT2" t="str">
        <v>0</v>
      </c>
      <c r="MU2" t="str">
        <v>0</v>
      </c>
      <c r="MV2" t="str">
        <v>0</v>
      </c>
      <c r="MW2" t="str">
        <v>0</v>
      </c>
      <c r="MX2" t="str">
        <v>0</v>
      </c>
      <c r="MY2" t="str">
        <v/>
      </c>
      <c r="MZ2" t="str">
        <v>0</v>
      </c>
      <c r="NA2" t="str">
        <v>0</v>
      </c>
      <c r="NB2" t="str">
        <v>0</v>
      </c>
      <c r="NC2" t="str">
        <v>0</v>
      </c>
      <c r="ND2" t="str">
        <v>0</v>
      </c>
      <c r="NE2" t="str">
        <v>0</v>
      </c>
      <c r="NF2" t="str">
        <v/>
      </c>
      <c r="NG2" t="str">
        <v>0</v>
      </c>
      <c r="NH2" t="str">
        <v>0</v>
      </c>
      <c r="NI2" t="str">
        <v>0</v>
      </c>
      <c r="NJ2" t="str">
        <v>0</v>
      </c>
      <c r="NK2" t="str">
        <v>0</v>
      </c>
      <c r="NL2" t="str">
        <v>0</v>
      </c>
      <c r="NM2" t="str">
        <v/>
      </c>
      <c r="NN2" t="str">
        <v>0</v>
      </c>
      <c r="NO2" t="str">
        <v>0</v>
      </c>
      <c r="NP2" t="str">
        <v>0</v>
      </c>
      <c r="NQ2" t="str">
        <v>0</v>
      </c>
      <c r="NR2" t="str">
        <v>0</v>
      </c>
      <c r="NS2" t="str">
        <v>0</v>
      </c>
      <c r="NT2" t="str">
        <v/>
      </c>
      <c r="NU2" t="str">
        <v>0</v>
      </c>
      <c r="NV2" t="str">
        <v>0</v>
      </c>
      <c r="NW2" t="str">
        <v>0</v>
      </c>
      <c r="NX2" t="str">
        <v>0</v>
      </c>
      <c r="NY2" t="str">
        <v>0</v>
      </c>
      <c r="NZ2" t="str">
        <v>0</v>
      </c>
      <c r="OA2" t="str">
        <v/>
      </c>
      <c r="OB2" t="str">
        <v>0</v>
      </c>
      <c r="OC2" t="str">
        <v>0</v>
      </c>
      <c r="OD2" t="str">
        <v>0</v>
      </c>
      <c r="OE2" t="str">
        <v>0</v>
      </c>
      <c r="OF2" t="str">
        <v>0</v>
      </c>
      <c r="OG2" t="str">
        <v>0</v>
      </c>
      <c r="OH2" t="str">
        <v/>
      </c>
      <c r="OI2" t="str">
        <v>0</v>
      </c>
      <c r="OJ2" t="str">
        <v>0</v>
      </c>
      <c r="OK2" t="str">
        <v>0</v>
      </c>
      <c r="OL2" t="str">
        <v>0</v>
      </c>
      <c r="OM2" t="str">
        <v>0</v>
      </c>
      <c r="ON2" t="str">
        <v>0</v>
      </c>
      <c r="OO2" t="str">
        <v/>
      </c>
      <c r="OP2" t="str">
        <v>0</v>
      </c>
      <c r="OQ2" t="str">
        <v>0</v>
      </c>
      <c r="OR2" t="str">
        <v>0</v>
      </c>
      <c r="OS2" t="str">
        <v>0</v>
      </c>
      <c r="OT2" t="str">
        <v>0</v>
      </c>
      <c r="OU2" t="str">
        <v>0</v>
      </c>
      <c r="OV2" t="str">
        <v/>
      </c>
      <c r="OW2" t="str">
        <v>0</v>
      </c>
      <c r="OX2" t="str">
        <v>0</v>
      </c>
      <c r="OY2" t="str">
        <v>0</v>
      </c>
      <c r="OZ2" t="str">
        <v>0</v>
      </c>
      <c r="PA2" t="str">
        <v>0</v>
      </c>
      <c r="PB2" t="str">
        <v>0</v>
      </c>
      <c r="PC2" t="str">
        <v/>
      </c>
      <c r="PD2" t="str">
        <v>0</v>
      </c>
      <c r="PE2" t="str">
        <v>0</v>
      </c>
      <c r="PF2" t="str">
        <v>0</v>
      </c>
      <c r="PG2" t="str">
        <v>0</v>
      </c>
      <c r="PH2" t="str">
        <v>0</v>
      </c>
      <c r="PI2" t="str">
        <v>0</v>
      </c>
      <c r="PJ2" t="str">
        <v/>
      </c>
      <c r="PK2" t="str">
        <v>0</v>
      </c>
      <c r="PL2" t="str">
        <v>0</v>
      </c>
      <c r="PM2" t="str">
        <v>0</v>
      </c>
      <c r="PN2" t="str">
        <v>0</v>
      </c>
      <c r="PO2" t="str">
        <v>0</v>
      </c>
      <c r="PP2" t="str">
        <v>0</v>
      </c>
      <c r="PQ2" t="str">
        <v/>
      </c>
      <c r="PR2" t="str">
        <v>0</v>
      </c>
      <c r="PS2" t="str">
        <v>0</v>
      </c>
      <c r="PT2" t="str">
        <v>0</v>
      </c>
      <c r="PU2" t="str">
        <v>0</v>
      </c>
      <c r="PV2" t="str">
        <v>0</v>
      </c>
      <c r="PW2" t="str">
        <v>0</v>
      </c>
      <c r="PX2" t="str">
        <v/>
      </c>
      <c r="PY2" t="str">
        <v>0</v>
      </c>
      <c r="PZ2" t="str">
        <v>0</v>
      </c>
      <c r="QA2" t="str">
        <v>0</v>
      </c>
      <c r="QB2" t="str">
        <v>0</v>
      </c>
      <c r="QC2" t="str">
        <v>0</v>
      </c>
      <c r="QD2" t="str">
        <v>0</v>
      </c>
      <c r="QE2" t="str">
        <v/>
      </c>
      <c r="QF2" t="str">
        <v>0</v>
      </c>
      <c r="QG2" t="str">
        <v>0</v>
      </c>
      <c r="QH2" t="str">
        <v>0</v>
      </c>
      <c r="QI2" t="str">
        <v>0</v>
      </c>
      <c r="QJ2" t="str">
        <v>0</v>
      </c>
      <c r="QK2" t="str">
        <v>0</v>
      </c>
      <c r="QL2" t="str">
        <v/>
      </c>
      <c r="QM2" t="str">
        <v>0</v>
      </c>
      <c r="QN2" t="str">
        <v>0</v>
      </c>
      <c r="QO2" t="str">
        <v>0</v>
      </c>
      <c r="QP2" t="str">
        <v>0</v>
      </c>
      <c r="QQ2" t="str">
        <v>0</v>
      </c>
      <c r="QR2" t="str">
        <v>0</v>
      </c>
      <c r="QS2" t="str">
        <v/>
      </c>
      <c r="QT2" t="str">
        <v>0</v>
      </c>
      <c r="QU2" t="str">
        <v>0</v>
      </c>
      <c r="QV2" t="str">
        <v>0</v>
      </c>
      <c r="QW2" t="str">
        <v>0</v>
      </c>
      <c r="QX2" t="str">
        <v>0</v>
      </c>
      <c r="QY2" t="str">
        <v>0</v>
      </c>
      <c r="QZ2" t="str">
        <v/>
      </c>
      <c r="RA2" t="str">
        <v>0</v>
      </c>
      <c r="RB2" t="str">
        <v>0</v>
      </c>
      <c r="RC2" t="str">
        <v>0</v>
      </c>
      <c r="RD2" t="str">
        <v>0</v>
      </c>
      <c r="RE2" t="str">
        <v>0</v>
      </c>
      <c r="RF2" t="str">
        <v>0</v>
      </c>
      <c r="RG2" t="str">
        <v/>
      </c>
      <c r="RH2" t="str">
        <v>0</v>
      </c>
      <c r="RI2" t="str">
        <v>0</v>
      </c>
      <c r="RJ2" t="str">
        <v>0</v>
      </c>
      <c r="RK2" t="str">
        <v>0</v>
      </c>
      <c r="RL2" t="str">
        <v>0</v>
      </c>
      <c r="RM2" t="str">
        <v>0</v>
      </c>
      <c r="RN2" t="str">
        <v/>
      </c>
      <c r="RO2" t="str">
        <v>0</v>
      </c>
      <c r="RP2" t="str">
        <v>0</v>
      </c>
      <c r="RQ2" t="str">
        <v>0</v>
      </c>
      <c r="RR2" t="str">
        <v>0</v>
      </c>
      <c r="RS2" t="str">
        <v>0</v>
      </c>
      <c r="RT2" t="str">
        <v>0</v>
      </c>
      <c r="RU2" t="str">
        <v/>
      </c>
      <c r="RV2" t="str">
        <v>0</v>
      </c>
      <c r="RW2" t="str">
        <v>0</v>
      </c>
      <c r="RX2" t="str">
        <v>0</v>
      </c>
      <c r="RY2" t="str">
        <v>0</v>
      </c>
      <c r="RZ2" t="str">
        <v>0</v>
      </c>
      <c r="SA2" t="str">
        <v>0</v>
      </c>
      <c r="SB2" t="str">
        <v/>
      </c>
      <c r="SC2" t="str">
        <v>0</v>
      </c>
      <c r="SD2" t="str">
        <v>0</v>
      </c>
      <c r="SE2" t="str">
        <v>0</v>
      </c>
      <c r="SF2" t="str">
        <v>0</v>
      </c>
      <c r="SG2" t="str">
        <v>0</v>
      </c>
      <c r="SH2" t="str">
        <v>0</v>
      </c>
      <c r="SI2" t="str">
        <v/>
      </c>
      <c r="SJ2" t="str">
        <v>0</v>
      </c>
      <c r="SK2" t="str">
        <v>0</v>
      </c>
      <c r="SL2" t="str">
        <v>0</v>
      </c>
      <c r="SM2" t="str">
        <v>0</v>
      </c>
      <c r="SN2" t="str">
        <v>0</v>
      </c>
      <c r="SO2" t="str">
        <v>0</v>
      </c>
      <c r="SP2" t="str">
        <v/>
      </c>
      <c r="SQ2" t="str">
        <v>0</v>
      </c>
      <c r="SR2" t="str">
        <v>0</v>
      </c>
      <c r="SS2" t="str">
        <v>0</v>
      </c>
      <c r="ST2" t="str">
        <v>0</v>
      </c>
      <c r="SU2" t="str">
        <v>0</v>
      </c>
      <c r="SV2" t="str">
        <v>0</v>
      </c>
      <c r="SW2" t="str">
        <v/>
      </c>
      <c r="SX2" t="str">
        <v>0</v>
      </c>
      <c r="SY2" t="str">
        <v>0</v>
      </c>
      <c r="SZ2" t="str">
        <v>0</v>
      </c>
      <c r="TA2" t="str">
        <v>0</v>
      </c>
      <c r="TB2" t="str">
        <v>0</v>
      </c>
      <c r="TC2" t="str">
        <v>0</v>
      </c>
      <c r="TD2" t="str">
        <v/>
      </c>
      <c r="TE2" t="str">
        <v>0</v>
      </c>
      <c r="TF2" t="str">
        <v>0</v>
      </c>
      <c r="TG2" t="str">
        <v>0</v>
      </c>
      <c r="TH2" t="str">
        <v>0</v>
      </c>
      <c r="TI2" t="str">
        <v>0</v>
      </c>
      <c r="TJ2" t="str">
        <v>0</v>
      </c>
      <c r="TK2" t="str">
        <v/>
      </c>
      <c r="TL2" t="str">
        <v>0</v>
      </c>
      <c r="TM2" t="str">
        <v>0</v>
      </c>
      <c r="TN2" t="str">
        <v>0</v>
      </c>
      <c r="TO2" t="str">
        <v>0</v>
      </c>
      <c r="TP2" t="str">
        <v>0</v>
      </c>
      <c r="TQ2" t="str">
        <v>0</v>
      </c>
      <c r="TR2" t="str">
        <v/>
      </c>
      <c r="TS2" t="str">
        <v>0</v>
      </c>
      <c r="TT2" t="str">
        <v>0</v>
      </c>
      <c r="TU2" t="str">
        <v>0</v>
      </c>
      <c r="TV2" t="str">
        <v>0</v>
      </c>
      <c r="TW2" t="str">
        <v>0</v>
      </c>
      <c r="TX2" t="str">
        <v>0</v>
      </c>
      <c r="TY2" t="str">
        <v/>
      </c>
      <c r="TZ2" t="str">
        <v>0</v>
      </c>
      <c r="UA2" t="str">
        <v>0</v>
      </c>
      <c r="UB2" t="str">
        <v>0</v>
      </c>
      <c r="UC2" t="str">
        <v>0</v>
      </c>
      <c r="UD2" t="str">
        <v>0</v>
      </c>
      <c r="UE2" t="str">
        <v>0</v>
      </c>
      <c r="UF2" t="str">
        <v/>
      </c>
      <c r="UG2" t="str">
        <v>0</v>
      </c>
      <c r="UH2" t="str">
        <v>0</v>
      </c>
      <c r="UI2" t="str">
        <v>0</v>
      </c>
      <c r="UJ2" t="str">
        <v>0</v>
      </c>
      <c r="UK2" t="str">
        <v>0</v>
      </c>
      <c r="UL2" t="str">
        <v>0</v>
      </c>
      <c r="UM2" t="str">
        <v/>
      </c>
      <c r="UN2" t="str">
        <v>0</v>
      </c>
      <c r="UO2" t="str">
        <v>0</v>
      </c>
      <c r="UP2" t="str">
        <v>0</v>
      </c>
      <c r="UQ2" t="str">
        <v>0</v>
      </c>
      <c r="UR2" t="str">
        <v>0</v>
      </c>
      <c r="US2" t="str">
        <v>0</v>
      </c>
      <c r="UT2" t="str">
        <v/>
      </c>
      <c r="UU2" t="str">
        <v>0</v>
      </c>
      <c r="UV2" t="str">
        <v>0</v>
      </c>
      <c r="UW2" t="str">
        <v>0</v>
      </c>
      <c r="UX2" t="str">
        <v>0</v>
      </c>
      <c r="UY2" t="str">
        <v>0</v>
      </c>
      <c r="UZ2" t="str">
        <v>0</v>
      </c>
      <c r="VA2" t="str">
        <v/>
      </c>
      <c r="VB2" t="str">
        <v>0</v>
      </c>
      <c r="VC2" t="str">
        <v>0</v>
      </c>
      <c r="VD2" t="str">
        <v>0</v>
      </c>
      <c r="VE2" t="str">
        <v>0</v>
      </c>
      <c r="VF2" t="str">
        <v>0</v>
      </c>
      <c r="VG2" t="str">
        <v>0</v>
      </c>
      <c r="VH2" t="str">
        <v/>
      </c>
      <c r="VI2" t="str">
        <v>0</v>
      </c>
      <c r="VJ2" t="str">
        <v>0</v>
      </c>
      <c r="VK2" t="str">
        <v>0</v>
      </c>
      <c r="VL2" t="str">
        <v>0</v>
      </c>
      <c r="VM2" t="str">
        <v>0</v>
      </c>
      <c r="VN2" t="str">
        <v>0</v>
      </c>
      <c r="VO2" t="str">
        <v/>
      </c>
      <c r="VP2" t="str">
        <v>0</v>
      </c>
      <c r="VQ2" t="str">
        <v>0</v>
      </c>
      <c r="VR2" t="str">
        <v>0</v>
      </c>
      <c r="VS2" t="str">
        <v>0</v>
      </c>
      <c r="VT2" t="str">
        <v>0</v>
      </c>
      <c r="VU2" t="str">
        <v>0</v>
      </c>
      <c r="VV2" t="str">
        <v/>
      </c>
      <c r="VW2" t="str">
        <v>0</v>
      </c>
      <c r="VX2" t="str">
        <v>0</v>
      </c>
      <c r="VY2" t="str">
        <v>0</v>
      </c>
      <c r="VZ2" t="str">
        <v>0</v>
      </c>
      <c r="WA2" t="str">
        <v>0</v>
      </c>
      <c r="WB2" t="str">
        <v>0</v>
      </c>
      <c r="WC2" t="str">
        <v/>
      </c>
      <c r="WD2" t="str">
        <v>0</v>
      </c>
      <c r="WE2" t="str">
        <v>0</v>
      </c>
      <c r="WF2" t="str">
        <v>0</v>
      </c>
      <c r="WG2" t="str">
        <v>0</v>
      </c>
      <c r="WH2" t="str">
        <v>0</v>
      </c>
      <c r="WI2" t="str">
        <v>0</v>
      </c>
      <c r="WJ2" t="str">
        <v/>
      </c>
      <c r="WK2" t="str">
        <v>0</v>
      </c>
      <c r="WL2" t="str">
        <v>0</v>
      </c>
      <c r="WM2" t="str">
        <v>0</v>
      </c>
      <c r="WN2" t="str">
        <v>0</v>
      </c>
      <c r="WO2" t="str">
        <v>0</v>
      </c>
      <c r="WP2" t="str">
        <v>0</v>
      </c>
      <c r="WQ2" t="str">
        <v/>
      </c>
      <c r="WR2" t="str">
        <v>0</v>
      </c>
      <c r="WS2" t="str">
        <v>0</v>
      </c>
      <c r="WT2" t="str">
        <v>0</v>
      </c>
      <c r="WU2" t="str">
        <v>0</v>
      </c>
      <c r="WV2" t="str">
        <v>0</v>
      </c>
      <c r="WW2" t="str">
        <v>0</v>
      </c>
      <c r="WX2" t="str">
        <v/>
      </c>
      <c r="WY2" t="str">
        <v>0</v>
      </c>
      <c r="WZ2" t="str">
        <v>0</v>
      </c>
      <c r="XA2" t="str">
        <v>0</v>
      </c>
      <c r="XB2" t="str">
        <v>0</v>
      </c>
      <c r="XC2" t="str">
        <v>0</v>
      </c>
      <c r="XD2" t="str">
        <v>0</v>
      </c>
      <c r="XE2" t="str">
        <v/>
      </c>
      <c r="XF2" t="str">
        <v>0</v>
      </c>
      <c r="XG2" t="str">
        <v>0</v>
      </c>
      <c r="XH2" t="str">
        <v>0</v>
      </c>
      <c r="XI2" t="str">
        <v>0</v>
      </c>
      <c r="XJ2" t="str">
        <v>0</v>
      </c>
      <c r="XK2" t="str">
        <v>0</v>
      </c>
      <c r="XL2" t="str">
        <v/>
      </c>
      <c r="XM2" t="str">
        <v>0</v>
      </c>
      <c r="XN2" t="str">
        <v>0</v>
      </c>
      <c r="XO2" t="str">
        <v>0</v>
      </c>
      <c r="XP2" t="str">
        <v>0</v>
      </c>
      <c r="XQ2" t="str">
        <v>0</v>
      </c>
      <c r="XR2" t="str">
        <v>0</v>
      </c>
      <c r="XS2" t="str">
        <v/>
      </c>
      <c r="XT2" t="str">
        <v>0</v>
      </c>
      <c r="XU2" t="str">
        <v>0</v>
      </c>
      <c r="XV2" t="str">
        <v>0</v>
      </c>
      <c r="XW2" t="str">
        <v>0</v>
      </c>
      <c r="XX2" t="str">
        <v>0</v>
      </c>
      <c r="XY2" t="str">
        <v>0</v>
      </c>
      <c r="XZ2" t="str">
        <v/>
      </c>
      <c r="YA2" t="str">
        <v>0</v>
      </c>
      <c r="YB2" t="str">
        <v>0</v>
      </c>
      <c r="YC2" t="str">
        <v>0</v>
      </c>
      <c r="YD2" t="str">
        <v>0</v>
      </c>
      <c r="YE2" t="str">
        <v>0</v>
      </c>
      <c r="YF2" t="str">
        <v>0</v>
      </c>
      <c r="YG2" t="str">
        <v/>
      </c>
      <c r="YH2" t="str">
        <v>0</v>
      </c>
      <c r="YI2" t="str">
        <v>0</v>
      </c>
      <c r="YJ2" t="str">
        <v>0</v>
      </c>
      <c r="YK2" t="str">
        <v>0</v>
      </c>
      <c r="YL2" t="str">
        <v>0</v>
      </c>
      <c r="YM2" t="str">
        <v>0</v>
      </c>
      <c r="YN2" t="str">
        <v/>
      </c>
      <c r="YO2" t="str">
        <v>0</v>
      </c>
      <c r="YP2" t="str">
        <v>0</v>
      </c>
      <c r="YQ2" t="str">
        <v>0</v>
      </c>
      <c r="YR2" t="str">
        <v>0</v>
      </c>
      <c r="YS2" t="str">
        <v>0</v>
      </c>
      <c r="YT2" t="str">
        <v>0</v>
      </c>
      <c r="YU2" t="str">
        <v/>
      </c>
      <c r="YV2" t="str">
        <v>0</v>
      </c>
      <c r="YW2" t="str">
        <v>0</v>
      </c>
      <c r="YX2" t="str">
        <v>0</v>
      </c>
      <c r="YY2" t="str">
        <v>0</v>
      </c>
      <c r="YZ2" t="str">
        <v>0</v>
      </c>
      <c r="ZA2" t="str">
        <v>0</v>
      </c>
      <c r="ZB2" t="str">
        <v/>
      </c>
      <c r="ZC2" t="str">
        <v>0</v>
      </c>
      <c r="ZD2" t="str">
        <v>0</v>
      </c>
      <c r="ZE2" t="str">
        <v>0</v>
      </c>
      <c r="ZF2" t="str">
        <v>0</v>
      </c>
      <c r="ZG2" t="str">
        <v>0</v>
      </c>
      <c r="ZH2" t="str">
        <v>0</v>
      </c>
      <c r="ZI2" t="str">
        <v/>
      </c>
      <c r="ZJ2" t="str">
        <v>0</v>
      </c>
      <c r="ZK2" t="str">
        <v>0</v>
      </c>
      <c r="ZL2" t="str">
        <v>0</v>
      </c>
      <c r="ZM2" t="str">
        <v>0</v>
      </c>
      <c r="ZN2" t="str">
        <v>0</v>
      </c>
      <c r="ZO2" t="str">
        <v>0</v>
      </c>
      <c r="ZP2" t="str">
        <v/>
      </c>
      <c r="ZQ2" t="str">
        <v>0</v>
      </c>
      <c r="ZR2" t="str">
        <v>0</v>
      </c>
      <c r="ZS2" t="str">
        <v>0</v>
      </c>
      <c r="ZT2" t="str">
        <v>0</v>
      </c>
      <c r="ZU2" t="str">
        <v>0</v>
      </c>
      <c r="ZV2" t="str">
        <v>0</v>
      </c>
      <c r="ZW2" t="str">
        <v/>
      </c>
      <c r="ZX2" t="str">
        <v>0</v>
      </c>
      <c r="ZY2" t="str">
        <v>0</v>
      </c>
      <c r="ZZ2" t="str">
        <v>0</v>
      </c>
      <c r="AAA2" t="str">
        <v>0</v>
      </c>
      <c r="AAB2" t="str">
        <v>0</v>
      </c>
      <c r="AAC2" t="str">
        <v>0</v>
      </c>
      <c r="AAD2" t="str">
        <v/>
      </c>
      <c r="AAE2" t="str">
        <v>0</v>
      </c>
      <c r="AAF2" t="str">
        <v>0</v>
      </c>
      <c r="AAG2" t="str">
        <v>0</v>
      </c>
      <c r="AAH2" t="str">
        <v>0</v>
      </c>
      <c r="AAI2" t="str">
        <v>0</v>
      </c>
      <c r="AAJ2" t="str">
        <v>0</v>
      </c>
      <c r="AAK2" t="str">
        <v/>
      </c>
      <c r="AAL2" t="str">
        <v>0</v>
      </c>
      <c r="AAM2" t="str">
        <v>0</v>
      </c>
      <c r="AAN2" t="str">
        <v>0</v>
      </c>
      <c r="AAO2" t="str">
        <v>0</v>
      </c>
      <c r="AAP2" t="str">
        <v>0</v>
      </c>
      <c r="AAQ2" t="str">
        <v>0</v>
      </c>
      <c r="AAR2" t="str">
        <v/>
      </c>
      <c r="AAS2" t="str">
        <v>0</v>
      </c>
      <c r="AAT2" t="str">
        <v>0</v>
      </c>
      <c r="AAU2" t="str">
        <v>0</v>
      </c>
      <c r="AAV2" t="str">
        <v>0</v>
      </c>
      <c r="AAW2" t="str">
        <v>0</v>
      </c>
      <c r="AAX2" t="str">
        <v>0</v>
      </c>
      <c r="AAY2" t="str">
        <v/>
      </c>
      <c r="AAZ2" t="str">
        <v>0</v>
      </c>
      <c r="ABA2" t="str">
        <v>0</v>
      </c>
      <c r="ABB2" t="str">
        <v>0</v>
      </c>
      <c r="ABC2" t="str">
        <v>0</v>
      </c>
      <c r="ABD2" t="str">
        <v>0</v>
      </c>
      <c r="ABE2" t="str">
        <v>0</v>
      </c>
      <c r="ABF2" t="str">
        <v/>
      </c>
      <c r="ABG2" t="str">
        <v>0</v>
      </c>
      <c r="ABH2" t="str">
        <v>0</v>
      </c>
      <c r="ABI2" t="str">
        <v>0</v>
      </c>
      <c r="ABJ2" t="str">
        <v>0</v>
      </c>
      <c r="ABK2" t="str">
        <v>0</v>
      </c>
      <c r="ABL2" t="str">
        <v>0</v>
      </c>
      <c r="ABM2" t="str">
        <v/>
      </c>
      <c r="ABN2" t="str">
        <v>0</v>
      </c>
      <c r="ABO2" t="str">
        <v>0</v>
      </c>
      <c r="ABP2" t="str">
        <v>0</v>
      </c>
      <c r="ABQ2" t="str">
        <v>0</v>
      </c>
      <c r="ABR2" t="str">
        <v>0</v>
      </c>
      <c r="ABS2" t="str">
        <v>0</v>
      </c>
      <c r="ABT2" t="str">
        <v/>
      </c>
      <c r="ABU2" t="str">
        <v>0</v>
      </c>
      <c r="ABV2" t="str">
        <v>0</v>
      </c>
      <c r="ABW2" t="str">
        <v>0</v>
      </c>
      <c r="ABX2" t="str">
        <v>0</v>
      </c>
      <c r="ABY2" t="str">
        <v>0</v>
      </c>
      <c r="ABZ2" t="str">
        <v>0</v>
      </c>
      <c r="ACA2" t="str">
        <v/>
      </c>
      <c r="ACB2" t="str">
        <v>0</v>
      </c>
      <c r="ACC2" t="str">
        <v>0</v>
      </c>
      <c r="ACD2" t="str">
        <v>0</v>
      </c>
      <c r="ACE2" t="str">
        <v>0</v>
      </c>
      <c r="ACF2" t="str">
        <v>0</v>
      </c>
      <c r="ACG2" t="str">
        <v>0</v>
      </c>
      <c r="ACH2" t="str">
        <v/>
      </c>
      <c r="ACI2" t="str">
        <v>0</v>
      </c>
      <c r="ACJ2" t="str">
        <v>0</v>
      </c>
      <c r="ACK2" t="str">
        <v>0</v>
      </c>
      <c r="ACL2" t="str">
        <v>0</v>
      </c>
      <c r="ACM2" t="str">
        <v>0</v>
      </c>
      <c r="ACN2" t="str">
        <v>0</v>
      </c>
      <c r="ACO2" t="str">
        <v/>
      </c>
      <c r="ACP2" t="str">
        <v>0</v>
      </c>
      <c r="ACQ2" t="str">
        <v>0</v>
      </c>
      <c r="ACR2" t="str">
        <v>0</v>
      </c>
      <c r="ACS2" t="str">
        <v>0</v>
      </c>
      <c r="ACT2" t="str">
        <v>0</v>
      </c>
      <c r="ACU2" t="str">
        <v>0</v>
      </c>
      <c r="ACV2" t="str">
        <v/>
      </c>
      <c r="ACW2" t="str">
        <v>0</v>
      </c>
      <c r="ACX2" t="str">
        <v>0</v>
      </c>
      <c r="ACY2" t="str">
        <v>0</v>
      </c>
      <c r="ACZ2" t="str">
        <v>0</v>
      </c>
      <c r="ADA2" t="str">
        <v>0</v>
      </c>
      <c r="ADB2" t="str">
        <v>0</v>
      </c>
      <c r="ADC2" t="str">
        <v/>
      </c>
      <c r="ADD2" t="str">
        <v>0</v>
      </c>
      <c r="ADE2" t="str">
        <v>0</v>
      </c>
      <c r="ADF2" t="str">
        <v>0</v>
      </c>
      <c r="ADG2" t="str">
        <v>0</v>
      </c>
      <c r="ADH2" t="str">
        <v>0</v>
      </c>
      <c r="ADI2" t="str">
        <v>0</v>
      </c>
      <c r="ADJ2" t="str">
        <v/>
      </c>
      <c r="ADK2" t="str">
        <v>0</v>
      </c>
      <c r="ADL2" t="str">
        <v>0</v>
      </c>
      <c r="ADM2" t="str">
        <v>0</v>
      </c>
      <c r="ADN2" t="str">
        <v>0</v>
      </c>
      <c r="ADO2" t="str">
        <v>0</v>
      </c>
      <c r="ADP2" t="str">
        <v>0</v>
      </c>
      <c r="ADQ2" t="str">
        <v/>
      </c>
      <c r="ADR2" t="str">
        <v>0</v>
      </c>
      <c r="ADS2" t="str">
        <v>0</v>
      </c>
      <c r="ADT2" t="str">
        <v>0</v>
      </c>
      <c r="ADU2" t="str">
        <v>0</v>
      </c>
      <c r="ADV2" t="str">
        <v>0</v>
      </c>
      <c r="ADW2" t="str">
        <v>0</v>
      </c>
      <c r="ADX2" t="str">
        <v/>
      </c>
      <c r="ADY2" t="str">
        <v>0</v>
      </c>
      <c r="ADZ2" t="str">
        <v>0</v>
      </c>
      <c r="AEA2" t="str">
        <v>0</v>
      </c>
      <c r="AEB2" t="str">
        <v>0</v>
      </c>
      <c r="AEC2" t="str">
        <v>0</v>
      </c>
      <c r="AED2" t="str">
        <v>0</v>
      </c>
      <c r="AEE2" t="str">
        <v/>
      </c>
      <c r="AEF2" t="str">
        <v>0</v>
      </c>
      <c r="AEG2" t="str">
        <v>0</v>
      </c>
      <c r="AEH2" t="str">
        <v>0</v>
      </c>
      <c r="AEI2" t="str">
        <v>0</v>
      </c>
      <c r="AEJ2" t="str">
        <v>0</v>
      </c>
      <c r="AEK2" t="str">
        <v>0</v>
      </c>
      <c r="AEL2" t="str">
        <v/>
      </c>
      <c r="AEM2" t="str">
        <v>0</v>
      </c>
      <c r="AEN2" t="str">
        <v>0</v>
      </c>
      <c r="AEO2" t="str">
        <v>0</v>
      </c>
      <c r="AEP2" t="str">
        <v>0</v>
      </c>
      <c r="AEQ2" t="str">
        <v>0</v>
      </c>
      <c r="AER2" t="str">
        <v>0</v>
      </c>
      <c r="AES2" t="str">
        <v/>
      </c>
      <c r="AET2" t="str">
        <v>0</v>
      </c>
      <c r="AEU2" t="str">
        <v>0</v>
      </c>
      <c r="AEV2" t="str">
        <v>0</v>
      </c>
      <c r="AEW2" t="str">
        <v>0</v>
      </c>
      <c r="AEX2" t="str">
        <v>0</v>
      </c>
      <c r="AEY2" t="str">
        <v>0</v>
      </c>
      <c r="AEZ2" t="str">
        <v/>
      </c>
      <c r="AFA2" t="str">
        <v>0</v>
      </c>
      <c r="AFB2" t="str">
        <v>0</v>
      </c>
      <c r="AFC2" t="str">
        <v>0</v>
      </c>
      <c r="AFD2" t="str">
        <v>0</v>
      </c>
      <c r="AFE2" t="str">
        <v>0</v>
      </c>
      <c r="AFF2" t="str">
        <v>0</v>
      </c>
      <c r="AFG2" t="str">
        <v/>
      </c>
      <c r="AFH2" t="str">
        <v>0</v>
      </c>
      <c r="AFI2" t="str">
        <v>0</v>
      </c>
      <c r="AFJ2" t="str">
        <v>0</v>
      </c>
      <c r="AFK2" t="str">
        <v>0</v>
      </c>
      <c r="AFL2" t="str">
        <v>0</v>
      </c>
      <c r="AFM2" t="str">
        <v>0</v>
      </c>
      <c r="AFN2" t="str">
        <v/>
      </c>
      <c r="AFO2" t="str">
        <v>0</v>
      </c>
      <c r="AFP2" t="str">
        <v>0</v>
      </c>
      <c r="AFQ2" t="str">
        <v>0</v>
      </c>
      <c r="AFR2" t="str">
        <v>0</v>
      </c>
      <c r="AFS2" t="str">
        <v>0</v>
      </c>
      <c r="AFT2" t="str">
        <v>0</v>
      </c>
      <c r="AFU2" t="str">
        <v/>
      </c>
      <c r="AFV2" t="str">
        <v>0</v>
      </c>
      <c r="AFW2" t="str">
        <v>0</v>
      </c>
      <c r="AFX2" t="str">
        <v>0</v>
      </c>
      <c r="AFY2" t="str">
        <v>0</v>
      </c>
      <c r="AFZ2" t="str">
        <v>0</v>
      </c>
      <c r="AGA2" t="str">
        <v>0</v>
      </c>
      <c r="AGB2" t="str">
        <v/>
      </c>
      <c r="AGC2" t="str">
        <v>0</v>
      </c>
      <c r="AGD2" t="str">
        <v>0</v>
      </c>
      <c r="AGE2" t="str">
        <v>0</v>
      </c>
      <c r="AGF2" t="str">
        <v>0</v>
      </c>
      <c r="AGG2" t="str">
        <v>0</v>
      </c>
      <c r="AGH2" t="str">
        <v>0</v>
      </c>
      <c r="AGI2" t="str">
        <v/>
      </c>
      <c r="AGJ2" t="str">
        <v>0</v>
      </c>
      <c r="AGK2" t="str">
        <v>0</v>
      </c>
      <c r="AGL2" t="str">
        <v>0</v>
      </c>
      <c r="AGM2" t="str">
        <v>0</v>
      </c>
      <c r="AGN2" t="str">
        <v>0</v>
      </c>
      <c r="AGO2" t="str">
        <v>0</v>
      </c>
      <c r="AGP2" t="str">
        <v/>
      </c>
      <c r="AGQ2" t="str">
        <v>0</v>
      </c>
      <c r="AGR2" t="str">
        <v>0</v>
      </c>
      <c r="AGS2" t="str">
        <v>0</v>
      </c>
      <c r="AGT2" t="str">
        <v>0</v>
      </c>
      <c r="AGU2" t="str">
        <v>0</v>
      </c>
      <c r="AGV2" t="str">
        <v>0</v>
      </c>
      <c r="AGW2" t="str">
        <v/>
      </c>
      <c r="AGX2" t="str">
        <v>0</v>
      </c>
      <c r="AGY2" t="str">
        <v>0</v>
      </c>
      <c r="AGZ2" t="str">
        <v>0</v>
      </c>
      <c r="AHA2" t="str">
        <v>0</v>
      </c>
      <c r="AHB2" t="str">
        <v>0</v>
      </c>
      <c r="AHC2" t="str">
        <v>0</v>
      </c>
      <c r="AHD2" t="str">
        <v/>
      </c>
      <c r="AHE2" t="str">
        <v>0</v>
      </c>
      <c r="AHF2" t="str">
        <v>0</v>
      </c>
      <c r="AHG2" t="str">
        <v>0</v>
      </c>
      <c r="AHH2" t="str">
        <v>0</v>
      </c>
      <c r="AHI2" t="str">
        <v>0</v>
      </c>
      <c r="AHJ2" t="str">
        <v>0</v>
      </c>
      <c r="AHK2" t="str">
        <v/>
      </c>
      <c r="AHL2" t="str">
        <v>0</v>
      </c>
      <c r="AHM2" t="str">
        <v>0</v>
      </c>
      <c r="AHN2" t="str">
        <v>0</v>
      </c>
      <c r="AHO2" t="str">
        <v>0</v>
      </c>
      <c r="AHP2" t="str">
        <v>0</v>
      </c>
      <c r="AHQ2" t="str">
        <v>0</v>
      </c>
      <c r="AHR2" t="str">
        <v/>
      </c>
      <c r="AHS2" t="str">
        <v>0</v>
      </c>
      <c r="AHT2" t="str">
        <v>0</v>
      </c>
      <c r="AHU2" t="str">
        <v>0</v>
      </c>
      <c r="AHV2" t="str">
        <v>0</v>
      </c>
      <c r="AHW2" t="str">
        <v>0</v>
      </c>
      <c r="AHX2" t="str">
        <v>0</v>
      </c>
      <c r="AHY2" t="str">
        <v/>
      </c>
      <c r="AHZ2" t="str">
        <v>0</v>
      </c>
      <c r="AIA2" t="str">
        <v>0</v>
      </c>
      <c r="AIB2" t="str">
        <v>0</v>
      </c>
      <c r="AIC2" t="str">
        <v>0</v>
      </c>
      <c r="AID2" t="str">
        <v>0</v>
      </c>
      <c r="AIE2" t="str">
        <v>0</v>
      </c>
      <c r="AIF2" t="str">
        <v/>
      </c>
      <c r="AIG2" t="str">
        <v>0</v>
      </c>
      <c r="AIH2" t="str">
        <v>0</v>
      </c>
      <c r="AII2" t="str">
        <v>0</v>
      </c>
      <c r="AIJ2" t="str">
        <v>0</v>
      </c>
      <c r="AIK2" t="str">
        <v>0</v>
      </c>
      <c r="AIL2" t="str">
        <v>0</v>
      </c>
      <c r="AIM2" t="str">
        <v/>
      </c>
      <c r="AIN2" t="str">
        <v>0</v>
      </c>
      <c r="AIO2" t="str">
        <v>0</v>
      </c>
      <c r="AIP2" t="str">
        <v>0</v>
      </c>
      <c r="AIQ2" t="str">
        <v>0</v>
      </c>
      <c r="AIR2" t="str">
        <v>0</v>
      </c>
      <c r="AIS2" t="str">
        <v>0</v>
      </c>
      <c r="AIT2" t="str">
        <v/>
      </c>
      <c r="AIU2" t="str">
        <v>0</v>
      </c>
      <c r="AIV2" t="str">
        <v>0</v>
      </c>
      <c r="AIW2" t="str">
        <v>0</v>
      </c>
      <c r="AIX2" t="str">
        <v>0</v>
      </c>
      <c r="AIY2" t="str">
        <v>0</v>
      </c>
      <c r="AIZ2" t="str">
        <v>0</v>
      </c>
      <c r="AJA2" t="str">
        <v/>
      </c>
      <c r="AJB2" t="str">
        <v>0</v>
      </c>
      <c r="AJC2" t="str">
        <v>0</v>
      </c>
      <c r="AJD2" t="str">
        <v>0</v>
      </c>
      <c r="AJE2" t="str">
        <v>0</v>
      </c>
      <c r="AJF2" t="str">
        <v>0</v>
      </c>
      <c r="AJG2" t="str">
        <v>0</v>
      </c>
      <c r="AJH2" t="str">
        <v/>
      </c>
      <c r="AJI2" t="str">
        <v>0</v>
      </c>
      <c r="AJJ2" t="str">
        <v>0</v>
      </c>
      <c r="AJK2" t="str">
        <v>0</v>
      </c>
      <c r="AJL2" t="str">
        <v>0</v>
      </c>
      <c r="AJM2" t="str">
        <v>0</v>
      </c>
      <c r="AJN2" t="str">
        <v>0</v>
      </c>
      <c r="AJO2" t="str">
        <v/>
      </c>
      <c r="AJP2" t="str">
        <v>0</v>
      </c>
      <c r="AJQ2" t="str">
        <v>0</v>
      </c>
      <c r="AJR2" t="str">
        <v>0</v>
      </c>
      <c r="AJS2" t="str">
        <v>0</v>
      </c>
      <c r="AJT2" t="str">
        <v>0</v>
      </c>
      <c r="AJU2" t="str">
        <v>0</v>
      </c>
      <c r="AJV2" t="str">
        <v/>
      </c>
      <c r="AJW2" t="str">
        <v>0</v>
      </c>
      <c r="AJX2" t="str">
        <v>0</v>
      </c>
      <c r="AJY2" t="str">
        <v>0</v>
      </c>
      <c r="AJZ2" t="str">
        <v>0</v>
      </c>
      <c r="AKA2" t="str">
        <v>0</v>
      </c>
      <c r="AKB2" t="str">
        <v>0</v>
      </c>
      <c r="AKC2" t="str">
        <v/>
      </c>
      <c r="AKD2" t="str">
        <v>0</v>
      </c>
      <c r="AKE2" t="str">
        <v>0</v>
      </c>
      <c r="AKF2" t="str">
        <v>0</v>
      </c>
      <c r="AKG2" t="str">
        <v>0</v>
      </c>
      <c r="AKH2" t="str">
        <v>0</v>
      </c>
      <c r="AKI2" t="str">
        <v>0</v>
      </c>
      <c r="AKJ2" t="str">
        <v/>
      </c>
      <c r="AKK2" t="str">
        <v>0</v>
      </c>
      <c r="AKL2" t="str">
        <v>0</v>
      </c>
      <c r="AKM2" t="str">
        <v>0</v>
      </c>
      <c r="AKN2" t="str">
        <v>0</v>
      </c>
      <c r="AKO2" t="str">
        <v>0</v>
      </c>
      <c r="AKP2" t="str">
        <v>0</v>
      </c>
      <c r="AKQ2" t="str">
        <v/>
      </c>
      <c r="AKR2" t="str">
        <v>0</v>
      </c>
      <c r="AKS2" t="str">
        <v>0</v>
      </c>
      <c r="AKT2" t="str">
        <v>0</v>
      </c>
      <c r="AKU2" t="str">
        <v>0</v>
      </c>
      <c r="AKV2" t="str">
        <v>0</v>
      </c>
      <c r="AKW2" t="str">
        <v>0</v>
      </c>
      <c r="AKX2" t="str">
        <v/>
      </c>
      <c r="AKY2" t="str">
        <v>0</v>
      </c>
      <c r="AKZ2" t="str">
        <v>0</v>
      </c>
      <c r="ALA2" t="str">
        <v>0</v>
      </c>
      <c r="ALB2" t="str">
        <v>0</v>
      </c>
      <c r="ALC2" t="str">
        <v>0</v>
      </c>
      <c r="ALD2" t="str">
        <v>0</v>
      </c>
      <c r="ALE2" t="str">
        <v/>
      </c>
      <c r="ALF2" t="str">
        <v>0</v>
      </c>
      <c r="ALG2" t="str">
        <v>0</v>
      </c>
      <c r="ALH2" t="str">
        <v>0</v>
      </c>
      <c r="ALI2" t="str">
        <v>0</v>
      </c>
      <c r="ALJ2" t="str">
        <v>0</v>
      </c>
      <c r="ALK2" t="str">
        <v>0</v>
      </c>
      <c r="ALL2" t="str">
        <v/>
      </c>
      <c r="ALM2" t="str">
        <v>0</v>
      </c>
      <c r="ALN2" t="str">
        <v>0</v>
      </c>
      <c r="ALO2" t="str">
        <v>0</v>
      </c>
      <c r="ALP2" t="str">
        <v>0</v>
      </c>
      <c r="ALQ2" t="str">
        <v>0</v>
      </c>
      <c r="ALR2" t="str">
        <v>0</v>
      </c>
      <c r="ALS2" t="str">
        <v/>
      </c>
      <c r="ALT2" t="str">
        <v>0</v>
      </c>
      <c r="ALU2" t="str">
        <v>0</v>
      </c>
      <c r="ALV2" t="str">
        <v>0</v>
      </c>
      <c r="ALW2" t="str">
        <v>0</v>
      </c>
      <c r="ALX2" t="str">
        <v>0</v>
      </c>
      <c r="ALY2" t="str">
        <v>0</v>
      </c>
      <c r="ALZ2" t="str">
        <v/>
      </c>
      <c r="AMA2" t="str">
        <v>0</v>
      </c>
      <c r="AMB2" t="str">
        <v>0</v>
      </c>
      <c r="AMC2" t="str">
        <v>0</v>
      </c>
      <c r="AMD2" t="str">
        <v>0</v>
      </c>
      <c r="AME2" t="str">
        <v>0</v>
      </c>
      <c r="AMF2" t="str">
        <v>0</v>
      </c>
      <c r="AMG2" t="str">
        <v/>
      </c>
      <c r="AMH2" t="str">
        <v>0</v>
      </c>
      <c r="AMI2" t="str">
        <v>0</v>
      </c>
      <c r="AMJ2" t="str">
        <v>0</v>
      </c>
      <c r="AMK2" t="str">
        <v>0</v>
      </c>
      <c r="AML2" t="str">
        <v>0</v>
      </c>
      <c r="AMM2" t="str">
        <v>0</v>
      </c>
      <c r="AMN2" t="str">
        <v/>
      </c>
      <c r="AMO2" t="str">
        <v>0</v>
      </c>
      <c r="AMP2" t="str">
        <v>0</v>
      </c>
      <c r="AMQ2" t="str">
        <v>0</v>
      </c>
      <c r="AMR2" t="str">
        <v>0</v>
      </c>
      <c r="AMS2" t="str">
        <v>0</v>
      </c>
      <c r="AMT2" t="str">
        <v>0</v>
      </c>
      <c r="AMU2" t="str">
        <v/>
      </c>
      <c r="AMV2" t="str">
        <v>0</v>
      </c>
      <c r="AMW2" t="str">
        <v>0</v>
      </c>
      <c r="AMX2" t="str">
        <v>0</v>
      </c>
      <c r="AMY2" t="str">
        <v>0</v>
      </c>
      <c r="AMZ2" t="str">
        <v>0</v>
      </c>
      <c r="ANA2" t="str">
        <v>0</v>
      </c>
      <c r="ANB2" t="str">
        <v/>
      </c>
      <c r="ANC2" t="str">
        <v>0</v>
      </c>
      <c r="AND2" t="str">
        <v>0</v>
      </c>
      <c r="ANE2" t="str">
        <v>0</v>
      </c>
      <c r="ANF2" t="str">
        <v>0</v>
      </c>
      <c r="ANG2" t="str">
        <v>0</v>
      </c>
      <c r="ANH2" t="str">
        <v>0</v>
      </c>
      <c r="ANI2" t="str">
        <v/>
      </c>
      <c r="ANJ2" t="str">
        <v>0</v>
      </c>
      <c r="ANK2" t="str">
        <v>0</v>
      </c>
      <c r="ANL2" t="str">
        <v>0</v>
      </c>
      <c r="ANM2" t="str">
        <v>0</v>
      </c>
      <c r="ANN2" t="str">
        <v>0</v>
      </c>
      <c r="ANO2" t="str">
        <v>0</v>
      </c>
      <c r="ANP2" t="str">
        <v/>
      </c>
      <c r="ANQ2" t="str">
        <v>0</v>
      </c>
      <c r="ANR2" t="str">
        <v>0</v>
      </c>
      <c r="ANS2" t="str">
        <v>0</v>
      </c>
      <c r="ANT2" t="str">
        <v>0</v>
      </c>
      <c r="ANU2" t="str">
        <v>0</v>
      </c>
      <c r="ANV2" t="str">
        <v>0</v>
      </c>
      <c r="ANW2" t="str">
        <v/>
      </c>
      <c r="ANX2" t="str">
        <v>0</v>
      </c>
      <c r="ANY2" t="str">
        <v>0</v>
      </c>
      <c r="ANZ2" t="str">
        <v>0</v>
      </c>
      <c r="AOA2" t="str">
        <v>0</v>
      </c>
      <c r="AOB2" t="str">
        <v>0</v>
      </c>
      <c r="AOC2" t="str">
        <v>0</v>
      </c>
      <c r="AOD2" t="str">
        <v/>
      </c>
      <c r="AOE2" t="str">
        <v>0</v>
      </c>
      <c r="AOF2" t="str">
        <v>0</v>
      </c>
      <c r="AOG2" t="str">
        <v>0</v>
      </c>
      <c r="AOH2" t="str">
        <v>0</v>
      </c>
      <c r="AOI2" t="str">
        <v>0</v>
      </c>
      <c r="AOJ2" t="str">
        <v>0</v>
      </c>
      <c r="AOK2" t="str">
        <v/>
      </c>
      <c r="AOL2" t="str">
        <v>0</v>
      </c>
      <c r="AOM2" t="str">
        <v>0</v>
      </c>
      <c r="AON2" t="str">
        <v>0</v>
      </c>
      <c r="AOO2" t="str">
        <v>0</v>
      </c>
      <c r="AOP2" t="str">
        <v>0</v>
      </c>
      <c r="AOQ2" t="str">
        <v>0</v>
      </c>
      <c r="AOR2" t="str">
        <v/>
      </c>
      <c r="AOS2" t="str">
        <v>0</v>
      </c>
      <c r="AOT2" t="str">
        <v>0</v>
      </c>
      <c r="AOU2" t="str">
        <v>0</v>
      </c>
      <c r="AOV2" t="str">
        <v>0</v>
      </c>
      <c r="AOW2" t="str">
        <v>0</v>
      </c>
      <c r="AOX2" t="str">
        <v>0</v>
      </c>
      <c r="AOY2" t="str">
        <v/>
      </c>
      <c r="AOZ2" t="str">
        <v>0</v>
      </c>
      <c r="APA2" t="str">
        <v>0</v>
      </c>
      <c r="APB2" t="str">
        <v>0</v>
      </c>
      <c r="APC2" t="str">
        <v>0</v>
      </c>
      <c r="APD2" t="str">
        <v>0</v>
      </c>
      <c r="APE2" t="str">
        <v>0</v>
      </c>
      <c r="APF2" t="str">
        <v/>
      </c>
      <c r="APG2" t="str">
        <v>0</v>
      </c>
      <c r="APH2" t="str">
        <v>0</v>
      </c>
      <c r="API2" t="str">
        <v>0</v>
      </c>
      <c r="APJ2" t="str">
        <v>0</v>
      </c>
      <c r="APK2" t="str">
        <v>0</v>
      </c>
      <c r="APL2" t="str">
        <v>0</v>
      </c>
      <c r="APM2" t="str">
        <v/>
      </c>
      <c r="APN2" t="str">
        <v>0</v>
      </c>
      <c r="APO2" t="str">
        <v>0</v>
      </c>
      <c r="APP2" t="str">
        <v>0</v>
      </c>
      <c r="APQ2" t="str">
        <v>0</v>
      </c>
      <c r="APR2" t="str">
        <v>0</v>
      </c>
      <c r="APS2" t="str">
        <v>0</v>
      </c>
      <c r="APT2" t="str">
        <v/>
      </c>
      <c r="APU2" t="str">
        <v>0</v>
      </c>
      <c r="APV2" t="str">
        <v>0</v>
      </c>
      <c r="APW2" t="str">
        <v>0</v>
      </c>
      <c r="APX2" t="str">
        <v>0</v>
      </c>
      <c r="APY2" t="str">
        <v>0</v>
      </c>
      <c r="APZ2" t="str">
        <v>0</v>
      </c>
      <c r="AQA2" t="str">
        <v/>
      </c>
      <c r="AQB2" t="str">
        <v>0</v>
      </c>
      <c r="AQC2" t="str">
        <v>0</v>
      </c>
      <c r="AQD2" t="str">
        <v>0</v>
      </c>
      <c r="AQE2" t="str">
        <v>0</v>
      </c>
      <c r="AQF2" t="str">
        <v>0</v>
      </c>
      <c r="AQG2" t="str">
        <v>0</v>
      </c>
      <c r="AQH2" t="str">
        <v/>
      </c>
      <c r="AQI2" t="str">
        <v>0</v>
      </c>
      <c r="AQJ2" t="str">
        <v>0</v>
      </c>
      <c r="AQK2" t="str">
        <v>0</v>
      </c>
      <c r="AQL2" t="str">
        <v>0</v>
      </c>
      <c r="AQM2" t="str">
        <v>0</v>
      </c>
      <c r="AQN2" t="str">
        <v>0</v>
      </c>
      <c r="AQO2" t="str">
        <v/>
      </c>
      <c r="AQP2" t="str">
        <v>0</v>
      </c>
      <c r="AQQ2" t="str">
        <v>0</v>
      </c>
      <c r="AQR2" t="str">
        <v>0</v>
      </c>
      <c r="AQS2" t="str">
        <v>0</v>
      </c>
      <c r="AQT2" t="str">
        <v>0</v>
      </c>
      <c r="AQU2" t="str">
        <v>0</v>
      </c>
      <c r="AQV2" t="str">
        <v/>
      </c>
      <c r="AQW2" t="str">
        <v>0</v>
      </c>
      <c r="AQX2" t="str">
        <v>0</v>
      </c>
      <c r="AQY2" t="str">
        <v>0</v>
      </c>
      <c r="AQZ2" t="str">
        <v>0</v>
      </c>
      <c r="ARA2" t="str">
        <v>0</v>
      </c>
      <c r="ARB2" t="str">
        <v>0</v>
      </c>
      <c r="ARC2" t="str">
        <v/>
      </c>
      <c r="ARD2" t="str">
        <v>0</v>
      </c>
      <c r="ARE2" t="str">
        <v>0</v>
      </c>
      <c r="ARF2" t="str">
        <v>0</v>
      </c>
      <c r="ARG2" t="str">
        <v>0</v>
      </c>
      <c r="ARH2" t="str">
        <v>0</v>
      </c>
      <c r="ARI2" t="str">
        <v>0</v>
      </c>
      <c r="ARJ2" t="str">
        <v/>
      </c>
      <c r="ARK2" t="str">
        <v>0</v>
      </c>
      <c r="ARL2" t="str">
        <v>0</v>
      </c>
      <c r="ARM2" t="str">
        <v>0</v>
      </c>
      <c r="ARN2" t="str">
        <v>0</v>
      </c>
      <c r="ARO2" t="str">
        <v>0</v>
      </c>
      <c r="ARP2" t="str">
        <v>0</v>
      </c>
      <c r="ARQ2" t="str">
        <v/>
      </c>
      <c r="ARR2" t="str">
        <v>0</v>
      </c>
      <c r="ARS2" t="str">
        <v>0</v>
      </c>
      <c r="ART2" t="str">
        <v>0</v>
      </c>
      <c r="ARU2" t="str">
        <v>0</v>
      </c>
      <c r="ARV2" t="str">
        <v>0</v>
      </c>
      <c r="ARW2" t="str">
        <v>0</v>
      </c>
      <c r="ARX2" t="str">
        <v/>
      </c>
      <c r="ARY2" t="str">
        <v>0</v>
      </c>
      <c r="ARZ2" t="str">
        <v>0</v>
      </c>
      <c r="ASA2" t="str">
        <v>0</v>
      </c>
      <c r="ASB2" t="str">
        <v>0</v>
      </c>
      <c r="ASC2" t="str">
        <v>0</v>
      </c>
      <c r="ASD2" t="str">
        <v>0</v>
      </c>
      <c r="ASE2" t="str">
        <v/>
      </c>
      <c r="ASF2" t="str">
        <v>0</v>
      </c>
      <c r="ASG2" t="str">
        <v>0</v>
      </c>
      <c r="ASH2" t="str">
        <v>0</v>
      </c>
      <c r="ASI2" t="str">
        <v>0</v>
      </c>
      <c r="ASJ2" t="str">
        <v>0</v>
      </c>
      <c r="ASK2" t="str">
        <v>0</v>
      </c>
      <c r="ASL2" t="str">
        <v/>
      </c>
      <c r="ASM2" t="str">
        <v>0</v>
      </c>
      <c r="ASN2" t="str">
        <v>0</v>
      </c>
      <c r="ASO2" t="str">
        <v>0</v>
      </c>
      <c r="ASP2" t="str">
        <v>0</v>
      </c>
      <c r="ASQ2" t="str">
        <v>0</v>
      </c>
      <c r="ASR2" t="str">
        <v>0</v>
      </c>
      <c r="ASS2" t="str">
        <v/>
      </c>
      <c r="AST2" t="str">
        <v>0</v>
      </c>
      <c r="ASU2" t="str">
        <v>0</v>
      </c>
      <c r="ASV2" t="str">
        <v>0</v>
      </c>
      <c r="ASW2" t="str">
        <v>0</v>
      </c>
      <c r="ASX2" t="str">
        <v>0</v>
      </c>
      <c r="ASY2" t="str">
        <v>0</v>
      </c>
      <c r="ASZ2" t="str">
        <v/>
      </c>
      <c r="ATA2" t="str">
        <v>0</v>
      </c>
      <c r="ATB2" t="str">
        <v>0</v>
      </c>
      <c r="ATC2" t="str">
        <v>0</v>
      </c>
      <c r="ATD2" t="str">
        <v>0</v>
      </c>
      <c r="ATE2" t="str">
        <v>0</v>
      </c>
      <c r="ATF2" t="str">
        <v>0</v>
      </c>
      <c r="ATG2" t="str">
        <v/>
      </c>
      <c r="ATH2" t="str">
        <v>0</v>
      </c>
      <c r="ATI2" t="str">
        <v>0</v>
      </c>
      <c r="ATJ2" t="str">
        <v>0</v>
      </c>
      <c r="ATK2" t="str">
        <v>0</v>
      </c>
      <c r="ATL2" t="str">
        <v>0</v>
      </c>
      <c r="ATM2" t="str">
        <v>0</v>
      </c>
      <c r="ATN2" t="str">
        <v/>
      </c>
      <c r="ATO2" t="str">
        <v>0</v>
      </c>
      <c r="ATP2" t="str">
        <v>0</v>
      </c>
      <c r="ATQ2" t="str">
        <v>0</v>
      </c>
      <c r="ATR2" t="str">
        <v>0</v>
      </c>
      <c r="ATS2" t="str">
        <v>0</v>
      </c>
      <c r="ATT2" t="str">
        <v>0</v>
      </c>
      <c r="ATU2" t="str">
        <v/>
      </c>
      <c r="ATV2" t="str">
        <v>0</v>
      </c>
      <c r="ATW2" t="str">
        <v>0</v>
      </c>
      <c r="ATX2" t="str">
        <v>0</v>
      </c>
      <c r="ATY2" t="str">
        <v>0</v>
      </c>
      <c r="ATZ2" t="str">
        <v>0</v>
      </c>
      <c r="AUA2" t="str">
        <v>0</v>
      </c>
      <c r="AUB2" t="str">
        <v/>
      </c>
      <c r="AUC2" t="str">
        <v>0</v>
      </c>
      <c r="AUD2" t="str">
        <v>0</v>
      </c>
      <c r="AUE2" t="str">
        <v>0</v>
      </c>
      <c r="AUF2" t="str">
        <v>0</v>
      </c>
      <c r="AUG2" t="str">
        <v>0</v>
      </c>
      <c r="AUH2" t="str">
        <v>0</v>
      </c>
      <c r="AUI2" t="str">
        <v/>
      </c>
      <c r="AUJ2" t="str">
        <v>0</v>
      </c>
      <c r="AUK2" t="str">
        <v>0</v>
      </c>
      <c r="AUL2" t="str">
        <v>0</v>
      </c>
      <c r="AUM2" t="str">
        <v>0</v>
      </c>
      <c r="AUN2" t="str">
        <v>0</v>
      </c>
      <c r="AUO2" t="str">
        <v>0</v>
      </c>
      <c r="AUP2" t="str">
        <v/>
      </c>
      <c r="AUQ2" t="str">
        <v>0</v>
      </c>
      <c r="AUR2" t="str">
        <v>0</v>
      </c>
      <c r="AUS2" t="str">
        <v>0</v>
      </c>
      <c r="AUT2" t="str">
        <v>0</v>
      </c>
      <c r="AUU2" t="str">
        <v>0</v>
      </c>
      <c r="AUV2" t="str">
        <v>0</v>
      </c>
      <c r="AUW2" t="str">
        <v/>
      </c>
      <c r="AUX2" t="str">
        <v>0</v>
      </c>
      <c r="AUY2" t="str">
        <v>0</v>
      </c>
      <c r="AUZ2" t="str">
        <v>0</v>
      </c>
      <c r="AVA2" t="str">
        <v>0</v>
      </c>
      <c r="AVB2" t="str">
        <v>0</v>
      </c>
      <c r="AVC2" t="str">
        <v>0</v>
      </c>
      <c r="AVD2" t="str">
        <v/>
      </c>
      <c r="AVE2" t="str">
        <v>0</v>
      </c>
      <c r="AVF2" t="str">
        <v>0</v>
      </c>
      <c r="AVG2" t="str">
        <v>0</v>
      </c>
      <c r="AVH2" t="str">
        <v>0</v>
      </c>
      <c r="AVI2" t="str">
        <v>0</v>
      </c>
      <c r="AVJ2" t="str">
        <v>0</v>
      </c>
      <c r="AVK2" t="str">
        <v/>
      </c>
      <c r="AVL2" t="str">
        <v>0</v>
      </c>
      <c r="AVM2" t="str">
        <v>0</v>
      </c>
      <c r="AVN2" t="str">
        <v>0</v>
      </c>
      <c r="AVO2" t="str">
        <v>0</v>
      </c>
      <c r="AVP2" t="str">
        <v>0</v>
      </c>
      <c r="AVQ2" t="str">
        <v>0</v>
      </c>
      <c r="AVR2" t="str">
        <v/>
      </c>
      <c r="AVS2" t="str">
        <v>0</v>
      </c>
      <c r="AVT2" t="str">
        <v>0</v>
      </c>
      <c r="AVU2" t="str">
        <v>0</v>
      </c>
      <c r="AVV2" t="str">
        <v>0</v>
      </c>
      <c r="AVW2" t="str">
        <v>0</v>
      </c>
      <c r="AVX2" t="str">
        <v>0</v>
      </c>
      <c r="AVY2" t="str">
        <v/>
      </c>
      <c r="AVZ2" t="str">
        <v>0</v>
      </c>
      <c r="AWA2" t="str">
        <v>0</v>
      </c>
      <c r="AWB2" t="str">
        <v>0</v>
      </c>
      <c r="AWC2" t="str">
        <v>0</v>
      </c>
      <c r="AWD2" t="str">
        <v>0</v>
      </c>
      <c r="AWE2" t="str">
        <v>0</v>
      </c>
      <c r="AWF2" t="str">
        <v/>
      </c>
      <c r="AWG2" t="str">
        <v>0</v>
      </c>
      <c r="AWH2" t="str">
        <v>0</v>
      </c>
      <c r="AWI2" t="str">
        <v>0</v>
      </c>
      <c r="AWJ2" t="str">
        <v>0</v>
      </c>
      <c r="AWK2" t="str">
        <v>0</v>
      </c>
      <c r="AWL2" t="str">
        <v>0</v>
      </c>
      <c r="AWM2" t="str">
        <v>0</v>
      </c>
      <c r="AWN2" t="str">
        <v/>
      </c>
      <c r="AWO2" t="str">
        <v/>
      </c>
      <c r="AWP2" t="str">
        <v>0</v>
      </c>
      <c r="AWQ2" t="str">
        <v>0</v>
      </c>
      <c r="AWR2" t="str">
        <v>0</v>
      </c>
      <c r="AWS2" t="str">
        <v>0</v>
      </c>
      <c r="AWT2" t="str">
        <v>0</v>
      </c>
      <c r="AWU2" t="str">
        <v>0</v>
      </c>
      <c r="AWV2" t="str">
        <v>0</v>
      </c>
      <c r="AWW2" t="str">
        <v/>
      </c>
      <c r="AWX2" t="str">
        <v/>
      </c>
      <c r="AWY2" t="str">
        <v>0</v>
      </c>
      <c r="AWZ2" t="str">
        <v>0</v>
      </c>
      <c r="AXA2" t="str">
        <v>0</v>
      </c>
      <c r="AXB2" t="str">
        <v>0</v>
      </c>
      <c r="AXC2" t="str">
        <v>0</v>
      </c>
      <c r="AXD2" t="str">
        <v>0</v>
      </c>
      <c r="AXE2" t="str">
        <v>0</v>
      </c>
      <c r="AXF2" t="str">
        <v/>
      </c>
      <c r="AXG2" t="str">
        <v/>
      </c>
      <c r="AXH2" t="str">
        <v>0</v>
      </c>
      <c r="AXI2" t="str">
        <v>0</v>
      </c>
      <c r="AXJ2" t="str">
        <v>0</v>
      </c>
      <c r="AXK2" t="str">
        <v>0</v>
      </c>
      <c r="AXL2" t="str">
        <v>0</v>
      </c>
      <c r="AXM2" t="str">
        <v>0</v>
      </c>
      <c r="AXN2" t="str">
        <v>0</v>
      </c>
      <c r="AXO2" t="str">
        <v/>
      </c>
      <c r="AXP2" t="str">
        <v/>
      </c>
      <c r="AXQ2" t="str">
        <v>0</v>
      </c>
      <c r="AXR2" t="str">
        <v>0</v>
      </c>
      <c r="AXS2" t="str">
        <v>0</v>
      </c>
      <c r="AXT2" t="str">
        <v>0</v>
      </c>
      <c r="AXU2" t="str">
        <v>0</v>
      </c>
      <c r="AXV2" t="str">
        <v>0</v>
      </c>
      <c r="AXW2" t="str">
        <v>0</v>
      </c>
      <c r="AXX2" t="str">
        <v/>
      </c>
      <c r="AXY2" t="str">
        <v/>
      </c>
      <c r="AXZ2" t="str">
        <v>0</v>
      </c>
      <c r="AYA2" t="str">
        <v>0</v>
      </c>
      <c r="AYB2" t="str">
        <v>0</v>
      </c>
      <c r="AYC2" t="str">
        <v>0</v>
      </c>
      <c r="AYD2" t="str">
        <v>0</v>
      </c>
      <c r="AYE2" t="str">
        <v>0</v>
      </c>
      <c r="AYF2" t="str">
        <v>0</v>
      </c>
      <c r="AYG2" t="str">
        <v/>
      </c>
      <c r="AYH2" t="str">
        <v/>
      </c>
      <c r="AYI2" t="str">
        <v>0</v>
      </c>
      <c r="AYJ2" t="str">
        <v>0</v>
      </c>
      <c r="AYK2" t="str">
        <v>0</v>
      </c>
      <c r="AYL2" t="str">
        <v>0</v>
      </c>
      <c r="AYM2" t="str">
        <v>0</v>
      </c>
      <c r="AYN2" t="str">
        <v>0</v>
      </c>
      <c r="AYO2" t="str">
        <v>0</v>
      </c>
      <c r="AYP2" t="str">
        <v/>
      </c>
      <c r="AYQ2" t="str">
        <v/>
      </c>
      <c r="AYR2" t="str">
        <v>0</v>
      </c>
      <c r="AYS2" t="str">
        <v>0</v>
      </c>
      <c r="AYT2" t="str">
        <v>0</v>
      </c>
      <c r="AYU2" t="str">
        <v>0</v>
      </c>
      <c r="AYV2" t="str">
        <v>0</v>
      </c>
      <c r="AYW2" t="str">
        <v>0</v>
      </c>
      <c r="AYX2" t="str">
        <v>0</v>
      </c>
      <c r="AYY2" t="str">
        <v/>
      </c>
      <c r="AYZ2" t="str">
        <v/>
      </c>
      <c r="AZA2" t="str">
        <v>0</v>
      </c>
      <c r="AZB2" t="str">
        <v>0</v>
      </c>
      <c r="AZC2" t="str">
        <v>0</v>
      </c>
      <c r="AZD2" t="str">
        <v>0</v>
      </c>
      <c r="AZE2" t="str">
        <v>0</v>
      </c>
      <c r="AZF2" t="str">
        <v>0</v>
      </c>
      <c r="AZG2" t="str">
        <v>0</v>
      </c>
      <c r="AZH2" t="str">
        <v/>
      </c>
      <c r="AZI2" t="str">
        <v/>
      </c>
      <c r="AZJ2" t="str">
        <v>0</v>
      </c>
      <c r="AZK2" t="str">
        <v>0</v>
      </c>
      <c r="AZL2" t="str">
        <v>0</v>
      </c>
      <c r="AZM2" t="str">
        <v>0</v>
      </c>
      <c r="AZN2" t="str">
        <v>0</v>
      </c>
      <c r="AZO2" t="str">
        <v>0</v>
      </c>
      <c r="AZP2" t="str">
        <v>0</v>
      </c>
      <c r="AZQ2" t="str">
        <v/>
      </c>
      <c r="AZR2" t="str">
        <v/>
      </c>
      <c r="AZS2" t="str">
        <v>0</v>
      </c>
      <c r="AZT2" t="str">
        <v>0</v>
      </c>
      <c r="AZU2" t="str">
        <v>0</v>
      </c>
      <c r="AZV2" t="str">
        <v>0</v>
      </c>
      <c r="AZW2" t="str">
        <v>0</v>
      </c>
      <c r="AZX2" t="str">
        <v>0</v>
      </c>
      <c r="AZY2" t="str">
        <v>0</v>
      </c>
      <c r="AZZ2" t="str">
        <v/>
      </c>
      <c r="BAA2" t="str">
        <v/>
      </c>
      <c r="BAB2" t="str">
        <v>0</v>
      </c>
      <c r="BAC2" t="str">
        <v>0</v>
      </c>
      <c r="BAD2" t="str">
        <v>0</v>
      </c>
      <c r="BAE2" t="str">
        <v>0</v>
      </c>
      <c r="BAF2" t="str">
        <v>0</v>
      </c>
      <c r="BAG2" t="str">
        <v>0</v>
      </c>
      <c r="BAH2" t="str">
        <v>0</v>
      </c>
      <c r="BAI2" t="str">
        <v/>
      </c>
      <c r="BAJ2" t="str">
        <v/>
      </c>
      <c r="BAK2" t="str">
        <v>0</v>
      </c>
      <c r="BAL2" t="str">
        <v>0</v>
      </c>
      <c r="BAM2" t="str">
        <v>0</v>
      </c>
      <c r="BAN2" t="str">
        <v>0</v>
      </c>
      <c r="BAO2" t="str">
        <v>0</v>
      </c>
      <c r="BAP2" t="str">
        <v>0</v>
      </c>
      <c r="BAQ2" t="str">
        <v>0</v>
      </c>
      <c r="BAR2" t="str">
        <v/>
      </c>
      <c r="BAS2" t="str">
        <v/>
      </c>
      <c r="BAT2" t="str">
        <v>0</v>
      </c>
      <c r="BAU2" t="str">
        <v>0</v>
      </c>
      <c r="BAV2" t="str">
        <v>0</v>
      </c>
      <c r="BAW2" t="str">
        <v>0</v>
      </c>
      <c r="BAX2" t="str">
        <v>0</v>
      </c>
      <c r="BAY2" t="str">
        <v>0</v>
      </c>
      <c r="BAZ2" t="str">
        <v>0</v>
      </c>
      <c r="BBA2" t="str">
        <v/>
      </c>
      <c r="BBB2" t="str">
        <v/>
      </c>
      <c r="BBC2" t="str">
        <v>0</v>
      </c>
      <c r="BBD2" t="str">
        <v>0</v>
      </c>
      <c r="BBE2" t="str">
        <v>0</v>
      </c>
      <c r="BBF2" t="str">
        <v>0</v>
      </c>
      <c r="BBG2" t="str">
        <v>0</v>
      </c>
      <c r="BBH2" t="str">
        <v>0</v>
      </c>
      <c r="BBI2" t="str">
        <v>0</v>
      </c>
      <c r="BBJ2" t="str">
        <v/>
      </c>
      <c r="BBK2" t="str">
        <v/>
      </c>
      <c r="BBL2" t="str">
        <v>0</v>
      </c>
      <c r="BBM2" t="str">
        <v>0</v>
      </c>
      <c r="BBN2" t="str">
        <v>0</v>
      </c>
      <c r="BBO2" t="str">
        <v>0</v>
      </c>
      <c r="BBP2" t="str">
        <v>0</v>
      </c>
      <c r="BBQ2" t="str">
        <v>0</v>
      </c>
      <c r="BBR2" t="str">
        <v>0</v>
      </c>
      <c r="BBS2" t="str">
        <v>0</v>
      </c>
      <c r="BBT2" t="str">
        <v>0</v>
      </c>
      <c r="BBU2" t="str">
        <v>0</v>
      </c>
      <c r="BBV2" t="str">
        <v>0</v>
      </c>
      <c r="BBW2" t="str">
        <v>0</v>
      </c>
      <c r="BBX2" t="str">
        <v>0</v>
      </c>
      <c r="BBY2" t="str">
        <v>0</v>
      </c>
      <c r="BBZ2" t="str">
        <v>0</v>
      </c>
      <c r="BCA2" t="str">
        <v>0</v>
      </c>
      <c r="BCB2" t="str">
        <v>0</v>
      </c>
      <c r="BCC2" t="str">
        <v>0</v>
      </c>
      <c r="BCD2" t="str">
        <v>0</v>
      </c>
      <c r="BCE2" t="str">
        <v>0</v>
      </c>
      <c r="BCF2" t="str">
        <v>0</v>
      </c>
      <c r="BCG2" t="str">
        <v>0</v>
      </c>
      <c r="BCH2" t="str">
        <v>0</v>
      </c>
      <c r="BCI2" t="str">
        <v>0</v>
      </c>
      <c r="BCJ2" t="str">
        <v>0</v>
      </c>
      <c r="BCK2" t="str">
        <v>0</v>
      </c>
      <c r="BCL2" t="str">
        <v>0</v>
      </c>
      <c r="BCM2" t="str">
        <v>0</v>
      </c>
      <c r="BCN2" t="str">
        <v>0</v>
      </c>
      <c r="BCO2" t="str">
        <v>0</v>
      </c>
      <c r="BCP2" t="str">
        <v>0</v>
      </c>
      <c r="BCQ2" t="str">
        <v>0</v>
      </c>
      <c r="BCR2" t="str">
        <v>0</v>
      </c>
      <c r="BCS2" t="str">
        <v>0</v>
      </c>
      <c r="BCT2" t="str">
        <v>0</v>
      </c>
      <c r="BCU2" t="str">
        <v>0</v>
      </c>
      <c r="BCV2" t="str">
        <v>0</v>
      </c>
      <c r="BCW2" t="str">
        <v>0</v>
      </c>
      <c r="BCX2" t="str">
        <v>0</v>
      </c>
      <c r="BCY2" t="str">
        <v>0</v>
      </c>
      <c r="BCZ2" t="str">
        <v>0</v>
      </c>
      <c r="BDA2" t="str">
        <v>0</v>
      </c>
      <c r="BDB2" t="str">
        <v>0</v>
      </c>
      <c r="BDC2" t="str">
        <v>0</v>
      </c>
      <c r="BDD2" t="str">
        <v>0</v>
      </c>
      <c r="BDE2" t="str">
        <v>0</v>
      </c>
      <c r="BDF2" t="str">
        <v>0</v>
      </c>
      <c r="BDG2" t="str">
        <v>0</v>
      </c>
      <c r="BDH2" t="str">
        <v>0</v>
      </c>
      <c r="BDI2" t="str">
        <v>0</v>
      </c>
      <c r="BDJ2" t="str">
        <v>0</v>
      </c>
      <c r="BDK2" t="str">
        <v>0</v>
      </c>
      <c r="BDL2" t="str">
        <v>0</v>
      </c>
      <c r="BDM2" t="str">
        <v>0</v>
      </c>
      <c r="BDN2" t="str">
        <v>0</v>
      </c>
      <c r="BDO2" t="str">
        <v>0</v>
      </c>
      <c r="BDP2" t="str">
        <v>0</v>
      </c>
      <c r="BDQ2" t="str">
        <v>0</v>
      </c>
      <c r="BDR2" t="str">
        <v>0</v>
      </c>
      <c r="BDS2" t="str">
        <v>0</v>
      </c>
      <c r="BDT2" t="str">
        <v>0</v>
      </c>
      <c r="BDU2" t="str">
        <v>0</v>
      </c>
      <c r="BDV2" t="str">
        <v>0</v>
      </c>
      <c r="BDW2" t="str">
        <v>0</v>
      </c>
      <c r="BDX2" t="str">
        <v>0</v>
      </c>
      <c r="BDY2" t="str">
        <v>0</v>
      </c>
      <c r="BDZ2" t="str">
        <v>0</v>
      </c>
      <c r="BEA2" t="str">
        <v>0</v>
      </c>
      <c r="BEB2" t="str">
        <v>0</v>
      </c>
      <c r="BEC2" t="str">
        <v>0</v>
      </c>
      <c r="BED2" t="str">
        <v>0</v>
      </c>
      <c r="BEE2" t="str">
        <v>0</v>
      </c>
      <c r="BEF2" t="str">
        <v>0</v>
      </c>
      <c r="BEG2" t="str">
        <v>0</v>
      </c>
      <c r="BEH2" t="str">
        <v>0</v>
      </c>
      <c r="BEI2" t="str">
        <v>0</v>
      </c>
      <c r="BEJ2" t="str">
        <v>0</v>
      </c>
      <c r="BEK2" t="str">
        <v>0</v>
      </c>
      <c r="BEL2" t="str">
        <v>0</v>
      </c>
      <c r="BEM2" t="str">
        <v>0</v>
      </c>
      <c r="BEN2" t="str">
        <v>0</v>
      </c>
      <c r="BEO2" t="str">
        <v>0</v>
      </c>
      <c r="BEP2" t="str">
        <v>0</v>
      </c>
      <c r="BEQ2" t="str">
        <v>0</v>
      </c>
      <c r="BER2" t="str">
        <v>0</v>
      </c>
      <c r="BES2" t="str">
        <v>0</v>
      </c>
      <c r="BET2" t="str">
        <v>0</v>
      </c>
      <c r="BEU2" t="str">
        <v>0</v>
      </c>
      <c r="BEV2" t="str">
        <v>0</v>
      </c>
      <c r="BEW2" t="str">
        <v>0</v>
      </c>
      <c r="BEX2" t="str">
        <v>0</v>
      </c>
      <c r="BEY2" t="str">
        <v>0</v>
      </c>
      <c r="BEZ2" t="str">
        <v>0</v>
      </c>
      <c r="BFA2" t="str">
        <v>0</v>
      </c>
      <c r="BFB2" t="str">
        <v>0</v>
      </c>
      <c r="BFC2" t="str">
        <v>0</v>
      </c>
      <c r="BFD2" t="str">
        <v>0</v>
      </c>
      <c r="BFE2" t="str">
        <v>0</v>
      </c>
      <c r="BFF2" t="str">
        <v>0</v>
      </c>
      <c r="BFG2" t="str">
        <v>0</v>
      </c>
      <c r="BFH2" t="str">
        <v>0</v>
      </c>
      <c r="BFI2" t="str">
        <v>0</v>
      </c>
      <c r="BFJ2" t="str">
        <v>0</v>
      </c>
      <c r="BFK2" t="str">
        <v>0</v>
      </c>
      <c r="BFL2" t="str">
        <v>0</v>
      </c>
      <c r="BFM2" t="str">
        <v>0</v>
      </c>
      <c r="BFN2" t="str">
        <v>0</v>
      </c>
      <c r="BFO2" t="str">
        <v>0</v>
      </c>
      <c r="BFP2" t="str">
        <v>0</v>
      </c>
      <c r="BFQ2" t="str">
        <v>0</v>
      </c>
      <c r="BFR2" t="str">
        <v>0</v>
      </c>
      <c r="BFS2" t="str">
        <v>0</v>
      </c>
      <c r="BFT2" t="str">
        <v>0</v>
      </c>
      <c r="BFU2" t="str">
        <v>0</v>
      </c>
      <c r="BFV2" t="str">
        <v>0</v>
      </c>
      <c r="BFW2" t="str">
        <v>0</v>
      </c>
      <c r="BFX2" t="str">
        <v>0</v>
      </c>
      <c r="BFY2" t="str">
        <v>0</v>
      </c>
      <c r="BFZ2" t="str">
        <v>0</v>
      </c>
      <c r="BGA2" t="str">
        <v>0</v>
      </c>
      <c r="BGB2" t="str">
        <v>0</v>
      </c>
      <c r="BGC2" t="str">
        <v>0</v>
      </c>
      <c r="BGD2" t="str">
        <v>0</v>
      </c>
      <c r="BGE2" t="str">
        <v>0</v>
      </c>
      <c r="BGF2" t="str">
        <v>0</v>
      </c>
      <c r="BGG2" t="str">
        <v>0</v>
      </c>
      <c r="BGH2" t="str">
        <v>0</v>
      </c>
      <c r="BGI2" t="str">
        <v>0</v>
      </c>
      <c r="BGJ2" t="str">
        <v>0</v>
      </c>
      <c r="BGK2" t="str">
        <v>0</v>
      </c>
      <c r="BGL2" t="str">
        <v>0</v>
      </c>
      <c r="BGM2" t="str">
        <v>0</v>
      </c>
      <c r="BGN2" t="str">
        <v>0</v>
      </c>
      <c r="BGO2" t="str">
        <v>0</v>
      </c>
      <c r="BGP2" t="str">
        <v>0</v>
      </c>
      <c r="BGQ2" t="str">
        <v>0</v>
      </c>
      <c r="BGR2" t="str">
        <v>0</v>
      </c>
      <c r="BGS2" t="str">
        <v>0</v>
      </c>
      <c r="BGT2" t="str">
        <v>0</v>
      </c>
      <c r="BGU2" t="str">
        <v>0</v>
      </c>
      <c r="BGV2" t="str">
        <v>0</v>
      </c>
      <c r="BGW2" t="str">
        <v>0</v>
      </c>
      <c r="BGX2" t="str">
        <v>0</v>
      </c>
      <c r="BGY2" t="str">
        <v>0</v>
      </c>
      <c r="BGZ2" t="str">
        <v>0</v>
      </c>
      <c r="BHA2" t="str">
        <v>0</v>
      </c>
      <c r="BHB2" t="str">
        <v>0</v>
      </c>
      <c r="BHC2" t="str">
        <v>0</v>
      </c>
      <c r="BHD2" t="str">
        <v>0</v>
      </c>
      <c r="BHE2" t="str">
        <v>0</v>
      </c>
      <c r="BHF2" t="str">
        <v>0</v>
      </c>
      <c r="BHG2" t="str">
        <v>0</v>
      </c>
      <c r="BHH2" t="str">
        <v>0</v>
      </c>
      <c r="BHI2" t="str">
        <v>0</v>
      </c>
      <c r="BHJ2" t="str">
        <v>0</v>
      </c>
      <c r="BHK2" t="str">
        <v>0</v>
      </c>
      <c r="BHL2" t="str">
        <v>0</v>
      </c>
      <c r="BHM2" t="str">
        <v>0</v>
      </c>
      <c r="BHN2" t="str">
        <v>0</v>
      </c>
      <c r="BHO2" t="str">
        <v>0</v>
      </c>
      <c r="BHP2" t="str">
        <v>0</v>
      </c>
      <c r="BHQ2" t="str">
        <v>0</v>
      </c>
      <c r="BHR2" t="str">
        <v>0</v>
      </c>
      <c r="BHS2" t="str">
        <v>0</v>
      </c>
      <c r="BHT2" t="str">
        <v>0</v>
      </c>
      <c r="BHU2" t="str">
        <v>0</v>
      </c>
      <c r="BHV2" t="str">
        <v>0</v>
      </c>
      <c r="BHW2" t="str">
        <v>0</v>
      </c>
      <c r="BHX2" t="str">
        <v>0</v>
      </c>
      <c r="BHY2" t="str">
        <v>0</v>
      </c>
      <c r="BHZ2" t="str">
        <v>0</v>
      </c>
      <c r="BIA2" t="str">
        <v>0</v>
      </c>
      <c r="BIB2" t="str">
        <v>0</v>
      </c>
      <c r="BIC2" t="str">
        <v>0</v>
      </c>
      <c r="BID2" t="str">
        <v>0</v>
      </c>
      <c r="BIE2" t="str">
        <v>0</v>
      </c>
      <c r="BIF2" t="str">
        <v>0</v>
      </c>
      <c r="BIG2" t="str">
        <v>0</v>
      </c>
      <c r="BIH2" t="str">
        <v>0</v>
      </c>
      <c r="BII2" t="str">
        <v>0</v>
      </c>
      <c r="BIJ2" t="str">
        <v>0</v>
      </c>
      <c r="BIK2" t="str">
        <v>0</v>
      </c>
      <c r="BIL2" t="str">
        <v>0</v>
      </c>
      <c r="BIM2" t="str">
        <v>0</v>
      </c>
      <c r="BIN2" t="str">
        <v>0</v>
      </c>
      <c r="BIO2" t="str">
        <v>0</v>
      </c>
      <c r="BIP2" t="str">
        <v>0</v>
      </c>
      <c r="BIQ2" t="str">
        <v>0</v>
      </c>
      <c r="BIR2" t="str">
        <v>0</v>
      </c>
      <c r="BIS2" t="str">
        <v>0</v>
      </c>
      <c r="BIT2" t="str">
        <v>0</v>
      </c>
      <c r="BIU2" t="str">
        <v>0</v>
      </c>
      <c r="BIV2" t="str">
        <v>0</v>
      </c>
      <c r="BIW2" t="str">
        <v>0</v>
      </c>
      <c r="BIX2" t="str">
        <v>0</v>
      </c>
      <c r="BIY2" t="str">
        <v>0</v>
      </c>
      <c r="BIZ2" t="str">
        <v>0</v>
      </c>
      <c r="BJA2" t="str">
        <v>0</v>
      </c>
      <c r="BJB2" t="str">
        <v>0</v>
      </c>
      <c r="BJC2" t="str">
        <v>0</v>
      </c>
      <c r="BJD2" t="str">
        <v>0</v>
      </c>
      <c r="BJE2" t="str">
        <v>0</v>
      </c>
      <c r="BJF2" t="str">
        <v>0</v>
      </c>
      <c r="BJG2" t="str">
        <v>0</v>
      </c>
      <c r="BJH2" t="str">
        <v>0</v>
      </c>
      <c r="BJI2" t="str">
        <v>0</v>
      </c>
      <c r="BJJ2" t="str">
        <v>0</v>
      </c>
      <c r="BJK2" t="str">
        <v>0</v>
      </c>
      <c r="BJL2" t="str">
        <v>0</v>
      </c>
      <c r="BJM2" t="str">
        <v>0</v>
      </c>
      <c r="BJN2" t="str">
        <v>0</v>
      </c>
      <c r="BJO2" t="str">
        <v>0</v>
      </c>
      <c r="BJP2" t="str">
        <v>0</v>
      </c>
      <c r="BJQ2" t="str">
        <v>0</v>
      </c>
      <c r="BJR2" t="str">
        <v>0</v>
      </c>
      <c r="BJS2" t="str">
        <v>0</v>
      </c>
      <c r="BJT2" t="str">
        <v>0</v>
      </c>
      <c r="BJU2" t="str">
        <v>0</v>
      </c>
      <c r="BJV2" t="str">
        <v>0</v>
      </c>
      <c r="BJW2" t="str">
        <v>0</v>
      </c>
      <c r="BJX2" t="str">
        <v>0</v>
      </c>
      <c r="BJY2" t="str">
        <v>0</v>
      </c>
      <c r="BJZ2" t="str">
        <v>0</v>
      </c>
      <c r="BKA2" t="str">
        <v>0</v>
      </c>
      <c r="BKB2" t="str">
        <v>0</v>
      </c>
      <c r="BKC2" t="str">
        <v>0</v>
      </c>
      <c r="BKD2" t="str">
        <v>0</v>
      </c>
      <c r="BKE2" t="str">
        <v>0</v>
      </c>
      <c r="BKF2" t="str">
        <v>0</v>
      </c>
      <c r="BKG2" t="str">
        <v>0</v>
      </c>
      <c r="BKH2" t="str">
        <v>0</v>
      </c>
      <c r="BKI2" t="str">
        <v>0</v>
      </c>
      <c r="BKJ2" t="str">
        <v>0</v>
      </c>
      <c r="BKK2" t="str">
        <v>0</v>
      </c>
      <c r="BKL2" t="str">
        <v>0</v>
      </c>
      <c r="BKM2" t="str">
        <v>0</v>
      </c>
      <c r="BKN2" t="str">
        <v>0</v>
      </c>
      <c r="BKO2" t="str">
        <v>0</v>
      </c>
      <c r="BKP2" t="str">
        <v>0</v>
      </c>
      <c r="BKQ2" t="str">
        <v>0</v>
      </c>
      <c r="BKR2" t="str">
        <v>0</v>
      </c>
      <c r="BKS2" t="str">
        <v>0</v>
      </c>
      <c r="BKT2" t="str">
        <v>0</v>
      </c>
      <c r="BKU2" t="str">
        <v>0</v>
      </c>
      <c r="BKV2" t="str">
        <v>0</v>
      </c>
      <c r="BKW2" t="str">
        <v>0</v>
      </c>
      <c r="BKX2" t="str">
        <v>0</v>
      </c>
      <c r="BKY2" t="str">
        <v>0</v>
      </c>
      <c r="BKZ2" t="str">
        <v>0</v>
      </c>
      <c r="BLA2" t="str">
        <v>0</v>
      </c>
      <c r="BLB2" t="str">
        <v>0</v>
      </c>
      <c r="BLC2" t="str">
        <v>0</v>
      </c>
      <c r="BLD2" t="str">
        <v>0</v>
      </c>
      <c r="BLE2" t="str">
        <v>0</v>
      </c>
      <c r="BLF2" t="str">
        <v>0</v>
      </c>
      <c r="BLG2" t="str">
        <v>0</v>
      </c>
      <c r="BLH2" t="str">
        <v>0</v>
      </c>
      <c r="BLI2" t="str">
        <v>0</v>
      </c>
      <c r="BLJ2" t="str">
        <v>0</v>
      </c>
      <c r="BLK2" t="str">
        <v>0</v>
      </c>
      <c r="BLL2" t="str">
        <v>0</v>
      </c>
      <c r="BLM2" t="str">
        <v>0</v>
      </c>
      <c r="BLN2" t="str">
        <v>0</v>
      </c>
      <c r="BLO2" t="str">
        <v>0</v>
      </c>
      <c r="BLP2" t="str">
        <v>0</v>
      </c>
      <c r="BLQ2" t="str">
        <v>0</v>
      </c>
      <c r="BLR2" t="str">
        <v>0</v>
      </c>
      <c r="BLS2" t="str">
        <v>0</v>
      </c>
      <c r="BLT2" t="str">
        <v>0</v>
      </c>
      <c r="BLU2" t="str">
        <v>0</v>
      </c>
      <c r="BLV2" t="str">
        <v>0</v>
      </c>
      <c r="BLW2" t="str">
        <v>0</v>
      </c>
      <c r="BLX2" t="str">
        <v>0</v>
      </c>
      <c r="BLY2" t="str">
        <v>0</v>
      </c>
      <c r="BLZ2" t="str">
        <v>0</v>
      </c>
      <c r="BMA2" t="str">
        <v>0</v>
      </c>
      <c r="BMB2" t="str">
        <v>0</v>
      </c>
      <c r="BMC2" t="str">
        <v>0</v>
      </c>
      <c r="BMD2" t="str">
        <v>0</v>
      </c>
      <c r="BME2" t="str">
        <v>0</v>
      </c>
      <c r="BMF2" t="str">
        <v>0</v>
      </c>
      <c r="BMG2" t="str">
        <v>0</v>
      </c>
      <c r="BMH2" t="str">
        <v>0</v>
      </c>
      <c r="BMI2" t="str">
        <v>0</v>
      </c>
      <c r="BMJ2" t="str">
        <v>0</v>
      </c>
      <c r="BMK2" t="str">
        <v>0</v>
      </c>
      <c r="BML2" t="str">
        <v>0</v>
      </c>
      <c r="BMM2" t="str">
        <v>0</v>
      </c>
      <c r="BMN2" t="str">
        <v>0</v>
      </c>
      <c r="BMO2" t="str">
        <v>0</v>
      </c>
      <c r="BMP2" t="str">
        <v>0</v>
      </c>
      <c r="BMQ2" t="str">
        <v>0</v>
      </c>
      <c r="BMR2" t="str">
        <v>0</v>
      </c>
      <c r="BMS2" t="str">
        <v>0</v>
      </c>
      <c r="BMT2" t="str">
        <v>0</v>
      </c>
      <c r="BMU2" t="str">
        <v>0</v>
      </c>
      <c r="BMV2" t="str">
        <v>0</v>
      </c>
      <c r="BMW2" t="str">
        <v>0</v>
      </c>
      <c r="BMX2" t="str">
        <v>0</v>
      </c>
      <c r="BMY2" t="str">
        <v>0</v>
      </c>
      <c r="BMZ2" t="str">
        <v>0</v>
      </c>
      <c r="BNA2" t="str">
        <v>0</v>
      </c>
      <c r="BNB2" t="str">
        <v>0</v>
      </c>
      <c r="BNC2" t="str">
        <v>0</v>
      </c>
      <c r="BND2" t="str">
        <v>0</v>
      </c>
      <c r="BNE2" t="str">
        <v>0</v>
      </c>
      <c r="BNF2" t="str">
        <v>0</v>
      </c>
      <c r="BNG2" t="str">
        <v>0</v>
      </c>
      <c r="BNH2" t="str">
        <v>0</v>
      </c>
      <c r="BNI2" t="str">
        <v>0</v>
      </c>
      <c r="BNJ2" t="str">
        <v>0</v>
      </c>
      <c r="BNK2" t="str">
        <v>0</v>
      </c>
      <c r="BNL2" t="str">
        <v>0</v>
      </c>
      <c r="BNM2" t="str">
        <v>0</v>
      </c>
      <c r="BNN2" t="str">
        <v>0</v>
      </c>
      <c r="BNO2" t="str">
        <v>0</v>
      </c>
      <c r="BNP2" t="str">
        <v>0</v>
      </c>
      <c r="BNQ2" t="str">
        <v>0</v>
      </c>
      <c r="BNR2" t="str">
        <v>0</v>
      </c>
      <c r="BNS2" t="str">
        <v>0</v>
      </c>
      <c r="BNT2" t="str">
        <v>0</v>
      </c>
      <c r="BNU2" t="str">
        <v>0</v>
      </c>
      <c r="BNV2" t="str">
        <v>0</v>
      </c>
      <c r="BNW2" t="str">
        <v>0</v>
      </c>
      <c r="BNX2" t="str">
        <v>0</v>
      </c>
      <c r="BNY2" t="str">
        <v>0</v>
      </c>
      <c r="BNZ2" t="str">
        <v>0</v>
      </c>
      <c r="BOA2" t="str">
        <v>0</v>
      </c>
      <c r="BOB2" t="str">
        <v>0</v>
      </c>
      <c r="BOC2" t="str">
        <v>0</v>
      </c>
      <c r="BOD2" t="str">
        <v>0</v>
      </c>
      <c r="BOE2" t="str">
        <v>0</v>
      </c>
      <c r="BOF2" t="str">
        <v>0</v>
      </c>
      <c r="BOG2" t="str">
        <v>0</v>
      </c>
      <c r="BOH2" t="str">
        <v>0</v>
      </c>
      <c r="BOI2" t="str">
        <v>0</v>
      </c>
      <c r="BOJ2" t="str">
        <v>0</v>
      </c>
      <c r="BOK2" t="str">
        <v>0</v>
      </c>
      <c r="BOL2" t="str">
        <v>0</v>
      </c>
      <c r="BOM2" t="str">
        <v>0</v>
      </c>
      <c r="BON2" t="str">
        <v>0</v>
      </c>
      <c r="BOO2" t="str">
        <v>0</v>
      </c>
      <c r="BOP2" t="str">
        <v>0</v>
      </c>
      <c r="BOQ2" t="str">
        <v>0</v>
      </c>
      <c r="BOR2" t="str">
        <v>0</v>
      </c>
      <c r="BOS2" t="str">
        <v>0</v>
      </c>
      <c r="BOT2" t="str">
        <v>0</v>
      </c>
      <c r="BOU2" t="str">
        <v>0</v>
      </c>
      <c r="BOV2" t="str">
        <v>0</v>
      </c>
      <c r="BOW2" t="str">
        <v>0</v>
      </c>
      <c r="BOX2" t="str">
        <v>0</v>
      </c>
      <c r="BOY2" t="str">
        <v>0</v>
      </c>
      <c r="BOZ2" t="str">
        <v>0</v>
      </c>
      <c r="BPA2" t="str">
        <v>0</v>
      </c>
      <c r="BPB2" t="str">
        <v>0</v>
      </c>
      <c r="BPC2" t="str">
        <v>0</v>
      </c>
      <c r="BPD2" t="str">
        <v>0</v>
      </c>
      <c r="BPE2" t="str">
        <v>0</v>
      </c>
      <c r="BPF2" t="str">
        <v>0</v>
      </c>
      <c r="BPG2" t="str">
        <v>0</v>
      </c>
      <c r="BPH2" t="str">
        <v>0</v>
      </c>
      <c r="BPI2" t="str">
        <v>0</v>
      </c>
      <c r="BPJ2" t="str">
        <v>0</v>
      </c>
      <c r="BPK2" t="str">
        <v>0</v>
      </c>
      <c r="BPL2" t="str">
        <v>0</v>
      </c>
      <c r="BPM2" t="str">
        <v>0</v>
      </c>
      <c r="BPN2" t="str">
        <v>0</v>
      </c>
      <c r="BPO2" t="str">
        <v>0</v>
      </c>
      <c r="BPP2" t="str">
        <v>0</v>
      </c>
      <c r="BPQ2" t="str">
        <v>0</v>
      </c>
      <c r="BPR2" t="str">
        <v>0</v>
      </c>
      <c r="BPS2" t="str">
        <v>0</v>
      </c>
      <c r="BPT2" t="str">
        <v>0</v>
      </c>
      <c r="BPU2" t="str">
        <v>0</v>
      </c>
      <c r="BPV2" t="str">
        <v>0</v>
      </c>
      <c r="BPW2" t="str">
        <v>0</v>
      </c>
      <c r="BPX2" t="str">
        <v>0</v>
      </c>
      <c r="BPY2" t="str">
        <v>0</v>
      </c>
      <c r="BPZ2" t="str">
        <v>0</v>
      </c>
      <c r="BQA2" t="str">
        <v>0</v>
      </c>
      <c r="BQB2" t="str">
        <v>0</v>
      </c>
      <c r="BQC2" t="str">
        <v>0</v>
      </c>
      <c r="BQD2" t="str">
        <v>0</v>
      </c>
      <c r="BQE2" t="str">
        <v>0</v>
      </c>
      <c r="BQF2" t="str">
        <v>0</v>
      </c>
      <c r="BQG2" t="str">
        <v>0</v>
      </c>
      <c r="BQH2" t="str">
        <v>0</v>
      </c>
      <c r="BQI2" t="str">
        <v>0</v>
      </c>
      <c r="BQJ2" t="str">
        <v>0</v>
      </c>
      <c r="BQK2" t="str">
        <v>0</v>
      </c>
      <c r="BQL2" t="str">
        <v>0</v>
      </c>
      <c r="BQM2" t="str">
        <v>0</v>
      </c>
      <c r="BQN2" t="str">
        <v>0</v>
      </c>
      <c r="BQO2" t="str">
        <v>0</v>
      </c>
      <c r="BQP2" t="str">
        <v>0</v>
      </c>
      <c r="BQQ2" t="str">
        <v>0</v>
      </c>
      <c r="BQR2" t="str">
        <v>0</v>
      </c>
      <c r="BQS2" t="str">
        <v>0</v>
      </c>
      <c r="BQT2" t="str">
        <v>0</v>
      </c>
      <c r="BQU2" t="str">
        <v>0</v>
      </c>
      <c r="BQV2" t="str">
        <v>0</v>
      </c>
      <c r="BQW2" t="str">
        <v>0</v>
      </c>
      <c r="BQX2" t="str">
        <v>0</v>
      </c>
      <c r="BQY2" t="str">
        <v>0</v>
      </c>
      <c r="BQZ2" t="str">
        <v>0</v>
      </c>
      <c r="BRA2" t="str">
        <v>0</v>
      </c>
      <c r="BRB2" t="str">
        <v>0</v>
      </c>
      <c r="BRC2" t="str">
        <v>0</v>
      </c>
      <c r="BRD2" t="str">
        <v>0</v>
      </c>
      <c r="BRE2" t="str">
        <v>0</v>
      </c>
      <c r="BRF2" t="str">
        <v>0</v>
      </c>
      <c r="BRG2" t="str">
        <v>0</v>
      </c>
      <c r="BRH2" t="str">
        <v>0</v>
      </c>
      <c r="BRI2" t="str">
        <v>0</v>
      </c>
      <c r="BRJ2" t="str">
        <v>0</v>
      </c>
      <c r="BRK2" t="str">
        <v>0</v>
      </c>
      <c r="BRL2" t="str">
        <v>0</v>
      </c>
      <c r="BRM2" t="str">
        <v>0</v>
      </c>
      <c r="BRN2" t="str">
        <v>0</v>
      </c>
      <c r="BRO2" t="str">
        <v>0</v>
      </c>
      <c r="BRP2" t="str">
        <v>0</v>
      </c>
      <c r="BRQ2" t="str">
        <v>0</v>
      </c>
      <c r="BRR2" t="str">
        <v>0</v>
      </c>
      <c r="BRS2" t="str">
        <v>0</v>
      </c>
      <c r="BRT2" t="str">
        <v>0</v>
      </c>
      <c r="BRU2" t="str">
        <v>0</v>
      </c>
      <c r="BRV2" t="str">
        <v>0</v>
      </c>
      <c r="BRW2" t="str">
        <v>0</v>
      </c>
      <c r="BRX2" t="str">
        <v>0</v>
      </c>
      <c r="BRY2" t="str">
        <v>0</v>
      </c>
      <c r="BRZ2" t="str">
        <v>0</v>
      </c>
      <c r="BSA2" t="str">
        <v>0</v>
      </c>
      <c r="BSB2" t="str">
        <v>0</v>
      </c>
      <c r="BSC2" t="str">
        <v>0</v>
      </c>
      <c r="BSD2" t="str">
        <v>0</v>
      </c>
      <c r="BSE2" t="str">
        <v>0</v>
      </c>
      <c r="BSF2" t="str">
        <v>0</v>
      </c>
      <c r="BSG2" t="str">
        <v>0</v>
      </c>
      <c r="BSH2" t="str">
        <v>0</v>
      </c>
      <c r="BSI2" t="str">
        <v>0</v>
      </c>
      <c r="BSJ2" t="str">
        <v>0</v>
      </c>
      <c r="BSK2" t="str">
        <v/>
      </c>
      <c r="BSL2" t="str">
        <v>FALSE</v>
      </c>
      <c r="BSM2" t="str">
        <v>0</v>
      </c>
      <c r="BSN2" t="str">
        <v/>
      </c>
      <c r="BSO2" t="str">
        <v>FALSE</v>
      </c>
      <c r="BSP2" t="str">
        <v>0</v>
      </c>
      <c r="BSQ2" t="str">
        <v/>
      </c>
      <c r="BSR2" t="str">
        <v>FALSE</v>
      </c>
      <c r="BSS2" t="str">
        <v>0</v>
      </c>
      <c r="BST2" t="str">
        <v/>
      </c>
      <c r="BSU2" t="str">
        <v>FALSE</v>
      </c>
      <c r="BSV2" t="str">
        <v>0</v>
      </c>
      <c r="BSW2" t="str">
        <v/>
      </c>
      <c r="BSX2" t="str">
        <v>FALSE</v>
      </c>
      <c r="BSY2" t="str">
        <v>0</v>
      </c>
      <c r="BSZ2" t="str">
        <v/>
      </c>
      <c r="BTA2" t="str">
        <v>FALSE</v>
      </c>
      <c r="BTB2" t="str">
        <v>0</v>
      </c>
      <c r="BTC2" t="str">
        <v/>
      </c>
      <c r="BTD2" t="str">
        <v>FALSE</v>
      </c>
      <c r="BTE2" t="str">
        <v>0</v>
      </c>
      <c r="BTF2" t="str">
        <v/>
      </c>
      <c r="BTG2" t="str">
        <v>FALSE</v>
      </c>
      <c r="BTH2" t="str">
        <v>0</v>
      </c>
      <c r="BTI2" t="str">
        <v/>
      </c>
      <c r="BTJ2" t="str">
        <v>FALSE</v>
      </c>
      <c r="BTK2" t="str">
        <v>0</v>
      </c>
      <c r="BTL2" t="str">
        <v/>
      </c>
      <c r="BTM2" t="str">
        <v>FALSE</v>
      </c>
      <c r="BTN2" t="str">
        <v>0</v>
      </c>
      <c r="BTO2" t="str">
        <v/>
      </c>
      <c r="BTP2" t="str">
        <v>FALSE</v>
      </c>
      <c r="BTQ2" t="str">
        <v>0</v>
      </c>
      <c r="BTR2" t="str">
        <v/>
      </c>
      <c r="BTS2" t="str">
        <v>FALSE</v>
      </c>
      <c r="BTT2" t="str">
        <v>0</v>
      </c>
      <c r="BTU2" t="str">
        <v/>
      </c>
      <c r="BTV2" t="str">
        <v>FALSE</v>
      </c>
      <c r="BTW2" t="str">
        <v>0</v>
      </c>
      <c r="BTX2" t="str">
        <v/>
      </c>
      <c r="BTY2" t="str">
        <v>FALSE</v>
      </c>
      <c r="BTZ2" t="str">
        <v>0</v>
      </c>
      <c r="BUA2" t="str">
        <v/>
      </c>
      <c r="BUB2" t="str">
        <v>FALSE</v>
      </c>
      <c r="BUC2" t="str">
        <v>0</v>
      </c>
      <c r="BUD2" t="str">
        <v/>
      </c>
      <c r="BUE2" t="str">
        <v>FALSE</v>
      </c>
      <c r="BUF2" t="str">
        <v>0</v>
      </c>
      <c r="BUG2" t="str">
        <v/>
      </c>
      <c r="BUH2" t="str">
        <v>FALSE</v>
      </c>
      <c r="BUI2" t="str">
        <v>0</v>
      </c>
      <c r="BUJ2" t="str">
        <v/>
      </c>
      <c r="BUK2" t="str">
        <v>FALSE</v>
      </c>
      <c r="BUL2" t="str">
        <v>0</v>
      </c>
      <c r="BUM2" t="str">
        <v/>
      </c>
      <c r="BUN2" t="str">
        <v>FALSE</v>
      </c>
      <c r="BUO2" t="str">
        <v>0</v>
      </c>
      <c r="BUP2" t="str">
        <v/>
      </c>
      <c r="BUQ2" t="str">
        <v>FALSE</v>
      </c>
      <c r="BUR2" t="str">
        <v>0</v>
      </c>
    </row>
    <row r="4" spans="1:1916">
      <c r="A4" s="2" t="s">
        <v>4670</v>
      </c>
    </row>
    <row r="5" spans="1:1916">
      <c r="A5" s="2" t="str" cm="1">
        <f t="array" ref="A5">IF(A3&lt;&gt;"","【"&amp;_xlfn.TEXTJOIN("】　【",TRUE,IF(A2:BUR2&lt;&gt;A3:BUR3,A1:BUR1,""))&amp;"】","")</f>
        <v/>
      </c>
    </row>
    <row r="6" spans="1:1916" s="347" customFormat="1">
      <c r="A6" s="868" t="s">
        <v>2993</v>
      </c>
      <c r="B6" s="328"/>
    </row>
    <row r="7" spans="1:1916" customFormat="1">
      <c r="A7" s="345"/>
    </row>
    <row r="8" spans="1:1916" customFormat="1"/>
    <row r="9" spans="1:1916" customFormat="1"/>
    <row r="10" spans="1:1916" customFormat="1"/>
    <row r="11" spans="1:1916" customFormat="1"/>
    <row r="12" spans="1:1916" customFormat="1"/>
    <row r="13" spans="1:1916" customFormat="1"/>
    <row r="14" spans="1:1916" customFormat="1"/>
    <row r="15" spans="1:1916" customFormat="1"/>
    <row r="16" spans="1:1916" customFormat="1"/>
    <row r="17" customFormat="1"/>
    <row r="18" customFormat="1"/>
    <row r="19" customFormat="1"/>
    <row r="20" customFormat="1"/>
    <row r="21" customFormat="1"/>
    <row r="22" customFormat="1"/>
    <row r="23" customFormat="1"/>
    <row r="24" customFormat="1"/>
    <row r="25" customFormat="1"/>
    <row r="26" customFormat="1"/>
    <row r="27" customFormat="1"/>
    <row r="28" customFormat="1"/>
    <row r="29" customFormat="1"/>
    <row r="30" customFormat="1"/>
    <row r="31" customFormat="1"/>
    <row r="3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row r="584" customFormat="1"/>
    <row r="585" customFormat="1"/>
    <row r="586" customFormat="1"/>
    <row r="587" customFormat="1"/>
    <row r="588" customFormat="1"/>
    <row r="589" customFormat="1"/>
    <row r="590" customFormat="1"/>
    <row r="591" customFormat="1"/>
    <row r="592"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row r="613" customFormat="1"/>
    <row r="614" customFormat="1"/>
    <row r="615" customFormat="1"/>
    <row r="616" customFormat="1"/>
    <row r="617" customFormat="1"/>
    <row r="618" customFormat="1"/>
    <row r="619" customFormat="1"/>
    <row r="620" customFormat="1"/>
    <row r="621" customFormat="1"/>
    <row r="622" customFormat="1"/>
    <row r="623" customFormat="1"/>
    <row r="624" customFormat="1"/>
    <row r="625" customFormat="1"/>
    <row r="626" customFormat="1"/>
    <row r="627" customFormat="1"/>
    <row r="628" customFormat="1"/>
    <row r="629" customFormat="1"/>
    <row r="630" customFormat="1"/>
    <row r="631" customFormat="1"/>
    <row r="632" customFormat="1"/>
    <row r="633" customFormat="1"/>
    <row r="634" customFormat="1"/>
    <row r="635" customFormat="1"/>
    <row r="636" customFormat="1"/>
    <row r="637" customFormat="1"/>
    <row r="638" customFormat="1"/>
    <row r="639" customFormat="1"/>
    <row r="640" customFormat="1"/>
    <row r="641" customFormat="1"/>
    <row r="642" customFormat="1"/>
    <row r="643" customFormat="1"/>
    <row r="644" customFormat="1"/>
    <row r="645" customFormat="1"/>
    <row r="646" customFormat="1"/>
    <row r="647" customFormat="1"/>
    <row r="648" customFormat="1"/>
    <row r="649" customFormat="1"/>
    <row r="650" customFormat="1"/>
    <row r="651" customFormat="1"/>
    <row r="652" customFormat="1"/>
    <row r="653" customFormat="1"/>
    <row r="654" customFormat="1"/>
    <row r="655" customFormat="1"/>
    <row r="656" customFormat="1"/>
    <row r="657" customFormat="1"/>
    <row r="658" customFormat="1"/>
    <row r="659" customFormat="1"/>
    <row r="660" customFormat="1"/>
    <row r="661" customFormat="1"/>
    <row r="662" customFormat="1"/>
    <row r="663" customFormat="1"/>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row r="701" customFormat="1"/>
    <row r="702" customFormat="1"/>
    <row r="703" customFormat="1"/>
    <row r="704" customFormat="1"/>
    <row r="705" customFormat="1"/>
    <row r="706" customFormat="1"/>
    <row r="707" customFormat="1"/>
    <row r="708" customFormat="1"/>
    <row r="709" customFormat="1"/>
    <row r="710" customFormat="1"/>
    <row r="711" customFormat="1"/>
    <row r="712" customFormat="1"/>
    <row r="713" customFormat="1"/>
    <row r="714" customFormat="1"/>
    <row r="715" customFormat="1"/>
    <row r="716" customFormat="1"/>
    <row r="717" customFormat="1"/>
    <row r="718" customFormat="1"/>
    <row r="719" customFormat="1"/>
    <row r="720" customFormat="1"/>
    <row r="721" customFormat="1"/>
    <row r="722" customFormat="1"/>
    <row r="723" customFormat="1"/>
    <row r="724" customFormat="1"/>
    <row r="725" customFormat="1"/>
    <row r="726" customFormat="1"/>
    <row r="727" customFormat="1"/>
    <row r="728" customFormat="1"/>
    <row r="729" customFormat="1"/>
    <row r="730" customFormat="1"/>
    <row r="731" customFormat="1"/>
    <row r="732" customFormat="1"/>
    <row r="733" customFormat="1"/>
    <row r="734" customFormat="1"/>
    <row r="735" customFormat="1"/>
    <row r="736" customFormat="1"/>
    <row r="737" customFormat="1"/>
    <row r="738" customFormat="1"/>
    <row r="739" customFormat="1"/>
    <row r="740" customFormat="1"/>
    <row r="741" customFormat="1"/>
    <row r="742" customFormat="1"/>
    <row r="743" customFormat="1"/>
    <row r="744" customFormat="1"/>
    <row r="745" customFormat="1"/>
    <row r="746" customFormat="1"/>
    <row r="747" customFormat="1"/>
    <row r="748" customFormat="1"/>
    <row r="749" customFormat="1"/>
    <row r="750" customFormat="1"/>
    <row r="751" customFormat="1"/>
    <row r="752" customFormat="1"/>
    <row r="753" customFormat="1"/>
    <row r="754" customFormat="1"/>
    <row r="755" customFormat="1"/>
    <row r="756" customFormat="1"/>
    <row r="757" customFormat="1"/>
    <row r="758" customFormat="1"/>
    <row r="759" customFormat="1"/>
    <row r="760" customFormat="1"/>
    <row r="761" customFormat="1"/>
    <row r="762" customFormat="1"/>
    <row r="763" customFormat="1"/>
    <row r="764" customFormat="1"/>
    <row r="765" customFormat="1"/>
    <row r="766" customFormat="1"/>
    <row r="767" customFormat="1"/>
    <row r="768" customFormat="1"/>
    <row r="769" customFormat="1"/>
    <row r="770" customFormat="1"/>
    <row r="771" customFormat="1"/>
    <row r="772" customFormat="1"/>
    <row r="773" customFormat="1"/>
    <row r="774" customFormat="1"/>
    <row r="775" customFormat="1"/>
    <row r="776" customFormat="1"/>
    <row r="777" customFormat="1"/>
    <row r="778" customFormat="1"/>
    <row r="779" customFormat="1"/>
    <row r="780" customFormat="1"/>
    <row r="781" customFormat="1"/>
    <row r="782" customFormat="1"/>
    <row r="783" customFormat="1"/>
    <row r="784" customFormat="1"/>
    <row r="785" customFormat="1"/>
    <row r="786" customFormat="1"/>
    <row r="787" customFormat="1"/>
    <row r="788" customFormat="1"/>
    <row r="789" customFormat="1"/>
    <row r="790" customFormat="1"/>
    <row r="791" customFormat="1"/>
    <row r="792" customFormat="1"/>
    <row r="793" customFormat="1"/>
    <row r="794" customFormat="1"/>
    <row r="795" customFormat="1"/>
    <row r="796" customFormat="1"/>
    <row r="797" customFormat="1"/>
    <row r="798" customFormat="1"/>
    <row r="799" customFormat="1"/>
    <row r="800" customFormat="1"/>
    <row r="801" customFormat="1"/>
    <row r="802" customFormat="1"/>
    <row r="803" customFormat="1"/>
    <row r="804" customFormat="1"/>
    <row r="805" customFormat="1"/>
    <row r="806" customFormat="1"/>
    <row r="807" customFormat="1"/>
    <row r="808" customFormat="1"/>
    <row r="809" customFormat="1"/>
    <row r="810" customFormat="1"/>
    <row r="811" customFormat="1"/>
    <row r="812" customFormat="1"/>
    <row r="813" customFormat="1"/>
    <row r="814" customFormat="1"/>
    <row r="815" customFormat="1"/>
    <row r="816" customFormat="1"/>
    <row r="817" customFormat="1"/>
    <row r="818" customFormat="1"/>
    <row r="819" customFormat="1"/>
    <row r="820" customFormat="1"/>
    <row r="821" customFormat="1"/>
    <row r="822" customFormat="1"/>
    <row r="823" customFormat="1"/>
    <row r="824" customFormat="1"/>
    <row r="825" customFormat="1"/>
    <row r="826" customFormat="1"/>
    <row r="827" customFormat="1"/>
    <row r="828" customFormat="1"/>
    <row r="829" customFormat="1"/>
    <row r="830" customFormat="1"/>
    <row r="831" customFormat="1"/>
    <row r="832" customFormat="1"/>
    <row r="833" customFormat="1"/>
    <row r="834" customFormat="1"/>
    <row r="835" customFormat="1"/>
    <row r="836" customFormat="1"/>
    <row r="837" customFormat="1"/>
    <row r="838" customFormat="1"/>
    <row r="839" customFormat="1"/>
    <row r="840" customFormat="1"/>
    <row r="841" customFormat="1"/>
    <row r="842" customFormat="1"/>
    <row r="843" customFormat="1"/>
    <row r="844" customFormat="1"/>
    <row r="845" customFormat="1"/>
    <row r="846" customFormat="1"/>
    <row r="847" customFormat="1"/>
    <row r="848" customFormat="1"/>
    <row r="849" customFormat="1"/>
    <row r="850" customFormat="1"/>
    <row r="851" customFormat="1"/>
    <row r="852" customFormat="1"/>
    <row r="853" customFormat="1"/>
    <row r="854" customFormat="1"/>
    <row r="855" customFormat="1"/>
    <row r="856" customFormat="1"/>
    <row r="857" customFormat="1"/>
    <row r="858" customFormat="1"/>
    <row r="859" customFormat="1"/>
    <row r="860" customFormat="1"/>
    <row r="861" customFormat="1"/>
    <row r="862" customFormat="1"/>
    <row r="863" customFormat="1"/>
    <row r="864" customFormat="1"/>
    <row r="865" customFormat="1"/>
    <row r="866" customFormat="1"/>
    <row r="867" customFormat="1"/>
    <row r="868" customFormat="1"/>
    <row r="869" customFormat="1"/>
    <row r="870" customFormat="1"/>
    <row r="871" customFormat="1"/>
    <row r="872" customFormat="1"/>
    <row r="873" customFormat="1"/>
    <row r="874" customFormat="1"/>
    <row r="875" customFormat="1"/>
    <row r="876" customFormat="1"/>
    <row r="877" customFormat="1"/>
    <row r="878" customFormat="1"/>
    <row r="879" customFormat="1"/>
    <row r="880" customFormat="1"/>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spans="1:1" customFormat="1"/>
    <row r="2034" spans="1:1" customFormat="1"/>
    <row r="2035" spans="1:1" customFormat="1"/>
    <row r="2036" spans="1:1" customFormat="1"/>
    <row r="2037" spans="1:1" customFormat="1"/>
    <row r="2038" spans="1:1" customFormat="1"/>
    <row r="2039" spans="1:1" customFormat="1"/>
    <row r="2040" spans="1:1" customFormat="1"/>
    <row r="2041" spans="1:1">
      <c r="A2041" s="346"/>
    </row>
    <row r="2042" spans="1:1">
      <c r="A2042" s="346"/>
    </row>
    <row r="2043" spans="1:1">
      <c r="A2043" s="346"/>
    </row>
    <row r="2044" spans="1:1">
      <c r="A2044" s="346"/>
    </row>
    <row r="2045" spans="1:1">
      <c r="A2045" s="346"/>
    </row>
    <row r="2046" spans="1:1">
      <c r="A2046" s="346"/>
    </row>
    <row r="2047" spans="1:1">
      <c r="A2047" s="346"/>
    </row>
    <row r="2048" spans="1:1">
      <c r="A2048" s="346"/>
    </row>
    <row r="2049" spans="1:1">
      <c r="A2049" s="346"/>
    </row>
    <row r="2050" spans="1:1">
      <c r="A2050" s="346"/>
    </row>
    <row r="2051" spans="1:1">
      <c r="A2051" s="346"/>
    </row>
    <row r="2052" spans="1:1">
      <c r="A2052" s="346"/>
    </row>
    <row r="2053" spans="1:1">
      <c r="A2053" s="346"/>
    </row>
    <row r="2054" spans="1:1">
      <c r="A2054" s="346"/>
    </row>
    <row r="2055" spans="1:1">
      <c r="A2055" s="346"/>
    </row>
    <row r="2056" spans="1:1">
      <c r="A2056" s="346"/>
    </row>
    <row r="2057" spans="1:1">
      <c r="A2057" s="346"/>
    </row>
    <row r="2058" spans="1:1">
      <c r="A2058" s="346"/>
    </row>
    <row r="2059" spans="1:1">
      <c r="A2059" s="346"/>
    </row>
    <row r="2060" spans="1:1">
      <c r="A2060" s="346"/>
    </row>
    <row r="2061" spans="1:1">
      <c r="A2061" s="346"/>
    </row>
    <row r="2062" spans="1:1">
      <c r="A2062" s="346"/>
    </row>
    <row r="2063" spans="1:1">
      <c r="A2063" s="346"/>
    </row>
    <row r="2064" spans="1:1">
      <c r="A2064" s="346"/>
    </row>
    <row r="2065" spans="1:1">
      <c r="A2065" s="346"/>
    </row>
    <row r="2066" spans="1:1">
      <c r="A2066" s="346"/>
    </row>
    <row r="2067" spans="1:1">
      <c r="A2067" s="346"/>
    </row>
    <row r="2068" spans="1:1">
      <c r="A2068" s="346"/>
    </row>
    <row r="2069" spans="1:1">
      <c r="A2069" s="346"/>
    </row>
    <row r="2070" spans="1:1">
      <c r="A2070" s="346"/>
    </row>
    <row r="2071" spans="1:1">
      <c r="A2071" s="346"/>
    </row>
    <row r="2072" spans="1:1">
      <c r="A2072" s="346"/>
    </row>
    <row r="2073" spans="1:1">
      <c r="A2073" s="346"/>
    </row>
    <row r="2074" spans="1:1">
      <c r="A2074" s="346"/>
    </row>
    <row r="2075" spans="1:1">
      <c r="A2075" s="346"/>
    </row>
    <row r="2076" spans="1:1">
      <c r="A2076" s="346"/>
    </row>
    <row r="2077" spans="1:1">
      <c r="A2077" s="346"/>
    </row>
    <row r="2078" spans="1:1">
      <c r="A2078" s="346"/>
    </row>
    <row r="2079" spans="1:1">
      <c r="A2079" s="346"/>
    </row>
    <row r="2080" spans="1:1">
      <c r="A2080" s="346"/>
    </row>
    <row r="2081" spans="1:1">
      <c r="A2081" s="346"/>
    </row>
    <row r="2082" spans="1:1">
      <c r="A2082" s="346"/>
    </row>
    <row r="2083" spans="1:1">
      <c r="A2083" s="346"/>
    </row>
    <row r="2084" spans="1:1">
      <c r="A2084" s="346"/>
    </row>
    <row r="2085" spans="1:1">
      <c r="A2085" s="346"/>
    </row>
    <row r="2086" spans="1:1">
      <c r="A2086" s="346"/>
    </row>
    <row r="2087" spans="1:1">
      <c r="A2087" s="346"/>
    </row>
    <row r="2088" spans="1:1">
      <c r="A2088" s="346"/>
    </row>
    <row r="2089" spans="1:1">
      <c r="A2089" s="346"/>
    </row>
    <row r="2090" spans="1:1">
      <c r="A2090" s="346"/>
    </row>
    <row r="2091" spans="1:1">
      <c r="A2091" s="346"/>
    </row>
    <row r="2092" spans="1:1">
      <c r="A2092" s="346"/>
    </row>
    <row r="2093" spans="1:1">
      <c r="A2093" s="346"/>
    </row>
    <row r="2094" spans="1:1">
      <c r="A2094" s="346"/>
    </row>
    <row r="2095" spans="1:1">
      <c r="A2095" s="346"/>
    </row>
    <row r="2096" spans="1:1">
      <c r="A2096" s="346"/>
    </row>
    <row r="2097" spans="1:1">
      <c r="A2097" s="346"/>
    </row>
    <row r="2098" spans="1:1">
      <c r="A2098" s="346"/>
    </row>
    <row r="2099" spans="1:1">
      <c r="A2099" s="346"/>
    </row>
    <row r="2100" spans="1:1">
      <c r="A2100" s="346"/>
    </row>
    <row r="2101" spans="1:1">
      <c r="A2101" s="346"/>
    </row>
    <row r="2102" spans="1:1">
      <c r="A2102" s="346"/>
    </row>
    <row r="2103" spans="1:1">
      <c r="A2103" s="346"/>
    </row>
    <row r="2104" spans="1:1">
      <c r="A2104" s="346"/>
    </row>
    <row r="2105" spans="1:1">
      <c r="A2105" s="346"/>
    </row>
    <row r="2106" spans="1:1">
      <c r="A2106" s="346"/>
    </row>
    <row r="2107" spans="1:1">
      <c r="A2107" s="346"/>
    </row>
    <row r="2108" spans="1:1">
      <c r="A2108" s="346"/>
    </row>
    <row r="2109" spans="1:1">
      <c r="A2109" s="346"/>
    </row>
    <row r="2110" spans="1:1">
      <c r="A2110" s="346"/>
    </row>
    <row r="2111" spans="1:1">
      <c r="A2111" s="346"/>
    </row>
    <row r="2112" spans="1:1">
      <c r="A2112" s="346"/>
    </row>
    <row r="2113" spans="1:1">
      <c r="A2113" s="346"/>
    </row>
    <row r="2114" spans="1:1">
      <c r="A2114" s="346"/>
    </row>
    <row r="2115" spans="1:1">
      <c r="A2115" s="346"/>
    </row>
    <row r="2116" spans="1:1">
      <c r="A2116" s="346"/>
    </row>
    <row r="2117" spans="1:1">
      <c r="A2117" s="346"/>
    </row>
    <row r="2118" spans="1:1">
      <c r="A2118" s="346"/>
    </row>
    <row r="2119" spans="1:1">
      <c r="A2119" s="346"/>
    </row>
    <row r="2120" spans="1:1">
      <c r="A2120" s="346"/>
    </row>
    <row r="2121" spans="1:1">
      <c r="A2121" s="346"/>
    </row>
    <row r="2122" spans="1:1">
      <c r="A2122" s="346"/>
    </row>
    <row r="2123" spans="1:1">
      <c r="A2123" s="346"/>
    </row>
    <row r="2124" spans="1:1">
      <c r="A2124" s="346"/>
    </row>
    <row r="2125" spans="1:1">
      <c r="A2125" s="346"/>
    </row>
    <row r="2126" spans="1:1">
      <c r="A2126" s="346"/>
    </row>
    <row r="2127" spans="1:1">
      <c r="A2127" s="346"/>
    </row>
    <row r="2128" spans="1:1">
      <c r="A2128" s="346"/>
    </row>
    <row r="2129" spans="1:1">
      <c r="A2129" s="346"/>
    </row>
    <row r="2130" spans="1:1">
      <c r="A2130" s="346"/>
    </row>
    <row r="2131" spans="1:1">
      <c r="A2131" s="346"/>
    </row>
    <row r="2132" spans="1:1">
      <c r="A2132" s="346"/>
    </row>
    <row r="2133" spans="1:1">
      <c r="A2133" s="346"/>
    </row>
    <row r="2134" spans="1:1">
      <c r="A2134" s="346"/>
    </row>
    <row r="2135" spans="1:1">
      <c r="A2135" s="346"/>
    </row>
    <row r="2136" spans="1:1">
      <c r="A2136" s="346"/>
    </row>
    <row r="2137" spans="1:1">
      <c r="A2137" s="346"/>
    </row>
    <row r="2138" spans="1:1">
      <c r="A2138" s="346"/>
    </row>
    <row r="2139" spans="1:1">
      <c r="A2139" s="346"/>
    </row>
    <row r="2140" spans="1:1">
      <c r="A2140" s="346"/>
    </row>
    <row r="2141" spans="1:1">
      <c r="A2141" s="346"/>
    </row>
    <row r="2142" spans="1:1">
      <c r="A2142" s="346"/>
    </row>
    <row r="2143" spans="1:1">
      <c r="A2143" s="346"/>
    </row>
    <row r="2144" spans="1:1">
      <c r="A2144" s="346"/>
    </row>
    <row r="2145" spans="1:1">
      <c r="A2145" s="346"/>
    </row>
    <row r="2146" spans="1:1">
      <c r="A2146" s="346"/>
    </row>
    <row r="2147" spans="1:1">
      <c r="A2147" s="346"/>
    </row>
    <row r="2148" spans="1:1">
      <c r="A2148" s="346"/>
    </row>
    <row r="2149" spans="1:1">
      <c r="A2149" s="346"/>
    </row>
    <row r="2150" spans="1:1">
      <c r="A2150" s="346"/>
    </row>
    <row r="2151" spans="1:1">
      <c r="A2151" s="346"/>
    </row>
    <row r="2152" spans="1:1">
      <c r="A2152" s="346"/>
    </row>
    <row r="2153" spans="1:1">
      <c r="A2153" s="346"/>
    </row>
    <row r="2154" spans="1:1">
      <c r="A2154" s="346"/>
    </row>
    <row r="2155" spans="1:1">
      <c r="A2155" s="346"/>
    </row>
    <row r="2156" spans="1:1">
      <c r="A2156" s="346"/>
    </row>
    <row r="2157" spans="1:1">
      <c r="A2157" s="346"/>
    </row>
    <row r="2158" spans="1:1">
      <c r="A2158" s="346"/>
    </row>
    <row r="2159" spans="1:1">
      <c r="A2159" s="346"/>
    </row>
    <row r="2160" spans="1:1">
      <c r="A2160" s="346"/>
    </row>
    <row r="2161" spans="1:1">
      <c r="A2161" s="346"/>
    </row>
    <row r="2162" spans="1:1">
      <c r="A2162" s="346"/>
    </row>
    <row r="2163" spans="1:1">
      <c r="A2163" s="346"/>
    </row>
    <row r="2164" spans="1:1">
      <c r="A2164" s="346"/>
    </row>
    <row r="2165" spans="1:1">
      <c r="A2165" s="346"/>
    </row>
    <row r="2166" spans="1:1">
      <c r="A2166" s="346"/>
    </row>
    <row r="2167" spans="1:1">
      <c r="A2167" s="346"/>
    </row>
    <row r="2168" spans="1:1">
      <c r="A2168" s="346"/>
    </row>
    <row r="2169" spans="1:1">
      <c r="A2169" s="346"/>
    </row>
    <row r="2170" spans="1:1">
      <c r="A2170" s="346"/>
    </row>
    <row r="2171" spans="1:1">
      <c r="A2171" s="346"/>
    </row>
    <row r="2172" spans="1:1">
      <c r="A2172" s="346"/>
    </row>
    <row r="2173" spans="1:1">
      <c r="A2173" s="346"/>
    </row>
    <row r="2174" spans="1:1">
      <c r="A2174" s="346"/>
    </row>
    <row r="2175" spans="1:1">
      <c r="A2175" s="346"/>
    </row>
    <row r="2176" spans="1:1">
      <c r="A2176" s="346"/>
    </row>
    <row r="2177" spans="1:1">
      <c r="A2177" s="346"/>
    </row>
    <row r="2178" spans="1:1">
      <c r="A2178" s="346"/>
    </row>
    <row r="2179" spans="1:1">
      <c r="A2179" s="346"/>
    </row>
    <row r="2180" spans="1:1">
      <c r="A2180" s="346"/>
    </row>
    <row r="2181" spans="1:1">
      <c r="A2181" s="346"/>
    </row>
    <row r="2182" spans="1:1">
      <c r="A2182" s="346"/>
    </row>
    <row r="2183" spans="1:1">
      <c r="A2183" s="346"/>
    </row>
    <row r="2184" spans="1:1">
      <c r="A2184" s="346"/>
    </row>
    <row r="2185" spans="1:1">
      <c r="A2185" s="346"/>
    </row>
    <row r="2186" spans="1:1">
      <c r="A2186" s="346"/>
    </row>
    <row r="2187" spans="1:1">
      <c r="A2187" s="346"/>
    </row>
    <row r="2188" spans="1:1">
      <c r="A2188" s="346"/>
    </row>
    <row r="2189" spans="1:1">
      <c r="A2189" s="346"/>
    </row>
    <row r="2190" spans="1:1">
      <c r="A2190" s="346"/>
    </row>
    <row r="2191" spans="1:1">
      <c r="A2191" s="346"/>
    </row>
    <row r="2192" spans="1:1">
      <c r="A2192" s="346"/>
    </row>
    <row r="2193" spans="1:1">
      <c r="A2193" s="346"/>
    </row>
    <row r="2194" spans="1:1">
      <c r="A2194" s="346"/>
    </row>
    <row r="2195" spans="1:1">
      <c r="A2195" s="346"/>
    </row>
    <row r="2196" spans="1:1">
      <c r="A2196" s="346"/>
    </row>
    <row r="2197" spans="1:1">
      <c r="A2197" s="346"/>
    </row>
    <row r="2198" spans="1:1">
      <c r="A2198" s="346"/>
    </row>
    <row r="2199" spans="1:1">
      <c r="A2199" s="346"/>
    </row>
    <row r="2200" spans="1:1">
      <c r="A2200" s="346"/>
    </row>
    <row r="2201" spans="1:1">
      <c r="A2201" s="346"/>
    </row>
    <row r="2202" spans="1:1">
      <c r="A2202" s="346"/>
    </row>
    <row r="2203" spans="1:1">
      <c r="A2203" s="346"/>
    </row>
    <row r="2204" spans="1:1">
      <c r="A2204" s="346"/>
    </row>
    <row r="2205" spans="1:1">
      <c r="A2205" s="346"/>
    </row>
    <row r="2206" spans="1:1">
      <c r="A2206" s="346"/>
    </row>
    <row r="2207" spans="1:1">
      <c r="A2207" s="346"/>
    </row>
    <row r="2208" spans="1:1">
      <c r="A2208" s="346"/>
    </row>
    <row r="2209" spans="1:1">
      <c r="A2209" s="346"/>
    </row>
    <row r="2210" spans="1:1">
      <c r="A2210" s="346"/>
    </row>
    <row r="2211" spans="1:1">
      <c r="A2211" s="346"/>
    </row>
    <row r="2212" spans="1:1">
      <c r="A2212" s="346"/>
    </row>
    <row r="2213" spans="1:1">
      <c r="A2213" s="346"/>
    </row>
    <row r="2214" spans="1:1">
      <c r="A2214" s="346"/>
    </row>
    <row r="2215" spans="1:1">
      <c r="A2215" s="346"/>
    </row>
    <row r="2216" spans="1:1">
      <c r="A2216" s="346"/>
    </row>
    <row r="2217" spans="1:1">
      <c r="A2217" s="346"/>
    </row>
    <row r="2218" spans="1:1">
      <c r="A2218" s="346"/>
    </row>
    <row r="2219" spans="1:1">
      <c r="A2219" s="346"/>
    </row>
    <row r="2220" spans="1:1">
      <c r="A2220" s="346"/>
    </row>
    <row r="2221" spans="1:1">
      <c r="A2221" s="346"/>
    </row>
    <row r="2222" spans="1:1">
      <c r="A2222" s="346"/>
    </row>
    <row r="2223" spans="1:1">
      <c r="A2223" s="346"/>
    </row>
    <row r="2224" spans="1:1">
      <c r="A2224" s="346"/>
    </row>
    <row r="2225" spans="1:1">
      <c r="A2225" s="346"/>
    </row>
    <row r="2226" spans="1:1">
      <c r="A2226" s="346"/>
    </row>
    <row r="2227" spans="1:1">
      <c r="A2227" s="346"/>
    </row>
    <row r="2228" spans="1:1">
      <c r="A2228" s="346"/>
    </row>
    <row r="2229" spans="1:1">
      <c r="A2229" s="346"/>
    </row>
    <row r="2230" spans="1:1">
      <c r="A2230" s="346"/>
    </row>
    <row r="2231" spans="1:1">
      <c r="A2231" s="346"/>
    </row>
    <row r="2232" spans="1:1">
      <c r="A2232" s="346"/>
    </row>
    <row r="2233" spans="1:1">
      <c r="A2233" s="346"/>
    </row>
    <row r="2234" spans="1:1">
      <c r="A2234" s="346"/>
    </row>
    <row r="2235" spans="1:1">
      <c r="A2235" s="346"/>
    </row>
    <row r="2236" spans="1:1">
      <c r="A2236" s="346"/>
    </row>
    <row r="2237" spans="1:1">
      <c r="A2237" s="346"/>
    </row>
    <row r="2238" spans="1:1">
      <c r="A2238" s="346"/>
    </row>
    <row r="2239" spans="1:1">
      <c r="A2239" s="346"/>
    </row>
    <row r="2240" spans="1:1">
      <c r="A2240" s="346"/>
    </row>
    <row r="2241" spans="1:1">
      <c r="A2241" s="346"/>
    </row>
    <row r="2242" spans="1:1">
      <c r="A2242" s="346"/>
    </row>
    <row r="2243" spans="1:1">
      <c r="A2243" s="346"/>
    </row>
    <row r="2244" spans="1:1">
      <c r="A2244" s="346"/>
    </row>
    <row r="2245" spans="1:1">
      <c r="A2245" s="346"/>
    </row>
    <row r="2246" spans="1:1">
      <c r="A2246" s="346"/>
    </row>
    <row r="2247" spans="1:1">
      <c r="A2247" s="346"/>
    </row>
    <row r="2248" spans="1:1">
      <c r="A2248" s="346"/>
    </row>
    <row r="2249" spans="1:1">
      <c r="A2249" s="346"/>
    </row>
    <row r="2250" spans="1:1">
      <c r="A2250" s="346"/>
    </row>
    <row r="2251" spans="1:1">
      <c r="A2251" s="346"/>
    </row>
    <row r="2252" spans="1:1">
      <c r="A2252" s="346"/>
    </row>
    <row r="2253" spans="1:1">
      <c r="A2253" s="346"/>
    </row>
    <row r="2254" spans="1:1">
      <c r="A2254" s="346"/>
    </row>
    <row r="2255" spans="1:1">
      <c r="A2255" s="346"/>
    </row>
    <row r="2256" spans="1:1">
      <c r="A2256" s="346"/>
    </row>
    <row r="2257" spans="1:1">
      <c r="A2257" s="346"/>
    </row>
    <row r="2258" spans="1:1">
      <c r="A2258" s="346"/>
    </row>
    <row r="2259" spans="1:1">
      <c r="A2259" s="346"/>
    </row>
    <row r="2260" spans="1:1">
      <c r="A2260" s="346"/>
    </row>
    <row r="2261" spans="1:1">
      <c r="A2261" s="346"/>
    </row>
    <row r="2262" spans="1:1">
      <c r="A2262" s="346"/>
    </row>
    <row r="2263" spans="1:1">
      <c r="A2263" s="346"/>
    </row>
    <row r="2264" spans="1:1">
      <c r="A2264" s="346"/>
    </row>
    <row r="2265" spans="1:1">
      <c r="A2265" s="346"/>
    </row>
    <row r="2266" spans="1:1">
      <c r="A2266" s="346"/>
    </row>
    <row r="2267" spans="1:1">
      <c r="A2267" s="346"/>
    </row>
    <row r="2268" spans="1:1">
      <c r="A2268" s="346"/>
    </row>
    <row r="2269" spans="1:1">
      <c r="A2269" s="346"/>
    </row>
    <row r="2270" spans="1:1">
      <c r="A2270" s="346"/>
    </row>
    <row r="2271" spans="1:1">
      <c r="A2271" s="346"/>
    </row>
    <row r="2272" spans="1:1">
      <c r="A2272" s="346"/>
    </row>
    <row r="2273" spans="1:1">
      <c r="A2273" s="346"/>
    </row>
    <row r="2274" spans="1:1">
      <c r="A2274" s="346"/>
    </row>
    <row r="2275" spans="1:1">
      <c r="A2275" s="346"/>
    </row>
    <row r="2276" spans="1:1">
      <c r="A2276" s="346"/>
    </row>
    <row r="2277" spans="1:1">
      <c r="A2277" s="346"/>
    </row>
    <row r="2278" spans="1:1">
      <c r="A2278" s="346"/>
    </row>
    <row r="2279" spans="1:1">
      <c r="A2279" s="346"/>
    </row>
    <row r="2280" spans="1:1">
      <c r="A2280" s="346"/>
    </row>
    <row r="2281" spans="1:1">
      <c r="A2281" s="346"/>
    </row>
    <row r="2282" spans="1:1">
      <c r="A2282" s="346"/>
    </row>
    <row r="2283" spans="1:1">
      <c r="A2283" s="346"/>
    </row>
    <row r="2284" spans="1:1">
      <c r="A2284" s="346"/>
    </row>
    <row r="2285" spans="1:1">
      <c r="A2285" s="346"/>
    </row>
    <row r="2286" spans="1:1">
      <c r="A2286" s="346"/>
    </row>
    <row r="2287" spans="1:1">
      <c r="A2287" s="346"/>
    </row>
    <row r="2288" spans="1:1">
      <c r="A2288" s="346"/>
    </row>
    <row r="2289" spans="1:1">
      <c r="A2289" s="346"/>
    </row>
    <row r="2290" spans="1:1">
      <c r="A2290" s="346"/>
    </row>
    <row r="2291" spans="1:1">
      <c r="A2291" s="346"/>
    </row>
    <row r="2292" spans="1:1">
      <c r="A2292" s="346"/>
    </row>
    <row r="2293" spans="1:1">
      <c r="A2293" s="346"/>
    </row>
    <row r="2294" spans="1:1">
      <c r="A2294" s="346"/>
    </row>
    <row r="2295" spans="1:1">
      <c r="A2295" s="346"/>
    </row>
    <row r="2296" spans="1:1">
      <c r="A2296" s="346"/>
    </row>
    <row r="2297" spans="1:1">
      <c r="A2297" s="346"/>
    </row>
    <row r="2298" spans="1:1">
      <c r="A2298" s="346"/>
    </row>
    <row r="2299" spans="1:1">
      <c r="A2299" s="346"/>
    </row>
    <row r="2300" spans="1:1">
      <c r="A2300" s="346"/>
    </row>
    <row r="2301" spans="1:1">
      <c r="A2301" s="346"/>
    </row>
    <row r="2302" spans="1:1">
      <c r="A2302" s="346"/>
    </row>
    <row r="2303" spans="1:1">
      <c r="A2303" s="346"/>
    </row>
    <row r="2304" spans="1:1">
      <c r="A2304" s="346"/>
    </row>
    <row r="2305" spans="1:1">
      <c r="A2305" s="346"/>
    </row>
    <row r="2306" spans="1:1">
      <c r="A2306" s="346"/>
    </row>
    <row r="2307" spans="1:1">
      <c r="A2307" s="346"/>
    </row>
    <row r="2308" spans="1:1">
      <c r="A2308" s="346"/>
    </row>
    <row r="2309" spans="1:1">
      <c r="A2309" s="346"/>
    </row>
    <row r="2310" spans="1:1">
      <c r="A2310" s="346"/>
    </row>
    <row r="2311" spans="1:1">
      <c r="A2311" s="346"/>
    </row>
    <row r="2312" spans="1:1">
      <c r="A2312" s="346"/>
    </row>
    <row r="2313" spans="1:1">
      <c r="A2313" s="346"/>
    </row>
    <row r="2314" spans="1:1">
      <c r="A2314" s="346"/>
    </row>
    <row r="2315" spans="1:1">
      <c r="A2315" s="346"/>
    </row>
    <row r="2316" spans="1:1">
      <c r="A2316" s="346"/>
    </row>
    <row r="2317" spans="1:1">
      <c r="A2317" s="346"/>
    </row>
    <row r="2318" spans="1:1">
      <c r="A2318" s="346"/>
    </row>
    <row r="2319" spans="1:1">
      <c r="A2319" s="346"/>
    </row>
    <row r="2320" spans="1:1">
      <c r="A2320" s="346"/>
    </row>
    <row r="2321" spans="1:1">
      <c r="A2321" s="346"/>
    </row>
    <row r="2322" spans="1:1">
      <c r="A2322" s="346"/>
    </row>
    <row r="2323" spans="1:1">
      <c r="A2323" s="346"/>
    </row>
    <row r="2324" spans="1:1">
      <c r="A2324" s="346"/>
    </row>
    <row r="2325" spans="1:1">
      <c r="A2325" s="346"/>
    </row>
    <row r="2326" spans="1:1">
      <c r="A2326" s="346"/>
    </row>
    <row r="2327" spans="1:1">
      <c r="A2327" s="346"/>
    </row>
    <row r="2328" spans="1:1">
      <c r="A2328" s="346"/>
    </row>
    <row r="2329" spans="1:1">
      <c r="A2329" s="346"/>
    </row>
    <row r="2330" spans="1:1">
      <c r="A2330" s="346"/>
    </row>
    <row r="2331" spans="1:1">
      <c r="A2331" s="346"/>
    </row>
    <row r="2332" spans="1:1">
      <c r="A2332" s="346"/>
    </row>
    <row r="2333" spans="1:1">
      <c r="A2333" s="346"/>
    </row>
    <row r="2334" spans="1:1">
      <c r="A2334" s="346"/>
    </row>
    <row r="2335" spans="1:1">
      <c r="A2335" s="346"/>
    </row>
    <row r="2336" spans="1:1">
      <c r="A2336" s="346"/>
    </row>
    <row r="2337" spans="1:1">
      <c r="A2337" s="346"/>
    </row>
    <row r="2338" spans="1:1">
      <c r="A2338" s="346"/>
    </row>
    <row r="2339" spans="1:1">
      <c r="A2339" s="346"/>
    </row>
    <row r="2340" spans="1:1">
      <c r="A2340" s="346"/>
    </row>
    <row r="2341" spans="1:1">
      <c r="A2341" s="346"/>
    </row>
    <row r="2342" spans="1:1">
      <c r="A2342" s="346"/>
    </row>
    <row r="2343" spans="1:1">
      <c r="A2343" s="346"/>
    </row>
    <row r="2344" spans="1:1">
      <c r="A2344" s="346"/>
    </row>
    <row r="2345" spans="1:1">
      <c r="A2345" s="346"/>
    </row>
    <row r="2346" spans="1:1">
      <c r="A2346" s="346"/>
    </row>
    <row r="2347" spans="1:1">
      <c r="A2347" s="346"/>
    </row>
    <row r="2348" spans="1:1">
      <c r="A2348" s="346"/>
    </row>
    <row r="2349" spans="1:1">
      <c r="A2349" s="346"/>
    </row>
    <row r="2350" spans="1:1">
      <c r="A2350" s="346"/>
    </row>
    <row r="2351" spans="1:1">
      <c r="A2351" s="346"/>
    </row>
    <row r="2352" spans="1:1">
      <c r="A2352" s="346"/>
    </row>
    <row r="2353" spans="1:1">
      <c r="A2353" s="346"/>
    </row>
    <row r="2354" spans="1:1">
      <c r="A2354" s="346"/>
    </row>
    <row r="2355" spans="1:1">
      <c r="A2355" s="346"/>
    </row>
    <row r="2356" spans="1:1">
      <c r="A2356" s="346"/>
    </row>
    <row r="2357" spans="1:1">
      <c r="A2357" s="346"/>
    </row>
    <row r="2358" spans="1:1">
      <c r="A2358" s="346"/>
    </row>
    <row r="2359" spans="1:1">
      <c r="A2359" s="346"/>
    </row>
    <row r="2360" spans="1:1">
      <c r="A2360" s="346"/>
    </row>
    <row r="2361" spans="1:1">
      <c r="A2361" s="346"/>
    </row>
    <row r="2362" spans="1:1">
      <c r="A2362" s="346"/>
    </row>
    <row r="2363" spans="1:1">
      <c r="A2363" s="346"/>
    </row>
    <row r="2364" spans="1:1">
      <c r="A2364" s="346"/>
    </row>
    <row r="2365" spans="1:1">
      <c r="A2365" s="346"/>
    </row>
    <row r="2366" spans="1:1">
      <c r="A2366" s="346"/>
    </row>
    <row r="2367" spans="1:1">
      <c r="A2367" s="346"/>
    </row>
    <row r="2368" spans="1:1">
      <c r="A2368" s="346"/>
    </row>
    <row r="2369" spans="1:1">
      <c r="A2369" s="346"/>
    </row>
    <row r="2370" spans="1:1">
      <c r="A2370" s="346"/>
    </row>
    <row r="2371" spans="1:1">
      <c r="A2371" s="346"/>
    </row>
    <row r="2372" spans="1:1">
      <c r="A2372" s="346"/>
    </row>
    <row r="2373" spans="1:1">
      <c r="A2373" s="346"/>
    </row>
    <row r="2374" spans="1:1">
      <c r="A2374" s="346"/>
    </row>
    <row r="2375" spans="1:1">
      <c r="A2375" s="346"/>
    </row>
    <row r="2376" spans="1:1">
      <c r="A2376" s="346"/>
    </row>
    <row r="2377" spans="1:1">
      <c r="A2377" s="346"/>
    </row>
    <row r="2378" spans="1:1">
      <c r="A2378" s="346"/>
    </row>
    <row r="2379" spans="1:1">
      <c r="A2379" s="346"/>
    </row>
    <row r="2380" spans="1:1">
      <c r="A2380" s="346"/>
    </row>
    <row r="2381" spans="1:1">
      <c r="A2381" s="346"/>
    </row>
    <row r="2382" spans="1:1">
      <c r="A2382" s="346"/>
    </row>
    <row r="2383" spans="1:1">
      <c r="A2383" s="346"/>
    </row>
    <row r="2384" spans="1:1">
      <c r="A2384" s="346"/>
    </row>
    <row r="2385" spans="1:1">
      <c r="A2385" s="346"/>
    </row>
    <row r="2386" spans="1:1">
      <c r="A2386" s="346"/>
    </row>
    <row r="2387" spans="1:1">
      <c r="A2387" s="346"/>
    </row>
    <row r="2388" spans="1:1">
      <c r="A2388" s="346"/>
    </row>
    <row r="2389" spans="1:1">
      <c r="A2389" s="346"/>
    </row>
    <row r="2390" spans="1:1">
      <c r="A2390" s="346"/>
    </row>
    <row r="2391" spans="1:1">
      <c r="A2391" s="346"/>
    </row>
    <row r="2392" spans="1:1">
      <c r="A2392" s="346"/>
    </row>
    <row r="2393" spans="1:1">
      <c r="A2393" s="346"/>
    </row>
    <row r="2394" spans="1:1">
      <c r="A2394" s="346"/>
    </row>
    <row r="2395" spans="1:1">
      <c r="A2395" s="346"/>
    </row>
    <row r="2396" spans="1:1">
      <c r="A2396" s="346"/>
    </row>
    <row r="2397" spans="1:1">
      <c r="A2397" s="346"/>
    </row>
    <row r="2398" spans="1:1">
      <c r="A2398" s="346"/>
    </row>
    <row r="2399" spans="1:1">
      <c r="A2399" s="346"/>
    </row>
    <row r="2400" spans="1:1">
      <c r="A2400" s="346"/>
    </row>
    <row r="2401" spans="1:1">
      <c r="A2401" s="346"/>
    </row>
    <row r="2402" spans="1:1">
      <c r="A2402" s="346"/>
    </row>
    <row r="2403" spans="1:1">
      <c r="A2403" s="346"/>
    </row>
    <row r="2404" spans="1:1">
      <c r="A2404" s="346"/>
    </row>
    <row r="2405" spans="1:1">
      <c r="A2405" s="346"/>
    </row>
    <row r="2406" spans="1:1">
      <c r="A2406" s="346"/>
    </row>
    <row r="2407" spans="1:1">
      <c r="A2407" s="346"/>
    </row>
    <row r="2408" spans="1:1">
      <c r="A2408" s="346"/>
    </row>
    <row r="2409" spans="1:1">
      <c r="A2409" s="346"/>
    </row>
    <row r="2410" spans="1:1">
      <c r="A2410" s="346"/>
    </row>
    <row r="2411" spans="1:1">
      <c r="A2411" s="346"/>
    </row>
    <row r="2412" spans="1:1">
      <c r="A2412" s="346"/>
    </row>
    <row r="2413" spans="1:1">
      <c r="A2413" s="346"/>
    </row>
    <row r="2414" spans="1:1">
      <c r="A2414" s="346"/>
    </row>
    <row r="2415" spans="1:1">
      <c r="A2415" s="346"/>
    </row>
    <row r="2416" spans="1:1">
      <c r="A2416" s="346"/>
    </row>
    <row r="2417" spans="1:1">
      <c r="A2417" s="346"/>
    </row>
    <row r="2418" spans="1:1">
      <c r="A2418" s="346"/>
    </row>
    <row r="2419" spans="1:1">
      <c r="A2419" s="346"/>
    </row>
    <row r="2420" spans="1:1">
      <c r="A2420" s="346"/>
    </row>
    <row r="2421" spans="1:1">
      <c r="A2421" s="346"/>
    </row>
    <row r="2422" spans="1:1">
      <c r="A2422" s="346"/>
    </row>
    <row r="2423" spans="1:1">
      <c r="A2423" s="346"/>
    </row>
    <row r="2424" spans="1:1">
      <c r="A2424" s="346"/>
    </row>
    <row r="2425" spans="1:1">
      <c r="A2425" s="346"/>
    </row>
    <row r="2426" spans="1:1">
      <c r="A2426" s="346"/>
    </row>
    <row r="2427" spans="1:1">
      <c r="A2427" s="346"/>
    </row>
    <row r="2428" spans="1:1">
      <c r="A2428" s="346"/>
    </row>
    <row r="2429" spans="1:1">
      <c r="A2429" s="346"/>
    </row>
    <row r="2430" spans="1:1">
      <c r="A2430" s="346"/>
    </row>
    <row r="2431" spans="1:1">
      <c r="A2431" s="346"/>
    </row>
    <row r="2432" spans="1:1">
      <c r="A2432" s="346"/>
    </row>
    <row r="2433" spans="1:1">
      <c r="A2433" s="346"/>
    </row>
    <row r="2434" spans="1:1">
      <c r="A2434" s="346"/>
    </row>
    <row r="2435" spans="1:1">
      <c r="A2435" s="346"/>
    </row>
    <row r="2436" spans="1:1">
      <c r="A2436" s="346"/>
    </row>
    <row r="2437" spans="1:1">
      <c r="A2437" s="346"/>
    </row>
    <row r="2438" spans="1:1">
      <c r="A2438" s="346"/>
    </row>
    <row r="2439" spans="1:1">
      <c r="A2439" s="346"/>
    </row>
    <row r="2440" spans="1:1">
      <c r="A2440" s="346"/>
    </row>
    <row r="2441" spans="1:1">
      <c r="A2441" s="346"/>
    </row>
    <row r="2442" spans="1:1">
      <c r="A2442" s="346"/>
    </row>
    <row r="2443" spans="1:1">
      <c r="A2443" s="346"/>
    </row>
    <row r="2444" spans="1:1">
      <c r="A2444" s="346"/>
    </row>
    <row r="2445" spans="1:1">
      <c r="A2445" s="346"/>
    </row>
    <row r="2446" spans="1:1">
      <c r="A2446" s="346"/>
    </row>
    <row r="2447" spans="1:1">
      <c r="A2447" s="346"/>
    </row>
    <row r="2448" spans="1:1">
      <c r="A2448" s="346"/>
    </row>
    <row r="2449" spans="1:1">
      <c r="A2449" s="346"/>
    </row>
    <row r="2450" spans="1:1">
      <c r="A2450" s="346"/>
    </row>
    <row r="2451" spans="1:1">
      <c r="A2451" s="346"/>
    </row>
    <row r="2452" spans="1:1">
      <c r="A2452" s="346"/>
    </row>
    <row r="2453" spans="1:1">
      <c r="A2453" s="346"/>
    </row>
    <row r="2454" spans="1:1">
      <c r="A2454" s="346"/>
    </row>
    <row r="2455" spans="1:1">
      <c r="A2455" s="346"/>
    </row>
    <row r="2456" spans="1:1">
      <c r="A2456" s="346"/>
    </row>
    <row r="2457" spans="1:1">
      <c r="A2457" s="346"/>
    </row>
    <row r="2458" spans="1:1">
      <c r="A2458" s="346"/>
    </row>
    <row r="2459" spans="1:1">
      <c r="A2459" s="346"/>
    </row>
    <row r="2460" spans="1:1">
      <c r="A2460" s="346"/>
    </row>
    <row r="2461" spans="1:1">
      <c r="A2461" s="346"/>
    </row>
    <row r="2462" spans="1:1">
      <c r="A2462" s="346"/>
    </row>
    <row r="2463" spans="1:1">
      <c r="A2463" s="346"/>
    </row>
    <row r="2464" spans="1:1">
      <c r="A2464" s="346"/>
    </row>
    <row r="2465" spans="1:1">
      <c r="A2465" s="346"/>
    </row>
    <row r="2466" spans="1:1">
      <c r="A2466" s="346"/>
    </row>
    <row r="2467" spans="1:1">
      <c r="A2467" s="346"/>
    </row>
    <row r="2468" spans="1:1">
      <c r="A2468" s="346"/>
    </row>
    <row r="2469" spans="1:1">
      <c r="A2469" s="346"/>
    </row>
    <row r="2470" spans="1:1">
      <c r="A2470" s="346"/>
    </row>
    <row r="2471" spans="1:1">
      <c r="A2471" s="346"/>
    </row>
    <row r="2472" spans="1:1">
      <c r="A2472" s="346"/>
    </row>
    <row r="2473" spans="1:1">
      <c r="A2473" s="346"/>
    </row>
    <row r="2474" spans="1:1">
      <c r="A2474" s="346"/>
    </row>
    <row r="2475" spans="1:1">
      <c r="A2475" s="346"/>
    </row>
    <row r="2476" spans="1:1">
      <c r="A2476" s="346"/>
    </row>
    <row r="2477" spans="1:1">
      <c r="A2477" s="346"/>
    </row>
    <row r="2478" spans="1:1">
      <c r="A2478" s="346"/>
    </row>
    <row r="2479" spans="1:1">
      <c r="A2479" s="346"/>
    </row>
    <row r="2480" spans="1:1">
      <c r="A2480" s="346"/>
    </row>
    <row r="2481" spans="1:1">
      <c r="A2481" s="346"/>
    </row>
    <row r="2482" spans="1:1">
      <c r="A2482" s="346"/>
    </row>
    <row r="2483" spans="1:1">
      <c r="A2483" s="346"/>
    </row>
    <row r="2484" spans="1:1">
      <c r="A2484" s="346"/>
    </row>
    <row r="2485" spans="1:1">
      <c r="A2485" s="346"/>
    </row>
    <row r="2486" spans="1:1">
      <c r="A2486" s="346"/>
    </row>
    <row r="2487" spans="1:1">
      <c r="A2487" s="346"/>
    </row>
    <row r="2488" spans="1:1">
      <c r="A2488" s="346"/>
    </row>
    <row r="2489" spans="1:1">
      <c r="A2489" s="346"/>
    </row>
    <row r="2490" spans="1:1">
      <c r="A2490" s="346"/>
    </row>
    <row r="2491" spans="1:1">
      <c r="A2491" s="346"/>
    </row>
    <row r="2492" spans="1:1">
      <c r="A2492" s="346"/>
    </row>
    <row r="2493" spans="1:1">
      <c r="A2493" s="346"/>
    </row>
    <row r="2494" spans="1:1">
      <c r="A2494" s="346"/>
    </row>
    <row r="2495" spans="1:1">
      <c r="A2495" s="346"/>
    </row>
    <row r="2496" spans="1:1">
      <c r="A2496" s="346"/>
    </row>
    <row r="2497" spans="1:1">
      <c r="A2497" s="346"/>
    </row>
    <row r="2498" spans="1:1">
      <c r="A2498" s="346"/>
    </row>
    <row r="2499" spans="1:1">
      <c r="A2499" s="346"/>
    </row>
    <row r="2500" spans="1:1">
      <c r="A2500" s="346"/>
    </row>
    <row r="2501" spans="1:1">
      <c r="A2501" s="346"/>
    </row>
    <row r="2502" spans="1:1">
      <c r="A2502" s="346"/>
    </row>
    <row r="2503" spans="1:1">
      <c r="A2503" s="346"/>
    </row>
    <row r="2504" spans="1:1">
      <c r="A2504" s="346"/>
    </row>
    <row r="2505" spans="1:1">
      <c r="A2505" s="346"/>
    </row>
    <row r="2506" spans="1:1">
      <c r="A2506" s="346"/>
    </row>
    <row r="2507" spans="1:1">
      <c r="A2507" s="346"/>
    </row>
    <row r="2508" spans="1:1">
      <c r="A2508" s="346"/>
    </row>
    <row r="2509" spans="1:1">
      <c r="A2509" s="346"/>
    </row>
    <row r="2510" spans="1:1">
      <c r="A2510" s="346"/>
    </row>
    <row r="2511" spans="1:1">
      <c r="A2511" s="346"/>
    </row>
    <row r="2512" spans="1:1">
      <c r="A2512" s="346"/>
    </row>
    <row r="2513" spans="1:1">
      <c r="A2513" s="346"/>
    </row>
    <row r="2514" spans="1:1">
      <c r="A2514" s="346"/>
    </row>
    <row r="2515" spans="1:1">
      <c r="A2515" s="346"/>
    </row>
    <row r="2516" spans="1:1">
      <c r="A2516" s="346"/>
    </row>
    <row r="2517" spans="1:1">
      <c r="A2517" s="346"/>
    </row>
    <row r="2518" spans="1:1">
      <c r="A2518" s="346"/>
    </row>
    <row r="2519" spans="1:1">
      <c r="A2519" s="346"/>
    </row>
    <row r="2520" spans="1:1">
      <c r="A2520" s="346"/>
    </row>
    <row r="2521" spans="1:1">
      <c r="A2521" s="346"/>
    </row>
    <row r="2522" spans="1:1">
      <c r="A2522" s="346"/>
    </row>
    <row r="2523" spans="1:1">
      <c r="A2523" s="346"/>
    </row>
    <row r="2524" spans="1:1">
      <c r="A2524" s="346"/>
    </row>
    <row r="2525" spans="1:1">
      <c r="A2525" s="346"/>
    </row>
    <row r="2526" spans="1:1">
      <c r="A2526" s="346"/>
    </row>
    <row r="2527" spans="1:1">
      <c r="A2527" s="346"/>
    </row>
    <row r="2528" spans="1:1">
      <c r="A2528" s="346"/>
    </row>
    <row r="2529" spans="1:1">
      <c r="A2529" s="346"/>
    </row>
    <row r="2530" spans="1:1">
      <c r="A2530" s="346"/>
    </row>
    <row r="2531" spans="1:1">
      <c r="A2531" s="346"/>
    </row>
    <row r="2532" spans="1:1">
      <c r="A2532" s="346"/>
    </row>
    <row r="2533" spans="1:1">
      <c r="A2533" s="346"/>
    </row>
    <row r="2534" spans="1:1">
      <c r="A2534" s="346"/>
    </row>
    <row r="2535" spans="1:1">
      <c r="A2535" s="346"/>
    </row>
    <row r="2536" spans="1:1">
      <c r="A2536" s="346"/>
    </row>
    <row r="2537" spans="1:1">
      <c r="A2537" s="346"/>
    </row>
    <row r="2538" spans="1:1">
      <c r="A2538" s="346"/>
    </row>
    <row r="2539" spans="1:1">
      <c r="A2539" s="346"/>
    </row>
    <row r="2540" spans="1:1">
      <c r="A2540" s="346"/>
    </row>
    <row r="2541" spans="1:1">
      <c r="A2541" s="346"/>
    </row>
    <row r="2542" spans="1:1">
      <c r="A2542" s="346"/>
    </row>
    <row r="2543" spans="1:1">
      <c r="A2543" s="346"/>
    </row>
    <row r="2544" spans="1:1">
      <c r="A2544" s="346"/>
    </row>
    <row r="2545" spans="1:1">
      <c r="A2545" s="346"/>
    </row>
    <row r="2546" spans="1:1">
      <c r="A2546" s="346"/>
    </row>
    <row r="2547" spans="1:1">
      <c r="A2547" s="346"/>
    </row>
    <row r="2548" spans="1:1">
      <c r="A2548" s="346"/>
    </row>
    <row r="2549" spans="1:1">
      <c r="A2549" s="346"/>
    </row>
    <row r="2550" spans="1:1">
      <c r="A2550" s="346"/>
    </row>
    <row r="2551" spans="1:1">
      <c r="A2551" s="346"/>
    </row>
    <row r="2552" spans="1:1">
      <c r="A2552" s="346"/>
    </row>
    <row r="2553" spans="1:1">
      <c r="A2553" s="346"/>
    </row>
    <row r="2554" spans="1:1">
      <c r="A2554" s="346"/>
    </row>
    <row r="2555" spans="1:1">
      <c r="A2555" s="346"/>
    </row>
    <row r="2556" spans="1:1">
      <c r="A2556" s="346"/>
    </row>
    <row r="2557" spans="1:1">
      <c r="A2557" s="346"/>
    </row>
    <row r="2558" spans="1:1">
      <c r="A2558" s="346"/>
    </row>
    <row r="2559" spans="1:1">
      <c r="A2559" s="346"/>
    </row>
    <row r="2560" spans="1:1">
      <c r="A2560" s="346"/>
    </row>
    <row r="2561" spans="1:1">
      <c r="A2561" s="346"/>
    </row>
    <row r="2562" spans="1:1">
      <c r="A2562" s="346"/>
    </row>
    <row r="2563" spans="1:1">
      <c r="A2563" s="346"/>
    </row>
    <row r="2564" spans="1:1">
      <c r="A2564" s="346"/>
    </row>
    <row r="2565" spans="1:1">
      <c r="A2565" s="346"/>
    </row>
    <row r="2566" spans="1:1">
      <c r="A2566" s="346"/>
    </row>
    <row r="2567" spans="1:1">
      <c r="A2567" s="346"/>
    </row>
    <row r="2568" spans="1:1">
      <c r="A2568" s="346"/>
    </row>
    <row r="2569" spans="1:1">
      <c r="A2569" s="346"/>
    </row>
    <row r="2570" spans="1:1">
      <c r="A2570" s="346"/>
    </row>
    <row r="2571" spans="1:1">
      <c r="A2571" s="346"/>
    </row>
    <row r="2572" spans="1:1">
      <c r="A2572" s="346"/>
    </row>
    <row r="2573" spans="1:1">
      <c r="A2573" s="346"/>
    </row>
    <row r="2574" spans="1:1">
      <c r="A2574" s="346"/>
    </row>
    <row r="2575" spans="1:1">
      <c r="A2575" s="346"/>
    </row>
    <row r="2576" spans="1:1">
      <c r="A2576" s="346"/>
    </row>
    <row r="2577" spans="1:1">
      <c r="A2577" s="346"/>
    </row>
    <row r="2578" spans="1:1">
      <c r="A2578" s="346"/>
    </row>
    <row r="2579" spans="1:1">
      <c r="A2579" s="346"/>
    </row>
    <row r="2580" spans="1:1">
      <c r="A2580" s="346"/>
    </row>
    <row r="2581" spans="1:1">
      <c r="A2581" s="346"/>
    </row>
    <row r="2582" spans="1:1">
      <c r="A2582" s="346"/>
    </row>
    <row r="2583" spans="1:1">
      <c r="A2583" s="346"/>
    </row>
    <row r="2584" spans="1:1">
      <c r="A2584" s="346"/>
    </row>
    <row r="2585" spans="1:1">
      <c r="A2585" s="346"/>
    </row>
    <row r="2586" spans="1:1">
      <c r="A2586" s="346"/>
    </row>
    <row r="2587" spans="1:1">
      <c r="A2587" s="346"/>
    </row>
    <row r="2588" spans="1:1">
      <c r="A2588" s="346"/>
    </row>
    <row r="2589" spans="1:1">
      <c r="A2589" s="346"/>
    </row>
    <row r="2590" spans="1:1">
      <c r="A2590" s="346"/>
    </row>
    <row r="2591" spans="1:1">
      <c r="A2591" s="346"/>
    </row>
    <row r="2592" spans="1:1">
      <c r="A2592" s="346"/>
    </row>
    <row r="2593" spans="1:1">
      <c r="A2593" s="346"/>
    </row>
    <row r="2594" spans="1:1">
      <c r="A2594" s="346"/>
    </row>
    <row r="2595" spans="1:1">
      <c r="A2595" s="346"/>
    </row>
    <row r="2596" spans="1:1">
      <c r="A2596" s="346"/>
    </row>
    <row r="2597" spans="1:1">
      <c r="A2597" s="346"/>
    </row>
    <row r="2598" spans="1:1">
      <c r="A2598" s="346"/>
    </row>
    <row r="2599" spans="1:1">
      <c r="A2599" s="346"/>
    </row>
    <row r="2600" spans="1:1">
      <c r="A2600" s="346"/>
    </row>
    <row r="2601" spans="1:1">
      <c r="A2601" s="346"/>
    </row>
    <row r="2602" spans="1:1">
      <c r="A2602" s="346"/>
    </row>
    <row r="2603" spans="1:1">
      <c r="A2603" s="346"/>
    </row>
    <row r="2604" spans="1:1">
      <c r="A2604" s="346"/>
    </row>
    <row r="2605" spans="1:1">
      <c r="A2605" s="346"/>
    </row>
    <row r="2606" spans="1:1">
      <c r="A2606" s="346"/>
    </row>
    <row r="2607" spans="1:1">
      <c r="A2607" s="346"/>
    </row>
    <row r="2608" spans="1:1">
      <c r="A2608" s="346"/>
    </row>
    <row r="2609" spans="1:1">
      <c r="A2609" s="346"/>
    </row>
    <row r="2610" spans="1:1">
      <c r="A2610" s="346"/>
    </row>
    <row r="2611" spans="1:1">
      <c r="A2611" s="346"/>
    </row>
    <row r="2612" spans="1:1">
      <c r="A2612" s="346"/>
    </row>
    <row r="2613" spans="1:1">
      <c r="A2613" s="346"/>
    </row>
    <row r="2614" spans="1:1">
      <c r="A2614" s="346"/>
    </row>
    <row r="2615" spans="1:1">
      <c r="A2615" s="346"/>
    </row>
    <row r="2616" spans="1:1">
      <c r="A2616" s="346"/>
    </row>
    <row r="2617" spans="1:1">
      <c r="A2617" s="346"/>
    </row>
    <row r="2618" spans="1:1">
      <c r="A2618" s="346"/>
    </row>
    <row r="2619" spans="1:1">
      <c r="A2619" s="346"/>
    </row>
    <row r="2620" spans="1:1">
      <c r="A2620" s="346"/>
    </row>
    <row r="2621" spans="1:1">
      <c r="A2621" s="346"/>
    </row>
    <row r="2622" spans="1:1">
      <c r="A2622" s="346"/>
    </row>
    <row r="2623" spans="1:1">
      <c r="A2623" s="346"/>
    </row>
    <row r="2624" spans="1:1">
      <c r="A2624" s="346"/>
    </row>
    <row r="2625" spans="1:1">
      <c r="A2625" s="346"/>
    </row>
    <row r="2626" spans="1:1">
      <c r="A2626" s="346"/>
    </row>
    <row r="2627" spans="1:1">
      <c r="A2627" s="346"/>
    </row>
    <row r="2628" spans="1:1">
      <c r="A2628" s="346"/>
    </row>
    <row r="2629" spans="1:1">
      <c r="A2629" s="346"/>
    </row>
    <row r="2630" spans="1:1">
      <c r="A2630" s="346"/>
    </row>
    <row r="2631" spans="1:1">
      <c r="A2631" s="346"/>
    </row>
    <row r="2632" spans="1:1">
      <c r="A2632" s="346"/>
    </row>
    <row r="2633" spans="1:1">
      <c r="A2633" s="346"/>
    </row>
    <row r="2634" spans="1:1">
      <c r="A2634" s="346"/>
    </row>
    <row r="2635" spans="1:1">
      <c r="A2635" s="346"/>
    </row>
    <row r="2636" spans="1:1">
      <c r="A2636" s="346"/>
    </row>
    <row r="2637" spans="1:1">
      <c r="A2637" s="346"/>
    </row>
    <row r="2638" spans="1:1">
      <c r="A2638" s="346"/>
    </row>
    <row r="2639" spans="1:1">
      <c r="A2639" s="346"/>
    </row>
    <row r="2640" spans="1:1">
      <c r="A2640" s="346"/>
    </row>
    <row r="2641" spans="1:1">
      <c r="A2641" s="346"/>
    </row>
    <row r="2642" spans="1:1">
      <c r="A2642" s="346"/>
    </row>
    <row r="2643" spans="1:1">
      <c r="A2643" s="346"/>
    </row>
    <row r="2644" spans="1:1">
      <c r="A2644" s="346"/>
    </row>
    <row r="2645" spans="1:1">
      <c r="A2645" s="346"/>
    </row>
    <row r="2646" spans="1:1">
      <c r="A2646" s="346"/>
    </row>
    <row r="2647" spans="1:1">
      <c r="A2647" s="346"/>
    </row>
    <row r="2648" spans="1:1">
      <c r="A2648" s="346"/>
    </row>
    <row r="2649" spans="1:1">
      <c r="A2649" s="346"/>
    </row>
    <row r="2650" spans="1:1">
      <c r="A2650" s="346"/>
    </row>
    <row r="2651" spans="1:1">
      <c r="A2651" s="346"/>
    </row>
    <row r="2652" spans="1:1">
      <c r="A2652" s="346"/>
    </row>
    <row r="2653" spans="1:1">
      <c r="A2653" s="346"/>
    </row>
    <row r="2654" spans="1:1">
      <c r="A2654" s="346"/>
    </row>
    <row r="2655" spans="1:1">
      <c r="A2655" s="346"/>
    </row>
    <row r="2656" spans="1:1">
      <c r="A2656" s="346"/>
    </row>
    <row r="2657" spans="1:1">
      <c r="A2657" s="346"/>
    </row>
    <row r="2658" spans="1:1">
      <c r="A2658" s="346"/>
    </row>
    <row r="2659" spans="1:1">
      <c r="A2659" s="346"/>
    </row>
    <row r="2660" spans="1:1">
      <c r="A2660" s="346"/>
    </row>
    <row r="2661" spans="1:1">
      <c r="A2661" s="346"/>
    </row>
    <row r="2662" spans="1:1">
      <c r="A2662" s="346"/>
    </row>
    <row r="2663" spans="1:1">
      <c r="A2663" s="346"/>
    </row>
    <row r="2664" spans="1:1">
      <c r="A2664" s="346"/>
    </row>
    <row r="2665" spans="1:1">
      <c r="A2665" s="346"/>
    </row>
    <row r="2666" spans="1:1">
      <c r="A2666" s="346"/>
    </row>
    <row r="2667" spans="1:1">
      <c r="A2667" s="346"/>
    </row>
    <row r="2668" spans="1:1">
      <c r="A2668" s="346"/>
    </row>
    <row r="2669" spans="1:1">
      <c r="A2669" s="346"/>
    </row>
    <row r="2670" spans="1:1">
      <c r="A2670" s="346"/>
    </row>
    <row r="2671" spans="1:1">
      <c r="A2671" s="346"/>
    </row>
    <row r="2672" spans="1:1">
      <c r="A2672" s="346"/>
    </row>
    <row r="2673" spans="1:1">
      <c r="A2673" s="346"/>
    </row>
    <row r="2674" spans="1:1">
      <c r="A2674" s="346"/>
    </row>
    <row r="2675" spans="1:1">
      <c r="A2675" s="346"/>
    </row>
    <row r="2676" spans="1:1">
      <c r="A2676" s="346"/>
    </row>
    <row r="2677" spans="1:1">
      <c r="A2677" s="346"/>
    </row>
    <row r="2678" spans="1:1">
      <c r="A2678" s="346"/>
    </row>
    <row r="2679" spans="1:1">
      <c r="A2679" s="346"/>
    </row>
    <row r="2680" spans="1:1">
      <c r="A2680" s="346"/>
    </row>
    <row r="2681" spans="1:1">
      <c r="A2681" s="346"/>
    </row>
    <row r="2682" spans="1:1">
      <c r="A2682" s="346"/>
    </row>
    <row r="2683" spans="1:1">
      <c r="A2683" s="346"/>
    </row>
    <row r="2684" spans="1:1">
      <c r="A2684" s="346"/>
    </row>
    <row r="2685" spans="1:1">
      <c r="A2685" s="346"/>
    </row>
    <row r="2686" spans="1:1">
      <c r="A2686" s="346"/>
    </row>
    <row r="2687" spans="1:1">
      <c r="A2687" s="346"/>
    </row>
    <row r="2688" spans="1:1">
      <c r="A2688" s="346"/>
    </row>
    <row r="2689" spans="1:1">
      <c r="A2689" s="346"/>
    </row>
    <row r="2690" spans="1:1">
      <c r="A2690" s="346"/>
    </row>
    <row r="2691" spans="1:1">
      <c r="A2691" s="346"/>
    </row>
    <row r="2692" spans="1:1">
      <c r="A2692" s="346"/>
    </row>
    <row r="2693" spans="1:1">
      <c r="A2693" s="346"/>
    </row>
    <row r="2694" spans="1:1">
      <c r="A2694" s="346"/>
    </row>
    <row r="2695" spans="1:1">
      <c r="A2695" s="346"/>
    </row>
    <row r="2696" spans="1:1">
      <c r="A2696" s="346"/>
    </row>
    <row r="2697" spans="1:1">
      <c r="A2697" s="346"/>
    </row>
    <row r="2698" spans="1:1">
      <c r="A2698" s="346"/>
    </row>
    <row r="2699" spans="1:1">
      <c r="A2699" s="346"/>
    </row>
    <row r="2700" spans="1:1">
      <c r="A2700" s="346"/>
    </row>
    <row r="2701" spans="1:1">
      <c r="A2701" s="346"/>
    </row>
    <row r="2702" spans="1:1">
      <c r="A2702" s="346"/>
    </row>
    <row r="2703" spans="1:1">
      <c r="A2703" s="346"/>
    </row>
    <row r="2704" spans="1:1">
      <c r="A2704" s="346"/>
    </row>
    <row r="2705" spans="1:1">
      <c r="A2705" s="346"/>
    </row>
    <row r="2706" spans="1:1">
      <c r="A2706" s="346"/>
    </row>
    <row r="2707" spans="1:1">
      <c r="A2707" s="346"/>
    </row>
    <row r="2708" spans="1:1">
      <c r="A2708" s="346"/>
    </row>
    <row r="2709" spans="1:1">
      <c r="A2709" s="346"/>
    </row>
    <row r="2710" spans="1:1">
      <c r="A2710" s="346"/>
    </row>
    <row r="2711" spans="1:1">
      <c r="A2711" s="346"/>
    </row>
    <row r="2712" spans="1:1">
      <c r="A2712" s="346"/>
    </row>
    <row r="2713" spans="1:1">
      <c r="A2713" s="346"/>
    </row>
    <row r="2714" spans="1:1">
      <c r="A2714" s="346"/>
    </row>
    <row r="2715" spans="1:1">
      <c r="A2715" s="346"/>
    </row>
    <row r="2716" spans="1:1">
      <c r="A2716" s="346"/>
    </row>
    <row r="2717" spans="1:1">
      <c r="A2717" s="346"/>
    </row>
    <row r="2718" spans="1:1">
      <c r="A2718" s="346"/>
    </row>
    <row r="2719" spans="1:1">
      <c r="A2719" s="346"/>
    </row>
    <row r="2720" spans="1:1">
      <c r="A2720" s="346"/>
    </row>
    <row r="2721" spans="1:1">
      <c r="A2721" s="346"/>
    </row>
    <row r="2722" spans="1:1">
      <c r="A2722" s="346"/>
    </row>
    <row r="2723" spans="1:1">
      <c r="A2723" s="346"/>
    </row>
    <row r="2724" spans="1:1">
      <c r="A2724" s="346"/>
    </row>
    <row r="2725" spans="1:1">
      <c r="A2725" s="346"/>
    </row>
    <row r="2726" spans="1:1">
      <c r="A2726" s="346"/>
    </row>
    <row r="2727" spans="1:1">
      <c r="A2727" s="346"/>
    </row>
    <row r="2728" spans="1:1">
      <c r="A2728" s="346"/>
    </row>
    <row r="2729" spans="1:1">
      <c r="A2729" s="346"/>
    </row>
    <row r="2730" spans="1:1">
      <c r="A2730" s="346"/>
    </row>
    <row r="2731" spans="1:1">
      <c r="A2731" s="346"/>
    </row>
    <row r="2732" spans="1:1">
      <c r="A2732" s="346"/>
    </row>
    <row r="2733" spans="1:1">
      <c r="A2733" s="346"/>
    </row>
    <row r="2734" spans="1:1">
      <c r="A2734" s="346"/>
    </row>
    <row r="2735" spans="1:1">
      <c r="A2735" s="346"/>
    </row>
    <row r="2736" spans="1:1">
      <c r="A2736" s="346"/>
    </row>
    <row r="2737" spans="1:1">
      <c r="A2737" s="346"/>
    </row>
    <row r="2738" spans="1:1">
      <c r="A2738" s="346"/>
    </row>
    <row r="2739" spans="1:1">
      <c r="A2739" s="346"/>
    </row>
    <row r="2740" spans="1:1">
      <c r="A2740" s="346"/>
    </row>
    <row r="2741" spans="1:1">
      <c r="A2741" s="346"/>
    </row>
    <row r="2742" spans="1:1">
      <c r="A2742" s="346"/>
    </row>
    <row r="2743" spans="1:1">
      <c r="A2743" s="346"/>
    </row>
    <row r="2744" spans="1:1">
      <c r="A2744" s="346"/>
    </row>
    <row r="2745" spans="1:1">
      <c r="A2745" s="346"/>
    </row>
    <row r="2746" spans="1:1">
      <c r="A2746" s="346"/>
    </row>
    <row r="2747" spans="1:1">
      <c r="A2747" s="346"/>
    </row>
    <row r="2748" spans="1:1">
      <c r="A2748" s="346"/>
    </row>
    <row r="2749" spans="1:1">
      <c r="A2749" s="346"/>
    </row>
    <row r="2750" spans="1:1">
      <c r="A2750" s="346"/>
    </row>
    <row r="2751" spans="1:1">
      <c r="A2751" s="346"/>
    </row>
    <row r="2752" spans="1:1">
      <c r="A2752" s="346"/>
    </row>
    <row r="2753" spans="1:1">
      <c r="A2753" s="346"/>
    </row>
    <row r="2754" spans="1:1">
      <c r="A2754" s="346"/>
    </row>
    <row r="2755" spans="1:1">
      <c r="A2755" s="346"/>
    </row>
    <row r="2756" spans="1:1">
      <c r="A2756" s="346"/>
    </row>
    <row r="2757" spans="1:1">
      <c r="A2757" s="346"/>
    </row>
    <row r="2758" spans="1:1">
      <c r="A2758" s="346"/>
    </row>
    <row r="2759" spans="1:1">
      <c r="A2759" s="346"/>
    </row>
    <row r="2760" spans="1:1">
      <c r="A2760" s="346"/>
    </row>
    <row r="2761" spans="1:1">
      <c r="A2761" s="346"/>
    </row>
    <row r="2762" spans="1:1">
      <c r="A2762" s="346"/>
    </row>
    <row r="2763" spans="1:1">
      <c r="A2763" s="346"/>
    </row>
    <row r="2764" spans="1:1">
      <c r="A2764" s="346"/>
    </row>
    <row r="2765" spans="1:1">
      <c r="A2765" s="346"/>
    </row>
    <row r="2766" spans="1:1">
      <c r="A2766" s="346"/>
    </row>
    <row r="2767" spans="1:1">
      <c r="A2767" s="346"/>
    </row>
    <row r="2768" spans="1:1">
      <c r="A2768" s="346"/>
    </row>
    <row r="2769" spans="1:1">
      <c r="A2769" s="346"/>
    </row>
    <row r="2770" spans="1:1">
      <c r="A2770" s="346"/>
    </row>
    <row r="2771" spans="1:1">
      <c r="A2771" s="346"/>
    </row>
    <row r="2772" spans="1:1">
      <c r="A2772" s="346"/>
    </row>
    <row r="2773" spans="1:1">
      <c r="A2773" s="346"/>
    </row>
    <row r="2774" spans="1:1">
      <c r="A2774" s="346"/>
    </row>
    <row r="2775" spans="1:1">
      <c r="A2775" s="346"/>
    </row>
    <row r="2776" spans="1:1">
      <c r="A2776" s="346"/>
    </row>
    <row r="2777" spans="1:1">
      <c r="A2777" s="346"/>
    </row>
    <row r="2778" spans="1:1">
      <c r="A2778" s="346"/>
    </row>
    <row r="2779" spans="1:1">
      <c r="A2779" s="346"/>
    </row>
    <row r="2780" spans="1:1">
      <c r="A2780" s="346"/>
    </row>
    <row r="2781" spans="1:1">
      <c r="A2781" s="346"/>
    </row>
    <row r="2782" spans="1:1">
      <c r="A2782" s="346"/>
    </row>
    <row r="2783" spans="1:1">
      <c r="A2783" s="346"/>
    </row>
    <row r="2784" spans="1:1">
      <c r="A2784" s="346"/>
    </row>
    <row r="2785" spans="1:1">
      <c r="A2785" s="346"/>
    </row>
    <row r="2786" spans="1:1">
      <c r="A2786" s="346"/>
    </row>
    <row r="2787" spans="1:1">
      <c r="A2787" s="346"/>
    </row>
    <row r="2788" spans="1:1">
      <c r="A2788" s="346"/>
    </row>
    <row r="2789" spans="1:1">
      <c r="A2789" s="346"/>
    </row>
    <row r="2790" spans="1:1">
      <c r="A2790" s="346"/>
    </row>
    <row r="2791" spans="1:1">
      <c r="A2791" s="346"/>
    </row>
    <row r="2792" spans="1:1">
      <c r="A2792" s="346"/>
    </row>
    <row r="2793" spans="1:1">
      <c r="A2793" s="346"/>
    </row>
    <row r="2794" spans="1:1">
      <c r="A2794" s="346"/>
    </row>
    <row r="2795" spans="1:1">
      <c r="A2795" s="346"/>
    </row>
    <row r="2796" spans="1:1">
      <c r="A2796" s="346"/>
    </row>
    <row r="2797" spans="1:1">
      <c r="A2797" s="346"/>
    </row>
    <row r="2798" spans="1:1">
      <c r="A2798" s="346"/>
    </row>
    <row r="2799" spans="1:1">
      <c r="A2799" s="346"/>
    </row>
    <row r="2800" spans="1:1">
      <c r="A2800" s="346"/>
    </row>
    <row r="2801" spans="1:1">
      <c r="A2801" s="346"/>
    </row>
    <row r="2802" spans="1:1">
      <c r="A2802" s="346"/>
    </row>
    <row r="2803" spans="1:1">
      <c r="A2803" s="346"/>
    </row>
    <row r="2804" spans="1:1">
      <c r="A2804" s="346"/>
    </row>
    <row r="2805" spans="1:1">
      <c r="A2805" s="346"/>
    </row>
    <row r="2806" spans="1:1">
      <c r="A2806" s="346"/>
    </row>
    <row r="2807" spans="1:1">
      <c r="A2807" s="346"/>
    </row>
    <row r="2808" spans="1:1">
      <c r="A2808" s="346"/>
    </row>
    <row r="2809" spans="1:1">
      <c r="A2809" s="346"/>
    </row>
    <row r="2810" spans="1:1">
      <c r="A2810" s="346"/>
    </row>
    <row r="2811" spans="1:1">
      <c r="A2811" s="346"/>
    </row>
    <row r="2812" spans="1:1">
      <c r="A2812" s="346"/>
    </row>
    <row r="2813" spans="1:1">
      <c r="A2813" s="346"/>
    </row>
    <row r="2814" spans="1:1">
      <c r="A2814" s="346"/>
    </row>
    <row r="2815" spans="1:1">
      <c r="A2815" s="346"/>
    </row>
    <row r="2816" spans="1:1">
      <c r="A2816" s="346"/>
    </row>
    <row r="2817" spans="1:1">
      <c r="A2817" s="346"/>
    </row>
    <row r="2818" spans="1:1">
      <c r="A2818" s="346"/>
    </row>
    <row r="2819" spans="1:1">
      <c r="A2819" s="346"/>
    </row>
    <row r="2820" spans="1:1">
      <c r="A2820" s="346"/>
    </row>
    <row r="2821" spans="1:1">
      <c r="A2821" s="346"/>
    </row>
    <row r="2822" spans="1:1">
      <c r="A2822" s="346"/>
    </row>
    <row r="2823" spans="1:1">
      <c r="A2823" s="346"/>
    </row>
    <row r="2824" spans="1:1">
      <c r="A2824" s="346"/>
    </row>
    <row r="2825" spans="1:1">
      <c r="A2825" s="346"/>
    </row>
    <row r="2826" spans="1:1">
      <c r="A2826" s="346"/>
    </row>
    <row r="2827" spans="1:1">
      <c r="A2827" s="346"/>
    </row>
    <row r="2828" spans="1:1">
      <c r="A2828" s="346"/>
    </row>
    <row r="2829" spans="1:1">
      <c r="A2829" s="346"/>
    </row>
    <row r="2830" spans="1:1">
      <c r="A2830" s="346"/>
    </row>
    <row r="2831" spans="1:1">
      <c r="A2831" s="346"/>
    </row>
    <row r="2832" spans="1:1">
      <c r="A2832" s="346"/>
    </row>
    <row r="2833" spans="1:1">
      <c r="A2833" s="346"/>
    </row>
    <row r="2834" spans="1:1">
      <c r="A2834" s="346"/>
    </row>
    <row r="2835" spans="1:1">
      <c r="A2835" s="346"/>
    </row>
    <row r="2836" spans="1:1">
      <c r="A2836" s="346"/>
    </row>
    <row r="2837" spans="1:1">
      <c r="A2837" s="346"/>
    </row>
    <row r="2838" spans="1:1">
      <c r="A2838" s="346"/>
    </row>
    <row r="2839" spans="1:1">
      <c r="A2839" s="346"/>
    </row>
    <row r="2840" spans="1:1">
      <c r="A2840" s="346"/>
    </row>
    <row r="2841" spans="1:1">
      <c r="A2841" s="346"/>
    </row>
    <row r="2842" spans="1:1">
      <c r="A2842" s="346"/>
    </row>
    <row r="2843" spans="1:1">
      <c r="A2843" s="346"/>
    </row>
    <row r="2844" spans="1:1">
      <c r="A2844" s="346"/>
    </row>
    <row r="2845" spans="1:1">
      <c r="A2845" s="346"/>
    </row>
    <row r="2846" spans="1:1">
      <c r="A2846" s="346"/>
    </row>
    <row r="2847" spans="1:1">
      <c r="A2847" s="346"/>
    </row>
    <row r="2848" spans="1:1">
      <c r="A2848" s="346"/>
    </row>
    <row r="2849" spans="1:1">
      <c r="A2849" s="346"/>
    </row>
    <row r="2850" spans="1:1">
      <c r="A2850" s="346"/>
    </row>
    <row r="2851" spans="1:1">
      <c r="A2851" s="346"/>
    </row>
    <row r="2852" spans="1:1">
      <c r="A2852" s="346"/>
    </row>
    <row r="2853" spans="1:1">
      <c r="A2853" s="346"/>
    </row>
    <row r="2854" spans="1:1">
      <c r="A2854" s="346"/>
    </row>
    <row r="2855" spans="1:1">
      <c r="A2855" s="346"/>
    </row>
    <row r="2856" spans="1:1">
      <c r="A2856" s="346"/>
    </row>
    <row r="2857" spans="1:1">
      <c r="A2857" s="346"/>
    </row>
    <row r="2858" spans="1:1">
      <c r="A2858" s="346"/>
    </row>
    <row r="2859" spans="1:1">
      <c r="A2859" s="346"/>
    </row>
    <row r="2860" spans="1:1">
      <c r="A2860" s="346"/>
    </row>
    <row r="2861" spans="1:1">
      <c r="A2861" s="346"/>
    </row>
    <row r="2862" spans="1:1">
      <c r="A2862" s="346"/>
    </row>
    <row r="2863" spans="1:1">
      <c r="A2863" s="346"/>
    </row>
    <row r="2864" spans="1:1">
      <c r="A2864" s="346"/>
    </row>
    <row r="2865" spans="1:1">
      <c r="A2865" s="346"/>
    </row>
    <row r="2866" spans="1:1">
      <c r="A2866" s="346"/>
    </row>
    <row r="2867" spans="1:1">
      <c r="A2867" s="346"/>
    </row>
    <row r="2868" spans="1:1">
      <c r="A2868" s="346"/>
    </row>
    <row r="2869" spans="1:1">
      <c r="A2869" s="346"/>
    </row>
    <row r="2870" spans="1:1">
      <c r="A2870" s="346"/>
    </row>
    <row r="2871" spans="1:1">
      <c r="A2871" s="346"/>
    </row>
    <row r="2872" spans="1:1">
      <c r="A2872" s="346"/>
    </row>
    <row r="2873" spans="1:1">
      <c r="A2873" s="346"/>
    </row>
    <row r="2874" spans="1:1">
      <c r="A2874" s="346"/>
    </row>
    <row r="2875" spans="1:1">
      <c r="A2875" s="346"/>
    </row>
    <row r="2876" spans="1:1">
      <c r="A2876" s="346"/>
    </row>
    <row r="2877" spans="1:1">
      <c r="A2877" s="346"/>
    </row>
    <row r="2878" spans="1:1">
      <c r="A2878" s="346"/>
    </row>
    <row r="2879" spans="1:1">
      <c r="A2879" s="346"/>
    </row>
    <row r="2880" spans="1:1">
      <c r="A2880" s="346"/>
    </row>
    <row r="2881" spans="1:1">
      <c r="A2881" s="346"/>
    </row>
    <row r="2882" spans="1:1">
      <c r="A2882" s="346"/>
    </row>
    <row r="2883" spans="1:1">
      <c r="A2883" s="346"/>
    </row>
    <row r="2884" spans="1:1">
      <c r="A2884" s="346"/>
    </row>
    <row r="2885" spans="1:1">
      <c r="A2885" s="346"/>
    </row>
    <row r="2886" spans="1:1">
      <c r="A2886" s="346"/>
    </row>
    <row r="2887" spans="1:1">
      <c r="A2887" s="346"/>
    </row>
    <row r="2888" spans="1:1">
      <c r="A2888" s="346"/>
    </row>
    <row r="2889" spans="1:1">
      <c r="A2889" s="346"/>
    </row>
    <row r="2890" spans="1:1">
      <c r="A2890" s="346"/>
    </row>
    <row r="2891" spans="1:1">
      <c r="A2891" s="346"/>
    </row>
    <row r="2892" spans="1:1">
      <c r="A2892" s="346"/>
    </row>
    <row r="2893" spans="1:1">
      <c r="A2893" s="346"/>
    </row>
    <row r="2894" spans="1:1">
      <c r="A2894" s="346"/>
    </row>
    <row r="2895" spans="1:1">
      <c r="A2895" s="346"/>
    </row>
    <row r="2896" spans="1:1">
      <c r="A2896" s="346"/>
    </row>
    <row r="2897" spans="1:1">
      <c r="A2897" s="346"/>
    </row>
    <row r="2898" spans="1:1">
      <c r="A2898" s="346"/>
    </row>
    <row r="2899" spans="1:1">
      <c r="A2899" s="346"/>
    </row>
    <row r="2900" spans="1:1">
      <c r="A2900" s="346"/>
    </row>
    <row r="2901" spans="1:1">
      <c r="A2901" s="346"/>
    </row>
    <row r="2902" spans="1:1">
      <c r="A2902" s="346"/>
    </row>
    <row r="2903" spans="1:1">
      <c r="A2903" s="346"/>
    </row>
    <row r="2904" spans="1:1">
      <c r="A2904" s="346"/>
    </row>
    <row r="2905" spans="1:1">
      <c r="A2905" s="346"/>
    </row>
    <row r="2906" spans="1:1">
      <c r="A2906" s="346"/>
    </row>
    <row r="2907" spans="1:1">
      <c r="A2907" s="346"/>
    </row>
    <row r="2908" spans="1:1">
      <c r="A2908" s="346"/>
    </row>
    <row r="2909" spans="1:1">
      <c r="A2909" s="346"/>
    </row>
    <row r="2910" spans="1:1">
      <c r="A2910" s="346"/>
    </row>
    <row r="2911" spans="1:1">
      <c r="A2911" s="346"/>
    </row>
    <row r="2912" spans="1:1">
      <c r="A2912" s="346"/>
    </row>
    <row r="2913" spans="1:1">
      <c r="A2913" s="346"/>
    </row>
    <row r="2914" spans="1:1">
      <c r="A2914" s="346"/>
    </row>
    <row r="2915" spans="1:1">
      <c r="A2915" s="346"/>
    </row>
    <row r="2916" spans="1:1">
      <c r="A2916" s="346"/>
    </row>
    <row r="2917" spans="1:1">
      <c r="A2917" s="346"/>
    </row>
    <row r="2918" spans="1:1">
      <c r="A2918" s="346"/>
    </row>
    <row r="2919" spans="1:1">
      <c r="A2919" s="346"/>
    </row>
    <row r="2920" spans="1:1">
      <c r="A2920" s="346"/>
    </row>
    <row r="2921" spans="1:1">
      <c r="A2921" s="346"/>
    </row>
    <row r="2922" spans="1:1">
      <c r="A2922" s="346"/>
    </row>
    <row r="2923" spans="1:1">
      <c r="A2923" s="346"/>
    </row>
    <row r="2924" spans="1:1">
      <c r="A2924" s="346"/>
    </row>
    <row r="2925" spans="1:1">
      <c r="A2925" s="346"/>
    </row>
    <row r="2926" spans="1:1">
      <c r="A2926" s="346"/>
    </row>
    <row r="2927" spans="1:1">
      <c r="A2927" s="346"/>
    </row>
    <row r="2928" spans="1:1">
      <c r="A2928" s="346"/>
    </row>
    <row r="2929" spans="1:1">
      <c r="A2929" s="346"/>
    </row>
    <row r="2930" spans="1:1">
      <c r="A2930" s="346"/>
    </row>
    <row r="2931" spans="1:1">
      <c r="A2931" s="346"/>
    </row>
    <row r="2932" spans="1:1">
      <c r="A2932" s="346"/>
    </row>
    <row r="2933" spans="1:1">
      <c r="A2933" s="346"/>
    </row>
    <row r="2934" spans="1:1">
      <c r="A2934" s="346"/>
    </row>
    <row r="2935" spans="1:1">
      <c r="A2935" s="346"/>
    </row>
    <row r="2936" spans="1:1">
      <c r="A2936" s="346"/>
    </row>
    <row r="2937" spans="1:1">
      <c r="A2937" s="346"/>
    </row>
    <row r="2938" spans="1:1">
      <c r="A2938" s="346"/>
    </row>
    <row r="2939" spans="1:1">
      <c r="A2939" s="346"/>
    </row>
    <row r="2940" spans="1:1">
      <c r="A2940" s="346"/>
    </row>
    <row r="2941" spans="1:1">
      <c r="A2941" s="346"/>
    </row>
    <row r="2942" spans="1:1">
      <c r="A2942" s="346"/>
    </row>
    <row r="2943" spans="1:1">
      <c r="A2943" s="346"/>
    </row>
    <row r="2944" spans="1:1">
      <c r="A2944" s="346"/>
    </row>
    <row r="2945" spans="1:1">
      <c r="A2945" s="346"/>
    </row>
    <row r="2946" spans="1:1">
      <c r="A2946" s="346"/>
    </row>
    <row r="2947" spans="1:1">
      <c r="A2947" s="346"/>
    </row>
    <row r="2948" spans="1:1">
      <c r="A2948" s="346"/>
    </row>
    <row r="2949" spans="1:1">
      <c r="A2949" s="346"/>
    </row>
    <row r="2950" spans="1:1">
      <c r="A2950" s="346"/>
    </row>
    <row r="2951" spans="1:1">
      <c r="A2951" s="346"/>
    </row>
    <row r="2952" spans="1:1">
      <c r="A2952" s="346"/>
    </row>
    <row r="2953" spans="1:1">
      <c r="A2953" s="346"/>
    </row>
    <row r="2954" spans="1:1">
      <c r="A2954" s="346"/>
    </row>
    <row r="2955" spans="1:1">
      <c r="A2955" s="346"/>
    </row>
    <row r="2956" spans="1:1">
      <c r="A2956" s="346"/>
    </row>
    <row r="2957" spans="1:1">
      <c r="A2957" s="346"/>
    </row>
    <row r="2958" spans="1:1">
      <c r="A2958" s="346"/>
    </row>
    <row r="2959" spans="1:1">
      <c r="A2959" s="346"/>
    </row>
    <row r="2960" spans="1:1">
      <c r="A2960" s="346"/>
    </row>
    <row r="2961" spans="1:1">
      <c r="A2961" s="346"/>
    </row>
    <row r="2962" spans="1:1">
      <c r="A2962" s="346"/>
    </row>
    <row r="2963" spans="1:1">
      <c r="A2963" s="346"/>
    </row>
    <row r="2964" spans="1:1">
      <c r="A2964" s="346"/>
    </row>
    <row r="2965" spans="1:1">
      <c r="A2965" s="346"/>
    </row>
    <row r="2966" spans="1:1">
      <c r="A2966" s="346"/>
    </row>
    <row r="2967" spans="1:1">
      <c r="A2967" s="346"/>
    </row>
    <row r="2968" spans="1:1">
      <c r="A2968" s="346"/>
    </row>
    <row r="2969" spans="1:1">
      <c r="A2969" s="346"/>
    </row>
    <row r="2970" spans="1:1">
      <c r="A2970" s="346"/>
    </row>
    <row r="2971" spans="1:1">
      <c r="A2971" s="346"/>
    </row>
    <row r="2972" spans="1:1">
      <c r="A2972" s="346"/>
    </row>
    <row r="2973" spans="1:1">
      <c r="A2973" s="346"/>
    </row>
    <row r="2974" spans="1:1">
      <c r="A2974" s="346"/>
    </row>
    <row r="2975" spans="1:1">
      <c r="A2975" s="346"/>
    </row>
    <row r="2976" spans="1:1">
      <c r="A2976" s="346"/>
    </row>
    <row r="2977" spans="1:1">
      <c r="A2977" s="346"/>
    </row>
    <row r="2978" spans="1:1">
      <c r="A2978" s="346"/>
    </row>
    <row r="2979" spans="1:1">
      <c r="A2979" s="346"/>
    </row>
    <row r="2980" spans="1:1">
      <c r="A2980" s="346"/>
    </row>
    <row r="2981" spans="1:1">
      <c r="A2981" s="346"/>
    </row>
    <row r="2982" spans="1:1">
      <c r="A2982" s="346"/>
    </row>
    <row r="2983" spans="1:1">
      <c r="A2983" s="346"/>
    </row>
    <row r="2984" spans="1:1">
      <c r="A2984" s="346"/>
    </row>
    <row r="2985" spans="1:1">
      <c r="A2985" s="346"/>
    </row>
    <row r="2986" spans="1:1">
      <c r="A2986" s="346"/>
    </row>
    <row r="2987" spans="1:1">
      <c r="A2987" s="346"/>
    </row>
    <row r="2988" spans="1:1">
      <c r="A2988" s="346"/>
    </row>
    <row r="2989" spans="1:1">
      <c r="A2989" s="346"/>
    </row>
    <row r="2990" spans="1:1">
      <c r="A2990" s="346"/>
    </row>
    <row r="2991" spans="1:1">
      <c r="A2991" s="346"/>
    </row>
    <row r="2992" spans="1:1">
      <c r="A2992" s="346"/>
    </row>
    <row r="2993" spans="1:1">
      <c r="A2993" s="346"/>
    </row>
    <row r="2994" spans="1:1">
      <c r="A2994" s="346"/>
    </row>
    <row r="2995" spans="1:1">
      <c r="A2995" s="346"/>
    </row>
    <row r="2996" spans="1:1">
      <c r="A2996" s="346"/>
    </row>
    <row r="2997" spans="1:1">
      <c r="A2997" s="346"/>
    </row>
    <row r="2998" spans="1:1">
      <c r="A2998" s="346"/>
    </row>
    <row r="2999" spans="1:1">
      <c r="A2999" s="346"/>
    </row>
    <row r="3000" spans="1:1">
      <c r="A3000" s="346"/>
    </row>
    <row r="3001" spans="1:1">
      <c r="A3001" s="346"/>
    </row>
    <row r="3002" spans="1:1">
      <c r="A3002" s="346"/>
    </row>
    <row r="3003" spans="1:1">
      <c r="A3003" s="346"/>
    </row>
    <row r="3004" spans="1:1">
      <c r="A3004" s="346"/>
    </row>
    <row r="3005" spans="1:1">
      <c r="A3005" s="346"/>
    </row>
    <row r="3006" spans="1:1">
      <c r="A3006" s="346"/>
    </row>
    <row r="3007" spans="1:1">
      <c r="A3007" s="346"/>
    </row>
    <row r="3008" spans="1:1">
      <c r="A3008" s="346"/>
    </row>
    <row r="3009" spans="1:1">
      <c r="A3009" s="346"/>
    </row>
    <row r="3010" spans="1:1">
      <c r="A3010" s="346"/>
    </row>
    <row r="3011" spans="1:1">
      <c r="A3011" s="346"/>
    </row>
    <row r="3012" spans="1:1">
      <c r="A3012" s="346"/>
    </row>
    <row r="3013" spans="1:1">
      <c r="A3013" s="346"/>
    </row>
    <row r="3014" spans="1:1">
      <c r="A3014" s="346"/>
    </row>
    <row r="3015" spans="1:1">
      <c r="A3015" s="346"/>
    </row>
    <row r="3016" spans="1:1">
      <c r="A3016" s="346"/>
    </row>
    <row r="3017" spans="1:1">
      <c r="A3017" s="346"/>
    </row>
    <row r="3018" spans="1:1">
      <c r="A3018" s="346"/>
    </row>
    <row r="3019" spans="1:1">
      <c r="A3019" s="346"/>
    </row>
    <row r="3020" spans="1:1">
      <c r="A3020" s="346"/>
    </row>
    <row r="3021" spans="1:1">
      <c r="A3021" s="346"/>
    </row>
    <row r="3022" spans="1:1">
      <c r="A3022" s="346"/>
    </row>
    <row r="3023" spans="1:1">
      <c r="A3023" s="346"/>
    </row>
    <row r="3024" spans="1:1">
      <c r="A3024" s="346"/>
    </row>
    <row r="3025" spans="1:1">
      <c r="A3025" s="346"/>
    </row>
    <row r="3026" spans="1:1">
      <c r="A3026" s="346"/>
    </row>
    <row r="3027" spans="1:1">
      <c r="A3027" s="346"/>
    </row>
    <row r="3028" spans="1:1">
      <c r="A3028" s="346"/>
    </row>
    <row r="3029" spans="1:1">
      <c r="A3029" s="346"/>
    </row>
    <row r="3030" spans="1:1">
      <c r="A3030" s="346"/>
    </row>
    <row r="3031" spans="1:1">
      <c r="A3031" s="346"/>
    </row>
    <row r="3032" spans="1:1">
      <c r="A3032" s="346"/>
    </row>
    <row r="3033" spans="1:1">
      <c r="A3033" s="346"/>
    </row>
    <row r="3034" spans="1:1">
      <c r="A3034" s="346"/>
    </row>
    <row r="3035" spans="1:1">
      <c r="A3035" s="346"/>
    </row>
    <row r="3036" spans="1:1">
      <c r="A3036" s="346"/>
    </row>
    <row r="3037" spans="1:1">
      <c r="A3037" s="346"/>
    </row>
    <row r="3038" spans="1:1">
      <c r="A3038" s="346"/>
    </row>
    <row r="3039" spans="1:1">
      <c r="A3039" s="346"/>
    </row>
    <row r="3040" spans="1:1">
      <c r="A3040" s="346"/>
    </row>
    <row r="3041" spans="1:1">
      <c r="A3041" s="346"/>
    </row>
    <row r="3042" spans="1:1">
      <c r="A3042" s="346"/>
    </row>
    <row r="3043" spans="1:1">
      <c r="A3043" s="346"/>
    </row>
    <row r="3044" spans="1:1">
      <c r="A3044" s="346"/>
    </row>
    <row r="3045" spans="1:1">
      <c r="A3045" s="346"/>
    </row>
    <row r="3046" spans="1:1">
      <c r="A3046" s="346"/>
    </row>
    <row r="3047" spans="1:1">
      <c r="A3047" s="346"/>
    </row>
    <row r="3048" spans="1:1">
      <c r="A3048" s="346"/>
    </row>
    <row r="3049" spans="1:1">
      <c r="A3049" s="346"/>
    </row>
    <row r="3050" spans="1:1">
      <c r="A3050" s="346"/>
    </row>
    <row r="3051" spans="1:1">
      <c r="A3051" s="346"/>
    </row>
    <row r="3052" spans="1:1">
      <c r="A3052" s="346"/>
    </row>
    <row r="3053" spans="1:1">
      <c r="A3053" s="346"/>
    </row>
    <row r="3054" spans="1:1">
      <c r="A3054" s="346"/>
    </row>
    <row r="3055" spans="1:1">
      <c r="A3055" s="346"/>
    </row>
    <row r="3056" spans="1:1">
      <c r="A3056" s="346"/>
    </row>
    <row r="3057" spans="1:1">
      <c r="A3057" s="346"/>
    </row>
    <row r="3058" spans="1:1">
      <c r="A3058" s="346"/>
    </row>
    <row r="3059" spans="1:1">
      <c r="A3059" s="346"/>
    </row>
    <row r="3060" spans="1:1">
      <c r="A3060" s="346"/>
    </row>
    <row r="3061" spans="1:1">
      <c r="A3061" s="346"/>
    </row>
    <row r="3062" spans="1:1">
      <c r="A3062" s="346"/>
    </row>
    <row r="3063" spans="1:1">
      <c r="A3063" s="346"/>
    </row>
    <row r="3064" spans="1:1">
      <c r="A3064" s="346"/>
    </row>
    <row r="3065" spans="1:1">
      <c r="A3065" s="346"/>
    </row>
    <row r="3066" spans="1:1">
      <c r="A3066" s="346"/>
    </row>
    <row r="3067" spans="1:1">
      <c r="A3067" s="346"/>
    </row>
    <row r="3068" spans="1:1">
      <c r="A3068" s="346"/>
    </row>
    <row r="3069" spans="1:1">
      <c r="A3069" s="346"/>
    </row>
    <row r="3070" spans="1:1">
      <c r="A3070" s="346"/>
    </row>
    <row r="3071" spans="1:1">
      <c r="A3071" s="346"/>
    </row>
    <row r="3072" spans="1:1">
      <c r="A3072" s="346"/>
    </row>
    <row r="3073" spans="1:1">
      <c r="A3073" s="346"/>
    </row>
    <row r="3074" spans="1:1">
      <c r="A3074" s="346"/>
    </row>
    <row r="3075" spans="1:1">
      <c r="A3075" s="346"/>
    </row>
    <row r="3076" spans="1:1">
      <c r="A3076" s="346"/>
    </row>
    <row r="3077" spans="1:1">
      <c r="A3077" s="346"/>
    </row>
    <row r="3078" spans="1:1">
      <c r="A3078" s="346"/>
    </row>
    <row r="3079" spans="1:1">
      <c r="A3079" s="346"/>
    </row>
    <row r="3080" spans="1:1">
      <c r="A3080" s="346"/>
    </row>
    <row r="3081" spans="1:1">
      <c r="A3081" s="346"/>
    </row>
    <row r="3082" spans="1:1">
      <c r="A3082" s="346"/>
    </row>
    <row r="3083" spans="1:1">
      <c r="A3083" s="346"/>
    </row>
    <row r="3084" spans="1:1">
      <c r="A3084" s="346"/>
    </row>
    <row r="3085" spans="1:1">
      <c r="A3085" s="346"/>
    </row>
    <row r="3086" spans="1:1">
      <c r="A3086" s="346"/>
    </row>
    <row r="3087" spans="1:1">
      <c r="A3087" s="346"/>
    </row>
    <row r="3088" spans="1:1">
      <c r="A3088" s="346"/>
    </row>
    <row r="3089" spans="1:1">
      <c r="A3089" s="346"/>
    </row>
    <row r="3090" spans="1:1">
      <c r="A3090" s="346"/>
    </row>
    <row r="3091" spans="1:1">
      <c r="A3091" s="346"/>
    </row>
    <row r="3092" spans="1:1">
      <c r="A3092" s="346"/>
    </row>
    <row r="3093" spans="1:1">
      <c r="A3093" s="346"/>
    </row>
    <row r="3094" spans="1:1">
      <c r="A3094" s="346"/>
    </row>
    <row r="3095" spans="1:1">
      <c r="A3095" s="346"/>
    </row>
    <row r="3096" spans="1:1">
      <c r="A3096" s="346"/>
    </row>
    <row r="3097" spans="1:1">
      <c r="A3097" s="346"/>
    </row>
    <row r="3098" spans="1:1">
      <c r="A3098" s="346"/>
    </row>
    <row r="3099" spans="1:1">
      <c r="A3099" s="346"/>
    </row>
    <row r="3100" spans="1:1">
      <c r="A3100" s="346"/>
    </row>
    <row r="3101" spans="1:1">
      <c r="A3101" s="346"/>
    </row>
    <row r="3102" spans="1:1">
      <c r="A3102" s="346"/>
    </row>
    <row r="3103" spans="1:1">
      <c r="A3103" s="346"/>
    </row>
    <row r="3104" spans="1:1">
      <c r="A3104" s="346"/>
    </row>
    <row r="3105" spans="1:1">
      <c r="A3105" s="346"/>
    </row>
    <row r="3106" spans="1:1">
      <c r="A3106" s="346"/>
    </row>
    <row r="3107" spans="1:1">
      <c r="A3107" s="346"/>
    </row>
    <row r="3108" spans="1:1">
      <c r="A3108" s="346"/>
    </row>
    <row r="3109" spans="1:1">
      <c r="A3109" s="346"/>
    </row>
    <row r="3110" spans="1:1">
      <c r="A3110" s="346"/>
    </row>
    <row r="3111" spans="1:1">
      <c r="A3111" s="346"/>
    </row>
    <row r="3112" spans="1:1">
      <c r="A3112" s="346"/>
    </row>
    <row r="3113" spans="1:1">
      <c r="A3113" s="346"/>
    </row>
    <row r="3114" spans="1:1">
      <c r="A3114" s="346"/>
    </row>
    <row r="3115" spans="1:1">
      <c r="A3115" s="346"/>
    </row>
    <row r="3116" spans="1:1">
      <c r="A3116" s="346"/>
    </row>
    <row r="3117" spans="1:1">
      <c r="A3117" s="346"/>
    </row>
    <row r="3118" spans="1:1">
      <c r="A3118" s="346"/>
    </row>
    <row r="3119" spans="1:1">
      <c r="A3119" s="346"/>
    </row>
    <row r="3120" spans="1:1">
      <c r="A3120" s="346"/>
    </row>
    <row r="3121" spans="1:1">
      <c r="A3121" s="346"/>
    </row>
    <row r="3122" spans="1:1">
      <c r="A3122" s="346"/>
    </row>
    <row r="3123" spans="1:1">
      <c r="A3123" s="346"/>
    </row>
    <row r="3124" spans="1:1">
      <c r="A3124" s="346"/>
    </row>
    <row r="3125" spans="1:1">
      <c r="A3125" s="346"/>
    </row>
    <row r="3126" spans="1:1">
      <c r="A3126" s="346"/>
    </row>
    <row r="3127" spans="1:1">
      <c r="A3127" s="346"/>
    </row>
    <row r="3128" spans="1:1">
      <c r="A3128" s="346"/>
    </row>
    <row r="3129" spans="1:1">
      <c r="A3129" s="346"/>
    </row>
    <row r="3130" spans="1:1">
      <c r="A3130" s="346"/>
    </row>
    <row r="3131" spans="1:1">
      <c r="A3131" s="346"/>
    </row>
    <row r="3132" spans="1:1">
      <c r="A3132" s="346"/>
    </row>
    <row r="3133" spans="1:1">
      <c r="A3133" s="346"/>
    </row>
    <row r="3134" spans="1:1">
      <c r="A3134" s="346"/>
    </row>
    <row r="3135" spans="1:1">
      <c r="A3135" s="346"/>
    </row>
    <row r="3136" spans="1:1">
      <c r="A3136" s="346"/>
    </row>
    <row r="3137" spans="1:1">
      <c r="A3137" s="346"/>
    </row>
    <row r="3138" spans="1:1">
      <c r="A3138" s="346"/>
    </row>
    <row r="3139" spans="1:1">
      <c r="A3139" s="346"/>
    </row>
    <row r="3140" spans="1:1">
      <c r="A3140" s="346"/>
    </row>
    <row r="3141" spans="1:1">
      <c r="A3141" s="346"/>
    </row>
    <row r="3142" spans="1:1">
      <c r="A3142" s="346"/>
    </row>
    <row r="3143" spans="1:1">
      <c r="A3143" s="346"/>
    </row>
    <row r="3144" spans="1:1">
      <c r="A3144" s="346"/>
    </row>
    <row r="3145" spans="1:1">
      <c r="A3145" s="346"/>
    </row>
    <row r="3146" spans="1:1">
      <c r="A3146" s="346"/>
    </row>
    <row r="3147" spans="1:1">
      <c r="A3147" s="346"/>
    </row>
    <row r="3148" spans="1:1">
      <c r="A3148" s="346"/>
    </row>
    <row r="3149" spans="1:1">
      <c r="A3149" s="346"/>
    </row>
    <row r="3150" spans="1:1">
      <c r="A3150" s="346"/>
    </row>
    <row r="3151" spans="1:1">
      <c r="A3151" s="346"/>
    </row>
    <row r="3152" spans="1:1">
      <c r="A3152" s="346"/>
    </row>
    <row r="3153" spans="1:1">
      <c r="A3153" s="346"/>
    </row>
    <row r="3154" spans="1:1">
      <c r="A3154" s="346"/>
    </row>
    <row r="3155" spans="1:1">
      <c r="A3155" s="346"/>
    </row>
    <row r="3156" spans="1:1">
      <c r="A3156" s="346"/>
    </row>
    <row r="3157" spans="1:1">
      <c r="A3157" s="346"/>
    </row>
    <row r="3158" spans="1:1">
      <c r="A3158" s="346"/>
    </row>
    <row r="3159" spans="1:1">
      <c r="A3159" s="346"/>
    </row>
    <row r="3160" spans="1:1">
      <c r="A3160" s="346"/>
    </row>
    <row r="3161" spans="1:1">
      <c r="A3161" s="346"/>
    </row>
    <row r="3162" spans="1:1">
      <c r="A3162" s="346"/>
    </row>
    <row r="3163" spans="1:1">
      <c r="A3163" s="346"/>
    </row>
    <row r="3164" spans="1:1">
      <c r="A3164" s="346"/>
    </row>
    <row r="3165" spans="1:1">
      <c r="A3165" s="346"/>
    </row>
    <row r="3166" spans="1:1">
      <c r="A3166" s="346"/>
    </row>
    <row r="3167" spans="1:1">
      <c r="A3167" s="346"/>
    </row>
    <row r="3168" spans="1:1">
      <c r="A3168" s="346"/>
    </row>
    <row r="3169" spans="1:1">
      <c r="A3169" s="346"/>
    </row>
    <row r="3170" spans="1:1">
      <c r="A3170" s="346"/>
    </row>
    <row r="3171" spans="1:1">
      <c r="A3171" s="346"/>
    </row>
    <row r="3172" spans="1:1">
      <c r="A3172" s="346"/>
    </row>
    <row r="3173" spans="1:1">
      <c r="A3173" s="346"/>
    </row>
    <row r="3174" spans="1:1">
      <c r="A3174" s="346"/>
    </row>
    <row r="3175" spans="1:1">
      <c r="A3175" s="346"/>
    </row>
    <row r="3176" spans="1:1">
      <c r="A3176" s="346"/>
    </row>
    <row r="3177" spans="1:1">
      <c r="A3177" s="346"/>
    </row>
    <row r="3178" spans="1:1">
      <c r="A3178" s="346"/>
    </row>
    <row r="3179" spans="1:1">
      <c r="A3179" s="346"/>
    </row>
    <row r="3180" spans="1:1">
      <c r="A3180" s="346"/>
    </row>
    <row r="3181" spans="1:1">
      <c r="A3181" s="346"/>
    </row>
    <row r="3182" spans="1:1">
      <c r="A3182" s="346"/>
    </row>
    <row r="3183" spans="1:1">
      <c r="A3183" s="346"/>
    </row>
    <row r="3184" spans="1:1">
      <c r="A3184" s="346"/>
    </row>
    <row r="3185" spans="1:1">
      <c r="A3185" s="346"/>
    </row>
    <row r="3186" spans="1:1">
      <c r="A3186" s="346"/>
    </row>
    <row r="3187" spans="1:1">
      <c r="A3187" s="346"/>
    </row>
    <row r="3188" spans="1:1">
      <c r="A3188" s="346"/>
    </row>
    <row r="3189" spans="1:1">
      <c r="A3189" s="346"/>
    </row>
    <row r="3190" spans="1:1">
      <c r="A3190" s="346"/>
    </row>
    <row r="3191" spans="1:1">
      <c r="A3191" s="346"/>
    </row>
    <row r="3192" spans="1:1">
      <c r="A3192" s="346"/>
    </row>
    <row r="3193" spans="1:1">
      <c r="A3193" s="346"/>
    </row>
    <row r="3194" spans="1:1">
      <c r="A3194" s="346"/>
    </row>
    <row r="3195" spans="1:1">
      <c r="A3195" s="346"/>
    </row>
    <row r="3196" spans="1:1">
      <c r="A3196" s="346"/>
    </row>
    <row r="3197" spans="1:1">
      <c r="A3197" s="346"/>
    </row>
    <row r="3198" spans="1:1">
      <c r="A3198" s="346"/>
    </row>
    <row r="3199" spans="1:1">
      <c r="A3199" s="346"/>
    </row>
    <row r="3200" spans="1:1">
      <c r="A3200" s="346"/>
    </row>
    <row r="3201" spans="1:1">
      <c r="A3201" s="346"/>
    </row>
    <row r="3202" spans="1:1">
      <c r="A3202" s="346"/>
    </row>
    <row r="3203" spans="1:1">
      <c r="A3203" s="346"/>
    </row>
    <row r="3204" spans="1:1">
      <c r="A3204" s="346"/>
    </row>
    <row r="3205" spans="1:1">
      <c r="A3205" s="346"/>
    </row>
    <row r="3206" spans="1:1">
      <c r="A3206" s="346"/>
    </row>
    <row r="3207" spans="1:1">
      <c r="A3207" s="346"/>
    </row>
    <row r="3208" spans="1:1">
      <c r="A3208" s="346"/>
    </row>
    <row r="3209" spans="1:1">
      <c r="A3209" s="346"/>
    </row>
    <row r="3210" spans="1:1">
      <c r="A3210" s="346"/>
    </row>
    <row r="3211" spans="1:1">
      <c r="A3211" s="346"/>
    </row>
    <row r="3212" spans="1:1">
      <c r="A3212" s="346"/>
    </row>
    <row r="3213" spans="1:1">
      <c r="A3213" s="346"/>
    </row>
    <row r="3214" spans="1:1">
      <c r="A3214" s="346"/>
    </row>
    <row r="3215" spans="1:1">
      <c r="A3215" s="346"/>
    </row>
    <row r="3216" spans="1:1">
      <c r="A3216" s="346"/>
    </row>
    <row r="3217" spans="1:1">
      <c r="A3217" s="346"/>
    </row>
    <row r="3218" spans="1:1">
      <c r="A3218" s="346"/>
    </row>
    <row r="3219" spans="1:1">
      <c r="A3219" s="346"/>
    </row>
    <row r="3220" spans="1:1">
      <c r="A3220" s="346"/>
    </row>
    <row r="3221" spans="1:1">
      <c r="A3221" s="346"/>
    </row>
    <row r="3222" spans="1:1">
      <c r="A3222" s="346"/>
    </row>
    <row r="3223" spans="1:1">
      <c r="A3223" s="346"/>
    </row>
    <row r="3224" spans="1:1">
      <c r="A3224" s="346"/>
    </row>
    <row r="3225" spans="1:1">
      <c r="A3225" s="346"/>
    </row>
    <row r="3226" spans="1:1">
      <c r="A3226" s="346"/>
    </row>
    <row r="3227" spans="1:1">
      <c r="A3227" s="346"/>
    </row>
    <row r="3228" spans="1:1">
      <c r="A3228" s="346"/>
    </row>
    <row r="3229" spans="1:1">
      <c r="A3229" s="346"/>
    </row>
    <row r="3230" spans="1:1">
      <c r="A3230" s="346"/>
    </row>
    <row r="3231" spans="1:1">
      <c r="A3231" s="346"/>
    </row>
    <row r="3232" spans="1:1">
      <c r="A3232" s="346"/>
    </row>
    <row r="3233" spans="1:1">
      <c r="A3233" s="346"/>
    </row>
    <row r="3234" spans="1:1">
      <c r="A3234" s="346"/>
    </row>
    <row r="3235" spans="1:1">
      <c r="A3235" s="346"/>
    </row>
    <row r="3236" spans="1:1">
      <c r="A3236" s="346"/>
    </row>
    <row r="3237" spans="1:1">
      <c r="A3237" s="346"/>
    </row>
    <row r="3238" spans="1:1">
      <c r="A3238" s="346"/>
    </row>
    <row r="3239" spans="1:1">
      <c r="A3239" s="346"/>
    </row>
    <row r="3240" spans="1:1">
      <c r="A3240" s="346"/>
    </row>
    <row r="3241" spans="1:1">
      <c r="A3241" s="346"/>
    </row>
    <row r="3242" spans="1:1">
      <c r="A3242" s="346"/>
    </row>
    <row r="3243" spans="1:1">
      <c r="A3243" s="346"/>
    </row>
    <row r="3244" spans="1:1">
      <c r="A3244" s="346"/>
    </row>
    <row r="3245" spans="1:1">
      <c r="A3245" s="346"/>
    </row>
    <row r="3246" spans="1:1">
      <c r="A3246" s="346"/>
    </row>
    <row r="3247" spans="1:1">
      <c r="A3247" s="346"/>
    </row>
    <row r="3248" spans="1:1">
      <c r="A3248" s="346"/>
    </row>
    <row r="3249" spans="1:1">
      <c r="A3249" s="346"/>
    </row>
    <row r="3250" spans="1:1">
      <c r="A3250" s="346"/>
    </row>
    <row r="3251" spans="1:1">
      <c r="A3251" s="346"/>
    </row>
    <row r="3252" spans="1:1">
      <c r="A3252" s="346"/>
    </row>
    <row r="3253" spans="1:1">
      <c r="A3253" s="346"/>
    </row>
    <row r="3254" spans="1:1">
      <c r="A3254" s="346"/>
    </row>
    <row r="3255" spans="1:1">
      <c r="A3255" s="346"/>
    </row>
    <row r="3256" spans="1:1">
      <c r="A3256" s="346"/>
    </row>
    <row r="3257" spans="1:1">
      <c r="A3257" s="346"/>
    </row>
    <row r="3258" spans="1:1">
      <c r="A3258" s="346"/>
    </row>
    <row r="3259" spans="1:1">
      <c r="A3259" s="346"/>
    </row>
    <row r="3260" spans="1:1">
      <c r="A3260" s="346"/>
    </row>
    <row r="3261" spans="1:1">
      <c r="A3261" s="346"/>
    </row>
    <row r="3262" spans="1:1">
      <c r="A3262" s="346"/>
    </row>
    <row r="3263" spans="1:1">
      <c r="A3263" s="346"/>
    </row>
    <row r="3264" spans="1:1">
      <c r="A3264" s="346"/>
    </row>
    <row r="3265" spans="1:1">
      <c r="A3265" s="346"/>
    </row>
    <row r="3266" spans="1:1">
      <c r="A3266" s="346"/>
    </row>
    <row r="3267" spans="1:1">
      <c r="A3267" s="346"/>
    </row>
    <row r="3268" spans="1:1">
      <c r="A3268" s="346"/>
    </row>
    <row r="3269" spans="1:1">
      <c r="A3269" s="346"/>
    </row>
    <row r="3270" spans="1:1">
      <c r="A3270" s="346"/>
    </row>
    <row r="3271" spans="1:1">
      <c r="A3271" s="346"/>
    </row>
    <row r="3272" spans="1:1">
      <c r="A3272" s="346"/>
    </row>
    <row r="3273" spans="1:1">
      <c r="A3273" s="346"/>
    </row>
    <row r="3274" spans="1:1">
      <c r="A3274" s="346"/>
    </row>
    <row r="3275" spans="1:1">
      <c r="A3275" s="346"/>
    </row>
    <row r="3276" spans="1:1">
      <c r="A3276" s="346"/>
    </row>
    <row r="3277" spans="1:1">
      <c r="A3277" s="346"/>
    </row>
    <row r="3278" spans="1:1">
      <c r="A3278" s="346"/>
    </row>
    <row r="3279" spans="1:1">
      <c r="A3279" s="346"/>
    </row>
    <row r="3280" spans="1:1">
      <c r="A3280" s="346"/>
    </row>
    <row r="3281" spans="1:1">
      <c r="A3281" s="346"/>
    </row>
    <row r="3282" spans="1:1">
      <c r="A3282" s="346"/>
    </row>
    <row r="3283" spans="1:1">
      <c r="A3283" s="346"/>
    </row>
    <row r="3284" spans="1:1">
      <c r="A3284" s="346"/>
    </row>
    <row r="3285" spans="1:1">
      <c r="A3285" s="346"/>
    </row>
    <row r="3286" spans="1:1">
      <c r="A3286" s="346"/>
    </row>
    <row r="3287" spans="1:1">
      <c r="A3287" s="346"/>
    </row>
    <row r="3288" spans="1:1">
      <c r="A3288" s="346"/>
    </row>
    <row r="3289" spans="1:1">
      <c r="A3289" s="346"/>
    </row>
    <row r="3290" spans="1:1">
      <c r="A3290" s="346"/>
    </row>
    <row r="3291" spans="1:1">
      <c r="A3291" s="346"/>
    </row>
    <row r="3292" spans="1:1">
      <c r="A3292" s="346"/>
    </row>
    <row r="3293" spans="1:1">
      <c r="A3293" s="346"/>
    </row>
    <row r="3294" spans="1:1">
      <c r="A3294" s="346"/>
    </row>
    <row r="3295" spans="1:1">
      <c r="A3295" s="346"/>
    </row>
    <row r="3296" spans="1:1">
      <c r="A3296" s="346"/>
    </row>
    <row r="3297" spans="1:1">
      <c r="A3297" s="346"/>
    </row>
    <row r="3298" spans="1:1">
      <c r="A3298" s="346"/>
    </row>
    <row r="3299" spans="1:1">
      <c r="A3299" s="346"/>
    </row>
    <row r="3300" spans="1:1">
      <c r="A3300" s="346"/>
    </row>
    <row r="3301" spans="1:1">
      <c r="A3301" s="346"/>
    </row>
    <row r="3302" spans="1:1">
      <c r="A3302" s="346"/>
    </row>
    <row r="3303" spans="1:1">
      <c r="A3303" s="346"/>
    </row>
    <row r="3304" spans="1:1">
      <c r="A3304" s="346"/>
    </row>
    <row r="3305" spans="1:1">
      <c r="A3305" s="346"/>
    </row>
    <row r="3306" spans="1:1">
      <c r="A3306" s="346"/>
    </row>
    <row r="3307" spans="1:1">
      <c r="A3307" s="346"/>
    </row>
    <row r="3308" spans="1:1">
      <c r="A3308" s="346"/>
    </row>
    <row r="3309" spans="1:1">
      <c r="A3309" s="346"/>
    </row>
    <row r="3310" spans="1:1">
      <c r="A3310" s="346"/>
    </row>
    <row r="3311" spans="1:1">
      <c r="A3311" s="346"/>
    </row>
    <row r="3312" spans="1:1">
      <c r="A3312" s="346"/>
    </row>
    <row r="3313" spans="1:1">
      <c r="A3313" s="346"/>
    </row>
    <row r="3314" spans="1:1">
      <c r="A3314" s="346"/>
    </row>
    <row r="3315" spans="1:1">
      <c r="A3315" s="346"/>
    </row>
    <row r="3316" spans="1:1">
      <c r="A3316" s="346"/>
    </row>
    <row r="3317" spans="1:1">
      <c r="A3317" s="346"/>
    </row>
    <row r="3318" spans="1:1">
      <c r="A3318" s="346"/>
    </row>
    <row r="3319" spans="1:1">
      <c r="A3319" s="346"/>
    </row>
    <row r="3320" spans="1:1">
      <c r="A3320" s="346"/>
    </row>
    <row r="3321" spans="1:1">
      <c r="A3321" s="346"/>
    </row>
    <row r="3322" spans="1:1">
      <c r="A3322" s="346"/>
    </row>
    <row r="3323" spans="1:1">
      <c r="A3323" s="346"/>
    </row>
    <row r="3324" spans="1:1">
      <c r="A3324" s="346"/>
    </row>
    <row r="3325" spans="1:1">
      <c r="A3325" s="346"/>
    </row>
    <row r="3326" spans="1:1">
      <c r="A3326" s="346"/>
    </row>
    <row r="3327" spans="1:1">
      <c r="A3327" s="346"/>
    </row>
    <row r="3328" spans="1:1">
      <c r="A3328" s="346"/>
    </row>
    <row r="3329" spans="1:1">
      <c r="A3329" s="346"/>
    </row>
    <row r="3330" spans="1:1">
      <c r="A3330" s="346"/>
    </row>
    <row r="3331" spans="1:1">
      <c r="A3331" s="346"/>
    </row>
    <row r="3332" spans="1:1">
      <c r="A3332" s="346"/>
    </row>
    <row r="3333" spans="1:1">
      <c r="A3333" s="346"/>
    </row>
    <row r="3334" spans="1:1">
      <c r="A3334" s="346"/>
    </row>
    <row r="3335" spans="1:1">
      <c r="A3335" s="346"/>
    </row>
    <row r="3336" spans="1:1">
      <c r="A3336" s="346"/>
    </row>
    <row r="3337" spans="1:1">
      <c r="A3337" s="346"/>
    </row>
    <row r="3338" spans="1:1">
      <c r="A3338" s="346"/>
    </row>
    <row r="3339" spans="1:1">
      <c r="A3339" s="346"/>
    </row>
    <row r="3340" spans="1:1">
      <c r="A3340" s="346"/>
    </row>
    <row r="3341" spans="1:1">
      <c r="A3341" s="346"/>
    </row>
    <row r="3342" spans="1:1">
      <c r="A3342" s="346"/>
    </row>
    <row r="3343" spans="1:1">
      <c r="A3343" s="346"/>
    </row>
    <row r="3344" spans="1:1">
      <c r="A3344" s="346"/>
    </row>
    <row r="3345" spans="1:1">
      <c r="A3345" s="346"/>
    </row>
    <row r="3346" spans="1:1">
      <c r="A3346" s="346"/>
    </row>
    <row r="3347" spans="1:1">
      <c r="A3347" s="346"/>
    </row>
    <row r="3348" spans="1:1">
      <c r="A3348" s="346"/>
    </row>
    <row r="3349" spans="1:1">
      <c r="A3349" s="346"/>
    </row>
    <row r="3350" spans="1:1">
      <c r="A3350" s="346"/>
    </row>
    <row r="3351" spans="1:1">
      <c r="A3351" s="346"/>
    </row>
    <row r="3352" spans="1:1">
      <c r="A3352" s="346"/>
    </row>
    <row r="3353" spans="1:1">
      <c r="A3353" s="346"/>
    </row>
    <row r="3354" spans="1:1">
      <c r="A3354" s="346"/>
    </row>
    <row r="3355" spans="1:1">
      <c r="A3355" s="346"/>
    </row>
    <row r="3356" spans="1:1">
      <c r="A3356" s="346"/>
    </row>
    <row r="3357" spans="1:1">
      <c r="A3357" s="346"/>
    </row>
    <row r="3358" spans="1:1">
      <c r="A3358" s="346"/>
    </row>
    <row r="3359" spans="1:1">
      <c r="A3359" s="346"/>
    </row>
    <row r="3360" spans="1:1">
      <c r="A3360" s="346"/>
    </row>
    <row r="3361" spans="1:1">
      <c r="A3361" s="346"/>
    </row>
    <row r="3362" spans="1:1">
      <c r="A3362" s="346"/>
    </row>
    <row r="3363" spans="1:1">
      <c r="A3363" s="346"/>
    </row>
    <row r="3364" spans="1:1">
      <c r="A3364" s="346"/>
    </row>
    <row r="3365" spans="1:1">
      <c r="A3365" s="346"/>
    </row>
    <row r="3366" spans="1:1">
      <c r="A3366" s="346"/>
    </row>
    <row r="3367" spans="1:1">
      <c r="A3367" s="346"/>
    </row>
    <row r="3368" spans="1:1">
      <c r="A3368" s="346"/>
    </row>
    <row r="3369" spans="1:1">
      <c r="A3369" s="346"/>
    </row>
    <row r="3370" spans="1:1">
      <c r="A3370" s="346"/>
    </row>
    <row r="3371" spans="1:1">
      <c r="A3371" s="346"/>
    </row>
    <row r="3372" spans="1:1">
      <c r="A3372" s="346"/>
    </row>
    <row r="3373" spans="1:1">
      <c r="A3373" s="346"/>
    </row>
    <row r="3374" spans="1:1">
      <c r="A3374" s="346"/>
    </row>
    <row r="3375" spans="1:1">
      <c r="A3375" s="346"/>
    </row>
    <row r="3376" spans="1:1">
      <c r="A3376" s="346"/>
    </row>
    <row r="3377" spans="1:1">
      <c r="A3377" s="346"/>
    </row>
    <row r="3378" spans="1:1">
      <c r="A3378" s="346"/>
    </row>
    <row r="3379" spans="1:1">
      <c r="A3379" s="346"/>
    </row>
    <row r="3380" spans="1:1">
      <c r="A3380" s="346"/>
    </row>
    <row r="3381" spans="1:1">
      <c r="A3381" s="346"/>
    </row>
    <row r="3382" spans="1:1">
      <c r="A3382" s="346"/>
    </row>
    <row r="3383" spans="1:1">
      <c r="A3383" s="346"/>
    </row>
    <row r="3384" spans="1:1">
      <c r="A3384" s="346"/>
    </row>
    <row r="3385" spans="1:1">
      <c r="A3385" s="346"/>
    </row>
    <row r="3386" spans="1:1">
      <c r="A3386" s="346"/>
    </row>
    <row r="3387" spans="1:1">
      <c r="A3387" s="346"/>
    </row>
    <row r="3388" spans="1:1">
      <c r="A3388" s="346"/>
    </row>
    <row r="3389" spans="1:1">
      <c r="A3389" s="346"/>
    </row>
    <row r="3390" spans="1:1">
      <c r="A3390" s="346"/>
    </row>
    <row r="3391" spans="1:1">
      <c r="A3391" s="346"/>
    </row>
    <row r="3392" spans="1:1">
      <c r="A3392" s="346"/>
    </row>
    <row r="3393" spans="1:1">
      <c r="A3393" s="346"/>
    </row>
    <row r="3394" spans="1:1">
      <c r="A3394" s="346"/>
    </row>
    <row r="3395" spans="1:1">
      <c r="A3395" s="346"/>
    </row>
    <row r="3396" spans="1:1">
      <c r="A3396" s="346"/>
    </row>
    <row r="3397" spans="1:1">
      <c r="A3397" s="346"/>
    </row>
    <row r="3398" spans="1:1">
      <c r="A3398" s="346"/>
    </row>
    <row r="3399" spans="1:1">
      <c r="A3399" s="346"/>
    </row>
    <row r="3400" spans="1:1">
      <c r="A3400" s="346"/>
    </row>
    <row r="3401" spans="1:1">
      <c r="A3401" s="346"/>
    </row>
    <row r="3402" spans="1:1">
      <c r="A3402" s="346"/>
    </row>
    <row r="3403" spans="1:1">
      <c r="A3403" s="346"/>
    </row>
    <row r="3404" spans="1:1">
      <c r="A3404" s="346"/>
    </row>
    <row r="3405" spans="1:1">
      <c r="A3405" s="346"/>
    </row>
    <row r="3406" spans="1:1">
      <c r="A3406" s="346"/>
    </row>
    <row r="3407" spans="1:1">
      <c r="A3407" s="346"/>
    </row>
    <row r="3408" spans="1:1">
      <c r="A3408" s="346"/>
    </row>
    <row r="3409" spans="1:1">
      <c r="A3409" s="346"/>
    </row>
    <row r="3410" spans="1:1">
      <c r="A3410" s="346"/>
    </row>
    <row r="3411" spans="1:1">
      <c r="A3411" s="346"/>
    </row>
    <row r="3412" spans="1:1">
      <c r="A3412" s="346"/>
    </row>
    <row r="3413" spans="1:1">
      <c r="A3413" s="346"/>
    </row>
    <row r="3414" spans="1:1">
      <c r="A3414" s="346"/>
    </row>
    <row r="3415" spans="1:1">
      <c r="A3415" s="346"/>
    </row>
    <row r="3416" spans="1:1">
      <c r="A3416" s="346"/>
    </row>
    <row r="3417" spans="1:1">
      <c r="A3417" s="346"/>
    </row>
    <row r="3418" spans="1:1">
      <c r="A3418" s="346"/>
    </row>
    <row r="3419" spans="1:1">
      <c r="A3419" s="346"/>
    </row>
    <row r="3420" spans="1:1">
      <c r="A3420" s="346"/>
    </row>
    <row r="3421" spans="1:1">
      <c r="A3421" s="346"/>
    </row>
    <row r="3422" spans="1:1">
      <c r="A3422" s="346"/>
    </row>
    <row r="3423" spans="1:1">
      <c r="A3423" s="346"/>
    </row>
    <row r="3424" spans="1:1">
      <c r="A3424" s="346"/>
    </row>
    <row r="3425" spans="1:1">
      <c r="A3425" s="346"/>
    </row>
    <row r="3426" spans="1:1">
      <c r="A3426" s="346"/>
    </row>
    <row r="3427" spans="1:1">
      <c r="A3427" s="346"/>
    </row>
    <row r="3428" spans="1:1">
      <c r="A3428" s="346"/>
    </row>
    <row r="3429" spans="1:1">
      <c r="A3429" s="346"/>
    </row>
    <row r="3430" spans="1:1">
      <c r="A3430" s="346"/>
    </row>
    <row r="3431" spans="1:1">
      <c r="A3431" s="346"/>
    </row>
    <row r="3432" spans="1:1">
      <c r="A3432" s="346"/>
    </row>
    <row r="3433" spans="1:1">
      <c r="A3433" s="346"/>
    </row>
    <row r="3434" spans="1:1">
      <c r="A3434" s="346"/>
    </row>
    <row r="3435" spans="1:1">
      <c r="A3435" s="346"/>
    </row>
    <row r="3436" spans="1:1">
      <c r="A3436" s="346"/>
    </row>
    <row r="3437" spans="1:1">
      <c r="A3437" s="346"/>
    </row>
    <row r="3438" spans="1:1">
      <c r="A3438" s="346"/>
    </row>
    <row r="3439" spans="1:1">
      <c r="A3439" s="346"/>
    </row>
    <row r="3440" spans="1:1">
      <c r="A3440" s="346"/>
    </row>
    <row r="3441" spans="1:1">
      <c r="A3441" s="346"/>
    </row>
    <row r="3442" spans="1:1">
      <c r="A3442" s="346"/>
    </row>
    <row r="3443" spans="1:1">
      <c r="A3443" s="346"/>
    </row>
    <row r="3444" spans="1:1">
      <c r="A3444" s="346"/>
    </row>
    <row r="3445" spans="1:1">
      <c r="A3445" s="346"/>
    </row>
    <row r="3446" spans="1:1">
      <c r="A3446" s="346"/>
    </row>
    <row r="3447" spans="1:1">
      <c r="A3447" s="346"/>
    </row>
    <row r="3448" spans="1:1">
      <c r="A3448" s="346"/>
    </row>
    <row r="3449" spans="1:1">
      <c r="A3449" s="346"/>
    </row>
    <row r="3450" spans="1:1">
      <c r="A3450" s="346"/>
    </row>
    <row r="3451" spans="1:1">
      <c r="A3451" s="346"/>
    </row>
    <row r="3452" spans="1:1">
      <c r="A3452" s="346"/>
    </row>
    <row r="3453" spans="1:1">
      <c r="A3453" s="346"/>
    </row>
    <row r="3454" spans="1:1">
      <c r="A3454" s="346"/>
    </row>
    <row r="3455" spans="1:1">
      <c r="A3455" s="346"/>
    </row>
    <row r="3456" spans="1:1">
      <c r="A3456" s="346"/>
    </row>
    <row r="3457" spans="1:1">
      <c r="A3457" s="346"/>
    </row>
    <row r="3458" spans="1:1">
      <c r="A3458" s="346"/>
    </row>
    <row r="3459" spans="1:1">
      <c r="A3459" s="346"/>
    </row>
    <row r="3460" spans="1:1">
      <c r="A3460" s="346"/>
    </row>
    <row r="3461" spans="1:1">
      <c r="A3461" s="346"/>
    </row>
    <row r="3462" spans="1:1">
      <c r="A3462" s="346"/>
    </row>
    <row r="3463" spans="1:1">
      <c r="A3463" s="346"/>
    </row>
    <row r="3464" spans="1:1">
      <c r="A3464" s="346"/>
    </row>
    <row r="3465" spans="1:1">
      <c r="A3465" s="346"/>
    </row>
    <row r="3466" spans="1:1">
      <c r="A3466" s="346"/>
    </row>
    <row r="3467" spans="1:1">
      <c r="A3467" s="346"/>
    </row>
    <row r="3468" spans="1:1">
      <c r="A3468" s="346"/>
    </row>
    <row r="3469" spans="1:1">
      <c r="A3469" s="346"/>
    </row>
    <row r="3470" spans="1:1">
      <c r="A3470" s="346"/>
    </row>
    <row r="3471" spans="1:1">
      <c r="A3471" s="346"/>
    </row>
    <row r="3472" spans="1:1">
      <c r="A3472" s="346"/>
    </row>
    <row r="3473" spans="1:1">
      <c r="A3473" s="346"/>
    </row>
    <row r="3474" spans="1:1">
      <c r="A3474" s="346"/>
    </row>
    <row r="3475" spans="1:1">
      <c r="A3475" s="346"/>
    </row>
    <row r="3476" spans="1:1">
      <c r="A3476" s="346"/>
    </row>
    <row r="3477" spans="1:1">
      <c r="A3477" s="346"/>
    </row>
    <row r="3478" spans="1:1">
      <c r="A3478" s="346"/>
    </row>
    <row r="3479" spans="1:1">
      <c r="A3479" s="346"/>
    </row>
    <row r="3480" spans="1:1">
      <c r="A3480" s="346"/>
    </row>
    <row r="3481" spans="1:1">
      <c r="A3481" s="346"/>
    </row>
    <row r="3482" spans="1:1">
      <c r="A3482" s="346"/>
    </row>
    <row r="3483" spans="1:1">
      <c r="A3483" s="346"/>
    </row>
    <row r="3484" spans="1:1">
      <c r="A3484" s="346"/>
    </row>
    <row r="3485" spans="1:1">
      <c r="A3485" s="346"/>
    </row>
    <row r="3486" spans="1:1">
      <c r="A3486" s="346"/>
    </row>
    <row r="3487" spans="1:1">
      <c r="A3487" s="346"/>
    </row>
    <row r="3488" spans="1:1">
      <c r="A3488" s="346"/>
    </row>
    <row r="3489" spans="1:1">
      <c r="A3489" s="346"/>
    </row>
    <row r="3490" spans="1:1">
      <c r="A3490" s="346"/>
    </row>
    <row r="3491" spans="1:1">
      <c r="A3491" s="346"/>
    </row>
    <row r="3492" spans="1:1">
      <c r="A3492" s="346"/>
    </row>
    <row r="3493" spans="1:1">
      <c r="A3493" s="346"/>
    </row>
    <row r="3494" spans="1:1">
      <c r="A3494" s="346"/>
    </row>
    <row r="3495" spans="1:1">
      <c r="A3495" s="346"/>
    </row>
    <row r="3496" spans="1:1">
      <c r="A3496" s="346"/>
    </row>
    <row r="3497" spans="1:1">
      <c r="A3497" s="346"/>
    </row>
    <row r="3498" spans="1:1">
      <c r="A3498" s="346"/>
    </row>
    <row r="3499" spans="1:1">
      <c r="A3499" s="346"/>
    </row>
    <row r="3500" spans="1:1">
      <c r="A3500" s="346"/>
    </row>
    <row r="3501" spans="1:1">
      <c r="A3501" s="346"/>
    </row>
    <row r="3502" spans="1:1">
      <c r="A3502" s="346"/>
    </row>
    <row r="3503" spans="1:1">
      <c r="A3503" s="346"/>
    </row>
    <row r="3504" spans="1:1">
      <c r="A3504" s="346"/>
    </row>
    <row r="3505" spans="1:1">
      <c r="A3505" s="346"/>
    </row>
    <row r="3506" spans="1:1">
      <c r="A3506" s="346"/>
    </row>
    <row r="3507" spans="1:1">
      <c r="A3507" s="346"/>
    </row>
    <row r="3508" spans="1:1">
      <c r="A3508" s="346"/>
    </row>
    <row r="3509" spans="1:1">
      <c r="A3509" s="346"/>
    </row>
    <row r="3510" spans="1:1">
      <c r="A3510" s="346"/>
    </row>
    <row r="3511" spans="1:1">
      <c r="A3511" s="346"/>
    </row>
    <row r="3512" spans="1:1">
      <c r="A3512" s="346"/>
    </row>
    <row r="3513" spans="1:1">
      <c r="A3513" s="346"/>
    </row>
    <row r="3514" spans="1:1">
      <c r="A3514" s="346"/>
    </row>
    <row r="3515" spans="1:1">
      <c r="A3515" s="346"/>
    </row>
    <row r="3516" spans="1:1">
      <c r="A3516" s="346"/>
    </row>
    <row r="3517" spans="1:1">
      <c r="A3517" s="346"/>
    </row>
    <row r="3518" spans="1:1">
      <c r="A3518" s="346"/>
    </row>
    <row r="3519" spans="1:1">
      <c r="A3519" s="346"/>
    </row>
    <row r="3520" spans="1:1">
      <c r="A3520" s="346"/>
    </row>
    <row r="3521" spans="1:1">
      <c r="A3521" s="346"/>
    </row>
    <row r="3522" spans="1:1">
      <c r="A3522" s="346"/>
    </row>
    <row r="3523" spans="1:1">
      <c r="A3523" s="346"/>
    </row>
    <row r="3524" spans="1:1">
      <c r="A3524" s="346"/>
    </row>
    <row r="3525" spans="1:1">
      <c r="A3525" s="346"/>
    </row>
    <row r="3526" spans="1:1">
      <c r="A3526" s="346"/>
    </row>
    <row r="3527" spans="1:1">
      <c r="A3527" s="346"/>
    </row>
    <row r="3528" spans="1:1">
      <c r="A3528" s="346"/>
    </row>
    <row r="3529" spans="1:1">
      <c r="A3529" s="346"/>
    </row>
    <row r="3530" spans="1:1">
      <c r="A3530" s="346"/>
    </row>
    <row r="3531" spans="1:1">
      <c r="A3531" s="346"/>
    </row>
    <row r="3532" spans="1:1">
      <c r="A3532" s="346"/>
    </row>
    <row r="3533" spans="1:1">
      <c r="A3533" s="346"/>
    </row>
    <row r="3534" spans="1:1">
      <c r="A3534" s="346"/>
    </row>
    <row r="3535" spans="1:1">
      <c r="A3535" s="346"/>
    </row>
    <row r="3536" spans="1:1">
      <c r="A3536" s="346"/>
    </row>
    <row r="3537" spans="1:1">
      <c r="A3537" s="346"/>
    </row>
    <row r="3538" spans="1:1">
      <c r="A3538" s="346"/>
    </row>
    <row r="3539" spans="1:1">
      <c r="A3539" s="346"/>
    </row>
    <row r="3540" spans="1:1">
      <c r="A3540" s="346"/>
    </row>
    <row r="3541" spans="1:1">
      <c r="A3541" s="346"/>
    </row>
    <row r="3542" spans="1:1">
      <c r="A3542" s="346"/>
    </row>
    <row r="3543" spans="1:1">
      <c r="A3543" s="346"/>
    </row>
    <row r="3544" spans="1:1">
      <c r="A3544" s="346"/>
    </row>
    <row r="3545" spans="1:1">
      <c r="A3545" s="346"/>
    </row>
    <row r="3546" spans="1:1">
      <c r="A3546" s="346"/>
    </row>
    <row r="3547" spans="1:1">
      <c r="A3547" s="346"/>
    </row>
    <row r="3548" spans="1:1">
      <c r="A3548" s="346"/>
    </row>
    <row r="3549" spans="1:1">
      <c r="A3549" s="346"/>
    </row>
    <row r="3550" spans="1:1">
      <c r="A3550" s="346"/>
    </row>
    <row r="3551" spans="1:1">
      <c r="A3551" s="346"/>
    </row>
    <row r="3552" spans="1:1">
      <c r="A3552" s="346"/>
    </row>
    <row r="3553" spans="1:1">
      <c r="A3553" s="346"/>
    </row>
    <row r="3554" spans="1:1">
      <c r="A3554" s="346"/>
    </row>
    <row r="3555" spans="1:1">
      <c r="A3555" s="346"/>
    </row>
    <row r="3556" spans="1:1">
      <c r="A3556" s="346"/>
    </row>
    <row r="3557" spans="1:1">
      <c r="A3557" s="346"/>
    </row>
    <row r="3558" spans="1:1">
      <c r="A3558" s="346"/>
    </row>
    <row r="3559" spans="1:1">
      <c r="A3559" s="346"/>
    </row>
    <row r="3560" spans="1:1">
      <c r="A3560" s="346"/>
    </row>
    <row r="3561" spans="1:1">
      <c r="A3561" s="346"/>
    </row>
    <row r="3562" spans="1:1">
      <c r="A3562" s="346"/>
    </row>
    <row r="3563" spans="1:1">
      <c r="A3563" s="346"/>
    </row>
    <row r="3564" spans="1:1">
      <c r="A3564" s="346"/>
    </row>
    <row r="3565" spans="1:1">
      <c r="A3565" s="346"/>
    </row>
    <row r="3566" spans="1:1">
      <c r="A3566" s="346"/>
    </row>
    <row r="3567" spans="1:1">
      <c r="A3567" s="346"/>
    </row>
    <row r="3568" spans="1:1">
      <c r="A3568" s="346"/>
    </row>
    <row r="3569" spans="1:1">
      <c r="A3569" s="346"/>
    </row>
    <row r="3570" spans="1:1">
      <c r="A3570" s="346"/>
    </row>
    <row r="3571" spans="1:1">
      <c r="A3571" s="346"/>
    </row>
    <row r="3572" spans="1:1">
      <c r="A3572" s="346"/>
    </row>
    <row r="3573" spans="1:1">
      <c r="A3573" s="346"/>
    </row>
    <row r="3574" spans="1:1">
      <c r="A3574" s="346"/>
    </row>
    <row r="3575" spans="1:1">
      <c r="A3575" s="346"/>
    </row>
    <row r="3576" spans="1:1">
      <c r="A3576" s="346"/>
    </row>
    <row r="3577" spans="1:1">
      <c r="A3577" s="346"/>
    </row>
    <row r="3578" spans="1:1">
      <c r="A3578" s="346"/>
    </row>
    <row r="3579" spans="1:1">
      <c r="A3579" s="346"/>
    </row>
    <row r="3580" spans="1:1">
      <c r="A3580" s="346"/>
    </row>
    <row r="3581" spans="1:1">
      <c r="A3581" s="346"/>
    </row>
    <row r="3582" spans="1:1">
      <c r="A3582" s="346"/>
    </row>
    <row r="3583" spans="1:1">
      <c r="A3583" s="346"/>
    </row>
    <row r="3584" spans="1:1">
      <c r="A3584" s="346"/>
    </row>
    <row r="3585" spans="1:1">
      <c r="A3585" s="346"/>
    </row>
    <row r="3586" spans="1:1">
      <c r="A3586" s="346"/>
    </row>
    <row r="3587" spans="1:1">
      <c r="A3587" s="346"/>
    </row>
    <row r="3588" spans="1:1">
      <c r="A3588" s="346"/>
    </row>
    <row r="3589" spans="1:1">
      <c r="A3589" s="346"/>
    </row>
    <row r="3590" spans="1:1">
      <c r="A3590" s="346"/>
    </row>
    <row r="3591" spans="1:1">
      <c r="A3591" s="346"/>
    </row>
    <row r="3592" spans="1:1">
      <c r="A3592" s="346"/>
    </row>
    <row r="3593" spans="1:1">
      <c r="A3593" s="346"/>
    </row>
    <row r="3594" spans="1:1">
      <c r="A3594" s="346"/>
    </row>
    <row r="3595" spans="1:1">
      <c r="A3595" s="346"/>
    </row>
    <row r="3596" spans="1:1">
      <c r="A3596" s="346"/>
    </row>
    <row r="3597" spans="1:1">
      <c r="A3597" s="346"/>
    </row>
    <row r="3598" spans="1:1">
      <c r="A3598" s="346"/>
    </row>
    <row r="3599" spans="1:1">
      <c r="A3599" s="346"/>
    </row>
    <row r="3600" spans="1:1">
      <c r="A3600" s="346"/>
    </row>
    <row r="3601" spans="1:1">
      <c r="A3601" s="346"/>
    </row>
    <row r="3602" spans="1:1">
      <c r="A3602" s="346"/>
    </row>
    <row r="3603" spans="1:1">
      <c r="A3603" s="346"/>
    </row>
    <row r="3604" spans="1:1">
      <c r="A3604" s="346"/>
    </row>
    <row r="3605" spans="1:1">
      <c r="A3605" s="346"/>
    </row>
    <row r="3606" spans="1:1">
      <c r="A3606" s="346"/>
    </row>
    <row r="3607" spans="1:1">
      <c r="A3607" s="346"/>
    </row>
    <row r="3608" spans="1:1">
      <c r="A3608" s="346"/>
    </row>
    <row r="3609" spans="1:1">
      <c r="A3609" s="346"/>
    </row>
    <row r="3610" spans="1:1">
      <c r="A3610" s="346"/>
    </row>
    <row r="3611" spans="1:1">
      <c r="A3611" s="346"/>
    </row>
    <row r="3612" spans="1:1">
      <c r="A3612" s="346"/>
    </row>
    <row r="3613" spans="1:1">
      <c r="A3613" s="346"/>
    </row>
    <row r="3614" spans="1:1">
      <c r="A3614" s="346"/>
    </row>
    <row r="3615" spans="1:1">
      <c r="A3615" s="346"/>
    </row>
    <row r="3616" spans="1:1">
      <c r="A3616" s="346"/>
    </row>
    <row r="3617" spans="1:1">
      <c r="A3617" s="346"/>
    </row>
    <row r="3618" spans="1:1">
      <c r="A3618" s="346"/>
    </row>
    <row r="3619" spans="1:1">
      <c r="A3619" s="346"/>
    </row>
    <row r="3620" spans="1:1">
      <c r="A3620" s="346"/>
    </row>
    <row r="3621" spans="1:1">
      <c r="A3621" s="346"/>
    </row>
    <row r="3622" spans="1:1">
      <c r="A3622" s="346"/>
    </row>
    <row r="3623" spans="1:1">
      <c r="A3623" s="346"/>
    </row>
    <row r="3624" spans="1:1">
      <c r="A3624" s="346"/>
    </row>
    <row r="3625" spans="1:1">
      <c r="A3625" s="346"/>
    </row>
    <row r="3626" spans="1:1">
      <c r="A3626" s="346"/>
    </row>
    <row r="3627" spans="1:1">
      <c r="A3627" s="346"/>
    </row>
    <row r="3628" spans="1:1">
      <c r="A3628" s="346"/>
    </row>
    <row r="3629" spans="1:1">
      <c r="A3629" s="346"/>
    </row>
    <row r="3630" spans="1:1">
      <c r="A3630" s="346"/>
    </row>
    <row r="3631" spans="1:1">
      <c r="A3631" s="346"/>
    </row>
    <row r="3632" spans="1:1">
      <c r="A3632" s="346"/>
    </row>
    <row r="3633" spans="1:1">
      <c r="A3633" s="346"/>
    </row>
    <row r="3634" spans="1:1">
      <c r="A3634" s="346"/>
    </row>
    <row r="3635" spans="1:1">
      <c r="A3635" s="346"/>
    </row>
    <row r="3636" spans="1:1">
      <c r="A3636" s="346"/>
    </row>
    <row r="3637" spans="1:1">
      <c r="A3637" s="346"/>
    </row>
    <row r="3638" spans="1:1">
      <c r="A3638" s="346"/>
    </row>
    <row r="3639" spans="1:1">
      <c r="A3639" s="346"/>
    </row>
    <row r="3640" spans="1:1">
      <c r="A3640" s="346"/>
    </row>
    <row r="3641" spans="1:1">
      <c r="A3641" s="346"/>
    </row>
    <row r="3642" spans="1:1">
      <c r="A3642" s="346"/>
    </row>
    <row r="3643" spans="1:1">
      <c r="A3643" s="346"/>
    </row>
    <row r="3644" spans="1:1">
      <c r="A3644" s="346"/>
    </row>
    <row r="3645" spans="1:1">
      <c r="A3645" s="346"/>
    </row>
    <row r="3646" spans="1:1">
      <c r="A3646" s="346"/>
    </row>
    <row r="3647" spans="1:1">
      <c r="A3647" s="346"/>
    </row>
    <row r="3648" spans="1:1">
      <c r="A3648" s="346"/>
    </row>
    <row r="3649" spans="1:1">
      <c r="A3649" s="346"/>
    </row>
    <row r="3650" spans="1:1">
      <c r="A3650" s="346"/>
    </row>
    <row r="3651" spans="1:1">
      <c r="A3651" s="346"/>
    </row>
    <row r="3652" spans="1:1">
      <c r="A3652" s="346"/>
    </row>
    <row r="3653" spans="1:1">
      <c r="A3653" s="346"/>
    </row>
    <row r="3654" spans="1:1">
      <c r="A3654" s="346"/>
    </row>
    <row r="3655" spans="1:1">
      <c r="A3655" s="346"/>
    </row>
    <row r="3656" spans="1:1">
      <c r="A3656" s="346"/>
    </row>
    <row r="3657" spans="1:1">
      <c r="A3657" s="346"/>
    </row>
    <row r="3658" spans="1:1">
      <c r="A3658" s="346"/>
    </row>
    <row r="3659" spans="1:1">
      <c r="A3659" s="346"/>
    </row>
    <row r="3660" spans="1:1">
      <c r="A3660" s="346"/>
    </row>
    <row r="3661" spans="1:1">
      <c r="A3661" s="346"/>
    </row>
    <row r="3662" spans="1:1">
      <c r="A3662" s="346"/>
    </row>
    <row r="3663" spans="1:1">
      <c r="A3663" s="346"/>
    </row>
    <row r="3664" spans="1:1">
      <c r="A3664" s="346"/>
    </row>
    <row r="3665" spans="1:1">
      <c r="A3665" s="346"/>
    </row>
    <row r="3666" spans="1:1">
      <c r="A3666" s="346"/>
    </row>
    <row r="3667" spans="1:1">
      <c r="A3667" s="346"/>
    </row>
    <row r="3668" spans="1:1">
      <c r="A3668" s="346"/>
    </row>
    <row r="3669" spans="1:1">
      <c r="A3669" s="346"/>
    </row>
    <row r="3670" spans="1:1">
      <c r="A3670" s="346"/>
    </row>
    <row r="3671" spans="1:1">
      <c r="A3671" s="346"/>
    </row>
    <row r="3672" spans="1:1">
      <c r="A3672" s="346"/>
    </row>
    <row r="3673" spans="1:1">
      <c r="A3673" s="346"/>
    </row>
    <row r="3674" spans="1:1">
      <c r="A3674" s="346"/>
    </row>
    <row r="3675" spans="1:1">
      <c r="A3675" s="346"/>
    </row>
    <row r="3676" spans="1:1">
      <c r="A3676" s="346"/>
    </row>
    <row r="3677" spans="1:1">
      <c r="A3677" s="346"/>
    </row>
    <row r="3678" spans="1:1">
      <c r="A3678" s="346"/>
    </row>
    <row r="3679" spans="1:1">
      <c r="A3679" s="346"/>
    </row>
    <row r="3680" spans="1:1">
      <c r="A3680" s="346"/>
    </row>
    <row r="3681" spans="1:1">
      <c r="A3681" s="346"/>
    </row>
    <row r="3682" spans="1:1">
      <c r="A3682" s="346"/>
    </row>
    <row r="3683" spans="1:1">
      <c r="A3683" s="346"/>
    </row>
    <row r="3684" spans="1:1">
      <c r="A3684" s="346"/>
    </row>
    <row r="3685" spans="1:1">
      <c r="A3685" s="346"/>
    </row>
    <row r="3686" spans="1:1">
      <c r="A3686" s="346"/>
    </row>
    <row r="3687" spans="1:1">
      <c r="A3687" s="346"/>
    </row>
    <row r="3688" spans="1:1">
      <c r="A3688" s="346"/>
    </row>
    <row r="3689" spans="1:1">
      <c r="A3689" s="346"/>
    </row>
    <row r="3690" spans="1:1">
      <c r="A3690" s="346"/>
    </row>
    <row r="3691" spans="1:1">
      <c r="A3691" s="346"/>
    </row>
    <row r="3692" spans="1:1">
      <c r="A3692" s="346"/>
    </row>
    <row r="3693" spans="1:1">
      <c r="A3693" s="346"/>
    </row>
    <row r="3694" spans="1:1">
      <c r="A3694" s="346"/>
    </row>
    <row r="3695" spans="1:1">
      <c r="A3695" s="346"/>
    </row>
    <row r="3696" spans="1:1">
      <c r="A3696" s="346"/>
    </row>
    <row r="3697" spans="1:1">
      <c r="A3697" s="346"/>
    </row>
    <row r="3698" spans="1:1">
      <c r="A3698" s="346"/>
    </row>
    <row r="3699" spans="1:1">
      <c r="A3699" s="346"/>
    </row>
    <row r="3700" spans="1:1">
      <c r="A3700" s="346"/>
    </row>
    <row r="3701" spans="1:1">
      <c r="A3701" s="346"/>
    </row>
    <row r="3702" spans="1:1">
      <c r="A3702" s="346"/>
    </row>
    <row r="3703" spans="1:1">
      <c r="A3703" s="346"/>
    </row>
    <row r="3704" spans="1:1">
      <c r="A3704" s="346"/>
    </row>
    <row r="3705" spans="1:1">
      <c r="A3705" s="346"/>
    </row>
    <row r="3706" spans="1:1">
      <c r="A3706" s="346"/>
    </row>
    <row r="3707" spans="1:1">
      <c r="A3707" s="346"/>
    </row>
    <row r="3708" spans="1:1">
      <c r="A3708" s="346"/>
    </row>
    <row r="3709" spans="1:1">
      <c r="A3709" s="346"/>
    </row>
    <row r="3710" spans="1:1">
      <c r="A3710" s="346"/>
    </row>
    <row r="3711" spans="1:1">
      <c r="A3711" s="346"/>
    </row>
    <row r="3712" spans="1:1">
      <c r="A3712" s="346"/>
    </row>
    <row r="3713" spans="1:1">
      <c r="A3713" s="346"/>
    </row>
    <row r="3714" spans="1:1">
      <c r="A3714" s="346"/>
    </row>
    <row r="3715" spans="1:1">
      <c r="A3715" s="346"/>
    </row>
    <row r="3716" spans="1:1">
      <c r="A3716" s="346"/>
    </row>
    <row r="3717" spans="1:1">
      <c r="A3717" s="346"/>
    </row>
    <row r="3718" spans="1:1">
      <c r="A3718" s="346"/>
    </row>
    <row r="3719" spans="1:1">
      <c r="A3719" s="346"/>
    </row>
    <row r="3720" spans="1:1">
      <c r="A3720" s="346"/>
    </row>
    <row r="3721" spans="1:1">
      <c r="A3721" s="346"/>
    </row>
    <row r="3722" spans="1:1">
      <c r="A3722" s="346"/>
    </row>
    <row r="3723" spans="1:1">
      <c r="A3723" s="346"/>
    </row>
    <row r="3724" spans="1:1">
      <c r="A3724" s="346"/>
    </row>
    <row r="3725" spans="1:1">
      <c r="A3725" s="346"/>
    </row>
    <row r="3726" spans="1:1">
      <c r="A3726" s="346"/>
    </row>
    <row r="3727" spans="1:1">
      <c r="A3727" s="346"/>
    </row>
    <row r="3728" spans="1:1">
      <c r="A3728" s="346"/>
    </row>
    <row r="3729" spans="1:1">
      <c r="A3729" s="346"/>
    </row>
    <row r="3730" spans="1:1">
      <c r="A3730" s="346"/>
    </row>
    <row r="3731" spans="1:1">
      <c r="A3731" s="346"/>
    </row>
    <row r="3732" spans="1:1">
      <c r="A3732" s="346"/>
    </row>
    <row r="3733" spans="1:1">
      <c r="A3733" s="346"/>
    </row>
    <row r="3734" spans="1:1">
      <c r="A3734" s="346"/>
    </row>
    <row r="3735" spans="1:1">
      <c r="A3735" s="346"/>
    </row>
    <row r="3736" spans="1:1">
      <c r="A3736" s="346"/>
    </row>
    <row r="3737" spans="1:1">
      <c r="A3737" s="346"/>
    </row>
    <row r="3738" spans="1:1">
      <c r="A3738" s="346"/>
    </row>
    <row r="3739" spans="1:1">
      <c r="A3739" s="346"/>
    </row>
    <row r="3740" spans="1:1">
      <c r="A3740" s="346"/>
    </row>
    <row r="3741" spans="1:1">
      <c r="A3741" s="346"/>
    </row>
    <row r="3742" spans="1:1">
      <c r="A3742" s="346"/>
    </row>
    <row r="3743" spans="1:1">
      <c r="A3743" s="346"/>
    </row>
    <row r="3744" spans="1:1">
      <c r="A3744" s="346"/>
    </row>
    <row r="3745" spans="1:1">
      <c r="A3745" s="346"/>
    </row>
    <row r="3746" spans="1:1">
      <c r="A3746" s="346"/>
    </row>
    <row r="3747" spans="1:1">
      <c r="A3747" s="346"/>
    </row>
    <row r="3748" spans="1:1">
      <c r="A3748" s="346"/>
    </row>
    <row r="3749" spans="1:1">
      <c r="A3749" s="346"/>
    </row>
    <row r="3750" spans="1:1">
      <c r="A3750" s="346"/>
    </row>
    <row r="3751" spans="1:1">
      <c r="A3751" s="346"/>
    </row>
    <row r="3752" spans="1:1">
      <c r="A3752" s="346"/>
    </row>
    <row r="3753" spans="1:1">
      <c r="A3753" s="346"/>
    </row>
    <row r="3754" spans="1:1">
      <c r="A3754" s="346"/>
    </row>
    <row r="3755" spans="1:1">
      <c r="A3755" s="346"/>
    </row>
    <row r="3756" spans="1:1">
      <c r="A3756" s="346"/>
    </row>
    <row r="3757" spans="1:1">
      <c r="A3757" s="346"/>
    </row>
    <row r="3758" spans="1:1">
      <c r="A3758" s="346"/>
    </row>
    <row r="3759" spans="1:1">
      <c r="A3759" s="346"/>
    </row>
    <row r="3760" spans="1:1">
      <c r="A3760" s="346"/>
    </row>
    <row r="3761" spans="1:1">
      <c r="A3761" s="346"/>
    </row>
    <row r="3762" spans="1:1">
      <c r="A3762" s="346"/>
    </row>
    <row r="3763" spans="1:1">
      <c r="A3763" s="346"/>
    </row>
    <row r="3764" spans="1:1">
      <c r="A3764" s="346"/>
    </row>
    <row r="3765" spans="1:1">
      <c r="A3765" s="346"/>
    </row>
    <row r="3766" spans="1:1">
      <c r="A3766" s="346"/>
    </row>
    <row r="3767" spans="1:1">
      <c r="A3767" s="346"/>
    </row>
    <row r="3768" spans="1:1">
      <c r="A3768" s="346"/>
    </row>
    <row r="3769" spans="1:1">
      <c r="A3769" s="346"/>
    </row>
    <row r="3770" spans="1:1">
      <c r="A3770" s="346"/>
    </row>
    <row r="3771" spans="1:1">
      <c r="A3771" s="346"/>
    </row>
    <row r="3772" spans="1:1">
      <c r="A3772" s="346"/>
    </row>
    <row r="3773" spans="1:1">
      <c r="A3773" s="346"/>
    </row>
    <row r="3774" spans="1:1">
      <c r="A3774" s="346"/>
    </row>
    <row r="3775" spans="1:1">
      <c r="A3775" s="346"/>
    </row>
    <row r="3776" spans="1:1">
      <c r="A3776" s="346"/>
    </row>
    <row r="3777" spans="1:1">
      <c r="A3777" s="346"/>
    </row>
    <row r="3778" spans="1:1">
      <c r="A3778" s="346"/>
    </row>
    <row r="3779" spans="1:1">
      <c r="A3779" s="346"/>
    </row>
    <row r="3780" spans="1:1">
      <c r="A3780" s="346"/>
    </row>
    <row r="3781" spans="1:1">
      <c r="A3781" s="346"/>
    </row>
    <row r="3782" spans="1:1">
      <c r="A3782" s="346"/>
    </row>
    <row r="3783" spans="1:1">
      <c r="A3783" s="346"/>
    </row>
    <row r="3784" spans="1:1">
      <c r="A3784" s="346"/>
    </row>
    <row r="3785" spans="1:1">
      <c r="A3785" s="346"/>
    </row>
    <row r="3786" spans="1:1">
      <c r="A3786" s="346"/>
    </row>
    <row r="3787" spans="1:1">
      <c r="A3787" s="346"/>
    </row>
    <row r="3788" spans="1:1">
      <c r="A3788" s="346"/>
    </row>
    <row r="3789" spans="1:1">
      <c r="A3789" s="346"/>
    </row>
    <row r="3790" spans="1:1">
      <c r="A3790" s="346"/>
    </row>
    <row r="3791" spans="1:1">
      <c r="A3791" s="346"/>
    </row>
    <row r="3792" spans="1:1">
      <c r="A3792" s="346"/>
    </row>
    <row r="3793" spans="1:1">
      <c r="A3793" s="346"/>
    </row>
    <row r="3794" spans="1:1">
      <c r="A3794" s="346"/>
    </row>
    <row r="3795" spans="1:1">
      <c r="A3795" s="346"/>
    </row>
    <row r="3796" spans="1:1">
      <c r="A3796" s="346"/>
    </row>
    <row r="3797" spans="1:1">
      <c r="A3797" s="346"/>
    </row>
    <row r="3798" spans="1:1">
      <c r="A3798" s="346"/>
    </row>
    <row r="3799" spans="1:1">
      <c r="A3799" s="346"/>
    </row>
    <row r="3800" spans="1:1">
      <c r="A3800" s="346"/>
    </row>
    <row r="3801" spans="1:1">
      <c r="A3801" s="346"/>
    </row>
    <row r="3802" spans="1:1">
      <c r="A3802" s="346"/>
    </row>
    <row r="3803" spans="1:1">
      <c r="A3803" s="346"/>
    </row>
    <row r="3804" spans="1:1">
      <c r="A3804" s="346"/>
    </row>
    <row r="3805" spans="1:1">
      <c r="A3805" s="346"/>
    </row>
    <row r="3806" spans="1:1">
      <c r="A3806" s="346"/>
    </row>
    <row r="3807" spans="1:1">
      <c r="A3807" s="346"/>
    </row>
    <row r="3808" spans="1:1">
      <c r="A3808" s="346"/>
    </row>
    <row r="3809" spans="1:1">
      <c r="A3809" s="346"/>
    </row>
    <row r="3810" spans="1:1">
      <c r="A3810" s="346"/>
    </row>
    <row r="3811" spans="1:1">
      <c r="A3811" s="346"/>
    </row>
    <row r="3812" spans="1:1">
      <c r="A3812" s="346"/>
    </row>
    <row r="3813" spans="1:1">
      <c r="A3813" s="346"/>
    </row>
    <row r="3814" spans="1:1">
      <c r="A3814" s="346"/>
    </row>
    <row r="3815" spans="1:1">
      <c r="A3815" s="346"/>
    </row>
    <row r="3816" spans="1:1">
      <c r="A3816" s="346"/>
    </row>
    <row r="3817" spans="1:1">
      <c r="A3817" s="346"/>
    </row>
    <row r="3818" spans="1:1">
      <c r="A3818" s="346"/>
    </row>
    <row r="3819" spans="1:1">
      <c r="A3819" s="346"/>
    </row>
    <row r="3820" spans="1:1">
      <c r="A3820" s="346"/>
    </row>
    <row r="3821" spans="1:1">
      <c r="A3821" s="346"/>
    </row>
    <row r="3822" spans="1:1">
      <c r="A3822" s="346"/>
    </row>
    <row r="3823" spans="1:1">
      <c r="A3823" s="346"/>
    </row>
    <row r="3824" spans="1:1">
      <c r="A3824" s="346"/>
    </row>
    <row r="3825" spans="1:1">
      <c r="A3825" s="346"/>
    </row>
    <row r="3826" spans="1:1">
      <c r="A3826" s="346"/>
    </row>
    <row r="3827" spans="1:1">
      <c r="A3827" s="346"/>
    </row>
    <row r="3828" spans="1:1">
      <c r="A3828" s="346"/>
    </row>
    <row r="3829" spans="1:1">
      <c r="A3829" s="346"/>
    </row>
    <row r="3830" spans="1:1">
      <c r="A3830" s="346"/>
    </row>
    <row r="3831" spans="1:1">
      <c r="A3831" s="346"/>
    </row>
    <row r="3832" spans="1:1">
      <c r="A3832" s="346"/>
    </row>
    <row r="3833" spans="1:1">
      <c r="A3833" s="346"/>
    </row>
    <row r="3834" spans="1:1">
      <c r="A3834" s="346"/>
    </row>
    <row r="3835" spans="1:1">
      <c r="A3835" s="346"/>
    </row>
    <row r="3836" spans="1:1">
      <c r="A3836" s="346"/>
    </row>
    <row r="3837" spans="1:1">
      <c r="A3837" s="346"/>
    </row>
    <row r="3838" spans="1:1">
      <c r="A3838" s="346"/>
    </row>
    <row r="3839" spans="1:1">
      <c r="A3839" s="346"/>
    </row>
    <row r="3840" spans="1:1">
      <c r="A3840" s="346"/>
    </row>
    <row r="3841" spans="1:1">
      <c r="A3841" s="346"/>
    </row>
    <row r="3842" spans="1:1">
      <c r="A3842" s="346"/>
    </row>
    <row r="3843" spans="1:1">
      <c r="A3843" s="346"/>
    </row>
    <row r="3844" spans="1:1">
      <c r="A3844" s="346"/>
    </row>
    <row r="3845" spans="1:1">
      <c r="A3845" s="346"/>
    </row>
    <row r="3846" spans="1:1">
      <c r="A3846" s="346"/>
    </row>
    <row r="3847" spans="1:1">
      <c r="A3847" s="346"/>
    </row>
    <row r="3848" spans="1:1">
      <c r="A3848" s="346"/>
    </row>
    <row r="3849" spans="1:1">
      <c r="A3849" s="346"/>
    </row>
    <row r="3850" spans="1:1">
      <c r="A3850" s="346"/>
    </row>
    <row r="3851" spans="1:1">
      <c r="A3851" s="346"/>
    </row>
    <row r="3852" spans="1:1">
      <c r="A3852" s="346"/>
    </row>
    <row r="3853" spans="1:1">
      <c r="A3853" s="346"/>
    </row>
    <row r="3854" spans="1:1">
      <c r="A3854" s="346"/>
    </row>
    <row r="3855" spans="1:1">
      <c r="A3855" s="346"/>
    </row>
    <row r="3856" spans="1:1">
      <c r="A3856" s="346"/>
    </row>
    <row r="3857" spans="1:1">
      <c r="A3857" s="346"/>
    </row>
    <row r="3858" spans="1:1">
      <c r="A3858" s="346"/>
    </row>
    <row r="3859" spans="1:1">
      <c r="A3859" s="346"/>
    </row>
    <row r="3860" spans="1:1">
      <c r="A3860" s="346"/>
    </row>
    <row r="3861" spans="1:1">
      <c r="A3861" s="346"/>
    </row>
    <row r="3862" spans="1:1">
      <c r="A3862" s="346"/>
    </row>
    <row r="3863" spans="1:1">
      <c r="A3863" s="346"/>
    </row>
    <row r="3864" spans="1:1">
      <c r="A3864" s="346"/>
    </row>
    <row r="3865" spans="1:1">
      <c r="A3865" s="346"/>
    </row>
    <row r="3866" spans="1:1">
      <c r="A3866" s="346"/>
    </row>
    <row r="3867" spans="1:1">
      <c r="A3867" s="346"/>
    </row>
    <row r="3868" spans="1:1">
      <c r="A3868" s="346"/>
    </row>
    <row r="3869" spans="1:1">
      <c r="A3869" s="346"/>
    </row>
    <row r="3870" spans="1:1">
      <c r="A3870" s="346"/>
    </row>
    <row r="3871" spans="1:1">
      <c r="A3871" s="346"/>
    </row>
    <row r="3872" spans="1:1">
      <c r="A3872" s="346"/>
    </row>
    <row r="3873" spans="1:1">
      <c r="A3873" s="346"/>
    </row>
    <row r="3874" spans="1:1">
      <c r="A3874" s="346"/>
    </row>
    <row r="3875" spans="1:1">
      <c r="A3875" s="346"/>
    </row>
    <row r="3876" spans="1:1">
      <c r="A3876" s="346"/>
    </row>
    <row r="3877" spans="1:1">
      <c r="A3877" s="346"/>
    </row>
    <row r="3878" spans="1:1">
      <c r="A3878" s="346"/>
    </row>
    <row r="3879" spans="1:1">
      <c r="A3879" s="346"/>
    </row>
    <row r="3880" spans="1:1">
      <c r="A3880" s="346"/>
    </row>
    <row r="3881" spans="1:1">
      <c r="A3881" s="346"/>
    </row>
    <row r="3882" spans="1:1">
      <c r="A3882" s="346"/>
    </row>
    <row r="3883" spans="1:1">
      <c r="A3883" s="346"/>
    </row>
    <row r="3884" spans="1:1">
      <c r="A3884" s="346"/>
    </row>
    <row r="3885" spans="1:1">
      <c r="A3885" s="346"/>
    </row>
    <row r="3886" spans="1:1">
      <c r="A3886" s="346"/>
    </row>
    <row r="3887" spans="1:1">
      <c r="A3887" s="346"/>
    </row>
    <row r="3888" spans="1:1">
      <c r="A3888" s="346"/>
    </row>
    <row r="3889" spans="1:1">
      <c r="A3889" s="346"/>
    </row>
    <row r="3890" spans="1:1">
      <c r="A3890" s="346"/>
    </row>
    <row r="3891" spans="1:1">
      <c r="A3891" s="346"/>
    </row>
    <row r="3892" spans="1:1">
      <c r="A3892" s="346"/>
    </row>
    <row r="3893" spans="1:1">
      <c r="A3893" s="346"/>
    </row>
    <row r="3894" spans="1:1">
      <c r="A3894" s="346"/>
    </row>
    <row r="3895" spans="1:1">
      <c r="A3895" s="346"/>
    </row>
    <row r="3896" spans="1:1">
      <c r="A3896" s="346"/>
    </row>
    <row r="3897" spans="1:1">
      <c r="A3897" s="346"/>
    </row>
    <row r="3898" spans="1:1">
      <c r="A3898" s="346"/>
    </row>
    <row r="3899" spans="1:1">
      <c r="A3899" s="346"/>
    </row>
    <row r="3900" spans="1:1">
      <c r="A3900" s="346"/>
    </row>
    <row r="3901" spans="1:1">
      <c r="A3901" s="346"/>
    </row>
    <row r="3902" spans="1:1">
      <c r="A3902" s="346"/>
    </row>
    <row r="3903" spans="1:1">
      <c r="A3903" s="346"/>
    </row>
    <row r="3904" spans="1:1">
      <c r="A3904" s="346"/>
    </row>
    <row r="3905" spans="1:1">
      <c r="A3905" s="346"/>
    </row>
    <row r="3906" spans="1:1">
      <c r="A3906" s="346"/>
    </row>
    <row r="3907" spans="1:1">
      <c r="A3907" s="346"/>
    </row>
    <row r="3908" spans="1:1">
      <c r="A3908" s="346"/>
    </row>
    <row r="3909" spans="1:1">
      <c r="A3909" s="346"/>
    </row>
    <row r="3910" spans="1:1">
      <c r="A3910" s="346"/>
    </row>
    <row r="3911" spans="1:1">
      <c r="A3911" s="346"/>
    </row>
    <row r="3912" spans="1:1">
      <c r="A3912" s="346"/>
    </row>
    <row r="3913" spans="1:1">
      <c r="A3913" s="346"/>
    </row>
    <row r="3914" spans="1:1">
      <c r="A3914" s="346"/>
    </row>
    <row r="3915" spans="1:1">
      <c r="A3915" s="346"/>
    </row>
    <row r="3916" spans="1:1">
      <c r="A3916" s="346"/>
    </row>
    <row r="3917" spans="1:1">
      <c r="A3917" s="346"/>
    </row>
    <row r="3918" spans="1:1">
      <c r="A3918" s="346"/>
    </row>
    <row r="3919" spans="1:1">
      <c r="A3919" s="346"/>
    </row>
    <row r="3920" spans="1:1">
      <c r="A3920" s="346"/>
    </row>
    <row r="3921" spans="1:1">
      <c r="A3921" s="346"/>
    </row>
    <row r="3922" spans="1:1">
      <c r="A3922" s="346"/>
    </row>
    <row r="3923" spans="1:1">
      <c r="A3923" s="346"/>
    </row>
    <row r="3924" spans="1:1">
      <c r="A3924" s="346"/>
    </row>
    <row r="3925" spans="1:1">
      <c r="A3925" s="346"/>
    </row>
    <row r="3926" spans="1:1">
      <c r="A3926" s="346"/>
    </row>
    <row r="3927" spans="1:1">
      <c r="A3927" s="346"/>
    </row>
    <row r="3928" spans="1:1">
      <c r="A3928" s="346"/>
    </row>
    <row r="3929" spans="1:1">
      <c r="A3929" s="346"/>
    </row>
    <row r="3930" spans="1:1">
      <c r="A3930" s="346"/>
    </row>
    <row r="3931" spans="1:1">
      <c r="A3931" s="346"/>
    </row>
    <row r="3932" spans="1:1">
      <c r="A3932" s="346"/>
    </row>
    <row r="3933" spans="1:1">
      <c r="A3933" s="346"/>
    </row>
    <row r="3934" spans="1:1">
      <c r="A3934" s="346"/>
    </row>
    <row r="3935" spans="1:1">
      <c r="A3935" s="346"/>
    </row>
    <row r="3936" spans="1:1">
      <c r="A3936" s="346"/>
    </row>
    <row r="3937" spans="1:1">
      <c r="A3937" s="346"/>
    </row>
    <row r="3938" spans="1:1">
      <c r="A3938" s="346"/>
    </row>
    <row r="3939" spans="1:1">
      <c r="A3939" s="346"/>
    </row>
    <row r="3940" spans="1:1">
      <c r="A3940" s="346"/>
    </row>
    <row r="3941" spans="1:1">
      <c r="A3941" s="346"/>
    </row>
    <row r="3942" spans="1:1">
      <c r="A3942" s="346"/>
    </row>
    <row r="3943" spans="1:1">
      <c r="A3943" s="346"/>
    </row>
    <row r="3944" spans="1:1">
      <c r="A3944" s="346"/>
    </row>
    <row r="3945" spans="1:1">
      <c r="A3945" s="346"/>
    </row>
    <row r="3946" spans="1:1">
      <c r="A3946" s="346"/>
    </row>
    <row r="3947" spans="1:1">
      <c r="A3947" s="346"/>
    </row>
    <row r="3948" spans="1:1">
      <c r="A3948" s="346"/>
    </row>
    <row r="3949" spans="1:1">
      <c r="A3949" s="346"/>
    </row>
    <row r="3950" spans="1:1">
      <c r="A3950" s="346"/>
    </row>
    <row r="3951" spans="1:1">
      <c r="A3951" s="346"/>
    </row>
    <row r="3952" spans="1:1">
      <c r="A3952" s="346"/>
    </row>
    <row r="3953" spans="1:1">
      <c r="A3953" s="346"/>
    </row>
    <row r="3954" spans="1:1">
      <c r="A3954" s="346"/>
    </row>
    <row r="3955" spans="1:1">
      <c r="A3955" s="346"/>
    </row>
    <row r="3956" spans="1:1">
      <c r="A3956" s="346"/>
    </row>
    <row r="3957" spans="1:1">
      <c r="A3957" s="346"/>
    </row>
    <row r="3958" spans="1:1">
      <c r="A3958" s="346"/>
    </row>
    <row r="3959" spans="1:1">
      <c r="A3959" s="346"/>
    </row>
    <row r="3960" spans="1:1">
      <c r="A3960" s="346"/>
    </row>
    <row r="3961" spans="1:1">
      <c r="A3961" s="346"/>
    </row>
    <row r="3962" spans="1:1">
      <c r="A3962" s="346"/>
    </row>
    <row r="3963" spans="1:1">
      <c r="A3963" s="346"/>
    </row>
    <row r="3964" spans="1:1">
      <c r="A3964" s="346"/>
    </row>
    <row r="3965" spans="1:1">
      <c r="A3965" s="346"/>
    </row>
    <row r="3966" spans="1:1">
      <c r="A3966" s="346"/>
    </row>
    <row r="3967" spans="1:1">
      <c r="A3967" s="346"/>
    </row>
    <row r="3968" spans="1:1">
      <c r="A3968" s="346"/>
    </row>
    <row r="3969" spans="1:1">
      <c r="A3969" s="346"/>
    </row>
    <row r="3970" spans="1:1">
      <c r="A3970" s="346"/>
    </row>
    <row r="3971" spans="1:1">
      <c r="A3971" s="346"/>
    </row>
    <row r="3972" spans="1:1">
      <c r="A3972" s="346"/>
    </row>
    <row r="3973" spans="1:1">
      <c r="A3973" s="346"/>
    </row>
    <row r="3974" spans="1:1">
      <c r="A3974" s="346"/>
    </row>
    <row r="3975" spans="1:1">
      <c r="A3975" s="346"/>
    </row>
    <row r="3976" spans="1:1">
      <c r="A3976" s="346"/>
    </row>
    <row r="3977" spans="1:1">
      <c r="A3977" s="346"/>
    </row>
    <row r="3978" spans="1:1">
      <c r="A3978" s="346"/>
    </row>
    <row r="3979" spans="1:1">
      <c r="A3979" s="346"/>
    </row>
    <row r="3980" spans="1:1">
      <c r="A3980" s="346"/>
    </row>
    <row r="3981" spans="1:1">
      <c r="A3981" s="346"/>
    </row>
    <row r="3982" spans="1:1">
      <c r="A3982" s="346"/>
    </row>
    <row r="3983" spans="1:1">
      <c r="A3983" s="346"/>
    </row>
    <row r="3984" spans="1:1">
      <c r="A3984" s="346"/>
    </row>
    <row r="3985" spans="1:1">
      <c r="A3985" s="346"/>
    </row>
    <row r="3986" spans="1:1">
      <c r="A3986" s="346"/>
    </row>
    <row r="3987" spans="1:1">
      <c r="A3987" s="346"/>
    </row>
    <row r="3988" spans="1:1">
      <c r="A3988" s="346"/>
    </row>
    <row r="3989" spans="1:1">
      <c r="A3989" s="346"/>
    </row>
    <row r="3990" spans="1:1">
      <c r="A3990" s="346"/>
    </row>
    <row r="3991" spans="1:1">
      <c r="A3991" s="346"/>
    </row>
    <row r="3992" spans="1:1">
      <c r="A3992" s="346"/>
    </row>
    <row r="3993" spans="1:1">
      <c r="A3993" s="346"/>
    </row>
    <row r="3994" spans="1:1">
      <c r="A3994" s="346"/>
    </row>
    <row r="3995" spans="1:1">
      <c r="A3995" s="346"/>
    </row>
    <row r="3996" spans="1:1">
      <c r="A3996" s="346"/>
    </row>
    <row r="3997" spans="1:1">
      <c r="A3997" s="346"/>
    </row>
    <row r="3998" spans="1:1">
      <c r="A3998" s="346"/>
    </row>
    <row r="3999" spans="1:1">
      <c r="A3999" s="346"/>
    </row>
    <row r="4000" spans="1:1">
      <c r="A4000" s="346"/>
    </row>
    <row r="4001" spans="1:1">
      <c r="A4001" s="346"/>
    </row>
    <row r="4002" spans="1:1">
      <c r="A4002" s="346"/>
    </row>
    <row r="4003" spans="1:1">
      <c r="A4003" s="346"/>
    </row>
    <row r="4004" spans="1:1">
      <c r="A4004" s="346"/>
    </row>
    <row r="4005" spans="1:1">
      <c r="A4005" s="346"/>
    </row>
    <row r="4006" spans="1:1">
      <c r="A4006" s="346"/>
    </row>
    <row r="4007" spans="1:1">
      <c r="A4007" s="346"/>
    </row>
    <row r="4008" spans="1:1">
      <c r="A4008" s="346"/>
    </row>
    <row r="4009" spans="1:1">
      <c r="A4009" s="346"/>
    </row>
    <row r="4010" spans="1:1">
      <c r="A4010" s="346"/>
    </row>
    <row r="4011" spans="1:1">
      <c r="A4011" s="346"/>
    </row>
    <row r="4012" spans="1:1">
      <c r="A4012" s="346"/>
    </row>
    <row r="4013" spans="1:1">
      <c r="A4013" s="346"/>
    </row>
    <row r="4014" spans="1:1">
      <c r="A4014" s="346"/>
    </row>
    <row r="4015" spans="1:1">
      <c r="A4015" s="346"/>
    </row>
    <row r="4016" spans="1:1">
      <c r="A4016" s="346"/>
    </row>
    <row r="4017" spans="1:1">
      <c r="A4017" s="346"/>
    </row>
    <row r="4018" spans="1:1">
      <c r="A4018" s="346"/>
    </row>
    <row r="4019" spans="1:1">
      <c r="A4019" s="346"/>
    </row>
    <row r="4020" spans="1:1">
      <c r="A4020" s="346"/>
    </row>
    <row r="4021" spans="1:1">
      <c r="A4021" s="346"/>
    </row>
    <row r="4022" spans="1:1">
      <c r="A4022" s="346"/>
    </row>
    <row r="4023" spans="1:1">
      <c r="A4023" s="346"/>
    </row>
    <row r="4024" spans="1:1">
      <c r="A4024" s="346"/>
    </row>
    <row r="4025" spans="1:1">
      <c r="A4025" s="346"/>
    </row>
    <row r="4026" spans="1:1">
      <c r="A4026" s="346"/>
    </row>
    <row r="4027" spans="1:1">
      <c r="A4027" s="346"/>
    </row>
    <row r="4028" spans="1:1">
      <c r="A4028" s="346"/>
    </row>
    <row r="4029" spans="1:1">
      <c r="A4029" s="346"/>
    </row>
    <row r="4030" spans="1:1">
      <c r="A4030" s="346"/>
    </row>
    <row r="4031" spans="1:1">
      <c r="A4031" s="346"/>
    </row>
    <row r="4032" spans="1:1">
      <c r="A4032" s="346"/>
    </row>
    <row r="4033" spans="1:1">
      <c r="A4033" s="346"/>
    </row>
    <row r="4034" spans="1:1">
      <c r="A4034" s="346"/>
    </row>
    <row r="4035" spans="1:1">
      <c r="A4035" s="346"/>
    </row>
    <row r="4036" spans="1:1">
      <c r="A4036" s="346"/>
    </row>
    <row r="4037" spans="1:1">
      <c r="A4037" s="346"/>
    </row>
    <row r="4038" spans="1:1">
      <c r="A4038" s="346"/>
    </row>
    <row r="4039" spans="1:1">
      <c r="A4039" s="346"/>
    </row>
    <row r="4040" spans="1:1">
      <c r="A4040" s="346"/>
    </row>
    <row r="4041" spans="1:1">
      <c r="A4041" s="346"/>
    </row>
    <row r="4042" spans="1:1">
      <c r="A4042" s="346"/>
    </row>
    <row r="4043" spans="1:1">
      <c r="A4043" s="346"/>
    </row>
    <row r="4044" spans="1:1">
      <c r="A4044" s="346"/>
    </row>
    <row r="4045" spans="1:1">
      <c r="A4045" s="346"/>
    </row>
    <row r="4046" spans="1:1">
      <c r="A4046" s="346"/>
    </row>
    <row r="4047" spans="1:1">
      <c r="A4047" s="346"/>
    </row>
    <row r="4048" spans="1:1">
      <c r="A4048" s="346"/>
    </row>
    <row r="4049" spans="1:1">
      <c r="A4049" s="346"/>
    </row>
    <row r="4050" spans="1:1">
      <c r="A4050" s="346"/>
    </row>
    <row r="4051" spans="1:1">
      <c r="A4051" s="346"/>
    </row>
    <row r="4052" spans="1:1">
      <c r="A4052" s="346"/>
    </row>
    <row r="4053" spans="1:1">
      <c r="A4053" s="346"/>
    </row>
    <row r="4054" spans="1:1">
      <c r="A4054" s="346"/>
    </row>
    <row r="4055" spans="1:1">
      <c r="A4055" s="346"/>
    </row>
    <row r="4056" spans="1:1">
      <c r="A4056" s="346"/>
    </row>
    <row r="4057" spans="1:1">
      <c r="A4057" s="346"/>
    </row>
    <row r="4058" spans="1:1">
      <c r="A4058" s="346"/>
    </row>
    <row r="4059" spans="1:1">
      <c r="A4059" s="346"/>
    </row>
    <row r="4060" spans="1:1">
      <c r="A4060" s="346"/>
    </row>
    <row r="4061" spans="1:1">
      <c r="A4061" s="346"/>
    </row>
    <row r="4062" spans="1:1">
      <c r="A4062" s="346"/>
    </row>
    <row r="4063" spans="1:1">
      <c r="A4063" s="346"/>
    </row>
    <row r="4064" spans="1:1">
      <c r="A4064" s="346"/>
    </row>
    <row r="4065" spans="1:1">
      <c r="A4065" s="346"/>
    </row>
    <row r="4066" spans="1:1">
      <c r="A4066" s="346"/>
    </row>
    <row r="4067" spans="1:1">
      <c r="A4067" s="346"/>
    </row>
    <row r="4068" spans="1:1">
      <c r="A4068" s="346"/>
    </row>
    <row r="4069" spans="1:1">
      <c r="A4069" s="346"/>
    </row>
    <row r="4070" spans="1:1">
      <c r="A4070" s="346"/>
    </row>
    <row r="4071" spans="1:1">
      <c r="A4071" s="346"/>
    </row>
    <row r="4072" spans="1:1">
      <c r="A4072" s="346"/>
    </row>
    <row r="4073" spans="1:1">
      <c r="A4073" s="346"/>
    </row>
    <row r="4074" spans="1:1">
      <c r="A4074" s="346"/>
    </row>
    <row r="4075" spans="1:1">
      <c r="A4075" s="346"/>
    </row>
    <row r="4076" spans="1:1">
      <c r="A4076" s="346"/>
    </row>
    <row r="4077" spans="1:1">
      <c r="A4077" s="346"/>
    </row>
    <row r="4078" spans="1:1">
      <c r="A4078" s="346"/>
    </row>
    <row r="4079" spans="1:1">
      <c r="A4079" s="346"/>
    </row>
    <row r="4080" spans="1:1">
      <c r="A4080" s="346"/>
    </row>
    <row r="4081" spans="1:1">
      <c r="A4081" s="346"/>
    </row>
    <row r="4082" spans="1:1">
      <c r="A4082" s="346"/>
    </row>
    <row r="4083" spans="1:1">
      <c r="A4083" s="346"/>
    </row>
    <row r="4084" spans="1:1">
      <c r="A4084" s="346"/>
    </row>
    <row r="4085" spans="1:1">
      <c r="A4085" s="346"/>
    </row>
    <row r="4086" spans="1:1">
      <c r="A4086" s="346"/>
    </row>
    <row r="4087" spans="1:1">
      <c r="A4087" s="346"/>
    </row>
    <row r="4088" spans="1:1">
      <c r="A4088" s="346"/>
    </row>
    <row r="4089" spans="1:1">
      <c r="A4089" s="346"/>
    </row>
    <row r="4090" spans="1:1">
      <c r="A4090" s="346"/>
    </row>
    <row r="4091" spans="1:1">
      <c r="A4091" s="346"/>
    </row>
    <row r="4092" spans="1:1">
      <c r="A4092" s="346"/>
    </row>
    <row r="4093" spans="1:1">
      <c r="A4093" s="346"/>
    </row>
    <row r="4094" spans="1:1">
      <c r="A4094" s="346"/>
    </row>
    <row r="4095" spans="1:1">
      <c r="A4095" s="346"/>
    </row>
    <row r="4096" spans="1:1">
      <c r="A4096" s="346"/>
    </row>
    <row r="4097" spans="1:1">
      <c r="A4097" s="346"/>
    </row>
    <row r="4098" spans="1:1">
      <c r="A4098" s="346"/>
    </row>
    <row r="4099" spans="1:1">
      <c r="A4099" s="346"/>
    </row>
    <row r="4100" spans="1:1">
      <c r="A4100" s="346"/>
    </row>
    <row r="4101" spans="1:1">
      <c r="A4101" s="346"/>
    </row>
    <row r="4102" spans="1:1">
      <c r="A4102" s="346"/>
    </row>
    <row r="4103" spans="1:1">
      <c r="A4103" s="346"/>
    </row>
    <row r="4104" spans="1:1">
      <c r="A4104" s="346"/>
    </row>
    <row r="4105" spans="1:1">
      <c r="A4105" s="346"/>
    </row>
    <row r="4106" spans="1:1">
      <c r="A4106" s="346"/>
    </row>
    <row r="4107" spans="1:1">
      <c r="A4107" s="346"/>
    </row>
    <row r="4108" spans="1:1">
      <c r="A4108" s="346"/>
    </row>
    <row r="4109" spans="1:1">
      <c r="A4109" s="346"/>
    </row>
    <row r="4110" spans="1:1">
      <c r="A4110" s="346"/>
    </row>
    <row r="4111" spans="1:1">
      <c r="A4111" s="346"/>
    </row>
    <row r="4112" spans="1:1">
      <c r="A4112" s="346"/>
    </row>
    <row r="4113" spans="1:1">
      <c r="A4113" s="346"/>
    </row>
    <row r="4114" spans="1:1">
      <c r="A4114" s="346"/>
    </row>
    <row r="4115" spans="1:1">
      <c r="A4115" s="346"/>
    </row>
    <row r="4116" spans="1:1">
      <c r="A4116" s="346"/>
    </row>
    <row r="4117" spans="1:1">
      <c r="A4117" s="346"/>
    </row>
    <row r="4118" spans="1:1">
      <c r="A4118" s="346"/>
    </row>
    <row r="4119" spans="1:1">
      <c r="A4119" s="346"/>
    </row>
    <row r="4120" spans="1:1">
      <c r="A4120" s="346"/>
    </row>
    <row r="4121" spans="1:1">
      <c r="A4121" s="346"/>
    </row>
    <row r="4122" spans="1:1">
      <c r="A4122" s="346"/>
    </row>
    <row r="4123" spans="1:1">
      <c r="A4123" s="346"/>
    </row>
    <row r="4124" spans="1:1">
      <c r="A4124" s="346"/>
    </row>
    <row r="4125" spans="1:1">
      <c r="A4125" s="346"/>
    </row>
    <row r="4126" spans="1:1">
      <c r="A4126" s="346"/>
    </row>
    <row r="4127" spans="1:1">
      <c r="A4127" s="346"/>
    </row>
    <row r="4128" spans="1:1">
      <c r="A4128" s="346"/>
    </row>
    <row r="4129" spans="1:1">
      <c r="A4129" s="346"/>
    </row>
    <row r="4130" spans="1:1">
      <c r="A4130" s="346"/>
    </row>
    <row r="4131" spans="1:1">
      <c r="A4131" s="346"/>
    </row>
    <row r="4132" spans="1:1">
      <c r="A4132" s="346"/>
    </row>
    <row r="4133" spans="1:1">
      <c r="A4133" s="346"/>
    </row>
    <row r="4134" spans="1:1">
      <c r="A4134" s="346"/>
    </row>
    <row r="4135" spans="1:1">
      <c r="A4135" s="346"/>
    </row>
    <row r="4136" spans="1:1">
      <c r="A4136" s="346"/>
    </row>
    <row r="4137" spans="1:1">
      <c r="A4137" s="346"/>
    </row>
    <row r="4138" spans="1:1">
      <c r="A4138" s="346"/>
    </row>
    <row r="4139" spans="1:1">
      <c r="A4139" s="346"/>
    </row>
    <row r="4140" spans="1:1">
      <c r="A4140" s="346"/>
    </row>
    <row r="4141" spans="1:1">
      <c r="A4141" s="346"/>
    </row>
    <row r="4142" spans="1:1">
      <c r="A4142" s="346"/>
    </row>
    <row r="4143" spans="1:1">
      <c r="A4143" s="346"/>
    </row>
    <row r="4144" spans="1:1">
      <c r="A4144" s="346"/>
    </row>
    <row r="4145" spans="1:1">
      <c r="A4145" s="346"/>
    </row>
    <row r="4146" spans="1:1">
      <c r="A4146" s="346"/>
    </row>
    <row r="4147" spans="1:1">
      <c r="A4147" s="346"/>
    </row>
    <row r="4148" spans="1:1">
      <c r="A4148" s="346"/>
    </row>
    <row r="4149" spans="1:1">
      <c r="A4149" s="346"/>
    </row>
    <row r="4150" spans="1:1">
      <c r="A4150" s="346"/>
    </row>
    <row r="4151" spans="1:1">
      <c r="A4151" s="346"/>
    </row>
    <row r="4152" spans="1:1">
      <c r="A4152" s="346"/>
    </row>
    <row r="4153" spans="1:1">
      <c r="A4153" s="346"/>
    </row>
    <row r="4154" spans="1:1">
      <c r="A4154" s="346"/>
    </row>
    <row r="4155" spans="1:1">
      <c r="A4155" s="346"/>
    </row>
    <row r="4156" spans="1:1">
      <c r="A4156" s="346"/>
    </row>
    <row r="4157" spans="1:1">
      <c r="A4157" s="346"/>
    </row>
    <row r="4158" spans="1:1">
      <c r="A4158" s="346"/>
    </row>
    <row r="4159" spans="1:1">
      <c r="A4159" s="346"/>
    </row>
    <row r="4160" spans="1:1">
      <c r="A4160" s="346"/>
    </row>
    <row r="4161" spans="1:1">
      <c r="A4161" s="346"/>
    </row>
    <row r="4162" spans="1:1">
      <c r="A4162" s="346"/>
    </row>
    <row r="4163" spans="1:1">
      <c r="A4163" s="346"/>
    </row>
    <row r="4164" spans="1:1">
      <c r="A4164" s="346"/>
    </row>
    <row r="4165" spans="1:1">
      <c r="A4165" s="346"/>
    </row>
    <row r="4166" spans="1:1">
      <c r="A4166" s="346"/>
    </row>
    <row r="4167" spans="1:1">
      <c r="A4167" s="346"/>
    </row>
    <row r="4168" spans="1:1">
      <c r="A4168" s="346"/>
    </row>
    <row r="4169" spans="1:1">
      <c r="A4169" s="346"/>
    </row>
    <row r="4170" spans="1:1">
      <c r="A4170" s="346"/>
    </row>
    <row r="4171" spans="1:1">
      <c r="A4171" s="346"/>
    </row>
    <row r="4172" spans="1:1">
      <c r="A4172" s="346"/>
    </row>
    <row r="4173" spans="1:1">
      <c r="A4173" s="346"/>
    </row>
    <row r="4174" spans="1:1">
      <c r="A4174" s="346"/>
    </row>
    <row r="4175" spans="1:1">
      <c r="A4175" s="346"/>
    </row>
    <row r="4176" spans="1:1">
      <c r="A4176" s="346"/>
    </row>
    <row r="4177" spans="1:1">
      <c r="A4177" s="346"/>
    </row>
    <row r="4178" spans="1:1">
      <c r="A4178" s="346"/>
    </row>
    <row r="4179" spans="1:1">
      <c r="A4179" s="346"/>
    </row>
    <row r="4180" spans="1:1">
      <c r="A4180" s="346"/>
    </row>
    <row r="4181" spans="1:1">
      <c r="A4181" s="346"/>
    </row>
    <row r="4182" spans="1:1">
      <c r="A4182" s="346"/>
    </row>
    <row r="4183" spans="1:1">
      <c r="A4183" s="346"/>
    </row>
    <row r="4184" spans="1:1">
      <c r="A4184" s="346"/>
    </row>
    <row r="4185" spans="1:1">
      <c r="A4185" s="346"/>
    </row>
    <row r="4186" spans="1:1">
      <c r="A4186" s="346"/>
    </row>
    <row r="4187" spans="1:1">
      <c r="A4187" s="346"/>
    </row>
    <row r="4188" spans="1:1">
      <c r="A4188" s="346"/>
    </row>
    <row r="4189" spans="1:1">
      <c r="A4189" s="346"/>
    </row>
    <row r="4190" spans="1:1">
      <c r="A4190" s="346"/>
    </row>
    <row r="4191" spans="1:1">
      <c r="A4191" s="346"/>
    </row>
    <row r="4192" spans="1:1">
      <c r="A4192" s="346"/>
    </row>
    <row r="4193" spans="1:1">
      <c r="A4193" s="346"/>
    </row>
    <row r="4194" spans="1:1">
      <c r="A4194" s="346"/>
    </row>
    <row r="4195" spans="1:1">
      <c r="A4195" s="346"/>
    </row>
    <row r="4196" spans="1:1">
      <c r="A4196" s="346"/>
    </row>
    <row r="4197" spans="1:1">
      <c r="A4197" s="346"/>
    </row>
    <row r="4198" spans="1:1">
      <c r="A4198" s="346"/>
    </row>
    <row r="4199" spans="1:1">
      <c r="A4199" s="346"/>
    </row>
    <row r="4200" spans="1:1">
      <c r="A4200" s="346"/>
    </row>
    <row r="4201" spans="1:1">
      <c r="A4201" s="346"/>
    </row>
    <row r="4202" spans="1:1">
      <c r="A4202" s="346"/>
    </row>
    <row r="4203" spans="1:1">
      <c r="A4203" s="346"/>
    </row>
    <row r="4204" spans="1:1">
      <c r="A4204" s="346"/>
    </row>
    <row r="4205" spans="1:1">
      <c r="A4205" s="346"/>
    </row>
    <row r="4206" spans="1:1">
      <c r="A4206" s="346"/>
    </row>
    <row r="4207" spans="1:1">
      <c r="A4207" s="346"/>
    </row>
    <row r="4208" spans="1:1">
      <c r="A4208" s="346"/>
    </row>
    <row r="4209" spans="1:1">
      <c r="A4209" s="346"/>
    </row>
    <row r="4210" spans="1:1">
      <c r="A4210" s="346"/>
    </row>
    <row r="4211" spans="1:1">
      <c r="A4211" s="346"/>
    </row>
    <row r="4212" spans="1:1">
      <c r="A4212" s="346"/>
    </row>
    <row r="4213" spans="1:1">
      <c r="A4213" s="346"/>
    </row>
    <row r="4214" spans="1:1">
      <c r="A4214" s="346"/>
    </row>
    <row r="4215" spans="1:1">
      <c r="A4215" s="346"/>
    </row>
    <row r="4216" spans="1:1">
      <c r="A4216" s="346"/>
    </row>
    <row r="4217" spans="1:1">
      <c r="A4217" s="346"/>
    </row>
    <row r="4218" spans="1:1">
      <c r="A4218" s="346"/>
    </row>
    <row r="4219" spans="1:1">
      <c r="A4219" s="346"/>
    </row>
    <row r="4220" spans="1:1">
      <c r="A4220" s="346"/>
    </row>
    <row r="4221" spans="1:1">
      <c r="A4221" s="346"/>
    </row>
    <row r="4222" spans="1:1">
      <c r="A4222" s="346"/>
    </row>
    <row r="4223" spans="1:1">
      <c r="A4223" s="346"/>
    </row>
    <row r="4224" spans="1:1">
      <c r="A4224" s="346"/>
    </row>
    <row r="4225" spans="1:1">
      <c r="A4225" s="346"/>
    </row>
    <row r="4226" spans="1:1">
      <c r="A4226" s="346"/>
    </row>
    <row r="4227" spans="1:1">
      <c r="A4227" s="346"/>
    </row>
    <row r="4228" spans="1:1">
      <c r="A4228" s="346"/>
    </row>
    <row r="4229" spans="1:1">
      <c r="A4229" s="346"/>
    </row>
    <row r="4230" spans="1:1">
      <c r="A4230" s="346"/>
    </row>
    <row r="4231" spans="1:1">
      <c r="A4231" s="346"/>
    </row>
    <row r="4232" spans="1:1">
      <c r="A4232" s="346"/>
    </row>
    <row r="4233" spans="1:1">
      <c r="A4233" s="346"/>
    </row>
    <row r="4234" spans="1:1">
      <c r="A4234" s="346"/>
    </row>
    <row r="4235" spans="1:1">
      <c r="A4235" s="346"/>
    </row>
    <row r="4236" spans="1:1">
      <c r="A4236" s="346"/>
    </row>
    <row r="4237" spans="1:1">
      <c r="A4237" s="346"/>
    </row>
    <row r="4238" spans="1:1">
      <c r="A4238" s="346"/>
    </row>
    <row r="4239" spans="1:1">
      <c r="A4239" s="346"/>
    </row>
    <row r="4240" spans="1:1">
      <c r="A4240" s="346"/>
    </row>
    <row r="4241" spans="1:1">
      <c r="A4241" s="346"/>
    </row>
    <row r="4242" spans="1:1">
      <c r="A4242" s="346"/>
    </row>
    <row r="4243" spans="1:1">
      <c r="A4243" s="346"/>
    </row>
    <row r="4244" spans="1:1">
      <c r="A4244" s="346"/>
    </row>
    <row r="4245" spans="1:1">
      <c r="A4245" s="346"/>
    </row>
    <row r="4246" spans="1:1">
      <c r="A4246" s="346"/>
    </row>
    <row r="4247" spans="1:1">
      <c r="A4247" s="346"/>
    </row>
    <row r="4248" spans="1:1">
      <c r="A4248" s="346"/>
    </row>
    <row r="4249" spans="1:1">
      <c r="A4249" s="346"/>
    </row>
    <row r="4250" spans="1:1">
      <c r="A4250" s="346"/>
    </row>
    <row r="4251" spans="1:1">
      <c r="A4251" s="346"/>
    </row>
    <row r="4252" spans="1:1">
      <c r="A4252" s="346"/>
    </row>
    <row r="4253" spans="1:1">
      <c r="A4253" s="346"/>
    </row>
    <row r="4254" spans="1:1">
      <c r="A4254" s="346"/>
    </row>
    <row r="4255" spans="1:1">
      <c r="A4255" s="346"/>
    </row>
    <row r="4256" spans="1:1">
      <c r="A4256" s="346"/>
    </row>
    <row r="4257" spans="1:1">
      <c r="A4257" s="346"/>
    </row>
    <row r="4258" spans="1:1">
      <c r="A4258" s="346"/>
    </row>
    <row r="4259" spans="1:1">
      <c r="A4259" s="346"/>
    </row>
    <row r="4260" spans="1:1">
      <c r="A4260" s="346"/>
    </row>
    <row r="4261" spans="1:1">
      <c r="A4261" s="346"/>
    </row>
    <row r="4262" spans="1:1">
      <c r="A4262" s="346"/>
    </row>
    <row r="4263" spans="1:1">
      <c r="A4263" s="346"/>
    </row>
    <row r="4264" spans="1:1">
      <c r="A4264" s="346"/>
    </row>
    <row r="4265" spans="1:1">
      <c r="A4265" s="346"/>
    </row>
    <row r="4266" spans="1:1">
      <c r="A4266" s="346"/>
    </row>
    <row r="4267" spans="1:1">
      <c r="A4267" s="346"/>
    </row>
    <row r="4268" spans="1:1">
      <c r="A4268" s="346"/>
    </row>
    <row r="4269" spans="1:1">
      <c r="A4269" s="346"/>
    </row>
    <row r="4270" spans="1:1">
      <c r="A4270" s="346"/>
    </row>
    <row r="4271" spans="1:1">
      <c r="A4271" s="346"/>
    </row>
    <row r="4272" spans="1:1">
      <c r="A4272" s="346"/>
    </row>
    <row r="4273" spans="1:1">
      <c r="A4273" s="346"/>
    </row>
    <row r="4274" spans="1:1">
      <c r="A4274" s="346"/>
    </row>
    <row r="4275" spans="1:1">
      <c r="A4275" s="346"/>
    </row>
    <row r="4276" spans="1:1">
      <c r="A4276" s="346"/>
    </row>
    <row r="4277" spans="1:1">
      <c r="A4277" s="346"/>
    </row>
    <row r="4278" spans="1:1">
      <c r="A4278" s="346"/>
    </row>
    <row r="4279" spans="1:1">
      <c r="A4279" s="346"/>
    </row>
    <row r="4280" spans="1:1">
      <c r="A4280" s="346"/>
    </row>
    <row r="4281" spans="1:1">
      <c r="A4281" s="346"/>
    </row>
    <row r="4282" spans="1:1">
      <c r="A4282" s="346"/>
    </row>
    <row r="4283" spans="1:1">
      <c r="A4283" s="346"/>
    </row>
    <row r="4284" spans="1:1">
      <c r="A4284" s="346"/>
    </row>
    <row r="4285" spans="1:1">
      <c r="A4285" s="346"/>
    </row>
    <row r="4286" spans="1:1">
      <c r="A4286" s="346"/>
    </row>
    <row r="4287" spans="1:1">
      <c r="A4287" s="346"/>
    </row>
    <row r="4288" spans="1:1">
      <c r="A4288" s="346"/>
    </row>
    <row r="4289" spans="1:1">
      <c r="A4289" s="346"/>
    </row>
    <row r="4290" spans="1:1">
      <c r="A4290" s="346"/>
    </row>
    <row r="4291" spans="1:1">
      <c r="A4291" s="346"/>
    </row>
    <row r="4292" spans="1:1">
      <c r="A4292" s="346"/>
    </row>
    <row r="4293" spans="1:1">
      <c r="A4293" s="346"/>
    </row>
    <row r="4294" spans="1:1">
      <c r="A4294" s="346"/>
    </row>
    <row r="4295" spans="1:1">
      <c r="A4295" s="346"/>
    </row>
    <row r="4296" spans="1:1">
      <c r="A4296" s="346"/>
    </row>
    <row r="4297" spans="1:1">
      <c r="A4297" s="346"/>
    </row>
    <row r="4298" spans="1:1">
      <c r="A4298" s="346"/>
    </row>
    <row r="4299" spans="1:1">
      <c r="A4299" s="346"/>
    </row>
    <row r="4300" spans="1:1">
      <c r="A4300" s="346"/>
    </row>
    <row r="4301" spans="1:1">
      <c r="A4301" s="346"/>
    </row>
    <row r="4302" spans="1:1">
      <c r="A4302" s="346"/>
    </row>
    <row r="4303" spans="1:1">
      <c r="A4303" s="346"/>
    </row>
    <row r="4304" spans="1:1">
      <c r="A4304" s="346"/>
    </row>
    <row r="4305" spans="1:1">
      <c r="A4305" s="346"/>
    </row>
    <row r="4306" spans="1:1">
      <c r="A4306" s="346"/>
    </row>
    <row r="4307" spans="1:1">
      <c r="A4307" s="346"/>
    </row>
    <row r="4308" spans="1:1">
      <c r="A4308" s="346"/>
    </row>
    <row r="4309" spans="1:1">
      <c r="A4309" s="346"/>
    </row>
    <row r="4310" spans="1:1">
      <c r="A4310" s="346"/>
    </row>
    <row r="4311" spans="1:1">
      <c r="A4311" s="346"/>
    </row>
    <row r="4312" spans="1:1">
      <c r="A4312" s="346"/>
    </row>
    <row r="4313" spans="1:1">
      <c r="A4313" s="346"/>
    </row>
    <row r="4314" spans="1:1">
      <c r="A4314" s="346"/>
    </row>
    <row r="4315" spans="1:1">
      <c r="A4315" s="346"/>
    </row>
    <row r="4316" spans="1:1">
      <c r="A4316" s="346"/>
    </row>
    <row r="4317" spans="1:1">
      <c r="A4317" s="346"/>
    </row>
    <row r="4318" spans="1:1">
      <c r="A4318" s="346"/>
    </row>
    <row r="4319" spans="1:1">
      <c r="A4319" s="346"/>
    </row>
    <row r="4320" spans="1:1">
      <c r="A4320" s="346"/>
    </row>
    <row r="4321" spans="1:1">
      <c r="A4321" s="346"/>
    </row>
    <row r="4322" spans="1:1">
      <c r="A4322" s="346"/>
    </row>
    <row r="4323" spans="1:1">
      <c r="A4323" s="346"/>
    </row>
    <row r="4324" spans="1:1">
      <c r="A4324" s="346"/>
    </row>
    <row r="4325" spans="1:1">
      <c r="A4325" s="346"/>
    </row>
    <row r="4326" spans="1:1">
      <c r="A4326" s="346"/>
    </row>
    <row r="4327" spans="1:1">
      <c r="A4327" s="346"/>
    </row>
    <row r="4328" spans="1:1">
      <c r="A4328" s="346"/>
    </row>
    <row r="4329" spans="1:1">
      <c r="A4329" s="346"/>
    </row>
    <row r="4330" spans="1:1">
      <c r="A4330" s="346"/>
    </row>
    <row r="4331" spans="1:1">
      <c r="A4331" s="346"/>
    </row>
    <row r="4332" spans="1:1">
      <c r="A4332" s="346"/>
    </row>
    <row r="4333" spans="1:1">
      <c r="A4333" s="346"/>
    </row>
    <row r="4334" spans="1:1">
      <c r="A4334" s="346"/>
    </row>
    <row r="4335" spans="1:1">
      <c r="A4335" s="346"/>
    </row>
    <row r="4336" spans="1:1">
      <c r="A4336" s="346"/>
    </row>
    <row r="4337" spans="1:1">
      <c r="A4337" s="346"/>
    </row>
    <row r="4338" spans="1:1">
      <c r="A4338" s="346"/>
    </row>
    <row r="4339" spans="1:1">
      <c r="A4339" s="346"/>
    </row>
    <row r="4340" spans="1:1">
      <c r="A4340" s="346"/>
    </row>
    <row r="4341" spans="1:1">
      <c r="A4341" s="346"/>
    </row>
    <row r="4342" spans="1:1">
      <c r="A4342" s="346"/>
    </row>
    <row r="4343" spans="1:1">
      <c r="A4343" s="346"/>
    </row>
    <row r="4344" spans="1:1">
      <c r="A4344" s="346"/>
    </row>
    <row r="4345" spans="1:1">
      <c r="A4345" s="346"/>
    </row>
    <row r="4346" spans="1:1">
      <c r="A4346" s="346"/>
    </row>
    <row r="4347" spans="1:1">
      <c r="A4347" s="346"/>
    </row>
    <row r="4348" spans="1:1">
      <c r="A4348" s="346"/>
    </row>
    <row r="4349" spans="1:1">
      <c r="A4349" s="346"/>
    </row>
    <row r="4350" spans="1:1">
      <c r="A4350" s="346"/>
    </row>
    <row r="4351" spans="1:1">
      <c r="A4351" s="346"/>
    </row>
    <row r="4352" spans="1:1">
      <c r="A4352" s="346"/>
    </row>
    <row r="4353" spans="1:1">
      <c r="A4353" s="346"/>
    </row>
    <row r="4354" spans="1:1">
      <c r="A4354" s="346"/>
    </row>
    <row r="4355" spans="1:1">
      <c r="A4355" s="346"/>
    </row>
    <row r="4356" spans="1:1">
      <c r="A4356" s="346"/>
    </row>
    <row r="4357" spans="1:1">
      <c r="A4357" s="346"/>
    </row>
    <row r="4358" spans="1:1">
      <c r="A4358" s="346"/>
    </row>
    <row r="4359" spans="1:1">
      <c r="A4359" s="346"/>
    </row>
    <row r="4360" spans="1:1">
      <c r="A4360" s="346"/>
    </row>
    <row r="4361" spans="1:1">
      <c r="A4361" s="346"/>
    </row>
    <row r="4362" spans="1:1">
      <c r="A4362" s="346"/>
    </row>
    <row r="4363" spans="1:1">
      <c r="A4363" s="346"/>
    </row>
    <row r="4364" spans="1:1">
      <c r="A4364" s="346"/>
    </row>
    <row r="4365" spans="1:1">
      <c r="A4365" s="346"/>
    </row>
    <row r="4366" spans="1:1">
      <c r="A4366" s="346"/>
    </row>
    <row r="4367" spans="1:1">
      <c r="A4367" s="346"/>
    </row>
    <row r="4368" spans="1:1">
      <c r="A4368" s="346"/>
    </row>
    <row r="4369" spans="1:1">
      <c r="A4369" s="346"/>
    </row>
    <row r="4370" spans="1:1">
      <c r="A4370" s="346"/>
    </row>
    <row r="4371" spans="1:1">
      <c r="A4371" s="346"/>
    </row>
    <row r="4372" spans="1:1">
      <c r="A4372" s="346"/>
    </row>
    <row r="4373" spans="1:1">
      <c r="A4373" s="346"/>
    </row>
    <row r="4374" spans="1:1">
      <c r="A4374" s="346"/>
    </row>
    <row r="4375" spans="1:1">
      <c r="A4375" s="346"/>
    </row>
    <row r="4376" spans="1:1">
      <c r="A4376" s="346"/>
    </row>
    <row r="4377" spans="1:1">
      <c r="A4377" s="346"/>
    </row>
    <row r="4378" spans="1:1">
      <c r="A4378" s="346"/>
    </row>
    <row r="4379" spans="1:1">
      <c r="A4379" s="346"/>
    </row>
    <row r="4380" spans="1:1">
      <c r="A4380" s="346"/>
    </row>
    <row r="4381" spans="1:1">
      <c r="A4381" s="346"/>
    </row>
    <row r="4382" spans="1:1">
      <c r="A4382" s="346"/>
    </row>
    <row r="4383" spans="1:1">
      <c r="A4383" s="346"/>
    </row>
    <row r="4384" spans="1:1">
      <c r="A4384" s="346"/>
    </row>
    <row r="4385" spans="1:1">
      <c r="A4385" s="346"/>
    </row>
    <row r="4386" spans="1:1">
      <c r="A4386" s="346"/>
    </row>
    <row r="4387" spans="1:1">
      <c r="A4387" s="346"/>
    </row>
    <row r="4388" spans="1:1">
      <c r="A4388" s="346"/>
    </row>
    <row r="4389" spans="1:1">
      <c r="A4389" s="346"/>
    </row>
    <row r="4390" spans="1:1">
      <c r="A4390" s="346"/>
    </row>
    <row r="4391" spans="1:1">
      <c r="A4391" s="346"/>
    </row>
    <row r="4392" spans="1:1">
      <c r="A4392" s="346"/>
    </row>
    <row r="4393" spans="1:1">
      <c r="A4393" s="346"/>
    </row>
    <row r="4394" spans="1:1">
      <c r="A4394" s="346"/>
    </row>
    <row r="4395" spans="1:1">
      <c r="A4395" s="346"/>
    </row>
    <row r="4396" spans="1:1">
      <c r="A4396" s="346"/>
    </row>
    <row r="4397" spans="1:1">
      <c r="A4397" s="346"/>
    </row>
    <row r="4398" spans="1:1">
      <c r="A4398" s="346"/>
    </row>
    <row r="4399" spans="1:1">
      <c r="A4399" s="346"/>
    </row>
    <row r="4400" spans="1:1">
      <c r="A4400" s="346"/>
    </row>
    <row r="4401" spans="1:1">
      <c r="A4401" s="346"/>
    </row>
    <row r="4402" spans="1:1">
      <c r="A4402" s="346"/>
    </row>
    <row r="4403" spans="1:1">
      <c r="A4403" s="346"/>
    </row>
    <row r="4404" spans="1:1">
      <c r="A4404" s="346"/>
    </row>
    <row r="4405" spans="1:1">
      <c r="A4405" s="346"/>
    </row>
    <row r="4406" spans="1:1">
      <c r="A4406" s="346"/>
    </row>
    <row r="4407" spans="1:1">
      <c r="A4407" s="346"/>
    </row>
    <row r="4408" spans="1:1">
      <c r="A4408" s="346"/>
    </row>
    <row r="4409" spans="1:1">
      <c r="A4409" s="346"/>
    </row>
    <row r="4410" spans="1:1">
      <c r="A4410" s="346"/>
    </row>
    <row r="4411" spans="1:1">
      <c r="A4411" s="346"/>
    </row>
    <row r="4412" spans="1:1">
      <c r="A4412" s="346"/>
    </row>
    <row r="4413" spans="1:1">
      <c r="A4413" s="346"/>
    </row>
    <row r="4414" spans="1:1">
      <c r="A4414" s="346"/>
    </row>
    <row r="4415" spans="1:1">
      <c r="A4415" s="346"/>
    </row>
    <row r="4416" spans="1:1">
      <c r="A4416" s="346"/>
    </row>
    <row r="4417" spans="1:1">
      <c r="A4417" s="346"/>
    </row>
    <row r="4418" spans="1:1">
      <c r="A4418" s="346"/>
    </row>
    <row r="4419" spans="1:1">
      <c r="A4419" s="346"/>
    </row>
    <row r="4420" spans="1:1">
      <c r="A4420" s="346"/>
    </row>
    <row r="4421" spans="1:1">
      <c r="A4421" s="346"/>
    </row>
    <row r="4422" spans="1:1">
      <c r="A4422" s="346"/>
    </row>
    <row r="4423" spans="1:1">
      <c r="A4423" s="346"/>
    </row>
    <row r="4424" spans="1:1">
      <c r="A4424" s="346"/>
    </row>
    <row r="4425" spans="1:1">
      <c r="A4425" s="346"/>
    </row>
    <row r="4426" spans="1:1">
      <c r="A4426" s="346"/>
    </row>
    <row r="4427" spans="1:1">
      <c r="A4427" s="346"/>
    </row>
    <row r="4428" spans="1:1">
      <c r="A4428" s="346"/>
    </row>
    <row r="4429" spans="1:1">
      <c r="A4429" s="346"/>
    </row>
    <row r="4430" spans="1:1">
      <c r="A4430" s="346"/>
    </row>
    <row r="4431" spans="1:1">
      <c r="A4431" s="346"/>
    </row>
    <row r="4432" spans="1:1">
      <c r="A4432" s="346"/>
    </row>
    <row r="4433" spans="1:1">
      <c r="A4433" s="346"/>
    </row>
    <row r="4434" spans="1:1">
      <c r="A4434" s="346"/>
    </row>
    <row r="4435" spans="1:1">
      <c r="A4435" s="346"/>
    </row>
    <row r="4436" spans="1:1">
      <c r="A4436" s="346"/>
    </row>
    <row r="4437" spans="1:1">
      <c r="A4437" s="346"/>
    </row>
    <row r="4438" spans="1:1">
      <c r="A4438" s="346"/>
    </row>
    <row r="4439" spans="1:1">
      <c r="A4439" s="346"/>
    </row>
    <row r="4440" spans="1:1">
      <c r="A4440" s="346"/>
    </row>
    <row r="4441" spans="1:1">
      <c r="A4441" s="346"/>
    </row>
    <row r="4442" spans="1:1">
      <c r="A4442" s="346"/>
    </row>
    <row r="4443" spans="1:1">
      <c r="A4443" s="346"/>
    </row>
    <row r="4444" spans="1:1">
      <c r="A4444" s="346"/>
    </row>
    <row r="4445" spans="1:1">
      <c r="A4445" s="346"/>
    </row>
    <row r="4446" spans="1:1">
      <c r="A4446" s="346"/>
    </row>
    <row r="4447" spans="1:1">
      <c r="A4447" s="346"/>
    </row>
    <row r="4448" spans="1:1">
      <c r="A4448" s="346"/>
    </row>
    <row r="4449" spans="1:1">
      <c r="A4449" s="346"/>
    </row>
    <row r="4450" spans="1:1">
      <c r="A4450" s="346"/>
    </row>
    <row r="4451" spans="1:1">
      <c r="A4451" s="346"/>
    </row>
    <row r="4452" spans="1:1">
      <c r="A4452" s="346"/>
    </row>
    <row r="4453" spans="1:1">
      <c r="A4453" s="346"/>
    </row>
    <row r="4454" spans="1:1">
      <c r="A4454" s="346"/>
    </row>
    <row r="4455" spans="1:1">
      <c r="A4455" s="346"/>
    </row>
    <row r="4456" spans="1:1">
      <c r="A4456" s="346"/>
    </row>
    <row r="4457" spans="1:1">
      <c r="A4457" s="346"/>
    </row>
    <row r="4458" spans="1:1">
      <c r="A4458" s="346"/>
    </row>
    <row r="4459" spans="1:1">
      <c r="A4459" s="346"/>
    </row>
    <row r="4460" spans="1:1">
      <c r="A4460" s="346"/>
    </row>
    <row r="4461" spans="1:1">
      <c r="A4461" s="346"/>
    </row>
    <row r="4462" spans="1:1">
      <c r="A4462" s="346"/>
    </row>
    <row r="4463" spans="1:1">
      <c r="A4463" s="346"/>
    </row>
    <row r="4464" spans="1:1">
      <c r="A4464" s="346"/>
    </row>
    <row r="4465" spans="1:1">
      <c r="A4465" s="346"/>
    </row>
    <row r="4466" spans="1:1">
      <c r="A4466" s="346"/>
    </row>
    <row r="4467" spans="1:1">
      <c r="A4467" s="346"/>
    </row>
    <row r="4468" spans="1:1">
      <c r="A4468" s="346"/>
    </row>
    <row r="4469" spans="1:1">
      <c r="A4469" s="346"/>
    </row>
    <row r="4470" spans="1:1">
      <c r="A4470" s="346"/>
    </row>
    <row r="4471" spans="1:1">
      <c r="A4471" s="346"/>
    </row>
    <row r="4472" spans="1:1">
      <c r="A4472" s="346"/>
    </row>
    <row r="4473" spans="1:1">
      <c r="A4473" s="346"/>
    </row>
    <row r="4474" spans="1:1">
      <c r="A4474" s="346"/>
    </row>
    <row r="4475" spans="1:1">
      <c r="A4475" s="346"/>
    </row>
    <row r="4476" spans="1:1">
      <c r="A4476" s="346"/>
    </row>
    <row r="4477" spans="1:1">
      <c r="A4477" s="346"/>
    </row>
    <row r="4478" spans="1:1">
      <c r="A4478" s="346"/>
    </row>
    <row r="4479" spans="1:1">
      <c r="A4479" s="346"/>
    </row>
    <row r="4480" spans="1:1">
      <c r="A4480" s="346"/>
    </row>
    <row r="4481" spans="1:1">
      <c r="A4481" s="346"/>
    </row>
    <row r="4482" spans="1:1">
      <c r="A4482" s="346"/>
    </row>
    <row r="4483" spans="1:1">
      <c r="A4483" s="346"/>
    </row>
    <row r="4484" spans="1:1">
      <c r="A4484" s="346"/>
    </row>
    <row r="4485" spans="1:1">
      <c r="A4485" s="346"/>
    </row>
    <row r="4486" spans="1:1">
      <c r="A4486" s="346"/>
    </row>
    <row r="4487" spans="1:1">
      <c r="A4487" s="346"/>
    </row>
    <row r="4488" spans="1:1">
      <c r="A4488" s="346"/>
    </row>
    <row r="4489" spans="1:1">
      <c r="A4489" s="346"/>
    </row>
    <row r="4490" spans="1:1">
      <c r="A4490" s="346"/>
    </row>
    <row r="4491" spans="1:1">
      <c r="A4491" s="346"/>
    </row>
    <row r="4492" spans="1:1">
      <c r="A4492" s="346"/>
    </row>
    <row r="4493" spans="1:1">
      <c r="A4493" s="346"/>
    </row>
    <row r="4494" spans="1:1">
      <c r="A4494" s="346"/>
    </row>
    <row r="4495" spans="1:1">
      <c r="A4495" s="346"/>
    </row>
    <row r="4496" spans="1:1">
      <c r="A4496" s="346"/>
    </row>
    <row r="4497" spans="1:1">
      <c r="A4497" s="346"/>
    </row>
    <row r="4498" spans="1:1">
      <c r="A4498" s="346"/>
    </row>
    <row r="4499" spans="1:1">
      <c r="A4499" s="346"/>
    </row>
    <row r="4500" spans="1:1">
      <c r="A4500" s="346"/>
    </row>
    <row r="4501" spans="1:1">
      <c r="A4501" s="346"/>
    </row>
    <row r="4502" spans="1:1">
      <c r="A4502" s="346"/>
    </row>
    <row r="4503" spans="1:1">
      <c r="A4503" s="346"/>
    </row>
    <row r="4504" spans="1:1">
      <c r="A4504" s="346"/>
    </row>
    <row r="4505" spans="1:1">
      <c r="A4505" s="346"/>
    </row>
    <row r="4506" spans="1:1">
      <c r="A4506" s="346"/>
    </row>
    <row r="4507" spans="1:1">
      <c r="A4507" s="346"/>
    </row>
    <row r="4508" spans="1:1">
      <c r="A4508" s="346"/>
    </row>
    <row r="4509" spans="1:1">
      <c r="A4509" s="346"/>
    </row>
    <row r="4510" spans="1:1">
      <c r="A4510" s="346"/>
    </row>
    <row r="4511" spans="1:1">
      <c r="A4511" s="346"/>
    </row>
    <row r="4512" spans="1:1">
      <c r="A4512" s="346"/>
    </row>
    <row r="4513" spans="1:1">
      <c r="A4513" s="346"/>
    </row>
    <row r="4514" spans="1:1">
      <c r="A4514" s="346"/>
    </row>
    <row r="4515" spans="1:1">
      <c r="A4515" s="346"/>
    </row>
    <row r="4516" spans="1:1">
      <c r="A4516" s="346"/>
    </row>
    <row r="4517" spans="1:1">
      <c r="A4517" s="346"/>
    </row>
    <row r="4518" spans="1:1">
      <c r="A4518" s="346"/>
    </row>
    <row r="4519" spans="1:1">
      <c r="A4519" s="346"/>
    </row>
    <row r="4520" spans="1:1">
      <c r="A4520" s="346"/>
    </row>
    <row r="4521" spans="1:1">
      <c r="A4521" s="346"/>
    </row>
    <row r="4522" spans="1:1">
      <c r="A4522" s="346"/>
    </row>
    <row r="4523" spans="1:1">
      <c r="A4523" s="346"/>
    </row>
    <row r="4524" spans="1:1">
      <c r="A4524" s="346"/>
    </row>
    <row r="4525" spans="1:1">
      <c r="A4525" s="346"/>
    </row>
    <row r="4526" spans="1:1">
      <c r="A4526" s="346"/>
    </row>
    <row r="4527" spans="1:1">
      <c r="A4527" s="346"/>
    </row>
    <row r="4528" spans="1:1">
      <c r="A4528" s="346"/>
    </row>
    <row r="4529" spans="1:1">
      <c r="A4529" s="346"/>
    </row>
    <row r="4530" spans="1:1">
      <c r="A4530" s="346"/>
    </row>
    <row r="4531" spans="1:1">
      <c r="A4531" s="346"/>
    </row>
    <row r="4532" spans="1:1">
      <c r="A4532" s="346"/>
    </row>
    <row r="4533" spans="1:1">
      <c r="A4533" s="346"/>
    </row>
    <row r="4534" spans="1:1">
      <c r="A4534" s="346"/>
    </row>
    <row r="4535" spans="1:1">
      <c r="A4535" s="346"/>
    </row>
    <row r="4536" spans="1:1">
      <c r="A4536" s="346"/>
    </row>
    <row r="4537" spans="1:1">
      <c r="A4537" s="346"/>
    </row>
    <row r="4538" spans="1:1">
      <c r="A4538" s="346"/>
    </row>
    <row r="4539" spans="1:1">
      <c r="A4539" s="346"/>
    </row>
    <row r="4540" spans="1:1">
      <c r="A4540" s="346"/>
    </row>
    <row r="4541" spans="1:1">
      <c r="A4541" s="346"/>
    </row>
    <row r="4542" spans="1:1">
      <c r="A4542" s="346"/>
    </row>
    <row r="4543" spans="1:1">
      <c r="A4543" s="346"/>
    </row>
    <row r="4544" spans="1:1">
      <c r="A4544" s="346"/>
    </row>
    <row r="4545" spans="1:1">
      <c r="A4545" s="346"/>
    </row>
    <row r="4546" spans="1:1">
      <c r="A4546" s="346"/>
    </row>
    <row r="4547" spans="1:1">
      <c r="A4547" s="346"/>
    </row>
    <row r="4548" spans="1:1">
      <c r="A4548" s="346"/>
    </row>
    <row r="4549" spans="1:1">
      <c r="A4549" s="346"/>
    </row>
    <row r="4550" spans="1:1">
      <c r="A4550" s="346"/>
    </row>
    <row r="4551" spans="1:1">
      <c r="A4551" s="346"/>
    </row>
    <row r="4552" spans="1:1">
      <c r="A4552" s="346"/>
    </row>
    <row r="4553" spans="1:1">
      <c r="A4553" s="346"/>
    </row>
    <row r="4554" spans="1:1">
      <c r="A4554" s="346"/>
    </row>
    <row r="4555" spans="1:1">
      <c r="A4555" s="346"/>
    </row>
    <row r="4556" spans="1:1">
      <c r="A4556" s="346"/>
    </row>
    <row r="4557" spans="1:1">
      <c r="A4557" s="346"/>
    </row>
    <row r="4558" spans="1:1">
      <c r="A4558" s="346"/>
    </row>
    <row r="4559" spans="1:1">
      <c r="A4559" s="346"/>
    </row>
    <row r="4560" spans="1:1">
      <c r="A4560" s="346"/>
    </row>
    <row r="4561" spans="1:1">
      <c r="A4561" s="346"/>
    </row>
    <row r="4562" spans="1:1">
      <c r="A4562" s="346"/>
    </row>
    <row r="4563" spans="1:1">
      <c r="A4563" s="346"/>
    </row>
    <row r="4564" spans="1:1">
      <c r="A4564" s="346"/>
    </row>
    <row r="4565" spans="1:1">
      <c r="A4565" s="346"/>
    </row>
    <row r="4566" spans="1:1">
      <c r="A4566" s="346"/>
    </row>
    <row r="4567" spans="1:1">
      <c r="A4567" s="346"/>
    </row>
    <row r="4568" spans="1:1">
      <c r="A4568" s="346"/>
    </row>
    <row r="4569" spans="1:1">
      <c r="A4569" s="346"/>
    </row>
    <row r="4570" spans="1:1">
      <c r="A4570" s="346"/>
    </row>
    <row r="4571" spans="1:1">
      <c r="A4571" s="346"/>
    </row>
    <row r="4572" spans="1:1">
      <c r="A4572" s="346"/>
    </row>
    <row r="4573" spans="1:1">
      <c r="A4573" s="346"/>
    </row>
    <row r="4574" spans="1:1">
      <c r="A4574" s="346"/>
    </row>
    <row r="4575" spans="1:1">
      <c r="A4575" s="346"/>
    </row>
    <row r="4576" spans="1:1">
      <c r="A4576" s="346"/>
    </row>
    <row r="4577" spans="1:1">
      <c r="A4577" s="346"/>
    </row>
    <row r="4578" spans="1:1">
      <c r="A4578" s="346"/>
    </row>
    <row r="4579" spans="1:1">
      <c r="A4579" s="346"/>
    </row>
    <row r="4580" spans="1:1">
      <c r="A4580" s="346"/>
    </row>
    <row r="4581" spans="1:1">
      <c r="A4581" s="346"/>
    </row>
    <row r="4582" spans="1:1">
      <c r="A4582" s="346"/>
    </row>
    <row r="4583" spans="1:1">
      <c r="A4583" s="346"/>
    </row>
    <row r="4584" spans="1:1">
      <c r="A4584" s="346"/>
    </row>
    <row r="4585" spans="1:1">
      <c r="A4585" s="346"/>
    </row>
    <row r="4586" spans="1:1">
      <c r="A4586" s="346"/>
    </row>
    <row r="4587" spans="1:1">
      <c r="A4587" s="346"/>
    </row>
    <row r="4588" spans="1:1">
      <c r="A4588" s="346"/>
    </row>
    <row r="4589" spans="1:1">
      <c r="A4589" s="346"/>
    </row>
    <row r="4590" spans="1:1">
      <c r="A4590" s="346"/>
    </row>
    <row r="4591" spans="1:1">
      <c r="A4591" s="346"/>
    </row>
    <row r="4592" spans="1:1">
      <c r="A4592" s="346"/>
    </row>
    <row r="4593" spans="1:1">
      <c r="A4593" s="346"/>
    </row>
    <row r="4594" spans="1:1">
      <c r="A4594" s="346"/>
    </row>
    <row r="4595" spans="1:1">
      <c r="A4595" s="346"/>
    </row>
    <row r="4596" spans="1:1">
      <c r="A4596" s="346"/>
    </row>
    <row r="4597" spans="1:1">
      <c r="A4597" s="346"/>
    </row>
    <row r="4598" spans="1:1">
      <c r="A4598" s="346"/>
    </row>
    <row r="4599" spans="1:1">
      <c r="A4599" s="346"/>
    </row>
    <row r="4600" spans="1:1">
      <c r="A4600" s="346"/>
    </row>
    <row r="4601" spans="1:1">
      <c r="A4601" s="346"/>
    </row>
    <row r="4602" spans="1:1">
      <c r="A4602" s="346"/>
    </row>
    <row r="4603" spans="1:1">
      <c r="A4603" s="346"/>
    </row>
    <row r="4604" spans="1:1">
      <c r="A4604" s="346"/>
    </row>
    <row r="4605" spans="1:1">
      <c r="A4605" s="346"/>
    </row>
    <row r="4606" spans="1:1">
      <c r="A4606" s="346"/>
    </row>
    <row r="4607" spans="1:1">
      <c r="A4607" s="346"/>
    </row>
    <row r="4608" spans="1:1">
      <c r="A4608" s="346"/>
    </row>
    <row r="4609" spans="1:1">
      <c r="A4609" s="346"/>
    </row>
    <row r="4610" spans="1:1">
      <c r="A4610" s="346"/>
    </row>
    <row r="4611" spans="1:1">
      <c r="A4611" s="346"/>
    </row>
    <row r="4612" spans="1:1">
      <c r="A4612" s="346"/>
    </row>
    <row r="4613" spans="1:1">
      <c r="A4613" s="346"/>
    </row>
    <row r="4614" spans="1:1">
      <c r="A4614" s="346"/>
    </row>
    <row r="4615" spans="1:1">
      <c r="A4615" s="346"/>
    </row>
    <row r="4616" spans="1:1">
      <c r="A4616" s="346"/>
    </row>
    <row r="4617" spans="1:1">
      <c r="A4617" s="346"/>
    </row>
    <row r="4618" spans="1:1">
      <c r="A4618" s="346"/>
    </row>
    <row r="4619" spans="1:1">
      <c r="A4619" s="346"/>
    </row>
    <row r="4620" spans="1:1">
      <c r="A4620" s="346"/>
    </row>
    <row r="4621" spans="1:1">
      <c r="A4621" s="346"/>
    </row>
    <row r="4622" spans="1:1">
      <c r="A4622" s="346"/>
    </row>
    <row r="4623" spans="1:1">
      <c r="A4623" s="346"/>
    </row>
    <row r="4624" spans="1:1">
      <c r="A4624" s="346"/>
    </row>
    <row r="4625" spans="1:1">
      <c r="A4625" s="346"/>
    </row>
    <row r="4626" spans="1:1">
      <c r="A4626" s="346"/>
    </row>
    <row r="4627" spans="1:1">
      <c r="A4627" s="346"/>
    </row>
    <row r="4628" spans="1:1">
      <c r="A4628" s="346"/>
    </row>
    <row r="4629" spans="1:1">
      <c r="A4629" s="346"/>
    </row>
    <row r="4630" spans="1:1">
      <c r="A4630" s="346"/>
    </row>
    <row r="4631" spans="1:1">
      <c r="A4631" s="346"/>
    </row>
    <row r="4632" spans="1:1">
      <c r="A4632" s="346"/>
    </row>
    <row r="4633" spans="1:1">
      <c r="A4633" s="346"/>
    </row>
    <row r="4634" spans="1:1">
      <c r="A4634" s="346"/>
    </row>
    <row r="4635" spans="1:1">
      <c r="A4635" s="346"/>
    </row>
    <row r="4636" spans="1:1">
      <c r="A4636" s="346"/>
    </row>
    <row r="4637" spans="1:1">
      <c r="A4637" s="346"/>
    </row>
    <row r="4638" spans="1:1">
      <c r="A4638" s="346"/>
    </row>
    <row r="4639" spans="1:1">
      <c r="A4639" s="346"/>
    </row>
    <row r="4640" spans="1:1">
      <c r="A4640" s="346"/>
    </row>
    <row r="4641" spans="1:1">
      <c r="A4641" s="346"/>
    </row>
    <row r="4642" spans="1:1">
      <c r="A4642" s="346"/>
    </row>
    <row r="4643" spans="1:1">
      <c r="A4643" s="346"/>
    </row>
    <row r="4644" spans="1:1">
      <c r="A4644" s="346"/>
    </row>
    <row r="4645" spans="1:1">
      <c r="A4645" s="346"/>
    </row>
    <row r="4646" spans="1:1">
      <c r="A4646" s="346"/>
    </row>
    <row r="4647" spans="1:1">
      <c r="A4647" s="346"/>
    </row>
    <row r="4648" spans="1:1">
      <c r="A4648" s="346"/>
    </row>
    <row r="4649" spans="1:1">
      <c r="A4649" s="346"/>
    </row>
    <row r="4650" spans="1:1">
      <c r="A4650" s="346"/>
    </row>
    <row r="4651" spans="1:1">
      <c r="A4651" s="346"/>
    </row>
    <row r="4652" spans="1:1">
      <c r="A4652" s="346"/>
    </row>
    <row r="4653" spans="1:1">
      <c r="A4653" s="346"/>
    </row>
    <row r="4654" spans="1:1">
      <c r="A4654" s="346"/>
    </row>
    <row r="4655" spans="1:1">
      <c r="A4655" s="346"/>
    </row>
    <row r="4656" spans="1:1">
      <c r="A4656" s="346"/>
    </row>
    <row r="4657" spans="1:1">
      <c r="A4657" s="346"/>
    </row>
    <row r="4658" spans="1:1">
      <c r="A4658" s="346"/>
    </row>
    <row r="4659" spans="1:1">
      <c r="A4659" s="346"/>
    </row>
    <row r="4660" spans="1:1">
      <c r="A4660" s="346"/>
    </row>
    <row r="4661" spans="1:1">
      <c r="A4661" s="346"/>
    </row>
    <row r="4662" spans="1:1">
      <c r="A4662" s="346"/>
    </row>
    <row r="4663" spans="1:1">
      <c r="A4663" s="346"/>
    </row>
    <row r="4664" spans="1:1">
      <c r="A4664" s="346"/>
    </row>
    <row r="4665" spans="1:1">
      <c r="A4665" s="346"/>
    </row>
    <row r="4666" spans="1:1">
      <c r="A4666" s="346"/>
    </row>
    <row r="4667" spans="1:1">
      <c r="A4667" s="346"/>
    </row>
    <row r="4668" spans="1:1">
      <c r="A4668" s="346"/>
    </row>
    <row r="4669" spans="1:1">
      <c r="A4669" s="346"/>
    </row>
    <row r="4670" spans="1:1">
      <c r="A4670" s="346"/>
    </row>
    <row r="4671" spans="1:1">
      <c r="A4671" s="346"/>
    </row>
    <row r="4672" spans="1:1">
      <c r="A4672" s="346"/>
    </row>
    <row r="4673" spans="1:1">
      <c r="A4673" s="346"/>
    </row>
    <row r="4674" spans="1:1">
      <c r="A4674" s="346"/>
    </row>
    <row r="4675" spans="1:1">
      <c r="A4675" s="346"/>
    </row>
    <row r="4676" spans="1:1">
      <c r="A4676" s="346"/>
    </row>
    <row r="4677" spans="1:1">
      <c r="A4677" s="346"/>
    </row>
    <row r="4678" spans="1:1">
      <c r="A4678" s="346"/>
    </row>
    <row r="4679" spans="1:1">
      <c r="A4679" s="346"/>
    </row>
    <row r="4680" spans="1:1">
      <c r="A4680" s="346"/>
    </row>
    <row r="4681" spans="1:1">
      <c r="A4681" s="346"/>
    </row>
    <row r="4682" spans="1:1">
      <c r="A4682" s="346"/>
    </row>
    <row r="4683" spans="1:1">
      <c r="A4683" s="346"/>
    </row>
    <row r="4684" spans="1:1">
      <c r="A4684" s="346"/>
    </row>
    <row r="4685" spans="1:1">
      <c r="A4685" s="346"/>
    </row>
    <row r="4686" spans="1:1">
      <c r="A4686" s="346"/>
    </row>
    <row r="4687" spans="1:1">
      <c r="A4687" s="346"/>
    </row>
    <row r="4688" spans="1:1">
      <c r="A4688" s="346"/>
    </row>
    <row r="4689" spans="1:1">
      <c r="A4689" s="346"/>
    </row>
    <row r="4690" spans="1:1">
      <c r="A4690" s="346"/>
    </row>
    <row r="4691" spans="1:1">
      <c r="A4691" s="346"/>
    </row>
    <row r="4692" spans="1:1">
      <c r="A4692" s="346"/>
    </row>
    <row r="4693" spans="1:1">
      <c r="A4693" s="346"/>
    </row>
    <row r="4694" spans="1:1">
      <c r="A4694" s="346"/>
    </row>
    <row r="4695" spans="1:1">
      <c r="A4695" s="346"/>
    </row>
    <row r="4696" spans="1:1">
      <c r="A4696" s="346"/>
    </row>
    <row r="4697" spans="1:1">
      <c r="A4697" s="346"/>
    </row>
    <row r="4698" spans="1:1">
      <c r="A4698" s="346"/>
    </row>
    <row r="4699" spans="1:1">
      <c r="A4699" s="346"/>
    </row>
    <row r="4700" spans="1:1">
      <c r="A4700" s="346"/>
    </row>
    <row r="4701" spans="1:1">
      <c r="A4701" s="346"/>
    </row>
    <row r="4702" spans="1:1">
      <c r="A4702" s="346"/>
    </row>
    <row r="4703" spans="1:1">
      <c r="A4703" s="346"/>
    </row>
    <row r="4704" spans="1:1">
      <c r="A4704" s="346"/>
    </row>
    <row r="4705" spans="1:1">
      <c r="A4705" s="346"/>
    </row>
    <row r="4706" spans="1:1">
      <c r="A4706" s="346"/>
    </row>
    <row r="4707" spans="1:1">
      <c r="A4707" s="346"/>
    </row>
    <row r="4708" spans="1:1">
      <c r="A4708" s="346"/>
    </row>
    <row r="4709" spans="1:1">
      <c r="A4709" s="346"/>
    </row>
    <row r="4710" spans="1:1">
      <c r="A4710" s="346"/>
    </row>
    <row r="4711" spans="1:1">
      <c r="A4711" s="346"/>
    </row>
    <row r="4712" spans="1:1">
      <c r="A4712" s="346"/>
    </row>
    <row r="4713" spans="1:1">
      <c r="A4713" s="346"/>
    </row>
    <row r="4714" spans="1:1">
      <c r="A4714" s="346"/>
    </row>
    <row r="4715" spans="1:1">
      <c r="A4715" s="346"/>
    </row>
    <row r="4716" spans="1:1">
      <c r="A4716" s="346"/>
    </row>
    <row r="4717" spans="1:1">
      <c r="A4717" s="346"/>
    </row>
    <row r="4718" spans="1:1">
      <c r="A4718" s="346"/>
    </row>
    <row r="4719" spans="1:1">
      <c r="A4719" s="346"/>
    </row>
    <row r="4720" spans="1:1">
      <c r="A4720" s="346"/>
    </row>
    <row r="4721" spans="1:1">
      <c r="A4721" s="346"/>
    </row>
    <row r="4722" spans="1:1">
      <c r="A4722" s="346"/>
    </row>
    <row r="4723" spans="1:1">
      <c r="A4723" s="346"/>
    </row>
    <row r="4724" spans="1:1">
      <c r="A4724" s="346"/>
    </row>
    <row r="4725" spans="1:1">
      <c r="A4725" s="346"/>
    </row>
    <row r="4726" spans="1:1">
      <c r="A4726" s="346"/>
    </row>
    <row r="4727" spans="1:1">
      <c r="A4727" s="346"/>
    </row>
    <row r="4728" spans="1:1">
      <c r="A4728" s="346"/>
    </row>
    <row r="4729" spans="1:1">
      <c r="A4729" s="346"/>
    </row>
    <row r="4730" spans="1:1">
      <c r="A4730" s="346"/>
    </row>
    <row r="4731" spans="1:1">
      <c r="A4731" s="346"/>
    </row>
    <row r="4732" spans="1:1">
      <c r="A4732" s="346"/>
    </row>
    <row r="4733" spans="1:1">
      <c r="A4733" s="346"/>
    </row>
    <row r="4734" spans="1:1">
      <c r="A4734" s="346"/>
    </row>
    <row r="4735" spans="1:1">
      <c r="A4735" s="346"/>
    </row>
    <row r="4736" spans="1:1">
      <c r="A4736" s="346"/>
    </row>
    <row r="4737" spans="1:1">
      <c r="A4737" s="346"/>
    </row>
    <row r="4738" spans="1:1">
      <c r="A4738" s="346"/>
    </row>
    <row r="4739" spans="1:1">
      <c r="A4739" s="346"/>
    </row>
    <row r="4740" spans="1:1">
      <c r="A4740" s="346"/>
    </row>
    <row r="4741" spans="1:1">
      <c r="A4741" s="346"/>
    </row>
    <row r="4742" spans="1:1">
      <c r="A4742" s="346"/>
    </row>
    <row r="4743" spans="1:1">
      <c r="A4743" s="346"/>
    </row>
    <row r="4744" spans="1:1">
      <c r="A4744" s="346"/>
    </row>
    <row r="4745" spans="1:1">
      <c r="A4745" s="346"/>
    </row>
    <row r="4746" spans="1:1">
      <c r="A4746" s="346"/>
    </row>
    <row r="4747" spans="1:1">
      <c r="A4747" s="346"/>
    </row>
    <row r="4748" spans="1:1">
      <c r="A4748" s="346"/>
    </row>
    <row r="4749" spans="1:1">
      <c r="A4749" s="346"/>
    </row>
    <row r="4750" spans="1:1">
      <c r="A4750" s="346"/>
    </row>
    <row r="4751" spans="1:1">
      <c r="A4751" s="346"/>
    </row>
    <row r="4752" spans="1:1">
      <c r="A4752" s="346"/>
    </row>
    <row r="4753" spans="1:1">
      <c r="A4753" s="346"/>
    </row>
    <row r="4754" spans="1:1">
      <c r="A4754" s="346"/>
    </row>
    <row r="4755" spans="1:1">
      <c r="A4755" s="346"/>
    </row>
    <row r="4756" spans="1:1">
      <c r="A4756" s="346"/>
    </row>
    <row r="4757" spans="1:1">
      <c r="A4757" s="346"/>
    </row>
    <row r="4758" spans="1:1">
      <c r="A4758" s="346"/>
    </row>
    <row r="4759" spans="1:1">
      <c r="A4759" s="346"/>
    </row>
    <row r="4760" spans="1:1">
      <c r="A4760" s="346"/>
    </row>
    <row r="4761" spans="1:1">
      <c r="A4761" s="346"/>
    </row>
    <row r="4762" spans="1:1">
      <c r="A4762" s="346"/>
    </row>
    <row r="4763" spans="1:1">
      <c r="A4763" s="346"/>
    </row>
    <row r="4764" spans="1:1">
      <c r="A4764" s="346"/>
    </row>
    <row r="4765" spans="1:1">
      <c r="A4765" s="346"/>
    </row>
    <row r="4766" spans="1:1">
      <c r="A4766" s="346"/>
    </row>
    <row r="4767" spans="1:1">
      <c r="A4767" s="346"/>
    </row>
    <row r="4768" spans="1:1">
      <c r="A4768" s="346"/>
    </row>
    <row r="4769" spans="1:1">
      <c r="A4769" s="346"/>
    </row>
    <row r="4770" spans="1:1">
      <c r="A4770" s="346"/>
    </row>
    <row r="4771" spans="1:1">
      <c r="A4771" s="346"/>
    </row>
    <row r="4772" spans="1:1">
      <c r="A4772" s="346"/>
    </row>
    <row r="4773" spans="1:1">
      <c r="A4773" s="346"/>
    </row>
    <row r="4774" spans="1:1">
      <c r="A4774" s="346"/>
    </row>
    <row r="4775" spans="1:1">
      <c r="A4775" s="346"/>
    </row>
    <row r="4776" spans="1:1">
      <c r="A4776" s="346"/>
    </row>
    <row r="4777" spans="1:1">
      <c r="A4777" s="346"/>
    </row>
    <row r="4778" spans="1:1">
      <c r="A4778" s="346"/>
    </row>
    <row r="4779" spans="1:1">
      <c r="A4779" s="346"/>
    </row>
    <row r="4780" spans="1:1">
      <c r="A4780" s="346"/>
    </row>
    <row r="4781" spans="1:1">
      <c r="A4781" s="346"/>
    </row>
    <row r="4782" spans="1:1">
      <c r="A4782" s="346"/>
    </row>
    <row r="4783" spans="1:1">
      <c r="A4783" s="346"/>
    </row>
    <row r="4784" spans="1:1">
      <c r="A4784" s="346"/>
    </row>
    <row r="4785" spans="1:1">
      <c r="A4785" s="346"/>
    </row>
    <row r="4786" spans="1:1">
      <c r="A4786" s="346"/>
    </row>
    <row r="4787" spans="1:1">
      <c r="A4787" s="346"/>
    </row>
    <row r="4788" spans="1:1">
      <c r="A4788" s="346"/>
    </row>
    <row r="4789" spans="1:1">
      <c r="A4789" s="346"/>
    </row>
    <row r="4790" spans="1:1">
      <c r="A4790" s="346"/>
    </row>
    <row r="4791" spans="1:1">
      <c r="A4791" s="346"/>
    </row>
    <row r="4792" spans="1:1">
      <c r="A4792" s="346"/>
    </row>
    <row r="4793" spans="1:1">
      <c r="A4793" s="346"/>
    </row>
    <row r="4794" spans="1:1">
      <c r="A4794" s="346"/>
    </row>
    <row r="4795" spans="1:1">
      <c r="A4795" s="346"/>
    </row>
    <row r="4796" spans="1:1">
      <c r="A4796" s="346"/>
    </row>
    <row r="4797" spans="1:1">
      <c r="A4797" s="346"/>
    </row>
    <row r="4798" spans="1:1">
      <c r="A4798" s="346"/>
    </row>
    <row r="4799" spans="1:1">
      <c r="A4799" s="346"/>
    </row>
    <row r="4800" spans="1:1">
      <c r="A4800" s="346"/>
    </row>
    <row r="4801" spans="1:1">
      <c r="A4801" s="346"/>
    </row>
    <row r="4802" spans="1:1">
      <c r="A4802" s="346"/>
    </row>
    <row r="4803" spans="1:1">
      <c r="A4803" s="346"/>
    </row>
    <row r="4804" spans="1:1">
      <c r="A4804" s="346"/>
    </row>
    <row r="4805" spans="1:1">
      <c r="A4805" s="346"/>
    </row>
    <row r="4806" spans="1:1">
      <c r="A4806" s="346"/>
    </row>
    <row r="4807" spans="1:1">
      <c r="A4807" s="346"/>
    </row>
    <row r="4808" spans="1:1">
      <c r="A4808" s="346"/>
    </row>
    <row r="4809" spans="1:1">
      <c r="A4809" s="346"/>
    </row>
    <row r="4810" spans="1:1">
      <c r="A4810" s="346"/>
    </row>
    <row r="4811" spans="1:1">
      <c r="A4811" s="346"/>
    </row>
    <row r="4812" spans="1:1">
      <c r="A4812" s="346"/>
    </row>
    <row r="4813" spans="1:1">
      <c r="A4813" s="346"/>
    </row>
    <row r="4814" spans="1:1">
      <c r="A4814" s="346"/>
    </row>
    <row r="4815" spans="1:1">
      <c r="A4815" s="346"/>
    </row>
    <row r="4816" spans="1:1">
      <c r="A4816" s="346"/>
    </row>
    <row r="4817" spans="1:1">
      <c r="A4817" s="346"/>
    </row>
    <row r="4818" spans="1:1">
      <c r="A4818" s="346"/>
    </row>
    <row r="4819" spans="1:1">
      <c r="A4819" s="346"/>
    </row>
    <row r="4820" spans="1:1">
      <c r="A4820" s="346"/>
    </row>
    <row r="4821" spans="1:1">
      <c r="A4821" s="346"/>
    </row>
    <row r="4822" spans="1:1">
      <c r="A4822" s="346"/>
    </row>
    <row r="4823" spans="1:1">
      <c r="A4823" s="346"/>
    </row>
    <row r="4824" spans="1:1">
      <c r="A4824" s="346"/>
    </row>
    <row r="4825" spans="1:1">
      <c r="A4825" s="346"/>
    </row>
    <row r="4826" spans="1:1">
      <c r="A4826" s="346"/>
    </row>
    <row r="4827" spans="1:1">
      <c r="A4827" s="346"/>
    </row>
    <row r="4828" spans="1:1">
      <c r="A4828" s="346"/>
    </row>
    <row r="4829" spans="1:1">
      <c r="A4829" s="346"/>
    </row>
    <row r="4830" spans="1:1">
      <c r="A4830" s="346"/>
    </row>
    <row r="4831" spans="1:1">
      <c r="A4831" s="346"/>
    </row>
    <row r="4832" spans="1:1">
      <c r="A4832" s="346"/>
    </row>
    <row r="4833" spans="1:1">
      <c r="A4833" s="346"/>
    </row>
    <row r="4834" spans="1:1">
      <c r="A4834" s="346"/>
    </row>
    <row r="4835" spans="1:1">
      <c r="A4835" s="346"/>
    </row>
    <row r="4836" spans="1:1">
      <c r="A4836" s="346"/>
    </row>
    <row r="4837" spans="1:1">
      <c r="A4837" s="346"/>
    </row>
    <row r="4838" spans="1:1">
      <c r="A4838" s="346"/>
    </row>
    <row r="4839" spans="1:1">
      <c r="A4839" s="346"/>
    </row>
    <row r="4840" spans="1:1">
      <c r="A4840" s="346"/>
    </row>
    <row r="4841" spans="1:1">
      <c r="A4841" s="346"/>
    </row>
    <row r="4842" spans="1:1">
      <c r="A4842" s="346"/>
    </row>
    <row r="4843" spans="1:1">
      <c r="A4843" s="346"/>
    </row>
    <row r="4844" spans="1:1">
      <c r="A4844" s="346"/>
    </row>
    <row r="4845" spans="1:1">
      <c r="A4845" s="346"/>
    </row>
    <row r="4846" spans="1:1">
      <c r="A4846" s="346"/>
    </row>
    <row r="4847" spans="1:1">
      <c r="A4847" s="346"/>
    </row>
    <row r="4848" spans="1:1">
      <c r="A4848" s="346"/>
    </row>
    <row r="4849" spans="1:1">
      <c r="A4849" s="346"/>
    </row>
    <row r="4850" spans="1:1">
      <c r="A4850" s="346"/>
    </row>
    <row r="4851" spans="1:1">
      <c r="A4851" s="346"/>
    </row>
    <row r="4852" spans="1:1">
      <c r="A4852" s="346"/>
    </row>
    <row r="4853" spans="1:1">
      <c r="A4853" s="346"/>
    </row>
    <row r="4854" spans="1:1">
      <c r="A4854" s="346"/>
    </row>
    <row r="4855" spans="1:1">
      <c r="A4855" s="346"/>
    </row>
    <row r="4856" spans="1:1">
      <c r="A4856" s="346"/>
    </row>
    <row r="4857" spans="1:1">
      <c r="A4857" s="346"/>
    </row>
    <row r="4858" spans="1:1">
      <c r="A4858" s="346"/>
    </row>
    <row r="4859" spans="1:1">
      <c r="A4859" s="346"/>
    </row>
    <row r="4860" spans="1:1">
      <c r="A4860" s="346"/>
    </row>
    <row r="4861" spans="1:1">
      <c r="A4861" s="346"/>
    </row>
    <row r="4862" spans="1:1">
      <c r="A4862" s="346"/>
    </row>
    <row r="4863" spans="1:1">
      <c r="A4863" s="346"/>
    </row>
    <row r="4864" spans="1:1">
      <c r="A4864" s="346"/>
    </row>
    <row r="4865" spans="1:1">
      <c r="A4865" s="346"/>
    </row>
    <row r="4866" spans="1:1">
      <c r="A4866" s="346"/>
    </row>
    <row r="4867" spans="1:1">
      <c r="A4867" s="346"/>
    </row>
    <row r="4868" spans="1:1">
      <c r="A4868" s="346"/>
    </row>
    <row r="4869" spans="1:1">
      <c r="A4869" s="346"/>
    </row>
    <row r="4870" spans="1:1">
      <c r="A4870" s="346"/>
    </row>
    <row r="4871" spans="1:1">
      <c r="A4871" s="346"/>
    </row>
    <row r="4872" spans="1:1">
      <c r="A4872" s="346"/>
    </row>
    <row r="4873" spans="1:1">
      <c r="A4873" s="346"/>
    </row>
    <row r="4874" spans="1:1">
      <c r="A4874" s="346"/>
    </row>
    <row r="4875" spans="1:1">
      <c r="A4875" s="346"/>
    </row>
    <row r="4876" spans="1:1">
      <c r="A4876" s="346"/>
    </row>
    <row r="4877" spans="1:1">
      <c r="A4877" s="346"/>
    </row>
    <row r="4878" spans="1:1">
      <c r="A4878" s="346"/>
    </row>
    <row r="4879" spans="1:1">
      <c r="A4879" s="346"/>
    </row>
    <row r="4880" spans="1:1">
      <c r="A4880" s="346"/>
    </row>
    <row r="4881" spans="1:1">
      <c r="A4881" s="346"/>
    </row>
    <row r="4882" spans="1:1">
      <c r="A4882" s="346"/>
    </row>
    <row r="4883" spans="1:1">
      <c r="A4883" s="346"/>
    </row>
    <row r="4884" spans="1:1">
      <c r="A4884" s="346"/>
    </row>
    <row r="4885" spans="1:1">
      <c r="A4885" s="346"/>
    </row>
    <row r="4886" spans="1:1">
      <c r="A4886" s="346"/>
    </row>
    <row r="4887" spans="1:1">
      <c r="A4887" s="346"/>
    </row>
    <row r="4888" spans="1:1">
      <c r="A4888" s="346"/>
    </row>
    <row r="4889" spans="1:1">
      <c r="A4889" s="346"/>
    </row>
    <row r="4890" spans="1:1">
      <c r="A4890" s="346"/>
    </row>
    <row r="4891" spans="1:1">
      <c r="A4891" s="346"/>
    </row>
    <row r="4892" spans="1:1">
      <c r="A4892" s="346"/>
    </row>
    <row r="4893" spans="1:1">
      <c r="A4893" s="346"/>
    </row>
    <row r="4894" spans="1:1">
      <c r="A4894" s="346"/>
    </row>
    <row r="4895" spans="1:1">
      <c r="A4895" s="346"/>
    </row>
    <row r="4896" spans="1:1">
      <c r="A4896" s="346"/>
    </row>
    <row r="4897" spans="1:1">
      <c r="A4897" s="346"/>
    </row>
    <row r="4898" spans="1:1">
      <c r="A4898" s="346"/>
    </row>
    <row r="4899" spans="1:1">
      <c r="A4899" s="346"/>
    </row>
    <row r="4900" spans="1:1">
      <c r="A4900" s="346"/>
    </row>
    <row r="4901" spans="1:1">
      <c r="A4901" s="346"/>
    </row>
    <row r="4902" spans="1:1">
      <c r="A4902" s="346"/>
    </row>
    <row r="4903" spans="1:1">
      <c r="A4903" s="346"/>
    </row>
    <row r="4904" spans="1:1">
      <c r="A4904" s="346"/>
    </row>
    <row r="4905" spans="1:1">
      <c r="A4905" s="346"/>
    </row>
    <row r="4906" spans="1:1">
      <c r="A4906" s="346"/>
    </row>
    <row r="4907" spans="1:1">
      <c r="A4907" s="346"/>
    </row>
    <row r="4908" spans="1:1">
      <c r="A4908" s="346"/>
    </row>
    <row r="4909" spans="1:1">
      <c r="A4909" s="346"/>
    </row>
    <row r="4910" spans="1:1">
      <c r="A4910" s="346"/>
    </row>
    <row r="4911" spans="1:1">
      <c r="A4911" s="346"/>
    </row>
    <row r="4912" spans="1:1">
      <c r="A4912" s="346"/>
    </row>
    <row r="4913" spans="1:1">
      <c r="A4913" s="346"/>
    </row>
    <row r="4914" spans="1:1">
      <c r="A4914" s="346"/>
    </row>
    <row r="4915" spans="1:1">
      <c r="A4915" s="346"/>
    </row>
    <row r="4916" spans="1:1">
      <c r="A4916" s="346"/>
    </row>
    <row r="4917" spans="1:1">
      <c r="A4917" s="346"/>
    </row>
    <row r="4918" spans="1:1">
      <c r="A4918" s="346"/>
    </row>
    <row r="4919" spans="1:1">
      <c r="A4919" s="346"/>
    </row>
    <row r="4920" spans="1:1">
      <c r="A4920" s="346"/>
    </row>
    <row r="4921" spans="1:1">
      <c r="A4921" s="346"/>
    </row>
    <row r="4922" spans="1:1">
      <c r="A4922" s="346"/>
    </row>
    <row r="4923" spans="1:1">
      <c r="A4923" s="346"/>
    </row>
    <row r="4924" spans="1:1">
      <c r="A4924" s="346"/>
    </row>
    <row r="4925" spans="1:1">
      <c r="A4925" s="346"/>
    </row>
    <row r="4926" spans="1:1">
      <c r="A4926" s="346"/>
    </row>
    <row r="4927" spans="1:1">
      <c r="A4927" s="346"/>
    </row>
    <row r="4928" spans="1:1">
      <c r="A4928" s="346"/>
    </row>
    <row r="4929" spans="1:1">
      <c r="A4929" s="346"/>
    </row>
    <row r="4930" spans="1:1">
      <c r="A4930" s="346"/>
    </row>
    <row r="4931" spans="1:1">
      <c r="A4931" s="346"/>
    </row>
    <row r="4932" spans="1:1">
      <c r="A4932" s="346"/>
    </row>
    <row r="4933" spans="1:1">
      <c r="A4933" s="346"/>
    </row>
    <row r="4934" spans="1:1">
      <c r="A4934" s="346"/>
    </row>
    <row r="4935" spans="1:1">
      <c r="A4935" s="346"/>
    </row>
    <row r="4936" spans="1:1">
      <c r="A4936" s="346"/>
    </row>
    <row r="4937" spans="1:1">
      <c r="A4937" s="346"/>
    </row>
    <row r="4938" spans="1:1">
      <c r="A4938" s="346"/>
    </row>
    <row r="4939" spans="1:1">
      <c r="A4939" s="346"/>
    </row>
    <row r="4940" spans="1:1">
      <c r="A4940" s="346"/>
    </row>
    <row r="4941" spans="1:1">
      <c r="A4941" s="346"/>
    </row>
    <row r="4942" spans="1:1">
      <c r="A4942" s="346"/>
    </row>
    <row r="4943" spans="1:1">
      <c r="A4943" s="346"/>
    </row>
    <row r="4944" spans="1:1">
      <c r="A4944" s="346"/>
    </row>
    <row r="4945" spans="1:1">
      <c r="A4945" s="346"/>
    </row>
    <row r="4946" spans="1:1">
      <c r="A4946" s="346"/>
    </row>
    <row r="4947" spans="1:1">
      <c r="A4947" s="346"/>
    </row>
    <row r="4948" spans="1:1">
      <c r="A4948" s="346"/>
    </row>
    <row r="4949" spans="1:1">
      <c r="A4949" s="346"/>
    </row>
    <row r="4950" spans="1:1">
      <c r="A4950" s="346"/>
    </row>
    <row r="4951" spans="1:1">
      <c r="A4951" s="346"/>
    </row>
    <row r="4952" spans="1:1">
      <c r="A4952" s="346"/>
    </row>
    <row r="4953" spans="1:1">
      <c r="A4953" s="346"/>
    </row>
    <row r="4954" spans="1:1">
      <c r="A4954" s="346"/>
    </row>
    <row r="4955" spans="1:1">
      <c r="A4955" s="346"/>
    </row>
    <row r="4956" spans="1:1">
      <c r="A4956" s="346"/>
    </row>
    <row r="4957" spans="1:1">
      <c r="A4957" s="346"/>
    </row>
    <row r="4958" spans="1:1">
      <c r="A4958" s="346"/>
    </row>
    <row r="4959" spans="1:1">
      <c r="A4959" s="346"/>
    </row>
    <row r="4960" spans="1:1">
      <c r="A4960" s="346"/>
    </row>
    <row r="4961" spans="1:1">
      <c r="A4961" s="346"/>
    </row>
    <row r="4962" spans="1:1">
      <c r="A4962" s="346"/>
    </row>
    <row r="4963" spans="1:1">
      <c r="A4963" s="346"/>
    </row>
    <row r="4964" spans="1:1">
      <c r="A4964" s="346"/>
    </row>
    <row r="4965" spans="1:1">
      <c r="A4965" s="346"/>
    </row>
    <row r="4966" spans="1:1">
      <c r="A4966" s="346"/>
    </row>
    <row r="4967" spans="1:1">
      <c r="A4967" s="346"/>
    </row>
    <row r="4968" spans="1:1">
      <c r="A4968" s="346"/>
    </row>
    <row r="4969" spans="1:1">
      <c r="A4969" s="346"/>
    </row>
    <row r="4970" spans="1:1">
      <c r="A4970" s="346"/>
    </row>
    <row r="4971" spans="1:1">
      <c r="A4971" s="346"/>
    </row>
    <row r="4972" spans="1:1">
      <c r="A4972" s="346"/>
    </row>
    <row r="4973" spans="1:1">
      <c r="A4973" s="346"/>
    </row>
    <row r="4974" spans="1:1">
      <c r="A4974" s="346"/>
    </row>
    <row r="4975" spans="1:1">
      <c r="A4975" s="346"/>
    </row>
    <row r="4976" spans="1:1">
      <c r="A4976" s="346"/>
    </row>
    <row r="4977" spans="1:1">
      <c r="A4977" s="346"/>
    </row>
    <row r="4978" spans="1:1">
      <c r="A4978" s="346"/>
    </row>
    <row r="4979" spans="1:1">
      <c r="A4979" s="346"/>
    </row>
    <row r="4980" spans="1:1">
      <c r="A4980" s="346"/>
    </row>
    <row r="4981" spans="1:1">
      <c r="A4981" s="346"/>
    </row>
    <row r="4982" spans="1:1">
      <c r="A4982" s="346"/>
    </row>
    <row r="4983" spans="1:1">
      <c r="A4983" s="346"/>
    </row>
    <row r="4984" spans="1:1">
      <c r="A4984" s="346"/>
    </row>
    <row r="4985" spans="1:1">
      <c r="A4985" s="346"/>
    </row>
    <row r="4986" spans="1:1">
      <c r="A4986" s="346"/>
    </row>
    <row r="4987" spans="1:1">
      <c r="A4987" s="346"/>
    </row>
    <row r="4988" spans="1:1">
      <c r="A4988" s="346"/>
    </row>
    <row r="4989" spans="1:1">
      <c r="A4989" s="346"/>
    </row>
    <row r="4990" spans="1:1">
      <c r="A4990" s="346"/>
    </row>
    <row r="4991" spans="1:1">
      <c r="A4991" s="346"/>
    </row>
    <row r="4992" spans="1:1">
      <c r="A4992" s="346"/>
    </row>
    <row r="4993" spans="1:1">
      <c r="A4993" s="346"/>
    </row>
    <row r="4994" spans="1:1">
      <c r="A4994" s="346"/>
    </row>
    <row r="4995" spans="1:1">
      <c r="A4995" s="346"/>
    </row>
    <row r="4996" spans="1:1">
      <c r="A4996" s="346"/>
    </row>
    <row r="4997" spans="1:1">
      <c r="A4997" s="346"/>
    </row>
    <row r="4998" spans="1:1">
      <c r="A4998" s="346"/>
    </row>
    <row r="4999" spans="1:1">
      <c r="A4999" s="346"/>
    </row>
    <row r="5000" spans="1:1">
      <c r="A5000" s="346"/>
    </row>
    <row r="5001" spans="1:1">
      <c r="A5001" s="346"/>
    </row>
    <row r="5002" spans="1:1">
      <c r="A5002" s="346"/>
    </row>
    <row r="5003" spans="1:1">
      <c r="A5003" s="346"/>
    </row>
    <row r="5004" spans="1:1">
      <c r="A5004" s="346"/>
    </row>
    <row r="5005" spans="1:1">
      <c r="A5005" s="346"/>
    </row>
    <row r="5006" spans="1:1">
      <c r="A5006" s="346"/>
    </row>
    <row r="5007" spans="1:1">
      <c r="A5007" s="346"/>
    </row>
    <row r="5008" spans="1:1">
      <c r="A5008" s="346"/>
    </row>
    <row r="5009" spans="1:1">
      <c r="A5009" s="346"/>
    </row>
    <row r="5010" spans="1:1">
      <c r="A5010" s="346"/>
    </row>
    <row r="5011" spans="1:1">
      <c r="A5011" s="346"/>
    </row>
    <row r="5012" spans="1:1">
      <c r="A5012" s="346"/>
    </row>
    <row r="5013" spans="1:1">
      <c r="A5013" s="346"/>
    </row>
    <row r="5014" spans="1:1">
      <c r="A5014" s="346"/>
    </row>
    <row r="5015" spans="1:1">
      <c r="A5015" s="346"/>
    </row>
    <row r="5016" spans="1:1">
      <c r="A5016" s="346"/>
    </row>
    <row r="5017" spans="1:1">
      <c r="A5017" s="346"/>
    </row>
    <row r="5018" spans="1:1">
      <c r="A5018" s="346"/>
    </row>
    <row r="5019" spans="1:1">
      <c r="A5019" s="346"/>
    </row>
    <row r="5020" spans="1:1">
      <c r="A5020" s="346"/>
    </row>
    <row r="5021" spans="1:1">
      <c r="A5021" s="346"/>
    </row>
    <row r="5022" spans="1:1">
      <c r="A5022" s="346"/>
    </row>
    <row r="5023" spans="1:1">
      <c r="A5023" s="346"/>
    </row>
    <row r="5024" spans="1:1">
      <c r="A5024" s="346"/>
    </row>
    <row r="5025" spans="1:1">
      <c r="A5025" s="346"/>
    </row>
    <row r="5026" spans="1:1">
      <c r="A5026" s="346"/>
    </row>
    <row r="5027" spans="1:1">
      <c r="A5027" s="346"/>
    </row>
    <row r="5028" spans="1:1">
      <c r="A5028" s="346"/>
    </row>
    <row r="5029" spans="1:1">
      <c r="A5029" s="346"/>
    </row>
    <row r="5030" spans="1:1">
      <c r="A5030" s="346"/>
    </row>
    <row r="5031" spans="1:1">
      <c r="A5031" s="346"/>
    </row>
    <row r="5032" spans="1:1">
      <c r="A5032" s="346"/>
    </row>
    <row r="5033" spans="1:1">
      <c r="A5033" s="346"/>
    </row>
    <row r="5034" spans="1:1">
      <c r="A5034" s="346"/>
    </row>
    <row r="5035" spans="1:1">
      <c r="A5035" s="346"/>
    </row>
    <row r="5036" spans="1:1">
      <c r="A5036" s="346"/>
    </row>
    <row r="5037" spans="1:1">
      <c r="A5037" s="346"/>
    </row>
    <row r="5038" spans="1:1">
      <c r="A5038" s="346"/>
    </row>
    <row r="5039" spans="1:1">
      <c r="A5039" s="346"/>
    </row>
    <row r="5040" spans="1:1">
      <c r="A5040" s="346"/>
    </row>
    <row r="5041" spans="1:1">
      <c r="A5041" s="346"/>
    </row>
    <row r="5042" spans="1:1">
      <c r="A5042" s="346"/>
    </row>
    <row r="5043" spans="1:1">
      <c r="A5043" s="346"/>
    </row>
    <row r="5044" spans="1:1">
      <c r="A5044" s="346"/>
    </row>
    <row r="5045" spans="1:1">
      <c r="A5045" s="346"/>
    </row>
    <row r="5046" spans="1:1">
      <c r="A5046" s="346"/>
    </row>
    <row r="5047" spans="1:1">
      <c r="A5047" s="346"/>
    </row>
    <row r="5048" spans="1:1">
      <c r="A5048" s="346"/>
    </row>
    <row r="5049" spans="1:1">
      <c r="A5049" s="346"/>
    </row>
    <row r="5050" spans="1:1">
      <c r="A5050" s="346"/>
    </row>
    <row r="5051" spans="1:1">
      <c r="A5051" s="346"/>
    </row>
    <row r="5052" spans="1:1">
      <c r="A5052" s="346"/>
    </row>
    <row r="5053" spans="1:1">
      <c r="A5053" s="346"/>
    </row>
    <row r="5054" spans="1:1">
      <c r="A5054" s="346"/>
    </row>
    <row r="5055" spans="1:1">
      <c r="A5055" s="346"/>
    </row>
    <row r="5056" spans="1:1">
      <c r="A5056" s="346"/>
    </row>
    <row r="5057" spans="1:1">
      <c r="A5057" s="346"/>
    </row>
    <row r="5058" spans="1:1">
      <c r="A5058" s="346"/>
    </row>
    <row r="5059" spans="1:1">
      <c r="A5059" s="346"/>
    </row>
    <row r="5060" spans="1:1">
      <c r="A5060" s="346"/>
    </row>
    <row r="5061" spans="1:1">
      <c r="A5061" s="346"/>
    </row>
    <row r="5062" spans="1:1">
      <c r="A5062" s="346"/>
    </row>
    <row r="5063" spans="1:1">
      <c r="A5063" s="346"/>
    </row>
    <row r="5064" spans="1:1">
      <c r="A5064" s="346"/>
    </row>
    <row r="5065" spans="1:1">
      <c r="A5065" s="346"/>
    </row>
    <row r="5066" spans="1:1">
      <c r="A5066" s="346"/>
    </row>
    <row r="5067" spans="1:1">
      <c r="A5067" s="346"/>
    </row>
    <row r="5068" spans="1:1">
      <c r="A5068" s="346"/>
    </row>
    <row r="5069" spans="1:1">
      <c r="A5069" s="346"/>
    </row>
    <row r="5070" spans="1:1">
      <c r="A5070" s="346"/>
    </row>
    <row r="5071" spans="1:1">
      <c r="A5071" s="346"/>
    </row>
    <row r="5072" spans="1:1">
      <c r="A5072" s="346"/>
    </row>
    <row r="5073" spans="1:1">
      <c r="A5073" s="346"/>
    </row>
    <row r="5074" spans="1:1">
      <c r="A5074" s="346"/>
    </row>
    <row r="5075" spans="1:1">
      <c r="A5075" s="346"/>
    </row>
    <row r="5076" spans="1:1">
      <c r="A5076" s="346"/>
    </row>
    <row r="5077" spans="1:1">
      <c r="A5077" s="346"/>
    </row>
    <row r="5078" spans="1:1">
      <c r="A5078" s="346"/>
    </row>
    <row r="5079" spans="1:1">
      <c r="A5079" s="346"/>
    </row>
    <row r="5080" spans="1:1">
      <c r="A5080" s="346"/>
    </row>
    <row r="5081" spans="1:1">
      <c r="A5081" s="346"/>
    </row>
    <row r="5082" spans="1:1">
      <c r="A5082" s="346"/>
    </row>
    <row r="5083" spans="1:1">
      <c r="A5083" s="346"/>
    </row>
    <row r="5084" spans="1:1">
      <c r="A5084" s="346"/>
    </row>
    <row r="5085" spans="1:1">
      <c r="A5085" s="346"/>
    </row>
    <row r="5086" spans="1:1">
      <c r="A5086" s="346"/>
    </row>
    <row r="5087" spans="1:1">
      <c r="A5087" s="346"/>
    </row>
    <row r="5088" spans="1:1">
      <c r="A5088" s="346"/>
    </row>
    <row r="5089" spans="1:1">
      <c r="A5089" s="346"/>
    </row>
    <row r="5090" spans="1:1">
      <c r="A5090" s="346"/>
    </row>
    <row r="5091" spans="1:1">
      <c r="A5091" s="346"/>
    </row>
    <row r="5092" spans="1:1">
      <c r="A5092" s="346"/>
    </row>
    <row r="5093" spans="1:1">
      <c r="A5093" s="346"/>
    </row>
    <row r="5094" spans="1:1">
      <c r="A5094" s="346"/>
    </row>
    <row r="5095" spans="1:1">
      <c r="A5095" s="346"/>
    </row>
    <row r="5096" spans="1:1">
      <c r="A5096" s="346"/>
    </row>
    <row r="5097" spans="1:1">
      <c r="A5097" s="346"/>
    </row>
    <row r="5098" spans="1:1">
      <c r="A5098" s="346"/>
    </row>
    <row r="5099" spans="1:1">
      <c r="A5099" s="346"/>
    </row>
    <row r="5100" spans="1:1">
      <c r="A5100" s="346"/>
    </row>
    <row r="5101" spans="1:1">
      <c r="A5101" s="346"/>
    </row>
    <row r="5102" spans="1:1">
      <c r="A5102" s="346"/>
    </row>
    <row r="5103" spans="1:1">
      <c r="A5103" s="346"/>
    </row>
    <row r="5104" spans="1:1">
      <c r="A5104" s="346"/>
    </row>
    <row r="5105" spans="1:1">
      <c r="A5105" s="346"/>
    </row>
    <row r="5106" spans="1:1">
      <c r="A5106" s="346"/>
    </row>
    <row r="5107" spans="1:1">
      <c r="A5107" s="346"/>
    </row>
    <row r="5108" spans="1:1">
      <c r="A5108" s="346"/>
    </row>
    <row r="5109" spans="1:1">
      <c r="A5109" s="346"/>
    </row>
    <row r="5110" spans="1:1">
      <c r="A5110" s="346"/>
    </row>
    <row r="5111" spans="1:1">
      <c r="A5111" s="346"/>
    </row>
    <row r="5112" spans="1:1">
      <c r="A5112" s="346"/>
    </row>
    <row r="5113" spans="1:1">
      <c r="A5113" s="346"/>
    </row>
    <row r="5114" spans="1:1">
      <c r="A5114" s="346"/>
    </row>
    <row r="5115" spans="1:1">
      <c r="A5115" s="346"/>
    </row>
    <row r="5116" spans="1:1">
      <c r="A5116" s="346"/>
    </row>
    <row r="5117" spans="1:1">
      <c r="A5117" s="346"/>
    </row>
    <row r="5118" spans="1:1">
      <c r="A5118" s="346"/>
    </row>
    <row r="5119" spans="1:1">
      <c r="A5119" s="346"/>
    </row>
    <row r="5120" spans="1:1">
      <c r="A5120" s="346"/>
    </row>
    <row r="5121" spans="1:1">
      <c r="A5121" s="346"/>
    </row>
    <row r="5122" spans="1:1">
      <c r="A5122" s="346"/>
    </row>
    <row r="5123" spans="1:1">
      <c r="A5123" s="346"/>
    </row>
    <row r="5124" spans="1:1">
      <c r="A5124" s="346"/>
    </row>
    <row r="5125" spans="1:1">
      <c r="A5125" s="346"/>
    </row>
    <row r="5126" spans="1:1">
      <c r="A5126" s="346"/>
    </row>
    <row r="5127" spans="1:1">
      <c r="A5127" s="346"/>
    </row>
    <row r="5128" spans="1:1">
      <c r="A5128" s="346"/>
    </row>
    <row r="5129" spans="1:1">
      <c r="A5129" s="346"/>
    </row>
    <row r="5130" spans="1:1">
      <c r="A5130" s="346"/>
    </row>
    <row r="5131" spans="1:1">
      <c r="A5131" s="346"/>
    </row>
    <row r="5132" spans="1:1">
      <c r="A5132" s="346"/>
    </row>
    <row r="5133" spans="1:1">
      <c r="A5133" s="346"/>
    </row>
    <row r="5134" spans="1:1">
      <c r="A5134" s="346"/>
    </row>
    <row r="5135" spans="1:1">
      <c r="A5135" s="346"/>
    </row>
    <row r="5136" spans="1:1">
      <c r="A5136" s="346"/>
    </row>
    <row r="5137" spans="1:1">
      <c r="A5137" s="346"/>
    </row>
    <row r="5138" spans="1:1">
      <c r="A5138" s="346"/>
    </row>
    <row r="5139" spans="1:1">
      <c r="A5139" s="346"/>
    </row>
    <row r="5140" spans="1:1">
      <c r="A5140" s="346"/>
    </row>
    <row r="5141" spans="1:1">
      <c r="A5141" s="346"/>
    </row>
    <row r="5142" spans="1:1">
      <c r="A5142" s="346"/>
    </row>
    <row r="5143" spans="1:1">
      <c r="A5143" s="346"/>
    </row>
    <row r="5144" spans="1:1">
      <c r="A5144" s="346"/>
    </row>
    <row r="5145" spans="1:1">
      <c r="A5145" s="346"/>
    </row>
    <row r="5146" spans="1:1">
      <c r="A5146" s="346"/>
    </row>
    <row r="5147" spans="1:1">
      <c r="A5147" s="346"/>
    </row>
    <row r="5148" spans="1:1">
      <c r="A5148" s="346"/>
    </row>
    <row r="5149" spans="1:1">
      <c r="A5149" s="346"/>
    </row>
    <row r="5150" spans="1:1">
      <c r="A5150" s="346"/>
    </row>
    <row r="5151" spans="1:1">
      <c r="A5151" s="346"/>
    </row>
    <row r="5152" spans="1:1">
      <c r="A5152" s="346"/>
    </row>
    <row r="5153" spans="1:1">
      <c r="A5153" s="346"/>
    </row>
    <row r="5154" spans="1:1">
      <c r="A5154" s="346"/>
    </row>
    <row r="5155" spans="1:1">
      <c r="A5155" s="346"/>
    </row>
    <row r="5156" spans="1:1">
      <c r="A5156" s="346"/>
    </row>
    <row r="5157" spans="1:1">
      <c r="A5157" s="346"/>
    </row>
    <row r="5158" spans="1:1">
      <c r="A5158" s="346"/>
    </row>
    <row r="5159" spans="1:1">
      <c r="A5159" s="346"/>
    </row>
    <row r="5160" spans="1:1">
      <c r="A5160" s="346"/>
    </row>
    <row r="5161" spans="1:1">
      <c r="A5161" s="346"/>
    </row>
    <row r="5162" spans="1:1">
      <c r="A5162" s="346"/>
    </row>
    <row r="5163" spans="1:1">
      <c r="A5163" s="346"/>
    </row>
    <row r="5164" spans="1:1">
      <c r="A5164" s="346"/>
    </row>
    <row r="5165" spans="1:1">
      <c r="A5165" s="346"/>
    </row>
    <row r="5166" spans="1:1">
      <c r="A5166" s="346"/>
    </row>
    <row r="5167" spans="1:1">
      <c r="A5167" s="346"/>
    </row>
    <row r="5168" spans="1:1">
      <c r="A5168" s="346"/>
    </row>
    <row r="5169" spans="1:1">
      <c r="A5169" s="346"/>
    </row>
    <row r="5170" spans="1:1">
      <c r="A5170" s="346"/>
    </row>
    <row r="5171" spans="1:1">
      <c r="A5171" s="346"/>
    </row>
    <row r="5172" spans="1:1">
      <c r="A5172" s="346"/>
    </row>
    <row r="5173" spans="1:1">
      <c r="A5173" s="346"/>
    </row>
    <row r="5174" spans="1:1">
      <c r="A5174" s="346"/>
    </row>
    <row r="5175" spans="1:1">
      <c r="A5175" s="346"/>
    </row>
    <row r="5176" spans="1:1">
      <c r="A5176" s="346"/>
    </row>
    <row r="5177" spans="1:1">
      <c r="A5177" s="346"/>
    </row>
    <row r="5178" spans="1:1">
      <c r="A5178" s="346"/>
    </row>
    <row r="5179" spans="1:1">
      <c r="A5179" s="346"/>
    </row>
    <row r="5180" spans="1:1">
      <c r="A5180" s="346"/>
    </row>
    <row r="5181" spans="1:1">
      <c r="A5181" s="346"/>
    </row>
    <row r="5182" spans="1:1">
      <c r="A5182" s="346"/>
    </row>
    <row r="5183" spans="1:1">
      <c r="A5183" s="346"/>
    </row>
    <row r="5184" spans="1:1">
      <c r="A5184" s="346"/>
    </row>
    <row r="5185" spans="1:1">
      <c r="A5185" s="346"/>
    </row>
    <row r="5186" spans="1:1">
      <c r="A5186" s="346"/>
    </row>
    <row r="5187" spans="1:1">
      <c r="A5187" s="346"/>
    </row>
    <row r="5188" spans="1:1">
      <c r="A5188" s="346"/>
    </row>
    <row r="5189" spans="1:1">
      <c r="A5189" s="346"/>
    </row>
    <row r="5190" spans="1:1">
      <c r="A5190" s="346"/>
    </row>
    <row r="5191" spans="1:1">
      <c r="A5191" s="346"/>
    </row>
    <row r="5192" spans="1:1">
      <c r="A5192" s="346"/>
    </row>
    <row r="5193" spans="1:1">
      <c r="A5193" s="346"/>
    </row>
    <row r="5194" spans="1:1">
      <c r="A5194" s="346"/>
    </row>
    <row r="5195" spans="1:1">
      <c r="A5195" s="346"/>
    </row>
    <row r="5196" spans="1:1">
      <c r="A5196" s="346"/>
    </row>
    <row r="5197" spans="1:1">
      <c r="A5197" s="346"/>
    </row>
    <row r="5198" spans="1:1">
      <c r="A5198" s="346"/>
    </row>
    <row r="5199" spans="1:1">
      <c r="A5199" s="346"/>
    </row>
    <row r="5200" spans="1:1">
      <c r="A5200" s="346"/>
    </row>
    <row r="5201" spans="1:1">
      <c r="A5201" s="346"/>
    </row>
    <row r="5202" spans="1:1">
      <c r="A5202" s="346"/>
    </row>
    <row r="5203" spans="1:1">
      <c r="A5203" s="346"/>
    </row>
    <row r="5204" spans="1:1">
      <c r="A5204" s="346"/>
    </row>
    <row r="5205" spans="1:1">
      <c r="A5205" s="346"/>
    </row>
    <row r="5206" spans="1:1">
      <c r="A5206" s="346"/>
    </row>
    <row r="5207" spans="1:1">
      <c r="A5207" s="346"/>
    </row>
    <row r="5208" spans="1:1">
      <c r="A5208" s="346"/>
    </row>
    <row r="5209" spans="1:1">
      <c r="A5209" s="346"/>
    </row>
    <row r="5210" spans="1:1">
      <c r="A5210" s="346"/>
    </row>
    <row r="5211" spans="1:1">
      <c r="A5211" s="346"/>
    </row>
    <row r="5212" spans="1:1">
      <c r="A5212" s="346"/>
    </row>
    <row r="5213" spans="1:1">
      <c r="A5213" s="346"/>
    </row>
    <row r="5214" spans="1:1">
      <c r="A5214" s="346"/>
    </row>
    <row r="5215" spans="1:1">
      <c r="A5215" s="346"/>
    </row>
    <row r="5216" spans="1:1">
      <c r="A5216" s="346"/>
    </row>
    <row r="5217" spans="1:1">
      <c r="A5217" s="346"/>
    </row>
    <row r="5218" spans="1:1">
      <c r="A5218" s="346"/>
    </row>
    <row r="5219" spans="1:1">
      <c r="A5219" s="346"/>
    </row>
    <row r="5220" spans="1:1">
      <c r="A5220" s="346"/>
    </row>
    <row r="5221" spans="1:1">
      <c r="A5221" s="346"/>
    </row>
    <row r="5222" spans="1:1">
      <c r="A5222" s="346"/>
    </row>
    <row r="5223" spans="1:1">
      <c r="A5223" s="346"/>
    </row>
    <row r="5224" spans="1:1">
      <c r="A5224" s="346"/>
    </row>
    <row r="5225" spans="1:1">
      <c r="A5225" s="346"/>
    </row>
    <row r="5226" spans="1:1">
      <c r="A5226" s="346"/>
    </row>
    <row r="5227" spans="1:1">
      <c r="A5227" s="346"/>
    </row>
    <row r="5228" spans="1:1">
      <c r="A5228" s="346"/>
    </row>
    <row r="5229" spans="1:1">
      <c r="A5229" s="346"/>
    </row>
    <row r="5230" spans="1:1">
      <c r="A5230" s="346"/>
    </row>
    <row r="5231" spans="1:1">
      <c r="A5231" s="346"/>
    </row>
    <row r="5232" spans="1:1">
      <c r="A5232" s="346"/>
    </row>
    <row r="5233" spans="1:1">
      <c r="A5233" s="346"/>
    </row>
    <row r="5234" spans="1:1">
      <c r="A5234" s="346"/>
    </row>
    <row r="5235" spans="1:1">
      <c r="A5235" s="346"/>
    </row>
    <row r="5236" spans="1:1">
      <c r="A5236" s="346"/>
    </row>
    <row r="5237" spans="1:1">
      <c r="A5237" s="346"/>
    </row>
    <row r="5238" spans="1:1">
      <c r="A5238" s="346"/>
    </row>
    <row r="5239" spans="1:1">
      <c r="A5239" s="346"/>
    </row>
    <row r="5240" spans="1:1">
      <c r="A5240" s="346"/>
    </row>
    <row r="5241" spans="1:1">
      <c r="A5241" s="346"/>
    </row>
    <row r="5242" spans="1:1">
      <c r="A5242" s="346"/>
    </row>
    <row r="5243" spans="1:1">
      <c r="A5243" s="346"/>
    </row>
    <row r="5244" spans="1:1">
      <c r="A5244" s="346"/>
    </row>
    <row r="5245" spans="1:1">
      <c r="A5245" s="346"/>
    </row>
    <row r="5246" spans="1:1">
      <c r="A5246" s="346"/>
    </row>
    <row r="5247" spans="1:1">
      <c r="A5247" s="346"/>
    </row>
    <row r="5248" spans="1:1">
      <c r="A5248" s="346"/>
    </row>
    <row r="5249" spans="1:1">
      <c r="A5249" s="346"/>
    </row>
    <row r="5250" spans="1:1">
      <c r="A5250" s="346"/>
    </row>
    <row r="5251" spans="1:1">
      <c r="A5251" s="346"/>
    </row>
    <row r="5252" spans="1:1">
      <c r="A5252" s="346"/>
    </row>
    <row r="5253" spans="1:1">
      <c r="A5253" s="346"/>
    </row>
    <row r="5254" spans="1:1">
      <c r="A5254" s="346"/>
    </row>
    <row r="5255" spans="1:1">
      <c r="A5255" s="346"/>
    </row>
    <row r="5256" spans="1:1">
      <c r="A5256" s="346"/>
    </row>
    <row r="5257" spans="1:1">
      <c r="A5257" s="346"/>
    </row>
    <row r="5258" spans="1:1">
      <c r="A5258" s="346"/>
    </row>
    <row r="5259" spans="1:1">
      <c r="A5259" s="346"/>
    </row>
    <row r="5260" spans="1:1">
      <c r="A5260" s="346"/>
    </row>
    <row r="5261" spans="1:1">
      <c r="A5261" s="346"/>
    </row>
    <row r="5262" spans="1:1">
      <c r="A5262" s="346"/>
    </row>
    <row r="5263" spans="1:1">
      <c r="A5263" s="346"/>
    </row>
    <row r="5264" spans="1:1">
      <c r="A5264" s="346"/>
    </row>
    <row r="5265" spans="1:1">
      <c r="A5265" s="346"/>
    </row>
    <row r="5266" spans="1:1">
      <c r="A5266" s="346"/>
    </row>
    <row r="5267" spans="1:1">
      <c r="A5267" s="346"/>
    </row>
    <row r="5268" spans="1:1">
      <c r="A5268" s="346"/>
    </row>
    <row r="5269" spans="1:1">
      <c r="A5269" s="346"/>
    </row>
    <row r="5270" spans="1:1">
      <c r="A5270" s="346"/>
    </row>
    <row r="5271" spans="1:1">
      <c r="A5271" s="346"/>
    </row>
    <row r="5272" spans="1:1">
      <c r="A5272" s="346"/>
    </row>
    <row r="5273" spans="1:1">
      <c r="A5273" s="346"/>
    </row>
    <row r="5274" spans="1:1">
      <c r="A5274" s="346"/>
    </row>
    <row r="5275" spans="1:1">
      <c r="A5275" s="346"/>
    </row>
    <row r="5276" spans="1:1">
      <c r="A5276" s="346"/>
    </row>
    <row r="5277" spans="1:1">
      <c r="A5277" s="346"/>
    </row>
    <row r="5278" spans="1:1">
      <c r="A5278" s="346"/>
    </row>
    <row r="5279" spans="1:1">
      <c r="A5279" s="346"/>
    </row>
    <row r="5280" spans="1:1">
      <c r="A5280" s="346"/>
    </row>
    <row r="5281" spans="1:1">
      <c r="A5281" s="346"/>
    </row>
    <row r="5282" spans="1:1">
      <c r="A5282" s="346"/>
    </row>
    <row r="5283" spans="1:1">
      <c r="A5283" s="346"/>
    </row>
    <row r="5284" spans="1:1">
      <c r="A5284" s="346"/>
    </row>
    <row r="5285" spans="1:1">
      <c r="A5285" s="346"/>
    </row>
    <row r="5286" spans="1:1">
      <c r="A5286" s="346"/>
    </row>
    <row r="5287" spans="1:1">
      <c r="A5287" s="346"/>
    </row>
    <row r="5288" spans="1:1">
      <c r="A5288" s="346"/>
    </row>
    <row r="5289" spans="1:1">
      <c r="A5289" s="346"/>
    </row>
    <row r="5290" spans="1:1">
      <c r="A5290" s="346"/>
    </row>
    <row r="5291" spans="1:1">
      <c r="A5291" s="346"/>
    </row>
    <row r="5292" spans="1:1">
      <c r="A5292" s="346"/>
    </row>
    <row r="5293" spans="1:1">
      <c r="A5293" s="346"/>
    </row>
    <row r="5294" spans="1:1">
      <c r="A5294" s="346"/>
    </row>
    <row r="5295" spans="1:1">
      <c r="A5295" s="346"/>
    </row>
    <row r="5296" spans="1:1">
      <c r="A5296" s="346"/>
    </row>
    <row r="5297" spans="1:1">
      <c r="A5297" s="346"/>
    </row>
    <row r="5298" spans="1:1">
      <c r="A5298" s="346"/>
    </row>
    <row r="5299" spans="1:1">
      <c r="A5299" s="346"/>
    </row>
    <row r="5300" spans="1:1">
      <c r="A5300" s="346"/>
    </row>
    <row r="5301" spans="1:1">
      <c r="A5301" s="346"/>
    </row>
    <row r="5302" spans="1:1">
      <c r="A5302" s="346"/>
    </row>
    <row r="5303" spans="1:1">
      <c r="A5303" s="346"/>
    </row>
    <row r="5304" spans="1:1">
      <c r="A5304" s="346"/>
    </row>
    <row r="5305" spans="1:1">
      <c r="A5305" s="346"/>
    </row>
    <row r="5306" spans="1:1">
      <c r="A5306" s="346"/>
    </row>
    <row r="5307" spans="1:1">
      <c r="A5307" s="346"/>
    </row>
    <row r="5308" spans="1:1">
      <c r="A5308" s="346"/>
    </row>
    <row r="5309" spans="1:1">
      <c r="A5309" s="346"/>
    </row>
    <row r="5310" spans="1:1">
      <c r="A5310" s="346"/>
    </row>
    <row r="5311" spans="1:1">
      <c r="A5311" s="346"/>
    </row>
    <row r="5312" spans="1:1">
      <c r="A5312" s="346"/>
    </row>
    <row r="5313" spans="1:1">
      <c r="A5313" s="346"/>
    </row>
    <row r="5314" spans="1:1">
      <c r="A5314" s="346"/>
    </row>
    <row r="5315" spans="1:1">
      <c r="A5315" s="346"/>
    </row>
    <row r="5316" spans="1:1">
      <c r="A5316" s="346"/>
    </row>
    <row r="5317" spans="1:1">
      <c r="A5317" s="346"/>
    </row>
    <row r="5318" spans="1:1">
      <c r="A5318" s="346"/>
    </row>
    <row r="5319" spans="1:1">
      <c r="A5319" s="346"/>
    </row>
    <row r="5320" spans="1:1">
      <c r="A5320" s="346"/>
    </row>
    <row r="5321" spans="1:1">
      <c r="A5321" s="346"/>
    </row>
    <row r="5322" spans="1:1">
      <c r="A5322" s="346"/>
    </row>
    <row r="5323" spans="1:1">
      <c r="A5323" s="346"/>
    </row>
    <row r="5324" spans="1:1">
      <c r="A5324" s="346"/>
    </row>
    <row r="5325" spans="1:1">
      <c r="A5325" s="346"/>
    </row>
    <row r="5326" spans="1:1">
      <c r="A5326" s="346"/>
    </row>
    <row r="5327" spans="1:1">
      <c r="A5327" s="346"/>
    </row>
    <row r="5328" spans="1:1">
      <c r="A5328" s="346"/>
    </row>
    <row r="5329" spans="1:1">
      <c r="A5329" s="346"/>
    </row>
    <row r="5330" spans="1:1">
      <c r="A5330" s="346"/>
    </row>
    <row r="5331" spans="1:1">
      <c r="A5331" s="346"/>
    </row>
    <row r="5332" spans="1:1">
      <c r="A5332" s="346"/>
    </row>
    <row r="5333" spans="1:1">
      <c r="A5333" s="346"/>
    </row>
    <row r="5334" spans="1:1">
      <c r="A5334" s="346"/>
    </row>
    <row r="5335" spans="1:1">
      <c r="A5335" s="346"/>
    </row>
    <row r="5336" spans="1:1">
      <c r="A5336" s="346"/>
    </row>
    <row r="5337" spans="1:1">
      <c r="A5337" s="346"/>
    </row>
    <row r="5338" spans="1:1">
      <c r="A5338" s="346"/>
    </row>
    <row r="5339" spans="1:1">
      <c r="A5339" s="346"/>
    </row>
    <row r="5340" spans="1:1">
      <c r="A5340" s="346"/>
    </row>
    <row r="5341" spans="1:1">
      <c r="A5341" s="346"/>
    </row>
    <row r="5342" spans="1:1">
      <c r="A5342" s="346"/>
    </row>
    <row r="5343" spans="1:1">
      <c r="A5343" s="346"/>
    </row>
    <row r="5344" spans="1:1">
      <c r="A5344" s="346"/>
    </row>
    <row r="5345" spans="1:1">
      <c r="A5345" s="346"/>
    </row>
    <row r="5346" spans="1:1">
      <c r="A5346" s="346"/>
    </row>
    <row r="5347" spans="1:1">
      <c r="A5347" s="346"/>
    </row>
    <row r="5348" spans="1:1">
      <c r="A5348" s="346"/>
    </row>
    <row r="5349" spans="1:1">
      <c r="A5349" s="346"/>
    </row>
    <row r="5350" spans="1:1">
      <c r="A5350" s="346"/>
    </row>
    <row r="5351" spans="1:1">
      <c r="A5351" s="346"/>
    </row>
    <row r="5352" spans="1:1">
      <c r="A5352" s="346"/>
    </row>
    <row r="5353" spans="1:1">
      <c r="A5353" s="346"/>
    </row>
    <row r="5354" spans="1:1">
      <c r="A5354" s="346"/>
    </row>
    <row r="5355" spans="1:1">
      <c r="A5355" s="346"/>
    </row>
    <row r="5356" spans="1:1">
      <c r="A5356" s="346"/>
    </row>
    <row r="5357" spans="1:1">
      <c r="A5357" s="346"/>
    </row>
    <row r="5358" spans="1:1">
      <c r="A5358" s="346"/>
    </row>
    <row r="5359" spans="1:1">
      <c r="A5359" s="346"/>
    </row>
    <row r="5360" spans="1:1">
      <c r="A5360" s="346"/>
    </row>
    <row r="5361" spans="1:1">
      <c r="A5361" s="346"/>
    </row>
    <row r="5362" spans="1:1">
      <c r="A5362" s="346"/>
    </row>
    <row r="5363" spans="1:1">
      <c r="A5363" s="346"/>
    </row>
    <row r="5364" spans="1:1">
      <c r="A5364" s="346"/>
    </row>
    <row r="5365" spans="1:1">
      <c r="A5365" s="346"/>
    </row>
    <row r="5366" spans="1:1">
      <c r="A5366" s="346"/>
    </row>
    <row r="5367" spans="1:1">
      <c r="A5367" s="346"/>
    </row>
    <row r="5368" spans="1:1">
      <c r="A5368" s="346"/>
    </row>
    <row r="5369" spans="1:1">
      <c r="A5369" s="346"/>
    </row>
    <row r="5370" spans="1:1">
      <c r="A5370" s="346"/>
    </row>
    <row r="5371" spans="1:1">
      <c r="A5371" s="346"/>
    </row>
    <row r="5372" spans="1:1">
      <c r="A5372" s="346"/>
    </row>
    <row r="5373" spans="1:1">
      <c r="A5373" s="346"/>
    </row>
    <row r="5374" spans="1:1">
      <c r="A5374" s="346"/>
    </row>
    <row r="5375" spans="1:1">
      <c r="A5375" s="346"/>
    </row>
    <row r="5376" spans="1:1">
      <c r="A5376" s="346"/>
    </row>
    <row r="5377" spans="1:1">
      <c r="A5377" s="346"/>
    </row>
    <row r="5378" spans="1:1">
      <c r="A5378" s="346"/>
    </row>
    <row r="5379" spans="1:1">
      <c r="A5379" s="346"/>
    </row>
    <row r="5380" spans="1:1">
      <c r="A5380" s="346"/>
    </row>
    <row r="5381" spans="1:1">
      <c r="A5381" s="346"/>
    </row>
    <row r="5382" spans="1:1">
      <c r="A5382" s="346"/>
    </row>
    <row r="5383" spans="1:1">
      <c r="A5383" s="346"/>
    </row>
    <row r="5384" spans="1:1">
      <c r="A5384" s="346"/>
    </row>
    <row r="5385" spans="1:1">
      <c r="A5385" s="346"/>
    </row>
    <row r="5386" spans="1:1">
      <c r="A5386" s="346"/>
    </row>
    <row r="5387" spans="1:1">
      <c r="A5387" s="346"/>
    </row>
    <row r="5388" spans="1:1">
      <c r="A5388" s="346"/>
    </row>
    <row r="5389" spans="1:1">
      <c r="A5389" s="346"/>
    </row>
    <row r="5390" spans="1:1">
      <c r="A5390" s="346"/>
    </row>
    <row r="5391" spans="1:1">
      <c r="A5391" s="346"/>
    </row>
    <row r="5392" spans="1:1">
      <c r="A5392" s="346"/>
    </row>
    <row r="5393" spans="1:1">
      <c r="A5393" s="346"/>
    </row>
    <row r="5394" spans="1:1">
      <c r="A5394" s="346"/>
    </row>
    <row r="5395" spans="1:1">
      <c r="A5395" s="346"/>
    </row>
    <row r="5396" spans="1:1">
      <c r="A5396" s="346"/>
    </row>
    <row r="5397" spans="1:1">
      <c r="A5397" s="346"/>
    </row>
    <row r="5398" spans="1:1">
      <c r="A5398" s="346"/>
    </row>
    <row r="5399" spans="1:1">
      <c r="A5399" s="346"/>
    </row>
    <row r="5400" spans="1:1">
      <c r="A5400" s="346"/>
    </row>
    <row r="5401" spans="1:1">
      <c r="A5401" s="346"/>
    </row>
    <row r="5402" spans="1:1">
      <c r="A5402" s="346"/>
    </row>
    <row r="5403" spans="1:1">
      <c r="A5403" s="346"/>
    </row>
    <row r="5404" spans="1:1">
      <c r="A5404" s="346"/>
    </row>
    <row r="5405" spans="1:1">
      <c r="A5405" s="346"/>
    </row>
    <row r="5406" spans="1:1">
      <c r="A5406" s="346"/>
    </row>
    <row r="5407" spans="1:1">
      <c r="A5407" s="346"/>
    </row>
    <row r="5408" spans="1:1">
      <c r="A5408" s="346"/>
    </row>
    <row r="5409" spans="1:1">
      <c r="A5409" s="346"/>
    </row>
    <row r="5410" spans="1:1">
      <c r="A5410" s="346"/>
    </row>
    <row r="5411" spans="1:1">
      <c r="A5411" s="346"/>
    </row>
    <row r="5412" spans="1:1">
      <c r="A5412" s="346"/>
    </row>
    <row r="5413" spans="1:1">
      <c r="A5413" s="346"/>
    </row>
    <row r="5414" spans="1:1">
      <c r="A5414" s="346"/>
    </row>
    <row r="5415" spans="1:1">
      <c r="A5415" s="346"/>
    </row>
    <row r="5416" spans="1:1">
      <c r="A5416" s="346"/>
    </row>
    <row r="5417" spans="1:1">
      <c r="A5417" s="346"/>
    </row>
    <row r="5418" spans="1:1">
      <c r="A5418" s="346"/>
    </row>
    <row r="5419" spans="1:1">
      <c r="A5419" s="346"/>
    </row>
    <row r="5420" spans="1:1">
      <c r="A5420" s="346"/>
    </row>
    <row r="5421" spans="1:1">
      <c r="A5421" s="346"/>
    </row>
    <row r="5422" spans="1:1">
      <c r="A5422" s="346"/>
    </row>
    <row r="5423" spans="1:1">
      <c r="A5423" s="346"/>
    </row>
    <row r="5424" spans="1:1">
      <c r="A5424" s="346"/>
    </row>
    <row r="5425" spans="1:1">
      <c r="A5425" s="346"/>
    </row>
    <row r="5426" spans="1:1">
      <c r="A5426" s="346"/>
    </row>
    <row r="5427" spans="1:1">
      <c r="A5427" s="346"/>
    </row>
    <row r="5428" spans="1:1">
      <c r="A5428" s="346"/>
    </row>
    <row r="5429" spans="1:1">
      <c r="A5429" s="346"/>
    </row>
    <row r="5430" spans="1:1">
      <c r="A5430" s="346"/>
    </row>
    <row r="5431" spans="1:1">
      <c r="A5431" s="346"/>
    </row>
    <row r="5432" spans="1:1">
      <c r="A5432" s="346"/>
    </row>
    <row r="5433" spans="1:1">
      <c r="A5433" s="346"/>
    </row>
    <row r="5434" spans="1:1">
      <c r="A5434" s="346"/>
    </row>
    <row r="5435" spans="1:1">
      <c r="A5435" s="346"/>
    </row>
    <row r="5436" spans="1:1">
      <c r="A5436" s="346"/>
    </row>
    <row r="5437" spans="1:1">
      <c r="A5437" s="346"/>
    </row>
    <row r="5438" spans="1:1">
      <c r="A5438" s="346"/>
    </row>
    <row r="5439" spans="1:1">
      <c r="A5439" s="346"/>
    </row>
    <row r="5440" spans="1:1">
      <c r="A5440" s="346"/>
    </row>
    <row r="5441" spans="1:1">
      <c r="A5441" s="346"/>
    </row>
    <row r="5442" spans="1:1">
      <c r="A5442" s="346"/>
    </row>
    <row r="5443" spans="1:1">
      <c r="A5443" s="346"/>
    </row>
    <row r="5444" spans="1:1">
      <c r="A5444" s="346"/>
    </row>
    <row r="5445" spans="1:1">
      <c r="A5445" s="346"/>
    </row>
    <row r="5446" spans="1:1">
      <c r="A5446" s="346"/>
    </row>
    <row r="5447" spans="1:1">
      <c r="A5447" s="346"/>
    </row>
    <row r="5448" spans="1:1">
      <c r="A5448" s="346"/>
    </row>
    <row r="5449" spans="1:1">
      <c r="A5449" s="346"/>
    </row>
    <row r="5450" spans="1:1">
      <c r="A5450" s="346"/>
    </row>
    <row r="5451" spans="1:1">
      <c r="A5451" s="346"/>
    </row>
    <row r="5452" spans="1:1">
      <c r="A5452" s="346"/>
    </row>
    <row r="5453" spans="1:1">
      <c r="A5453" s="346"/>
    </row>
    <row r="5454" spans="1:1">
      <c r="A5454" s="346"/>
    </row>
    <row r="5455" spans="1:1">
      <c r="A5455" s="346"/>
    </row>
    <row r="5456" spans="1:1">
      <c r="A5456" s="346"/>
    </row>
    <row r="5457" spans="1:1">
      <c r="A5457" s="346"/>
    </row>
    <row r="5458" spans="1:1">
      <c r="A5458" s="346"/>
    </row>
    <row r="5459" spans="1:1">
      <c r="A5459" s="346"/>
    </row>
    <row r="5460" spans="1:1">
      <c r="A5460" s="346"/>
    </row>
    <row r="5461" spans="1:1">
      <c r="A5461" s="346"/>
    </row>
    <row r="5462" spans="1:1">
      <c r="A5462" s="346"/>
    </row>
    <row r="5463" spans="1:1">
      <c r="A5463" s="346"/>
    </row>
    <row r="5464" spans="1:1">
      <c r="A5464" s="346"/>
    </row>
    <row r="5465" spans="1:1">
      <c r="A5465" s="346"/>
    </row>
    <row r="5466" spans="1:1">
      <c r="A5466" s="346"/>
    </row>
    <row r="5467" spans="1:1">
      <c r="A5467" s="346"/>
    </row>
    <row r="5468" spans="1:1">
      <c r="A5468" s="346"/>
    </row>
    <row r="5469" spans="1:1">
      <c r="A5469" s="346"/>
    </row>
    <row r="5470" spans="1:1">
      <c r="A5470" s="346"/>
    </row>
    <row r="5471" spans="1:1">
      <c r="A5471" s="346"/>
    </row>
    <row r="5472" spans="1:1">
      <c r="A5472" s="346"/>
    </row>
    <row r="5473" spans="1:1">
      <c r="A5473" s="346"/>
    </row>
    <row r="5474" spans="1:1">
      <c r="A5474" s="346"/>
    </row>
    <row r="5475" spans="1:1">
      <c r="A5475" s="346"/>
    </row>
    <row r="5476" spans="1:1">
      <c r="A5476" s="346"/>
    </row>
    <row r="5477" spans="1:1">
      <c r="A5477" s="346"/>
    </row>
    <row r="5478" spans="1:1">
      <c r="A5478" s="346"/>
    </row>
    <row r="5479" spans="1:1">
      <c r="A5479" s="346"/>
    </row>
    <row r="5480" spans="1:1">
      <c r="A5480" s="346"/>
    </row>
    <row r="5481" spans="1:1">
      <c r="A5481" s="346"/>
    </row>
    <row r="5482" spans="1:1">
      <c r="A5482" s="346"/>
    </row>
    <row r="5483" spans="1:1">
      <c r="A5483" s="346"/>
    </row>
    <row r="5484" spans="1:1">
      <c r="A5484" s="346"/>
    </row>
    <row r="5485" spans="1:1">
      <c r="A5485" s="346"/>
    </row>
    <row r="5486" spans="1:1">
      <c r="A5486" s="346"/>
    </row>
    <row r="5487" spans="1:1">
      <c r="A5487" s="346"/>
    </row>
    <row r="5488" spans="1:1">
      <c r="A5488" s="346"/>
    </row>
    <row r="5489" spans="1:1">
      <c r="A5489" s="346"/>
    </row>
    <row r="5490" spans="1:1">
      <c r="A5490" s="346"/>
    </row>
    <row r="5491" spans="1:1">
      <c r="A5491" s="346"/>
    </row>
    <row r="5492" spans="1:1">
      <c r="A5492" s="346"/>
    </row>
    <row r="5493" spans="1:1">
      <c r="A5493" s="346"/>
    </row>
    <row r="5494" spans="1:1">
      <c r="A5494" s="346"/>
    </row>
    <row r="5495" spans="1:1">
      <c r="A5495" s="346"/>
    </row>
    <row r="5496" spans="1:1">
      <c r="A5496" s="346"/>
    </row>
    <row r="5497" spans="1:1">
      <c r="A5497" s="346"/>
    </row>
    <row r="5498" spans="1:1">
      <c r="A5498" s="346"/>
    </row>
    <row r="5499" spans="1:1">
      <c r="A5499" s="346"/>
    </row>
    <row r="5500" spans="1:1">
      <c r="A5500" s="346"/>
    </row>
    <row r="5501" spans="1:1">
      <c r="A5501" s="346"/>
    </row>
    <row r="5502" spans="1:1">
      <c r="A5502" s="346"/>
    </row>
    <row r="5503" spans="1:1">
      <c r="A5503" s="346"/>
    </row>
    <row r="5504" spans="1:1">
      <c r="A5504" s="346"/>
    </row>
    <row r="5505" spans="1:1">
      <c r="A5505" s="346"/>
    </row>
    <row r="5506" spans="1:1">
      <c r="A5506" s="346"/>
    </row>
    <row r="5507" spans="1:1">
      <c r="A5507" s="346"/>
    </row>
    <row r="5508" spans="1:1">
      <c r="A5508" s="346"/>
    </row>
    <row r="5509" spans="1:1">
      <c r="A5509" s="346"/>
    </row>
    <row r="5510" spans="1:1">
      <c r="A5510" s="346"/>
    </row>
    <row r="5511" spans="1:1">
      <c r="A5511" s="346"/>
    </row>
    <row r="5512" spans="1:1">
      <c r="A5512" s="346"/>
    </row>
    <row r="5513" spans="1:1">
      <c r="A5513" s="346"/>
    </row>
    <row r="5514" spans="1:1">
      <c r="A5514" s="346"/>
    </row>
    <row r="5515" spans="1:1">
      <c r="A5515" s="346"/>
    </row>
    <row r="5516" spans="1:1">
      <c r="A5516" s="346"/>
    </row>
    <row r="5517" spans="1:1">
      <c r="A5517" s="346"/>
    </row>
    <row r="5518" spans="1:1">
      <c r="A5518" s="346"/>
    </row>
    <row r="5519" spans="1:1">
      <c r="A5519" s="346"/>
    </row>
    <row r="5520" spans="1:1">
      <c r="A5520" s="346"/>
    </row>
    <row r="5521" spans="1:1">
      <c r="A5521" s="346"/>
    </row>
    <row r="5522" spans="1:1">
      <c r="A5522" s="346"/>
    </row>
    <row r="5523" spans="1:1">
      <c r="A5523" s="346"/>
    </row>
    <row r="5524" spans="1:1">
      <c r="A5524" s="346"/>
    </row>
    <row r="5525" spans="1:1">
      <c r="A5525" s="346"/>
    </row>
    <row r="5526" spans="1:1">
      <c r="A5526" s="346"/>
    </row>
    <row r="5527" spans="1:1">
      <c r="A5527" s="346"/>
    </row>
    <row r="5528" spans="1:1">
      <c r="A5528" s="346"/>
    </row>
    <row r="5529" spans="1:1">
      <c r="A5529" s="346"/>
    </row>
    <row r="5530" spans="1:1">
      <c r="A5530" s="346"/>
    </row>
    <row r="5531" spans="1:1">
      <c r="A5531" s="346"/>
    </row>
    <row r="5532" spans="1:1">
      <c r="A5532" s="346"/>
    </row>
    <row r="5533" spans="1:1">
      <c r="A5533" s="346"/>
    </row>
    <row r="5534" spans="1:1">
      <c r="A5534" s="346"/>
    </row>
    <row r="5535" spans="1:1">
      <c r="A5535" s="346"/>
    </row>
    <row r="5536" spans="1:1">
      <c r="A5536" s="346"/>
    </row>
    <row r="5537" spans="1:1">
      <c r="A5537" s="346"/>
    </row>
    <row r="5538" spans="1:1">
      <c r="A5538" s="346"/>
    </row>
    <row r="5539" spans="1:1">
      <c r="A5539" s="346"/>
    </row>
    <row r="5540" spans="1:1">
      <c r="A5540" s="346"/>
    </row>
    <row r="5541" spans="1:1">
      <c r="A5541" s="346"/>
    </row>
    <row r="5542" spans="1:1">
      <c r="A5542" s="346"/>
    </row>
    <row r="5543" spans="1:1">
      <c r="A5543" s="346"/>
    </row>
    <row r="5544" spans="1:1">
      <c r="A5544" s="346"/>
    </row>
    <row r="5545" spans="1:1">
      <c r="A5545" s="346"/>
    </row>
    <row r="5546" spans="1:1">
      <c r="A5546" s="346"/>
    </row>
    <row r="5547" spans="1:1">
      <c r="A5547" s="346"/>
    </row>
    <row r="5548" spans="1:1">
      <c r="A5548" s="346"/>
    </row>
    <row r="5549" spans="1:1">
      <c r="A5549" s="346"/>
    </row>
    <row r="5550" spans="1:1">
      <c r="A5550" s="346"/>
    </row>
    <row r="5551" spans="1:1">
      <c r="A5551" s="346"/>
    </row>
    <row r="5552" spans="1:1">
      <c r="A5552" s="346"/>
    </row>
    <row r="5553" spans="1:1">
      <c r="A5553" s="346"/>
    </row>
    <row r="5554" spans="1:1">
      <c r="A5554" s="346"/>
    </row>
    <row r="5555" spans="1:1">
      <c r="A5555" s="346"/>
    </row>
    <row r="5556" spans="1:1">
      <c r="A5556" s="346"/>
    </row>
    <row r="5557" spans="1:1">
      <c r="A5557" s="346"/>
    </row>
    <row r="5558" spans="1:1">
      <c r="A5558" s="346"/>
    </row>
    <row r="5559" spans="1:1">
      <c r="A5559" s="346"/>
    </row>
    <row r="5560" spans="1:1">
      <c r="A5560" s="346"/>
    </row>
    <row r="5561" spans="1:1">
      <c r="A5561" s="346"/>
    </row>
    <row r="5562" spans="1:1">
      <c r="A5562" s="346"/>
    </row>
    <row r="5563" spans="1:1">
      <c r="A5563" s="346"/>
    </row>
    <row r="5564" spans="1:1">
      <c r="A5564" s="346"/>
    </row>
    <row r="5565" spans="1:1">
      <c r="A5565" s="346"/>
    </row>
    <row r="5566" spans="1:1">
      <c r="A5566" s="346"/>
    </row>
    <row r="5567" spans="1:1">
      <c r="A5567" s="346"/>
    </row>
    <row r="5568" spans="1:1">
      <c r="A5568" s="346"/>
    </row>
    <row r="5569" spans="1:1">
      <c r="A5569" s="346"/>
    </row>
    <row r="5570" spans="1:1">
      <c r="A5570" s="346"/>
    </row>
    <row r="5571" spans="1:1">
      <c r="A5571" s="346"/>
    </row>
    <row r="5572" spans="1:1">
      <c r="A5572" s="346"/>
    </row>
    <row r="5573" spans="1:1">
      <c r="A5573" s="346"/>
    </row>
    <row r="5574" spans="1:1">
      <c r="A5574" s="346"/>
    </row>
    <row r="5575" spans="1:1">
      <c r="A5575" s="346"/>
    </row>
    <row r="5576" spans="1:1">
      <c r="A5576" s="346"/>
    </row>
    <row r="5577" spans="1:1">
      <c r="A5577" s="346"/>
    </row>
    <row r="5578" spans="1:1">
      <c r="A5578" s="346"/>
    </row>
    <row r="5579" spans="1:1">
      <c r="A5579" s="346"/>
    </row>
    <row r="5580" spans="1:1">
      <c r="A5580" s="346"/>
    </row>
    <row r="5581" spans="1:1">
      <c r="A5581" s="346"/>
    </row>
    <row r="5582" spans="1:1">
      <c r="A5582" s="346"/>
    </row>
    <row r="5583" spans="1:1">
      <c r="A5583" s="346"/>
    </row>
    <row r="5584" spans="1:1">
      <c r="A5584" s="346"/>
    </row>
    <row r="5585" spans="1:1">
      <c r="A5585" s="346"/>
    </row>
    <row r="5586" spans="1:1">
      <c r="A5586" s="346"/>
    </row>
    <row r="5587" spans="1:1">
      <c r="A5587" s="346"/>
    </row>
    <row r="5588" spans="1:1">
      <c r="A5588" s="346"/>
    </row>
    <row r="5589" spans="1:1">
      <c r="A5589" s="346"/>
    </row>
    <row r="5590" spans="1:1">
      <c r="A5590" s="346"/>
    </row>
    <row r="5591" spans="1:1">
      <c r="A5591" s="346"/>
    </row>
    <row r="5592" spans="1:1">
      <c r="A5592" s="346"/>
    </row>
    <row r="5593" spans="1:1">
      <c r="A5593" s="346"/>
    </row>
    <row r="5594" spans="1:1">
      <c r="A5594" s="346"/>
    </row>
    <row r="5595" spans="1:1">
      <c r="A5595" s="346"/>
    </row>
    <row r="5596" spans="1:1">
      <c r="A5596" s="346"/>
    </row>
    <row r="5597" spans="1:1">
      <c r="A5597" s="346"/>
    </row>
    <row r="5598" spans="1:1">
      <c r="A5598" s="346"/>
    </row>
    <row r="5599" spans="1:1">
      <c r="A5599" s="346"/>
    </row>
    <row r="5600" spans="1:1">
      <c r="A5600" s="346"/>
    </row>
    <row r="5601" spans="1:1">
      <c r="A5601" s="346"/>
    </row>
    <row r="5602" spans="1:1">
      <c r="A5602" s="346"/>
    </row>
    <row r="5603" spans="1:1">
      <c r="A5603" s="346"/>
    </row>
    <row r="5604" spans="1:1">
      <c r="A5604" s="346"/>
    </row>
    <row r="5605" spans="1:1">
      <c r="A5605" s="346"/>
    </row>
    <row r="5606" spans="1:1">
      <c r="A5606" s="346"/>
    </row>
    <row r="5607" spans="1:1">
      <c r="A5607" s="346"/>
    </row>
    <row r="5608" spans="1:1">
      <c r="A5608" s="346"/>
    </row>
    <row r="5609" spans="1:1">
      <c r="A5609" s="346"/>
    </row>
    <row r="5610" spans="1:1">
      <c r="A5610" s="346"/>
    </row>
    <row r="5611" spans="1:1">
      <c r="A5611" s="346"/>
    </row>
    <row r="5612" spans="1:1">
      <c r="A5612" s="346"/>
    </row>
    <row r="5613" spans="1:1">
      <c r="A5613" s="346"/>
    </row>
    <row r="5614" spans="1:1">
      <c r="A5614" s="346"/>
    </row>
    <row r="5615" spans="1:1">
      <c r="A5615" s="346"/>
    </row>
    <row r="5616" spans="1:1">
      <c r="A5616" s="346"/>
    </row>
    <row r="5617" spans="1:1">
      <c r="A5617" s="346"/>
    </row>
    <row r="5618" spans="1:1">
      <c r="A5618" s="346"/>
    </row>
    <row r="5619" spans="1:1">
      <c r="A5619" s="346"/>
    </row>
    <row r="5620" spans="1:1">
      <c r="A5620" s="346"/>
    </row>
    <row r="5621" spans="1:1">
      <c r="A5621" s="346"/>
    </row>
    <row r="5622" spans="1:1">
      <c r="A5622" s="346"/>
    </row>
    <row r="5623" spans="1:1">
      <c r="A5623" s="346"/>
    </row>
    <row r="5624" spans="1:1">
      <c r="A5624" s="346"/>
    </row>
    <row r="5625" spans="1:1">
      <c r="A5625" s="346"/>
    </row>
    <row r="5626" spans="1:1">
      <c r="A5626" s="346"/>
    </row>
    <row r="5627" spans="1:1">
      <c r="A5627" s="346"/>
    </row>
    <row r="5628" spans="1:1">
      <c r="A5628" s="346"/>
    </row>
    <row r="5629" spans="1:1">
      <c r="A5629" s="346"/>
    </row>
    <row r="5630" spans="1:1">
      <c r="A5630" s="346"/>
    </row>
    <row r="5631" spans="1:1">
      <c r="A5631" s="346"/>
    </row>
    <row r="5632" spans="1:1">
      <c r="A5632" s="346"/>
    </row>
    <row r="5633" spans="1:1">
      <c r="A5633" s="346"/>
    </row>
    <row r="5634" spans="1:1">
      <c r="A5634" s="346"/>
    </row>
    <row r="5635" spans="1:1">
      <c r="A5635" s="346"/>
    </row>
    <row r="5636" spans="1:1">
      <c r="A5636" s="346"/>
    </row>
    <row r="5637" spans="1:1">
      <c r="A5637" s="346"/>
    </row>
    <row r="5638" spans="1:1">
      <c r="A5638" s="346"/>
    </row>
    <row r="5639" spans="1:1">
      <c r="A5639" s="346"/>
    </row>
    <row r="5640" spans="1:1">
      <c r="A5640" s="346"/>
    </row>
    <row r="5641" spans="1:1">
      <c r="A5641" s="346"/>
    </row>
    <row r="5642" spans="1:1">
      <c r="A5642" s="346"/>
    </row>
    <row r="5643" spans="1:1">
      <c r="A5643" s="346"/>
    </row>
    <row r="5644" spans="1:1">
      <c r="A5644" s="346"/>
    </row>
    <row r="5645" spans="1:1">
      <c r="A5645" s="346"/>
    </row>
    <row r="5646" spans="1:1">
      <c r="A5646" s="346"/>
    </row>
    <row r="5647" spans="1:1">
      <c r="A5647" s="346"/>
    </row>
    <row r="5648" spans="1:1">
      <c r="A5648" s="346"/>
    </row>
    <row r="5649" spans="1:1">
      <c r="A5649" s="346"/>
    </row>
    <row r="5650" spans="1:1">
      <c r="A5650" s="346"/>
    </row>
    <row r="5651" spans="1:1">
      <c r="A5651" s="346"/>
    </row>
    <row r="5652" spans="1:1">
      <c r="A5652" s="346"/>
    </row>
    <row r="5653" spans="1:1">
      <c r="A5653" s="346"/>
    </row>
    <row r="5654" spans="1:1">
      <c r="A5654" s="346"/>
    </row>
    <row r="5655" spans="1:1">
      <c r="A5655" s="346"/>
    </row>
    <row r="5656" spans="1:1">
      <c r="A5656" s="346"/>
    </row>
    <row r="5657" spans="1:1">
      <c r="A5657" s="346"/>
    </row>
    <row r="5658" spans="1:1">
      <c r="A5658" s="346"/>
    </row>
    <row r="5659" spans="1:1">
      <c r="A5659" s="346"/>
    </row>
    <row r="5660" spans="1:1">
      <c r="A5660" s="346"/>
    </row>
    <row r="5661" spans="1:1">
      <c r="A5661" s="346"/>
    </row>
    <row r="5662" spans="1:1">
      <c r="A5662" s="346"/>
    </row>
    <row r="5663" spans="1:1">
      <c r="A5663" s="346"/>
    </row>
    <row r="5664" spans="1:1">
      <c r="A5664" s="346"/>
    </row>
    <row r="5665" spans="1:1">
      <c r="A5665" s="346"/>
    </row>
    <row r="5666" spans="1:1">
      <c r="A5666" s="346"/>
    </row>
    <row r="5667" spans="1:1">
      <c r="A5667" s="346"/>
    </row>
    <row r="5668" spans="1:1">
      <c r="A5668" s="346"/>
    </row>
    <row r="5669" spans="1:1">
      <c r="A5669" s="346"/>
    </row>
    <row r="5670" spans="1:1">
      <c r="A5670" s="346"/>
    </row>
    <row r="5671" spans="1:1">
      <c r="A5671" s="346"/>
    </row>
    <row r="5672" spans="1:1">
      <c r="A5672" s="346"/>
    </row>
    <row r="5673" spans="1:1">
      <c r="A5673" s="346"/>
    </row>
    <row r="5674" spans="1:1">
      <c r="A5674" s="346"/>
    </row>
    <row r="5675" spans="1:1">
      <c r="A5675" s="346"/>
    </row>
    <row r="5676" spans="1:1">
      <c r="A5676" s="346"/>
    </row>
    <row r="5677" spans="1:1">
      <c r="A5677" s="346"/>
    </row>
    <row r="5678" spans="1:1">
      <c r="A5678" s="346"/>
    </row>
    <row r="5679" spans="1:1">
      <c r="A5679" s="346"/>
    </row>
    <row r="5680" spans="1:1">
      <c r="A5680" s="346"/>
    </row>
    <row r="5681" spans="1:1">
      <c r="A5681" s="346"/>
    </row>
    <row r="5682" spans="1:1">
      <c r="A5682" s="346"/>
    </row>
    <row r="5683" spans="1:1">
      <c r="A5683" s="346"/>
    </row>
    <row r="5684" spans="1:1">
      <c r="A5684" s="346"/>
    </row>
    <row r="5685" spans="1:1">
      <c r="A5685" s="346"/>
    </row>
    <row r="5686" spans="1:1">
      <c r="A5686" s="346"/>
    </row>
    <row r="5687" spans="1:1">
      <c r="A5687" s="346"/>
    </row>
    <row r="5688" spans="1:1">
      <c r="A5688" s="346"/>
    </row>
    <row r="5689" spans="1:1">
      <c r="A5689" s="346"/>
    </row>
    <row r="5690" spans="1:1">
      <c r="A5690" s="346"/>
    </row>
    <row r="5691" spans="1:1">
      <c r="A5691" s="346"/>
    </row>
    <row r="5692" spans="1:1">
      <c r="A5692" s="346"/>
    </row>
    <row r="5693" spans="1:1">
      <c r="A5693" s="346"/>
    </row>
    <row r="5694" spans="1:1">
      <c r="A5694" s="346"/>
    </row>
    <row r="5695" spans="1:1">
      <c r="A5695" s="346"/>
    </row>
    <row r="5696" spans="1:1">
      <c r="A5696" s="346"/>
    </row>
    <row r="5697" spans="1:1">
      <c r="A5697" s="346"/>
    </row>
    <row r="5698" spans="1:1">
      <c r="A5698" s="346"/>
    </row>
    <row r="5699" spans="1:1">
      <c r="A5699" s="346"/>
    </row>
    <row r="5700" spans="1:1">
      <c r="A5700" s="346"/>
    </row>
    <row r="5701" spans="1:1">
      <c r="A5701" s="346"/>
    </row>
    <row r="5702" spans="1:1">
      <c r="A5702" s="346"/>
    </row>
    <row r="5703" spans="1:1">
      <c r="A5703" s="346"/>
    </row>
    <row r="5704" spans="1:1">
      <c r="A5704" s="346"/>
    </row>
    <row r="5705" spans="1:1">
      <c r="A5705" s="346"/>
    </row>
    <row r="5706" spans="1:1">
      <c r="A5706" s="346"/>
    </row>
    <row r="5707" spans="1:1">
      <c r="A5707" s="346"/>
    </row>
    <row r="5708" spans="1:1">
      <c r="A5708" s="346"/>
    </row>
    <row r="5709" spans="1:1">
      <c r="A5709" s="346"/>
    </row>
    <row r="5710" spans="1:1">
      <c r="A5710" s="346"/>
    </row>
    <row r="5711" spans="1:1">
      <c r="A5711" s="346"/>
    </row>
    <row r="5712" spans="1:1">
      <c r="A5712" s="346"/>
    </row>
    <row r="5713" spans="1:1">
      <c r="A5713" s="346"/>
    </row>
    <row r="5714" spans="1:1">
      <c r="A5714" s="346"/>
    </row>
    <row r="5715" spans="1:1">
      <c r="A5715" s="346"/>
    </row>
    <row r="5716" spans="1:1">
      <c r="A5716" s="346"/>
    </row>
    <row r="5717" spans="1:1">
      <c r="A5717" s="346"/>
    </row>
    <row r="5718" spans="1:1">
      <c r="A5718" s="346"/>
    </row>
    <row r="5719" spans="1:1">
      <c r="A5719" s="346"/>
    </row>
    <row r="5720" spans="1:1">
      <c r="A5720" s="346"/>
    </row>
    <row r="5721" spans="1:1">
      <c r="A5721" s="346"/>
    </row>
    <row r="5722" spans="1:1">
      <c r="A5722" s="346"/>
    </row>
    <row r="5723" spans="1:1">
      <c r="A5723" s="346"/>
    </row>
    <row r="5724" spans="1:1">
      <c r="A5724" s="346"/>
    </row>
    <row r="5725" spans="1:1">
      <c r="A5725" s="346"/>
    </row>
    <row r="5726" spans="1:1">
      <c r="A5726" s="346"/>
    </row>
    <row r="5727" spans="1:1">
      <c r="A5727" s="346"/>
    </row>
    <row r="5728" spans="1:1">
      <c r="A5728" s="346"/>
    </row>
    <row r="5729" spans="1:1">
      <c r="A5729" s="346"/>
    </row>
    <row r="5730" spans="1:1">
      <c r="A5730" s="346"/>
    </row>
    <row r="5731" spans="1:1">
      <c r="A5731" s="346"/>
    </row>
    <row r="5732" spans="1:1">
      <c r="A5732" s="346"/>
    </row>
    <row r="5733" spans="1:1">
      <c r="A5733" s="346"/>
    </row>
    <row r="5734" spans="1:1">
      <c r="A5734" s="346"/>
    </row>
    <row r="5735" spans="1:1">
      <c r="A5735" s="346"/>
    </row>
    <row r="5736" spans="1:1">
      <c r="A5736" s="346"/>
    </row>
    <row r="5737" spans="1:1">
      <c r="A5737" s="346"/>
    </row>
    <row r="5738" spans="1:1">
      <c r="A5738" s="346"/>
    </row>
    <row r="5739" spans="1:1">
      <c r="A5739" s="346"/>
    </row>
    <row r="5740" spans="1:1">
      <c r="A5740" s="346"/>
    </row>
    <row r="5741" spans="1:1">
      <c r="A5741" s="346"/>
    </row>
    <row r="5742" spans="1:1">
      <c r="A5742" s="346"/>
    </row>
    <row r="5743" spans="1:1">
      <c r="A5743" s="346"/>
    </row>
    <row r="5744" spans="1:1">
      <c r="A5744" s="346"/>
    </row>
    <row r="5745" spans="1:1">
      <c r="A5745" s="346"/>
    </row>
    <row r="5746" spans="1:1">
      <c r="A5746" s="346"/>
    </row>
    <row r="5747" spans="1:1">
      <c r="A5747" s="346"/>
    </row>
    <row r="5748" spans="1:1">
      <c r="A5748" s="346"/>
    </row>
    <row r="5749" spans="1:1">
      <c r="A5749" s="346"/>
    </row>
    <row r="5750" spans="1:1">
      <c r="A5750" s="346"/>
    </row>
    <row r="5751" spans="1:1">
      <c r="A5751" s="346"/>
    </row>
    <row r="5752" spans="1:1">
      <c r="A5752" s="346"/>
    </row>
    <row r="5753" spans="1:1">
      <c r="A5753" s="346"/>
    </row>
    <row r="5754" spans="1:1">
      <c r="A5754" s="346"/>
    </row>
    <row r="5755" spans="1:1">
      <c r="A5755" s="346"/>
    </row>
    <row r="5756" spans="1:1">
      <c r="A5756" s="346"/>
    </row>
    <row r="5757" spans="1:1">
      <c r="A5757" s="346"/>
    </row>
    <row r="5758" spans="1:1">
      <c r="A5758" s="346"/>
    </row>
    <row r="5759" spans="1:1">
      <c r="A5759" s="346"/>
    </row>
    <row r="5760" spans="1:1">
      <c r="A5760" s="346"/>
    </row>
    <row r="5761" spans="1:1">
      <c r="A5761" s="346"/>
    </row>
    <row r="5762" spans="1:1">
      <c r="A5762" s="346"/>
    </row>
    <row r="5763" spans="1:1">
      <c r="A5763" s="346"/>
    </row>
    <row r="5764" spans="1:1">
      <c r="A5764" s="346"/>
    </row>
    <row r="5765" spans="1:1">
      <c r="A5765" s="346"/>
    </row>
    <row r="5766" spans="1:1">
      <c r="A5766" s="346"/>
    </row>
    <row r="5767" spans="1:1">
      <c r="A5767" s="346"/>
    </row>
    <row r="5768" spans="1:1">
      <c r="A5768" s="346"/>
    </row>
    <row r="5769" spans="1:1">
      <c r="A5769" s="346"/>
    </row>
    <row r="5770" spans="1:1">
      <c r="A5770" s="346"/>
    </row>
    <row r="5771" spans="1:1">
      <c r="A5771" s="346"/>
    </row>
    <row r="5772" spans="1:1">
      <c r="A5772" s="346"/>
    </row>
    <row r="5773" spans="1:1">
      <c r="A5773" s="346"/>
    </row>
    <row r="5774" spans="1:1">
      <c r="A5774" s="346"/>
    </row>
    <row r="5775" spans="1:1">
      <c r="A5775" s="346"/>
    </row>
    <row r="5776" spans="1:1">
      <c r="A5776" s="346"/>
    </row>
    <row r="5777" spans="1:1">
      <c r="A5777" s="346"/>
    </row>
    <row r="5778" spans="1:1">
      <c r="A5778" s="346"/>
    </row>
    <row r="5779" spans="1:1">
      <c r="A5779" s="346"/>
    </row>
    <row r="5780" spans="1:1">
      <c r="A5780" s="346"/>
    </row>
    <row r="5781" spans="1:1">
      <c r="A5781" s="346"/>
    </row>
    <row r="5782" spans="1:1">
      <c r="A5782" s="346"/>
    </row>
    <row r="5783" spans="1:1">
      <c r="A5783" s="346"/>
    </row>
    <row r="5784" spans="1:1">
      <c r="A5784" s="346"/>
    </row>
    <row r="5785" spans="1:1">
      <c r="A5785" s="346"/>
    </row>
    <row r="5786" spans="1:1">
      <c r="A5786" s="346"/>
    </row>
    <row r="5787" spans="1:1">
      <c r="A5787" s="346"/>
    </row>
    <row r="5788" spans="1:1">
      <c r="A5788" s="346"/>
    </row>
    <row r="5789" spans="1:1">
      <c r="A5789" s="346"/>
    </row>
    <row r="5790" spans="1:1">
      <c r="A5790" s="346"/>
    </row>
    <row r="5791" spans="1:1">
      <c r="A5791" s="346"/>
    </row>
    <row r="5792" spans="1:1">
      <c r="A5792" s="346"/>
    </row>
    <row r="5793" spans="1:1">
      <c r="A5793" s="346"/>
    </row>
    <row r="5794" spans="1:1">
      <c r="A5794" s="346"/>
    </row>
    <row r="5795" spans="1:1">
      <c r="A5795" s="346"/>
    </row>
    <row r="5796" spans="1:1">
      <c r="A5796" s="346"/>
    </row>
    <row r="5797" spans="1:1">
      <c r="A5797" s="346"/>
    </row>
    <row r="5798" spans="1:1">
      <c r="A5798" s="346"/>
    </row>
    <row r="5799" spans="1:1">
      <c r="A5799" s="346"/>
    </row>
    <row r="5800" spans="1:1">
      <c r="A5800" s="346"/>
    </row>
    <row r="5801" spans="1:1">
      <c r="A5801" s="346"/>
    </row>
    <row r="5802" spans="1:1">
      <c r="A5802" s="346"/>
    </row>
    <row r="5803" spans="1:1">
      <c r="A5803" s="346"/>
    </row>
    <row r="5804" spans="1:1">
      <c r="A5804" s="346"/>
    </row>
    <row r="5805" spans="1:1">
      <c r="A5805" s="346"/>
    </row>
    <row r="5806" spans="1:1">
      <c r="A5806" s="346"/>
    </row>
    <row r="5807" spans="1:1">
      <c r="A5807" s="346"/>
    </row>
    <row r="5808" spans="1:1">
      <c r="A5808" s="346"/>
    </row>
    <row r="5809" spans="1:1">
      <c r="A5809" s="346"/>
    </row>
    <row r="5810" spans="1:1">
      <c r="A5810" s="346"/>
    </row>
    <row r="5811" spans="1:1">
      <c r="A5811" s="346"/>
    </row>
    <row r="5812" spans="1:1">
      <c r="A5812" s="346"/>
    </row>
    <row r="5813" spans="1:1">
      <c r="A5813" s="346"/>
    </row>
    <row r="5814" spans="1:1">
      <c r="A5814" s="346"/>
    </row>
    <row r="5815" spans="1:1">
      <c r="A5815" s="346"/>
    </row>
    <row r="5816" spans="1:1">
      <c r="A5816" s="346"/>
    </row>
    <row r="5817" spans="1:1">
      <c r="A5817" s="346"/>
    </row>
    <row r="5818" spans="1:1">
      <c r="A5818" s="346"/>
    </row>
    <row r="5819" spans="1:1">
      <c r="A5819" s="346"/>
    </row>
    <row r="5820" spans="1:1">
      <c r="A5820" s="346"/>
    </row>
    <row r="5821" spans="1:1">
      <c r="A5821" s="346"/>
    </row>
    <row r="5822" spans="1:1">
      <c r="A5822" s="346"/>
    </row>
    <row r="5823" spans="1:1">
      <c r="A5823" s="346"/>
    </row>
    <row r="5824" spans="1:1">
      <c r="A5824" s="346"/>
    </row>
    <row r="5825" spans="1:1">
      <c r="A5825" s="346"/>
    </row>
    <row r="5826" spans="1:1">
      <c r="A5826" s="346"/>
    </row>
    <row r="5827" spans="1:1">
      <c r="A5827" s="346"/>
    </row>
    <row r="5828" spans="1:1">
      <c r="A5828" s="346"/>
    </row>
    <row r="5829" spans="1:1">
      <c r="A5829" s="346"/>
    </row>
    <row r="5830" spans="1:1">
      <c r="A5830" s="346"/>
    </row>
    <row r="5831" spans="1:1">
      <c r="A5831" s="346"/>
    </row>
    <row r="5832" spans="1:1">
      <c r="A5832" s="346"/>
    </row>
    <row r="5833" spans="1:1">
      <c r="A5833" s="346"/>
    </row>
    <row r="5834" spans="1:1">
      <c r="A5834" s="346"/>
    </row>
    <row r="5835" spans="1:1">
      <c r="A5835" s="346"/>
    </row>
    <row r="5836" spans="1:1">
      <c r="A5836" s="346"/>
    </row>
    <row r="5837" spans="1:1">
      <c r="A5837" s="346"/>
    </row>
    <row r="5838" spans="1:1">
      <c r="A5838" s="346"/>
    </row>
    <row r="5839" spans="1:1">
      <c r="A5839" s="346"/>
    </row>
    <row r="5840" spans="1:1">
      <c r="A5840" s="346"/>
    </row>
    <row r="5841" spans="1:1">
      <c r="A5841" s="346"/>
    </row>
    <row r="5842" spans="1:1">
      <c r="A5842" s="346"/>
    </row>
    <row r="5843" spans="1:1">
      <c r="A5843" s="346"/>
    </row>
    <row r="5844" spans="1:1">
      <c r="A5844" s="346"/>
    </row>
    <row r="5845" spans="1:1">
      <c r="A5845" s="346"/>
    </row>
    <row r="5846" spans="1:1">
      <c r="A5846" s="346"/>
    </row>
    <row r="5847" spans="1:1">
      <c r="A5847" s="346"/>
    </row>
    <row r="5848" spans="1:1">
      <c r="A5848" s="346"/>
    </row>
    <row r="5849" spans="1:1">
      <c r="A5849" s="346"/>
    </row>
    <row r="5850" spans="1:1">
      <c r="A5850" s="346"/>
    </row>
    <row r="5851" spans="1:1">
      <c r="A5851" s="346"/>
    </row>
    <row r="5852" spans="1:1">
      <c r="A5852" s="346"/>
    </row>
    <row r="5853" spans="1:1">
      <c r="A5853" s="346"/>
    </row>
    <row r="5854" spans="1:1">
      <c r="A5854" s="346"/>
    </row>
    <row r="5855" spans="1:1">
      <c r="A5855" s="346"/>
    </row>
    <row r="5856" spans="1:1">
      <c r="A5856" s="346"/>
    </row>
    <row r="5857" spans="1:1">
      <c r="A5857" s="346"/>
    </row>
    <row r="5858" spans="1:1">
      <c r="A5858" s="346"/>
    </row>
    <row r="5859" spans="1:1">
      <c r="A5859" s="346"/>
    </row>
    <row r="5860" spans="1:1">
      <c r="A5860" s="346"/>
    </row>
    <row r="5861" spans="1:1">
      <c r="A5861" s="346"/>
    </row>
    <row r="5862" spans="1:1">
      <c r="A5862" s="346"/>
    </row>
    <row r="5863" spans="1:1">
      <c r="A5863" s="346"/>
    </row>
    <row r="5864" spans="1:1">
      <c r="A5864" s="346"/>
    </row>
    <row r="5865" spans="1:1">
      <c r="A5865" s="346"/>
    </row>
    <row r="5866" spans="1:1">
      <c r="A5866" s="346"/>
    </row>
    <row r="5867" spans="1:1">
      <c r="A5867" s="346"/>
    </row>
    <row r="5868" spans="1:1">
      <c r="A5868" s="346"/>
    </row>
    <row r="5869" spans="1:1">
      <c r="A5869" s="346"/>
    </row>
    <row r="5870" spans="1:1">
      <c r="A5870" s="346"/>
    </row>
    <row r="5871" spans="1:1">
      <c r="A5871" s="346"/>
    </row>
    <row r="5872" spans="1:1">
      <c r="A5872" s="346"/>
    </row>
    <row r="5873" spans="1:1">
      <c r="A5873" s="346"/>
    </row>
    <row r="5874" spans="1:1">
      <c r="A5874" s="346"/>
    </row>
    <row r="5875" spans="1:1">
      <c r="A5875" s="346"/>
    </row>
    <row r="5876" spans="1:1">
      <c r="A5876" s="346"/>
    </row>
    <row r="5877" spans="1:1">
      <c r="A5877" s="346"/>
    </row>
    <row r="5878" spans="1:1">
      <c r="A5878" s="346"/>
    </row>
    <row r="5879" spans="1:1">
      <c r="A5879" s="346"/>
    </row>
    <row r="5880" spans="1:1">
      <c r="A5880" s="346"/>
    </row>
    <row r="5881" spans="1:1">
      <c r="A5881" s="346"/>
    </row>
    <row r="5882" spans="1:1">
      <c r="A5882" s="346"/>
    </row>
    <row r="5883" spans="1:1">
      <c r="A5883" s="346"/>
    </row>
    <row r="5884" spans="1:1">
      <c r="A5884" s="346"/>
    </row>
    <row r="5885" spans="1:1">
      <c r="A5885" s="346"/>
    </row>
    <row r="5886" spans="1:1">
      <c r="A5886" s="346"/>
    </row>
    <row r="5887" spans="1:1">
      <c r="A5887" s="346"/>
    </row>
    <row r="5888" spans="1:1">
      <c r="A5888" s="346"/>
    </row>
    <row r="5889" spans="1:1">
      <c r="A5889" s="346"/>
    </row>
    <row r="5890" spans="1:1">
      <c r="A5890" s="346"/>
    </row>
    <row r="5891" spans="1:1">
      <c r="A5891" s="346"/>
    </row>
    <row r="5892" spans="1:1">
      <c r="A5892" s="346"/>
    </row>
    <row r="5893" spans="1:1">
      <c r="A5893" s="346"/>
    </row>
    <row r="5894" spans="1:1">
      <c r="A5894" s="346"/>
    </row>
    <row r="5895" spans="1:1">
      <c r="A5895" s="346"/>
    </row>
    <row r="5896" spans="1:1">
      <c r="A5896" s="346"/>
    </row>
    <row r="5897" spans="1:1">
      <c r="A5897" s="346"/>
    </row>
    <row r="5898" spans="1:1">
      <c r="A5898" s="346"/>
    </row>
    <row r="5899" spans="1:1">
      <c r="A5899" s="346"/>
    </row>
    <row r="5900" spans="1:1">
      <c r="A5900" s="346"/>
    </row>
    <row r="5901" spans="1:1">
      <c r="A5901" s="346"/>
    </row>
    <row r="5902" spans="1:1">
      <c r="A5902" s="346"/>
    </row>
    <row r="5903" spans="1:1">
      <c r="A5903" s="346"/>
    </row>
    <row r="5904" spans="1:1">
      <c r="A5904" s="346"/>
    </row>
    <row r="5905" spans="1:1">
      <c r="A5905" s="346"/>
    </row>
    <row r="5906" spans="1:1">
      <c r="A5906" s="346"/>
    </row>
    <row r="5907" spans="1:1">
      <c r="A5907" s="346"/>
    </row>
    <row r="5908" spans="1:1">
      <c r="A5908" s="346"/>
    </row>
    <row r="5909" spans="1:1">
      <c r="A5909" s="346"/>
    </row>
    <row r="5910" spans="1:1">
      <c r="A5910" s="346"/>
    </row>
    <row r="5911" spans="1:1">
      <c r="A5911" s="346"/>
    </row>
    <row r="5912" spans="1:1">
      <c r="A5912" s="346"/>
    </row>
    <row r="5913" spans="1:1">
      <c r="A5913" s="346"/>
    </row>
    <row r="5914" spans="1:1">
      <c r="A5914" s="346"/>
    </row>
    <row r="5915" spans="1:1">
      <c r="A5915" s="346"/>
    </row>
    <row r="5916" spans="1:1">
      <c r="A5916" s="346"/>
    </row>
    <row r="5917" spans="1:1">
      <c r="A5917" s="346"/>
    </row>
    <row r="5918" spans="1:1">
      <c r="A5918" s="346"/>
    </row>
    <row r="5919" spans="1:1">
      <c r="A5919" s="346"/>
    </row>
    <row r="5920" spans="1:1">
      <c r="A5920" s="346"/>
    </row>
    <row r="5921" spans="1:1">
      <c r="A5921" s="346"/>
    </row>
    <row r="5922" spans="1:1">
      <c r="A5922" s="346"/>
    </row>
    <row r="5923" spans="1:1">
      <c r="A5923" s="346"/>
    </row>
    <row r="5924" spans="1:1">
      <c r="A5924" s="346"/>
    </row>
    <row r="5925" spans="1:1">
      <c r="A5925" s="346"/>
    </row>
    <row r="5926" spans="1:1">
      <c r="A5926" s="346"/>
    </row>
    <row r="5927" spans="1:1">
      <c r="A5927" s="346"/>
    </row>
    <row r="5928" spans="1:1">
      <c r="A5928" s="346"/>
    </row>
    <row r="5929" spans="1:1">
      <c r="A5929" s="346"/>
    </row>
    <row r="5930" spans="1:1">
      <c r="A5930" s="346"/>
    </row>
    <row r="5931" spans="1:1">
      <c r="A5931" s="346"/>
    </row>
    <row r="5932" spans="1:1">
      <c r="A5932" s="346"/>
    </row>
    <row r="5933" spans="1:1">
      <c r="A5933" s="346"/>
    </row>
    <row r="5934" spans="1:1">
      <c r="A5934" s="346"/>
    </row>
    <row r="5935" spans="1:1">
      <c r="A5935" s="346"/>
    </row>
    <row r="5936" spans="1:1">
      <c r="A5936" s="346"/>
    </row>
    <row r="5937" spans="1:1">
      <c r="A5937" s="346"/>
    </row>
    <row r="5938" spans="1:1">
      <c r="A5938" s="346"/>
    </row>
    <row r="5939" spans="1:1">
      <c r="A5939" s="346"/>
    </row>
    <row r="5940" spans="1:1">
      <c r="A5940" s="346"/>
    </row>
    <row r="5941" spans="1:1">
      <c r="A5941" s="346"/>
    </row>
    <row r="5942" spans="1:1">
      <c r="A5942" s="346"/>
    </row>
    <row r="5943" spans="1:1">
      <c r="A5943" s="346"/>
    </row>
    <row r="5944" spans="1:1">
      <c r="A5944" s="346"/>
    </row>
    <row r="5945" spans="1:1">
      <c r="A5945" s="346"/>
    </row>
    <row r="5946" spans="1:1">
      <c r="A5946" s="346"/>
    </row>
    <row r="5947" spans="1:1">
      <c r="A5947" s="346"/>
    </row>
    <row r="5948" spans="1:1">
      <c r="A5948" s="346"/>
    </row>
    <row r="5949" spans="1:1">
      <c r="A5949" s="346"/>
    </row>
    <row r="5950" spans="1:1">
      <c r="A5950" s="346"/>
    </row>
    <row r="5951" spans="1:1">
      <c r="A5951" s="346"/>
    </row>
    <row r="5952" spans="1:1">
      <c r="A5952" s="346"/>
    </row>
    <row r="5953" spans="1:1">
      <c r="A5953" s="346"/>
    </row>
    <row r="5954" spans="1:1">
      <c r="A5954" s="346"/>
    </row>
    <row r="5955" spans="1:1">
      <c r="A5955" s="346"/>
    </row>
    <row r="5956" spans="1:1">
      <c r="A5956" s="346"/>
    </row>
    <row r="5957" spans="1:1">
      <c r="A5957" s="346"/>
    </row>
    <row r="5958" spans="1:1">
      <c r="A5958" s="346"/>
    </row>
    <row r="5959" spans="1:1">
      <c r="A5959" s="346"/>
    </row>
    <row r="5960" spans="1:1">
      <c r="A5960" s="346"/>
    </row>
    <row r="5961" spans="1:1">
      <c r="A5961" s="346"/>
    </row>
    <row r="5962" spans="1:1">
      <c r="A5962" s="346"/>
    </row>
    <row r="5963" spans="1:1">
      <c r="A5963" s="346"/>
    </row>
    <row r="5964" spans="1:1">
      <c r="A5964" s="346"/>
    </row>
    <row r="5965" spans="1:1">
      <c r="A5965" s="346"/>
    </row>
    <row r="5966" spans="1:1">
      <c r="A5966" s="346"/>
    </row>
    <row r="5967" spans="1:1">
      <c r="A5967" s="346"/>
    </row>
    <row r="5968" spans="1:1">
      <c r="A5968" s="346"/>
    </row>
    <row r="5969" spans="1:1">
      <c r="A5969" s="346"/>
    </row>
    <row r="5970" spans="1:1">
      <c r="A5970" s="346"/>
    </row>
    <row r="5971" spans="1:1">
      <c r="A5971" s="346"/>
    </row>
    <row r="5972" spans="1:1">
      <c r="A5972" s="346"/>
    </row>
    <row r="5973" spans="1:1">
      <c r="A5973" s="346"/>
    </row>
    <row r="5974" spans="1:1">
      <c r="A5974" s="346"/>
    </row>
    <row r="5975" spans="1:1">
      <c r="A5975" s="346"/>
    </row>
    <row r="5976" spans="1:1">
      <c r="A5976" s="346"/>
    </row>
    <row r="5977" spans="1:1">
      <c r="A5977" s="346"/>
    </row>
    <row r="5978" spans="1:1">
      <c r="A5978" s="346"/>
    </row>
    <row r="5979" spans="1:1">
      <c r="A5979" s="346"/>
    </row>
    <row r="5980" spans="1:1">
      <c r="A5980" s="346"/>
    </row>
    <row r="5981" spans="1:1">
      <c r="A5981" s="346"/>
    </row>
    <row r="5982" spans="1:1">
      <c r="A5982" s="346"/>
    </row>
    <row r="5983" spans="1:1">
      <c r="A5983" s="346"/>
    </row>
    <row r="5984" spans="1:1">
      <c r="A5984" s="346"/>
    </row>
    <row r="5985" spans="1:1">
      <c r="A5985" s="346"/>
    </row>
    <row r="5986" spans="1:1">
      <c r="A5986" s="346"/>
    </row>
    <row r="5987" spans="1:1">
      <c r="A5987" s="346"/>
    </row>
    <row r="5988" spans="1:1">
      <c r="A5988" s="346"/>
    </row>
    <row r="5989" spans="1:1">
      <c r="A5989" s="346"/>
    </row>
    <row r="5990" spans="1:1">
      <c r="A5990" s="346"/>
    </row>
    <row r="5991" spans="1:1">
      <c r="A5991" s="346"/>
    </row>
    <row r="5992" spans="1:1">
      <c r="A5992" s="346"/>
    </row>
    <row r="5993" spans="1:1">
      <c r="A5993" s="346"/>
    </row>
    <row r="5994" spans="1:1">
      <c r="A5994" s="346"/>
    </row>
    <row r="5995" spans="1:1">
      <c r="A5995" s="346"/>
    </row>
    <row r="5996" spans="1:1">
      <c r="A5996" s="346"/>
    </row>
    <row r="5997" spans="1:1">
      <c r="A5997" s="346"/>
    </row>
    <row r="5998" spans="1:1">
      <c r="A5998" s="346"/>
    </row>
    <row r="5999" spans="1:1">
      <c r="A5999" s="346"/>
    </row>
    <row r="6000" spans="1:1">
      <c r="A6000" s="346"/>
    </row>
    <row r="6001" spans="1:1">
      <c r="A6001" s="346"/>
    </row>
    <row r="6002" spans="1:1">
      <c r="A6002" s="346"/>
    </row>
    <row r="6003" spans="1:1">
      <c r="A6003" s="346"/>
    </row>
    <row r="6004" spans="1:1">
      <c r="A6004" s="346"/>
    </row>
    <row r="6005" spans="1:1">
      <c r="A6005" s="346"/>
    </row>
    <row r="6006" spans="1:1">
      <c r="A6006" s="346"/>
    </row>
    <row r="6007" spans="1:1">
      <c r="A6007" s="346"/>
    </row>
    <row r="6008" spans="1:1">
      <c r="A6008" s="346"/>
    </row>
    <row r="6009" spans="1:1">
      <c r="A6009" s="346"/>
    </row>
    <row r="6010" spans="1:1">
      <c r="A6010" s="346"/>
    </row>
    <row r="6011" spans="1:1">
      <c r="A6011" s="346"/>
    </row>
    <row r="6012" spans="1:1">
      <c r="A6012" s="346"/>
    </row>
    <row r="6013" spans="1:1">
      <c r="A6013" s="346"/>
    </row>
    <row r="6014" spans="1:1">
      <c r="A6014" s="346"/>
    </row>
    <row r="6015" spans="1:1">
      <c r="A6015" s="346"/>
    </row>
    <row r="6016" spans="1:1">
      <c r="A6016" s="346"/>
    </row>
    <row r="6017" spans="1:1">
      <c r="A6017" s="346"/>
    </row>
    <row r="6018" spans="1:1">
      <c r="A6018" s="346"/>
    </row>
    <row r="6019" spans="1:1">
      <c r="A6019" s="346"/>
    </row>
    <row r="6020" spans="1:1">
      <c r="A6020" s="346"/>
    </row>
    <row r="6021" spans="1:1">
      <c r="A6021" s="346"/>
    </row>
    <row r="6022" spans="1:1">
      <c r="A6022" s="346"/>
    </row>
    <row r="6023" spans="1:1">
      <c r="A6023" s="346"/>
    </row>
    <row r="6024" spans="1:1">
      <c r="A6024" s="346"/>
    </row>
    <row r="6025" spans="1:1">
      <c r="A6025" s="346"/>
    </row>
    <row r="6026" spans="1:1">
      <c r="A6026" s="346"/>
    </row>
    <row r="6027" spans="1:1">
      <c r="A6027" s="346"/>
    </row>
    <row r="6028" spans="1:1">
      <c r="A6028" s="346"/>
    </row>
    <row r="6029" spans="1:1">
      <c r="A6029" s="346"/>
    </row>
    <row r="6030" spans="1:1">
      <c r="A6030" s="346"/>
    </row>
    <row r="6031" spans="1:1">
      <c r="A6031" s="346"/>
    </row>
    <row r="6032" spans="1:1">
      <c r="A6032" s="346"/>
    </row>
    <row r="6033" spans="1:1">
      <c r="A6033" s="346"/>
    </row>
    <row r="6034" spans="1:1">
      <c r="A6034" s="346"/>
    </row>
    <row r="6035" spans="1:1">
      <c r="A6035" s="346"/>
    </row>
    <row r="6036" spans="1:1">
      <c r="A6036" s="346"/>
    </row>
    <row r="6037" spans="1:1">
      <c r="A6037" s="346"/>
    </row>
    <row r="6038" spans="1:1">
      <c r="A6038" s="346"/>
    </row>
    <row r="6039" spans="1:1">
      <c r="A6039" s="346"/>
    </row>
    <row r="6040" spans="1:1">
      <c r="A6040" s="346"/>
    </row>
    <row r="6041" spans="1:1">
      <c r="A6041" s="346"/>
    </row>
    <row r="6042" spans="1:1">
      <c r="A6042" s="346"/>
    </row>
    <row r="6043" spans="1:1">
      <c r="A6043" s="346"/>
    </row>
    <row r="6044" spans="1:1">
      <c r="A6044" s="346"/>
    </row>
    <row r="6045" spans="1:1">
      <c r="A6045" s="346"/>
    </row>
    <row r="6046" spans="1:1">
      <c r="A6046" s="346"/>
    </row>
    <row r="6047" spans="1:1">
      <c r="A6047" s="346"/>
    </row>
    <row r="6048" spans="1:1">
      <c r="A6048" s="346"/>
    </row>
    <row r="6049" spans="1:1">
      <c r="A6049" s="346"/>
    </row>
    <row r="6050" spans="1:1">
      <c r="A6050" s="346"/>
    </row>
    <row r="6051" spans="1:1">
      <c r="A6051" s="346"/>
    </row>
    <row r="6052" spans="1:1">
      <c r="A6052" s="346"/>
    </row>
    <row r="6053" spans="1:1">
      <c r="A6053" s="346"/>
    </row>
    <row r="6054" spans="1:1">
      <c r="A6054" s="346"/>
    </row>
    <row r="6055" spans="1:1">
      <c r="A6055" s="346"/>
    </row>
    <row r="6056" spans="1:1">
      <c r="A6056" s="346"/>
    </row>
    <row r="6057" spans="1:1">
      <c r="A6057" s="346"/>
    </row>
    <row r="6058" spans="1:1">
      <c r="A6058" s="346"/>
    </row>
    <row r="6059" spans="1:1">
      <c r="A6059" s="346"/>
    </row>
    <row r="6060" spans="1:1">
      <c r="A6060" s="346"/>
    </row>
    <row r="6061" spans="1:1">
      <c r="A6061" s="346"/>
    </row>
    <row r="6062" spans="1:1">
      <c r="A6062" s="346"/>
    </row>
    <row r="6063" spans="1:1">
      <c r="A6063" s="346"/>
    </row>
    <row r="6064" spans="1:1">
      <c r="A6064" s="346"/>
    </row>
    <row r="6065" spans="1:1">
      <c r="A6065" s="346"/>
    </row>
    <row r="6066" spans="1:1">
      <c r="A6066" s="346"/>
    </row>
    <row r="6067" spans="1:1">
      <c r="A6067" s="346"/>
    </row>
    <row r="6068" spans="1:1">
      <c r="A6068" s="346"/>
    </row>
    <row r="6069" spans="1:1">
      <c r="A6069" s="346"/>
    </row>
    <row r="6070" spans="1:1">
      <c r="A6070" s="346"/>
    </row>
    <row r="6071" spans="1:1">
      <c r="A6071" s="346"/>
    </row>
    <row r="6072" spans="1:1">
      <c r="A6072" s="346"/>
    </row>
    <row r="6073" spans="1:1">
      <c r="A6073" s="346"/>
    </row>
    <row r="6074" spans="1:1">
      <c r="A6074" s="346"/>
    </row>
    <row r="6075" spans="1:1">
      <c r="A6075" s="346"/>
    </row>
    <row r="6076" spans="1:1">
      <c r="A6076" s="346"/>
    </row>
    <row r="6077" spans="1:1">
      <c r="A6077" s="346"/>
    </row>
    <row r="6078" spans="1:1">
      <c r="A6078" s="346"/>
    </row>
    <row r="6079" spans="1:1">
      <c r="A6079" s="346"/>
    </row>
    <row r="6080" spans="1:1">
      <c r="A6080" s="346"/>
    </row>
    <row r="6081" spans="1:1">
      <c r="A6081" s="346"/>
    </row>
    <row r="6082" spans="1:1">
      <c r="A6082" s="346"/>
    </row>
    <row r="6083" spans="1:1">
      <c r="A6083" s="346"/>
    </row>
    <row r="6084" spans="1:1">
      <c r="A6084" s="346"/>
    </row>
    <row r="6085" spans="1:1">
      <c r="A6085" s="346"/>
    </row>
    <row r="6086" spans="1:1">
      <c r="A6086" s="346"/>
    </row>
    <row r="6087" spans="1:1">
      <c r="A6087" s="346"/>
    </row>
    <row r="6088" spans="1:1">
      <c r="A6088" s="346"/>
    </row>
    <row r="6089" spans="1:1">
      <c r="A6089" s="346"/>
    </row>
    <row r="6090" spans="1:1">
      <c r="A6090" s="346"/>
    </row>
    <row r="6091" spans="1:1">
      <c r="A6091" s="346"/>
    </row>
    <row r="6092" spans="1:1">
      <c r="A6092" s="346"/>
    </row>
    <row r="6093" spans="1:1">
      <c r="A6093" s="346"/>
    </row>
    <row r="6094" spans="1:1">
      <c r="A6094" s="346"/>
    </row>
    <row r="6095" spans="1:1">
      <c r="A6095" s="346"/>
    </row>
    <row r="6096" spans="1:1">
      <c r="A6096" s="346"/>
    </row>
    <row r="6097" spans="1:1">
      <c r="A6097" s="346"/>
    </row>
    <row r="6098" spans="1:1">
      <c r="A6098" s="346"/>
    </row>
    <row r="6099" spans="1:1">
      <c r="A6099" s="346"/>
    </row>
    <row r="6100" spans="1:1">
      <c r="A6100" s="346"/>
    </row>
    <row r="6101" spans="1:1">
      <c r="A6101" s="346"/>
    </row>
    <row r="6102" spans="1:1">
      <c r="A6102" s="346"/>
    </row>
    <row r="6103" spans="1:1">
      <c r="A6103" s="346"/>
    </row>
    <row r="6104" spans="1:1">
      <c r="A6104" s="346"/>
    </row>
    <row r="6105" spans="1:1">
      <c r="A6105" s="346"/>
    </row>
    <row r="6106" spans="1:1">
      <c r="A6106" s="346"/>
    </row>
    <row r="6107" spans="1:1">
      <c r="A6107" s="346"/>
    </row>
    <row r="6108" spans="1:1">
      <c r="A6108" s="346"/>
    </row>
    <row r="6109" spans="1:1">
      <c r="A6109" s="346"/>
    </row>
    <row r="6110" spans="1:1">
      <c r="A6110" s="346"/>
    </row>
    <row r="6111" spans="1:1">
      <c r="A6111" s="346"/>
    </row>
    <row r="6112" spans="1:1">
      <c r="A6112" s="346"/>
    </row>
    <row r="6113" spans="1:1">
      <c r="A6113" s="346"/>
    </row>
    <row r="6114" spans="1:1">
      <c r="A6114" s="346"/>
    </row>
    <row r="6115" spans="1:1">
      <c r="A6115" s="346"/>
    </row>
    <row r="6116" spans="1:1">
      <c r="A6116" s="346"/>
    </row>
    <row r="6117" spans="1:1">
      <c r="A6117" s="346"/>
    </row>
    <row r="6118" spans="1:1">
      <c r="A6118" s="346"/>
    </row>
    <row r="6119" spans="1:1">
      <c r="A6119" s="346"/>
    </row>
    <row r="6120" spans="1:1">
      <c r="A6120" s="346"/>
    </row>
    <row r="6121" spans="1:1">
      <c r="A6121" s="346"/>
    </row>
    <row r="6122" spans="1:1">
      <c r="A6122" s="346"/>
    </row>
    <row r="6123" spans="1:1">
      <c r="A6123" s="346"/>
    </row>
    <row r="6124" spans="1:1">
      <c r="A6124" s="346"/>
    </row>
    <row r="6125" spans="1:1">
      <c r="A6125" s="346"/>
    </row>
    <row r="6126" spans="1:1">
      <c r="A6126" s="346"/>
    </row>
    <row r="6127" spans="1:1">
      <c r="A6127" s="346"/>
    </row>
    <row r="6128" spans="1:1">
      <c r="A6128" s="346"/>
    </row>
    <row r="6129" spans="1:1">
      <c r="A6129" s="346"/>
    </row>
    <row r="6130" spans="1:1">
      <c r="A6130" s="346"/>
    </row>
    <row r="6131" spans="1:1">
      <c r="A6131" s="346"/>
    </row>
    <row r="6132" spans="1:1">
      <c r="A6132" s="346"/>
    </row>
    <row r="6133" spans="1:1">
      <c r="A6133" s="346"/>
    </row>
    <row r="6134" spans="1:1">
      <c r="A6134" s="346"/>
    </row>
    <row r="6135" spans="1:1">
      <c r="A6135" s="346"/>
    </row>
    <row r="6136" spans="1:1">
      <c r="A6136" s="346"/>
    </row>
    <row r="6137" spans="1:1">
      <c r="A6137" s="346"/>
    </row>
    <row r="6138" spans="1:1">
      <c r="A6138" s="346"/>
    </row>
    <row r="6139" spans="1:1">
      <c r="A6139" s="346"/>
    </row>
    <row r="6140" spans="1:1">
      <c r="A6140" s="346"/>
    </row>
    <row r="6141" spans="1:1">
      <c r="A6141" s="346"/>
    </row>
    <row r="6142" spans="1:1">
      <c r="A6142" s="346"/>
    </row>
    <row r="6143" spans="1:1">
      <c r="A6143" s="346"/>
    </row>
    <row r="6144" spans="1:1">
      <c r="A6144" s="346"/>
    </row>
    <row r="6145" spans="1:1">
      <c r="A6145" s="346"/>
    </row>
    <row r="6146" spans="1:1">
      <c r="A6146" s="346"/>
    </row>
    <row r="6147" spans="1:1">
      <c r="A6147" s="346"/>
    </row>
    <row r="6148" spans="1:1">
      <c r="A6148" s="346"/>
    </row>
    <row r="6149" spans="1:1">
      <c r="A6149" s="346"/>
    </row>
    <row r="6150" spans="1:1">
      <c r="A6150" s="346"/>
    </row>
    <row r="6151" spans="1:1">
      <c r="A6151" s="346"/>
    </row>
    <row r="6152" spans="1:1">
      <c r="A6152" s="346"/>
    </row>
    <row r="6153" spans="1:1">
      <c r="A6153" s="346"/>
    </row>
    <row r="6154" spans="1:1">
      <c r="A6154" s="346"/>
    </row>
    <row r="6155" spans="1:1">
      <c r="A6155" s="346"/>
    </row>
    <row r="6156" spans="1:1">
      <c r="A6156" s="346"/>
    </row>
    <row r="6157" spans="1:1">
      <c r="A6157" s="346"/>
    </row>
    <row r="6158" spans="1:1">
      <c r="A6158" s="346"/>
    </row>
    <row r="6159" spans="1:1">
      <c r="A6159" s="346"/>
    </row>
    <row r="6160" spans="1:1">
      <c r="A6160" s="346"/>
    </row>
    <row r="6161" spans="1:1">
      <c r="A6161" s="346"/>
    </row>
    <row r="6162" spans="1:1">
      <c r="A6162" s="346"/>
    </row>
    <row r="6163" spans="1:1">
      <c r="A6163" s="346"/>
    </row>
    <row r="6164" spans="1:1">
      <c r="A6164" s="346"/>
    </row>
    <row r="6165" spans="1:1">
      <c r="A6165" s="346"/>
    </row>
    <row r="6166" spans="1:1">
      <c r="A6166" s="346"/>
    </row>
    <row r="6167" spans="1:1">
      <c r="A6167" s="346"/>
    </row>
    <row r="6168" spans="1:1">
      <c r="A6168" s="346"/>
    </row>
    <row r="6169" spans="1:1">
      <c r="A6169" s="346"/>
    </row>
    <row r="6170" spans="1:1">
      <c r="A6170" s="346"/>
    </row>
    <row r="6171" spans="1:1">
      <c r="A6171" s="346"/>
    </row>
    <row r="6172" spans="1:1">
      <c r="A6172" s="346"/>
    </row>
    <row r="6173" spans="1:1">
      <c r="A6173" s="346"/>
    </row>
    <row r="6174" spans="1:1">
      <c r="A6174" s="346"/>
    </row>
    <row r="6175" spans="1:1">
      <c r="A6175" s="346"/>
    </row>
    <row r="6176" spans="1:1">
      <c r="A6176" s="346"/>
    </row>
    <row r="6177" spans="1:1">
      <c r="A6177" s="346"/>
    </row>
    <row r="6178" spans="1:1">
      <c r="A6178" s="346"/>
    </row>
    <row r="6179" spans="1:1">
      <c r="A6179" s="346"/>
    </row>
    <row r="6180" spans="1:1">
      <c r="A6180" s="346"/>
    </row>
    <row r="6181" spans="1:1">
      <c r="A6181" s="346"/>
    </row>
    <row r="6182" spans="1:1">
      <c r="A6182" s="346"/>
    </row>
    <row r="6183" spans="1:1">
      <c r="A6183" s="346"/>
    </row>
    <row r="6184" spans="1:1">
      <c r="A6184" s="346"/>
    </row>
    <row r="6185" spans="1:1">
      <c r="A6185" s="346"/>
    </row>
    <row r="6186" spans="1:1">
      <c r="A6186" s="346"/>
    </row>
    <row r="6187" spans="1:1">
      <c r="A6187" s="346"/>
    </row>
    <row r="6188" spans="1:1">
      <c r="A6188" s="346"/>
    </row>
    <row r="6189" spans="1:1">
      <c r="A6189" s="346"/>
    </row>
    <row r="6190" spans="1:1">
      <c r="A6190" s="346"/>
    </row>
    <row r="6191" spans="1:1">
      <c r="A6191" s="346"/>
    </row>
    <row r="6192" spans="1:1">
      <c r="A6192" s="346"/>
    </row>
    <row r="6193" spans="1:1">
      <c r="A6193" s="346"/>
    </row>
    <row r="6194" spans="1:1">
      <c r="A6194" s="346"/>
    </row>
    <row r="6195" spans="1:1">
      <c r="A6195" s="346"/>
    </row>
    <row r="6196" spans="1:1">
      <c r="A6196" s="346"/>
    </row>
    <row r="6197" spans="1:1">
      <c r="A6197" s="346"/>
    </row>
    <row r="6198" spans="1:1">
      <c r="A6198" s="346"/>
    </row>
    <row r="6199" spans="1:1">
      <c r="A6199" s="346"/>
    </row>
    <row r="6200" spans="1:1">
      <c r="A6200" s="346"/>
    </row>
    <row r="6201" spans="1:1">
      <c r="A6201" s="346"/>
    </row>
    <row r="6202" spans="1:1">
      <c r="A6202" s="346"/>
    </row>
    <row r="6203" spans="1:1">
      <c r="A6203" s="346"/>
    </row>
    <row r="6204" spans="1:1">
      <c r="A6204" s="346"/>
    </row>
    <row r="6205" spans="1:1">
      <c r="A6205" s="346"/>
    </row>
    <row r="6206" spans="1:1">
      <c r="A6206" s="346"/>
    </row>
    <row r="6207" spans="1:1">
      <c r="A6207" s="346"/>
    </row>
    <row r="6208" spans="1:1">
      <c r="A6208" s="346"/>
    </row>
    <row r="6209" spans="1:1">
      <c r="A6209" s="346"/>
    </row>
    <row r="6210" spans="1:1">
      <c r="A6210" s="346"/>
    </row>
    <row r="6211" spans="1:1">
      <c r="A6211" s="346"/>
    </row>
    <row r="6212" spans="1:1">
      <c r="A6212" s="346"/>
    </row>
    <row r="6213" spans="1:1">
      <c r="A6213" s="346"/>
    </row>
    <row r="6214" spans="1:1">
      <c r="A6214" s="346"/>
    </row>
    <row r="6215" spans="1:1">
      <c r="A6215" s="346"/>
    </row>
    <row r="6216" spans="1:1">
      <c r="A6216" s="346"/>
    </row>
    <row r="6217" spans="1:1">
      <c r="A6217" s="346"/>
    </row>
    <row r="6218" spans="1:1">
      <c r="A6218" s="346"/>
    </row>
    <row r="6219" spans="1:1">
      <c r="A6219" s="346"/>
    </row>
    <row r="6220" spans="1:1">
      <c r="A6220" s="346"/>
    </row>
    <row r="6221" spans="1:1">
      <c r="A6221" s="346"/>
    </row>
    <row r="6222" spans="1:1">
      <c r="A6222" s="346"/>
    </row>
    <row r="6223" spans="1:1">
      <c r="A6223" s="346"/>
    </row>
    <row r="6224" spans="1:1">
      <c r="A6224" s="346"/>
    </row>
    <row r="6225" spans="1:1">
      <c r="A6225" s="346"/>
    </row>
    <row r="6226" spans="1:1">
      <c r="A6226" s="346"/>
    </row>
    <row r="6227" spans="1:1">
      <c r="A6227" s="346"/>
    </row>
    <row r="6228" spans="1:1">
      <c r="A6228" s="346"/>
    </row>
    <row r="6229" spans="1:1">
      <c r="A6229" s="346"/>
    </row>
    <row r="6230" spans="1:1">
      <c r="A6230" s="346"/>
    </row>
    <row r="6231" spans="1:1">
      <c r="A6231" s="346"/>
    </row>
    <row r="6232" spans="1:1">
      <c r="A6232" s="346"/>
    </row>
    <row r="6233" spans="1:1">
      <c r="A6233" s="346"/>
    </row>
    <row r="6234" spans="1:1">
      <c r="A6234" s="346"/>
    </row>
    <row r="6235" spans="1:1">
      <c r="A6235" s="346"/>
    </row>
    <row r="6236" spans="1:1">
      <c r="A6236" s="346"/>
    </row>
    <row r="6237" spans="1:1">
      <c r="A6237" s="346"/>
    </row>
    <row r="6238" spans="1:1">
      <c r="A6238" s="346"/>
    </row>
    <row r="6239" spans="1:1">
      <c r="A6239" s="346"/>
    </row>
    <row r="6240" spans="1:1">
      <c r="A6240" s="346"/>
    </row>
    <row r="6241" spans="1:1">
      <c r="A6241" s="346"/>
    </row>
    <row r="6242" spans="1:1">
      <c r="A6242" s="346"/>
    </row>
    <row r="6243" spans="1:1">
      <c r="A6243" s="346"/>
    </row>
    <row r="6244" spans="1:1">
      <c r="A6244" s="346"/>
    </row>
    <row r="6245" spans="1:1">
      <c r="A6245" s="346"/>
    </row>
    <row r="6246" spans="1:1">
      <c r="A6246" s="346"/>
    </row>
    <row r="6247" spans="1:1">
      <c r="A6247" s="346"/>
    </row>
    <row r="6248" spans="1:1">
      <c r="A6248" s="346"/>
    </row>
    <row r="6249" spans="1:1">
      <c r="A6249" s="346"/>
    </row>
    <row r="6250" spans="1:1">
      <c r="A6250" s="346"/>
    </row>
    <row r="6251" spans="1:1">
      <c r="A6251" s="346"/>
    </row>
    <row r="6252" spans="1:1">
      <c r="A6252" s="346"/>
    </row>
    <row r="6253" spans="1:1">
      <c r="A6253" s="346"/>
    </row>
    <row r="6254" spans="1:1">
      <c r="A6254" s="346"/>
    </row>
    <row r="6255" spans="1:1">
      <c r="A6255" s="346"/>
    </row>
    <row r="6256" spans="1:1">
      <c r="A6256" s="346"/>
    </row>
    <row r="6257" spans="1:1">
      <c r="A6257" s="346"/>
    </row>
    <row r="6258" spans="1:1">
      <c r="A6258" s="346"/>
    </row>
    <row r="6259" spans="1:1">
      <c r="A6259" s="346"/>
    </row>
    <row r="6260" spans="1:1">
      <c r="A6260" s="346"/>
    </row>
    <row r="6261" spans="1:1">
      <c r="A6261" s="346"/>
    </row>
    <row r="6262" spans="1:1">
      <c r="A6262" s="346"/>
    </row>
    <row r="6263" spans="1:1">
      <c r="A6263" s="346"/>
    </row>
    <row r="6264" spans="1:1">
      <c r="A6264" s="346"/>
    </row>
    <row r="6265" spans="1:1">
      <c r="A6265" s="346"/>
    </row>
    <row r="6266" spans="1:1">
      <c r="A6266" s="346"/>
    </row>
    <row r="6267" spans="1:1">
      <c r="A6267" s="346"/>
    </row>
    <row r="6268" spans="1:1">
      <c r="A6268" s="346"/>
    </row>
    <row r="6269" spans="1:1">
      <c r="A6269" s="346"/>
    </row>
    <row r="6270" spans="1:1">
      <c r="A6270" s="346"/>
    </row>
    <row r="6271" spans="1:1">
      <c r="A6271" s="346"/>
    </row>
    <row r="6272" spans="1:1">
      <c r="A6272" s="346"/>
    </row>
    <row r="6273" spans="1:1">
      <c r="A6273" s="346"/>
    </row>
    <row r="6274" spans="1:1">
      <c r="A6274" s="346"/>
    </row>
    <row r="6275" spans="1:1">
      <c r="A6275" s="346"/>
    </row>
    <row r="6276" spans="1:1">
      <c r="A6276" s="346"/>
    </row>
    <row r="6277" spans="1:1">
      <c r="A6277" s="346"/>
    </row>
    <row r="6278" spans="1:1">
      <c r="A6278" s="346"/>
    </row>
    <row r="6279" spans="1:1">
      <c r="A6279" s="346"/>
    </row>
    <row r="6280" spans="1:1">
      <c r="A6280" s="346"/>
    </row>
    <row r="6281" spans="1:1">
      <c r="A6281" s="346"/>
    </row>
    <row r="6282" spans="1:1">
      <c r="A6282" s="346"/>
    </row>
    <row r="6283" spans="1:1">
      <c r="A6283" s="346"/>
    </row>
    <row r="6284" spans="1:1">
      <c r="A6284" s="346"/>
    </row>
    <row r="6285" spans="1:1">
      <c r="A6285" s="346"/>
    </row>
    <row r="6286" spans="1:1">
      <c r="A6286" s="346"/>
    </row>
    <row r="6287" spans="1:1">
      <c r="A6287" s="346"/>
    </row>
    <row r="6288" spans="1:1">
      <c r="A6288" s="346"/>
    </row>
    <row r="6289" spans="1:1">
      <c r="A6289" s="346"/>
    </row>
    <row r="6290" spans="1:1">
      <c r="A6290" s="346"/>
    </row>
    <row r="6291" spans="1:1">
      <c r="A6291" s="346"/>
    </row>
    <row r="6292" spans="1:1">
      <c r="A6292" s="346"/>
    </row>
    <row r="6293" spans="1:1">
      <c r="A6293" s="346"/>
    </row>
    <row r="6294" spans="1:1">
      <c r="A6294" s="346"/>
    </row>
    <row r="6295" spans="1:1">
      <c r="A6295" s="346"/>
    </row>
    <row r="6296" spans="1:1">
      <c r="A6296" s="346"/>
    </row>
    <row r="6297" spans="1:1">
      <c r="A6297" s="346"/>
    </row>
    <row r="6298" spans="1:1">
      <c r="A6298" s="346"/>
    </row>
    <row r="6299" spans="1:1">
      <c r="A6299" s="346"/>
    </row>
    <row r="6300" spans="1:1">
      <c r="A6300" s="346"/>
    </row>
    <row r="6301" spans="1:1">
      <c r="A6301" s="346"/>
    </row>
    <row r="6302" spans="1:1">
      <c r="A6302" s="346"/>
    </row>
    <row r="6303" spans="1:1">
      <c r="A6303" s="346"/>
    </row>
    <row r="6304" spans="1:1">
      <c r="A6304" s="346"/>
    </row>
    <row r="6305" spans="1:1">
      <c r="A6305" s="346"/>
    </row>
    <row r="6306" spans="1:1">
      <c r="A6306" s="346"/>
    </row>
    <row r="6307" spans="1:1">
      <c r="A6307" s="346"/>
    </row>
    <row r="6308" spans="1:1">
      <c r="A6308" s="346"/>
    </row>
    <row r="6309" spans="1:1">
      <c r="A6309" s="346"/>
    </row>
    <row r="6310" spans="1:1">
      <c r="A6310" s="346"/>
    </row>
    <row r="6311" spans="1:1">
      <c r="A6311" s="346"/>
    </row>
    <row r="6312" spans="1:1">
      <c r="A6312" s="346"/>
    </row>
    <row r="6313" spans="1:1">
      <c r="A6313" s="346"/>
    </row>
    <row r="6314" spans="1:1">
      <c r="A6314" s="346"/>
    </row>
    <row r="6315" spans="1:1">
      <c r="A6315" s="346"/>
    </row>
    <row r="6316" spans="1:1">
      <c r="A6316" s="346"/>
    </row>
    <row r="6317" spans="1:1">
      <c r="A6317" s="346"/>
    </row>
    <row r="6318" spans="1:1">
      <c r="A6318" s="346"/>
    </row>
    <row r="6319" spans="1:1">
      <c r="A6319" s="346"/>
    </row>
    <row r="6320" spans="1:1">
      <c r="A6320" s="346"/>
    </row>
    <row r="6321" spans="1:1">
      <c r="A6321" s="346"/>
    </row>
    <row r="6322" spans="1:1">
      <c r="A6322" s="346"/>
    </row>
    <row r="6323" spans="1:1">
      <c r="A6323" s="346"/>
    </row>
    <row r="6324" spans="1:1">
      <c r="A6324" s="346"/>
    </row>
    <row r="6325" spans="1:1">
      <c r="A6325" s="346"/>
    </row>
    <row r="6326" spans="1:1">
      <c r="A6326" s="346"/>
    </row>
    <row r="6327" spans="1:1">
      <c r="A6327" s="346"/>
    </row>
    <row r="6328" spans="1:1">
      <c r="A6328" s="346"/>
    </row>
    <row r="6329" spans="1:1">
      <c r="A6329" s="346"/>
    </row>
    <row r="6330" spans="1:1">
      <c r="A6330" s="346"/>
    </row>
    <row r="6331" spans="1:1">
      <c r="A6331" s="346"/>
    </row>
    <row r="6332" spans="1:1">
      <c r="A6332" s="346"/>
    </row>
    <row r="6333" spans="1:1">
      <c r="A6333" s="346"/>
    </row>
    <row r="6334" spans="1:1">
      <c r="A6334" s="346"/>
    </row>
    <row r="6335" spans="1:1">
      <c r="A6335" s="346"/>
    </row>
    <row r="6336" spans="1:1">
      <c r="A6336" s="346"/>
    </row>
    <row r="6337" spans="1:1">
      <c r="A6337" s="346"/>
    </row>
    <row r="6338" spans="1:1">
      <c r="A6338" s="346"/>
    </row>
    <row r="6339" spans="1:1">
      <c r="A6339" s="346"/>
    </row>
    <row r="6340" spans="1:1">
      <c r="A6340" s="346"/>
    </row>
    <row r="6341" spans="1:1">
      <c r="A6341" s="346"/>
    </row>
    <row r="6342" spans="1:1">
      <c r="A6342" s="346"/>
    </row>
    <row r="6343" spans="1:1">
      <c r="A6343" s="346"/>
    </row>
    <row r="6344" spans="1:1">
      <c r="A6344" s="346"/>
    </row>
    <row r="6345" spans="1:1">
      <c r="A6345" s="346"/>
    </row>
    <row r="6346" spans="1:1">
      <c r="A6346" s="346"/>
    </row>
    <row r="6347" spans="1:1">
      <c r="A6347" s="346"/>
    </row>
    <row r="6348" spans="1:1">
      <c r="A6348" s="346"/>
    </row>
    <row r="6349" spans="1:1">
      <c r="A6349" s="346"/>
    </row>
    <row r="6350" spans="1:1">
      <c r="A6350" s="346"/>
    </row>
    <row r="6351" spans="1:1">
      <c r="A6351" s="346"/>
    </row>
    <row r="6352" spans="1:1">
      <c r="A6352" s="346"/>
    </row>
    <row r="6353" spans="1:1">
      <c r="A6353" s="346"/>
    </row>
    <row r="6354" spans="1:1">
      <c r="A6354" s="346"/>
    </row>
    <row r="6355" spans="1:1">
      <c r="A6355" s="346"/>
    </row>
    <row r="6356" spans="1:1">
      <c r="A6356" s="346"/>
    </row>
    <row r="6357" spans="1:1">
      <c r="A6357" s="346"/>
    </row>
    <row r="6358" spans="1:1">
      <c r="A6358" s="346"/>
    </row>
    <row r="6359" spans="1:1">
      <c r="A6359" s="346"/>
    </row>
    <row r="6360" spans="1:1">
      <c r="A6360" s="346"/>
    </row>
    <row r="6361" spans="1:1">
      <c r="A6361" s="346"/>
    </row>
    <row r="6362" spans="1:1">
      <c r="A6362" s="346"/>
    </row>
    <row r="6363" spans="1:1">
      <c r="A6363" s="346"/>
    </row>
    <row r="6364" spans="1:1">
      <c r="A6364" s="346"/>
    </row>
    <row r="6365" spans="1:1">
      <c r="A6365" s="346"/>
    </row>
    <row r="6366" spans="1:1">
      <c r="A6366" s="346"/>
    </row>
    <row r="6367" spans="1:1">
      <c r="A6367" s="346"/>
    </row>
    <row r="6368" spans="1:1">
      <c r="A6368" s="346"/>
    </row>
    <row r="6369" spans="1:1">
      <c r="A6369" s="346"/>
    </row>
    <row r="6370" spans="1:1">
      <c r="A6370" s="346"/>
    </row>
    <row r="6371" spans="1:1">
      <c r="A6371" s="346"/>
    </row>
    <row r="6372" spans="1:1">
      <c r="A6372" s="346"/>
    </row>
    <row r="6373" spans="1:1">
      <c r="A6373" s="346"/>
    </row>
    <row r="6374" spans="1:1">
      <c r="A6374" s="346"/>
    </row>
    <row r="6375" spans="1:1">
      <c r="A6375" s="346"/>
    </row>
    <row r="6376" spans="1:1">
      <c r="A6376" s="346"/>
    </row>
    <row r="6377" spans="1:1">
      <c r="A6377" s="346"/>
    </row>
    <row r="6378" spans="1:1">
      <c r="A6378" s="346"/>
    </row>
    <row r="6379" spans="1:1">
      <c r="A6379" s="346"/>
    </row>
    <row r="6380" spans="1:1">
      <c r="A6380" s="346"/>
    </row>
    <row r="6381" spans="1:1">
      <c r="A6381" s="346"/>
    </row>
    <row r="6382" spans="1:1">
      <c r="A6382" s="346"/>
    </row>
    <row r="6383" spans="1:1">
      <c r="A6383" s="346"/>
    </row>
    <row r="6384" spans="1:1">
      <c r="A6384" s="346"/>
    </row>
    <row r="6385" spans="1:1">
      <c r="A6385" s="346"/>
    </row>
    <row r="6386" spans="1:1">
      <c r="A6386" s="346"/>
    </row>
    <row r="6387" spans="1:1">
      <c r="A6387" s="346"/>
    </row>
    <row r="6388" spans="1:1">
      <c r="A6388" s="346"/>
    </row>
    <row r="6389" spans="1:1">
      <c r="A6389" s="346"/>
    </row>
    <row r="6390" spans="1:1">
      <c r="A6390" s="346"/>
    </row>
    <row r="6391" spans="1:1">
      <c r="A6391" s="346"/>
    </row>
    <row r="6392" spans="1:1">
      <c r="A6392" s="346"/>
    </row>
    <row r="6393" spans="1:1">
      <c r="A6393" s="346"/>
    </row>
    <row r="6394" spans="1:1">
      <c r="A6394" s="346"/>
    </row>
    <row r="6395" spans="1:1">
      <c r="A6395" s="346"/>
    </row>
    <row r="6396" spans="1:1">
      <c r="A6396" s="346"/>
    </row>
    <row r="6397" spans="1:1">
      <c r="A6397" s="346"/>
    </row>
    <row r="6398" spans="1:1">
      <c r="A6398" s="346"/>
    </row>
    <row r="6399" spans="1:1">
      <c r="A6399" s="346"/>
    </row>
    <row r="6400" spans="1:1">
      <c r="A6400" s="346"/>
    </row>
    <row r="6401" spans="1:1">
      <c r="A6401" s="346"/>
    </row>
    <row r="6402" spans="1:1">
      <c r="A6402" s="346"/>
    </row>
    <row r="6403" spans="1:1">
      <c r="A6403" s="346"/>
    </row>
    <row r="6404" spans="1:1">
      <c r="A6404" s="346"/>
    </row>
    <row r="6405" spans="1:1">
      <c r="A6405" s="346"/>
    </row>
    <row r="6406" spans="1:1">
      <c r="A6406" s="346"/>
    </row>
    <row r="6407" spans="1:1">
      <c r="A6407" s="346"/>
    </row>
    <row r="6408" spans="1:1">
      <c r="A6408" s="346"/>
    </row>
    <row r="6409" spans="1:1">
      <c r="A6409" s="346"/>
    </row>
    <row r="6410" spans="1:1">
      <c r="A6410" s="346"/>
    </row>
    <row r="6411" spans="1:1">
      <c r="A6411" s="346"/>
    </row>
    <row r="6412" spans="1:1">
      <c r="A6412" s="346"/>
    </row>
    <row r="6413" spans="1:1">
      <c r="A6413" s="346"/>
    </row>
    <row r="6414" spans="1:1">
      <c r="A6414" s="346"/>
    </row>
    <row r="6415" spans="1:1">
      <c r="A6415" s="346"/>
    </row>
    <row r="6416" spans="1:1">
      <c r="A6416" s="346"/>
    </row>
    <row r="6417" spans="1:1">
      <c r="A6417" s="346"/>
    </row>
    <row r="6418" spans="1:1">
      <c r="A6418" s="346"/>
    </row>
    <row r="6419" spans="1:1">
      <c r="A6419" s="346"/>
    </row>
    <row r="6420" spans="1:1">
      <c r="A6420" s="346"/>
    </row>
    <row r="6421" spans="1:1">
      <c r="A6421" s="346"/>
    </row>
    <row r="6422" spans="1:1">
      <c r="A6422" s="346"/>
    </row>
    <row r="6423" spans="1:1">
      <c r="A6423" s="346"/>
    </row>
    <row r="6424" spans="1:1">
      <c r="A6424" s="346"/>
    </row>
    <row r="6425" spans="1:1">
      <c r="A6425" s="346"/>
    </row>
    <row r="6426" spans="1:1">
      <c r="A6426" s="346"/>
    </row>
    <row r="6427" spans="1:1">
      <c r="A6427" s="346"/>
    </row>
    <row r="6428" spans="1:1">
      <c r="A6428" s="346"/>
    </row>
    <row r="6429" spans="1:1">
      <c r="A6429" s="346"/>
    </row>
    <row r="6430" spans="1:1">
      <c r="A6430" s="346"/>
    </row>
    <row r="6431" spans="1:1">
      <c r="A6431" s="346"/>
    </row>
    <row r="6432" spans="1:1">
      <c r="A6432" s="346"/>
    </row>
    <row r="6433" spans="1:1">
      <c r="A6433" s="346"/>
    </row>
    <row r="6434" spans="1:1">
      <c r="A6434" s="346"/>
    </row>
    <row r="6435" spans="1:1">
      <c r="A6435" s="346"/>
    </row>
    <row r="6436" spans="1:1">
      <c r="A6436" s="346"/>
    </row>
    <row r="6437" spans="1:1">
      <c r="A6437" s="346"/>
    </row>
    <row r="6438" spans="1:1">
      <c r="A6438" s="346"/>
    </row>
    <row r="6439" spans="1:1">
      <c r="A6439" s="346"/>
    </row>
    <row r="6440" spans="1:1">
      <c r="A6440" s="346"/>
    </row>
    <row r="6441" spans="1:1">
      <c r="A6441" s="346"/>
    </row>
    <row r="6442" spans="1:1">
      <c r="A6442" s="346"/>
    </row>
    <row r="6443" spans="1:1">
      <c r="A6443" s="346"/>
    </row>
    <row r="6444" spans="1:1">
      <c r="A6444" s="346"/>
    </row>
    <row r="6445" spans="1:1">
      <c r="A6445" s="346"/>
    </row>
    <row r="6446" spans="1:1">
      <c r="A6446" s="346"/>
    </row>
    <row r="6447" spans="1:1">
      <c r="A6447" s="346"/>
    </row>
    <row r="6448" spans="1:1">
      <c r="A6448" s="346"/>
    </row>
    <row r="6449" spans="1:1">
      <c r="A6449" s="346"/>
    </row>
    <row r="6450" spans="1:1">
      <c r="A6450" s="346"/>
    </row>
    <row r="6451" spans="1:1">
      <c r="A6451" s="346"/>
    </row>
    <row r="6452" spans="1:1">
      <c r="A6452" s="346"/>
    </row>
    <row r="6453" spans="1:1">
      <c r="A6453" s="346"/>
    </row>
    <row r="6454" spans="1:1">
      <c r="A6454" s="346"/>
    </row>
    <row r="6455" spans="1:1">
      <c r="A6455" s="346"/>
    </row>
    <row r="6456" spans="1:1">
      <c r="A6456" s="346"/>
    </row>
    <row r="6457" spans="1:1">
      <c r="A6457" s="346"/>
    </row>
    <row r="6458" spans="1:1">
      <c r="A6458" s="346"/>
    </row>
    <row r="6459" spans="1:1">
      <c r="A6459" s="346"/>
    </row>
    <row r="6460" spans="1:1">
      <c r="A6460" s="346"/>
    </row>
    <row r="6461" spans="1:1">
      <c r="A6461" s="346"/>
    </row>
    <row r="6462" spans="1:1">
      <c r="A6462" s="346"/>
    </row>
    <row r="6463" spans="1:1">
      <c r="A6463" s="346"/>
    </row>
    <row r="6464" spans="1:1">
      <c r="A6464" s="346"/>
    </row>
    <row r="6465" spans="1:1">
      <c r="A6465" s="346"/>
    </row>
    <row r="6466" spans="1:1">
      <c r="A6466" s="346"/>
    </row>
    <row r="6467" spans="1:1">
      <c r="A6467" s="346"/>
    </row>
    <row r="6468" spans="1:1">
      <c r="A6468" s="346"/>
    </row>
    <row r="6469" spans="1:1">
      <c r="A6469" s="346"/>
    </row>
    <row r="6470" spans="1:1">
      <c r="A6470" s="346"/>
    </row>
    <row r="6471" spans="1:1">
      <c r="A6471" s="346"/>
    </row>
    <row r="6472" spans="1:1">
      <c r="A6472" s="346"/>
    </row>
    <row r="6473" spans="1:1">
      <c r="A6473" s="346"/>
    </row>
    <row r="6474" spans="1:1">
      <c r="A6474" s="346"/>
    </row>
    <row r="6475" spans="1:1">
      <c r="A6475" s="346"/>
    </row>
    <row r="6476" spans="1:1">
      <c r="A6476" s="346"/>
    </row>
    <row r="6477" spans="1:1">
      <c r="A6477" s="346"/>
    </row>
    <row r="6478" spans="1:1">
      <c r="A6478" s="346"/>
    </row>
    <row r="6479" spans="1:1">
      <c r="A6479" s="346"/>
    </row>
    <row r="6480" spans="1:1">
      <c r="A6480" s="346"/>
    </row>
    <row r="6481" spans="1:1">
      <c r="A6481" s="346"/>
    </row>
    <row r="6482" spans="1:1">
      <c r="A6482" s="346"/>
    </row>
    <row r="6483" spans="1:1">
      <c r="A6483" s="346"/>
    </row>
    <row r="6484" spans="1:1">
      <c r="A6484" s="346"/>
    </row>
    <row r="6485" spans="1:1">
      <c r="A6485" s="346"/>
    </row>
    <row r="6486" spans="1:1">
      <c r="A6486" s="346"/>
    </row>
    <row r="6487" spans="1:1">
      <c r="A6487" s="346"/>
    </row>
    <row r="6488" spans="1:1">
      <c r="A6488" s="346"/>
    </row>
    <row r="6489" spans="1:1">
      <c r="A6489" s="346"/>
    </row>
    <row r="6490" spans="1:1">
      <c r="A6490" s="346"/>
    </row>
    <row r="6491" spans="1:1">
      <c r="A6491" s="346"/>
    </row>
    <row r="6492" spans="1:1">
      <c r="A6492" s="346"/>
    </row>
    <row r="6493" spans="1:1">
      <c r="A6493" s="346"/>
    </row>
    <row r="6494" spans="1:1">
      <c r="A6494" s="346"/>
    </row>
    <row r="6495" spans="1:1">
      <c r="A6495" s="346"/>
    </row>
    <row r="6496" spans="1:1">
      <c r="A6496" s="346"/>
    </row>
    <row r="6497" spans="1:1">
      <c r="A6497" s="346"/>
    </row>
    <row r="6498" spans="1:1">
      <c r="A6498" s="346"/>
    </row>
    <row r="6499" spans="1:1">
      <c r="A6499" s="346"/>
    </row>
    <row r="6500" spans="1:1">
      <c r="A6500" s="346"/>
    </row>
    <row r="6501" spans="1:1">
      <c r="A6501" s="346"/>
    </row>
    <row r="6502" spans="1:1">
      <c r="A6502" s="346"/>
    </row>
    <row r="6503" spans="1:1">
      <c r="A6503" s="346"/>
    </row>
    <row r="6504" spans="1:1">
      <c r="A6504" s="346"/>
    </row>
    <row r="6505" spans="1:1">
      <c r="A6505" s="346"/>
    </row>
    <row r="6506" spans="1:1">
      <c r="A6506" s="346"/>
    </row>
    <row r="6507" spans="1:1">
      <c r="A6507" s="346"/>
    </row>
    <row r="6508" spans="1:1">
      <c r="A6508" s="346"/>
    </row>
    <row r="6509" spans="1:1">
      <c r="A6509" s="346"/>
    </row>
    <row r="6510" spans="1:1">
      <c r="A6510" s="346"/>
    </row>
    <row r="6511" spans="1:1">
      <c r="A6511" s="346"/>
    </row>
    <row r="6512" spans="1:1">
      <c r="A6512" s="346"/>
    </row>
    <row r="6513" spans="1:1">
      <c r="A6513" s="346"/>
    </row>
    <row r="6514" spans="1:1">
      <c r="A6514" s="346"/>
    </row>
    <row r="6515" spans="1:1">
      <c r="A6515" s="346"/>
    </row>
    <row r="6516" spans="1:1">
      <c r="A6516" s="346"/>
    </row>
    <row r="6517" spans="1:1">
      <c r="A6517" s="346"/>
    </row>
    <row r="6518" spans="1:1">
      <c r="A6518" s="346"/>
    </row>
    <row r="6519" spans="1:1">
      <c r="A6519" s="346"/>
    </row>
    <row r="6520" spans="1:1">
      <c r="A6520" s="346"/>
    </row>
    <row r="6521" spans="1:1">
      <c r="A6521" s="346"/>
    </row>
    <row r="6522" spans="1:1">
      <c r="A6522" s="346"/>
    </row>
    <row r="6523" spans="1:1">
      <c r="A6523" s="346"/>
    </row>
    <row r="6524" spans="1:1">
      <c r="A6524" s="346"/>
    </row>
    <row r="6525" spans="1:1">
      <c r="A6525" s="346"/>
    </row>
    <row r="6526" spans="1:1">
      <c r="A6526" s="346"/>
    </row>
    <row r="6527" spans="1:1">
      <c r="A6527" s="346"/>
    </row>
    <row r="6528" spans="1:1">
      <c r="A6528" s="346"/>
    </row>
    <row r="6529" spans="1:1">
      <c r="A6529" s="346"/>
    </row>
    <row r="6530" spans="1:1">
      <c r="A6530" s="346"/>
    </row>
    <row r="6531" spans="1:1">
      <c r="A6531" s="346"/>
    </row>
    <row r="6532" spans="1:1">
      <c r="A6532" s="346"/>
    </row>
    <row r="6533" spans="1:1">
      <c r="A6533" s="346"/>
    </row>
    <row r="6534" spans="1:1">
      <c r="A6534" s="346"/>
    </row>
    <row r="6535" spans="1:1">
      <c r="A6535" s="346"/>
    </row>
    <row r="6536" spans="1:1">
      <c r="A6536" s="346"/>
    </row>
    <row r="6537" spans="1:1">
      <c r="A6537" s="346"/>
    </row>
    <row r="6538" spans="1:1">
      <c r="A6538" s="346"/>
    </row>
    <row r="6539" spans="1:1">
      <c r="A6539" s="346"/>
    </row>
    <row r="6540" spans="1:1">
      <c r="A6540" s="346"/>
    </row>
    <row r="6541" spans="1:1">
      <c r="A6541" s="346"/>
    </row>
    <row r="6542" spans="1:1">
      <c r="A6542" s="346"/>
    </row>
    <row r="6543" spans="1:1">
      <c r="A6543" s="346"/>
    </row>
    <row r="6544" spans="1:1">
      <c r="A6544" s="346"/>
    </row>
    <row r="6545" spans="1:1">
      <c r="A6545" s="346"/>
    </row>
    <row r="6546" spans="1:1">
      <c r="A6546" s="346"/>
    </row>
    <row r="6547" spans="1:1">
      <c r="A6547" s="346"/>
    </row>
    <row r="6548" spans="1:1">
      <c r="A6548" s="346"/>
    </row>
    <row r="6549" spans="1:1">
      <c r="A6549" s="346"/>
    </row>
    <row r="6550" spans="1:1">
      <c r="A6550" s="346"/>
    </row>
    <row r="6551" spans="1:1">
      <c r="A6551" s="346"/>
    </row>
    <row r="6552" spans="1:1">
      <c r="A6552" s="346"/>
    </row>
    <row r="6553" spans="1:1">
      <c r="A6553" s="346"/>
    </row>
    <row r="6554" spans="1:1">
      <c r="A6554" s="346"/>
    </row>
    <row r="6555" spans="1:1">
      <c r="A6555" s="346"/>
    </row>
    <row r="6556" spans="1:1">
      <c r="A6556" s="346"/>
    </row>
    <row r="6557" spans="1:1">
      <c r="A6557" s="346"/>
    </row>
    <row r="6558" spans="1:1">
      <c r="A6558" s="346"/>
    </row>
    <row r="6559" spans="1:1">
      <c r="A6559" s="346"/>
    </row>
    <row r="6560" spans="1:1">
      <c r="A6560" s="346"/>
    </row>
    <row r="6561" spans="1:1">
      <c r="A6561" s="346"/>
    </row>
    <row r="6562" spans="1:1">
      <c r="A6562" s="346"/>
    </row>
    <row r="6563" spans="1:1">
      <c r="A6563" s="346"/>
    </row>
    <row r="6564" spans="1:1">
      <c r="A6564" s="346"/>
    </row>
    <row r="6565" spans="1:1">
      <c r="A6565" s="346"/>
    </row>
    <row r="6566" spans="1:1">
      <c r="A6566" s="346"/>
    </row>
    <row r="6567" spans="1:1">
      <c r="A6567" s="346"/>
    </row>
    <row r="6568" spans="1:1">
      <c r="A6568" s="346"/>
    </row>
    <row r="6569" spans="1:1">
      <c r="A6569" s="346"/>
    </row>
    <row r="6570" spans="1:1">
      <c r="A6570" s="346"/>
    </row>
    <row r="6571" spans="1:1">
      <c r="A6571" s="346"/>
    </row>
    <row r="6572" spans="1:1">
      <c r="A6572" s="346"/>
    </row>
    <row r="6573" spans="1:1">
      <c r="A6573" s="346"/>
    </row>
    <row r="6574" spans="1:1">
      <c r="A6574" s="346"/>
    </row>
    <row r="6575" spans="1:1">
      <c r="A6575" s="346"/>
    </row>
    <row r="6576" spans="1:1">
      <c r="A6576" s="346"/>
    </row>
    <row r="6577" spans="1:1">
      <c r="A6577" s="346"/>
    </row>
    <row r="6578" spans="1:1">
      <c r="A6578" s="346"/>
    </row>
    <row r="6579" spans="1:1">
      <c r="A6579" s="346"/>
    </row>
    <row r="6580" spans="1:1">
      <c r="A6580" s="346"/>
    </row>
    <row r="6581" spans="1:1">
      <c r="A6581" s="346"/>
    </row>
    <row r="6582" spans="1:1">
      <c r="A6582" s="346"/>
    </row>
    <row r="6583" spans="1:1">
      <c r="A6583" s="346"/>
    </row>
    <row r="6584" spans="1:1">
      <c r="A6584" s="346"/>
    </row>
    <row r="6585" spans="1:1">
      <c r="A6585" s="346"/>
    </row>
    <row r="6586" spans="1:1">
      <c r="A6586" s="346"/>
    </row>
    <row r="6587" spans="1:1">
      <c r="A6587" s="346"/>
    </row>
    <row r="6588" spans="1:1">
      <c r="A6588" s="346"/>
    </row>
    <row r="6589" spans="1:1">
      <c r="A6589" s="346"/>
    </row>
    <row r="6590" spans="1:1">
      <c r="A6590" s="346"/>
    </row>
    <row r="6591" spans="1:1">
      <c r="A6591" s="346"/>
    </row>
    <row r="6592" spans="1:1">
      <c r="A6592" s="346"/>
    </row>
    <row r="6593" spans="1:1">
      <c r="A6593" s="346"/>
    </row>
    <row r="6594" spans="1:1">
      <c r="A6594" s="346"/>
    </row>
    <row r="6595" spans="1:1">
      <c r="A6595" s="346"/>
    </row>
    <row r="6596" spans="1:1">
      <c r="A6596" s="346"/>
    </row>
    <row r="6597" spans="1:1">
      <c r="A6597" s="346"/>
    </row>
    <row r="6598" spans="1:1">
      <c r="A6598" s="346"/>
    </row>
    <row r="6599" spans="1:1">
      <c r="A6599" s="346"/>
    </row>
    <row r="6600" spans="1:1">
      <c r="A6600" s="346"/>
    </row>
    <row r="6601" spans="1:1">
      <c r="A6601" s="346"/>
    </row>
    <row r="6602" spans="1:1">
      <c r="A6602" s="346"/>
    </row>
    <row r="6603" spans="1:1">
      <c r="A6603" s="346"/>
    </row>
    <row r="6604" spans="1:1">
      <c r="A6604" s="346"/>
    </row>
    <row r="6605" spans="1:1">
      <c r="A6605" s="346"/>
    </row>
    <row r="6606" spans="1:1">
      <c r="A6606" s="346"/>
    </row>
    <row r="6607" spans="1:1">
      <c r="A6607" s="346"/>
    </row>
    <row r="6608" spans="1:1">
      <c r="A6608" s="346"/>
    </row>
    <row r="6609" spans="1:1">
      <c r="A6609" s="346"/>
    </row>
    <row r="6610" spans="1:1">
      <c r="A6610" s="346"/>
    </row>
    <row r="6611" spans="1:1">
      <c r="A6611" s="346"/>
    </row>
    <row r="6612" spans="1:1">
      <c r="A6612" s="346"/>
    </row>
    <row r="6613" spans="1:1">
      <c r="A6613" s="346"/>
    </row>
    <row r="6614" spans="1:1">
      <c r="A6614" s="346"/>
    </row>
    <row r="6615" spans="1:1">
      <c r="A6615" s="346"/>
    </row>
    <row r="6616" spans="1:1">
      <c r="A6616" s="346"/>
    </row>
    <row r="6617" spans="1:1">
      <c r="A6617" s="346"/>
    </row>
    <row r="6618" spans="1:1">
      <c r="A6618" s="346"/>
    </row>
    <row r="6619" spans="1:1">
      <c r="A6619" s="346"/>
    </row>
    <row r="6620" spans="1:1">
      <c r="A6620" s="346"/>
    </row>
    <row r="6621" spans="1:1">
      <c r="A6621" s="346"/>
    </row>
    <row r="6622" spans="1:1">
      <c r="A6622" s="346"/>
    </row>
    <row r="6623" spans="1:1">
      <c r="A6623" s="346"/>
    </row>
    <row r="6624" spans="1:1">
      <c r="A6624" s="346"/>
    </row>
    <row r="6625" spans="1:1">
      <c r="A6625" s="346"/>
    </row>
    <row r="6626" spans="1:1">
      <c r="A6626" s="346"/>
    </row>
    <row r="6627" spans="1:1">
      <c r="A6627" s="346"/>
    </row>
    <row r="6628" spans="1:1">
      <c r="A6628" s="346"/>
    </row>
    <row r="6629" spans="1:1">
      <c r="A6629" s="346"/>
    </row>
    <row r="6630" spans="1:1">
      <c r="A6630" s="346"/>
    </row>
    <row r="6631" spans="1:1">
      <c r="A6631" s="346"/>
    </row>
    <row r="6632" spans="1:1">
      <c r="A6632" s="346"/>
    </row>
    <row r="6633" spans="1:1">
      <c r="A6633" s="346"/>
    </row>
    <row r="6634" spans="1:1">
      <c r="A6634" s="346"/>
    </row>
    <row r="6635" spans="1:1">
      <c r="A6635" s="346"/>
    </row>
    <row r="6636" spans="1:1">
      <c r="A6636" s="346"/>
    </row>
    <row r="6637" spans="1:1">
      <c r="A6637" s="346"/>
    </row>
    <row r="6638" spans="1:1">
      <c r="A6638" s="346"/>
    </row>
    <row r="6639" spans="1:1">
      <c r="A6639" s="346"/>
    </row>
    <row r="6640" spans="1:1">
      <c r="A6640" s="346"/>
    </row>
    <row r="6641" spans="1:1">
      <c r="A6641" s="346"/>
    </row>
    <row r="6642" spans="1:1">
      <c r="A6642" s="346"/>
    </row>
    <row r="6643" spans="1:1">
      <c r="A6643" s="346"/>
    </row>
    <row r="6644" spans="1:1">
      <c r="A6644" s="346"/>
    </row>
    <row r="6645" spans="1:1">
      <c r="A6645" s="346"/>
    </row>
    <row r="6646" spans="1:1">
      <c r="A6646" s="346"/>
    </row>
    <row r="6647" spans="1:1">
      <c r="A6647" s="346"/>
    </row>
    <row r="6648" spans="1:1">
      <c r="A6648" s="346"/>
    </row>
    <row r="6649" spans="1:1">
      <c r="A6649" s="346"/>
    </row>
    <row r="6650" spans="1:1">
      <c r="A6650" s="346"/>
    </row>
    <row r="6651" spans="1:1">
      <c r="A6651" s="346"/>
    </row>
    <row r="6652" spans="1:1">
      <c r="A6652" s="346"/>
    </row>
    <row r="6653" spans="1:1">
      <c r="A6653" s="346"/>
    </row>
    <row r="6654" spans="1:1">
      <c r="A6654" s="346"/>
    </row>
    <row r="6655" spans="1:1">
      <c r="A6655" s="346"/>
    </row>
    <row r="6656" spans="1:1">
      <c r="A6656" s="346"/>
    </row>
    <row r="6657" spans="1:1">
      <c r="A6657" s="346"/>
    </row>
    <row r="6658" spans="1:1">
      <c r="A6658" s="346"/>
    </row>
    <row r="6659" spans="1:1">
      <c r="A6659" s="346"/>
    </row>
    <row r="6660" spans="1:1">
      <c r="A6660" s="346"/>
    </row>
    <row r="6661" spans="1:1">
      <c r="A6661" s="346"/>
    </row>
    <row r="6662" spans="1:1">
      <c r="A6662" s="346"/>
    </row>
    <row r="6663" spans="1:1">
      <c r="A6663" s="346"/>
    </row>
    <row r="6664" spans="1:1">
      <c r="A6664" s="346"/>
    </row>
    <row r="6665" spans="1:1">
      <c r="A6665" s="346"/>
    </row>
    <row r="6666" spans="1:1">
      <c r="A6666" s="346"/>
    </row>
    <row r="6667" spans="1:1">
      <c r="A6667" s="346"/>
    </row>
    <row r="6668" spans="1:1">
      <c r="A6668" s="346"/>
    </row>
    <row r="6669" spans="1:1">
      <c r="A6669" s="346"/>
    </row>
    <row r="6670" spans="1:1">
      <c r="A6670" s="346"/>
    </row>
    <row r="6671" spans="1:1">
      <c r="A6671" s="346"/>
    </row>
    <row r="6672" spans="1:1">
      <c r="A6672" s="346"/>
    </row>
    <row r="6673" spans="1:1">
      <c r="A6673" s="346"/>
    </row>
    <row r="6674" spans="1:1">
      <c r="A6674" s="346"/>
    </row>
    <row r="6675" spans="1:1">
      <c r="A6675" s="346"/>
    </row>
    <row r="6676" spans="1:1">
      <c r="A6676" s="346"/>
    </row>
    <row r="6677" spans="1:1">
      <c r="A6677" s="346"/>
    </row>
    <row r="6678" spans="1:1">
      <c r="A6678" s="346"/>
    </row>
    <row r="6679" spans="1:1">
      <c r="A6679" s="346"/>
    </row>
    <row r="6680" spans="1:1">
      <c r="A6680" s="346"/>
    </row>
    <row r="6681" spans="1:1">
      <c r="A6681" s="346"/>
    </row>
    <row r="6682" spans="1:1">
      <c r="A6682" s="346"/>
    </row>
    <row r="6683" spans="1:1">
      <c r="A6683" s="346"/>
    </row>
    <row r="6684" spans="1:1">
      <c r="A6684" s="346"/>
    </row>
    <row r="6685" spans="1:1">
      <c r="A6685" s="346"/>
    </row>
    <row r="6686" spans="1:1">
      <c r="A6686" s="346"/>
    </row>
    <row r="6687" spans="1:1">
      <c r="A6687" s="346"/>
    </row>
    <row r="6688" spans="1:1">
      <c r="A6688" s="346"/>
    </row>
    <row r="6689" spans="1:1">
      <c r="A6689" s="346"/>
    </row>
    <row r="6690" spans="1:1">
      <c r="A6690" s="346"/>
    </row>
    <row r="6691" spans="1:1">
      <c r="A6691" s="346"/>
    </row>
    <row r="6692" spans="1:1">
      <c r="A6692" s="346"/>
    </row>
    <row r="6693" spans="1:1">
      <c r="A6693" s="346"/>
    </row>
    <row r="6694" spans="1:1">
      <c r="A6694" s="346"/>
    </row>
    <row r="6695" spans="1:1">
      <c r="A6695" s="346"/>
    </row>
    <row r="6696" spans="1:1">
      <c r="A6696" s="346"/>
    </row>
    <row r="6697" spans="1:1">
      <c r="A6697" s="346"/>
    </row>
    <row r="6698" spans="1:1">
      <c r="A6698" s="346"/>
    </row>
    <row r="6699" spans="1:1">
      <c r="A6699" s="346"/>
    </row>
    <row r="6700" spans="1:1">
      <c r="A6700" s="346"/>
    </row>
    <row r="6701" spans="1:1">
      <c r="A6701" s="346"/>
    </row>
    <row r="6702" spans="1:1">
      <c r="A6702" s="346"/>
    </row>
    <row r="6703" spans="1:1">
      <c r="A6703" s="346"/>
    </row>
    <row r="6704" spans="1:1">
      <c r="A6704" s="346"/>
    </row>
    <row r="6705" spans="1:1">
      <c r="A6705" s="346"/>
    </row>
    <row r="6706" spans="1:1">
      <c r="A6706" s="346"/>
    </row>
    <row r="6707" spans="1:1">
      <c r="A6707" s="346"/>
    </row>
    <row r="6708" spans="1:1">
      <c r="A6708" s="346"/>
    </row>
    <row r="6709" spans="1:1">
      <c r="A6709" s="346"/>
    </row>
    <row r="6710" spans="1:1">
      <c r="A6710" s="346"/>
    </row>
    <row r="6711" spans="1:1">
      <c r="A6711" s="346"/>
    </row>
    <row r="6712" spans="1:1">
      <c r="A6712" s="346"/>
    </row>
    <row r="6713" spans="1:1">
      <c r="A6713" s="346"/>
    </row>
    <row r="6714" spans="1:1">
      <c r="A6714" s="346"/>
    </row>
    <row r="6715" spans="1:1">
      <c r="A6715" s="346"/>
    </row>
    <row r="6716" spans="1:1">
      <c r="A6716" s="346"/>
    </row>
    <row r="6717" spans="1:1">
      <c r="A6717" s="346"/>
    </row>
    <row r="6718" spans="1:1">
      <c r="A6718" s="346"/>
    </row>
    <row r="6719" spans="1:1">
      <c r="A6719" s="346"/>
    </row>
    <row r="6720" spans="1:1">
      <c r="A6720" s="346"/>
    </row>
    <row r="6721" spans="1:1">
      <c r="A6721" s="346"/>
    </row>
    <row r="6722" spans="1:1">
      <c r="A6722" s="346"/>
    </row>
    <row r="6723" spans="1:1">
      <c r="A6723" s="346"/>
    </row>
    <row r="6724" spans="1:1">
      <c r="A6724" s="346"/>
    </row>
    <row r="6725" spans="1:1">
      <c r="A6725" s="346"/>
    </row>
    <row r="6726" spans="1:1">
      <c r="A6726" s="346"/>
    </row>
    <row r="6727" spans="1:1">
      <c r="A6727" s="346"/>
    </row>
    <row r="6728" spans="1:1">
      <c r="A6728" s="346"/>
    </row>
    <row r="6729" spans="1:1">
      <c r="A6729" s="346"/>
    </row>
    <row r="6730" spans="1:1">
      <c r="A6730" s="346"/>
    </row>
    <row r="6731" spans="1:1">
      <c r="A6731" s="346"/>
    </row>
    <row r="6732" spans="1:1">
      <c r="A6732" s="346"/>
    </row>
    <row r="6733" spans="1:1">
      <c r="A6733" s="346"/>
    </row>
    <row r="6734" spans="1:1">
      <c r="A6734" s="346"/>
    </row>
    <row r="6735" spans="1:1">
      <c r="A6735" s="346"/>
    </row>
    <row r="6736" spans="1:1">
      <c r="A6736" s="346"/>
    </row>
    <row r="6737" spans="1:1">
      <c r="A6737" s="346"/>
    </row>
    <row r="6738" spans="1:1">
      <c r="A6738" s="346"/>
    </row>
    <row r="6739" spans="1:1">
      <c r="A6739" s="346"/>
    </row>
    <row r="6740" spans="1:1">
      <c r="A6740" s="346"/>
    </row>
    <row r="6741" spans="1:1">
      <c r="A6741" s="346"/>
    </row>
    <row r="6742" spans="1:1">
      <c r="A6742" s="346"/>
    </row>
    <row r="6743" spans="1:1">
      <c r="A6743" s="346"/>
    </row>
    <row r="6744" spans="1:1">
      <c r="A6744" s="346"/>
    </row>
    <row r="6745" spans="1:1">
      <c r="A6745" s="346"/>
    </row>
    <row r="6746" spans="1:1">
      <c r="A6746" s="346"/>
    </row>
    <row r="6747" spans="1:1">
      <c r="A6747" s="346"/>
    </row>
    <row r="6748" spans="1:1">
      <c r="A6748" s="346"/>
    </row>
    <row r="6749" spans="1:1">
      <c r="A6749" s="346"/>
    </row>
    <row r="6750" spans="1:1">
      <c r="A6750" s="346"/>
    </row>
    <row r="6751" spans="1:1">
      <c r="A6751" s="346"/>
    </row>
    <row r="6752" spans="1:1">
      <c r="A6752" s="346"/>
    </row>
    <row r="6753" spans="1:1">
      <c r="A6753" s="346"/>
    </row>
    <row r="6754" spans="1:1">
      <c r="A6754" s="346"/>
    </row>
    <row r="6755" spans="1:1">
      <c r="A6755" s="346"/>
    </row>
    <row r="6756" spans="1:1">
      <c r="A6756" s="346"/>
    </row>
    <row r="6757" spans="1:1">
      <c r="A6757" s="346"/>
    </row>
    <row r="6758" spans="1:1">
      <c r="A6758" s="346"/>
    </row>
    <row r="6759" spans="1:1">
      <c r="A6759" s="346"/>
    </row>
    <row r="6760" spans="1:1">
      <c r="A6760" s="346"/>
    </row>
    <row r="6761" spans="1:1">
      <c r="A6761" s="346"/>
    </row>
    <row r="6762" spans="1:1">
      <c r="A6762" s="346"/>
    </row>
    <row r="6763" spans="1:1">
      <c r="A6763" s="346"/>
    </row>
    <row r="6764" spans="1:1">
      <c r="A6764" s="346"/>
    </row>
    <row r="6765" spans="1:1">
      <c r="A6765" s="346"/>
    </row>
    <row r="6766" spans="1:1">
      <c r="A6766" s="346"/>
    </row>
    <row r="6767" spans="1:1">
      <c r="A6767" s="346"/>
    </row>
    <row r="6768" spans="1:1">
      <c r="A6768" s="346"/>
    </row>
    <row r="6769" spans="1:1">
      <c r="A6769" s="346"/>
    </row>
    <row r="6770" spans="1:1">
      <c r="A6770" s="346"/>
    </row>
    <row r="6771" spans="1:1">
      <c r="A6771" s="346"/>
    </row>
    <row r="6772" spans="1:1">
      <c r="A6772" s="346"/>
    </row>
    <row r="6773" spans="1:1">
      <c r="A6773" s="346"/>
    </row>
    <row r="6774" spans="1:1">
      <c r="A6774" s="346"/>
    </row>
    <row r="6775" spans="1:1">
      <c r="A6775" s="346"/>
    </row>
    <row r="6776" spans="1:1">
      <c r="A6776" s="346"/>
    </row>
    <row r="6777" spans="1:1">
      <c r="A6777" s="346"/>
    </row>
    <row r="6778" spans="1:1">
      <c r="A6778" s="346"/>
    </row>
    <row r="6779" spans="1:1">
      <c r="A6779" s="346"/>
    </row>
    <row r="6780" spans="1:1">
      <c r="A6780" s="346"/>
    </row>
    <row r="6781" spans="1:1">
      <c r="A6781" s="346"/>
    </row>
    <row r="6782" spans="1:1">
      <c r="A6782" s="346"/>
    </row>
    <row r="6783" spans="1:1">
      <c r="A6783" s="346"/>
    </row>
    <row r="6784" spans="1:1">
      <c r="A6784" s="346"/>
    </row>
    <row r="6785" spans="1:1">
      <c r="A6785" s="346"/>
    </row>
    <row r="6786" spans="1:1">
      <c r="A6786" s="346"/>
    </row>
    <row r="6787" spans="1:1">
      <c r="A6787" s="346"/>
    </row>
    <row r="6788" spans="1:1">
      <c r="A6788" s="346"/>
    </row>
    <row r="6789" spans="1:1">
      <c r="A6789" s="346"/>
    </row>
    <row r="6790" spans="1:1">
      <c r="A6790" s="346"/>
    </row>
    <row r="6791" spans="1:1">
      <c r="A6791" s="346"/>
    </row>
    <row r="6792" spans="1:1">
      <c r="A6792" s="346"/>
    </row>
    <row r="6793" spans="1:1">
      <c r="A6793" s="346"/>
    </row>
    <row r="6794" spans="1:1">
      <c r="A6794" s="346"/>
    </row>
    <row r="6795" spans="1:1">
      <c r="A6795" s="346"/>
    </row>
    <row r="6796" spans="1:1">
      <c r="A6796" s="346"/>
    </row>
    <row r="6797" spans="1:1">
      <c r="A6797" s="346"/>
    </row>
    <row r="6798" spans="1:1">
      <c r="A6798" s="346"/>
    </row>
    <row r="6799" spans="1:1">
      <c r="A6799" s="346"/>
    </row>
    <row r="6800" spans="1:1">
      <c r="A6800" s="346"/>
    </row>
    <row r="6801" spans="1:1">
      <c r="A6801" s="346"/>
    </row>
    <row r="6802" spans="1:1">
      <c r="A6802" s="346"/>
    </row>
    <row r="6803" spans="1:1">
      <c r="A6803" s="346"/>
    </row>
    <row r="6804" spans="1:1">
      <c r="A6804" s="346"/>
    </row>
    <row r="6805" spans="1:1">
      <c r="A6805" s="346"/>
    </row>
    <row r="6806" spans="1:1">
      <c r="A6806" s="346"/>
    </row>
    <row r="6807" spans="1:1">
      <c r="A6807" s="346"/>
    </row>
    <row r="6808" spans="1:1">
      <c r="A6808" s="346"/>
    </row>
    <row r="6809" spans="1:1">
      <c r="A6809" s="346"/>
    </row>
    <row r="6810" spans="1:1">
      <c r="A6810" s="346"/>
    </row>
    <row r="6811" spans="1:1">
      <c r="A6811" s="346"/>
    </row>
    <row r="6812" spans="1:1">
      <c r="A6812" s="346"/>
    </row>
    <row r="6813" spans="1:1">
      <c r="A6813" s="346"/>
    </row>
    <row r="6814" spans="1:1">
      <c r="A6814" s="346"/>
    </row>
    <row r="6815" spans="1:1">
      <c r="A6815" s="346"/>
    </row>
    <row r="6816" spans="1:1">
      <c r="A6816" s="346"/>
    </row>
    <row r="6817" spans="1:1">
      <c r="A6817" s="346"/>
    </row>
    <row r="6818" spans="1:1">
      <c r="A6818" s="346"/>
    </row>
    <row r="6819" spans="1:1">
      <c r="A6819" s="346"/>
    </row>
    <row r="6820" spans="1:1">
      <c r="A6820" s="346"/>
    </row>
    <row r="6821" spans="1:1">
      <c r="A6821" s="346"/>
    </row>
    <row r="6822" spans="1:1">
      <c r="A6822" s="346"/>
    </row>
    <row r="6823" spans="1:1">
      <c r="A6823" s="346"/>
    </row>
    <row r="6824" spans="1:1">
      <c r="A6824" s="346"/>
    </row>
    <row r="6825" spans="1:1">
      <c r="A6825" s="346"/>
    </row>
    <row r="6826" spans="1:1">
      <c r="A6826" s="346"/>
    </row>
    <row r="6827" spans="1:1">
      <c r="A6827" s="346"/>
    </row>
    <row r="6828" spans="1:1">
      <c r="A6828" s="346"/>
    </row>
    <row r="6829" spans="1:1">
      <c r="A6829" s="346"/>
    </row>
    <row r="6830" spans="1:1">
      <c r="A6830" s="346"/>
    </row>
    <row r="6831" spans="1:1">
      <c r="A6831" s="346"/>
    </row>
    <row r="6832" spans="1:1">
      <c r="A6832" s="346"/>
    </row>
    <row r="6833" spans="1:1">
      <c r="A6833" s="346"/>
    </row>
    <row r="6834" spans="1:1">
      <c r="A6834" s="346"/>
    </row>
    <row r="6835" spans="1:1">
      <c r="A6835" s="346"/>
    </row>
    <row r="6836" spans="1:1">
      <c r="A6836" s="346"/>
    </row>
    <row r="6837" spans="1:1">
      <c r="A6837" s="346"/>
    </row>
    <row r="6838" spans="1:1">
      <c r="A6838" s="346"/>
    </row>
    <row r="6839" spans="1:1">
      <c r="A6839" s="346"/>
    </row>
    <row r="6840" spans="1:1">
      <c r="A6840" s="346"/>
    </row>
    <row r="6841" spans="1:1">
      <c r="A6841" s="346"/>
    </row>
    <row r="6842" spans="1:1">
      <c r="A6842" s="346"/>
    </row>
    <row r="6843" spans="1:1">
      <c r="A6843" s="346"/>
    </row>
    <row r="6844" spans="1:1">
      <c r="A6844" s="346"/>
    </row>
    <row r="6845" spans="1:1">
      <c r="A6845" s="346"/>
    </row>
    <row r="6846" spans="1:1">
      <c r="A6846" s="346"/>
    </row>
    <row r="6847" spans="1:1">
      <c r="A6847" s="346"/>
    </row>
    <row r="6848" spans="1:1">
      <c r="A6848" s="346"/>
    </row>
    <row r="6849" spans="1:1">
      <c r="A6849" s="346"/>
    </row>
    <row r="6850" spans="1:1">
      <c r="A6850" s="346"/>
    </row>
    <row r="6851" spans="1:1">
      <c r="A6851" s="346"/>
    </row>
    <row r="6852" spans="1:1">
      <c r="A6852" s="346"/>
    </row>
    <row r="6853" spans="1:1">
      <c r="A6853" s="346"/>
    </row>
    <row r="6854" spans="1:1">
      <c r="A6854" s="346"/>
    </row>
    <row r="6855" spans="1:1">
      <c r="A6855" s="346"/>
    </row>
    <row r="6856" spans="1:1">
      <c r="A6856" s="346"/>
    </row>
    <row r="6857" spans="1:1">
      <c r="A6857" s="346"/>
    </row>
    <row r="6858" spans="1:1">
      <c r="A6858" s="346"/>
    </row>
    <row r="6859" spans="1:1">
      <c r="A6859" s="346"/>
    </row>
    <row r="6860" spans="1:1">
      <c r="A6860" s="346"/>
    </row>
    <row r="6861" spans="1:1">
      <c r="A6861" s="346"/>
    </row>
    <row r="6862" spans="1:1">
      <c r="A6862" s="346"/>
    </row>
    <row r="6863" spans="1:1">
      <c r="A6863" s="346"/>
    </row>
    <row r="6864" spans="1:1">
      <c r="A6864" s="346"/>
    </row>
    <row r="6865" spans="1:1">
      <c r="A6865" s="346"/>
    </row>
    <row r="6866" spans="1:1">
      <c r="A6866" s="346"/>
    </row>
    <row r="6867" spans="1:1">
      <c r="A6867" s="346"/>
    </row>
    <row r="6868" spans="1:1">
      <c r="A6868" s="346"/>
    </row>
    <row r="6869" spans="1:1">
      <c r="A6869" s="346"/>
    </row>
    <row r="6870" spans="1:1">
      <c r="A6870" s="346"/>
    </row>
    <row r="6871" spans="1:1">
      <c r="A6871" s="346"/>
    </row>
    <row r="6872" spans="1:1">
      <c r="A6872" s="346"/>
    </row>
    <row r="6873" spans="1:1">
      <c r="A6873" s="346"/>
    </row>
    <row r="6874" spans="1:1">
      <c r="A6874" s="346"/>
    </row>
    <row r="6875" spans="1:1">
      <c r="A6875" s="346"/>
    </row>
    <row r="6876" spans="1:1">
      <c r="A6876" s="346"/>
    </row>
    <row r="6877" spans="1:1">
      <c r="A6877" s="346"/>
    </row>
    <row r="6878" spans="1:1">
      <c r="A6878" s="346"/>
    </row>
    <row r="6879" spans="1:1">
      <c r="A6879" s="346"/>
    </row>
    <row r="6880" spans="1:1">
      <c r="A6880" s="346"/>
    </row>
    <row r="6881" spans="1:1">
      <c r="A6881" s="346"/>
    </row>
    <row r="6882" spans="1:1">
      <c r="A6882" s="346"/>
    </row>
    <row r="6883" spans="1:1">
      <c r="A6883" s="346"/>
    </row>
    <row r="6884" spans="1:1">
      <c r="A6884" s="346"/>
    </row>
    <row r="6885" spans="1:1">
      <c r="A6885" s="346"/>
    </row>
    <row r="6886" spans="1:1">
      <c r="A6886" s="346"/>
    </row>
    <row r="6887" spans="1:1">
      <c r="A6887" s="346"/>
    </row>
    <row r="6888" spans="1:1">
      <c r="A6888" s="346"/>
    </row>
    <row r="6889" spans="1:1">
      <c r="A6889" s="346"/>
    </row>
    <row r="6890" spans="1:1">
      <c r="A6890" s="346"/>
    </row>
    <row r="6891" spans="1:1">
      <c r="A6891" s="346"/>
    </row>
    <row r="6892" spans="1:1">
      <c r="A6892" s="346"/>
    </row>
    <row r="6893" spans="1:1">
      <c r="A6893" s="346"/>
    </row>
    <row r="6894" spans="1:1">
      <c r="A6894" s="346"/>
    </row>
    <row r="6895" spans="1:1">
      <c r="A6895" s="346"/>
    </row>
    <row r="6896" spans="1:1">
      <c r="A6896" s="346"/>
    </row>
    <row r="6897" spans="1:1">
      <c r="A6897" s="346"/>
    </row>
    <row r="6898" spans="1:1">
      <c r="A6898" s="346"/>
    </row>
    <row r="6899" spans="1:1">
      <c r="A6899" s="346"/>
    </row>
    <row r="6900" spans="1:1">
      <c r="A6900" s="346"/>
    </row>
    <row r="6901" spans="1:1">
      <c r="A6901" s="346"/>
    </row>
    <row r="6902" spans="1:1">
      <c r="A6902" s="346"/>
    </row>
    <row r="6903" spans="1:1">
      <c r="A6903" s="346"/>
    </row>
    <row r="6904" spans="1:1">
      <c r="A6904" s="346"/>
    </row>
    <row r="6905" spans="1:1">
      <c r="A6905" s="346"/>
    </row>
    <row r="6906" spans="1:1">
      <c r="A6906" s="346"/>
    </row>
    <row r="6907" spans="1:1">
      <c r="A6907" s="346"/>
    </row>
    <row r="6908" spans="1:1">
      <c r="A6908" s="346"/>
    </row>
    <row r="6909" spans="1:1">
      <c r="A6909" s="346"/>
    </row>
    <row r="6910" spans="1:1">
      <c r="A6910" s="346"/>
    </row>
    <row r="6911" spans="1:1">
      <c r="A6911" s="346"/>
    </row>
    <row r="6912" spans="1:1">
      <c r="A6912" s="346"/>
    </row>
    <row r="6913" spans="1:1">
      <c r="A6913" s="346"/>
    </row>
    <row r="6914" spans="1:1">
      <c r="A6914" s="346"/>
    </row>
    <row r="6915" spans="1:1">
      <c r="A6915" s="346"/>
    </row>
    <row r="6916" spans="1:1">
      <c r="A6916" s="346"/>
    </row>
    <row r="6917" spans="1:1">
      <c r="A6917" s="346"/>
    </row>
    <row r="6918" spans="1:1">
      <c r="A6918" s="346"/>
    </row>
    <row r="6919" spans="1:1">
      <c r="A6919" s="346"/>
    </row>
    <row r="6920" spans="1:1">
      <c r="A6920" s="346"/>
    </row>
    <row r="6921" spans="1:1">
      <c r="A6921" s="346"/>
    </row>
    <row r="6922" spans="1:1">
      <c r="A6922" s="346"/>
    </row>
    <row r="6923" spans="1:1">
      <c r="A6923" s="346"/>
    </row>
    <row r="6924" spans="1:1">
      <c r="A6924" s="346"/>
    </row>
    <row r="6925" spans="1:1">
      <c r="A6925" s="346"/>
    </row>
    <row r="6926" spans="1:1">
      <c r="A6926" s="346"/>
    </row>
    <row r="6927" spans="1:1">
      <c r="A6927" s="346"/>
    </row>
    <row r="6928" spans="1:1">
      <c r="A6928" s="346"/>
    </row>
    <row r="6929" spans="1:1">
      <c r="A6929" s="346"/>
    </row>
    <row r="6930" spans="1:1">
      <c r="A6930" s="346"/>
    </row>
    <row r="6931" spans="1:1">
      <c r="A6931" s="346"/>
    </row>
    <row r="6932" spans="1:1">
      <c r="A6932" s="346"/>
    </row>
    <row r="6933" spans="1:1">
      <c r="A6933" s="346"/>
    </row>
    <row r="6934" spans="1:1">
      <c r="A6934" s="346"/>
    </row>
    <row r="6935" spans="1:1">
      <c r="A6935" s="346"/>
    </row>
    <row r="6936" spans="1:1">
      <c r="A6936" s="346"/>
    </row>
    <row r="6937" spans="1:1">
      <c r="A6937" s="346"/>
    </row>
    <row r="6938" spans="1:1">
      <c r="A6938" s="346"/>
    </row>
    <row r="6939" spans="1:1">
      <c r="A6939" s="346"/>
    </row>
    <row r="6940" spans="1:1">
      <c r="A6940" s="346"/>
    </row>
    <row r="6941" spans="1:1">
      <c r="A6941" s="346"/>
    </row>
    <row r="6942" spans="1:1">
      <c r="A6942" s="346"/>
    </row>
    <row r="6943" spans="1:1">
      <c r="A6943" s="346"/>
    </row>
    <row r="6944" spans="1:1">
      <c r="A6944" s="346"/>
    </row>
    <row r="6945" spans="1:1">
      <c r="A6945" s="346"/>
    </row>
    <row r="6946" spans="1:1">
      <c r="A6946" s="346"/>
    </row>
    <row r="6947" spans="1:1">
      <c r="A6947" s="346"/>
    </row>
    <row r="6948" spans="1:1">
      <c r="A6948" s="346"/>
    </row>
    <row r="6949" spans="1:1">
      <c r="A6949" s="346"/>
    </row>
    <row r="6950" spans="1:1">
      <c r="A6950" s="346"/>
    </row>
    <row r="6951" spans="1:1">
      <c r="A6951" s="346"/>
    </row>
    <row r="6952" spans="1:1">
      <c r="A6952" s="346"/>
    </row>
    <row r="6953" spans="1:1">
      <c r="A6953" s="346"/>
    </row>
    <row r="6954" spans="1:1">
      <c r="A6954" s="346"/>
    </row>
    <row r="6955" spans="1:1">
      <c r="A6955" s="346"/>
    </row>
    <row r="6956" spans="1:1">
      <c r="A6956" s="346"/>
    </row>
    <row r="6957" spans="1:1">
      <c r="A6957" s="346"/>
    </row>
    <row r="6958" spans="1:1">
      <c r="A6958" s="346"/>
    </row>
    <row r="6959" spans="1:1">
      <c r="A6959" s="346"/>
    </row>
    <row r="6960" spans="1:1">
      <c r="A6960" s="346"/>
    </row>
    <row r="6961" spans="1:1">
      <c r="A6961" s="346"/>
    </row>
    <row r="6962" spans="1:1">
      <c r="A6962" s="346"/>
    </row>
    <row r="6963" spans="1:1">
      <c r="A6963" s="346"/>
    </row>
    <row r="6964" spans="1:1">
      <c r="A6964" s="346"/>
    </row>
    <row r="6965" spans="1:1">
      <c r="A6965" s="346"/>
    </row>
    <row r="6966" spans="1:1">
      <c r="A6966" s="346"/>
    </row>
    <row r="6967" spans="1:1">
      <c r="A6967" s="346"/>
    </row>
    <row r="6968" spans="1:1">
      <c r="A6968" s="346"/>
    </row>
    <row r="6969" spans="1:1">
      <c r="A6969" s="346"/>
    </row>
    <row r="6970" spans="1:1">
      <c r="A6970" s="346"/>
    </row>
    <row r="6971" spans="1:1">
      <c r="A6971" s="346"/>
    </row>
    <row r="6972" spans="1:1">
      <c r="A6972" s="346"/>
    </row>
    <row r="6973" spans="1:1">
      <c r="A6973" s="346"/>
    </row>
    <row r="6974" spans="1:1">
      <c r="A6974" s="346"/>
    </row>
    <row r="6975" spans="1:1">
      <c r="A6975" s="346"/>
    </row>
    <row r="6976" spans="1:1">
      <c r="A6976" s="346"/>
    </row>
    <row r="6977" spans="1:1">
      <c r="A6977" s="346"/>
    </row>
    <row r="6978" spans="1:1">
      <c r="A6978" s="346"/>
    </row>
    <row r="6979" spans="1:1">
      <c r="A6979" s="346"/>
    </row>
    <row r="6980" spans="1:1">
      <c r="A6980" s="346"/>
    </row>
    <row r="6981" spans="1:1">
      <c r="A6981" s="346"/>
    </row>
    <row r="6982" spans="1:1">
      <c r="A6982" s="346"/>
    </row>
    <row r="6983" spans="1:1">
      <c r="A6983" s="346"/>
    </row>
    <row r="6984" spans="1:1">
      <c r="A6984" s="346"/>
    </row>
    <row r="6985" spans="1:1">
      <c r="A6985" s="346"/>
    </row>
    <row r="6986" spans="1:1">
      <c r="A6986" s="346"/>
    </row>
    <row r="6987" spans="1:1">
      <c r="A6987" s="346"/>
    </row>
    <row r="6988" spans="1:1">
      <c r="A6988" s="346"/>
    </row>
    <row r="6989" spans="1:1">
      <c r="A6989" s="346"/>
    </row>
    <row r="6990" spans="1:1">
      <c r="A6990" s="346"/>
    </row>
    <row r="6991" spans="1:1">
      <c r="A6991" s="346"/>
    </row>
    <row r="6992" spans="1:1">
      <c r="A6992" s="346"/>
    </row>
    <row r="6993" spans="1:1">
      <c r="A6993" s="346"/>
    </row>
    <row r="6994" spans="1:1">
      <c r="A6994" s="346"/>
    </row>
    <row r="6995" spans="1:1">
      <c r="A6995" s="346"/>
    </row>
    <row r="6996" spans="1:1">
      <c r="A6996" s="346"/>
    </row>
    <row r="6997" spans="1:1">
      <c r="A6997" s="346"/>
    </row>
    <row r="6998" spans="1:1">
      <c r="A6998" s="346"/>
    </row>
    <row r="6999" spans="1:1">
      <c r="A6999" s="346"/>
    </row>
    <row r="7000" spans="1:1">
      <c r="A7000" s="346"/>
    </row>
    <row r="7001" spans="1:1">
      <c r="A7001" s="346"/>
    </row>
    <row r="7002" spans="1:1">
      <c r="A7002" s="346"/>
    </row>
    <row r="7003" spans="1:1">
      <c r="A7003" s="346"/>
    </row>
    <row r="7004" spans="1:1">
      <c r="A7004" s="346"/>
    </row>
    <row r="7005" spans="1:1">
      <c r="A7005" s="346"/>
    </row>
    <row r="7006" spans="1:1">
      <c r="A7006" s="346"/>
    </row>
    <row r="7007" spans="1:1">
      <c r="A7007" s="346"/>
    </row>
    <row r="7008" spans="1:1">
      <c r="A7008" s="346"/>
    </row>
    <row r="7009" spans="1:1">
      <c r="A7009" s="346"/>
    </row>
    <row r="7010" spans="1:1">
      <c r="A7010" s="346"/>
    </row>
    <row r="7011" spans="1:1">
      <c r="A7011" s="346"/>
    </row>
    <row r="7012" spans="1:1">
      <c r="A7012" s="346"/>
    </row>
    <row r="7013" spans="1:1">
      <c r="A7013" s="346"/>
    </row>
    <row r="7014" spans="1:1">
      <c r="A7014" s="346"/>
    </row>
    <row r="7015" spans="1:1">
      <c r="A7015" s="346"/>
    </row>
    <row r="7016" spans="1:1">
      <c r="A7016" s="346"/>
    </row>
    <row r="7017" spans="1:1">
      <c r="A7017" s="346"/>
    </row>
    <row r="7018" spans="1:1">
      <c r="A7018" s="346"/>
    </row>
    <row r="7019" spans="1:1">
      <c r="A7019" s="346"/>
    </row>
    <row r="7020" spans="1:1">
      <c r="A7020" s="346"/>
    </row>
    <row r="7021" spans="1:1">
      <c r="A7021" s="346"/>
    </row>
    <row r="7022" spans="1:1">
      <c r="A7022" s="346"/>
    </row>
    <row r="7023" spans="1:1">
      <c r="A7023" s="346"/>
    </row>
    <row r="7024" spans="1:1">
      <c r="A7024" s="346"/>
    </row>
    <row r="7025" spans="1:1">
      <c r="A7025" s="346"/>
    </row>
    <row r="7026" spans="1:1">
      <c r="A7026" s="346"/>
    </row>
    <row r="7027" spans="1:1">
      <c r="A7027" s="346"/>
    </row>
    <row r="7028" spans="1:1">
      <c r="A7028" s="346"/>
    </row>
    <row r="7029" spans="1:1">
      <c r="A7029" s="346"/>
    </row>
    <row r="7030" spans="1:1">
      <c r="A7030" s="346"/>
    </row>
    <row r="7031" spans="1:1">
      <c r="A7031" s="346"/>
    </row>
    <row r="7032" spans="1:1">
      <c r="A7032" s="346"/>
    </row>
    <row r="7033" spans="1:1">
      <c r="A7033" s="346"/>
    </row>
    <row r="7034" spans="1:1">
      <c r="A7034" s="346"/>
    </row>
    <row r="7035" spans="1:1">
      <c r="A7035" s="346"/>
    </row>
    <row r="7036" spans="1:1">
      <c r="A7036" s="346"/>
    </row>
    <row r="7037" spans="1:1">
      <c r="A7037" s="346"/>
    </row>
    <row r="7038" spans="1:1">
      <c r="A7038" s="346"/>
    </row>
    <row r="7039" spans="1:1">
      <c r="A7039" s="346"/>
    </row>
    <row r="7040" spans="1:1">
      <c r="A7040" s="346"/>
    </row>
    <row r="7041" spans="1:1">
      <c r="A7041" s="346"/>
    </row>
    <row r="7042" spans="1:1">
      <c r="A7042" s="346"/>
    </row>
    <row r="7043" spans="1:1">
      <c r="A7043" s="346"/>
    </row>
    <row r="7044" spans="1:1">
      <c r="A7044" s="346"/>
    </row>
    <row r="7045" spans="1:1">
      <c r="A7045" s="346"/>
    </row>
    <row r="7046" spans="1:1">
      <c r="A7046" s="346"/>
    </row>
    <row r="7047" spans="1:1">
      <c r="A7047" s="346"/>
    </row>
    <row r="7048" spans="1:1">
      <c r="A7048" s="346"/>
    </row>
    <row r="7049" spans="1:1">
      <c r="A7049" s="346"/>
    </row>
    <row r="7050" spans="1:1">
      <c r="A7050" s="346"/>
    </row>
    <row r="7051" spans="1:1">
      <c r="A7051" s="346"/>
    </row>
    <row r="7052" spans="1:1">
      <c r="A7052" s="346"/>
    </row>
    <row r="7053" spans="1:1">
      <c r="A7053" s="346"/>
    </row>
    <row r="7054" spans="1:1">
      <c r="A7054" s="346"/>
    </row>
    <row r="7055" spans="1:1">
      <c r="A7055" s="346"/>
    </row>
    <row r="7056" spans="1:1">
      <c r="A7056" s="346"/>
    </row>
    <row r="7057" spans="1:1">
      <c r="A7057" s="346"/>
    </row>
    <row r="7058" spans="1:1">
      <c r="A7058" s="346"/>
    </row>
    <row r="7059" spans="1:1">
      <c r="A7059" s="346"/>
    </row>
    <row r="7060" spans="1:1">
      <c r="A7060" s="346"/>
    </row>
    <row r="7061" spans="1:1">
      <c r="A7061" s="346"/>
    </row>
    <row r="7062" spans="1:1">
      <c r="A7062" s="346"/>
    </row>
    <row r="7063" spans="1:1">
      <c r="A7063" s="346"/>
    </row>
    <row r="7064" spans="1:1">
      <c r="A7064" s="346"/>
    </row>
    <row r="7065" spans="1:1">
      <c r="A7065" s="346"/>
    </row>
    <row r="7066" spans="1:1">
      <c r="A7066" s="346"/>
    </row>
    <row r="7067" spans="1:1">
      <c r="A7067" s="346"/>
    </row>
    <row r="7068" spans="1:1">
      <c r="A7068" s="346"/>
    </row>
    <row r="7069" spans="1:1">
      <c r="A7069" s="346"/>
    </row>
    <row r="7070" spans="1:1">
      <c r="A7070" s="346"/>
    </row>
    <row r="7071" spans="1:1">
      <c r="A7071" s="346"/>
    </row>
    <row r="7072" spans="1:1">
      <c r="A7072" s="346"/>
    </row>
    <row r="7073" spans="1:1">
      <c r="A7073" s="346"/>
    </row>
    <row r="7074" spans="1:1">
      <c r="A7074" s="346"/>
    </row>
    <row r="7075" spans="1:1">
      <c r="A7075" s="346"/>
    </row>
    <row r="7076" spans="1:1">
      <c r="A7076" s="346"/>
    </row>
    <row r="7077" spans="1:1">
      <c r="A7077" s="346"/>
    </row>
    <row r="7078" spans="1:1">
      <c r="A7078" s="346"/>
    </row>
    <row r="7079" spans="1:1">
      <c r="A7079" s="346"/>
    </row>
    <row r="7080" spans="1:1">
      <c r="A7080" s="346"/>
    </row>
    <row r="7081" spans="1:1">
      <c r="A7081" s="346"/>
    </row>
    <row r="7082" spans="1:1">
      <c r="A7082" s="346"/>
    </row>
    <row r="7083" spans="1:1">
      <c r="A7083" s="346"/>
    </row>
    <row r="7084" spans="1:1">
      <c r="A7084" s="346"/>
    </row>
    <row r="7085" spans="1:1">
      <c r="A7085" s="346"/>
    </row>
    <row r="7086" spans="1:1">
      <c r="A7086" s="346"/>
    </row>
    <row r="7087" spans="1:1">
      <c r="A7087" s="346"/>
    </row>
    <row r="7088" spans="1:1">
      <c r="A7088" s="346"/>
    </row>
    <row r="7089" spans="1:1">
      <c r="A7089" s="346"/>
    </row>
    <row r="7090" spans="1:1">
      <c r="A7090" s="346"/>
    </row>
    <row r="7091" spans="1:1">
      <c r="A7091" s="346"/>
    </row>
    <row r="7092" spans="1:1">
      <c r="A7092" s="346"/>
    </row>
    <row r="7093" spans="1:1">
      <c r="A7093" s="346"/>
    </row>
    <row r="7094" spans="1:1">
      <c r="A7094" s="346"/>
    </row>
    <row r="7095" spans="1:1">
      <c r="A7095" s="346"/>
    </row>
    <row r="7096" spans="1:1">
      <c r="A7096" s="346"/>
    </row>
    <row r="7097" spans="1:1">
      <c r="A7097" s="346"/>
    </row>
    <row r="7098" spans="1:1">
      <c r="A7098" s="346"/>
    </row>
    <row r="7099" spans="1:1">
      <c r="A7099" s="346"/>
    </row>
    <row r="7100" spans="1:1">
      <c r="A7100" s="346"/>
    </row>
    <row r="7101" spans="1:1">
      <c r="A7101" s="346"/>
    </row>
    <row r="7102" spans="1:1">
      <c r="A7102" s="346"/>
    </row>
    <row r="7103" spans="1:1">
      <c r="A7103" s="346"/>
    </row>
    <row r="7104" spans="1:1">
      <c r="A7104" s="346"/>
    </row>
    <row r="7105" spans="1:1">
      <c r="A7105" s="346"/>
    </row>
    <row r="7106" spans="1:1">
      <c r="A7106" s="346"/>
    </row>
    <row r="7107" spans="1:1">
      <c r="A7107" s="346"/>
    </row>
    <row r="7108" spans="1:1">
      <c r="A7108" s="346"/>
    </row>
    <row r="7109" spans="1:1">
      <c r="A7109" s="346"/>
    </row>
    <row r="7110" spans="1:1">
      <c r="A7110" s="346"/>
    </row>
    <row r="7111" spans="1:1">
      <c r="A7111" s="346"/>
    </row>
    <row r="7112" spans="1:1">
      <c r="A7112" s="346"/>
    </row>
    <row r="7113" spans="1:1">
      <c r="A7113" s="346"/>
    </row>
    <row r="7114" spans="1:1">
      <c r="A7114" s="346"/>
    </row>
    <row r="7115" spans="1:1">
      <c r="A7115" s="346"/>
    </row>
    <row r="7116" spans="1:1">
      <c r="A7116" s="346"/>
    </row>
    <row r="7117" spans="1:1">
      <c r="A7117" s="346"/>
    </row>
    <row r="7118" spans="1:1">
      <c r="A7118" s="346"/>
    </row>
    <row r="7119" spans="1:1">
      <c r="A7119" s="346"/>
    </row>
    <row r="7120" spans="1:1">
      <c r="A7120" s="346"/>
    </row>
    <row r="7121" spans="1:1">
      <c r="A7121" s="346"/>
    </row>
    <row r="7122" spans="1:1">
      <c r="A7122" s="346"/>
    </row>
    <row r="7123" spans="1:1">
      <c r="A7123" s="346"/>
    </row>
    <row r="7124" spans="1:1">
      <c r="A7124" s="346"/>
    </row>
    <row r="7125" spans="1:1">
      <c r="A7125" s="346"/>
    </row>
    <row r="7126" spans="1:1">
      <c r="A7126" s="346"/>
    </row>
    <row r="7127" spans="1:1">
      <c r="A7127" s="346"/>
    </row>
    <row r="7128" spans="1:1">
      <c r="A7128" s="346"/>
    </row>
    <row r="7129" spans="1:1">
      <c r="A7129" s="346"/>
    </row>
    <row r="7130" spans="1:1">
      <c r="A7130" s="346"/>
    </row>
    <row r="7131" spans="1:1">
      <c r="A7131" s="346"/>
    </row>
    <row r="7132" spans="1:1">
      <c r="A7132" s="346"/>
    </row>
    <row r="7133" spans="1:1">
      <c r="A7133" s="346"/>
    </row>
    <row r="7134" spans="1:1">
      <c r="A7134" s="346"/>
    </row>
    <row r="7135" spans="1:1">
      <c r="A7135" s="346"/>
    </row>
    <row r="7136" spans="1:1">
      <c r="A7136" s="346"/>
    </row>
    <row r="7137" spans="1:1">
      <c r="A7137" s="346"/>
    </row>
    <row r="7138" spans="1:1">
      <c r="A7138" s="346"/>
    </row>
    <row r="7139" spans="1:1">
      <c r="A7139" s="346"/>
    </row>
    <row r="7140" spans="1:1">
      <c r="A7140" s="346"/>
    </row>
    <row r="7141" spans="1:1">
      <c r="A7141" s="346"/>
    </row>
    <row r="7142" spans="1:1">
      <c r="A7142" s="346"/>
    </row>
    <row r="7143" spans="1:1">
      <c r="A7143" s="346"/>
    </row>
    <row r="7144" spans="1:1">
      <c r="A7144" s="346"/>
    </row>
    <row r="7145" spans="1:1">
      <c r="A7145" s="346"/>
    </row>
    <row r="7146" spans="1:1">
      <c r="A7146" s="346"/>
    </row>
    <row r="7147" spans="1:1">
      <c r="A7147" s="346"/>
    </row>
    <row r="7148" spans="1:1">
      <c r="A7148" s="346"/>
    </row>
    <row r="7149" spans="1:1">
      <c r="A7149" s="346"/>
    </row>
    <row r="7150" spans="1:1">
      <c r="A7150" s="346"/>
    </row>
    <row r="7151" spans="1:1">
      <c r="A7151" s="346"/>
    </row>
    <row r="7152" spans="1:1">
      <c r="A7152" s="346"/>
    </row>
    <row r="7153" spans="1:1">
      <c r="A7153" s="346"/>
    </row>
    <row r="7154" spans="1:1">
      <c r="A7154" s="346"/>
    </row>
    <row r="7155" spans="1:1">
      <c r="A7155" s="346"/>
    </row>
    <row r="7156" spans="1:1">
      <c r="A7156" s="346"/>
    </row>
    <row r="7157" spans="1:1">
      <c r="A7157" s="346"/>
    </row>
    <row r="7158" spans="1:1">
      <c r="A7158" s="346"/>
    </row>
    <row r="7159" spans="1:1">
      <c r="A7159" s="346"/>
    </row>
    <row r="7160" spans="1:1">
      <c r="A7160" s="346"/>
    </row>
    <row r="7161" spans="1:1">
      <c r="A7161" s="346"/>
    </row>
    <row r="7162" spans="1:1">
      <c r="A7162" s="346"/>
    </row>
    <row r="7163" spans="1:1">
      <c r="A7163" s="346"/>
    </row>
    <row r="7164" spans="1:1">
      <c r="A7164" s="346"/>
    </row>
    <row r="7165" spans="1:1">
      <c r="A7165" s="346"/>
    </row>
    <row r="7166" spans="1:1">
      <c r="A7166" s="346"/>
    </row>
    <row r="7167" spans="1:1">
      <c r="A7167" s="346"/>
    </row>
    <row r="7168" spans="1:1">
      <c r="A7168" s="346"/>
    </row>
    <row r="7169" spans="1:1">
      <c r="A7169" s="346"/>
    </row>
    <row r="7170" spans="1:1">
      <c r="A7170" s="346"/>
    </row>
    <row r="7171" spans="1:1">
      <c r="A7171" s="346"/>
    </row>
    <row r="7172" spans="1:1">
      <c r="A7172" s="346"/>
    </row>
    <row r="7173" spans="1:1">
      <c r="A7173" s="346"/>
    </row>
    <row r="7174" spans="1:1">
      <c r="A7174" s="346"/>
    </row>
    <row r="7175" spans="1:1">
      <c r="A7175" s="346"/>
    </row>
    <row r="7176" spans="1:1">
      <c r="A7176" s="346"/>
    </row>
    <row r="7177" spans="1:1">
      <c r="A7177" s="346"/>
    </row>
    <row r="7178" spans="1:1">
      <c r="A7178" s="346"/>
    </row>
    <row r="7179" spans="1:1">
      <c r="A7179" s="346"/>
    </row>
    <row r="7180" spans="1:1">
      <c r="A7180" s="346"/>
    </row>
    <row r="7181" spans="1:1">
      <c r="A7181" s="346"/>
    </row>
    <row r="7182" spans="1:1">
      <c r="A7182" s="346"/>
    </row>
    <row r="7183" spans="1:1">
      <c r="A7183" s="346"/>
    </row>
    <row r="7184" spans="1:1">
      <c r="A7184" s="346"/>
    </row>
    <row r="7185" spans="1:1">
      <c r="A7185" s="346"/>
    </row>
    <row r="7186" spans="1:1">
      <c r="A7186" s="346"/>
    </row>
    <row r="7187" spans="1:1">
      <c r="A7187" s="346"/>
    </row>
    <row r="7188" spans="1:1">
      <c r="A7188" s="346"/>
    </row>
    <row r="7189" spans="1:1">
      <c r="A7189" s="346"/>
    </row>
    <row r="7190" spans="1:1">
      <c r="A7190" s="346"/>
    </row>
    <row r="7191" spans="1:1">
      <c r="A7191" s="346"/>
    </row>
    <row r="7192" spans="1:1">
      <c r="A7192" s="346"/>
    </row>
    <row r="7193" spans="1:1">
      <c r="A7193" s="346"/>
    </row>
    <row r="7194" spans="1:1">
      <c r="A7194" s="346"/>
    </row>
    <row r="7195" spans="1:1">
      <c r="A7195" s="346"/>
    </row>
    <row r="7196" spans="1:1">
      <c r="A7196" s="346"/>
    </row>
    <row r="7197" spans="1:1">
      <c r="A7197" s="346"/>
    </row>
    <row r="7198" spans="1:1">
      <c r="A7198" s="346"/>
    </row>
    <row r="7199" spans="1:1">
      <c r="A7199" s="346"/>
    </row>
    <row r="7200" spans="1:1">
      <c r="A7200" s="346"/>
    </row>
    <row r="7201" spans="1:1">
      <c r="A7201" s="346"/>
    </row>
    <row r="7202" spans="1:1">
      <c r="A7202" s="346"/>
    </row>
    <row r="7203" spans="1:1">
      <c r="A7203" s="346"/>
    </row>
    <row r="7204" spans="1:1">
      <c r="A7204" s="346"/>
    </row>
    <row r="7205" spans="1:1">
      <c r="A7205" s="346"/>
    </row>
    <row r="7206" spans="1:1">
      <c r="A7206" s="346"/>
    </row>
    <row r="7207" spans="1:1">
      <c r="A7207" s="346"/>
    </row>
    <row r="7208" spans="1:1">
      <c r="A7208" s="346"/>
    </row>
    <row r="7209" spans="1:1">
      <c r="A7209" s="346"/>
    </row>
    <row r="7210" spans="1:1">
      <c r="A7210" s="346"/>
    </row>
    <row r="7211" spans="1:1">
      <c r="A7211" s="346"/>
    </row>
    <row r="7212" spans="1:1">
      <c r="A7212" s="346"/>
    </row>
    <row r="7213" spans="1:1">
      <c r="A7213" s="346"/>
    </row>
    <row r="7214" spans="1:1">
      <c r="A7214" s="346"/>
    </row>
    <row r="7215" spans="1:1">
      <c r="A7215" s="346"/>
    </row>
    <row r="7216" spans="1:1">
      <c r="A7216" s="346"/>
    </row>
    <row r="7217" spans="1:1">
      <c r="A7217" s="346"/>
    </row>
    <row r="7218" spans="1:1">
      <c r="A7218" s="346"/>
    </row>
    <row r="7219" spans="1:1">
      <c r="A7219" s="346"/>
    </row>
    <row r="7220" spans="1:1">
      <c r="A7220" s="346"/>
    </row>
    <row r="7221" spans="1:1">
      <c r="A7221" s="346"/>
    </row>
    <row r="7222" spans="1:1">
      <c r="A7222" s="346"/>
    </row>
    <row r="7223" spans="1:1">
      <c r="A7223" s="346"/>
    </row>
    <row r="7224" spans="1:1">
      <c r="A7224" s="346"/>
    </row>
    <row r="7225" spans="1:1">
      <c r="A7225" s="346"/>
    </row>
    <row r="7226" spans="1:1">
      <c r="A7226" s="346"/>
    </row>
    <row r="7227" spans="1:1">
      <c r="A7227" s="346"/>
    </row>
    <row r="7228" spans="1:1">
      <c r="A7228" s="346"/>
    </row>
    <row r="7229" spans="1:1">
      <c r="A7229" s="346"/>
    </row>
    <row r="7230" spans="1:1">
      <c r="A7230" s="346"/>
    </row>
    <row r="7231" spans="1:1">
      <c r="A7231" s="346"/>
    </row>
    <row r="7232" spans="1:1">
      <c r="A7232" s="346"/>
    </row>
    <row r="7233" spans="1:1">
      <c r="A7233" s="346"/>
    </row>
    <row r="7234" spans="1:1">
      <c r="A7234" s="346"/>
    </row>
    <row r="7235" spans="1:1">
      <c r="A7235" s="346"/>
    </row>
    <row r="7236" spans="1:1">
      <c r="A7236" s="346"/>
    </row>
    <row r="7237" spans="1:1">
      <c r="A7237" s="346"/>
    </row>
    <row r="7238" spans="1:1">
      <c r="A7238" s="346"/>
    </row>
    <row r="7239" spans="1:1">
      <c r="A7239" s="346"/>
    </row>
    <row r="7240" spans="1:1">
      <c r="A7240" s="346"/>
    </row>
    <row r="7241" spans="1:1">
      <c r="A7241" s="346"/>
    </row>
    <row r="7242" spans="1:1">
      <c r="A7242" s="346"/>
    </row>
    <row r="7243" spans="1:1">
      <c r="A7243" s="346"/>
    </row>
    <row r="7244" spans="1:1">
      <c r="A7244" s="346"/>
    </row>
    <row r="7245" spans="1:1">
      <c r="A7245" s="346"/>
    </row>
    <row r="7246" spans="1:1">
      <c r="A7246" s="346"/>
    </row>
    <row r="7247" spans="1:1">
      <c r="A7247" s="346"/>
    </row>
    <row r="7248" spans="1:1">
      <c r="A7248" s="346"/>
    </row>
    <row r="7249" spans="1:1">
      <c r="A7249" s="346"/>
    </row>
    <row r="7250" spans="1:1">
      <c r="A7250" s="346"/>
    </row>
    <row r="7251" spans="1:1">
      <c r="A7251" s="346"/>
    </row>
    <row r="7252" spans="1:1">
      <c r="A7252" s="346"/>
    </row>
    <row r="7253" spans="1:1">
      <c r="A7253" s="346"/>
    </row>
    <row r="7254" spans="1:1">
      <c r="A7254" s="346"/>
    </row>
    <row r="7255" spans="1:1">
      <c r="A7255" s="346"/>
    </row>
    <row r="7256" spans="1:1">
      <c r="A7256" s="346"/>
    </row>
    <row r="7257" spans="1:1">
      <c r="A7257" s="346"/>
    </row>
    <row r="7258" spans="1:1">
      <c r="A7258" s="346"/>
    </row>
    <row r="7259" spans="1:1">
      <c r="A7259" s="346"/>
    </row>
    <row r="7260" spans="1:1">
      <c r="A7260" s="346"/>
    </row>
    <row r="7261" spans="1:1">
      <c r="A7261" s="346"/>
    </row>
    <row r="7262" spans="1:1">
      <c r="A7262" s="346"/>
    </row>
    <row r="7263" spans="1:1">
      <c r="A7263" s="346"/>
    </row>
    <row r="7264" spans="1:1">
      <c r="A7264" s="346"/>
    </row>
    <row r="7265" spans="1:1">
      <c r="A7265" s="346"/>
    </row>
    <row r="7266" spans="1:1">
      <c r="A7266" s="346"/>
    </row>
    <row r="7267" spans="1:1">
      <c r="A7267" s="346"/>
    </row>
    <row r="7268" spans="1:1">
      <c r="A7268" s="346"/>
    </row>
    <row r="7269" spans="1:1">
      <c r="A7269" s="346"/>
    </row>
    <row r="7270" spans="1:1">
      <c r="A7270" s="346"/>
    </row>
    <row r="7271" spans="1:1">
      <c r="A7271" s="346"/>
    </row>
    <row r="7272" spans="1:1">
      <c r="A7272" s="346"/>
    </row>
    <row r="7273" spans="1:1">
      <c r="A7273" s="346"/>
    </row>
    <row r="7274" spans="1:1">
      <c r="A7274" s="346"/>
    </row>
    <row r="7275" spans="1:1">
      <c r="A7275" s="346"/>
    </row>
    <row r="7276" spans="1:1">
      <c r="A7276" s="346"/>
    </row>
    <row r="7277" spans="1:1">
      <c r="A7277" s="346"/>
    </row>
    <row r="7278" spans="1:1">
      <c r="A7278" s="346"/>
    </row>
    <row r="7279" spans="1:1">
      <c r="A7279" s="346"/>
    </row>
    <row r="7280" spans="1:1">
      <c r="A7280" s="346"/>
    </row>
    <row r="7281" spans="1:1">
      <c r="A7281" s="346"/>
    </row>
    <row r="7282" spans="1:1">
      <c r="A7282" s="346"/>
    </row>
    <row r="7283" spans="1:1">
      <c r="A7283" s="346"/>
    </row>
    <row r="7284" spans="1:1">
      <c r="A7284" s="346"/>
    </row>
    <row r="7285" spans="1:1">
      <c r="A7285" s="346"/>
    </row>
    <row r="7286" spans="1:1">
      <c r="A7286" s="346"/>
    </row>
    <row r="7287" spans="1:1">
      <c r="A7287" s="346"/>
    </row>
    <row r="7288" spans="1:1">
      <c r="A7288" s="346"/>
    </row>
    <row r="7289" spans="1:1">
      <c r="A7289" s="346"/>
    </row>
    <row r="7290" spans="1:1">
      <c r="A7290" s="346"/>
    </row>
    <row r="7291" spans="1:1">
      <c r="A7291" s="346"/>
    </row>
    <row r="7292" spans="1:1">
      <c r="A7292" s="346"/>
    </row>
    <row r="7293" spans="1:1">
      <c r="A7293" s="346"/>
    </row>
    <row r="7294" spans="1:1">
      <c r="A7294" s="346"/>
    </row>
    <row r="7295" spans="1:1">
      <c r="A7295" s="346"/>
    </row>
    <row r="7296" spans="1:1">
      <c r="A7296" s="346"/>
    </row>
    <row r="7297" spans="1:1">
      <c r="A7297" s="346"/>
    </row>
    <row r="7298" spans="1:1">
      <c r="A7298" s="346"/>
    </row>
    <row r="7299" spans="1:1">
      <c r="A7299" s="346"/>
    </row>
    <row r="7300" spans="1:1">
      <c r="A7300" s="346"/>
    </row>
    <row r="7301" spans="1:1">
      <c r="A7301" s="346"/>
    </row>
    <row r="7302" spans="1:1">
      <c r="A7302" s="346"/>
    </row>
    <row r="7303" spans="1:1">
      <c r="A7303" s="346"/>
    </row>
    <row r="7304" spans="1:1">
      <c r="A7304" s="346"/>
    </row>
    <row r="7305" spans="1:1">
      <c r="A7305" s="346"/>
    </row>
    <row r="7306" spans="1:1">
      <c r="A7306" s="346"/>
    </row>
    <row r="7307" spans="1:1">
      <c r="A7307" s="346"/>
    </row>
    <row r="7308" spans="1:1">
      <c r="A7308" s="346"/>
    </row>
    <row r="7309" spans="1:1">
      <c r="A7309" s="346"/>
    </row>
    <row r="7310" spans="1:1">
      <c r="A7310" s="346"/>
    </row>
    <row r="7311" spans="1:1">
      <c r="A7311" s="346"/>
    </row>
    <row r="7312" spans="1:1">
      <c r="A7312" s="346"/>
    </row>
    <row r="7313" spans="1:1">
      <c r="A7313" s="346"/>
    </row>
    <row r="7314" spans="1:1">
      <c r="A7314" s="346"/>
    </row>
    <row r="7315" spans="1:1">
      <c r="A7315" s="346"/>
    </row>
    <row r="7316" spans="1:1">
      <c r="A7316" s="346"/>
    </row>
    <row r="7317" spans="1:1">
      <c r="A7317" s="346"/>
    </row>
    <row r="7318" spans="1:1">
      <c r="A7318" s="346"/>
    </row>
    <row r="7319" spans="1:1">
      <c r="A7319" s="346"/>
    </row>
    <row r="7320" spans="1:1">
      <c r="A7320" s="346"/>
    </row>
    <row r="7321" spans="1:1">
      <c r="A7321" s="346"/>
    </row>
    <row r="7322" spans="1:1">
      <c r="A7322" s="346"/>
    </row>
    <row r="7323" spans="1:1">
      <c r="A7323" s="346"/>
    </row>
    <row r="7324" spans="1:1">
      <c r="A7324" s="346"/>
    </row>
    <row r="7325" spans="1:1">
      <c r="A7325" s="346"/>
    </row>
    <row r="7326" spans="1:1">
      <c r="A7326" s="346"/>
    </row>
    <row r="7327" spans="1:1">
      <c r="A7327" s="346"/>
    </row>
    <row r="7328" spans="1:1">
      <c r="A7328" s="346"/>
    </row>
    <row r="7329" spans="1:1">
      <c r="A7329" s="346"/>
    </row>
    <row r="7330" spans="1:1">
      <c r="A7330" s="346"/>
    </row>
    <row r="7331" spans="1:1">
      <c r="A7331" s="346"/>
    </row>
    <row r="7332" spans="1:1">
      <c r="A7332" s="346"/>
    </row>
    <row r="7333" spans="1:1">
      <c r="A7333" s="346"/>
    </row>
    <row r="7334" spans="1:1">
      <c r="A7334" s="346"/>
    </row>
    <row r="7335" spans="1:1">
      <c r="A7335" s="346"/>
    </row>
    <row r="7336" spans="1:1">
      <c r="A7336" s="346"/>
    </row>
    <row r="7337" spans="1:1">
      <c r="A7337" s="346"/>
    </row>
    <row r="7338" spans="1:1">
      <c r="A7338" s="346"/>
    </row>
    <row r="7339" spans="1:1">
      <c r="A7339" s="346"/>
    </row>
    <row r="7340" spans="1:1">
      <c r="A7340" s="346"/>
    </row>
    <row r="7341" spans="1:1">
      <c r="A7341" s="346"/>
    </row>
    <row r="7342" spans="1:1">
      <c r="A7342" s="346"/>
    </row>
    <row r="7343" spans="1:1">
      <c r="A7343" s="346"/>
    </row>
    <row r="7344" spans="1:1">
      <c r="A7344" s="346"/>
    </row>
    <row r="7345" spans="1:1">
      <c r="A7345" s="346"/>
    </row>
    <row r="7346" spans="1:1">
      <c r="A7346" s="346"/>
    </row>
    <row r="7347" spans="1:1">
      <c r="A7347" s="346"/>
    </row>
    <row r="7348" spans="1:1">
      <c r="A7348" s="346"/>
    </row>
    <row r="7349" spans="1:1">
      <c r="A7349" s="346"/>
    </row>
    <row r="7350" spans="1:1">
      <c r="A7350" s="346"/>
    </row>
    <row r="7351" spans="1:1">
      <c r="A7351" s="346"/>
    </row>
    <row r="7352" spans="1:1">
      <c r="A7352" s="346"/>
    </row>
    <row r="7353" spans="1:1">
      <c r="A7353" s="346"/>
    </row>
    <row r="7354" spans="1:1">
      <c r="A7354" s="346"/>
    </row>
    <row r="7355" spans="1:1">
      <c r="A7355" s="346"/>
    </row>
    <row r="7356" spans="1:1">
      <c r="A7356" s="346"/>
    </row>
    <row r="7357" spans="1:1">
      <c r="A7357" s="346"/>
    </row>
    <row r="7358" spans="1:1">
      <c r="A7358" s="346"/>
    </row>
    <row r="7359" spans="1:1">
      <c r="A7359" s="346"/>
    </row>
    <row r="7360" spans="1:1">
      <c r="A7360" s="346"/>
    </row>
    <row r="7361" spans="1:1">
      <c r="A7361" s="346"/>
    </row>
    <row r="7362" spans="1:1">
      <c r="A7362" s="346"/>
    </row>
    <row r="7363" spans="1:1">
      <c r="A7363" s="346"/>
    </row>
    <row r="7364" spans="1:1">
      <c r="A7364" s="346"/>
    </row>
    <row r="7365" spans="1:1">
      <c r="A7365" s="346"/>
    </row>
    <row r="7366" spans="1:1">
      <c r="A7366" s="346"/>
    </row>
    <row r="7367" spans="1:1">
      <c r="A7367" s="346"/>
    </row>
    <row r="7368" spans="1:1">
      <c r="A7368" s="346"/>
    </row>
    <row r="7369" spans="1:1">
      <c r="A7369" s="346"/>
    </row>
    <row r="7370" spans="1:1">
      <c r="A7370" s="346"/>
    </row>
    <row r="7371" spans="1:1">
      <c r="A7371" s="346"/>
    </row>
    <row r="7372" spans="1:1">
      <c r="A7372" s="346"/>
    </row>
    <row r="7373" spans="1:1">
      <c r="A7373" s="346"/>
    </row>
    <row r="7374" spans="1:1">
      <c r="A7374" s="346"/>
    </row>
    <row r="7375" spans="1:1">
      <c r="A7375" s="346"/>
    </row>
    <row r="7376" spans="1:1">
      <c r="A7376" s="346"/>
    </row>
    <row r="7377" spans="1:1">
      <c r="A7377" s="346"/>
    </row>
    <row r="7378" spans="1:1">
      <c r="A7378" s="346"/>
    </row>
    <row r="7379" spans="1:1">
      <c r="A7379" s="346"/>
    </row>
    <row r="7380" spans="1:1">
      <c r="A7380" s="346"/>
    </row>
    <row r="7381" spans="1:1">
      <c r="A7381" s="346"/>
    </row>
    <row r="7382" spans="1:1">
      <c r="A7382" s="346"/>
    </row>
    <row r="7383" spans="1:1">
      <c r="A7383" s="346"/>
    </row>
    <row r="7384" spans="1:1">
      <c r="A7384" s="346"/>
    </row>
    <row r="7385" spans="1:1">
      <c r="A7385" s="346"/>
    </row>
    <row r="7386" spans="1:1">
      <c r="A7386" s="346"/>
    </row>
    <row r="7387" spans="1:1">
      <c r="A7387" s="346"/>
    </row>
    <row r="7388" spans="1:1">
      <c r="A7388" s="346"/>
    </row>
    <row r="7389" spans="1:1">
      <c r="A7389" s="346"/>
    </row>
    <row r="7390" spans="1:1">
      <c r="A7390" s="346"/>
    </row>
    <row r="7391" spans="1:1">
      <c r="A7391" s="346"/>
    </row>
    <row r="7392" spans="1:1">
      <c r="A7392" s="346"/>
    </row>
    <row r="7393" spans="1:1">
      <c r="A7393" s="346"/>
    </row>
    <row r="7394" spans="1:1">
      <c r="A7394" s="346"/>
    </row>
    <row r="7395" spans="1:1">
      <c r="A7395" s="346"/>
    </row>
    <row r="7396" spans="1:1">
      <c r="A7396" s="346"/>
    </row>
    <row r="7397" spans="1:1">
      <c r="A7397" s="346"/>
    </row>
    <row r="7398" spans="1:1">
      <c r="A7398" s="346"/>
    </row>
    <row r="7399" spans="1:1">
      <c r="A7399" s="346"/>
    </row>
    <row r="7400" spans="1:1">
      <c r="A7400" s="346"/>
    </row>
    <row r="7401" spans="1:1">
      <c r="A7401" s="346"/>
    </row>
    <row r="7402" spans="1:1">
      <c r="A7402" s="346"/>
    </row>
    <row r="7403" spans="1:1">
      <c r="A7403" s="346"/>
    </row>
    <row r="7404" spans="1:1">
      <c r="A7404" s="346"/>
    </row>
    <row r="7405" spans="1:1">
      <c r="A7405" s="346"/>
    </row>
    <row r="7406" spans="1:1">
      <c r="A7406" s="346"/>
    </row>
    <row r="7407" spans="1:1">
      <c r="A7407" s="346"/>
    </row>
    <row r="7408" spans="1:1">
      <c r="A7408" s="346"/>
    </row>
    <row r="7409" spans="1:1">
      <c r="A7409" s="346"/>
    </row>
    <row r="7410" spans="1:1">
      <c r="A7410" s="346"/>
    </row>
    <row r="7411" spans="1:1">
      <c r="A7411" s="346"/>
    </row>
    <row r="7412" spans="1:1">
      <c r="A7412" s="346"/>
    </row>
    <row r="7413" spans="1:1">
      <c r="A7413" s="346"/>
    </row>
    <row r="7414" spans="1:1">
      <c r="A7414" s="346"/>
    </row>
    <row r="7415" spans="1:1">
      <c r="A7415" s="346"/>
    </row>
    <row r="7416" spans="1:1">
      <c r="A7416" s="346"/>
    </row>
    <row r="7417" spans="1:1">
      <c r="A7417" s="346"/>
    </row>
    <row r="7418" spans="1:1">
      <c r="A7418" s="346"/>
    </row>
    <row r="7419" spans="1:1">
      <c r="A7419" s="346"/>
    </row>
    <row r="7420" spans="1:1">
      <c r="A7420" s="346"/>
    </row>
    <row r="7421" spans="1:1">
      <c r="A7421" s="346"/>
    </row>
    <row r="7422" spans="1:1">
      <c r="A7422" s="346"/>
    </row>
    <row r="7423" spans="1:1">
      <c r="A7423" s="346"/>
    </row>
    <row r="7424" spans="1:1">
      <c r="A7424" s="346"/>
    </row>
    <row r="7425" spans="1:1">
      <c r="A7425" s="346"/>
    </row>
    <row r="7426" spans="1:1">
      <c r="A7426" s="346"/>
    </row>
    <row r="7427" spans="1:1">
      <c r="A7427" s="346"/>
    </row>
    <row r="7428" spans="1:1">
      <c r="A7428" s="346"/>
    </row>
    <row r="7429" spans="1:1">
      <c r="A7429" s="346"/>
    </row>
    <row r="7430" spans="1:1">
      <c r="A7430" s="346"/>
    </row>
    <row r="7431" spans="1:1">
      <c r="A7431" s="346"/>
    </row>
    <row r="7432" spans="1:1">
      <c r="A7432" s="346"/>
    </row>
    <row r="7433" spans="1:1">
      <c r="A7433" s="346"/>
    </row>
    <row r="7434" spans="1:1">
      <c r="A7434" s="346"/>
    </row>
    <row r="7435" spans="1:1">
      <c r="A7435" s="346"/>
    </row>
    <row r="7436" spans="1:1">
      <c r="A7436" s="346"/>
    </row>
    <row r="7437" spans="1:1">
      <c r="A7437" s="346"/>
    </row>
    <row r="7438" spans="1:1">
      <c r="A7438" s="346"/>
    </row>
    <row r="7439" spans="1:1">
      <c r="A7439" s="346"/>
    </row>
    <row r="7440" spans="1:1">
      <c r="A7440" s="346"/>
    </row>
    <row r="7441" spans="1:1">
      <c r="A7441" s="346"/>
    </row>
    <row r="7442" spans="1:1">
      <c r="A7442" s="346"/>
    </row>
    <row r="7443" spans="1:1">
      <c r="A7443" s="346"/>
    </row>
    <row r="7444" spans="1:1">
      <c r="A7444" s="346"/>
    </row>
    <row r="7445" spans="1:1">
      <c r="A7445" s="346"/>
    </row>
    <row r="7446" spans="1:1">
      <c r="A7446" s="346"/>
    </row>
    <row r="7447" spans="1:1">
      <c r="A7447" s="346"/>
    </row>
    <row r="7448" spans="1:1">
      <c r="A7448" s="346"/>
    </row>
    <row r="7449" spans="1:1">
      <c r="A7449" s="346"/>
    </row>
    <row r="7450" spans="1:1">
      <c r="A7450" s="346"/>
    </row>
    <row r="7451" spans="1:1">
      <c r="A7451" s="346"/>
    </row>
    <row r="7452" spans="1:1">
      <c r="A7452" s="346"/>
    </row>
    <row r="7453" spans="1:1">
      <c r="A7453" s="346"/>
    </row>
    <row r="7454" spans="1:1">
      <c r="A7454" s="346"/>
    </row>
    <row r="7455" spans="1:1">
      <c r="A7455" s="346"/>
    </row>
    <row r="7456" spans="1:1">
      <c r="A7456" s="346"/>
    </row>
    <row r="7457" spans="1:1">
      <c r="A7457" s="346"/>
    </row>
    <row r="7458" spans="1:1">
      <c r="A7458" s="346"/>
    </row>
    <row r="7459" spans="1:1">
      <c r="A7459" s="346"/>
    </row>
    <row r="7460" spans="1:1">
      <c r="A7460" s="346"/>
    </row>
    <row r="7461" spans="1:1">
      <c r="A7461" s="346"/>
    </row>
    <row r="7462" spans="1:1">
      <c r="A7462" s="346"/>
    </row>
    <row r="7463" spans="1:1">
      <c r="A7463" s="346"/>
    </row>
    <row r="7464" spans="1:1">
      <c r="A7464" s="346"/>
    </row>
    <row r="7465" spans="1:1">
      <c r="A7465" s="346"/>
    </row>
    <row r="7466" spans="1:1">
      <c r="A7466" s="346"/>
    </row>
    <row r="7467" spans="1:1">
      <c r="A7467" s="346"/>
    </row>
    <row r="7468" spans="1:1">
      <c r="A7468" s="346"/>
    </row>
    <row r="7469" spans="1:1">
      <c r="A7469" s="346"/>
    </row>
    <row r="7470" spans="1:1">
      <c r="A7470" s="346"/>
    </row>
    <row r="7471" spans="1:1">
      <c r="A7471" s="346"/>
    </row>
    <row r="7472" spans="1:1">
      <c r="A7472" s="346"/>
    </row>
    <row r="7473" spans="1:1">
      <c r="A7473" s="346"/>
    </row>
    <row r="7474" spans="1:1">
      <c r="A7474" s="346"/>
    </row>
    <row r="7475" spans="1:1">
      <c r="A7475" s="346"/>
    </row>
    <row r="7476" spans="1:1">
      <c r="A7476" s="346"/>
    </row>
    <row r="7477" spans="1:1">
      <c r="A7477" s="346"/>
    </row>
    <row r="7478" spans="1:1">
      <c r="A7478" s="346"/>
    </row>
    <row r="7479" spans="1:1">
      <c r="A7479" s="346"/>
    </row>
    <row r="7480" spans="1:1">
      <c r="A7480" s="346"/>
    </row>
    <row r="7481" spans="1:1">
      <c r="A7481" s="346"/>
    </row>
    <row r="7482" spans="1:1">
      <c r="A7482" s="346"/>
    </row>
    <row r="7483" spans="1:1">
      <c r="A7483" s="346"/>
    </row>
    <row r="7484" spans="1:1">
      <c r="A7484" s="346"/>
    </row>
    <row r="7485" spans="1:1">
      <c r="A7485" s="346"/>
    </row>
    <row r="7486" spans="1:1">
      <c r="A7486" s="346"/>
    </row>
    <row r="7487" spans="1:1">
      <c r="A7487" s="346"/>
    </row>
    <row r="7488" spans="1:1">
      <c r="A7488" s="346"/>
    </row>
    <row r="7489" spans="1:1">
      <c r="A7489" s="346"/>
    </row>
    <row r="7490" spans="1:1">
      <c r="A7490" s="346"/>
    </row>
    <row r="7491" spans="1:1">
      <c r="A7491" s="346"/>
    </row>
    <row r="7492" spans="1:1">
      <c r="A7492" s="346"/>
    </row>
    <row r="7493" spans="1:1">
      <c r="A7493" s="346"/>
    </row>
    <row r="7494" spans="1:1">
      <c r="A7494" s="346"/>
    </row>
    <row r="7495" spans="1:1">
      <c r="A7495" s="346"/>
    </row>
    <row r="7496" spans="1:1">
      <c r="A7496" s="346"/>
    </row>
    <row r="7497" spans="1:1">
      <c r="A7497" s="346"/>
    </row>
    <row r="7498" spans="1:1">
      <c r="A7498" s="346"/>
    </row>
    <row r="7499" spans="1:1">
      <c r="A7499" s="346"/>
    </row>
    <row r="7500" spans="1:1">
      <c r="A7500" s="346"/>
    </row>
    <row r="7501" spans="1:1">
      <c r="A7501" s="346"/>
    </row>
    <row r="7502" spans="1:1">
      <c r="A7502" s="346"/>
    </row>
    <row r="7503" spans="1:1">
      <c r="A7503" s="346"/>
    </row>
    <row r="7504" spans="1:1">
      <c r="A7504" s="346"/>
    </row>
    <row r="7505" spans="1:1">
      <c r="A7505" s="346"/>
    </row>
    <row r="7506" spans="1:1">
      <c r="A7506" s="346"/>
    </row>
    <row r="7507" spans="1:1">
      <c r="A7507" s="346"/>
    </row>
    <row r="7508" spans="1:1">
      <c r="A7508" s="346"/>
    </row>
    <row r="7509" spans="1:1">
      <c r="A7509" s="346"/>
    </row>
    <row r="7510" spans="1:1">
      <c r="A7510" s="346"/>
    </row>
    <row r="7511" spans="1:1">
      <c r="A7511" s="346"/>
    </row>
    <row r="7512" spans="1:1">
      <c r="A7512" s="346"/>
    </row>
    <row r="7513" spans="1:1">
      <c r="A7513" s="346"/>
    </row>
    <row r="7514" spans="1:1">
      <c r="A7514" s="346"/>
    </row>
    <row r="7515" spans="1:1">
      <c r="A7515" s="346"/>
    </row>
    <row r="7516" spans="1:1">
      <c r="A7516" s="346"/>
    </row>
    <row r="7517" spans="1:1">
      <c r="A7517" s="346"/>
    </row>
    <row r="7518" spans="1:1">
      <c r="A7518" s="346"/>
    </row>
    <row r="7519" spans="1:1">
      <c r="A7519" s="346"/>
    </row>
    <row r="7520" spans="1:1">
      <c r="A7520" s="346"/>
    </row>
    <row r="7521" spans="1:1">
      <c r="A7521" s="346"/>
    </row>
    <row r="7522" spans="1:1">
      <c r="A7522" s="346"/>
    </row>
    <row r="7523" spans="1:1">
      <c r="A7523" s="346"/>
    </row>
    <row r="7524" spans="1:1">
      <c r="A7524" s="346"/>
    </row>
    <row r="7525" spans="1:1">
      <c r="A7525" s="346"/>
    </row>
    <row r="7526" spans="1:1">
      <c r="A7526" s="346"/>
    </row>
    <row r="7527" spans="1:1">
      <c r="A7527" s="346"/>
    </row>
    <row r="7528" spans="1:1">
      <c r="A7528" s="346"/>
    </row>
    <row r="7529" spans="1:1">
      <c r="A7529" s="346"/>
    </row>
    <row r="7530" spans="1:1">
      <c r="A7530" s="346"/>
    </row>
    <row r="7531" spans="1:1">
      <c r="A7531" s="346"/>
    </row>
    <row r="7532" spans="1:1">
      <c r="A7532" s="346"/>
    </row>
    <row r="7533" spans="1:1">
      <c r="A7533" s="346"/>
    </row>
    <row r="7534" spans="1:1">
      <c r="A7534" s="346"/>
    </row>
    <row r="7535" spans="1:1">
      <c r="A7535" s="346"/>
    </row>
    <row r="7536" spans="1:1">
      <c r="A7536" s="346"/>
    </row>
    <row r="7537" spans="1:1">
      <c r="A7537" s="346"/>
    </row>
    <row r="7538" spans="1:1">
      <c r="A7538" s="346"/>
    </row>
    <row r="7539" spans="1:1">
      <c r="A7539" s="346"/>
    </row>
    <row r="7540" spans="1:1">
      <c r="A7540" s="346"/>
    </row>
    <row r="7541" spans="1:1">
      <c r="A7541" s="346"/>
    </row>
    <row r="7542" spans="1:1">
      <c r="A7542" s="346"/>
    </row>
    <row r="7543" spans="1:1">
      <c r="A7543" s="346"/>
    </row>
    <row r="7544" spans="1:1">
      <c r="A7544" s="346"/>
    </row>
    <row r="7545" spans="1:1">
      <c r="A7545" s="346"/>
    </row>
    <row r="7546" spans="1:1">
      <c r="A7546" s="346"/>
    </row>
    <row r="7547" spans="1:1">
      <c r="A7547" s="346"/>
    </row>
    <row r="7548" spans="1:1">
      <c r="A7548" s="346"/>
    </row>
    <row r="7549" spans="1:1">
      <c r="A7549" s="346"/>
    </row>
    <row r="7550" spans="1:1">
      <c r="A7550" s="346"/>
    </row>
    <row r="7551" spans="1:1">
      <c r="A7551" s="346"/>
    </row>
    <row r="7552" spans="1:1">
      <c r="A7552" s="346"/>
    </row>
    <row r="7553" spans="1:1">
      <c r="A7553" s="346"/>
    </row>
    <row r="7554" spans="1:1">
      <c r="A7554" s="346"/>
    </row>
    <row r="7555" spans="1:1">
      <c r="A7555" s="346"/>
    </row>
    <row r="7556" spans="1:1">
      <c r="A7556" s="346"/>
    </row>
    <row r="7557" spans="1:1">
      <c r="A7557" s="346"/>
    </row>
    <row r="7558" spans="1:1">
      <c r="A7558" s="346"/>
    </row>
    <row r="7559" spans="1:1">
      <c r="A7559" s="346"/>
    </row>
    <row r="7560" spans="1:1">
      <c r="A7560" s="346"/>
    </row>
    <row r="7561" spans="1:1">
      <c r="A7561" s="346"/>
    </row>
    <row r="7562" spans="1:1">
      <c r="A7562" s="346"/>
    </row>
    <row r="7563" spans="1:1">
      <c r="A7563" s="346"/>
    </row>
    <row r="7564" spans="1:1">
      <c r="A7564" s="346"/>
    </row>
    <row r="7565" spans="1:1">
      <c r="A7565" s="346"/>
    </row>
    <row r="7566" spans="1:1">
      <c r="A7566" s="346"/>
    </row>
    <row r="7567" spans="1:1">
      <c r="A7567" s="346"/>
    </row>
    <row r="7568" spans="1:1">
      <c r="A7568" s="346"/>
    </row>
    <row r="7569" spans="1:1">
      <c r="A7569" s="346"/>
    </row>
    <row r="7570" spans="1:1">
      <c r="A7570" s="346"/>
    </row>
    <row r="7571" spans="1:1">
      <c r="A7571" s="346"/>
    </row>
    <row r="7572" spans="1:1">
      <c r="A7572" s="346"/>
    </row>
    <row r="7573" spans="1:1">
      <c r="A7573" s="346"/>
    </row>
    <row r="7574" spans="1:1">
      <c r="A7574" s="346"/>
    </row>
    <row r="7575" spans="1:1">
      <c r="A7575" s="346"/>
    </row>
    <row r="7576" spans="1:1">
      <c r="A7576" s="346"/>
    </row>
    <row r="7577" spans="1:1">
      <c r="A7577" s="346"/>
    </row>
    <row r="7578" spans="1:1">
      <c r="A7578" s="346"/>
    </row>
    <row r="7579" spans="1:1">
      <c r="A7579" s="346"/>
    </row>
    <row r="7580" spans="1:1">
      <c r="A7580" s="346"/>
    </row>
    <row r="7581" spans="1:1">
      <c r="A7581" s="346"/>
    </row>
    <row r="7582" spans="1:1">
      <c r="A7582" s="346"/>
    </row>
    <row r="7583" spans="1:1">
      <c r="A7583" s="346"/>
    </row>
    <row r="7584" spans="1:1">
      <c r="A7584" s="346"/>
    </row>
    <row r="7585" spans="1:1">
      <c r="A7585" s="346"/>
    </row>
    <row r="7586" spans="1:1">
      <c r="A7586" s="346"/>
    </row>
    <row r="7587" spans="1:1">
      <c r="A7587" s="346"/>
    </row>
    <row r="7588" spans="1:1">
      <c r="A7588" s="346"/>
    </row>
    <row r="7589" spans="1:1">
      <c r="A7589" s="346"/>
    </row>
    <row r="7590" spans="1:1">
      <c r="A7590" s="346"/>
    </row>
    <row r="7591" spans="1:1">
      <c r="A7591" s="346"/>
    </row>
    <row r="7592" spans="1:1">
      <c r="A7592" s="346"/>
    </row>
    <row r="7593" spans="1:1">
      <c r="A7593" s="346"/>
    </row>
    <row r="7594" spans="1:1">
      <c r="A7594" s="346"/>
    </row>
    <row r="7595" spans="1:1">
      <c r="A7595" s="346"/>
    </row>
    <row r="7596" spans="1:1">
      <c r="A7596" s="346"/>
    </row>
    <row r="7597" spans="1:1">
      <c r="A7597" s="346"/>
    </row>
    <row r="7598" spans="1:1">
      <c r="A7598" s="346"/>
    </row>
    <row r="7599" spans="1:1">
      <c r="A7599" s="346"/>
    </row>
    <row r="7600" spans="1:1">
      <c r="A7600" s="346"/>
    </row>
    <row r="7601" spans="1:1">
      <c r="A7601" s="346"/>
    </row>
    <row r="7602" spans="1:1">
      <c r="A7602" s="346"/>
    </row>
    <row r="7603" spans="1:1">
      <c r="A7603" s="346"/>
    </row>
    <row r="7604" spans="1:1">
      <c r="A7604" s="346"/>
    </row>
    <row r="7605" spans="1:1">
      <c r="A7605" s="346"/>
    </row>
    <row r="7606" spans="1:1">
      <c r="A7606" s="346"/>
    </row>
    <row r="7607" spans="1:1">
      <c r="A7607" s="346"/>
    </row>
    <row r="7608" spans="1:1">
      <c r="A7608" s="346"/>
    </row>
    <row r="7609" spans="1:1">
      <c r="A7609" s="346"/>
    </row>
    <row r="7610" spans="1:1">
      <c r="A7610" s="346"/>
    </row>
    <row r="7611" spans="1:1">
      <c r="A7611" s="346"/>
    </row>
    <row r="7612" spans="1:1">
      <c r="A7612" s="346"/>
    </row>
    <row r="7613" spans="1:1">
      <c r="A7613" s="346"/>
    </row>
    <row r="7614" spans="1:1">
      <c r="A7614" s="346"/>
    </row>
    <row r="7615" spans="1:1">
      <c r="A7615" s="346"/>
    </row>
    <row r="7616" spans="1:1">
      <c r="A7616" s="346"/>
    </row>
    <row r="7617" spans="1:1">
      <c r="A7617" s="346"/>
    </row>
    <row r="7618" spans="1:1">
      <c r="A7618" s="346"/>
    </row>
    <row r="7619" spans="1:1">
      <c r="A7619" s="346"/>
    </row>
    <row r="7620" spans="1:1">
      <c r="A7620" s="346"/>
    </row>
    <row r="7621" spans="1:1">
      <c r="A7621" s="346"/>
    </row>
    <row r="7622" spans="1:1">
      <c r="A7622" s="346"/>
    </row>
    <row r="7623" spans="1:1">
      <c r="A7623" s="346"/>
    </row>
    <row r="7624" spans="1:1">
      <c r="A7624" s="346"/>
    </row>
    <row r="7625" spans="1:1">
      <c r="A7625" s="346"/>
    </row>
    <row r="7626" spans="1:1">
      <c r="A7626" s="346"/>
    </row>
    <row r="7627" spans="1:1">
      <c r="A7627" s="346"/>
    </row>
    <row r="7628" spans="1:1">
      <c r="A7628" s="346"/>
    </row>
    <row r="7629" spans="1:1">
      <c r="A7629" s="346"/>
    </row>
    <row r="7630" spans="1:1">
      <c r="A7630" s="346"/>
    </row>
    <row r="7631" spans="1:1">
      <c r="A7631" s="346"/>
    </row>
    <row r="7632" spans="1:1">
      <c r="A7632" s="346"/>
    </row>
    <row r="7633" spans="1:1">
      <c r="A7633" s="346"/>
    </row>
    <row r="7634" spans="1:1">
      <c r="A7634" s="346"/>
    </row>
    <row r="7635" spans="1:1">
      <c r="A7635" s="346"/>
    </row>
    <row r="7636" spans="1:1">
      <c r="A7636" s="346"/>
    </row>
    <row r="7637" spans="1:1">
      <c r="A7637" s="346"/>
    </row>
    <row r="7638" spans="1:1">
      <c r="A7638" s="346"/>
    </row>
    <row r="7639" spans="1:1">
      <c r="A7639" s="346"/>
    </row>
    <row r="7640" spans="1:1">
      <c r="A7640" s="346"/>
    </row>
    <row r="7641" spans="1:1">
      <c r="A7641" s="346"/>
    </row>
    <row r="7642" spans="1:1">
      <c r="A7642" s="346"/>
    </row>
    <row r="7643" spans="1:1">
      <c r="A7643" s="346"/>
    </row>
    <row r="7644" spans="1:1">
      <c r="A7644" s="346"/>
    </row>
    <row r="7645" spans="1:1">
      <c r="A7645" s="346"/>
    </row>
    <row r="7646" spans="1:1">
      <c r="A7646" s="346"/>
    </row>
    <row r="7647" spans="1:1">
      <c r="A7647" s="346"/>
    </row>
    <row r="7648" spans="1:1">
      <c r="A7648" s="346"/>
    </row>
    <row r="7649" spans="1:1">
      <c r="A7649" s="346"/>
    </row>
    <row r="7650" spans="1:1">
      <c r="A7650" s="346"/>
    </row>
    <row r="7651" spans="1:1">
      <c r="A7651" s="346"/>
    </row>
    <row r="7652" spans="1:1">
      <c r="A7652" s="346"/>
    </row>
    <row r="7653" spans="1:1">
      <c r="A7653" s="346"/>
    </row>
    <row r="7654" spans="1:1">
      <c r="A7654" s="346"/>
    </row>
    <row r="7655" spans="1:1">
      <c r="A7655" s="346"/>
    </row>
    <row r="7656" spans="1:1">
      <c r="A7656" s="346"/>
    </row>
    <row r="7657" spans="1:1">
      <c r="A7657" s="346"/>
    </row>
    <row r="7658" spans="1:1">
      <c r="A7658" s="346"/>
    </row>
    <row r="7659" spans="1:1">
      <c r="A7659" s="346"/>
    </row>
    <row r="7660" spans="1:1">
      <c r="A7660" s="346"/>
    </row>
    <row r="7661" spans="1:1">
      <c r="A7661" s="346"/>
    </row>
    <row r="7662" spans="1:1">
      <c r="A7662" s="346"/>
    </row>
    <row r="7663" spans="1:1">
      <c r="A7663" s="346"/>
    </row>
    <row r="7664" spans="1:1">
      <c r="A7664" s="346"/>
    </row>
    <row r="7665" spans="1:1">
      <c r="A7665" s="346"/>
    </row>
    <row r="7666" spans="1:1">
      <c r="A7666" s="346"/>
    </row>
    <row r="7667" spans="1:1">
      <c r="A7667" s="346"/>
    </row>
    <row r="7668" spans="1:1">
      <c r="A7668" s="346"/>
    </row>
    <row r="7669" spans="1:1">
      <c r="A7669" s="346"/>
    </row>
    <row r="7670" spans="1:1">
      <c r="A7670" s="346"/>
    </row>
    <row r="7671" spans="1:1">
      <c r="A7671" s="346"/>
    </row>
    <row r="7672" spans="1:1">
      <c r="A7672" s="346"/>
    </row>
    <row r="7673" spans="1:1">
      <c r="A7673" s="346"/>
    </row>
    <row r="7674" spans="1:1">
      <c r="A7674" s="346"/>
    </row>
    <row r="7675" spans="1:1">
      <c r="A7675" s="346"/>
    </row>
    <row r="7676" spans="1:1">
      <c r="A7676" s="346"/>
    </row>
    <row r="7677" spans="1:1">
      <c r="A7677" s="346"/>
    </row>
    <row r="7678" spans="1:1">
      <c r="A7678" s="346"/>
    </row>
    <row r="7679" spans="1:1">
      <c r="A7679" s="346"/>
    </row>
    <row r="7680" spans="1:1">
      <c r="A7680" s="346"/>
    </row>
    <row r="7681" spans="1:1">
      <c r="A7681" s="346"/>
    </row>
    <row r="7682" spans="1:1">
      <c r="A7682" s="346"/>
    </row>
    <row r="7683" spans="1:1">
      <c r="A7683" s="346"/>
    </row>
    <row r="7684" spans="1:1">
      <c r="A7684" s="346"/>
    </row>
    <row r="7685" spans="1:1">
      <c r="A7685" s="346"/>
    </row>
    <row r="7686" spans="1:1">
      <c r="A7686" s="346"/>
    </row>
    <row r="7687" spans="1:1">
      <c r="A7687" s="346"/>
    </row>
    <row r="7688" spans="1:1">
      <c r="A7688" s="346"/>
    </row>
    <row r="7689" spans="1:1">
      <c r="A7689" s="346"/>
    </row>
    <row r="7690" spans="1:1">
      <c r="A7690" s="346"/>
    </row>
    <row r="7691" spans="1:1">
      <c r="A7691" s="346"/>
    </row>
    <row r="7692" spans="1:1">
      <c r="A7692" s="346"/>
    </row>
    <row r="7693" spans="1:1">
      <c r="A7693" s="346"/>
    </row>
    <row r="7694" spans="1:1">
      <c r="A7694" s="346"/>
    </row>
    <row r="7695" spans="1:1">
      <c r="A7695" s="346"/>
    </row>
    <row r="7696" spans="1:1">
      <c r="A7696" s="346"/>
    </row>
    <row r="7697" spans="1:1">
      <c r="A7697" s="346"/>
    </row>
    <row r="7698" spans="1:1">
      <c r="A7698" s="346"/>
    </row>
    <row r="7699" spans="1:1">
      <c r="A7699" s="346"/>
    </row>
    <row r="7700" spans="1:1">
      <c r="A7700" s="346"/>
    </row>
    <row r="7701" spans="1:1">
      <c r="A7701" s="346"/>
    </row>
    <row r="7702" spans="1:1">
      <c r="A7702" s="346"/>
    </row>
    <row r="7703" spans="1:1">
      <c r="A7703" s="346"/>
    </row>
    <row r="7704" spans="1:1">
      <c r="A7704" s="346"/>
    </row>
    <row r="7705" spans="1:1">
      <c r="A7705" s="346"/>
    </row>
    <row r="7706" spans="1:1">
      <c r="A7706" s="346"/>
    </row>
    <row r="7707" spans="1:1">
      <c r="A7707" s="346"/>
    </row>
    <row r="7708" spans="1:1">
      <c r="A7708" s="346"/>
    </row>
    <row r="7709" spans="1:1">
      <c r="A7709" s="346"/>
    </row>
    <row r="7710" spans="1:1">
      <c r="A7710" s="346"/>
    </row>
    <row r="7711" spans="1:1">
      <c r="A7711" s="346"/>
    </row>
    <row r="7712" spans="1:1">
      <c r="A7712" s="346"/>
    </row>
    <row r="7713" spans="1:1">
      <c r="A7713" s="346"/>
    </row>
    <row r="7714" spans="1:1">
      <c r="A7714" s="346"/>
    </row>
    <row r="7715" spans="1:1">
      <c r="A7715" s="346"/>
    </row>
    <row r="7716" spans="1:1">
      <c r="A7716" s="346"/>
    </row>
    <row r="7717" spans="1:1">
      <c r="A7717" s="346"/>
    </row>
    <row r="7718" spans="1:1">
      <c r="A7718" s="346"/>
    </row>
    <row r="7719" spans="1:1">
      <c r="A7719" s="346"/>
    </row>
    <row r="7720" spans="1:1">
      <c r="A7720" s="346"/>
    </row>
    <row r="7721" spans="1:1">
      <c r="A7721" s="346"/>
    </row>
    <row r="7722" spans="1:1">
      <c r="A7722" s="346"/>
    </row>
    <row r="7723" spans="1:1">
      <c r="A7723" s="346"/>
    </row>
    <row r="7724" spans="1:1">
      <c r="A7724" s="346"/>
    </row>
    <row r="7725" spans="1:1">
      <c r="A7725" s="346"/>
    </row>
    <row r="7726" spans="1:1">
      <c r="A7726" s="346"/>
    </row>
    <row r="7727" spans="1:1">
      <c r="A7727" s="346"/>
    </row>
    <row r="7728" spans="1:1">
      <c r="A7728" s="346"/>
    </row>
    <row r="7729" spans="1:1">
      <c r="A7729" s="346"/>
    </row>
    <row r="7730" spans="1:1">
      <c r="A7730" s="346"/>
    </row>
    <row r="7731" spans="1:1">
      <c r="A7731" s="346"/>
    </row>
    <row r="7732" spans="1:1">
      <c r="A7732" s="346"/>
    </row>
    <row r="7733" spans="1:1">
      <c r="A7733" s="346"/>
    </row>
    <row r="7734" spans="1:1">
      <c r="A7734" s="346"/>
    </row>
    <row r="7735" spans="1:1">
      <c r="A7735" s="346"/>
    </row>
    <row r="7736" spans="1:1">
      <c r="A7736" s="346"/>
    </row>
    <row r="7737" spans="1:1">
      <c r="A7737" s="346"/>
    </row>
    <row r="7738" spans="1:1">
      <c r="A7738" s="346"/>
    </row>
    <row r="7739" spans="1:1">
      <c r="A7739" s="346"/>
    </row>
    <row r="7740" spans="1:1">
      <c r="A7740" s="346"/>
    </row>
    <row r="7741" spans="1:1">
      <c r="A7741" s="346"/>
    </row>
    <row r="7742" spans="1:1">
      <c r="A7742" s="346"/>
    </row>
    <row r="7743" spans="1:1">
      <c r="A7743" s="346"/>
    </row>
    <row r="7744" spans="1:1">
      <c r="A7744" s="346"/>
    </row>
    <row r="7745" spans="1:1">
      <c r="A7745" s="346"/>
    </row>
    <row r="7746" spans="1:1">
      <c r="A7746" s="346"/>
    </row>
    <row r="7747" spans="1:1">
      <c r="A7747" s="346"/>
    </row>
    <row r="7748" spans="1:1">
      <c r="A7748" s="346"/>
    </row>
    <row r="7749" spans="1:1">
      <c r="A7749" s="346"/>
    </row>
    <row r="7750" spans="1:1">
      <c r="A7750" s="346"/>
    </row>
    <row r="7751" spans="1:1">
      <c r="A7751" s="346"/>
    </row>
    <row r="7752" spans="1:1">
      <c r="A7752" s="346"/>
    </row>
    <row r="7753" spans="1:1">
      <c r="A7753" s="346"/>
    </row>
    <row r="7754" spans="1:1">
      <c r="A7754" s="346"/>
    </row>
    <row r="7755" spans="1:1">
      <c r="A7755" s="346"/>
    </row>
    <row r="7756" spans="1:1">
      <c r="A7756" s="346"/>
    </row>
    <row r="7757" spans="1:1">
      <c r="A7757" s="346"/>
    </row>
    <row r="7758" spans="1:1">
      <c r="A7758" s="346"/>
    </row>
    <row r="7759" spans="1:1">
      <c r="A7759" s="346"/>
    </row>
    <row r="7760" spans="1:1">
      <c r="A7760" s="346"/>
    </row>
    <row r="7761" spans="1:1">
      <c r="A7761" s="346"/>
    </row>
    <row r="7762" spans="1:1">
      <c r="A7762" s="346"/>
    </row>
    <row r="7763" spans="1:1">
      <c r="A7763" s="346"/>
    </row>
    <row r="7764" spans="1:1">
      <c r="A7764" s="346"/>
    </row>
    <row r="7765" spans="1:1">
      <c r="A7765" s="346"/>
    </row>
    <row r="7766" spans="1:1">
      <c r="A7766" s="346"/>
    </row>
    <row r="7767" spans="1:1">
      <c r="A7767" s="346"/>
    </row>
    <row r="7768" spans="1:1">
      <c r="A7768" s="346"/>
    </row>
    <row r="7769" spans="1:1">
      <c r="A7769" s="346"/>
    </row>
    <row r="7770" spans="1:1">
      <c r="A7770" s="346"/>
    </row>
    <row r="7771" spans="1:1">
      <c r="A7771" s="346"/>
    </row>
    <row r="7772" spans="1:1">
      <c r="A7772" s="346"/>
    </row>
    <row r="7773" spans="1:1">
      <c r="A7773" s="346"/>
    </row>
    <row r="7774" spans="1:1">
      <c r="A7774" s="346"/>
    </row>
    <row r="7775" spans="1:1">
      <c r="A7775" s="346"/>
    </row>
    <row r="7776" spans="1:1">
      <c r="A7776" s="346"/>
    </row>
    <row r="7777" spans="1:1">
      <c r="A7777" s="346"/>
    </row>
    <row r="7778" spans="1:1">
      <c r="A7778" s="346"/>
    </row>
    <row r="7779" spans="1:1">
      <c r="A7779" s="346"/>
    </row>
    <row r="7780" spans="1:1">
      <c r="A7780" s="346"/>
    </row>
    <row r="7781" spans="1:1">
      <c r="A7781" s="346"/>
    </row>
    <row r="7782" spans="1:1">
      <c r="A7782" s="346"/>
    </row>
    <row r="7783" spans="1:1">
      <c r="A7783" s="346"/>
    </row>
    <row r="7784" spans="1:1">
      <c r="A7784" s="346"/>
    </row>
    <row r="7785" spans="1:1">
      <c r="A7785" s="346"/>
    </row>
    <row r="7786" spans="1:1">
      <c r="A7786" s="346"/>
    </row>
    <row r="7787" spans="1:1">
      <c r="A7787" s="346"/>
    </row>
    <row r="7788" spans="1:1">
      <c r="A7788" s="346"/>
    </row>
    <row r="7789" spans="1:1">
      <c r="A7789" s="346"/>
    </row>
    <row r="7790" spans="1:1">
      <c r="A7790" s="346"/>
    </row>
    <row r="7791" spans="1:1">
      <c r="A7791" s="346"/>
    </row>
    <row r="7792" spans="1:1">
      <c r="A7792" s="346"/>
    </row>
    <row r="7793" spans="1:1">
      <c r="A7793" s="346"/>
    </row>
    <row r="7794" spans="1:1">
      <c r="A7794" s="346"/>
    </row>
    <row r="7795" spans="1:1">
      <c r="A7795" s="346"/>
    </row>
    <row r="7796" spans="1:1">
      <c r="A7796" s="346"/>
    </row>
    <row r="7797" spans="1:1">
      <c r="A7797" s="346"/>
    </row>
    <row r="7798" spans="1:1">
      <c r="A7798" s="346"/>
    </row>
    <row r="7799" spans="1:1">
      <c r="A7799" s="346"/>
    </row>
    <row r="7800" spans="1:1">
      <c r="A7800" s="346"/>
    </row>
    <row r="7801" spans="1:1">
      <c r="A7801" s="346"/>
    </row>
    <row r="7802" spans="1:1">
      <c r="A7802" s="346"/>
    </row>
    <row r="7803" spans="1:1">
      <c r="A7803" s="346"/>
    </row>
    <row r="7804" spans="1:1">
      <c r="A7804" s="346"/>
    </row>
    <row r="7805" spans="1:1">
      <c r="A7805" s="346"/>
    </row>
    <row r="7806" spans="1:1">
      <c r="A7806" s="346"/>
    </row>
    <row r="7807" spans="1:1">
      <c r="A7807" s="346"/>
    </row>
    <row r="7808" spans="1:1">
      <c r="A7808" s="346"/>
    </row>
    <row r="7809" spans="1:1">
      <c r="A7809" s="346"/>
    </row>
    <row r="7810" spans="1:1">
      <c r="A7810" s="346"/>
    </row>
    <row r="7811" spans="1:1">
      <c r="A7811" s="346"/>
    </row>
    <row r="7812" spans="1:1">
      <c r="A7812" s="346"/>
    </row>
    <row r="7813" spans="1:1">
      <c r="A7813" s="346"/>
    </row>
    <row r="7814" spans="1:1">
      <c r="A7814" s="346"/>
    </row>
    <row r="7815" spans="1:1">
      <c r="A7815" s="346"/>
    </row>
    <row r="7816" spans="1:1">
      <c r="A7816" s="346"/>
    </row>
    <row r="7817" spans="1:1">
      <c r="A7817" s="346"/>
    </row>
    <row r="7818" spans="1:1">
      <c r="A7818" s="346"/>
    </row>
    <row r="7819" spans="1:1">
      <c r="A7819" s="346"/>
    </row>
    <row r="7820" spans="1:1">
      <c r="A7820" s="346"/>
    </row>
    <row r="7821" spans="1:1">
      <c r="A7821" s="346"/>
    </row>
    <row r="7822" spans="1:1">
      <c r="A7822" s="346"/>
    </row>
    <row r="7823" spans="1:1">
      <c r="A7823" s="346"/>
    </row>
    <row r="7824" spans="1:1">
      <c r="A7824" s="346"/>
    </row>
    <row r="7825" spans="1:1">
      <c r="A7825" s="346"/>
    </row>
    <row r="7826" spans="1:1">
      <c r="A7826" s="346"/>
    </row>
    <row r="7827" spans="1:1">
      <c r="A7827" s="346"/>
    </row>
    <row r="7828" spans="1:1">
      <c r="A7828" s="346"/>
    </row>
    <row r="7829" spans="1:1">
      <c r="A7829" s="346"/>
    </row>
    <row r="7830" spans="1:1">
      <c r="A7830" s="346"/>
    </row>
    <row r="7831" spans="1:1">
      <c r="A7831" s="346"/>
    </row>
    <row r="7832" spans="1:1">
      <c r="A7832" s="346"/>
    </row>
    <row r="7833" spans="1:1">
      <c r="A7833" s="346"/>
    </row>
    <row r="7834" spans="1:1">
      <c r="A7834" s="346"/>
    </row>
    <row r="7835" spans="1:1">
      <c r="A7835" s="346"/>
    </row>
    <row r="7836" spans="1:1">
      <c r="A7836" s="346"/>
    </row>
    <row r="7837" spans="1:1">
      <c r="A7837" s="346"/>
    </row>
    <row r="7838" spans="1:1">
      <c r="A7838" s="346"/>
    </row>
    <row r="7839" spans="1:1">
      <c r="A7839" s="346"/>
    </row>
    <row r="7840" spans="1:1">
      <c r="A7840" s="346"/>
    </row>
    <row r="7841" spans="1:1">
      <c r="A7841" s="346"/>
    </row>
    <row r="7842" spans="1:1">
      <c r="A7842" s="346"/>
    </row>
    <row r="7843" spans="1:1">
      <c r="A7843" s="346"/>
    </row>
    <row r="7844" spans="1:1">
      <c r="A7844" s="346"/>
    </row>
    <row r="7845" spans="1:1">
      <c r="A7845" s="346"/>
    </row>
    <row r="7846" spans="1:1">
      <c r="A7846" s="346"/>
    </row>
    <row r="7847" spans="1:1">
      <c r="A7847" s="346"/>
    </row>
    <row r="7848" spans="1:1">
      <c r="A7848" s="346"/>
    </row>
    <row r="7849" spans="1:1">
      <c r="A7849" s="346"/>
    </row>
    <row r="7850" spans="1:1">
      <c r="A7850" s="346"/>
    </row>
    <row r="7851" spans="1:1">
      <c r="A7851" s="346"/>
    </row>
    <row r="7852" spans="1:1">
      <c r="A7852" s="346"/>
    </row>
    <row r="7853" spans="1:1">
      <c r="A7853" s="346"/>
    </row>
    <row r="7854" spans="1:1">
      <c r="A7854" s="346"/>
    </row>
    <row r="7855" spans="1:1">
      <c r="A7855" s="346"/>
    </row>
    <row r="7856" spans="1:1">
      <c r="A7856" s="346"/>
    </row>
    <row r="7857" spans="1:1">
      <c r="A7857" s="346"/>
    </row>
    <row r="7858" spans="1:1">
      <c r="A7858" s="346"/>
    </row>
    <row r="7859" spans="1:1">
      <c r="A7859" s="346"/>
    </row>
    <row r="7860" spans="1:1">
      <c r="A7860" s="346"/>
    </row>
    <row r="7861" spans="1:1">
      <c r="A7861" s="346"/>
    </row>
    <row r="7862" spans="1:1">
      <c r="A7862" s="346"/>
    </row>
    <row r="7863" spans="1:1">
      <c r="A7863" s="346"/>
    </row>
    <row r="7864" spans="1:1">
      <c r="A7864" s="346"/>
    </row>
    <row r="7865" spans="1:1">
      <c r="A7865" s="346"/>
    </row>
    <row r="7866" spans="1:1">
      <c r="A7866" s="346"/>
    </row>
    <row r="7867" spans="1:1">
      <c r="A7867" s="346"/>
    </row>
    <row r="7868" spans="1:1">
      <c r="A7868" s="346"/>
    </row>
    <row r="7869" spans="1:1">
      <c r="A7869" s="346"/>
    </row>
    <row r="7870" spans="1:1">
      <c r="A7870" s="346"/>
    </row>
    <row r="7871" spans="1:1">
      <c r="A7871" s="346"/>
    </row>
    <row r="7872" spans="1:1">
      <c r="A7872" s="346"/>
    </row>
    <row r="7873" spans="1:1">
      <c r="A7873" s="346"/>
    </row>
    <row r="7874" spans="1:1">
      <c r="A7874" s="346"/>
    </row>
    <row r="7875" spans="1:1">
      <c r="A7875" s="346"/>
    </row>
    <row r="7876" spans="1:1">
      <c r="A7876" s="346"/>
    </row>
    <row r="7877" spans="1:1">
      <c r="A7877" s="346"/>
    </row>
    <row r="7878" spans="1:1">
      <c r="A7878" s="346"/>
    </row>
    <row r="7879" spans="1:1">
      <c r="A7879" s="346"/>
    </row>
    <row r="7880" spans="1:1">
      <c r="A7880" s="346"/>
    </row>
    <row r="7881" spans="1:1">
      <c r="A7881" s="346"/>
    </row>
    <row r="7882" spans="1:1">
      <c r="A7882" s="346"/>
    </row>
    <row r="7883" spans="1:1">
      <c r="A7883" s="346"/>
    </row>
    <row r="7884" spans="1:1">
      <c r="A7884" s="346"/>
    </row>
    <row r="7885" spans="1:1">
      <c r="A7885" s="346"/>
    </row>
    <row r="7886" spans="1:1">
      <c r="A7886" s="346"/>
    </row>
    <row r="7887" spans="1:1">
      <c r="A7887" s="346"/>
    </row>
    <row r="7888" spans="1:1">
      <c r="A7888" s="346"/>
    </row>
    <row r="7889" spans="1:1">
      <c r="A7889" s="346"/>
    </row>
    <row r="7890" spans="1:1">
      <c r="A7890" s="346"/>
    </row>
    <row r="7891" spans="1:1">
      <c r="A7891" s="346"/>
    </row>
    <row r="7892" spans="1:1">
      <c r="A7892" s="346"/>
    </row>
    <row r="7893" spans="1:1">
      <c r="A7893" s="346"/>
    </row>
    <row r="7894" spans="1:1">
      <c r="A7894" s="346"/>
    </row>
    <row r="7895" spans="1:1">
      <c r="A7895" s="346"/>
    </row>
    <row r="7896" spans="1:1">
      <c r="A7896" s="346"/>
    </row>
    <row r="7897" spans="1:1">
      <c r="A7897" s="346"/>
    </row>
    <row r="7898" spans="1:1">
      <c r="A7898" s="346"/>
    </row>
    <row r="7899" spans="1:1">
      <c r="A7899" s="346"/>
    </row>
    <row r="7900" spans="1:1">
      <c r="A7900" s="346"/>
    </row>
    <row r="7901" spans="1:1">
      <c r="A7901" s="346"/>
    </row>
    <row r="7902" spans="1:1">
      <c r="A7902" s="346"/>
    </row>
    <row r="7903" spans="1:1">
      <c r="A7903" s="346"/>
    </row>
    <row r="7904" spans="1:1">
      <c r="A7904" s="346"/>
    </row>
    <row r="7905" spans="1:1">
      <c r="A7905" s="346"/>
    </row>
    <row r="7906" spans="1:1">
      <c r="A7906" s="346"/>
    </row>
    <row r="7907" spans="1:1">
      <c r="A7907" s="346"/>
    </row>
    <row r="7908" spans="1:1">
      <c r="A7908" s="346"/>
    </row>
    <row r="7909" spans="1:1">
      <c r="A7909" s="346"/>
    </row>
    <row r="7910" spans="1:1">
      <c r="A7910" s="346"/>
    </row>
    <row r="7911" spans="1:1">
      <c r="A7911" s="346"/>
    </row>
    <row r="7912" spans="1:1">
      <c r="A7912" s="346"/>
    </row>
    <row r="7913" spans="1:1">
      <c r="A7913" s="346"/>
    </row>
    <row r="7914" spans="1:1">
      <c r="A7914" s="346"/>
    </row>
    <row r="7915" spans="1:1">
      <c r="A7915" s="346"/>
    </row>
    <row r="7916" spans="1:1">
      <c r="A7916" s="346"/>
    </row>
    <row r="7917" spans="1:1">
      <c r="A7917" s="346"/>
    </row>
    <row r="7918" spans="1:1">
      <c r="A7918" s="346"/>
    </row>
    <row r="7919" spans="1:1">
      <c r="A7919" s="346"/>
    </row>
    <row r="7920" spans="1:1">
      <c r="A7920" s="346"/>
    </row>
    <row r="7921" spans="1:1">
      <c r="A7921" s="346"/>
    </row>
    <row r="7922" spans="1:1">
      <c r="A7922" s="346"/>
    </row>
    <row r="7923" spans="1:1">
      <c r="A7923" s="346"/>
    </row>
    <row r="7924" spans="1:1">
      <c r="A7924" s="346"/>
    </row>
    <row r="7925" spans="1:1">
      <c r="A7925" s="346"/>
    </row>
    <row r="7926" spans="1:1">
      <c r="A7926" s="346"/>
    </row>
    <row r="7927" spans="1:1">
      <c r="A7927" s="346"/>
    </row>
    <row r="7928" spans="1:1">
      <c r="A7928" s="346"/>
    </row>
    <row r="7929" spans="1:1">
      <c r="A7929" s="346"/>
    </row>
    <row r="7930" spans="1:1">
      <c r="A7930" s="346"/>
    </row>
    <row r="7931" spans="1:1">
      <c r="A7931" s="346"/>
    </row>
    <row r="7932" spans="1:1">
      <c r="A7932" s="346"/>
    </row>
    <row r="7933" spans="1:1">
      <c r="A7933" s="346"/>
    </row>
    <row r="7934" spans="1:1">
      <c r="A7934" s="346"/>
    </row>
    <row r="7935" spans="1:1">
      <c r="A7935" s="346"/>
    </row>
    <row r="7936" spans="1:1">
      <c r="A7936" s="346"/>
    </row>
    <row r="7937" spans="1:1">
      <c r="A7937" s="346"/>
    </row>
    <row r="7938" spans="1:1">
      <c r="A7938" s="346"/>
    </row>
    <row r="7939" spans="1:1">
      <c r="A7939" s="346"/>
    </row>
    <row r="7940" spans="1:1">
      <c r="A7940" s="346"/>
    </row>
    <row r="7941" spans="1:1">
      <c r="A7941" s="346"/>
    </row>
    <row r="7942" spans="1:1">
      <c r="A7942" s="346"/>
    </row>
    <row r="7943" spans="1:1">
      <c r="A7943" s="346"/>
    </row>
    <row r="7944" spans="1:1">
      <c r="A7944" s="346"/>
    </row>
    <row r="7945" spans="1:1">
      <c r="A7945" s="346"/>
    </row>
    <row r="7946" spans="1:1">
      <c r="A7946" s="346"/>
    </row>
    <row r="7947" spans="1:1">
      <c r="A7947" s="346"/>
    </row>
    <row r="7948" spans="1:1">
      <c r="A7948" s="346"/>
    </row>
    <row r="7949" spans="1:1">
      <c r="A7949" s="346"/>
    </row>
    <row r="7950" spans="1:1">
      <c r="A7950" s="346"/>
    </row>
    <row r="7951" spans="1:1">
      <c r="A7951" s="346"/>
    </row>
    <row r="7952" spans="1:1">
      <c r="A7952" s="346"/>
    </row>
    <row r="7953" spans="1:1">
      <c r="A7953" s="346"/>
    </row>
    <row r="7954" spans="1:1">
      <c r="A7954" s="346"/>
    </row>
    <row r="7955" spans="1:1">
      <c r="A7955" s="346"/>
    </row>
    <row r="7956" spans="1:1">
      <c r="A7956" s="346"/>
    </row>
    <row r="7957" spans="1:1">
      <c r="A7957" s="346"/>
    </row>
    <row r="7958" spans="1:1">
      <c r="A7958" s="346"/>
    </row>
    <row r="7959" spans="1:1">
      <c r="A7959" s="346"/>
    </row>
    <row r="7960" spans="1:1">
      <c r="A7960" s="346"/>
    </row>
    <row r="7961" spans="1:1">
      <c r="A7961" s="346"/>
    </row>
    <row r="7962" spans="1:1">
      <c r="A7962" s="346"/>
    </row>
    <row r="7963" spans="1:1">
      <c r="A7963" s="346"/>
    </row>
    <row r="7964" spans="1:1">
      <c r="A7964" s="346"/>
    </row>
    <row r="7965" spans="1:1">
      <c r="A7965" s="346"/>
    </row>
    <row r="7966" spans="1:1">
      <c r="A7966" s="346"/>
    </row>
    <row r="7967" spans="1:1">
      <c r="A7967" s="346"/>
    </row>
    <row r="7968" spans="1:1">
      <c r="A7968" s="346"/>
    </row>
    <row r="7969" spans="1:1">
      <c r="A7969" s="346"/>
    </row>
    <row r="7970" spans="1:1">
      <c r="A7970" s="346"/>
    </row>
    <row r="7971" spans="1:1">
      <c r="A7971" s="346"/>
    </row>
    <row r="7972" spans="1:1">
      <c r="A7972" s="346"/>
    </row>
    <row r="7973" spans="1:1">
      <c r="A7973" s="346"/>
    </row>
    <row r="7974" spans="1:1">
      <c r="A7974" s="346"/>
    </row>
    <row r="7975" spans="1:1">
      <c r="A7975" s="346"/>
    </row>
    <row r="7976" spans="1:1">
      <c r="A7976" s="346"/>
    </row>
    <row r="7977" spans="1:1">
      <c r="A7977" s="346"/>
    </row>
    <row r="7978" spans="1:1">
      <c r="A7978" s="346"/>
    </row>
    <row r="7979" spans="1:1">
      <c r="A7979" s="346"/>
    </row>
    <row r="7980" spans="1:1">
      <c r="A7980" s="346"/>
    </row>
    <row r="7981" spans="1:1">
      <c r="A7981" s="346"/>
    </row>
    <row r="7982" spans="1:1">
      <c r="A7982" s="346"/>
    </row>
    <row r="7983" spans="1:1">
      <c r="A7983" s="346"/>
    </row>
    <row r="7984" spans="1:1">
      <c r="A7984" s="346"/>
    </row>
    <row r="7985" spans="1:1">
      <c r="A7985" s="346"/>
    </row>
    <row r="7986" spans="1:1">
      <c r="A7986" s="346"/>
    </row>
    <row r="7987" spans="1:1">
      <c r="A7987" s="346"/>
    </row>
    <row r="7988" spans="1:1">
      <c r="A7988" s="346"/>
    </row>
    <row r="7989" spans="1:1">
      <c r="A7989" s="346"/>
    </row>
    <row r="7990" spans="1:1">
      <c r="A7990" s="346"/>
    </row>
    <row r="7991" spans="1:1">
      <c r="A7991" s="346"/>
    </row>
    <row r="7992" spans="1:1">
      <c r="A7992" s="346"/>
    </row>
    <row r="7993" spans="1:1">
      <c r="A7993" s="346"/>
    </row>
    <row r="7994" spans="1:1">
      <c r="A7994" s="346"/>
    </row>
    <row r="7995" spans="1:1">
      <c r="A7995" s="346"/>
    </row>
    <row r="7996" spans="1:1">
      <c r="A7996" s="346"/>
    </row>
    <row r="7997" spans="1:1">
      <c r="A7997" s="346"/>
    </row>
    <row r="7998" spans="1:1">
      <c r="A7998" s="346"/>
    </row>
    <row r="7999" spans="1:1">
      <c r="A7999" s="346"/>
    </row>
    <row r="8000" spans="1:1">
      <c r="A8000" s="346"/>
    </row>
    <row r="8001" spans="1:1">
      <c r="A8001" s="346"/>
    </row>
    <row r="8002" spans="1:1">
      <c r="A8002" s="346"/>
    </row>
    <row r="8003" spans="1:1">
      <c r="A8003" s="346"/>
    </row>
    <row r="8004" spans="1:1">
      <c r="A8004" s="346"/>
    </row>
    <row r="8005" spans="1:1">
      <c r="A8005" s="346"/>
    </row>
    <row r="8006" spans="1:1">
      <c r="A8006" s="346"/>
    </row>
    <row r="8007" spans="1:1">
      <c r="A8007" s="346"/>
    </row>
    <row r="8008" spans="1:1">
      <c r="A8008" s="346"/>
    </row>
    <row r="8009" spans="1:1">
      <c r="A8009" s="346"/>
    </row>
    <row r="8010" spans="1:1">
      <c r="A8010" s="346"/>
    </row>
    <row r="8011" spans="1:1">
      <c r="A8011" s="346"/>
    </row>
    <row r="8012" spans="1:1">
      <c r="A8012" s="346"/>
    </row>
    <row r="8013" spans="1:1">
      <c r="A8013" s="346"/>
    </row>
    <row r="8014" spans="1:1">
      <c r="A8014" s="346"/>
    </row>
    <row r="8015" spans="1:1">
      <c r="A8015" s="346"/>
    </row>
    <row r="8016" spans="1:1">
      <c r="A8016" s="346"/>
    </row>
    <row r="8017" spans="1:1">
      <c r="A8017" s="346"/>
    </row>
    <row r="8018" spans="1:1">
      <c r="A8018" s="346"/>
    </row>
    <row r="8019" spans="1:1">
      <c r="A8019" s="346"/>
    </row>
    <row r="8020" spans="1:1">
      <c r="A8020" s="346"/>
    </row>
    <row r="8021" spans="1:1">
      <c r="A8021" s="346"/>
    </row>
    <row r="8022" spans="1:1">
      <c r="A8022" s="346"/>
    </row>
    <row r="8023" spans="1:1">
      <c r="A8023" s="346"/>
    </row>
    <row r="8024" spans="1:1">
      <c r="A8024" s="346"/>
    </row>
    <row r="8025" spans="1:1">
      <c r="A8025" s="346"/>
    </row>
    <row r="8026" spans="1:1">
      <c r="A8026" s="346"/>
    </row>
    <row r="8027" spans="1:1">
      <c r="A8027" s="346"/>
    </row>
    <row r="8028" spans="1:1">
      <c r="A8028" s="346"/>
    </row>
    <row r="8029" spans="1:1">
      <c r="A8029" s="346"/>
    </row>
    <row r="8030" spans="1:1">
      <c r="A8030" s="346"/>
    </row>
    <row r="8031" spans="1:1">
      <c r="A8031" s="346"/>
    </row>
    <row r="8032" spans="1:1">
      <c r="A8032" s="346"/>
    </row>
    <row r="8033" spans="1:1">
      <c r="A8033" s="346"/>
    </row>
    <row r="8034" spans="1:1">
      <c r="A8034" s="346"/>
    </row>
    <row r="8035" spans="1:1">
      <c r="A8035" s="346"/>
    </row>
    <row r="8036" spans="1:1">
      <c r="A8036" s="346"/>
    </row>
    <row r="8037" spans="1:1">
      <c r="A8037" s="346"/>
    </row>
    <row r="8038" spans="1:1">
      <c r="A8038" s="346"/>
    </row>
    <row r="8039" spans="1:1">
      <c r="A8039" s="346"/>
    </row>
    <row r="8040" spans="1:1">
      <c r="A8040" s="346"/>
    </row>
    <row r="8041" spans="1:1">
      <c r="A8041" s="346"/>
    </row>
    <row r="8042" spans="1:1">
      <c r="A8042" s="346"/>
    </row>
    <row r="8043" spans="1:1">
      <c r="A8043" s="346"/>
    </row>
    <row r="8044" spans="1:1">
      <c r="A8044" s="346"/>
    </row>
    <row r="8045" spans="1:1">
      <c r="A8045" s="346"/>
    </row>
    <row r="8046" spans="1:1">
      <c r="A8046" s="346"/>
    </row>
    <row r="8047" spans="1:1">
      <c r="A8047" s="346"/>
    </row>
    <row r="8048" spans="1:1">
      <c r="A8048" s="346"/>
    </row>
    <row r="8049" spans="1:1">
      <c r="A8049" s="346"/>
    </row>
    <row r="8050" spans="1:1">
      <c r="A8050" s="346"/>
    </row>
    <row r="8051" spans="1:1">
      <c r="A8051" s="346"/>
    </row>
    <row r="8052" spans="1:1">
      <c r="A8052" s="346"/>
    </row>
    <row r="8053" spans="1:1">
      <c r="A8053" s="346"/>
    </row>
    <row r="8054" spans="1:1">
      <c r="A8054" s="346"/>
    </row>
    <row r="8055" spans="1:1">
      <c r="A8055" s="346"/>
    </row>
    <row r="8056" spans="1:1">
      <c r="A8056" s="346"/>
    </row>
    <row r="8057" spans="1:1">
      <c r="A8057" s="346"/>
    </row>
    <row r="8058" spans="1:1">
      <c r="A8058" s="346"/>
    </row>
    <row r="8059" spans="1:1">
      <c r="A8059" s="346"/>
    </row>
    <row r="8060" spans="1:1">
      <c r="A8060" s="346"/>
    </row>
    <row r="8061" spans="1:1">
      <c r="A8061" s="346"/>
    </row>
    <row r="8062" spans="1:1">
      <c r="A8062" s="346"/>
    </row>
    <row r="8063" spans="1:1">
      <c r="A8063" s="346"/>
    </row>
    <row r="8064" spans="1:1">
      <c r="A8064" s="346"/>
    </row>
    <row r="8065" spans="1:1">
      <c r="A8065" s="346"/>
    </row>
    <row r="8066" spans="1:1">
      <c r="A8066" s="346"/>
    </row>
    <row r="8067" spans="1:1">
      <c r="A8067" s="346"/>
    </row>
    <row r="8068" spans="1:1">
      <c r="A8068" s="346"/>
    </row>
    <row r="8069" spans="1:1">
      <c r="A8069" s="346"/>
    </row>
    <row r="8070" spans="1:1">
      <c r="A8070" s="346"/>
    </row>
    <row r="8071" spans="1:1">
      <c r="A8071" s="346"/>
    </row>
    <row r="8072" spans="1:1">
      <c r="A8072" s="346"/>
    </row>
    <row r="8073" spans="1:1">
      <c r="A8073" s="346"/>
    </row>
    <row r="8074" spans="1:1">
      <c r="A8074" s="346"/>
    </row>
    <row r="8075" spans="1:1">
      <c r="A8075" s="346"/>
    </row>
    <row r="8076" spans="1:1">
      <c r="A8076" s="346"/>
    </row>
    <row r="8077" spans="1:1">
      <c r="A8077" s="346"/>
    </row>
    <row r="8078" spans="1:1">
      <c r="A8078" s="346"/>
    </row>
    <row r="8079" spans="1:1">
      <c r="A8079" s="346"/>
    </row>
    <row r="8080" spans="1:1">
      <c r="A8080" s="346"/>
    </row>
    <row r="8081" spans="1:1">
      <c r="A8081" s="346"/>
    </row>
    <row r="8082" spans="1:1">
      <c r="A8082" s="346"/>
    </row>
    <row r="8083" spans="1:1">
      <c r="A8083" s="346"/>
    </row>
    <row r="8084" spans="1:1">
      <c r="A8084" s="346"/>
    </row>
    <row r="8085" spans="1:1">
      <c r="A8085" s="346"/>
    </row>
    <row r="8086" spans="1:1">
      <c r="A8086" s="346"/>
    </row>
    <row r="8087" spans="1:1">
      <c r="A8087" s="346"/>
    </row>
    <row r="8088" spans="1:1">
      <c r="A8088" s="346"/>
    </row>
    <row r="8089" spans="1:1">
      <c r="A8089" s="346"/>
    </row>
    <row r="8090" spans="1:1">
      <c r="A8090" s="346"/>
    </row>
    <row r="8091" spans="1:1">
      <c r="A8091" s="346"/>
    </row>
    <row r="8092" spans="1:1">
      <c r="A8092" s="346"/>
    </row>
    <row r="8093" spans="1:1">
      <c r="A8093" s="346"/>
    </row>
    <row r="8094" spans="1:1">
      <c r="A8094" s="346"/>
    </row>
    <row r="8095" spans="1:1">
      <c r="A8095" s="346"/>
    </row>
    <row r="8096" spans="1:1">
      <c r="A8096" s="346"/>
    </row>
    <row r="8097" spans="1:1">
      <c r="A8097" s="346"/>
    </row>
    <row r="8098" spans="1:1">
      <c r="A8098" s="346"/>
    </row>
    <row r="8099" spans="1:1">
      <c r="A8099" s="346"/>
    </row>
    <row r="8100" spans="1:1">
      <c r="A8100" s="346"/>
    </row>
    <row r="8101" spans="1:1">
      <c r="A8101" s="346"/>
    </row>
    <row r="8102" spans="1:1">
      <c r="A8102" s="346"/>
    </row>
    <row r="8103" spans="1:1">
      <c r="A8103" s="346"/>
    </row>
    <row r="8104" spans="1:1">
      <c r="A8104" s="346"/>
    </row>
    <row r="8105" spans="1:1">
      <c r="A8105" s="346"/>
    </row>
    <row r="8106" spans="1:1">
      <c r="A8106" s="346"/>
    </row>
    <row r="8107" spans="1:1">
      <c r="A8107" s="346"/>
    </row>
    <row r="8108" spans="1:1">
      <c r="A8108" s="346"/>
    </row>
    <row r="8109" spans="1:1">
      <c r="A8109" s="346"/>
    </row>
    <row r="8110" spans="1:1">
      <c r="A8110" s="346"/>
    </row>
    <row r="8111" spans="1:1">
      <c r="A8111" s="346"/>
    </row>
    <row r="8112" spans="1:1">
      <c r="A8112" s="346"/>
    </row>
    <row r="8113" spans="1:1">
      <c r="A8113" s="346"/>
    </row>
    <row r="8114" spans="1:1">
      <c r="A8114" s="346"/>
    </row>
    <row r="8115" spans="1:1">
      <c r="A8115" s="346"/>
    </row>
    <row r="8116" spans="1:1">
      <c r="A8116" s="346"/>
    </row>
    <row r="8117" spans="1:1">
      <c r="A8117" s="346"/>
    </row>
    <row r="8118" spans="1:1">
      <c r="A8118" s="346"/>
    </row>
    <row r="8119" spans="1:1">
      <c r="A8119" s="346"/>
    </row>
    <row r="8120" spans="1:1">
      <c r="A8120" s="346"/>
    </row>
    <row r="8121" spans="1:1">
      <c r="A8121" s="346"/>
    </row>
    <row r="8122" spans="1:1">
      <c r="A8122" s="346"/>
    </row>
    <row r="8123" spans="1:1">
      <c r="A8123" s="346"/>
    </row>
    <row r="8124" spans="1:1">
      <c r="A8124" s="346"/>
    </row>
    <row r="8125" spans="1:1">
      <c r="A8125" s="346"/>
    </row>
    <row r="8126" spans="1:1">
      <c r="A8126" s="346"/>
    </row>
    <row r="8127" spans="1:1">
      <c r="A8127" s="346"/>
    </row>
    <row r="8128" spans="1:1">
      <c r="A8128" s="346"/>
    </row>
    <row r="8129" spans="1:1">
      <c r="A8129" s="346"/>
    </row>
    <row r="8130" spans="1:1">
      <c r="A8130" s="346"/>
    </row>
    <row r="8131" spans="1:1">
      <c r="A8131" s="346"/>
    </row>
    <row r="8132" spans="1:1">
      <c r="A8132" s="346"/>
    </row>
    <row r="8133" spans="1:1">
      <c r="A8133" s="346"/>
    </row>
    <row r="8134" spans="1:1">
      <c r="A8134" s="346"/>
    </row>
    <row r="8135" spans="1:1">
      <c r="A8135" s="346"/>
    </row>
    <row r="8136" spans="1:1">
      <c r="A8136" s="346"/>
    </row>
    <row r="8137" spans="1:1">
      <c r="A8137" s="346"/>
    </row>
    <row r="8138" spans="1:1">
      <c r="A8138" s="346"/>
    </row>
    <row r="8139" spans="1:1">
      <c r="A8139" s="346"/>
    </row>
    <row r="8140" spans="1:1">
      <c r="A8140" s="346"/>
    </row>
    <row r="8141" spans="1:1">
      <c r="A8141" s="346"/>
    </row>
    <row r="8142" spans="1:1">
      <c r="A8142" s="346"/>
    </row>
    <row r="8143" spans="1:1">
      <c r="A8143" s="346"/>
    </row>
    <row r="8144" spans="1:1">
      <c r="A8144" s="346"/>
    </row>
    <row r="8145" spans="1:1">
      <c r="A8145" s="346"/>
    </row>
    <row r="8146" spans="1:1">
      <c r="A8146" s="346"/>
    </row>
    <row r="8147" spans="1:1">
      <c r="A8147" s="346"/>
    </row>
    <row r="8148" spans="1:1">
      <c r="A8148" s="346"/>
    </row>
    <row r="8149" spans="1:1">
      <c r="A8149" s="346"/>
    </row>
    <row r="8150" spans="1:1">
      <c r="A8150" s="346"/>
    </row>
    <row r="8151" spans="1:1">
      <c r="A8151" s="346"/>
    </row>
    <row r="8152" spans="1:1">
      <c r="A8152" s="346"/>
    </row>
    <row r="8153" spans="1:1">
      <c r="A8153" s="346"/>
    </row>
    <row r="8154" spans="1:1">
      <c r="A8154" s="346"/>
    </row>
    <row r="8155" spans="1:1">
      <c r="A8155" s="346"/>
    </row>
    <row r="8156" spans="1:1">
      <c r="A8156" s="346"/>
    </row>
    <row r="8157" spans="1:1">
      <c r="A8157" s="346"/>
    </row>
    <row r="8158" spans="1:1">
      <c r="A8158" s="346"/>
    </row>
    <row r="8159" spans="1:1">
      <c r="A8159" s="346"/>
    </row>
    <row r="8160" spans="1:1">
      <c r="A8160" s="346"/>
    </row>
    <row r="8161" spans="1:1">
      <c r="A8161" s="346"/>
    </row>
    <row r="8162" spans="1:1">
      <c r="A8162" s="346"/>
    </row>
    <row r="8163" spans="1:1">
      <c r="A8163" s="346"/>
    </row>
    <row r="8164" spans="1:1">
      <c r="A8164" s="346"/>
    </row>
    <row r="8165" spans="1:1">
      <c r="A8165" s="346"/>
    </row>
    <row r="8166" spans="1:1">
      <c r="A8166" s="346"/>
    </row>
    <row r="8167" spans="1:1">
      <c r="A8167" s="346"/>
    </row>
    <row r="8168" spans="1:1">
      <c r="A8168" s="346"/>
    </row>
    <row r="8169" spans="1:1">
      <c r="A8169" s="346"/>
    </row>
    <row r="8170" spans="1:1">
      <c r="A8170" s="346"/>
    </row>
    <row r="8171" spans="1:1">
      <c r="A8171" s="346"/>
    </row>
    <row r="8172" spans="1:1">
      <c r="A8172" s="346"/>
    </row>
    <row r="8173" spans="1:1">
      <c r="A8173" s="346"/>
    </row>
    <row r="8174" spans="1:1">
      <c r="A8174" s="346"/>
    </row>
    <row r="8175" spans="1:1">
      <c r="A8175" s="346"/>
    </row>
    <row r="8176" spans="1:1">
      <c r="A8176" s="346"/>
    </row>
    <row r="8177" spans="1:1">
      <c r="A8177" s="346"/>
    </row>
    <row r="8178" spans="1:1">
      <c r="A8178" s="346"/>
    </row>
    <row r="8179" spans="1:1">
      <c r="A8179" s="346"/>
    </row>
    <row r="8180" spans="1:1">
      <c r="A8180" s="346"/>
    </row>
    <row r="8181" spans="1:1">
      <c r="A8181" s="346"/>
    </row>
    <row r="8182" spans="1:1">
      <c r="A8182" s="346"/>
    </row>
    <row r="8183" spans="1:1">
      <c r="A8183" s="346"/>
    </row>
    <row r="8184" spans="1:1">
      <c r="A8184" s="346"/>
    </row>
    <row r="8185" spans="1:1">
      <c r="A8185" s="346"/>
    </row>
    <row r="8186" spans="1:1">
      <c r="A8186" s="346"/>
    </row>
    <row r="8187" spans="1:1">
      <c r="A8187" s="346"/>
    </row>
    <row r="8188" spans="1:1">
      <c r="A8188" s="346"/>
    </row>
    <row r="8189" spans="1:1">
      <c r="A8189" s="346"/>
    </row>
    <row r="8190" spans="1:1">
      <c r="A8190" s="346"/>
    </row>
    <row r="8191" spans="1:1">
      <c r="A8191" s="346"/>
    </row>
    <row r="8192" spans="1:1">
      <c r="A8192" s="346"/>
    </row>
    <row r="8193" spans="1:1">
      <c r="A8193" s="346"/>
    </row>
    <row r="8194" spans="1:1">
      <c r="A8194" s="346"/>
    </row>
    <row r="8195" spans="1:1">
      <c r="A8195" s="346"/>
    </row>
    <row r="8196" spans="1:1">
      <c r="A8196" s="346"/>
    </row>
    <row r="8197" spans="1:1">
      <c r="A8197" s="346"/>
    </row>
    <row r="8198" spans="1:1">
      <c r="A8198" s="346"/>
    </row>
    <row r="8199" spans="1:1">
      <c r="A8199" s="346"/>
    </row>
    <row r="8200" spans="1:1">
      <c r="A8200" s="346"/>
    </row>
    <row r="8201" spans="1:1">
      <c r="A8201" s="346"/>
    </row>
    <row r="8202" spans="1:1">
      <c r="A8202" s="346"/>
    </row>
    <row r="8203" spans="1:1">
      <c r="A8203" s="346"/>
    </row>
    <row r="8204" spans="1:1">
      <c r="A8204" s="346"/>
    </row>
    <row r="8205" spans="1:1">
      <c r="A8205" s="346"/>
    </row>
    <row r="8206" spans="1:1">
      <c r="A8206" s="346"/>
    </row>
    <row r="8207" spans="1:1">
      <c r="A8207" s="346"/>
    </row>
    <row r="8208" spans="1:1">
      <c r="A8208" s="346"/>
    </row>
    <row r="8209" spans="1:1">
      <c r="A8209" s="346"/>
    </row>
    <row r="8210" spans="1:1">
      <c r="A8210" s="346"/>
    </row>
    <row r="8211" spans="1:1">
      <c r="A8211" s="346"/>
    </row>
    <row r="8212" spans="1:1">
      <c r="A8212" s="346"/>
    </row>
    <row r="8213" spans="1:1">
      <c r="A8213" s="346"/>
    </row>
    <row r="8214" spans="1:1">
      <c r="A8214" s="346"/>
    </row>
    <row r="8215" spans="1:1">
      <c r="A8215" s="346"/>
    </row>
    <row r="8216" spans="1:1">
      <c r="A8216" s="346"/>
    </row>
    <row r="8217" spans="1:1">
      <c r="A8217" s="346"/>
    </row>
    <row r="8218" spans="1:1">
      <c r="A8218" s="346"/>
    </row>
    <row r="8219" spans="1:1">
      <c r="A8219" s="346"/>
    </row>
    <row r="8220" spans="1:1">
      <c r="A8220" s="346"/>
    </row>
    <row r="8221" spans="1:1">
      <c r="A8221" s="346"/>
    </row>
    <row r="8222" spans="1:1">
      <c r="A8222" s="346"/>
    </row>
    <row r="8223" spans="1:1">
      <c r="A8223" s="346"/>
    </row>
    <row r="8224" spans="1:1">
      <c r="A8224" s="346"/>
    </row>
    <row r="8225" spans="1:1">
      <c r="A8225" s="346"/>
    </row>
    <row r="8226" spans="1:1">
      <c r="A8226" s="346"/>
    </row>
    <row r="8227" spans="1:1">
      <c r="A8227" s="346"/>
    </row>
    <row r="8228" spans="1:1">
      <c r="A8228" s="346"/>
    </row>
    <row r="8229" spans="1:1">
      <c r="A8229" s="346"/>
    </row>
    <row r="8230" spans="1:1">
      <c r="A8230" s="346"/>
    </row>
    <row r="8231" spans="1:1">
      <c r="A8231" s="346"/>
    </row>
    <row r="8232" spans="1:1">
      <c r="A8232" s="346"/>
    </row>
    <row r="8233" spans="1:1">
      <c r="A8233" s="346"/>
    </row>
    <row r="8234" spans="1:1">
      <c r="A8234" s="346"/>
    </row>
    <row r="8235" spans="1:1">
      <c r="A8235" s="346"/>
    </row>
    <row r="8236" spans="1:1">
      <c r="A8236" s="346"/>
    </row>
    <row r="8237" spans="1:1">
      <c r="A8237" s="346"/>
    </row>
    <row r="8238" spans="1:1">
      <c r="A8238" s="346"/>
    </row>
    <row r="8239" spans="1:1">
      <c r="A8239" s="346"/>
    </row>
    <row r="8240" spans="1:1">
      <c r="A8240" s="346"/>
    </row>
    <row r="8241" spans="1:1">
      <c r="A8241" s="346"/>
    </row>
    <row r="8242" spans="1:1">
      <c r="A8242" s="346"/>
    </row>
    <row r="8243" spans="1:1">
      <c r="A8243" s="346"/>
    </row>
    <row r="8244" spans="1:1">
      <c r="A8244" s="346"/>
    </row>
    <row r="8245" spans="1:1">
      <c r="A8245" s="346"/>
    </row>
    <row r="8246" spans="1:1">
      <c r="A8246" s="346"/>
    </row>
    <row r="8247" spans="1:1">
      <c r="A8247" s="346"/>
    </row>
    <row r="8248" spans="1:1">
      <c r="A8248" s="346"/>
    </row>
    <row r="8249" spans="1:1">
      <c r="A8249" s="346"/>
    </row>
    <row r="8250" spans="1:1">
      <c r="A8250" s="346"/>
    </row>
    <row r="8251" spans="1:1">
      <c r="A8251" s="346"/>
    </row>
    <row r="8252" spans="1:1">
      <c r="A8252" s="346"/>
    </row>
    <row r="8253" spans="1:1">
      <c r="A8253" s="346"/>
    </row>
    <row r="8254" spans="1:1">
      <c r="A8254" s="346"/>
    </row>
    <row r="8255" spans="1:1">
      <c r="A8255" s="346"/>
    </row>
    <row r="8256" spans="1:1">
      <c r="A8256" s="346"/>
    </row>
    <row r="8257" spans="1:1">
      <c r="A8257" s="346"/>
    </row>
    <row r="8258" spans="1:1">
      <c r="A8258" s="346"/>
    </row>
    <row r="8259" spans="1:1">
      <c r="A8259" s="346"/>
    </row>
    <row r="8260" spans="1:1">
      <c r="A8260" s="346"/>
    </row>
    <row r="8261" spans="1:1">
      <c r="A8261" s="346"/>
    </row>
    <row r="8262" spans="1:1">
      <c r="A8262" s="346"/>
    </row>
    <row r="8263" spans="1:1">
      <c r="A8263" s="346"/>
    </row>
    <row r="8264" spans="1:1">
      <c r="A8264" s="346"/>
    </row>
    <row r="8265" spans="1:1">
      <c r="A8265" s="346"/>
    </row>
    <row r="8266" spans="1:1">
      <c r="A8266" s="346"/>
    </row>
    <row r="8267" spans="1:1">
      <c r="A8267" s="346"/>
    </row>
    <row r="8268" spans="1:1">
      <c r="A8268" s="346"/>
    </row>
    <row r="8269" spans="1:1">
      <c r="A8269" s="346"/>
    </row>
    <row r="8270" spans="1:1">
      <c r="A8270" s="346"/>
    </row>
    <row r="8271" spans="1:1">
      <c r="A8271" s="346"/>
    </row>
    <row r="8272" spans="1:1">
      <c r="A8272" s="346"/>
    </row>
    <row r="8273" spans="1:1">
      <c r="A8273" s="346"/>
    </row>
    <row r="8274" spans="1:1">
      <c r="A8274" s="346"/>
    </row>
    <row r="8275" spans="1:1">
      <c r="A8275" s="346"/>
    </row>
    <row r="8276" spans="1:1">
      <c r="A8276" s="346"/>
    </row>
    <row r="8277" spans="1:1">
      <c r="A8277" s="346"/>
    </row>
    <row r="8278" spans="1:1">
      <c r="A8278" s="346"/>
    </row>
    <row r="8279" spans="1:1">
      <c r="A8279" s="346"/>
    </row>
    <row r="8280" spans="1:1">
      <c r="A8280" s="346"/>
    </row>
    <row r="8281" spans="1:1">
      <c r="A8281" s="346"/>
    </row>
    <row r="8282" spans="1:1">
      <c r="A8282" s="346"/>
    </row>
    <row r="8283" spans="1:1">
      <c r="A8283" s="346"/>
    </row>
    <row r="8284" spans="1:1">
      <c r="A8284" s="346"/>
    </row>
    <row r="8285" spans="1:1">
      <c r="A8285" s="346"/>
    </row>
    <row r="8286" spans="1:1">
      <c r="A8286" s="346"/>
    </row>
    <row r="8287" spans="1:1">
      <c r="A8287" s="346"/>
    </row>
    <row r="8288" spans="1:1">
      <c r="A8288" s="346"/>
    </row>
    <row r="8289" spans="1:1">
      <c r="A8289" s="346"/>
    </row>
    <row r="8290" spans="1:1">
      <c r="A8290" s="346"/>
    </row>
    <row r="8291" spans="1:1">
      <c r="A8291" s="346"/>
    </row>
    <row r="8292" spans="1:1">
      <c r="A8292" s="346"/>
    </row>
    <row r="8293" spans="1:1">
      <c r="A8293" s="346"/>
    </row>
    <row r="8294" spans="1:1">
      <c r="A8294" s="346"/>
    </row>
    <row r="8295" spans="1:1">
      <c r="A8295" s="346"/>
    </row>
    <row r="8296" spans="1:1">
      <c r="A8296" s="346"/>
    </row>
    <row r="8297" spans="1:1">
      <c r="A8297" s="346"/>
    </row>
    <row r="8298" spans="1:1">
      <c r="A8298" s="346"/>
    </row>
    <row r="8299" spans="1:1">
      <c r="A8299" s="346"/>
    </row>
    <row r="8300" spans="1:1">
      <c r="A8300" s="346"/>
    </row>
    <row r="8301" spans="1:1">
      <c r="A8301" s="346"/>
    </row>
    <row r="8302" spans="1:1">
      <c r="A8302" s="346"/>
    </row>
    <row r="8303" spans="1:1">
      <c r="A8303" s="346"/>
    </row>
    <row r="8304" spans="1:1">
      <c r="A8304" s="346"/>
    </row>
    <row r="8305" spans="1:1">
      <c r="A8305" s="346"/>
    </row>
    <row r="8306" spans="1:1">
      <c r="A8306" s="346"/>
    </row>
    <row r="8307" spans="1:1">
      <c r="A8307" s="346"/>
    </row>
    <row r="8308" spans="1:1">
      <c r="A8308" s="346"/>
    </row>
    <row r="8309" spans="1:1">
      <c r="A8309" s="346"/>
    </row>
    <row r="8310" spans="1:1">
      <c r="A8310" s="346"/>
    </row>
    <row r="8311" spans="1:1">
      <c r="A8311" s="346"/>
    </row>
    <row r="8312" spans="1:1">
      <c r="A8312" s="346"/>
    </row>
    <row r="8313" spans="1:1">
      <c r="A8313" s="346"/>
    </row>
    <row r="8314" spans="1:1">
      <c r="A8314" s="346"/>
    </row>
    <row r="8315" spans="1:1">
      <c r="A8315" s="346"/>
    </row>
    <row r="8316" spans="1:1">
      <c r="A8316" s="346"/>
    </row>
    <row r="8317" spans="1:1">
      <c r="A8317" s="346"/>
    </row>
    <row r="8318" spans="1:1">
      <c r="A8318" s="346"/>
    </row>
    <row r="8319" spans="1:1">
      <c r="A8319" s="346"/>
    </row>
    <row r="8320" spans="1:1">
      <c r="A8320" s="346"/>
    </row>
    <row r="8321" spans="1:1">
      <c r="A8321" s="346"/>
    </row>
    <row r="8322" spans="1:1">
      <c r="A8322" s="346"/>
    </row>
    <row r="8323" spans="1:1">
      <c r="A8323" s="346"/>
    </row>
    <row r="8324" spans="1:1">
      <c r="A8324" s="346"/>
    </row>
    <row r="8325" spans="1:1">
      <c r="A8325" s="346"/>
    </row>
    <row r="8326" spans="1:1">
      <c r="A8326" s="346"/>
    </row>
    <row r="8327" spans="1:1">
      <c r="A8327" s="346"/>
    </row>
    <row r="8328" spans="1:1">
      <c r="A8328" s="346"/>
    </row>
    <row r="8329" spans="1:1">
      <c r="A8329" s="346"/>
    </row>
    <row r="8330" spans="1:1">
      <c r="A8330" s="346"/>
    </row>
    <row r="8331" spans="1:1">
      <c r="A8331" s="346"/>
    </row>
    <row r="8332" spans="1:1">
      <c r="A8332" s="346"/>
    </row>
    <row r="8333" spans="1:1">
      <c r="A8333" s="346"/>
    </row>
    <row r="8334" spans="1:1">
      <c r="A8334" s="346"/>
    </row>
    <row r="8335" spans="1:1">
      <c r="A8335" s="346"/>
    </row>
    <row r="8336" spans="1:1">
      <c r="A8336" s="346"/>
    </row>
    <row r="8337" spans="1:1">
      <c r="A8337" s="346"/>
    </row>
    <row r="8338" spans="1:1">
      <c r="A8338" s="346"/>
    </row>
    <row r="8339" spans="1:1">
      <c r="A8339" s="346"/>
    </row>
    <row r="8340" spans="1:1">
      <c r="A8340" s="346"/>
    </row>
    <row r="8341" spans="1:1">
      <c r="A8341" s="346"/>
    </row>
    <row r="8342" spans="1:1">
      <c r="A8342" s="346"/>
    </row>
    <row r="8343" spans="1:1">
      <c r="A8343" s="346"/>
    </row>
    <row r="8344" spans="1:1">
      <c r="A8344" s="346"/>
    </row>
    <row r="8345" spans="1:1">
      <c r="A8345" s="346"/>
    </row>
    <row r="8346" spans="1:1">
      <c r="A8346" s="346"/>
    </row>
    <row r="8347" spans="1:1">
      <c r="A8347" s="346"/>
    </row>
    <row r="8348" spans="1:1">
      <c r="A8348" s="346"/>
    </row>
    <row r="8349" spans="1:1">
      <c r="A8349" s="346"/>
    </row>
    <row r="8350" spans="1:1">
      <c r="A8350" s="346"/>
    </row>
    <row r="8351" spans="1:1">
      <c r="A8351" s="346"/>
    </row>
    <row r="8352" spans="1:1">
      <c r="A8352" s="346"/>
    </row>
    <row r="8353" spans="1:1">
      <c r="A8353" s="346"/>
    </row>
    <row r="8354" spans="1:1">
      <c r="A8354" s="346"/>
    </row>
    <row r="8355" spans="1:1">
      <c r="A8355" s="346"/>
    </row>
    <row r="8356" spans="1:1">
      <c r="A8356" s="346"/>
    </row>
    <row r="8357" spans="1:1">
      <c r="A8357" s="346"/>
    </row>
    <row r="8358" spans="1:1">
      <c r="A8358" s="346"/>
    </row>
    <row r="8359" spans="1:1">
      <c r="A8359" s="346"/>
    </row>
    <row r="8360" spans="1:1">
      <c r="A8360" s="346"/>
    </row>
    <row r="8361" spans="1:1">
      <c r="A8361" s="346"/>
    </row>
    <row r="8362" spans="1:1">
      <c r="A8362" s="346"/>
    </row>
    <row r="8363" spans="1:1">
      <c r="A8363" s="346"/>
    </row>
    <row r="8364" spans="1:1">
      <c r="A8364" s="346"/>
    </row>
    <row r="8365" spans="1:1">
      <c r="A8365" s="346"/>
    </row>
    <row r="8366" spans="1:1">
      <c r="A8366" s="346"/>
    </row>
    <row r="8367" spans="1:1">
      <c r="A8367" s="346"/>
    </row>
    <row r="8368" spans="1:1">
      <c r="A8368" s="346"/>
    </row>
    <row r="8369" spans="1:1">
      <c r="A8369" s="346"/>
    </row>
    <row r="8370" spans="1:1">
      <c r="A8370" s="346"/>
    </row>
    <row r="8371" spans="1:1">
      <c r="A8371" s="346"/>
    </row>
    <row r="8372" spans="1:1">
      <c r="A8372" s="346"/>
    </row>
    <row r="8373" spans="1:1">
      <c r="A8373" s="346"/>
    </row>
    <row r="8374" spans="1:1">
      <c r="A8374" s="346"/>
    </row>
    <row r="8375" spans="1:1">
      <c r="A8375" s="346"/>
    </row>
    <row r="8376" spans="1:1">
      <c r="A8376" s="346"/>
    </row>
    <row r="8377" spans="1:1">
      <c r="A8377" s="346"/>
    </row>
    <row r="8378" spans="1:1">
      <c r="A8378" s="346"/>
    </row>
    <row r="8379" spans="1:1">
      <c r="A8379" s="346"/>
    </row>
    <row r="8380" spans="1:1">
      <c r="A8380" s="346"/>
    </row>
    <row r="8381" spans="1:1">
      <c r="A8381" s="346"/>
    </row>
    <row r="8382" spans="1:1">
      <c r="A8382" s="346"/>
    </row>
    <row r="8383" spans="1:1">
      <c r="A8383" s="346"/>
    </row>
    <row r="8384" spans="1:1">
      <c r="A8384" s="346"/>
    </row>
    <row r="8385" spans="1:1">
      <c r="A8385" s="346"/>
    </row>
    <row r="8386" spans="1:1">
      <c r="A8386" s="346"/>
    </row>
    <row r="8387" spans="1:1">
      <c r="A8387" s="346"/>
    </row>
    <row r="8388" spans="1:1">
      <c r="A8388" s="346"/>
    </row>
    <row r="8389" spans="1:1">
      <c r="A8389" s="346"/>
    </row>
    <row r="8390" spans="1:1">
      <c r="A8390" s="346"/>
    </row>
    <row r="8391" spans="1:1">
      <c r="A8391" s="346"/>
    </row>
    <row r="8392" spans="1:1">
      <c r="A8392" s="346"/>
    </row>
    <row r="8393" spans="1:1">
      <c r="A8393" s="346"/>
    </row>
    <row r="8394" spans="1:1">
      <c r="A8394" s="346"/>
    </row>
    <row r="8395" spans="1:1">
      <c r="A8395" s="346"/>
    </row>
    <row r="8396" spans="1:1">
      <c r="A8396" s="346"/>
    </row>
    <row r="8397" spans="1:1">
      <c r="A8397" s="346"/>
    </row>
    <row r="8398" spans="1:1">
      <c r="A8398" s="346"/>
    </row>
    <row r="8399" spans="1:1">
      <c r="A8399" s="346"/>
    </row>
    <row r="8400" spans="1:1">
      <c r="A8400" s="346"/>
    </row>
    <row r="8401" spans="1:1">
      <c r="A8401" s="346"/>
    </row>
    <row r="8402" spans="1:1">
      <c r="A8402" s="346"/>
    </row>
    <row r="8403" spans="1:1">
      <c r="A8403" s="346"/>
    </row>
    <row r="8404" spans="1:1">
      <c r="A8404" s="346"/>
    </row>
    <row r="8405" spans="1:1">
      <c r="A8405" s="346"/>
    </row>
    <row r="8406" spans="1:1">
      <c r="A8406" s="346"/>
    </row>
    <row r="8407" spans="1:1">
      <c r="A8407" s="346"/>
    </row>
    <row r="8408" spans="1:1">
      <c r="A8408" s="346"/>
    </row>
    <row r="8409" spans="1:1">
      <c r="A8409" s="346"/>
    </row>
    <row r="8410" spans="1:1">
      <c r="A8410" s="346"/>
    </row>
    <row r="8411" spans="1:1">
      <c r="A8411" s="346"/>
    </row>
    <row r="8412" spans="1:1">
      <c r="A8412" s="346"/>
    </row>
    <row r="8413" spans="1:1">
      <c r="A8413" s="346"/>
    </row>
    <row r="8414" spans="1:1">
      <c r="A8414" s="346"/>
    </row>
    <row r="8415" spans="1:1">
      <c r="A8415" s="346"/>
    </row>
    <row r="8416" spans="1:1">
      <c r="A8416" s="346"/>
    </row>
    <row r="8417" spans="1:1">
      <c r="A8417" s="346"/>
    </row>
    <row r="8418" spans="1:1">
      <c r="A8418" s="346"/>
    </row>
    <row r="8419" spans="1:1">
      <c r="A8419" s="346"/>
    </row>
    <row r="8420" spans="1:1">
      <c r="A8420" s="346"/>
    </row>
    <row r="8421" spans="1:1">
      <c r="A8421" s="346"/>
    </row>
    <row r="8422" spans="1:1">
      <c r="A8422" s="346"/>
    </row>
    <row r="8423" spans="1:1">
      <c r="A8423" s="346"/>
    </row>
    <row r="8424" spans="1:1">
      <c r="A8424" s="346"/>
    </row>
    <row r="8425" spans="1:1">
      <c r="A8425" s="346"/>
    </row>
    <row r="8426" spans="1:1">
      <c r="A8426" s="346"/>
    </row>
    <row r="8427" spans="1:1">
      <c r="A8427" s="346"/>
    </row>
    <row r="8428" spans="1:1">
      <c r="A8428" s="346"/>
    </row>
    <row r="8429" spans="1:1">
      <c r="A8429" s="346"/>
    </row>
    <row r="8430" spans="1:1">
      <c r="A8430" s="346"/>
    </row>
    <row r="8431" spans="1:1">
      <c r="A8431" s="346"/>
    </row>
    <row r="8432" spans="1:1">
      <c r="A8432" s="346"/>
    </row>
    <row r="8433" spans="1:1">
      <c r="A8433" s="346"/>
    </row>
    <row r="8434" spans="1:1">
      <c r="A8434" s="346"/>
    </row>
    <row r="8435" spans="1:1">
      <c r="A8435" s="346"/>
    </row>
    <row r="8436" spans="1:1">
      <c r="A8436" s="346"/>
    </row>
    <row r="8437" spans="1:1">
      <c r="A8437" s="346"/>
    </row>
    <row r="8438" spans="1:1">
      <c r="A8438" s="346"/>
    </row>
    <row r="8439" spans="1:1">
      <c r="A8439" s="346"/>
    </row>
    <row r="8440" spans="1:1">
      <c r="A8440" s="346"/>
    </row>
    <row r="8441" spans="1:1">
      <c r="A8441" s="346"/>
    </row>
    <row r="8442" spans="1:1">
      <c r="A8442" s="346"/>
    </row>
    <row r="8443" spans="1:1">
      <c r="A8443" s="346"/>
    </row>
    <row r="8444" spans="1:1">
      <c r="A8444" s="346"/>
    </row>
    <row r="8445" spans="1:1">
      <c r="A8445" s="346"/>
    </row>
    <row r="8446" spans="1:1">
      <c r="A8446" s="346"/>
    </row>
    <row r="8447" spans="1:1">
      <c r="A8447" s="346"/>
    </row>
    <row r="8448" spans="1:1">
      <c r="A8448" s="346"/>
    </row>
    <row r="8449" spans="1:1">
      <c r="A8449" s="346"/>
    </row>
    <row r="8450" spans="1:1">
      <c r="A8450" s="346"/>
    </row>
    <row r="8451" spans="1:1">
      <c r="A8451" s="346"/>
    </row>
    <row r="8452" spans="1:1">
      <c r="A8452" s="346"/>
    </row>
    <row r="8453" spans="1:1">
      <c r="A8453" s="346"/>
    </row>
    <row r="8454" spans="1:1">
      <c r="A8454" s="346"/>
    </row>
    <row r="8455" spans="1:1">
      <c r="A8455" s="346"/>
    </row>
    <row r="8456" spans="1:1">
      <c r="A8456" s="346"/>
    </row>
    <row r="8457" spans="1:1">
      <c r="A8457" s="346"/>
    </row>
    <row r="8458" spans="1:1">
      <c r="A8458" s="346"/>
    </row>
    <row r="8459" spans="1:1">
      <c r="A8459" s="346"/>
    </row>
    <row r="8460" spans="1:1">
      <c r="A8460" s="346"/>
    </row>
    <row r="8461" spans="1:1">
      <c r="A8461" s="346"/>
    </row>
    <row r="8462" spans="1:1">
      <c r="A8462" s="346"/>
    </row>
    <row r="8463" spans="1:1">
      <c r="A8463" s="346"/>
    </row>
    <row r="8464" spans="1:1">
      <c r="A8464" s="346"/>
    </row>
    <row r="8465" spans="1:1">
      <c r="A8465" s="346"/>
    </row>
    <row r="8466" spans="1:1">
      <c r="A8466" s="346"/>
    </row>
    <row r="8467" spans="1:1">
      <c r="A8467" s="346"/>
    </row>
    <row r="8468" spans="1:1">
      <c r="A8468" s="346"/>
    </row>
    <row r="8469" spans="1:1">
      <c r="A8469" s="346"/>
    </row>
    <row r="8470" spans="1:1">
      <c r="A8470" s="346"/>
    </row>
    <row r="8471" spans="1:1">
      <c r="A8471" s="346"/>
    </row>
    <row r="8472" spans="1:1">
      <c r="A8472" s="346"/>
    </row>
    <row r="8473" spans="1:1">
      <c r="A8473" s="346"/>
    </row>
    <row r="8474" spans="1:1">
      <c r="A8474" s="346"/>
    </row>
    <row r="8475" spans="1:1">
      <c r="A8475" s="346"/>
    </row>
    <row r="8476" spans="1:1">
      <c r="A8476" s="346"/>
    </row>
    <row r="8477" spans="1:1">
      <c r="A8477" s="346"/>
    </row>
    <row r="8478" spans="1:1">
      <c r="A8478" s="346"/>
    </row>
    <row r="8479" spans="1:1">
      <c r="A8479" s="346"/>
    </row>
    <row r="8480" spans="1:1">
      <c r="A8480" s="346"/>
    </row>
    <row r="8481" spans="1:1">
      <c r="A8481" s="346"/>
    </row>
    <row r="8482" spans="1:1">
      <c r="A8482" s="346"/>
    </row>
    <row r="8483" spans="1:1">
      <c r="A8483" s="346"/>
    </row>
    <row r="8484" spans="1:1">
      <c r="A8484" s="346"/>
    </row>
    <row r="8485" spans="1:1">
      <c r="A8485" s="346"/>
    </row>
    <row r="8486" spans="1:1">
      <c r="A8486" s="346"/>
    </row>
    <row r="8487" spans="1:1">
      <c r="A8487" s="346"/>
    </row>
    <row r="8488" spans="1:1">
      <c r="A8488" s="346"/>
    </row>
    <row r="8489" spans="1:1">
      <c r="A8489" s="346"/>
    </row>
    <row r="8490" spans="1:1">
      <c r="A8490" s="346"/>
    </row>
    <row r="8491" spans="1:1">
      <c r="A8491" s="346"/>
    </row>
    <row r="8492" spans="1:1">
      <c r="A8492" s="346"/>
    </row>
    <row r="8493" spans="1:1">
      <c r="A8493" s="346"/>
    </row>
    <row r="8494" spans="1:1">
      <c r="A8494" s="346"/>
    </row>
    <row r="8495" spans="1:1">
      <c r="A8495" s="346"/>
    </row>
    <row r="8496" spans="1:1">
      <c r="A8496" s="346"/>
    </row>
    <row r="8497" spans="1:1">
      <c r="A8497" s="346"/>
    </row>
    <row r="8498" spans="1:1">
      <c r="A8498" s="346"/>
    </row>
    <row r="8499" spans="1:1">
      <c r="A8499" s="346"/>
    </row>
    <row r="8500" spans="1:1">
      <c r="A8500" s="346"/>
    </row>
    <row r="8501" spans="1:1">
      <c r="A8501" s="346"/>
    </row>
    <row r="8502" spans="1:1">
      <c r="A8502" s="346"/>
    </row>
    <row r="8503" spans="1:1">
      <c r="A8503" s="346"/>
    </row>
    <row r="8504" spans="1:1">
      <c r="A8504" s="346"/>
    </row>
    <row r="8505" spans="1:1">
      <c r="A8505" s="346"/>
    </row>
    <row r="8506" spans="1:1">
      <c r="A8506" s="346"/>
    </row>
    <row r="8507" spans="1:1">
      <c r="A8507" s="346"/>
    </row>
    <row r="8508" spans="1:1">
      <c r="A8508" s="346"/>
    </row>
    <row r="8509" spans="1:1">
      <c r="A8509" s="346"/>
    </row>
    <row r="8510" spans="1:1">
      <c r="A8510" s="346"/>
    </row>
    <row r="8511" spans="1:1">
      <c r="A8511" s="346"/>
    </row>
    <row r="8512" spans="1:1">
      <c r="A8512" s="346"/>
    </row>
    <row r="8513" spans="1:1">
      <c r="A8513" s="346"/>
    </row>
    <row r="8514" spans="1:1">
      <c r="A8514" s="346"/>
    </row>
    <row r="8515" spans="1:1">
      <c r="A8515" s="346"/>
    </row>
    <row r="8516" spans="1:1">
      <c r="A8516" s="346"/>
    </row>
    <row r="8517" spans="1:1">
      <c r="A8517" s="346"/>
    </row>
    <row r="8518" spans="1:1">
      <c r="A8518" s="346"/>
    </row>
    <row r="8519" spans="1:1">
      <c r="A8519" s="346"/>
    </row>
    <row r="8520" spans="1:1">
      <c r="A8520" s="346"/>
    </row>
    <row r="8521" spans="1:1">
      <c r="A8521" s="346"/>
    </row>
    <row r="8522" spans="1:1">
      <c r="A8522" s="346"/>
    </row>
    <row r="8523" spans="1:1">
      <c r="A8523" s="346"/>
    </row>
    <row r="8524" spans="1:1">
      <c r="A8524" s="346"/>
    </row>
    <row r="8525" spans="1:1">
      <c r="A8525" s="346"/>
    </row>
    <row r="8526" spans="1:1">
      <c r="A8526" s="346"/>
    </row>
    <row r="8527" spans="1:1">
      <c r="A8527" s="346"/>
    </row>
    <row r="8528" spans="1:1">
      <c r="A8528" s="346"/>
    </row>
    <row r="8529" spans="1:1">
      <c r="A8529" s="346"/>
    </row>
    <row r="8530" spans="1:1">
      <c r="A8530" s="346"/>
    </row>
    <row r="8531" spans="1:1">
      <c r="A8531" s="346"/>
    </row>
    <row r="8532" spans="1:1">
      <c r="A8532" s="346"/>
    </row>
    <row r="8533" spans="1:1">
      <c r="A8533" s="346"/>
    </row>
    <row r="8534" spans="1:1">
      <c r="A8534" s="346"/>
    </row>
    <row r="8535" spans="1:1">
      <c r="A8535" s="346"/>
    </row>
    <row r="8536" spans="1:1">
      <c r="A8536" s="346"/>
    </row>
    <row r="8537" spans="1:1">
      <c r="A8537" s="346"/>
    </row>
    <row r="8538" spans="1:1">
      <c r="A8538" s="346"/>
    </row>
    <row r="8539" spans="1:1">
      <c r="A8539" s="346"/>
    </row>
    <row r="8540" spans="1:1">
      <c r="A8540" s="346"/>
    </row>
    <row r="8541" spans="1:1">
      <c r="A8541" s="346"/>
    </row>
    <row r="8542" spans="1:1">
      <c r="A8542" s="346"/>
    </row>
    <row r="8543" spans="1:1">
      <c r="A8543" s="346"/>
    </row>
    <row r="8544" spans="1:1">
      <c r="A8544" s="346"/>
    </row>
    <row r="8545" spans="1:1">
      <c r="A8545" s="346"/>
    </row>
    <row r="8546" spans="1:1">
      <c r="A8546" s="346"/>
    </row>
    <row r="8547" spans="1:1">
      <c r="A8547" s="346"/>
    </row>
    <row r="8548" spans="1:1">
      <c r="A8548" s="346"/>
    </row>
    <row r="8549" spans="1:1">
      <c r="A8549" s="346"/>
    </row>
    <row r="8550" spans="1:1">
      <c r="A8550" s="346"/>
    </row>
    <row r="8551" spans="1:1">
      <c r="A8551" s="346"/>
    </row>
    <row r="8552" spans="1:1">
      <c r="A8552" s="346"/>
    </row>
    <row r="8553" spans="1:1">
      <c r="A8553" s="346"/>
    </row>
    <row r="8554" spans="1:1">
      <c r="A8554" s="346"/>
    </row>
    <row r="8555" spans="1:1">
      <c r="A8555" s="346"/>
    </row>
    <row r="8556" spans="1:1">
      <c r="A8556" s="346"/>
    </row>
    <row r="8557" spans="1:1">
      <c r="A8557" s="346"/>
    </row>
    <row r="8558" spans="1:1">
      <c r="A8558" s="346"/>
    </row>
    <row r="8559" spans="1:1">
      <c r="A8559" s="346"/>
    </row>
    <row r="8560" spans="1:1">
      <c r="A8560" s="346"/>
    </row>
    <row r="8561" spans="1:1">
      <c r="A8561" s="346"/>
    </row>
    <row r="8562" spans="1:1">
      <c r="A8562" s="346"/>
    </row>
    <row r="8563" spans="1:1">
      <c r="A8563" s="346"/>
    </row>
    <row r="8564" spans="1:1">
      <c r="A8564" s="346"/>
    </row>
    <row r="8565" spans="1:1">
      <c r="A8565" s="346"/>
    </row>
    <row r="8566" spans="1:1">
      <c r="A8566" s="346"/>
    </row>
    <row r="8567" spans="1:1">
      <c r="A8567" s="346"/>
    </row>
    <row r="8568" spans="1:1">
      <c r="A8568" s="346"/>
    </row>
    <row r="8569" spans="1:1">
      <c r="A8569" s="346"/>
    </row>
    <row r="8570" spans="1:1">
      <c r="A8570" s="346"/>
    </row>
    <row r="8571" spans="1:1">
      <c r="A8571" s="346"/>
    </row>
    <row r="8572" spans="1:1">
      <c r="A8572" s="346"/>
    </row>
    <row r="8573" spans="1:1">
      <c r="A8573" s="346"/>
    </row>
    <row r="8574" spans="1:1">
      <c r="A8574" s="346"/>
    </row>
    <row r="8575" spans="1:1">
      <c r="A8575" s="346"/>
    </row>
    <row r="8576" spans="1:1">
      <c r="A8576" s="346"/>
    </row>
    <row r="8577" spans="1:1">
      <c r="A8577" s="346"/>
    </row>
    <row r="8578" spans="1:1">
      <c r="A8578" s="346"/>
    </row>
    <row r="8579" spans="1:1">
      <c r="A8579" s="346"/>
    </row>
    <row r="8580" spans="1:1">
      <c r="A8580" s="346"/>
    </row>
    <row r="8581" spans="1:1">
      <c r="A8581" s="346"/>
    </row>
    <row r="8582" spans="1:1">
      <c r="A8582" s="346"/>
    </row>
    <row r="8583" spans="1:1">
      <c r="A8583" s="346"/>
    </row>
    <row r="8584" spans="1:1">
      <c r="A8584" s="346"/>
    </row>
    <row r="8585" spans="1:1">
      <c r="A8585" s="346"/>
    </row>
    <row r="8586" spans="1:1">
      <c r="A8586" s="346"/>
    </row>
    <row r="8587" spans="1:1">
      <c r="A8587" s="346"/>
    </row>
    <row r="8588" spans="1:1">
      <c r="A8588" s="346"/>
    </row>
    <row r="8589" spans="1:1">
      <c r="A8589" s="346"/>
    </row>
    <row r="8590" spans="1:1">
      <c r="A8590" s="346"/>
    </row>
    <row r="8591" spans="1:1">
      <c r="A8591" s="346"/>
    </row>
    <row r="8592" spans="1:1">
      <c r="A8592" s="346"/>
    </row>
    <row r="8593" spans="1:1">
      <c r="A8593" s="346"/>
    </row>
    <row r="8594" spans="1:1">
      <c r="A8594" s="346"/>
    </row>
    <row r="8595" spans="1:1">
      <c r="A8595" s="346"/>
    </row>
    <row r="8596" spans="1:1">
      <c r="A8596" s="346"/>
    </row>
    <row r="8597" spans="1:1">
      <c r="A8597" s="346"/>
    </row>
    <row r="8598" spans="1:1">
      <c r="A8598" s="346"/>
    </row>
    <row r="8599" spans="1:1">
      <c r="A8599" s="346"/>
    </row>
    <row r="8600" spans="1:1">
      <c r="A8600" s="346"/>
    </row>
    <row r="8601" spans="1:1">
      <c r="A8601" s="346"/>
    </row>
    <row r="8602" spans="1:1">
      <c r="A8602" s="346"/>
    </row>
    <row r="8603" spans="1:1">
      <c r="A8603" s="346"/>
    </row>
    <row r="8604" spans="1:1">
      <c r="A8604" s="346"/>
    </row>
    <row r="8605" spans="1:1">
      <c r="A8605" s="346"/>
    </row>
    <row r="8606" spans="1:1">
      <c r="A8606" s="346"/>
    </row>
    <row r="8607" spans="1:1">
      <c r="A8607" s="346"/>
    </row>
    <row r="8608" spans="1:1">
      <c r="A8608" s="346"/>
    </row>
    <row r="8609" spans="1:1">
      <c r="A8609" s="346"/>
    </row>
    <row r="8610" spans="1:1">
      <c r="A8610" s="346"/>
    </row>
    <row r="8611" spans="1:1">
      <c r="A8611" s="346"/>
    </row>
    <row r="8612" spans="1:1">
      <c r="A8612" s="346"/>
    </row>
    <row r="8613" spans="1:1">
      <c r="A8613" s="346"/>
    </row>
    <row r="8614" spans="1:1">
      <c r="A8614" s="346"/>
    </row>
    <row r="8615" spans="1:1">
      <c r="A8615" s="346"/>
    </row>
    <row r="8616" spans="1:1">
      <c r="A8616" s="346"/>
    </row>
    <row r="8617" spans="1:1">
      <c r="A8617" s="346"/>
    </row>
    <row r="8618" spans="1:1">
      <c r="A8618" s="346"/>
    </row>
    <row r="8619" spans="1:1">
      <c r="A8619" s="346"/>
    </row>
    <row r="8620" spans="1:1">
      <c r="A8620" s="346"/>
    </row>
    <row r="8621" spans="1:1">
      <c r="A8621" s="346"/>
    </row>
    <row r="8622" spans="1:1">
      <c r="A8622" s="346"/>
    </row>
    <row r="8623" spans="1:1">
      <c r="A8623" s="346"/>
    </row>
    <row r="8624" spans="1:1">
      <c r="A8624" s="346"/>
    </row>
    <row r="8625" spans="1:1">
      <c r="A8625" s="346"/>
    </row>
    <row r="8626" spans="1:1">
      <c r="A8626" s="346"/>
    </row>
    <row r="8627" spans="1:1">
      <c r="A8627" s="346"/>
    </row>
    <row r="8628" spans="1:1">
      <c r="A8628" s="346"/>
    </row>
    <row r="8629" spans="1:1">
      <c r="A8629" s="346"/>
    </row>
    <row r="8630" spans="1:1">
      <c r="A8630" s="346"/>
    </row>
    <row r="8631" spans="1:1">
      <c r="A8631" s="346"/>
    </row>
    <row r="8632" spans="1:1">
      <c r="A8632" s="346"/>
    </row>
    <row r="8633" spans="1:1">
      <c r="A8633" s="346"/>
    </row>
    <row r="8634" spans="1:1">
      <c r="A8634" s="346"/>
    </row>
    <row r="8635" spans="1:1">
      <c r="A8635" s="346"/>
    </row>
    <row r="8636" spans="1:1">
      <c r="A8636" s="346"/>
    </row>
    <row r="8637" spans="1:1">
      <c r="A8637" s="346"/>
    </row>
    <row r="8638" spans="1:1">
      <c r="A8638" s="346"/>
    </row>
    <row r="8639" spans="1:1">
      <c r="A8639" s="346"/>
    </row>
    <row r="8640" spans="1:1">
      <c r="A8640" s="346"/>
    </row>
    <row r="8641" spans="1:1">
      <c r="A8641" s="346"/>
    </row>
    <row r="8642" spans="1:1">
      <c r="A8642" s="346"/>
    </row>
    <row r="8643" spans="1:1">
      <c r="A8643" s="346"/>
    </row>
    <row r="8644" spans="1:1">
      <c r="A8644" s="346"/>
    </row>
    <row r="8645" spans="1:1">
      <c r="A8645" s="346"/>
    </row>
    <row r="8646" spans="1:1">
      <c r="A8646" s="346"/>
    </row>
    <row r="8647" spans="1:1">
      <c r="A8647" s="346"/>
    </row>
    <row r="8648" spans="1:1">
      <c r="A8648" s="346"/>
    </row>
    <row r="8649" spans="1:1">
      <c r="A8649" s="346"/>
    </row>
    <row r="8650" spans="1:1">
      <c r="A8650" s="346"/>
    </row>
    <row r="8651" spans="1:1">
      <c r="A8651" s="346"/>
    </row>
    <row r="8652" spans="1:1">
      <c r="A8652" s="346"/>
    </row>
    <row r="8653" spans="1:1">
      <c r="A8653" s="346"/>
    </row>
    <row r="8654" spans="1:1">
      <c r="A8654" s="346"/>
    </row>
    <row r="8655" spans="1:1">
      <c r="A8655" s="346"/>
    </row>
    <row r="8656" spans="1:1">
      <c r="A8656" s="346"/>
    </row>
    <row r="8657" spans="1:1">
      <c r="A8657" s="346"/>
    </row>
    <row r="8658" spans="1:1">
      <c r="A8658" s="346"/>
    </row>
    <row r="8659" spans="1:1">
      <c r="A8659" s="346"/>
    </row>
    <row r="8660" spans="1:1">
      <c r="A8660" s="346"/>
    </row>
    <row r="8661" spans="1:1">
      <c r="A8661" s="346"/>
    </row>
    <row r="8662" spans="1:1">
      <c r="A8662" s="346"/>
    </row>
    <row r="8663" spans="1:1">
      <c r="A8663" s="346"/>
    </row>
    <row r="8664" spans="1:1">
      <c r="A8664" s="346"/>
    </row>
    <row r="8665" spans="1:1">
      <c r="A8665" s="346"/>
    </row>
    <row r="8666" spans="1:1">
      <c r="A8666" s="346"/>
    </row>
    <row r="8667" spans="1:1">
      <c r="A8667" s="346"/>
    </row>
    <row r="8668" spans="1:1">
      <c r="A8668" s="346"/>
    </row>
    <row r="8669" spans="1:1">
      <c r="A8669" s="346"/>
    </row>
    <row r="8670" spans="1:1">
      <c r="A8670" s="346"/>
    </row>
    <row r="8671" spans="1:1">
      <c r="A8671" s="346"/>
    </row>
    <row r="8672" spans="1:1">
      <c r="A8672" s="346"/>
    </row>
    <row r="8673" spans="1:1">
      <c r="A8673" s="346"/>
    </row>
    <row r="8674" spans="1:1">
      <c r="A8674" s="346"/>
    </row>
    <row r="8675" spans="1:1">
      <c r="A8675" s="346"/>
    </row>
    <row r="8676" spans="1:1">
      <c r="A8676" s="346"/>
    </row>
    <row r="8677" spans="1:1">
      <c r="A8677" s="346"/>
    </row>
    <row r="8678" spans="1:1">
      <c r="A8678" s="346"/>
    </row>
    <row r="8679" spans="1:1">
      <c r="A8679" s="346"/>
    </row>
    <row r="8680" spans="1:1">
      <c r="A8680" s="346"/>
    </row>
    <row r="8681" spans="1:1">
      <c r="A8681" s="346"/>
    </row>
    <row r="8682" spans="1:1">
      <c r="A8682" s="346"/>
    </row>
    <row r="8683" spans="1:1">
      <c r="A8683" s="346"/>
    </row>
    <row r="8684" spans="1:1">
      <c r="A8684" s="346"/>
    </row>
    <row r="8685" spans="1:1">
      <c r="A8685" s="346"/>
    </row>
    <row r="8686" spans="1:1">
      <c r="A8686" s="346"/>
    </row>
    <row r="8687" spans="1:1">
      <c r="A8687" s="346"/>
    </row>
    <row r="8688" spans="1:1">
      <c r="A8688" s="346"/>
    </row>
    <row r="8689" spans="1:1">
      <c r="A8689" s="346"/>
    </row>
    <row r="8690" spans="1:1">
      <c r="A8690" s="346"/>
    </row>
    <row r="8691" spans="1:1">
      <c r="A8691" s="346"/>
    </row>
    <row r="8692" spans="1:1">
      <c r="A8692" s="346"/>
    </row>
    <row r="8693" spans="1:1">
      <c r="A8693" s="346"/>
    </row>
    <row r="8694" spans="1:1">
      <c r="A8694" s="346"/>
    </row>
    <row r="8695" spans="1:1">
      <c r="A8695" s="346"/>
    </row>
    <row r="8696" spans="1:1">
      <c r="A8696" s="346"/>
    </row>
    <row r="8697" spans="1:1">
      <c r="A8697" s="346"/>
    </row>
    <row r="8698" spans="1:1">
      <c r="A8698" s="346"/>
    </row>
    <row r="8699" spans="1:1">
      <c r="A8699" s="346"/>
    </row>
    <row r="8700" spans="1:1">
      <c r="A8700" s="346"/>
    </row>
    <row r="8701" spans="1:1">
      <c r="A8701" s="346"/>
    </row>
    <row r="8702" spans="1:1">
      <c r="A8702" s="346"/>
    </row>
    <row r="8703" spans="1:1">
      <c r="A8703" s="346"/>
    </row>
    <row r="8704" spans="1:1">
      <c r="A8704" s="346"/>
    </row>
    <row r="8705" spans="1:1">
      <c r="A8705" s="346"/>
    </row>
    <row r="8706" spans="1:1">
      <c r="A8706" s="346"/>
    </row>
    <row r="8707" spans="1:1">
      <c r="A8707" s="346"/>
    </row>
    <row r="8708" spans="1:1">
      <c r="A8708" s="346"/>
    </row>
    <row r="8709" spans="1:1">
      <c r="A8709" s="346"/>
    </row>
    <row r="8710" spans="1:1">
      <c r="A8710" s="346"/>
    </row>
    <row r="8711" spans="1:1">
      <c r="A8711" s="346"/>
    </row>
    <row r="8712" spans="1:1">
      <c r="A8712" s="346"/>
    </row>
    <row r="8713" spans="1:1">
      <c r="A8713" s="346"/>
    </row>
    <row r="8714" spans="1:1">
      <c r="A8714" s="346"/>
    </row>
    <row r="8715" spans="1:1">
      <c r="A8715" s="346"/>
    </row>
    <row r="8716" spans="1:1">
      <c r="A8716" s="346"/>
    </row>
    <row r="8717" spans="1:1">
      <c r="A8717" s="346"/>
    </row>
    <row r="8718" spans="1:1">
      <c r="A8718" s="346"/>
    </row>
    <row r="8719" spans="1:1">
      <c r="A8719" s="346"/>
    </row>
    <row r="8720" spans="1:1">
      <c r="A8720" s="346"/>
    </row>
    <row r="8721" spans="1:1">
      <c r="A8721" s="346"/>
    </row>
    <row r="8722" spans="1:1">
      <c r="A8722" s="346"/>
    </row>
    <row r="8723" spans="1:1">
      <c r="A8723" s="346"/>
    </row>
    <row r="8724" spans="1:1">
      <c r="A8724" s="346"/>
    </row>
    <row r="8725" spans="1:1">
      <c r="A8725" s="346"/>
    </row>
    <row r="8726" spans="1:1">
      <c r="A8726" s="346"/>
    </row>
    <row r="8727" spans="1:1">
      <c r="A8727" s="346"/>
    </row>
    <row r="8728" spans="1:1">
      <c r="A8728" s="346"/>
    </row>
    <row r="8729" spans="1:1">
      <c r="A8729" s="346"/>
    </row>
    <row r="8730" spans="1:1">
      <c r="A8730" s="346"/>
    </row>
    <row r="8731" spans="1:1">
      <c r="A8731" s="346"/>
    </row>
    <row r="8732" spans="1:1">
      <c r="A8732" s="346"/>
    </row>
    <row r="8733" spans="1:1">
      <c r="A8733" s="346"/>
    </row>
    <row r="8734" spans="1:1">
      <c r="A8734" s="346"/>
    </row>
    <row r="8735" spans="1:1">
      <c r="A8735" s="346"/>
    </row>
    <row r="8736" spans="1:1">
      <c r="A8736" s="346"/>
    </row>
    <row r="8737" spans="1:1">
      <c r="A8737" s="346"/>
    </row>
    <row r="8738" spans="1:1">
      <c r="A8738" s="346"/>
    </row>
    <row r="8739" spans="1:1">
      <c r="A8739" s="346"/>
    </row>
    <row r="8740" spans="1:1">
      <c r="A8740" s="346"/>
    </row>
    <row r="8741" spans="1:1">
      <c r="A8741" s="346"/>
    </row>
    <row r="8742" spans="1:1">
      <c r="A8742" s="346"/>
    </row>
    <row r="8743" spans="1:1">
      <c r="A8743" s="346"/>
    </row>
    <row r="8744" spans="1:1">
      <c r="A8744" s="346"/>
    </row>
    <row r="8745" spans="1:1">
      <c r="A8745" s="346"/>
    </row>
    <row r="8746" spans="1:1">
      <c r="A8746" s="346"/>
    </row>
    <row r="8747" spans="1:1">
      <c r="A8747" s="346"/>
    </row>
    <row r="8748" spans="1:1">
      <c r="A8748" s="346"/>
    </row>
    <row r="8749" spans="1:1">
      <c r="A8749" s="346"/>
    </row>
    <row r="8750" spans="1:1">
      <c r="A8750" s="346"/>
    </row>
    <row r="8751" spans="1:1">
      <c r="A8751" s="346"/>
    </row>
    <row r="8752" spans="1:1">
      <c r="A8752" s="346"/>
    </row>
    <row r="8753" spans="1:1">
      <c r="A8753" s="346"/>
    </row>
    <row r="8754" spans="1:1">
      <c r="A8754" s="346"/>
    </row>
    <row r="8755" spans="1:1">
      <c r="A8755" s="346"/>
    </row>
    <row r="8756" spans="1:1">
      <c r="A8756" s="346"/>
    </row>
    <row r="8757" spans="1:1">
      <c r="A8757" s="346"/>
    </row>
    <row r="8758" spans="1:1">
      <c r="A8758" s="346"/>
    </row>
    <row r="8759" spans="1:1">
      <c r="A8759" s="346"/>
    </row>
    <row r="8760" spans="1:1">
      <c r="A8760" s="346"/>
    </row>
    <row r="8761" spans="1:1">
      <c r="A8761" s="346"/>
    </row>
    <row r="8762" spans="1:1">
      <c r="A8762" s="346"/>
    </row>
    <row r="8763" spans="1:1">
      <c r="A8763" s="346"/>
    </row>
    <row r="8764" spans="1:1">
      <c r="A8764" s="346"/>
    </row>
    <row r="8765" spans="1:1">
      <c r="A8765" s="346"/>
    </row>
    <row r="8766" spans="1:1">
      <c r="A8766" s="346"/>
    </row>
    <row r="8767" spans="1:1">
      <c r="A8767" s="346"/>
    </row>
    <row r="8768" spans="1:1">
      <c r="A8768" s="346"/>
    </row>
    <row r="8769" spans="1:1">
      <c r="A8769" s="346"/>
    </row>
    <row r="8770" spans="1:1">
      <c r="A8770" s="346"/>
    </row>
    <row r="8771" spans="1:1">
      <c r="A8771" s="346"/>
    </row>
    <row r="8772" spans="1:1">
      <c r="A8772" s="346"/>
    </row>
    <row r="8773" spans="1:1">
      <c r="A8773" s="346"/>
    </row>
    <row r="8774" spans="1:1">
      <c r="A8774" s="346"/>
    </row>
    <row r="8775" spans="1:1">
      <c r="A8775" s="346"/>
    </row>
    <row r="8776" spans="1:1">
      <c r="A8776" s="346"/>
    </row>
    <row r="8777" spans="1:1">
      <c r="A8777" s="346"/>
    </row>
    <row r="8778" spans="1:1">
      <c r="A8778" s="346"/>
    </row>
    <row r="8779" spans="1:1">
      <c r="A8779" s="346"/>
    </row>
    <row r="8780" spans="1:1">
      <c r="A8780" s="346"/>
    </row>
    <row r="8781" spans="1:1">
      <c r="A8781" s="346"/>
    </row>
    <row r="8782" spans="1:1">
      <c r="A8782" s="346"/>
    </row>
    <row r="8783" spans="1:1">
      <c r="A8783" s="346"/>
    </row>
    <row r="8784" spans="1:1">
      <c r="A8784" s="346"/>
    </row>
    <row r="8785" spans="1:1">
      <c r="A8785" s="346"/>
    </row>
    <row r="8786" spans="1:1">
      <c r="A8786" s="346"/>
    </row>
    <row r="8787" spans="1:1">
      <c r="A8787" s="346"/>
    </row>
    <row r="8788" spans="1:1">
      <c r="A8788" s="346"/>
    </row>
    <row r="8789" spans="1:1">
      <c r="A8789" s="346"/>
    </row>
    <row r="8790" spans="1:1">
      <c r="A8790" s="346"/>
    </row>
    <row r="8791" spans="1:1">
      <c r="A8791" s="346"/>
    </row>
    <row r="8792" spans="1:1">
      <c r="A8792" s="346"/>
    </row>
    <row r="8793" spans="1:1">
      <c r="A8793" s="346"/>
    </row>
    <row r="8794" spans="1:1">
      <c r="A8794" s="346"/>
    </row>
    <row r="8795" spans="1:1">
      <c r="A8795" s="346"/>
    </row>
    <row r="8796" spans="1:1">
      <c r="A8796" s="346"/>
    </row>
    <row r="8797" spans="1:1">
      <c r="A8797" s="346"/>
    </row>
    <row r="8798" spans="1:1">
      <c r="A8798" s="346"/>
    </row>
    <row r="8799" spans="1:1">
      <c r="A8799" s="346"/>
    </row>
    <row r="8800" spans="1:1">
      <c r="A8800" s="346"/>
    </row>
    <row r="8801" spans="1:1">
      <c r="A8801" s="346"/>
    </row>
    <row r="8802" spans="1:1">
      <c r="A8802" s="346"/>
    </row>
    <row r="8803" spans="1:1">
      <c r="A8803" s="346"/>
    </row>
    <row r="8804" spans="1:1">
      <c r="A8804" s="346"/>
    </row>
    <row r="8805" spans="1:1">
      <c r="A8805" s="346"/>
    </row>
    <row r="8806" spans="1:1">
      <c r="A8806" s="346"/>
    </row>
    <row r="8807" spans="1:1">
      <c r="A8807" s="346"/>
    </row>
    <row r="8808" spans="1:1">
      <c r="A8808" s="346"/>
    </row>
    <row r="8809" spans="1:1">
      <c r="A8809" s="346"/>
    </row>
    <row r="8810" spans="1:1">
      <c r="A8810" s="346"/>
    </row>
    <row r="8811" spans="1:1">
      <c r="A8811" s="346"/>
    </row>
    <row r="8812" spans="1:1">
      <c r="A8812" s="346"/>
    </row>
    <row r="8813" spans="1:1">
      <c r="A8813" s="346"/>
    </row>
    <row r="8814" spans="1:1">
      <c r="A8814" s="346"/>
    </row>
    <row r="8815" spans="1:1">
      <c r="A8815" s="346"/>
    </row>
    <row r="8816" spans="1:1">
      <c r="A8816" s="346"/>
    </row>
    <row r="8817" spans="1:1">
      <c r="A8817" s="346"/>
    </row>
    <row r="8818" spans="1:1">
      <c r="A8818" s="346"/>
    </row>
    <row r="8819" spans="1:1">
      <c r="A8819" s="346"/>
    </row>
    <row r="8820" spans="1:1">
      <c r="A8820" s="346"/>
    </row>
    <row r="8821" spans="1:1">
      <c r="A8821" s="346"/>
    </row>
    <row r="8822" spans="1:1">
      <c r="A8822" s="346"/>
    </row>
    <row r="8823" spans="1:1">
      <c r="A8823" s="346"/>
    </row>
    <row r="8824" spans="1:1">
      <c r="A8824" s="346"/>
    </row>
    <row r="8825" spans="1:1">
      <c r="A8825" s="346"/>
    </row>
    <row r="8826" spans="1:1">
      <c r="A8826" s="346"/>
    </row>
    <row r="8827" spans="1:1">
      <c r="A8827" s="346"/>
    </row>
    <row r="8828" spans="1:1">
      <c r="A8828" s="346"/>
    </row>
    <row r="8829" spans="1:1">
      <c r="A8829" s="346"/>
    </row>
    <row r="8830" spans="1:1">
      <c r="A8830" s="346"/>
    </row>
    <row r="8831" spans="1:1">
      <c r="A8831" s="346"/>
    </row>
    <row r="8832" spans="1:1">
      <c r="A8832" s="346"/>
    </row>
    <row r="8833" spans="1:1">
      <c r="A8833" s="346"/>
    </row>
    <row r="8834" spans="1:1">
      <c r="A8834" s="346"/>
    </row>
    <row r="8835" spans="1:1">
      <c r="A8835" s="346"/>
    </row>
    <row r="8836" spans="1:1">
      <c r="A8836" s="346"/>
    </row>
    <row r="8837" spans="1:1">
      <c r="A8837" s="346"/>
    </row>
    <row r="8838" spans="1:1">
      <c r="A8838" s="346"/>
    </row>
    <row r="8839" spans="1:1">
      <c r="A8839" s="346"/>
    </row>
    <row r="8840" spans="1:1">
      <c r="A8840" s="346"/>
    </row>
    <row r="8841" spans="1:1">
      <c r="A8841" s="346"/>
    </row>
    <row r="8842" spans="1:1">
      <c r="A8842" s="346"/>
    </row>
    <row r="8843" spans="1:1">
      <c r="A8843" s="346"/>
    </row>
    <row r="8844" spans="1:1">
      <c r="A8844" s="346"/>
    </row>
    <row r="8845" spans="1:1">
      <c r="A8845" s="346"/>
    </row>
    <row r="8846" spans="1:1">
      <c r="A8846" s="346"/>
    </row>
    <row r="8847" spans="1:1">
      <c r="A8847" s="346"/>
    </row>
    <row r="8848" spans="1:1">
      <c r="A8848" s="346"/>
    </row>
    <row r="8849" spans="1:1">
      <c r="A8849" s="346"/>
    </row>
    <row r="8850" spans="1:1">
      <c r="A8850" s="346"/>
    </row>
    <row r="8851" spans="1:1">
      <c r="A8851" s="346"/>
    </row>
    <row r="8852" spans="1:1">
      <c r="A8852" s="346"/>
    </row>
    <row r="8853" spans="1:1">
      <c r="A8853" s="346"/>
    </row>
    <row r="8854" spans="1:1">
      <c r="A8854" s="346"/>
    </row>
    <row r="8855" spans="1:1">
      <c r="A8855" s="346"/>
    </row>
    <row r="8856" spans="1:1">
      <c r="A8856" s="346"/>
    </row>
    <row r="8857" spans="1:1">
      <c r="A8857" s="346"/>
    </row>
    <row r="8858" spans="1:1">
      <c r="A8858" s="346"/>
    </row>
    <row r="8859" spans="1:1">
      <c r="A8859" s="346"/>
    </row>
    <row r="8860" spans="1:1">
      <c r="A8860" s="346"/>
    </row>
    <row r="8861" spans="1:1">
      <c r="A8861" s="346"/>
    </row>
    <row r="8862" spans="1:1">
      <c r="A8862" s="346"/>
    </row>
    <row r="8863" spans="1:1">
      <c r="A8863" s="346"/>
    </row>
    <row r="8864" spans="1:1">
      <c r="A8864" s="346"/>
    </row>
    <row r="8865" spans="1:1">
      <c r="A8865" s="346"/>
    </row>
    <row r="8866" spans="1:1">
      <c r="A8866" s="346"/>
    </row>
    <row r="8867" spans="1:1">
      <c r="A8867" s="346"/>
    </row>
    <row r="8868" spans="1:1">
      <c r="A8868" s="346"/>
    </row>
    <row r="8869" spans="1:1">
      <c r="A8869" s="346"/>
    </row>
    <row r="8870" spans="1:1">
      <c r="A8870" s="346"/>
    </row>
    <row r="8871" spans="1:1">
      <c r="A8871" s="346"/>
    </row>
    <row r="8872" spans="1:1">
      <c r="A8872" s="346"/>
    </row>
    <row r="8873" spans="1:1">
      <c r="A8873" s="346"/>
    </row>
    <row r="8874" spans="1:1">
      <c r="A8874" s="346"/>
    </row>
    <row r="8875" spans="1:1">
      <c r="A8875" s="346"/>
    </row>
    <row r="8876" spans="1:1">
      <c r="A8876" s="346"/>
    </row>
    <row r="8877" spans="1:1">
      <c r="A8877" s="346"/>
    </row>
    <row r="8878" spans="1:1">
      <c r="A8878" s="346"/>
    </row>
    <row r="8879" spans="1:1">
      <c r="A8879" s="346"/>
    </row>
    <row r="8880" spans="1:1">
      <c r="A8880" s="346"/>
    </row>
    <row r="8881" spans="1:1">
      <c r="A8881" s="346"/>
    </row>
    <row r="8882" spans="1:1">
      <c r="A8882" s="346"/>
    </row>
    <row r="8883" spans="1:1">
      <c r="A8883" s="346"/>
    </row>
    <row r="8884" spans="1:1">
      <c r="A8884" s="346"/>
    </row>
    <row r="8885" spans="1:1">
      <c r="A8885" s="346"/>
    </row>
    <row r="8886" spans="1:1">
      <c r="A8886" s="346"/>
    </row>
    <row r="8887" spans="1:1">
      <c r="A8887" s="346"/>
    </row>
    <row r="8888" spans="1:1">
      <c r="A8888" s="346"/>
    </row>
    <row r="8889" spans="1:1">
      <c r="A8889" s="346"/>
    </row>
    <row r="8890" spans="1:1">
      <c r="A8890" s="346"/>
    </row>
    <row r="8891" spans="1:1">
      <c r="A8891" s="346"/>
    </row>
    <row r="8892" spans="1:1">
      <c r="A8892" s="346"/>
    </row>
    <row r="8893" spans="1:1">
      <c r="A8893" s="346"/>
    </row>
    <row r="8894" spans="1:1">
      <c r="A8894" s="346"/>
    </row>
    <row r="8895" spans="1:1">
      <c r="A8895" s="346"/>
    </row>
    <row r="8896" spans="1:1">
      <c r="A8896" s="346"/>
    </row>
    <row r="8897" spans="1:1">
      <c r="A8897" s="346"/>
    </row>
    <row r="8898" spans="1:1">
      <c r="A8898" s="346"/>
    </row>
    <row r="8899" spans="1:1">
      <c r="A8899" s="346"/>
    </row>
    <row r="8900" spans="1:1">
      <c r="A8900" s="346"/>
    </row>
    <row r="8901" spans="1:1">
      <c r="A8901" s="346"/>
    </row>
    <row r="8902" spans="1:1">
      <c r="A8902" s="346"/>
    </row>
    <row r="8903" spans="1:1">
      <c r="A8903" s="346"/>
    </row>
    <row r="8904" spans="1:1">
      <c r="A8904" s="346"/>
    </row>
    <row r="8905" spans="1:1">
      <c r="A8905" s="346"/>
    </row>
    <row r="8906" spans="1:1">
      <c r="A8906" s="346"/>
    </row>
    <row r="8907" spans="1:1">
      <c r="A8907" s="346"/>
    </row>
    <row r="8908" spans="1:1">
      <c r="A8908" s="346"/>
    </row>
    <row r="8909" spans="1:1">
      <c r="A8909" s="346"/>
    </row>
    <row r="8910" spans="1:1">
      <c r="A8910" s="346"/>
    </row>
    <row r="8911" spans="1:1">
      <c r="A8911" s="346"/>
    </row>
    <row r="8912" spans="1:1">
      <c r="A8912" s="346"/>
    </row>
    <row r="8913" spans="1:1">
      <c r="A8913" s="346"/>
    </row>
    <row r="8914" spans="1:1">
      <c r="A8914" s="346"/>
    </row>
    <row r="8915" spans="1:1">
      <c r="A8915" s="346"/>
    </row>
    <row r="8916" spans="1:1">
      <c r="A8916" s="346"/>
    </row>
    <row r="8917" spans="1:1">
      <c r="A8917" s="346"/>
    </row>
    <row r="8918" spans="1:1">
      <c r="A8918" s="346"/>
    </row>
    <row r="8919" spans="1:1">
      <c r="A8919" s="346"/>
    </row>
    <row r="8920" spans="1:1">
      <c r="A8920" s="346"/>
    </row>
    <row r="8921" spans="1:1">
      <c r="A8921" s="346"/>
    </row>
    <row r="8922" spans="1:1">
      <c r="A8922" s="346"/>
    </row>
    <row r="8923" spans="1:1">
      <c r="A8923" s="346"/>
    </row>
    <row r="8924" spans="1:1">
      <c r="A8924" s="346"/>
    </row>
    <row r="8925" spans="1:1">
      <c r="A8925" s="346"/>
    </row>
    <row r="8926" spans="1:1">
      <c r="A8926" s="346"/>
    </row>
    <row r="8927" spans="1:1">
      <c r="A8927" s="346"/>
    </row>
    <row r="8928" spans="1:1">
      <c r="A8928" s="346"/>
    </row>
    <row r="8929" spans="1:1">
      <c r="A8929" s="346"/>
    </row>
    <row r="8930" spans="1:1">
      <c r="A8930" s="346"/>
    </row>
    <row r="8931" spans="1:1">
      <c r="A8931" s="346"/>
    </row>
    <row r="8932" spans="1:1">
      <c r="A8932" s="346"/>
    </row>
    <row r="8933" spans="1:1">
      <c r="A8933" s="346"/>
    </row>
    <row r="8934" spans="1:1">
      <c r="A8934" s="346"/>
    </row>
    <row r="8935" spans="1:1">
      <c r="A8935" s="346"/>
    </row>
    <row r="8936" spans="1:1">
      <c r="A8936" s="346"/>
    </row>
    <row r="8937" spans="1:1">
      <c r="A8937" s="346"/>
    </row>
    <row r="8938" spans="1:1">
      <c r="A8938" s="346"/>
    </row>
    <row r="8939" spans="1:1">
      <c r="A8939" s="346"/>
    </row>
    <row r="8940" spans="1:1">
      <c r="A8940" s="346"/>
    </row>
    <row r="8941" spans="1:1">
      <c r="A8941" s="346"/>
    </row>
    <row r="8942" spans="1:1">
      <c r="A8942" s="346"/>
    </row>
    <row r="8943" spans="1:1">
      <c r="A8943" s="346"/>
    </row>
    <row r="8944" spans="1:1">
      <c r="A8944" s="346"/>
    </row>
    <row r="8945" spans="1:1">
      <c r="A8945" s="346"/>
    </row>
    <row r="8946" spans="1:1">
      <c r="A8946" s="346"/>
    </row>
    <row r="8947" spans="1:1">
      <c r="A8947" s="346"/>
    </row>
    <row r="8948" spans="1:1">
      <c r="A8948" s="346"/>
    </row>
    <row r="8949" spans="1:1">
      <c r="A8949" s="346"/>
    </row>
    <row r="8950" spans="1:1">
      <c r="A8950" s="346"/>
    </row>
    <row r="8951" spans="1:1">
      <c r="A8951" s="346"/>
    </row>
    <row r="8952" spans="1:1">
      <c r="A8952" s="346"/>
    </row>
    <row r="8953" spans="1:1">
      <c r="A8953" s="346"/>
    </row>
    <row r="8954" spans="1:1">
      <c r="A8954" s="346"/>
    </row>
    <row r="8955" spans="1:1">
      <c r="A8955" s="346"/>
    </row>
    <row r="8956" spans="1:1">
      <c r="A8956" s="346"/>
    </row>
    <row r="8957" spans="1:1">
      <c r="A8957" s="346"/>
    </row>
    <row r="8958" spans="1:1">
      <c r="A8958" s="346"/>
    </row>
    <row r="8959" spans="1:1">
      <c r="A8959" s="346"/>
    </row>
    <row r="8960" spans="1:1">
      <c r="A8960" s="346"/>
    </row>
    <row r="8961" spans="1:1">
      <c r="A8961" s="346"/>
    </row>
    <row r="8962" spans="1:1">
      <c r="A8962" s="346"/>
    </row>
    <row r="8963" spans="1:1">
      <c r="A8963" s="346"/>
    </row>
    <row r="8964" spans="1:1">
      <c r="A8964" s="346"/>
    </row>
    <row r="8965" spans="1:1">
      <c r="A8965" s="346"/>
    </row>
    <row r="8966" spans="1:1">
      <c r="A8966" s="346"/>
    </row>
    <row r="8967" spans="1:1">
      <c r="A8967" s="346"/>
    </row>
    <row r="8968" spans="1:1">
      <c r="A8968" s="346"/>
    </row>
    <row r="8969" spans="1:1">
      <c r="A8969" s="346"/>
    </row>
    <row r="8970" spans="1:1">
      <c r="A8970" s="346"/>
    </row>
    <row r="8971" spans="1:1">
      <c r="A8971" s="346"/>
    </row>
    <row r="8972" spans="1:1">
      <c r="A8972" s="346"/>
    </row>
    <row r="8973" spans="1:1">
      <c r="A8973" s="346"/>
    </row>
    <row r="8974" spans="1:1">
      <c r="A8974" s="346"/>
    </row>
    <row r="8975" spans="1:1">
      <c r="A8975" s="346"/>
    </row>
    <row r="8976" spans="1:1">
      <c r="A8976" s="346"/>
    </row>
    <row r="8977" spans="1:1">
      <c r="A8977" s="346"/>
    </row>
    <row r="8978" spans="1:1">
      <c r="A8978" s="346"/>
    </row>
    <row r="8979" spans="1:1">
      <c r="A8979" s="346"/>
    </row>
    <row r="8980" spans="1:1">
      <c r="A8980" s="346"/>
    </row>
    <row r="8981" spans="1:1">
      <c r="A8981" s="346"/>
    </row>
    <row r="8982" spans="1:1">
      <c r="A8982" s="346"/>
    </row>
    <row r="8983" spans="1:1">
      <c r="A8983" s="346"/>
    </row>
    <row r="8984" spans="1:1">
      <c r="A8984" s="346"/>
    </row>
    <row r="8985" spans="1:1">
      <c r="A8985" s="346"/>
    </row>
    <row r="8986" spans="1:1">
      <c r="A8986" s="346"/>
    </row>
    <row r="8987" spans="1:1">
      <c r="A8987" s="346"/>
    </row>
    <row r="8988" spans="1:1">
      <c r="A8988" s="346"/>
    </row>
    <row r="8989" spans="1:1">
      <c r="A8989" s="346"/>
    </row>
    <row r="8990" spans="1:1">
      <c r="A8990" s="346"/>
    </row>
    <row r="8991" spans="1:1">
      <c r="A8991" s="346"/>
    </row>
    <row r="8992" spans="1:1">
      <c r="A8992" s="346"/>
    </row>
    <row r="8993" spans="1:1">
      <c r="A8993" s="346"/>
    </row>
    <row r="8994" spans="1:1">
      <c r="A8994" s="346"/>
    </row>
    <row r="8995" spans="1:1">
      <c r="A8995" s="346"/>
    </row>
    <row r="8996" spans="1:1">
      <c r="A8996" s="346"/>
    </row>
    <row r="8997" spans="1:1">
      <c r="A8997" s="346"/>
    </row>
    <row r="8998" spans="1:1">
      <c r="A8998" s="346"/>
    </row>
    <row r="8999" spans="1:1">
      <c r="A8999" s="346"/>
    </row>
    <row r="9000" spans="1:1">
      <c r="A9000" s="346"/>
    </row>
    <row r="9001" spans="1:1">
      <c r="A9001" s="346"/>
    </row>
    <row r="9002" spans="1:1">
      <c r="A9002" s="346"/>
    </row>
    <row r="9003" spans="1:1">
      <c r="A9003" s="346"/>
    </row>
    <row r="9004" spans="1:1">
      <c r="A9004" s="346"/>
    </row>
    <row r="9005" spans="1:1">
      <c r="A9005" s="346"/>
    </row>
    <row r="9006" spans="1:1">
      <c r="A9006" s="346"/>
    </row>
    <row r="9007" spans="1:1">
      <c r="A9007" s="346"/>
    </row>
    <row r="9008" spans="1:1">
      <c r="A9008" s="346"/>
    </row>
    <row r="9009" spans="1:1">
      <c r="A9009" s="346"/>
    </row>
    <row r="9010" spans="1:1">
      <c r="A9010" s="346"/>
    </row>
    <row r="9011" spans="1:1">
      <c r="A9011" s="346"/>
    </row>
    <row r="9012" spans="1:1">
      <c r="A9012" s="346"/>
    </row>
    <row r="9013" spans="1:1">
      <c r="A9013" s="346"/>
    </row>
    <row r="9014" spans="1:1">
      <c r="A9014" s="346"/>
    </row>
    <row r="9015" spans="1:1">
      <c r="A9015" s="346"/>
    </row>
    <row r="9016" spans="1:1">
      <c r="A9016" s="346"/>
    </row>
    <row r="9017" spans="1:1">
      <c r="A9017" s="346"/>
    </row>
    <row r="9018" spans="1:1">
      <c r="A9018" s="346"/>
    </row>
    <row r="9019" spans="1:1">
      <c r="A9019" s="346"/>
    </row>
    <row r="9020" spans="1:1">
      <c r="A9020" s="346"/>
    </row>
    <row r="9021" spans="1:1">
      <c r="A9021" s="346"/>
    </row>
    <row r="9022" spans="1:1">
      <c r="A9022" s="346"/>
    </row>
    <row r="9023" spans="1:1">
      <c r="A9023" s="346"/>
    </row>
    <row r="9024" spans="1:1">
      <c r="A9024" s="346"/>
    </row>
    <row r="9025" spans="1:1">
      <c r="A9025" s="346"/>
    </row>
    <row r="9026" spans="1:1">
      <c r="A9026" s="346"/>
    </row>
    <row r="9027" spans="1:1">
      <c r="A9027" s="346"/>
    </row>
    <row r="9028" spans="1:1">
      <c r="A9028" s="346"/>
    </row>
    <row r="9029" spans="1:1">
      <c r="A9029" s="346"/>
    </row>
    <row r="9030" spans="1:1">
      <c r="A9030" s="346"/>
    </row>
    <row r="9031" spans="1:1">
      <c r="A9031" s="346"/>
    </row>
    <row r="9032" spans="1:1">
      <c r="A9032" s="346"/>
    </row>
    <row r="9033" spans="1:1">
      <c r="A9033" s="346"/>
    </row>
    <row r="9034" spans="1:1">
      <c r="A9034" s="346"/>
    </row>
    <row r="9035" spans="1:1">
      <c r="A9035" s="346"/>
    </row>
    <row r="9036" spans="1:1">
      <c r="A9036" s="346"/>
    </row>
    <row r="9037" spans="1:1">
      <c r="A9037" s="346"/>
    </row>
    <row r="9038" spans="1:1">
      <c r="A9038" s="346"/>
    </row>
    <row r="9039" spans="1:1">
      <c r="A9039" s="346"/>
    </row>
    <row r="9040" spans="1:1">
      <c r="A9040" s="346"/>
    </row>
    <row r="9041" spans="1:1">
      <c r="A9041" s="346"/>
    </row>
    <row r="9042" spans="1:1">
      <c r="A9042" s="346"/>
    </row>
    <row r="9043" spans="1:1">
      <c r="A9043" s="346"/>
    </row>
    <row r="9044" spans="1:1">
      <c r="A9044" s="346"/>
    </row>
    <row r="9045" spans="1:1">
      <c r="A9045" s="346"/>
    </row>
    <row r="9046" spans="1:1">
      <c r="A9046" s="346"/>
    </row>
    <row r="9047" spans="1:1">
      <c r="A9047" s="346"/>
    </row>
    <row r="9048" spans="1:1">
      <c r="A9048" s="346"/>
    </row>
    <row r="9049" spans="1:1">
      <c r="A9049" s="346"/>
    </row>
    <row r="9050" spans="1:1">
      <c r="A9050" s="346"/>
    </row>
    <row r="9051" spans="1:1">
      <c r="A9051" s="346"/>
    </row>
    <row r="9052" spans="1:1">
      <c r="A9052" s="346"/>
    </row>
    <row r="9053" spans="1:1">
      <c r="A9053" s="346"/>
    </row>
    <row r="9054" spans="1:1">
      <c r="A9054" s="346"/>
    </row>
    <row r="9055" spans="1:1">
      <c r="A9055" s="346"/>
    </row>
    <row r="9056" spans="1:1">
      <c r="A9056" s="346"/>
    </row>
    <row r="9057" spans="1:1">
      <c r="A9057" s="346"/>
    </row>
    <row r="9058" spans="1:1">
      <c r="A9058" s="346"/>
    </row>
    <row r="9059" spans="1:1">
      <c r="A9059" s="346"/>
    </row>
    <row r="9060" spans="1:1">
      <c r="A9060" s="346"/>
    </row>
    <row r="9061" spans="1:1">
      <c r="A9061" s="346"/>
    </row>
    <row r="9062" spans="1:1">
      <c r="A9062" s="346"/>
    </row>
    <row r="9063" spans="1:1">
      <c r="A9063" s="346"/>
    </row>
    <row r="9064" spans="1:1">
      <c r="A9064" s="346"/>
    </row>
    <row r="9065" spans="1:1">
      <c r="A9065" s="346"/>
    </row>
    <row r="9066" spans="1:1">
      <c r="A9066" s="346"/>
    </row>
    <row r="9067" spans="1:1">
      <c r="A9067" s="346"/>
    </row>
    <row r="9068" spans="1:1">
      <c r="A9068" s="346"/>
    </row>
    <row r="9069" spans="1:1">
      <c r="A9069" s="346"/>
    </row>
    <row r="9070" spans="1:1">
      <c r="A9070" s="346"/>
    </row>
    <row r="9071" spans="1:1">
      <c r="A9071" s="346"/>
    </row>
    <row r="9072" spans="1:1">
      <c r="A9072" s="346"/>
    </row>
    <row r="9073" spans="1:1">
      <c r="A9073" s="346"/>
    </row>
    <row r="9074" spans="1:1">
      <c r="A9074" s="346"/>
    </row>
    <row r="9075" spans="1:1">
      <c r="A9075" s="346"/>
    </row>
    <row r="9076" spans="1:1">
      <c r="A9076" s="346"/>
    </row>
    <row r="9077" spans="1:1">
      <c r="A9077" s="346"/>
    </row>
    <row r="9078" spans="1:1">
      <c r="A9078" s="346"/>
    </row>
    <row r="9079" spans="1:1">
      <c r="A9079" s="346"/>
    </row>
    <row r="9080" spans="1:1">
      <c r="A9080" s="346"/>
    </row>
    <row r="9081" spans="1:1">
      <c r="A9081" s="346"/>
    </row>
    <row r="9082" spans="1:1">
      <c r="A9082" s="346"/>
    </row>
    <row r="9083" spans="1:1">
      <c r="A9083" s="346"/>
    </row>
    <row r="9084" spans="1:1">
      <c r="A9084" s="346"/>
    </row>
    <row r="9085" spans="1:1">
      <c r="A9085" s="346"/>
    </row>
    <row r="9086" spans="1:1">
      <c r="A9086" s="346"/>
    </row>
    <row r="9087" spans="1:1">
      <c r="A9087" s="346"/>
    </row>
    <row r="9088" spans="1:1">
      <c r="A9088" s="346"/>
    </row>
    <row r="9089" spans="1:1">
      <c r="A9089" s="346"/>
    </row>
    <row r="9090" spans="1:1">
      <c r="A9090" s="346"/>
    </row>
    <row r="9091" spans="1:1">
      <c r="A9091" s="346"/>
    </row>
    <row r="9092" spans="1:1">
      <c r="A9092" s="346"/>
    </row>
    <row r="9093" spans="1:1">
      <c r="A9093" s="346"/>
    </row>
    <row r="9094" spans="1:1">
      <c r="A9094" s="346"/>
    </row>
    <row r="9095" spans="1:1">
      <c r="A9095" s="346"/>
    </row>
    <row r="9096" spans="1:1">
      <c r="A9096" s="346"/>
    </row>
    <row r="9097" spans="1:1">
      <c r="A9097" s="346"/>
    </row>
    <row r="9098" spans="1:1">
      <c r="A9098" s="346"/>
    </row>
    <row r="9099" spans="1:1">
      <c r="A9099" s="346"/>
    </row>
    <row r="9100" spans="1:1">
      <c r="A9100" s="346"/>
    </row>
    <row r="9101" spans="1:1">
      <c r="A9101" s="346"/>
    </row>
    <row r="9102" spans="1:1">
      <c r="A9102" s="346"/>
    </row>
    <row r="9103" spans="1:1">
      <c r="A9103" s="346"/>
    </row>
    <row r="9104" spans="1:1">
      <c r="A9104" s="346"/>
    </row>
    <row r="9105" spans="1:1">
      <c r="A9105" s="346"/>
    </row>
    <row r="9106" spans="1:1">
      <c r="A9106" s="346"/>
    </row>
    <row r="9107" spans="1:1">
      <c r="A9107" s="346"/>
    </row>
    <row r="9108" spans="1:1">
      <c r="A9108" s="346"/>
    </row>
    <row r="9109" spans="1:1">
      <c r="A9109" s="346"/>
    </row>
    <row r="9110" spans="1:1">
      <c r="A9110" s="346"/>
    </row>
    <row r="9111" spans="1:1">
      <c r="A9111" s="346"/>
    </row>
    <row r="9112" spans="1:1">
      <c r="A9112" s="346"/>
    </row>
    <row r="9113" spans="1:1">
      <c r="A9113" s="346"/>
    </row>
    <row r="9114" spans="1:1">
      <c r="A9114" s="346"/>
    </row>
    <row r="9115" spans="1:1">
      <c r="A9115" s="346"/>
    </row>
    <row r="9116" spans="1:1">
      <c r="A9116" s="346"/>
    </row>
    <row r="9117" spans="1:1">
      <c r="A9117" s="346"/>
    </row>
    <row r="9118" spans="1:1">
      <c r="A9118" s="346"/>
    </row>
    <row r="9119" spans="1:1">
      <c r="A9119" s="346"/>
    </row>
    <row r="9120" spans="1:1">
      <c r="A9120" s="346"/>
    </row>
    <row r="9121" spans="1:1">
      <c r="A9121" s="346"/>
    </row>
    <row r="9122" spans="1:1">
      <c r="A9122" s="346"/>
    </row>
    <row r="9123" spans="1:1">
      <c r="A9123" s="346"/>
    </row>
    <row r="9124" spans="1:1">
      <c r="A9124" s="346"/>
    </row>
    <row r="9125" spans="1:1">
      <c r="A9125" s="346"/>
    </row>
    <row r="9126" spans="1:1">
      <c r="A9126" s="346"/>
    </row>
    <row r="9127" spans="1:1">
      <c r="A9127" s="346"/>
    </row>
    <row r="9128" spans="1:1">
      <c r="A9128" s="346"/>
    </row>
    <row r="9129" spans="1:1">
      <c r="A9129" s="346"/>
    </row>
    <row r="9130" spans="1:1">
      <c r="A9130" s="346"/>
    </row>
    <row r="9131" spans="1:1">
      <c r="A9131" s="346"/>
    </row>
    <row r="9132" spans="1:1">
      <c r="A9132" s="346"/>
    </row>
    <row r="9133" spans="1:1">
      <c r="A9133" s="346"/>
    </row>
    <row r="9134" spans="1:1">
      <c r="A9134" s="346"/>
    </row>
    <row r="9135" spans="1:1">
      <c r="A9135" s="346"/>
    </row>
    <row r="9136" spans="1:1">
      <c r="A9136" s="346"/>
    </row>
    <row r="9137" spans="1:1">
      <c r="A9137" s="346"/>
    </row>
    <row r="9138" spans="1:1">
      <c r="A9138" s="346"/>
    </row>
    <row r="9139" spans="1:1">
      <c r="A9139" s="346"/>
    </row>
    <row r="9140" spans="1:1">
      <c r="A9140" s="346"/>
    </row>
    <row r="9141" spans="1:1">
      <c r="A9141" s="346"/>
    </row>
    <row r="9142" spans="1:1">
      <c r="A9142" s="346"/>
    </row>
    <row r="9143" spans="1:1">
      <c r="A9143" s="346"/>
    </row>
    <row r="9144" spans="1:1">
      <c r="A9144" s="346"/>
    </row>
    <row r="9145" spans="1:1">
      <c r="A9145" s="346"/>
    </row>
    <row r="9146" spans="1:1">
      <c r="A9146" s="346"/>
    </row>
    <row r="9147" spans="1:1">
      <c r="A9147" s="346"/>
    </row>
    <row r="9148" spans="1:1">
      <c r="A9148" s="346"/>
    </row>
    <row r="9149" spans="1:1">
      <c r="A9149" s="346"/>
    </row>
    <row r="9150" spans="1:1">
      <c r="A9150" s="346"/>
    </row>
    <row r="9151" spans="1:1">
      <c r="A9151" s="346"/>
    </row>
    <row r="9152" spans="1:1">
      <c r="A9152" s="346"/>
    </row>
    <row r="9153" spans="1:1">
      <c r="A9153" s="346"/>
    </row>
    <row r="9154" spans="1:1">
      <c r="A9154" s="346"/>
    </row>
    <row r="9155" spans="1:1">
      <c r="A9155" s="346"/>
    </row>
    <row r="9156" spans="1:1">
      <c r="A9156" s="346"/>
    </row>
    <row r="9157" spans="1:1">
      <c r="A9157" s="346"/>
    </row>
    <row r="9158" spans="1:1">
      <c r="A9158" s="346"/>
    </row>
    <row r="9159" spans="1:1">
      <c r="A9159" s="346"/>
    </row>
    <row r="9160" spans="1:1">
      <c r="A9160" s="346"/>
    </row>
    <row r="9161" spans="1:1">
      <c r="A9161" s="346"/>
    </row>
    <row r="9162" spans="1:1">
      <c r="A9162" s="346"/>
    </row>
    <row r="9163" spans="1:1">
      <c r="A9163" s="346"/>
    </row>
    <row r="9164" spans="1:1">
      <c r="A9164" s="346"/>
    </row>
    <row r="9165" spans="1:1">
      <c r="A9165" s="346"/>
    </row>
    <row r="9166" spans="1:1">
      <c r="A9166" s="346"/>
    </row>
    <row r="9167" spans="1:1">
      <c r="A9167" s="346"/>
    </row>
    <row r="9168" spans="1:1">
      <c r="A9168" s="346"/>
    </row>
    <row r="9169" spans="1:1">
      <c r="A9169" s="346"/>
    </row>
    <row r="9170" spans="1:1">
      <c r="A9170" s="346"/>
    </row>
    <row r="9171" spans="1:1">
      <c r="A9171" s="346"/>
    </row>
    <row r="9172" spans="1:1">
      <c r="A9172" s="346"/>
    </row>
    <row r="9173" spans="1:1">
      <c r="A9173" s="346"/>
    </row>
    <row r="9174" spans="1:1">
      <c r="A9174" s="346"/>
    </row>
    <row r="9175" spans="1:1">
      <c r="A9175" s="346"/>
    </row>
    <row r="9176" spans="1:1">
      <c r="A9176" s="346"/>
    </row>
    <row r="9177" spans="1:1">
      <c r="A9177" s="346"/>
    </row>
    <row r="9178" spans="1:1">
      <c r="A9178" s="346"/>
    </row>
    <row r="9179" spans="1:1">
      <c r="A9179" s="346"/>
    </row>
    <row r="9180" spans="1:1">
      <c r="A9180" s="346"/>
    </row>
    <row r="9181" spans="1:1">
      <c r="A9181" s="346"/>
    </row>
    <row r="9182" spans="1:1">
      <c r="A9182" s="346"/>
    </row>
    <row r="9183" spans="1:1">
      <c r="A9183" s="346"/>
    </row>
    <row r="9184" spans="1:1">
      <c r="A9184" s="346"/>
    </row>
    <row r="9185" spans="1:1">
      <c r="A9185" s="346"/>
    </row>
    <row r="9186" spans="1:1">
      <c r="A9186" s="346"/>
    </row>
    <row r="9187" spans="1:1">
      <c r="A9187" s="346"/>
    </row>
    <row r="9188" spans="1:1">
      <c r="A9188" s="346"/>
    </row>
    <row r="9189" spans="1:1">
      <c r="A9189" s="346"/>
    </row>
    <row r="9190" spans="1:1">
      <c r="A9190" s="346"/>
    </row>
    <row r="9191" spans="1:1">
      <c r="A9191" s="346"/>
    </row>
    <row r="9192" spans="1:1">
      <c r="A9192" s="346"/>
    </row>
    <row r="9193" spans="1:1">
      <c r="A9193" s="346"/>
    </row>
    <row r="9194" spans="1:1">
      <c r="A9194" s="346"/>
    </row>
    <row r="9195" spans="1:1">
      <c r="A9195" s="346"/>
    </row>
    <row r="9196" spans="1:1">
      <c r="A9196" s="346"/>
    </row>
    <row r="9197" spans="1:1">
      <c r="A9197" s="346"/>
    </row>
    <row r="9198" spans="1:1">
      <c r="A9198" s="346"/>
    </row>
    <row r="9199" spans="1:1">
      <c r="A9199" s="346"/>
    </row>
    <row r="9200" spans="1:1">
      <c r="A9200" s="346"/>
    </row>
    <row r="9201" spans="1:1">
      <c r="A9201" s="346"/>
    </row>
    <row r="9202" spans="1:1">
      <c r="A9202" s="346"/>
    </row>
    <row r="9203" spans="1:1">
      <c r="A9203" s="346"/>
    </row>
    <row r="9204" spans="1:1">
      <c r="A9204" s="346"/>
    </row>
    <row r="9205" spans="1:1">
      <c r="A9205" s="346"/>
    </row>
    <row r="9206" spans="1:1">
      <c r="A9206" s="346"/>
    </row>
    <row r="9207" spans="1:1">
      <c r="A9207" s="346"/>
    </row>
    <row r="9208" spans="1:1">
      <c r="A9208" s="346"/>
    </row>
    <row r="9209" spans="1:1">
      <c r="A9209" s="346"/>
    </row>
    <row r="9210" spans="1:1">
      <c r="A9210" s="346"/>
    </row>
    <row r="9211" spans="1:1">
      <c r="A9211" s="346"/>
    </row>
    <row r="9212" spans="1:1">
      <c r="A9212" s="346"/>
    </row>
    <row r="9213" spans="1:1">
      <c r="A9213" s="346"/>
    </row>
    <row r="9214" spans="1:1">
      <c r="A9214" s="346"/>
    </row>
    <row r="9215" spans="1:1">
      <c r="A9215" s="346"/>
    </row>
    <row r="9216" spans="1:1">
      <c r="A9216" s="346"/>
    </row>
    <row r="9217" spans="1:1">
      <c r="A9217" s="346"/>
    </row>
    <row r="9218" spans="1:1">
      <c r="A9218" s="346"/>
    </row>
    <row r="9219" spans="1:1">
      <c r="A9219" s="346"/>
    </row>
    <row r="9220" spans="1:1">
      <c r="A9220" s="346"/>
    </row>
    <row r="9221" spans="1:1">
      <c r="A9221" s="346"/>
    </row>
    <row r="9222" spans="1:1">
      <c r="A9222" s="346"/>
    </row>
    <row r="9223" spans="1:1">
      <c r="A9223" s="346"/>
    </row>
    <row r="9224" spans="1:1">
      <c r="A9224" s="346"/>
    </row>
    <row r="9225" spans="1:1">
      <c r="A9225" s="346"/>
    </row>
    <row r="9226" spans="1:1">
      <c r="A9226" s="346"/>
    </row>
    <row r="9227" spans="1:1">
      <c r="A9227" s="346"/>
    </row>
    <row r="9228" spans="1:1">
      <c r="A9228" s="346"/>
    </row>
    <row r="9229" spans="1:1">
      <c r="A9229" s="346"/>
    </row>
    <row r="9230" spans="1:1">
      <c r="A9230" s="346"/>
    </row>
    <row r="9231" spans="1:1">
      <c r="A9231" s="346"/>
    </row>
    <row r="9232" spans="1:1">
      <c r="A9232" s="346"/>
    </row>
    <row r="9233" spans="1:1">
      <c r="A9233" s="346"/>
    </row>
    <row r="9234" spans="1:1">
      <c r="A9234" s="346"/>
    </row>
    <row r="9235" spans="1:1">
      <c r="A9235" s="346"/>
    </row>
    <row r="9236" spans="1:1">
      <c r="A9236" s="346"/>
    </row>
    <row r="9237" spans="1:1">
      <c r="A9237" s="346"/>
    </row>
    <row r="9238" spans="1:1">
      <c r="A9238" s="346"/>
    </row>
    <row r="9239" spans="1:1">
      <c r="A9239" s="346"/>
    </row>
    <row r="9240" spans="1:1">
      <c r="A9240" s="346"/>
    </row>
    <row r="9241" spans="1:1">
      <c r="A9241" s="346"/>
    </row>
    <row r="9242" spans="1:1">
      <c r="A9242" s="346"/>
    </row>
    <row r="9243" spans="1:1">
      <c r="A9243" s="346"/>
    </row>
    <row r="9244" spans="1:1">
      <c r="A9244" s="346"/>
    </row>
    <row r="9245" spans="1:1">
      <c r="A9245" s="346"/>
    </row>
    <row r="9246" spans="1:1">
      <c r="A9246" s="346"/>
    </row>
    <row r="9247" spans="1:1">
      <c r="A9247" s="346"/>
    </row>
    <row r="9248" spans="1:1">
      <c r="A9248" s="346"/>
    </row>
    <row r="9249" spans="1:1">
      <c r="A9249" s="346"/>
    </row>
    <row r="9250" spans="1:1">
      <c r="A9250" s="346"/>
    </row>
    <row r="9251" spans="1:1">
      <c r="A9251" s="346"/>
    </row>
    <row r="9252" spans="1:1">
      <c r="A9252" s="346"/>
    </row>
    <row r="9253" spans="1:1">
      <c r="A9253" s="346"/>
    </row>
    <row r="9254" spans="1:1">
      <c r="A9254" s="346"/>
    </row>
    <row r="9255" spans="1:1">
      <c r="A9255" s="346"/>
    </row>
    <row r="9256" spans="1:1">
      <c r="A9256" s="346"/>
    </row>
    <row r="9257" spans="1:1">
      <c r="A9257" s="346"/>
    </row>
    <row r="9258" spans="1:1">
      <c r="A9258" s="346"/>
    </row>
    <row r="9259" spans="1:1">
      <c r="A9259" s="346"/>
    </row>
    <row r="9260" spans="1:1">
      <c r="A9260" s="346"/>
    </row>
    <row r="9261" spans="1:1">
      <c r="A9261" s="346"/>
    </row>
    <row r="9262" spans="1:1">
      <c r="A9262" s="346"/>
    </row>
    <row r="9263" spans="1:1">
      <c r="A9263" s="346"/>
    </row>
    <row r="9264" spans="1:1">
      <c r="A9264" s="346"/>
    </row>
    <row r="9265" spans="1:1">
      <c r="A9265" s="346"/>
    </row>
    <row r="9266" spans="1:1">
      <c r="A9266" s="346"/>
    </row>
    <row r="9267" spans="1:1">
      <c r="A9267" s="346"/>
    </row>
    <row r="9268" spans="1:1">
      <c r="A9268" s="346"/>
    </row>
    <row r="9269" spans="1:1">
      <c r="A9269" s="346"/>
    </row>
    <row r="9270" spans="1:1">
      <c r="A9270" s="346"/>
    </row>
    <row r="9271" spans="1:1">
      <c r="A9271" s="346"/>
    </row>
    <row r="9272" spans="1:1">
      <c r="A9272" s="346"/>
    </row>
    <row r="9273" spans="1:1">
      <c r="A9273" s="346"/>
    </row>
    <row r="9274" spans="1:1">
      <c r="A9274" s="346"/>
    </row>
    <row r="9275" spans="1:1">
      <c r="A9275" s="346"/>
    </row>
    <row r="9276" spans="1:1">
      <c r="A9276" s="346"/>
    </row>
    <row r="9277" spans="1:1">
      <c r="A9277" s="346"/>
    </row>
    <row r="9278" spans="1:1">
      <c r="A9278" s="346"/>
    </row>
    <row r="9279" spans="1:1">
      <c r="A9279" s="346"/>
    </row>
    <row r="9280" spans="1:1">
      <c r="A9280" s="346"/>
    </row>
    <row r="9281" spans="1:1">
      <c r="A9281" s="346"/>
    </row>
    <row r="9282" spans="1:1">
      <c r="A9282" s="346"/>
    </row>
    <row r="9283" spans="1:1">
      <c r="A9283" s="346"/>
    </row>
    <row r="9284" spans="1:1">
      <c r="A9284" s="346"/>
    </row>
    <row r="9285" spans="1:1">
      <c r="A9285" s="346"/>
    </row>
    <row r="9286" spans="1:1">
      <c r="A9286" s="346"/>
    </row>
    <row r="9287" spans="1:1">
      <c r="A9287" s="346"/>
    </row>
    <row r="9288" spans="1:1">
      <c r="A9288" s="346"/>
    </row>
    <row r="9289" spans="1:1">
      <c r="A9289" s="346"/>
    </row>
    <row r="9290" spans="1:1">
      <c r="A9290" s="346"/>
    </row>
    <row r="9291" spans="1:1">
      <c r="A9291" s="346"/>
    </row>
    <row r="9292" spans="1:1">
      <c r="A9292" s="346"/>
    </row>
    <row r="9293" spans="1:1">
      <c r="A9293" s="346"/>
    </row>
    <row r="9294" spans="1:1">
      <c r="A9294" s="346"/>
    </row>
    <row r="9295" spans="1:1">
      <c r="A9295" s="346"/>
    </row>
    <row r="9296" spans="1:1">
      <c r="A9296" s="346"/>
    </row>
    <row r="9297" spans="1:1">
      <c r="A9297" s="346"/>
    </row>
    <row r="9298" spans="1:1">
      <c r="A9298" s="346"/>
    </row>
    <row r="9299" spans="1:1">
      <c r="A9299" s="346"/>
    </row>
    <row r="9300" spans="1:1">
      <c r="A9300" s="346"/>
    </row>
    <row r="9301" spans="1:1">
      <c r="A9301" s="346"/>
    </row>
    <row r="9302" spans="1:1">
      <c r="A9302" s="346"/>
    </row>
    <row r="9303" spans="1:1">
      <c r="A9303" s="346"/>
    </row>
    <row r="9304" spans="1:1">
      <c r="A9304" s="346"/>
    </row>
    <row r="9305" spans="1:1">
      <c r="A9305" s="346"/>
    </row>
    <row r="9306" spans="1:1">
      <c r="A9306" s="346"/>
    </row>
    <row r="9307" spans="1:1">
      <c r="A9307" s="346"/>
    </row>
    <row r="9308" spans="1:1">
      <c r="A9308" s="346"/>
    </row>
    <row r="9309" spans="1:1">
      <c r="A9309" s="346"/>
    </row>
    <row r="9310" spans="1:1">
      <c r="A9310" s="346"/>
    </row>
    <row r="9311" spans="1:1">
      <c r="A9311" s="346"/>
    </row>
    <row r="9312" spans="1:1">
      <c r="A9312" s="346"/>
    </row>
    <row r="9313" spans="1:1">
      <c r="A9313" s="346"/>
    </row>
    <row r="9314" spans="1:1">
      <c r="A9314" s="346"/>
    </row>
    <row r="9315" spans="1:1">
      <c r="A9315" s="346"/>
    </row>
    <row r="9316" spans="1:1">
      <c r="A9316" s="346"/>
    </row>
    <row r="9317" spans="1:1">
      <c r="A9317" s="346"/>
    </row>
    <row r="9318" spans="1:1">
      <c r="A9318" s="346"/>
    </row>
    <row r="9319" spans="1:1">
      <c r="A9319" s="346"/>
    </row>
    <row r="9320" spans="1:1">
      <c r="A9320" s="346"/>
    </row>
    <row r="9321" spans="1:1">
      <c r="A9321" s="346"/>
    </row>
    <row r="9322" spans="1:1">
      <c r="A9322" s="346"/>
    </row>
    <row r="9323" spans="1:1">
      <c r="A9323" s="346"/>
    </row>
    <row r="9324" spans="1:1">
      <c r="A9324" s="346"/>
    </row>
    <row r="9325" spans="1:1">
      <c r="A9325" s="346"/>
    </row>
    <row r="9326" spans="1:1">
      <c r="A9326" s="346"/>
    </row>
    <row r="9327" spans="1:1">
      <c r="A9327" s="346"/>
    </row>
    <row r="9328" spans="1:1">
      <c r="A9328" s="346"/>
    </row>
    <row r="9329" spans="1:1">
      <c r="A9329" s="346"/>
    </row>
    <row r="9330" spans="1:1">
      <c r="A9330" s="346"/>
    </row>
    <row r="9331" spans="1:1">
      <c r="A9331" s="346"/>
    </row>
    <row r="9332" spans="1:1">
      <c r="A9332" s="346"/>
    </row>
    <row r="9333" spans="1:1">
      <c r="A9333" s="346"/>
    </row>
    <row r="9334" spans="1:1">
      <c r="A9334" s="346"/>
    </row>
    <row r="9335" spans="1:1">
      <c r="A9335" s="346"/>
    </row>
    <row r="9336" spans="1:1">
      <c r="A9336" s="346"/>
    </row>
    <row r="9337" spans="1:1">
      <c r="A9337" s="346"/>
    </row>
    <row r="9338" spans="1:1">
      <c r="A9338" s="346"/>
    </row>
    <row r="9339" spans="1:1">
      <c r="A9339" s="346"/>
    </row>
    <row r="9340" spans="1:1">
      <c r="A9340" s="346"/>
    </row>
    <row r="9341" spans="1:1">
      <c r="A9341" s="346"/>
    </row>
    <row r="9342" spans="1:1">
      <c r="A9342" s="346"/>
    </row>
    <row r="9343" spans="1:1">
      <c r="A9343" s="346"/>
    </row>
    <row r="9344" spans="1:1">
      <c r="A9344" s="346"/>
    </row>
    <row r="9345" spans="1:1">
      <c r="A9345" s="346"/>
    </row>
    <row r="9346" spans="1:1">
      <c r="A9346" s="346"/>
    </row>
    <row r="9347" spans="1:1">
      <c r="A9347" s="346"/>
    </row>
    <row r="9348" spans="1:1">
      <c r="A9348" s="346"/>
    </row>
    <row r="9349" spans="1:1">
      <c r="A9349" s="346"/>
    </row>
    <row r="9350" spans="1:1">
      <c r="A9350" s="346"/>
    </row>
    <row r="9351" spans="1:1">
      <c r="A9351" s="346"/>
    </row>
    <row r="9352" spans="1:1">
      <c r="A9352" s="346"/>
    </row>
    <row r="9353" spans="1:1">
      <c r="A9353" s="346"/>
    </row>
    <row r="9354" spans="1:1">
      <c r="A9354" s="346"/>
    </row>
    <row r="9355" spans="1:1">
      <c r="A9355" s="346"/>
    </row>
    <row r="9356" spans="1:1">
      <c r="A9356" s="346"/>
    </row>
    <row r="9357" spans="1:1">
      <c r="A9357" s="346"/>
    </row>
    <row r="9358" spans="1:1">
      <c r="A9358" s="346"/>
    </row>
    <row r="9359" spans="1:1">
      <c r="A9359" s="346"/>
    </row>
    <row r="9360" spans="1:1">
      <c r="A9360" s="346"/>
    </row>
    <row r="9361" spans="1:1">
      <c r="A9361" s="346"/>
    </row>
    <row r="9362" spans="1:1">
      <c r="A9362" s="346"/>
    </row>
    <row r="9363" spans="1:1">
      <c r="A9363" s="346"/>
    </row>
    <row r="9364" spans="1:1">
      <c r="A9364" s="346"/>
    </row>
    <row r="9365" spans="1:1">
      <c r="A9365" s="346"/>
    </row>
    <row r="9366" spans="1:1">
      <c r="A9366" s="346"/>
    </row>
    <row r="9367" spans="1:1">
      <c r="A9367" s="346"/>
    </row>
    <row r="9368" spans="1:1">
      <c r="A9368" s="346"/>
    </row>
    <row r="9369" spans="1:1">
      <c r="A9369" s="346"/>
    </row>
    <row r="9370" spans="1:1">
      <c r="A9370" s="346"/>
    </row>
    <row r="9371" spans="1:1">
      <c r="A9371" s="346"/>
    </row>
    <row r="9372" spans="1:1">
      <c r="A9372" s="346"/>
    </row>
    <row r="9373" spans="1:1">
      <c r="A9373" s="346"/>
    </row>
    <row r="9374" spans="1:1">
      <c r="A9374" s="346"/>
    </row>
    <row r="9375" spans="1:1">
      <c r="A9375" s="346"/>
    </row>
    <row r="9376" spans="1:1">
      <c r="A9376" s="346"/>
    </row>
    <row r="9377" spans="1:1">
      <c r="A9377" s="346"/>
    </row>
    <row r="9378" spans="1:1">
      <c r="A9378" s="346"/>
    </row>
    <row r="9379" spans="1:1">
      <c r="A9379" s="346"/>
    </row>
    <row r="9380" spans="1:1">
      <c r="A9380" s="346"/>
    </row>
    <row r="9381" spans="1:1">
      <c r="A9381" s="346"/>
    </row>
    <row r="9382" spans="1:1">
      <c r="A9382" s="346"/>
    </row>
    <row r="9383" spans="1:1">
      <c r="A9383" s="346"/>
    </row>
    <row r="9384" spans="1:1">
      <c r="A9384" s="346"/>
    </row>
    <row r="9385" spans="1:1">
      <c r="A9385" s="346"/>
    </row>
    <row r="9386" spans="1:1">
      <c r="A9386" s="346"/>
    </row>
    <row r="9387" spans="1:1">
      <c r="A9387" s="346"/>
    </row>
    <row r="9388" spans="1:1">
      <c r="A9388" s="346"/>
    </row>
    <row r="9389" spans="1:1">
      <c r="A9389" s="346"/>
    </row>
    <row r="9390" spans="1:1">
      <c r="A9390" s="346"/>
    </row>
    <row r="9391" spans="1:1">
      <c r="A9391" s="346"/>
    </row>
    <row r="9392" spans="1:1">
      <c r="A9392" s="346"/>
    </row>
    <row r="9393" spans="1:1">
      <c r="A9393" s="346"/>
    </row>
    <row r="9394" spans="1:1">
      <c r="A9394" s="346"/>
    </row>
    <row r="9395" spans="1:1">
      <c r="A9395" s="346"/>
    </row>
    <row r="9396" spans="1:1">
      <c r="A9396" s="346"/>
    </row>
    <row r="9397" spans="1:1">
      <c r="A9397" s="346"/>
    </row>
    <row r="9398" spans="1:1">
      <c r="A9398" s="346"/>
    </row>
    <row r="9399" spans="1:1">
      <c r="A9399" s="346"/>
    </row>
    <row r="9400" spans="1:1">
      <c r="A9400" s="346"/>
    </row>
    <row r="9401" spans="1:1">
      <c r="A9401" s="346"/>
    </row>
    <row r="9402" spans="1:1">
      <c r="A9402" s="346"/>
    </row>
    <row r="9403" spans="1:1">
      <c r="A9403" s="346"/>
    </row>
    <row r="9404" spans="1:1">
      <c r="A9404" s="346"/>
    </row>
    <row r="9405" spans="1:1">
      <c r="A9405" s="346"/>
    </row>
    <row r="9406" spans="1:1">
      <c r="A9406" s="346"/>
    </row>
    <row r="9407" spans="1:1">
      <c r="A9407" s="346"/>
    </row>
    <row r="9408" spans="1:1">
      <c r="A9408" s="346"/>
    </row>
    <row r="9409" spans="1:1">
      <c r="A9409" s="346"/>
    </row>
    <row r="9410" spans="1:1">
      <c r="A9410" s="346"/>
    </row>
    <row r="9411" spans="1:1">
      <c r="A9411" s="346"/>
    </row>
    <row r="9412" spans="1:1">
      <c r="A9412" s="346"/>
    </row>
    <row r="9413" spans="1:1">
      <c r="A9413" s="346"/>
    </row>
    <row r="9414" spans="1:1">
      <c r="A9414" s="346"/>
    </row>
    <row r="9415" spans="1:1">
      <c r="A9415" s="346"/>
    </row>
    <row r="9416" spans="1:1">
      <c r="A9416" s="346"/>
    </row>
    <row r="9417" spans="1:1">
      <c r="A9417" s="346"/>
    </row>
    <row r="9418" spans="1:1">
      <c r="A9418" s="346"/>
    </row>
    <row r="9419" spans="1:1">
      <c r="A9419" s="346"/>
    </row>
    <row r="9420" spans="1:1">
      <c r="A9420" s="346"/>
    </row>
    <row r="9421" spans="1:1">
      <c r="A9421" s="346"/>
    </row>
    <row r="9422" spans="1:1">
      <c r="A9422" s="346"/>
    </row>
    <row r="9423" spans="1:1">
      <c r="A9423" s="346"/>
    </row>
    <row r="9424" spans="1:1">
      <c r="A9424" s="346"/>
    </row>
    <row r="9425" spans="1:1">
      <c r="A9425" s="346"/>
    </row>
    <row r="9426" spans="1:1">
      <c r="A9426" s="346"/>
    </row>
    <row r="9427" spans="1:1">
      <c r="A9427" s="346"/>
    </row>
    <row r="9428" spans="1:1">
      <c r="A9428" s="346"/>
    </row>
    <row r="9429" spans="1:1">
      <c r="A9429" s="346"/>
    </row>
    <row r="9430" spans="1:1">
      <c r="A9430" s="346"/>
    </row>
    <row r="9431" spans="1:1">
      <c r="A9431" s="346"/>
    </row>
    <row r="9432" spans="1:1">
      <c r="A9432" s="346"/>
    </row>
    <row r="9433" spans="1:1">
      <c r="A9433" s="346"/>
    </row>
    <row r="9434" spans="1:1">
      <c r="A9434" s="346"/>
    </row>
    <row r="9435" spans="1:1">
      <c r="A9435" s="346"/>
    </row>
    <row r="9436" spans="1:1">
      <c r="A9436" s="346"/>
    </row>
    <row r="9437" spans="1:1">
      <c r="A9437" s="346"/>
    </row>
    <row r="9438" spans="1:1">
      <c r="A9438" s="346"/>
    </row>
    <row r="9439" spans="1:1">
      <c r="A9439" s="346"/>
    </row>
    <row r="9440" spans="1:1">
      <c r="A9440" s="346"/>
    </row>
    <row r="9441" spans="1:1">
      <c r="A9441" s="346"/>
    </row>
    <row r="9442" spans="1:1">
      <c r="A9442" s="346"/>
    </row>
    <row r="9443" spans="1:1">
      <c r="A9443" s="346"/>
    </row>
    <row r="9444" spans="1:1">
      <c r="A9444" s="346"/>
    </row>
    <row r="9445" spans="1:1">
      <c r="A9445" s="346"/>
    </row>
    <row r="9446" spans="1:1">
      <c r="A9446" s="346"/>
    </row>
    <row r="9447" spans="1:1">
      <c r="A9447" s="346"/>
    </row>
    <row r="9448" spans="1:1">
      <c r="A9448" s="346"/>
    </row>
    <row r="9449" spans="1:1">
      <c r="A9449" s="346"/>
    </row>
    <row r="9450" spans="1:1">
      <c r="A9450" s="346"/>
    </row>
    <row r="9451" spans="1:1">
      <c r="A9451" s="346"/>
    </row>
    <row r="9452" spans="1:1">
      <c r="A9452" s="346"/>
    </row>
    <row r="9453" spans="1:1">
      <c r="A9453" s="346"/>
    </row>
    <row r="9454" spans="1:1">
      <c r="A9454" s="346"/>
    </row>
    <row r="9455" spans="1:1">
      <c r="A9455" s="346"/>
    </row>
    <row r="9456" spans="1:1">
      <c r="A9456" s="346"/>
    </row>
    <row r="9457" spans="1:1">
      <c r="A9457" s="346"/>
    </row>
    <row r="9458" spans="1:1">
      <c r="A9458" s="346"/>
    </row>
    <row r="9459" spans="1:1">
      <c r="A9459" s="346"/>
    </row>
    <row r="9460" spans="1:1">
      <c r="A9460" s="346"/>
    </row>
    <row r="9461" spans="1:1">
      <c r="A9461" s="346"/>
    </row>
    <row r="9462" spans="1:1">
      <c r="A9462" s="346"/>
    </row>
    <row r="9463" spans="1:1">
      <c r="A9463" s="346"/>
    </row>
    <row r="9464" spans="1:1">
      <c r="A9464" s="346"/>
    </row>
    <row r="9465" spans="1:1">
      <c r="A9465" s="346"/>
    </row>
    <row r="9466" spans="1:1">
      <c r="A9466" s="346"/>
    </row>
    <row r="9467" spans="1:1">
      <c r="A9467" s="346"/>
    </row>
    <row r="9468" spans="1:1">
      <c r="A9468" s="346"/>
    </row>
    <row r="9469" spans="1:1">
      <c r="A9469" s="346"/>
    </row>
    <row r="9470" spans="1:1">
      <c r="A9470" s="346"/>
    </row>
    <row r="9471" spans="1:1">
      <c r="A9471" s="346"/>
    </row>
    <row r="9472" spans="1:1">
      <c r="A9472" s="346"/>
    </row>
    <row r="9473" spans="1:1">
      <c r="A9473" s="346"/>
    </row>
    <row r="9474" spans="1:1">
      <c r="A9474" s="346"/>
    </row>
    <row r="9475" spans="1:1">
      <c r="A9475" s="346"/>
    </row>
    <row r="9476" spans="1:1">
      <c r="A9476" s="346"/>
    </row>
    <row r="9477" spans="1:1">
      <c r="A9477" s="346"/>
    </row>
    <row r="9478" spans="1:1">
      <c r="A9478" s="346"/>
    </row>
    <row r="9479" spans="1:1">
      <c r="A9479" s="346"/>
    </row>
    <row r="9480" spans="1:1">
      <c r="A9480" s="346"/>
    </row>
    <row r="9481" spans="1:1">
      <c r="A9481" s="346"/>
    </row>
    <row r="9482" spans="1:1">
      <c r="A9482" s="346"/>
    </row>
    <row r="9483" spans="1:1">
      <c r="A9483" s="346"/>
    </row>
    <row r="9484" spans="1:1">
      <c r="A9484" s="346"/>
    </row>
    <row r="9485" spans="1:1">
      <c r="A9485" s="346"/>
    </row>
    <row r="9486" spans="1:1">
      <c r="A9486" s="346"/>
    </row>
    <row r="9487" spans="1:1">
      <c r="A9487" s="346"/>
    </row>
    <row r="9488" spans="1:1">
      <c r="A9488" s="346"/>
    </row>
    <row r="9489" spans="1:1">
      <c r="A9489" s="346"/>
    </row>
    <row r="9490" spans="1:1">
      <c r="A9490" s="346"/>
    </row>
    <row r="9491" spans="1:1">
      <c r="A9491" s="346"/>
    </row>
    <row r="9492" spans="1:1">
      <c r="A9492" s="346"/>
    </row>
    <row r="9493" spans="1:1">
      <c r="A9493" s="346"/>
    </row>
    <row r="9494" spans="1:1">
      <c r="A9494" s="346"/>
    </row>
    <row r="9495" spans="1:1">
      <c r="A9495" s="346"/>
    </row>
    <row r="9496" spans="1:1">
      <c r="A9496" s="346"/>
    </row>
    <row r="9497" spans="1:1">
      <c r="A9497" s="346"/>
    </row>
    <row r="9498" spans="1:1">
      <c r="A9498" s="346"/>
    </row>
    <row r="9499" spans="1:1">
      <c r="A9499" s="346"/>
    </row>
    <row r="9500" spans="1:1">
      <c r="A9500" s="346"/>
    </row>
    <row r="9501" spans="1:1">
      <c r="A9501" s="346"/>
    </row>
    <row r="9502" spans="1:1">
      <c r="A9502" s="346"/>
    </row>
    <row r="9503" spans="1:1">
      <c r="A9503" s="346"/>
    </row>
    <row r="9504" spans="1:1">
      <c r="A9504" s="346"/>
    </row>
    <row r="9505" spans="1:1">
      <c r="A9505" s="346"/>
    </row>
    <row r="9506" spans="1:1">
      <c r="A9506" s="346"/>
    </row>
    <row r="9507" spans="1:1">
      <c r="A9507" s="346"/>
    </row>
    <row r="9508" spans="1:1">
      <c r="A9508" s="346"/>
    </row>
    <row r="9509" spans="1:1">
      <c r="A9509" s="346"/>
    </row>
    <row r="9510" spans="1:1">
      <c r="A9510" s="346"/>
    </row>
    <row r="9511" spans="1:1">
      <c r="A9511" s="346"/>
    </row>
    <row r="9512" spans="1:1">
      <c r="A9512" s="346"/>
    </row>
    <row r="9513" spans="1:1">
      <c r="A9513" s="346"/>
    </row>
    <row r="9514" spans="1:1">
      <c r="A9514" s="346"/>
    </row>
    <row r="9515" spans="1:1">
      <c r="A9515" s="346"/>
    </row>
    <row r="9516" spans="1:1">
      <c r="A9516" s="346"/>
    </row>
    <row r="9517" spans="1:1">
      <c r="A9517" s="346"/>
    </row>
    <row r="9518" spans="1:1">
      <c r="A9518" s="346"/>
    </row>
    <row r="9519" spans="1:1">
      <c r="A9519" s="346"/>
    </row>
    <row r="9520" spans="1:1">
      <c r="A9520" s="346"/>
    </row>
    <row r="9521" spans="1:1">
      <c r="A9521" s="346"/>
    </row>
    <row r="9522" spans="1:1">
      <c r="A9522" s="346"/>
    </row>
    <row r="9523" spans="1:1">
      <c r="A9523" s="346"/>
    </row>
    <row r="9524" spans="1:1">
      <c r="A9524" s="346"/>
    </row>
    <row r="9525" spans="1:1">
      <c r="A9525" s="346"/>
    </row>
    <row r="9526" spans="1:1">
      <c r="A9526" s="346"/>
    </row>
    <row r="9527" spans="1:1">
      <c r="A9527" s="346"/>
    </row>
    <row r="9528" spans="1:1">
      <c r="A9528" s="346"/>
    </row>
    <row r="9529" spans="1:1">
      <c r="A9529" s="346"/>
    </row>
    <row r="9530" spans="1:1">
      <c r="A9530" s="346"/>
    </row>
    <row r="9531" spans="1:1">
      <c r="A9531" s="346"/>
    </row>
    <row r="9532" spans="1:1">
      <c r="A9532" s="346"/>
    </row>
    <row r="9533" spans="1:1">
      <c r="A9533" s="346"/>
    </row>
    <row r="9534" spans="1:1">
      <c r="A9534" s="346"/>
    </row>
    <row r="9535" spans="1:1">
      <c r="A9535" s="346"/>
    </row>
    <row r="9536" spans="1:1">
      <c r="A9536" s="346"/>
    </row>
    <row r="9537" spans="1:1">
      <c r="A9537" s="346"/>
    </row>
    <row r="9538" spans="1:1">
      <c r="A9538" s="346"/>
    </row>
    <row r="9539" spans="1:1">
      <c r="A9539" s="346"/>
    </row>
    <row r="9540" spans="1:1">
      <c r="A9540" s="346"/>
    </row>
    <row r="9541" spans="1:1">
      <c r="A9541" s="346"/>
    </row>
    <row r="9542" spans="1:1">
      <c r="A9542" s="346"/>
    </row>
    <row r="9543" spans="1:1">
      <c r="A9543" s="346"/>
    </row>
    <row r="9544" spans="1:1">
      <c r="A9544" s="346"/>
    </row>
    <row r="9545" spans="1:1">
      <c r="A9545" s="346"/>
    </row>
    <row r="9546" spans="1:1">
      <c r="A9546" s="346"/>
    </row>
    <row r="9547" spans="1:1">
      <c r="A9547" s="346"/>
    </row>
    <row r="9548" spans="1:1">
      <c r="A9548" s="346"/>
    </row>
    <row r="9549" spans="1:1">
      <c r="A9549" s="346"/>
    </row>
    <row r="9550" spans="1:1">
      <c r="A9550" s="346"/>
    </row>
    <row r="9551" spans="1:1">
      <c r="A9551" s="346"/>
    </row>
    <row r="9552" spans="1:1">
      <c r="A9552" s="346"/>
    </row>
    <row r="9553" spans="1:1">
      <c r="A9553" s="346"/>
    </row>
    <row r="9554" spans="1:1">
      <c r="A9554" s="346"/>
    </row>
    <row r="9555" spans="1:1">
      <c r="A9555" s="346"/>
    </row>
    <row r="9556" spans="1:1">
      <c r="A9556" s="346"/>
    </row>
    <row r="9557" spans="1:1">
      <c r="A9557" s="346"/>
    </row>
    <row r="9558" spans="1:1">
      <c r="A9558" s="346"/>
    </row>
    <row r="9559" spans="1:1">
      <c r="A9559" s="346"/>
    </row>
    <row r="9560" spans="1:1">
      <c r="A9560" s="346"/>
    </row>
    <row r="9561" spans="1:1">
      <c r="A9561" s="346"/>
    </row>
    <row r="9562" spans="1:1">
      <c r="A9562" s="346"/>
    </row>
    <row r="9563" spans="1:1">
      <c r="A9563" s="346"/>
    </row>
    <row r="9564" spans="1:1">
      <c r="A9564" s="346"/>
    </row>
    <row r="9565" spans="1:1">
      <c r="A9565" s="346"/>
    </row>
    <row r="9566" spans="1:1">
      <c r="A9566" s="346"/>
    </row>
    <row r="9567" spans="1:1">
      <c r="A9567" s="346"/>
    </row>
    <row r="9568" spans="1:1">
      <c r="A9568" s="346"/>
    </row>
    <row r="9569" spans="1:1">
      <c r="A9569" s="346"/>
    </row>
    <row r="9570" spans="1:1">
      <c r="A9570" s="346"/>
    </row>
    <row r="9571" spans="1:1">
      <c r="A9571" s="346"/>
    </row>
    <row r="9572" spans="1:1">
      <c r="A9572" s="346"/>
    </row>
    <row r="9573" spans="1:1">
      <c r="A9573" s="346"/>
    </row>
    <row r="9574" spans="1:1">
      <c r="A9574" s="346"/>
    </row>
    <row r="9575" spans="1:1">
      <c r="A9575" s="346"/>
    </row>
    <row r="9576" spans="1:1">
      <c r="A9576" s="346"/>
    </row>
    <row r="9577" spans="1:1">
      <c r="A9577" s="346"/>
    </row>
    <row r="9578" spans="1:1">
      <c r="A9578" s="346"/>
    </row>
    <row r="9579" spans="1:1">
      <c r="A9579" s="346"/>
    </row>
    <row r="9580" spans="1:1">
      <c r="A9580" s="346"/>
    </row>
    <row r="9581" spans="1:1">
      <c r="A9581" s="346"/>
    </row>
    <row r="9582" spans="1:1">
      <c r="A9582" s="346"/>
    </row>
    <row r="9583" spans="1:1">
      <c r="A9583" s="346"/>
    </row>
    <row r="9584" spans="1:1">
      <c r="A9584" s="346"/>
    </row>
    <row r="9585" spans="1:1">
      <c r="A9585" s="346"/>
    </row>
    <row r="9586" spans="1:1">
      <c r="A9586" s="346"/>
    </row>
    <row r="9587" spans="1:1">
      <c r="A9587" s="346"/>
    </row>
    <row r="9588" spans="1:1">
      <c r="A9588" s="346"/>
    </row>
    <row r="9589" spans="1:1">
      <c r="A9589" s="346"/>
    </row>
    <row r="9590" spans="1:1">
      <c r="A9590" s="346"/>
    </row>
    <row r="9591" spans="1:1">
      <c r="A9591" s="346"/>
    </row>
    <row r="9592" spans="1:1">
      <c r="A9592" s="346"/>
    </row>
    <row r="9593" spans="1:1">
      <c r="A9593" s="346"/>
    </row>
    <row r="9594" spans="1:1">
      <c r="A9594" s="346"/>
    </row>
    <row r="9595" spans="1:1">
      <c r="A9595" s="346"/>
    </row>
    <row r="9596" spans="1:1">
      <c r="A9596" s="346"/>
    </row>
    <row r="9597" spans="1:1">
      <c r="A9597" s="346"/>
    </row>
    <row r="9598" spans="1:1">
      <c r="A9598" s="346"/>
    </row>
    <row r="9599" spans="1:1">
      <c r="A9599" s="346"/>
    </row>
    <row r="9600" spans="1:1">
      <c r="A9600" s="346"/>
    </row>
    <row r="9601" spans="1:1">
      <c r="A9601" s="346"/>
    </row>
    <row r="9602" spans="1:1">
      <c r="A9602" s="346"/>
    </row>
    <row r="9603" spans="1:1">
      <c r="A9603" s="346"/>
    </row>
    <row r="9604" spans="1:1">
      <c r="A9604" s="346"/>
    </row>
    <row r="9605" spans="1:1">
      <c r="A9605" s="346"/>
    </row>
    <row r="9606" spans="1:1">
      <c r="A9606" s="346"/>
    </row>
    <row r="9607" spans="1:1">
      <c r="A9607" s="346"/>
    </row>
    <row r="9608" spans="1:1">
      <c r="A9608" s="346"/>
    </row>
    <row r="9609" spans="1:1">
      <c r="A9609" s="346"/>
    </row>
    <row r="9610" spans="1:1">
      <c r="A9610" s="346"/>
    </row>
    <row r="9611" spans="1:1">
      <c r="A9611" s="346"/>
    </row>
    <row r="9612" spans="1:1">
      <c r="A9612" s="346"/>
    </row>
    <row r="9613" spans="1:1">
      <c r="A9613" s="346"/>
    </row>
    <row r="9614" spans="1:1">
      <c r="A9614" s="346"/>
    </row>
    <row r="9615" spans="1:1">
      <c r="A9615" s="346"/>
    </row>
    <row r="9616" spans="1:1">
      <c r="A9616" s="346"/>
    </row>
    <row r="9617" spans="1:1">
      <c r="A9617" s="346"/>
    </row>
    <row r="9618" spans="1:1">
      <c r="A9618" s="346"/>
    </row>
    <row r="9619" spans="1:1">
      <c r="A9619" s="346"/>
    </row>
    <row r="9620" spans="1:1">
      <c r="A9620" s="346"/>
    </row>
    <row r="9621" spans="1:1">
      <c r="A9621" s="346"/>
    </row>
    <row r="9622" spans="1:1">
      <c r="A9622" s="346"/>
    </row>
    <row r="9623" spans="1:1">
      <c r="A9623" s="346"/>
    </row>
    <row r="9624" spans="1:1">
      <c r="A9624" s="346"/>
    </row>
    <row r="9625" spans="1:1">
      <c r="A9625" s="346"/>
    </row>
    <row r="9626" spans="1:1">
      <c r="A9626" s="346"/>
    </row>
    <row r="9627" spans="1:1">
      <c r="A9627" s="346"/>
    </row>
    <row r="9628" spans="1:1">
      <c r="A9628" s="346"/>
    </row>
    <row r="9629" spans="1:1">
      <c r="A9629" s="346"/>
    </row>
    <row r="9630" spans="1:1">
      <c r="A9630" s="346"/>
    </row>
    <row r="9631" spans="1:1">
      <c r="A9631" s="346"/>
    </row>
    <row r="9632" spans="1:1">
      <c r="A9632" s="346"/>
    </row>
    <row r="9633" spans="1:1">
      <c r="A9633" s="346"/>
    </row>
    <row r="9634" spans="1:1">
      <c r="A9634" s="346"/>
    </row>
    <row r="9635" spans="1:1">
      <c r="A9635" s="346"/>
    </row>
    <row r="9636" spans="1:1">
      <c r="A9636" s="346"/>
    </row>
    <row r="9637" spans="1:1">
      <c r="A9637" s="346"/>
    </row>
    <row r="9638" spans="1:1">
      <c r="A9638" s="346"/>
    </row>
    <row r="9639" spans="1:1">
      <c r="A9639" s="346"/>
    </row>
    <row r="9640" spans="1:1">
      <c r="A9640" s="346"/>
    </row>
    <row r="9641" spans="1:1">
      <c r="A9641" s="346"/>
    </row>
    <row r="9642" spans="1:1">
      <c r="A9642" s="346"/>
    </row>
    <row r="9643" spans="1:1">
      <c r="A9643" s="346"/>
    </row>
    <row r="9644" spans="1:1">
      <c r="A9644" s="346"/>
    </row>
    <row r="9645" spans="1:1">
      <c r="A9645" s="346"/>
    </row>
    <row r="9646" spans="1:1">
      <c r="A9646" s="346"/>
    </row>
    <row r="9647" spans="1:1">
      <c r="A9647" s="346"/>
    </row>
    <row r="9648" spans="1:1">
      <c r="A9648" s="346"/>
    </row>
    <row r="9649" spans="1:1">
      <c r="A9649" s="346"/>
    </row>
    <row r="9650" spans="1:1">
      <c r="A9650" s="346"/>
    </row>
    <row r="9651" spans="1:1">
      <c r="A9651" s="346"/>
    </row>
    <row r="9652" spans="1:1">
      <c r="A9652" s="346"/>
    </row>
    <row r="9653" spans="1:1">
      <c r="A9653" s="346"/>
    </row>
    <row r="9654" spans="1:1">
      <c r="A9654" s="346"/>
    </row>
    <row r="9655" spans="1:1">
      <c r="A9655" s="346"/>
    </row>
    <row r="9656" spans="1:1">
      <c r="A9656" s="346"/>
    </row>
    <row r="9657" spans="1:1">
      <c r="A9657" s="346"/>
    </row>
    <row r="9658" spans="1:1">
      <c r="A9658" s="346"/>
    </row>
    <row r="9659" spans="1:1">
      <c r="A9659" s="346"/>
    </row>
    <row r="9660" spans="1:1">
      <c r="A9660" s="346"/>
    </row>
    <row r="9661" spans="1:1">
      <c r="A9661" s="346"/>
    </row>
    <row r="9662" spans="1:1">
      <c r="A9662" s="346"/>
    </row>
    <row r="9663" spans="1:1">
      <c r="A9663" s="346"/>
    </row>
    <row r="9664" spans="1:1">
      <c r="A9664" s="346"/>
    </row>
    <row r="9665" spans="1:1">
      <c r="A9665" s="346"/>
    </row>
    <row r="9666" spans="1:1">
      <c r="A9666" s="346"/>
    </row>
    <row r="9667" spans="1:1">
      <c r="A9667" s="346"/>
    </row>
    <row r="9668" spans="1:1">
      <c r="A9668" s="346"/>
    </row>
    <row r="9669" spans="1:1">
      <c r="A9669" s="346"/>
    </row>
    <row r="9670" spans="1:1">
      <c r="A9670" s="346"/>
    </row>
    <row r="9671" spans="1:1">
      <c r="A9671" s="346"/>
    </row>
    <row r="9672" spans="1:1">
      <c r="A9672" s="346"/>
    </row>
    <row r="9673" spans="1:1">
      <c r="A9673" s="346"/>
    </row>
    <row r="9674" spans="1:1">
      <c r="A9674" s="346"/>
    </row>
    <row r="9675" spans="1:1">
      <c r="A9675" s="346"/>
    </row>
    <row r="9676" spans="1:1">
      <c r="A9676" s="346"/>
    </row>
    <row r="9677" spans="1:1">
      <c r="A9677" s="346"/>
    </row>
    <row r="9678" spans="1:1">
      <c r="A9678" s="346"/>
    </row>
    <row r="9679" spans="1:1">
      <c r="A9679" s="346"/>
    </row>
    <row r="9680" spans="1:1">
      <c r="A9680" s="346"/>
    </row>
    <row r="9681" spans="1:1">
      <c r="A9681" s="346"/>
    </row>
    <row r="9682" spans="1:1">
      <c r="A9682" s="346"/>
    </row>
    <row r="9683" spans="1:1">
      <c r="A9683" s="346"/>
    </row>
    <row r="9684" spans="1:1">
      <c r="A9684" s="346"/>
    </row>
    <row r="9685" spans="1:1">
      <c r="A9685" s="346"/>
    </row>
    <row r="9686" spans="1:1">
      <c r="A9686" s="346"/>
    </row>
    <row r="9687" spans="1:1">
      <c r="A9687" s="346"/>
    </row>
    <row r="9688" spans="1:1">
      <c r="A9688" s="346"/>
    </row>
    <row r="9689" spans="1:1">
      <c r="A9689" s="346"/>
    </row>
    <row r="9690" spans="1:1">
      <c r="A9690" s="346"/>
    </row>
    <row r="9691" spans="1:1">
      <c r="A9691" s="346"/>
    </row>
    <row r="9692" spans="1:1">
      <c r="A9692" s="346"/>
    </row>
    <row r="9693" spans="1:1">
      <c r="A9693" s="346"/>
    </row>
    <row r="9694" spans="1:1">
      <c r="A9694" s="346"/>
    </row>
    <row r="9695" spans="1:1">
      <c r="A9695" s="346"/>
    </row>
    <row r="9696" spans="1:1">
      <c r="A9696" s="346"/>
    </row>
    <row r="9697" spans="1:1">
      <c r="A9697" s="346"/>
    </row>
    <row r="9698" spans="1:1">
      <c r="A9698" s="346"/>
    </row>
    <row r="9699" spans="1:1">
      <c r="A9699" s="346"/>
    </row>
    <row r="9700" spans="1:1">
      <c r="A9700" s="346"/>
    </row>
    <row r="9701" spans="1:1">
      <c r="A9701" s="346"/>
    </row>
    <row r="9702" spans="1:1">
      <c r="A9702" s="346"/>
    </row>
    <row r="9703" spans="1:1">
      <c r="A9703" s="346"/>
    </row>
    <row r="9704" spans="1:1">
      <c r="A9704" s="346"/>
    </row>
    <row r="9705" spans="1:1">
      <c r="A9705" s="346"/>
    </row>
    <row r="9706" spans="1:1">
      <c r="A9706" s="346"/>
    </row>
    <row r="9707" spans="1:1">
      <c r="A9707" s="346"/>
    </row>
    <row r="9708" spans="1:1">
      <c r="A9708" s="346"/>
    </row>
    <row r="9709" spans="1:1">
      <c r="A9709" s="346"/>
    </row>
    <row r="9710" spans="1:1">
      <c r="A9710" s="346"/>
    </row>
    <row r="9711" spans="1:1">
      <c r="A9711" s="346"/>
    </row>
    <row r="9712" spans="1:1">
      <c r="A9712" s="346"/>
    </row>
    <row r="9713" spans="1:1">
      <c r="A9713" s="346"/>
    </row>
    <row r="9714" spans="1:1">
      <c r="A9714" s="346"/>
    </row>
    <row r="9715" spans="1:1">
      <c r="A9715" s="346"/>
    </row>
    <row r="9716" spans="1:1">
      <c r="A9716" s="346"/>
    </row>
    <row r="9717" spans="1:1">
      <c r="A9717" s="346"/>
    </row>
    <row r="9718" spans="1:1">
      <c r="A9718" s="346"/>
    </row>
    <row r="9719" spans="1:1">
      <c r="A9719" s="346"/>
    </row>
    <row r="9720" spans="1:1">
      <c r="A9720" s="346"/>
    </row>
    <row r="9721" spans="1:1">
      <c r="A9721" s="346"/>
    </row>
    <row r="9722" spans="1:1">
      <c r="A9722" s="346"/>
    </row>
    <row r="9723" spans="1:1">
      <c r="A9723" s="346"/>
    </row>
    <row r="9724" spans="1:1">
      <c r="A9724" s="346"/>
    </row>
    <row r="9725" spans="1:1">
      <c r="A9725" s="346"/>
    </row>
    <row r="9726" spans="1:1">
      <c r="A9726" s="346"/>
    </row>
    <row r="9727" spans="1:1">
      <c r="A9727" s="346"/>
    </row>
    <row r="9728" spans="1:1">
      <c r="A9728" s="346"/>
    </row>
    <row r="9729" spans="1:1">
      <c r="A9729" s="346"/>
    </row>
    <row r="9730" spans="1:1">
      <c r="A9730" s="346"/>
    </row>
    <row r="9731" spans="1:1">
      <c r="A9731" s="346"/>
    </row>
    <row r="9732" spans="1:1">
      <c r="A9732" s="346"/>
    </row>
    <row r="9733" spans="1:1">
      <c r="A9733" s="346"/>
    </row>
    <row r="9734" spans="1:1">
      <c r="A9734" s="346"/>
    </row>
    <row r="9735" spans="1:1">
      <c r="A9735" s="346"/>
    </row>
    <row r="9736" spans="1:1">
      <c r="A9736" s="346"/>
    </row>
    <row r="9737" spans="1:1">
      <c r="A9737" s="346"/>
    </row>
    <row r="9738" spans="1:1">
      <c r="A9738" s="346"/>
    </row>
    <row r="9739" spans="1:1">
      <c r="A9739" s="346"/>
    </row>
    <row r="9740" spans="1:1">
      <c r="A9740" s="346"/>
    </row>
    <row r="9741" spans="1:1">
      <c r="A9741" s="346"/>
    </row>
    <row r="9742" spans="1:1">
      <c r="A9742" s="346"/>
    </row>
    <row r="9743" spans="1:1">
      <c r="A9743" s="346"/>
    </row>
    <row r="9744" spans="1:1">
      <c r="A9744" s="346"/>
    </row>
    <row r="9745" spans="1:1">
      <c r="A9745" s="346"/>
    </row>
    <row r="9746" spans="1:1">
      <c r="A9746" s="346"/>
    </row>
    <row r="9747" spans="1:1">
      <c r="A9747" s="346"/>
    </row>
    <row r="9748" spans="1:1">
      <c r="A9748" s="346"/>
    </row>
    <row r="9749" spans="1:1">
      <c r="A9749" s="346"/>
    </row>
    <row r="9750" spans="1:1">
      <c r="A9750" s="346"/>
    </row>
    <row r="9751" spans="1:1">
      <c r="A9751" s="346"/>
    </row>
    <row r="9752" spans="1:1">
      <c r="A9752" s="346"/>
    </row>
    <row r="9753" spans="1:1">
      <c r="A9753" s="346"/>
    </row>
    <row r="9754" spans="1:1">
      <c r="A9754" s="346"/>
    </row>
    <row r="9755" spans="1:1">
      <c r="A9755" s="346"/>
    </row>
    <row r="9756" spans="1:1">
      <c r="A9756" s="346"/>
    </row>
    <row r="9757" spans="1:1">
      <c r="A9757" s="346"/>
    </row>
    <row r="9758" spans="1:1">
      <c r="A9758" s="346"/>
    </row>
    <row r="9759" spans="1:1">
      <c r="A9759" s="346"/>
    </row>
    <row r="9760" spans="1:1">
      <c r="A9760" s="346"/>
    </row>
    <row r="9761" spans="1:1">
      <c r="A9761" s="346"/>
    </row>
    <row r="9762" spans="1:1">
      <c r="A9762" s="346"/>
    </row>
    <row r="9763" spans="1:1">
      <c r="A9763" s="346"/>
    </row>
    <row r="9764" spans="1:1">
      <c r="A9764" s="346"/>
    </row>
    <row r="9765" spans="1:1">
      <c r="A9765" s="346"/>
    </row>
    <row r="9766" spans="1:1">
      <c r="A9766" s="346"/>
    </row>
    <row r="9767" spans="1:1">
      <c r="A9767" s="346"/>
    </row>
    <row r="9768" spans="1:1">
      <c r="A9768" s="346"/>
    </row>
    <row r="9769" spans="1:1">
      <c r="A9769" s="346"/>
    </row>
    <row r="9770" spans="1:1">
      <c r="A9770" s="346"/>
    </row>
    <row r="9771" spans="1:1">
      <c r="A9771" s="346"/>
    </row>
    <row r="9772" spans="1:1">
      <c r="A9772" s="346"/>
    </row>
    <row r="9773" spans="1:1">
      <c r="A9773" s="346"/>
    </row>
    <row r="9774" spans="1:1">
      <c r="A9774" s="346"/>
    </row>
    <row r="9775" spans="1:1">
      <c r="A9775" s="346"/>
    </row>
    <row r="9776" spans="1:1">
      <c r="A9776" s="346"/>
    </row>
    <row r="9777" spans="1:1">
      <c r="A9777" s="346"/>
    </row>
    <row r="9778" spans="1:1">
      <c r="A9778" s="346"/>
    </row>
    <row r="9779" spans="1:1">
      <c r="A9779" s="346"/>
    </row>
    <row r="9780" spans="1:1">
      <c r="A9780" s="346"/>
    </row>
    <row r="9781" spans="1:1">
      <c r="A9781" s="346"/>
    </row>
    <row r="9782" spans="1:1">
      <c r="A9782" s="346"/>
    </row>
    <row r="9783" spans="1:1">
      <c r="A9783" s="346"/>
    </row>
    <row r="9784" spans="1:1">
      <c r="A9784" s="346"/>
    </row>
    <row r="9785" spans="1:1">
      <c r="A9785" s="346"/>
    </row>
    <row r="9786" spans="1:1">
      <c r="A9786" s="346"/>
    </row>
    <row r="9787" spans="1:1">
      <c r="A9787" s="346"/>
    </row>
    <row r="9788" spans="1:1">
      <c r="A9788" s="346"/>
    </row>
    <row r="9789" spans="1:1">
      <c r="A9789" s="346"/>
    </row>
    <row r="9790" spans="1:1">
      <c r="A9790" s="346"/>
    </row>
    <row r="9791" spans="1:1">
      <c r="A9791" s="346"/>
    </row>
    <row r="9792" spans="1:1">
      <c r="A9792" s="346"/>
    </row>
    <row r="9793" spans="1:1">
      <c r="A9793" s="346"/>
    </row>
    <row r="9794" spans="1:1">
      <c r="A9794" s="346"/>
    </row>
    <row r="9795" spans="1:1">
      <c r="A9795" s="346"/>
    </row>
    <row r="9796" spans="1:1">
      <c r="A9796" s="346"/>
    </row>
    <row r="9797" spans="1:1">
      <c r="A9797" s="346"/>
    </row>
    <row r="9798" spans="1:1">
      <c r="A9798" s="346"/>
    </row>
    <row r="9799" spans="1:1">
      <c r="A9799" s="346"/>
    </row>
    <row r="9800" spans="1:1">
      <c r="A9800" s="346"/>
    </row>
    <row r="9801" spans="1:1">
      <c r="A9801" s="346"/>
    </row>
    <row r="9802" spans="1:1">
      <c r="A9802" s="346"/>
    </row>
    <row r="9803" spans="1:1">
      <c r="A9803" s="346"/>
    </row>
    <row r="9804" spans="1:1">
      <c r="A9804" s="346"/>
    </row>
    <row r="9805" spans="1:1">
      <c r="A9805" s="346"/>
    </row>
    <row r="9806" spans="1:1">
      <c r="A9806" s="346"/>
    </row>
    <row r="9807" spans="1:1">
      <c r="A9807" s="346"/>
    </row>
    <row r="9808" spans="1:1">
      <c r="A9808" s="346"/>
    </row>
    <row r="9809" spans="1:1">
      <c r="A9809" s="346"/>
    </row>
    <row r="9810" spans="1:1">
      <c r="A9810" s="346"/>
    </row>
    <row r="9811" spans="1:1">
      <c r="A9811" s="346"/>
    </row>
    <row r="9812" spans="1:1">
      <c r="A9812" s="346"/>
    </row>
    <row r="9813" spans="1:1">
      <c r="A9813" s="346"/>
    </row>
    <row r="9814" spans="1:1">
      <c r="A9814" s="346"/>
    </row>
    <row r="9815" spans="1:1">
      <c r="A9815" s="346"/>
    </row>
    <row r="9816" spans="1:1">
      <c r="A9816" s="346"/>
    </row>
    <row r="9817" spans="1:1">
      <c r="A9817" s="346"/>
    </row>
    <row r="9818" spans="1:1">
      <c r="A9818" s="346"/>
    </row>
    <row r="9819" spans="1:1">
      <c r="A9819" s="346"/>
    </row>
    <row r="9820" spans="1:1">
      <c r="A9820" s="346"/>
    </row>
    <row r="9821" spans="1:1">
      <c r="A9821" s="346"/>
    </row>
    <row r="9822" spans="1:1">
      <c r="A9822" s="346"/>
    </row>
    <row r="9823" spans="1:1">
      <c r="A9823" s="346"/>
    </row>
    <row r="9824" spans="1:1">
      <c r="A9824" s="346"/>
    </row>
    <row r="9825" spans="1:1">
      <c r="A9825" s="346"/>
    </row>
    <row r="9826" spans="1:1">
      <c r="A9826" s="346"/>
    </row>
    <row r="9827" spans="1:1">
      <c r="A9827" s="346"/>
    </row>
    <row r="9828" spans="1:1">
      <c r="A9828" s="346"/>
    </row>
    <row r="9829" spans="1:1">
      <c r="A9829" s="346"/>
    </row>
    <row r="9830" spans="1:1">
      <c r="A9830" s="346"/>
    </row>
    <row r="9831" spans="1:1">
      <c r="A9831" s="346"/>
    </row>
    <row r="9832" spans="1:1">
      <c r="A9832" s="346"/>
    </row>
    <row r="9833" spans="1:1">
      <c r="A9833" s="346"/>
    </row>
    <row r="9834" spans="1:1">
      <c r="A9834" s="346"/>
    </row>
    <row r="9835" spans="1:1">
      <c r="A9835" s="346"/>
    </row>
    <row r="9836" spans="1:1">
      <c r="A9836" s="346"/>
    </row>
    <row r="9837" spans="1:1">
      <c r="A9837" s="346"/>
    </row>
    <row r="9838" spans="1:1">
      <c r="A9838" s="346"/>
    </row>
    <row r="9839" spans="1:1">
      <c r="A9839" s="346"/>
    </row>
    <row r="9840" spans="1:1">
      <c r="A9840" s="346"/>
    </row>
    <row r="9841" spans="1:1">
      <c r="A9841" s="346"/>
    </row>
    <row r="9842" spans="1:1">
      <c r="A9842" s="346"/>
    </row>
    <row r="9843" spans="1:1">
      <c r="A9843" s="346"/>
    </row>
    <row r="9844" spans="1:1">
      <c r="A9844" s="346"/>
    </row>
    <row r="9845" spans="1:1">
      <c r="A9845" s="346"/>
    </row>
    <row r="9846" spans="1:1">
      <c r="A9846" s="346"/>
    </row>
    <row r="9847" spans="1:1">
      <c r="A9847" s="346"/>
    </row>
    <row r="9848" spans="1:1">
      <c r="A9848" s="346"/>
    </row>
    <row r="9849" spans="1:1">
      <c r="A9849" s="346"/>
    </row>
    <row r="9850" spans="1:1">
      <c r="A9850" s="346"/>
    </row>
    <row r="9851" spans="1:1">
      <c r="A9851" s="346"/>
    </row>
    <row r="9852" spans="1:1">
      <c r="A9852" s="346"/>
    </row>
    <row r="9853" spans="1:1">
      <c r="A9853" s="346"/>
    </row>
    <row r="9854" spans="1:1">
      <c r="A9854" s="346"/>
    </row>
    <row r="9855" spans="1:1">
      <c r="A9855" s="346"/>
    </row>
    <row r="9856" spans="1:1">
      <c r="A9856" s="346"/>
    </row>
    <row r="9857" spans="1:1">
      <c r="A9857" s="346"/>
    </row>
    <row r="9858" spans="1:1">
      <c r="A9858" s="346"/>
    </row>
    <row r="9859" spans="1:1">
      <c r="A9859" s="346"/>
    </row>
    <row r="9860" spans="1:1">
      <c r="A9860" s="346"/>
    </row>
    <row r="9861" spans="1:1">
      <c r="A9861" s="346"/>
    </row>
    <row r="9862" spans="1:1">
      <c r="A9862" s="346"/>
    </row>
    <row r="9863" spans="1:1">
      <c r="A9863" s="346"/>
    </row>
    <row r="9864" spans="1:1">
      <c r="A9864" s="346"/>
    </row>
    <row r="9865" spans="1:1">
      <c r="A9865" s="346"/>
    </row>
    <row r="9866" spans="1:1">
      <c r="A9866" s="346"/>
    </row>
    <row r="9867" spans="1:1">
      <c r="A9867" s="346"/>
    </row>
    <row r="9868" spans="1:1">
      <c r="A9868" s="346"/>
    </row>
    <row r="9869" spans="1:1">
      <c r="A9869" s="346"/>
    </row>
    <row r="9870" spans="1:1">
      <c r="A9870" s="346"/>
    </row>
    <row r="9871" spans="1:1">
      <c r="A9871" s="346"/>
    </row>
    <row r="9872" spans="1:1">
      <c r="A9872" s="346"/>
    </row>
    <row r="9873" spans="1:1">
      <c r="A9873" s="346"/>
    </row>
    <row r="9874" spans="1:1">
      <c r="A9874" s="346"/>
    </row>
    <row r="9875" spans="1:1">
      <c r="A9875" s="346"/>
    </row>
    <row r="9876" spans="1:1">
      <c r="A9876" s="346"/>
    </row>
    <row r="9877" spans="1:1">
      <c r="A9877" s="346"/>
    </row>
    <row r="9878" spans="1:1">
      <c r="A9878" s="346"/>
    </row>
    <row r="9879" spans="1:1">
      <c r="A9879" s="346"/>
    </row>
    <row r="9880" spans="1:1">
      <c r="A9880" s="346"/>
    </row>
    <row r="9881" spans="1:1">
      <c r="A9881" s="346"/>
    </row>
    <row r="9882" spans="1:1">
      <c r="A9882" s="346"/>
    </row>
    <row r="9883" spans="1:1">
      <c r="A9883" s="346"/>
    </row>
    <row r="9884" spans="1:1">
      <c r="A9884" s="346"/>
    </row>
    <row r="9885" spans="1:1">
      <c r="A9885" s="346"/>
    </row>
    <row r="9886" spans="1:1">
      <c r="A9886" s="346"/>
    </row>
    <row r="9887" spans="1:1">
      <c r="A9887" s="346"/>
    </row>
    <row r="9888" spans="1:1">
      <c r="A9888" s="346"/>
    </row>
    <row r="9889" spans="1:1">
      <c r="A9889" s="346"/>
    </row>
    <row r="9890" spans="1:1">
      <c r="A9890" s="346"/>
    </row>
    <row r="9891" spans="1:1">
      <c r="A9891" s="346"/>
    </row>
    <row r="9892" spans="1:1">
      <c r="A9892" s="346"/>
    </row>
    <row r="9893" spans="1:1">
      <c r="A9893" s="346"/>
    </row>
    <row r="9894" spans="1:1">
      <c r="A9894" s="346"/>
    </row>
    <row r="9895" spans="1:1">
      <c r="A9895" s="346"/>
    </row>
    <row r="9896" spans="1:1">
      <c r="A9896" s="346"/>
    </row>
    <row r="9897" spans="1:1">
      <c r="A9897" s="346"/>
    </row>
    <row r="9898" spans="1:1">
      <c r="A9898" s="346"/>
    </row>
    <row r="9899" spans="1:1">
      <c r="A9899" s="346"/>
    </row>
    <row r="9900" spans="1:1">
      <c r="A9900" s="346"/>
    </row>
    <row r="9901" spans="1:1">
      <c r="A9901" s="346"/>
    </row>
    <row r="9902" spans="1:1">
      <c r="A9902" s="346"/>
    </row>
    <row r="9903" spans="1:1">
      <c r="A9903" s="346"/>
    </row>
    <row r="9904" spans="1:1">
      <c r="A9904" s="346"/>
    </row>
    <row r="9905" spans="1:1">
      <c r="A9905" s="346"/>
    </row>
    <row r="9906" spans="1:1">
      <c r="A9906" s="346"/>
    </row>
    <row r="9907" spans="1:1">
      <c r="A9907" s="346"/>
    </row>
    <row r="9908" spans="1:1">
      <c r="A9908" s="346"/>
    </row>
    <row r="9909" spans="1:1">
      <c r="A9909" s="346"/>
    </row>
    <row r="9910" spans="1:1">
      <c r="A9910" s="346"/>
    </row>
    <row r="9911" spans="1:1">
      <c r="A9911" s="346"/>
    </row>
    <row r="9912" spans="1:1">
      <c r="A9912" s="346"/>
    </row>
    <row r="9913" spans="1:1">
      <c r="A9913" s="346"/>
    </row>
    <row r="9914" spans="1:1">
      <c r="A9914" s="346"/>
    </row>
    <row r="9915" spans="1:1">
      <c r="A9915" s="346"/>
    </row>
    <row r="9916" spans="1:1">
      <c r="A9916" s="346"/>
    </row>
    <row r="9917" spans="1:1">
      <c r="A9917" s="346"/>
    </row>
    <row r="9918" spans="1:1">
      <c r="A9918" s="346"/>
    </row>
    <row r="9919" spans="1:1">
      <c r="A9919" s="346"/>
    </row>
    <row r="9920" spans="1:1">
      <c r="A9920" s="346"/>
    </row>
    <row r="9921" spans="1:1">
      <c r="A9921" s="346"/>
    </row>
    <row r="9922" spans="1:1">
      <c r="A9922" s="346"/>
    </row>
    <row r="9923" spans="1:1">
      <c r="A9923" s="346"/>
    </row>
    <row r="9924" spans="1:1">
      <c r="A9924" s="346"/>
    </row>
    <row r="9925" spans="1:1">
      <c r="A9925" s="346"/>
    </row>
    <row r="9926" spans="1:1">
      <c r="A9926" s="346"/>
    </row>
    <row r="9927" spans="1:1">
      <c r="A9927" s="346"/>
    </row>
    <row r="9928" spans="1:1">
      <c r="A9928" s="346"/>
    </row>
    <row r="9929" spans="1:1">
      <c r="A9929" s="346"/>
    </row>
    <row r="9930" spans="1:1">
      <c r="A9930" s="346"/>
    </row>
    <row r="9931" spans="1:1">
      <c r="A9931" s="346"/>
    </row>
    <row r="9932" spans="1:1">
      <c r="A9932" s="346"/>
    </row>
    <row r="9933" spans="1:1">
      <c r="A9933" s="346"/>
    </row>
    <row r="9934" spans="1:1">
      <c r="A9934" s="346"/>
    </row>
    <row r="9935" spans="1:1">
      <c r="A9935" s="346"/>
    </row>
    <row r="9936" spans="1:1">
      <c r="A9936" s="346"/>
    </row>
    <row r="9937" spans="1:1">
      <c r="A9937" s="346"/>
    </row>
    <row r="9938" spans="1:1">
      <c r="A9938" s="346"/>
    </row>
    <row r="9939" spans="1:1">
      <c r="A9939" s="346"/>
    </row>
    <row r="9940" spans="1:1">
      <c r="A9940" s="346"/>
    </row>
    <row r="9941" spans="1:1">
      <c r="A9941" s="346"/>
    </row>
    <row r="9942" spans="1:1">
      <c r="A9942" s="346"/>
    </row>
    <row r="9943" spans="1:1">
      <c r="A9943" s="346"/>
    </row>
    <row r="9944" spans="1:1">
      <c r="A9944" s="346"/>
    </row>
    <row r="9945" spans="1:1">
      <c r="A9945" s="346"/>
    </row>
    <row r="9946" spans="1:1">
      <c r="A9946" s="346"/>
    </row>
    <row r="9947" spans="1:1">
      <c r="A9947" s="346"/>
    </row>
    <row r="9948" spans="1:1">
      <c r="A9948" s="346"/>
    </row>
    <row r="9949" spans="1:1">
      <c r="A9949" s="346"/>
    </row>
    <row r="9950" spans="1:1">
      <c r="A9950" s="346"/>
    </row>
    <row r="9951" spans="1:1">
      <c r="A9951" s="346"/>
    </row>
    <row r="9952" spans="1:1">
      <c r="A9952" s="346"/>
    </row>
    <row r="9953" spans="1:1">
      <c r="A9953" s="346"/>
    </row>
    <row r="9954" spans="1:1">
      <c r="A9954" s="346"/>
    </row>
    <row r="9955" spans="1:1">
      <c r="A9955" s="346"/>
    </row>
    <row r="9956" spans="1:1">
      <c r="A9956" s="346"/>
    </row>
    <row r="9957" spans="1:1">
      <c r="A9957" s="346"/>
    </row>
    <row r="9958" spans="1:1">
      <c r="A9958" s="346"/>
    </row>
    <row r="9959" spans="1:1">
      <c r="A9959" s="346"/>
    </row>
    <row r="9960" spans="1:1">
      <c r="A9960" s="346"/>
    </row>
    <row r="9961" spans="1:1">
      <c r="A9961" s="346"/>
    </row>
    <row r="9962" spans="1:1">
      <c r="A9962" s="346"/>
    </row>
    <row r="9963" spans="1:1">
      <c r="A9963" s="346"/>
    </row>
    <row r="9964" spans="1:1">
      <c r="A9964" s="346"/>
    </row>
    <row r="9965" spans="1:1">
      <c r="A9965" s="346"/>
    </row>
    <row r="9966" spans="1:1">
      <c r="A9966" s="346"/>
    </row>
    <row r="9967" spans="1:1">
      <c r="A9967" s="346"/>
    </row>
    <row r="9968" spans="1:1">
      <c r="A9968" s="346"/>
    </row>
    <row r="9969" spans="1:1">
      <c r="A9969" s="346"/>
    </row>
    <row r="9970" spans="1:1">
      <c r="A9970" s="346"/>
    </row>
    <row r="9971" spans="1:1">
      <c r="A9971" s="346"/>
    </row>
    <row r="9972" spans="1:1">
      <c r="A9972" s="346"/>
    </row>
    <row r="9973" spans="1:1">
      <c r="A9973" s="346"/>
    </row>
    <row r="9974" spans="1:1">
      <c r="A9974" s="346"/>
    </row>
    <row r="9975" spans="1:1">
      <c r="A9975" s="346"/>
    </row>
    <row r="9976" spans="1:1">
      <c r="A9976" s="346"/>
    </row>
    <row r="9977" spans="1:1">
      <c r="A9977" s="346"/>
    </row>
    <row r="9978" spans="1:1">
      <c r="A9978" s="346"/>
    </row>
    <row r="9979" spans="1:1">
      <c r="A9979" s="346"/>
    </row>
    <row r="9980" spans="1:1">
      <c r="A9980" s="346"/>
    </row>
    <row r="9981" spans="1:1">
      <c r="A9981" s="346"/>
    </row>
    <row r="9982" spans="1:1">
      <c r="A9982" s="346"/>
    </row>
    <row r="9983" spans="1:1">
      <c r="A9983" s="346"/>
    </row>
    <row r="9984" spans="1:1">
      <c r="A9984" s="346"/>
    </row>
    <row r="9985" spans="1:1">
      <c r="A9985" s="346"/>
    </row>
    <row r="9986" spans="1:1">
      <c r="A9986" s="346"/>
    </row>
    <row r="9987" spans="1:1">
      <c r="A9987" s="346"/>
    </row>
    <row r="9988" spans="1:1">
      <c r="A9988" s="346"/>
    </row>
    <row r="9989" spans="1:1">
      <c r="A9989" s="346"/>
    </row>
    <row r="9990" spans="1:1">
      <c r="A9990" s="346"/>
    </row>
    <row r="9991" spans="1:1">
      <c r="A9991" s="346"/>
    </row>
    <row r="9992" spans="1:1">
      <c r="A9992" s="346"/>
    </row>
    <row r="9993" spans="1:1">
      <c r="A9993" s="346"/>
    </row>
    <row r="9994" spans="1:1">
      <c r="A9994" s="346"/>
    </row>
    <row r="9995" spans="1:1">
      <c r="A9995" s="346"/>
    </row>
    <row r="9996" spans="1:1">
      <c r="A9996" s="346"/>
    </row>
    <row r="9997" spans="1:1">
      <c r="A9997" s="346"/>
    </row>
    <row r="9998" spans="1:1">
      <c r="A9998" s="346"/>
    </row>
    <row r="9999" spans="1:1">
      <c r="A9999" s="346"/>
    </row>
    <row r="10000" spans="1:1">
      <c r="A10000" s="346"/>
    </row>
    <row r="10001" spans="1:1">
      <c r="A10001" s="346"/>
    </row>
    <row r="10002" spans="1:1">
      <c r="A10002" s="346"/>
    </row>
    <row r="10003" spans="1:1">
      <c r="A10003" s="346"/>
    </row>
    <row r="10004" spans="1:1">
      <c r="A10004" s="346"/>
    </row>
    <row r="10005" spans="1:1">
      <c r="A10005" s="346"/>
    </row>
    <row r="10006" spans="1:1">
      <c r="A10006" s="346"/>
    </row>
    <row r="10007" spans="1:1">
      <c r="A10007" s="346"/>
    </row>
    <row r="10008" spans="1:1">
      <c r="A10008" s="346"/>
    </row>
    <row r="10009" spans="1:1">
      <c r="A10009" s="346"/>
    </row>
    <row r="10010" spans="1:1">
      <c r="A10010" s="346"/>
    </row>
    <row r="10011" spans="1:1">
      <c r="A10011" s="346"/>
    </row>
    <row r="10012" spans="1:1">
      <c r="A10012" s="346"/>
    </row>
    <row r="10013" spans="1:1">
      <c r="A10013" s="346"/>
    </row>
    <row r="10014" spans="1:1">
      <c r="A10014" s="346"/>
    </row>
    <row r="10015" spans="1:1">
      <c r="A10015" s="346"/>
    </row>
    <row r="10016" spans="1:1">
      <c r="A10016" s="346"/>
    </row>
    <row r="10017" spans="1:1">
      <c r="A10017" s="346"/>
    </row>
    <row r="10018" spans="1:1">
      <c r="A10018" s="346"/>
    </row>
    <row r="10019" spans="1:1">
      <c r="A10019" s="346"/>
    </row>
    <row r="10020" spans="1:1">
      <c r="A10020" s="346"/>
    </row>
    <row r="10021" spans="1:1">
      <c r="A10021" s="346"/>
    </row>
    <row r="10022" spans="1:1">
      <c r="A10022" s="346"/>
    </row>
    <row r="10023" spans="1:1">
      <c r="A10023" s="346"/>
    </row>
    <row r="10024" spans="1:1">
      <c r="A10024" s="346"/>
    </row>
    <row r="10025" spans="1:1">
      <c r="A10025" s="346"/>
    </row>
    <row r="10026" spans="1:1">
      <c r="A10026" s="346"/>
    </row>
    <row r="10027" spans="1:1">
      <c r="A10027" s="346"/>
    </row>
    <row r="10028" spans="1:1">
      <c r="A10028" s="346"/>
    </row>
    <row r="10029" spans="1:1">
      <c r="A10029" s="346"/>
    </row>
    <row r="10030" spans="1:1">
      <c r="A10030" s="346"/>
    </row>
    <row r="10031" spans="1:1">
      <c r="A10031" s="346"/>
    </row>
    <row r="10032" spans="1:1">
      <c r="A10032" s="346"/>
    </row>
    <row r="10033" spans="1:1">
      <c r="A10033" s="346"/>
    </row>
    <row r="10034" spans="1:1">
      <c r="A10034" s="346"/>
    </row>
    <row r="10035" spans="1:1">
      <c r="A10035" s="346"/>
    </row>
    <row r="10036" spans="1:1">
      <c r="A10036" s="346"/>
    </row>
    <row r="10037" spans="1:1">
      <c r="A10037" s="346"/>
    </row>
    <row r="10038" spans="1:1">
      <c r="A10038" s="346"/>
    </row>
    <row r="10039" spans="1:1">
      <c r="A10039" s="346"/>
    </row>
    <row r="10040" spans="1:1">
      <c r="A10040" s="346"/>
    </row>
    <row r="10041" spans="1:1">
      <c r="A10041" s="346"/>
    </row>
    <row r="10042" spans="1:1">
      <c r="A10042" s="346"/>
    </row>
    <row r="10043" spans="1:1">
      <c r="A10043" s="346"/>
    </row>
    <row r="10044" spans="1:1">
      <c r="A10044" s="346"/>
    </row>
    <row r="10045" spans="1:1">
      <c r="A10045" s="346"/>
    </row>
    <row r="10046" spans="1:1">
      <c r="A10046" s="346"/>
    </row>
    <row r="10047" spans="1:1">
      <c r="A10047" s="346"/>
    </row>
    <row r="10048" spans="1:1">
      <c r="A10048" s="346"/>
    </row>
    <row r="10049" spans="1:1">
      <c r="A10049" s="346"/>
    </row>
    <row r="10050" spans="1:1">
      <c r="A10050" s="346"/>
    </row>
    <row r="10051" spans="1:1">
      <c r="A10051" s="346"/>
    </row>
    <row r="10052" spans="1:1">
      <c r="A10052" s="346"/>
    </row>
    <row r="10053" spans="1:1">
      <c r="A10053" s="346"/>
    </row>
    <row r="10054" spans="1:1">
      <c r="A10054" s="346"/>
    </row>
    <row r="10055" spans="1:1">
      <c r="A10055" s="346"/>
    </row>
    <row r="10056" spans="1:1">
      <c r="A10056" s="346"/>
    </row>
    <row r="10057" spans="1:1">
      <c r="A10057" s="346"/>
    </row>
    <row r="10058" spans="1:1">
      <c r="A10058" s="346"/>
    </row>
    <row r="10059" spans="1:1">
      <c r="A10059" s="346"/>
    </row>
    <row r="10060" spans="1:1">
      <c r="A10060" s="346"/>
    </row>
    <row r="10061" spans="1:1">
      <c r="A10061" s="346"/>
    </row>
    <row r="10062" spans="1:1">
      <c r="A10062" s="346"/>
    </row>
    <row r="10063" spans="1:1">
      <c r="A10063" s="346"/>
    </row>
    <row r="10064" spans="1:1">
      <c r="A10064" s="346"/>
    </row>
    <row r="10065" spans="1:1">
      <c r="A10065" s="346"/>
    </row>
    <row r="10066" spans="1:1">
      <c r="A10066" s="346"/>
    </row>
    <row r="10067" spans="1:1">
      <c r="A10067" s="346"/>
    </row>
    <row r="10068" spans="1:1">
      <c r="A10068" s="346"/>
    </row>
    <row r="10069" spans="1:1">
      <c r="A10069" s="346"/>
    </row>
    <row r="10070" spans="1:1">
      <c r="A10070" s="346"/>
    </row>
    <row r="10071" spans="1:1">
      <c r="A10071" s="346"/>
    </row>
    <row r="10072" spans="1:1">
      <c r="A10072" s="346"/>
    </row>
    <row r="10073" spans="1:1">
      <c r="A10073" s="346"/>
    </row>
    <row r="10074" spans="1:1">
      <c r="A10074" s="346"/>
    </row>
    <row r="10075" spans="1:1">
      <c r="A10075" s="346"/>
    </row>
    <row r="10076" spans="1:1">
      <c r="A10076" s="346"/>
    </row>
    <row r="10077" spans="1:1">
      <c r="A10077" s="346"/>
    </row>
    <row r="10078" spans="1:1">
      <c r="A10078" s="346"/>
    </row>
    <row r="10079" spans="1:1">
      <c r="A10079" s="346"/>
    </row>
    <row r="10080" spans="1:1">
      <c r="A10080" s="346"/>
    </row>
    <row r="10081" spans="1:1">
      <c r="A10081" s="346"/>
    </row>
    <row r="10082" spans="1:1">
      <c r="A10082" s="346"/>
    </row>
    <row r="10083" spans="1:1">
      <c r="A10083" s="346"/>
    </row>
    <row r="10084" spans="1:1">
      <c r="A10084" s="346"/>
    </row>
    <row r="10085" spans="1:1">
      <c r="A10085" s="346"/>
    </row>
    <row r="10086" spans="1:1">
      <c r="A10086" s="346"/>
    </row>
    <row r="10087" spans="1:1">
      <c r="A10087" s="346"/>
    </row>
    <row r="10088" spans="1:1">
      <c r="A10088" s="346"/>
    </row>
    <row r="10089" spans="1:1">
      <c r="A10089" s="346"/>
    </row>
    <row r="10090" spans="1:1">
      <c r="A10090" s="346"/>
    </row>
    <row r="10091" spans="1:1">
      <c r="A10091" s="346"/>
    </row>
    <row r="10092" spans="1:1">
      <c r="A10092" s="346"/>
    </row>
    <row r="10093" spans="1:1">
      <c r="A10093" s="346"/>
    </row>
    <row r="10094" spans="1:1">
      <c r="A10094" s="346"/>
    </row>
    <row r="10095" spans="1:1">
      <c r="A10095" s="346"/>
    </row>
    <row r="10096" spans="1:1">
      <c r="A10096" s="346"/>
    </row>
    <row r="10097" spans="1:1">
      <c r="A10097" s="346"/>
    </row>
    <row r="10098" spans="1:1">
      <c r="A10098" s="346"/>
    </row>
    <row r="10099" spans="1:1">
      <c r="A10099" s="346"/>
    </row>
    <row r="10100" spans="1:1">
      <c r="A10100" s="346"/>
    </row>
    <row r="10101" spans="1:1">
      <c r="A10101" s="346"/>
    </row>
    <row r="10102" spans="1:1">
      <c r="A10102" s="346"/>
    </row>
    <row r="10103" spans="1:1">
      <c r="A10103" s="346"/>
    </row>
    <row r="10104" spans="1:1">
      <c r="A10104" s="346"/>
    </row>
    <row r="10105" spans="1:1">
      <c r="A10105" s="346"/>
    </row>
    <row r="10106" spans="1:1">
      <c r="A10106" s="346"/>
    </row>
    <row r="10107" spans="1:1">
      <c r="A10107" s="346"/>
    </row>
    <row r="10108" spans="1:1">
      <c r="A10108" s="346"/>
    </row>
    <row r="10109" spans="1:1">
      <c r="A10109" s="346"/>
    </row>
    <row r="10110" spans="1:1">
      <c r="A10110" s="346"/>
    </row>
    <row r="10111" spans="1:1">
      <c r="A10111" s="346"/>
    </row>
    <row r="10112" spans="1:1">
      <c r="A10112" s="346"/>
    </row>
    <row r="10113" spans="1:1">
      <c r="A10113" s="346"/>
    </row>
    <row r="10114" spans="1:1">
      <c r="A10114" s="346"/>
    </row>
    <row r="10115" spans="1:1">
      <c r="A10115" s="346"/>
    </row>
    <row r="10116" spans="1:1">
      <c r="A10116" s="346"/>
    </row>
    <row r="10117" spans="1:1">
      <c r="A10117" s="346"/>
    </row>
    <row r="10118" spans="1:1">
      <c r="A10118" s="346"/>
    </row>
    <row r="10119" spans="1:1">
      <c r="A10119" s="346"/>
    </row>
    <row r="10120" spans="1:1">
      <c r="A10120" s="346"/>
    </row>
    <row r="10121" spans="1:1">
      <c r="A10121" s="346"/>
    </row>
    <row r="10122" spans="1:1">
      <c r="A10122" s="346"/>
    </row>
    <row r="10123" spans="1:1">
      <c r="A10123" s="346"/>
    </row>
    <row r="10124" spans="1:1">
      <c r="A10124" s="346"/>
    </row>
    <row r="10125" spans="1:1">
      <c r="A10125" s="346"/>
    </row>
    <row r="10126" spans="1:1">
      <c r="A10126" s="346"/>
    </row>
    <row r="10127" spans="1:1">
      <c r="A10127" s="346"/>
    </row>
    <row r="10128" spans="1:1">
      <c r="A10128" s="346"/>
    </row>
    <row r="10129" spans="1:1">
      <c r="A10129" s="346"/>
    </row>
    <row r="10130" spans="1:1">
      <c r="A10130" s="346"/>
    </row>
    <row r="10131" spans="1:1">
      <c r="A10131" s="346"/>
    </row>
    <row r="10132" spans="1:1">
      <c r="A10132" s="346"/>
    </row>
    <row r="10133" spans="1:1">
      <c r="A10133" s="346"/>
    </row>
    <row r="10134" spans="1:1">
      <c r="A10134" s="346"/>
    </row>
    <row r="10135" spans="1:1">
      <c r="A10135" s="346"/>
    </row>
    <row r="10136" spans="1:1">
      <c r="A10136" s="346"/>
    </row>
    <row r="10137" spans="1:1">
      <c r="A10137" s="346"/>
    </row>
    <row r="10138" spans="1:1">
      <c r="A10138" s="346"/>
    </row>
    <row r="10139" spans="1:1">
      <c r="A10139" s="346"/>
    </row>
    <row r="10140" spans="1:1">
      <c r="A10140" s="346"/>
    </row>
    <row r="10141" spans="1:1">
      <c r="A10141" s="346"/>
    </row>
    <row r="10142" spans="1:1">
      <c r="A10142" s="346"/>
    </row>
    <row r="10143" spans="1:1">
      <c r="A10143" s="346"/>
    </row>
    <row r="10144" spans="1:1">
      <c r="A10144" s="346"/>
    </row>
    <row r="10145" spans="1:1">
      <c r="A10145" s="346"/>
    </row>
    <row r="10146" spans="1:1">
      <c r="A10146" s="346"/>
    </row>
    <row r="10147" spans="1:1">
      <c r="A10147" s="346"/>
    </row>
    <row r="10148" spans="1:1">
      <c r="A10148" s="346"/>
    </row>
    <row r="10149" spans="1:1">
      <c r="A10149" s="346"/>
    </row>
    <row r="10150" spans="1:1">
      <c r="A10150" s="346"/>
    </row>
    <row r="10151" spans="1:1">
      <c r="A10151" s="346"/>
    </row>
    <row r="10152" spans="1:1">
      <c r="A10152" s="346"/>
    </row>
    <row r="10153" spans="1:1">
      <c r="A10153" s="346"/>
    </row>
    <row r="10154" spans="1:1">
      <c r="A10154" s="346"/>
    </row>
    <row r="10155" spans="1:1">
      <c r="A10155" s="346"/>
    </row>
    <row r="10156" spans="1:1">
      <c r="A10156" s="346"/>
    </row>
    <row r="10157" spans="1:1">
      <c r="A10157" s="346"/>
    </row>
    <row r="10158" spans="1:1">
      <c r="A10158" s="346"/>
    </row>
    <row r="10159" spans="1:1">
      <c r="A10159" s="346"/>
    </row>
    <row r="10160" spans="1:1">
      <c r="A10160" s="346"/>
    </row>
    <row r="10161" spans="1:1">
      <c r="A10161" s="346"/>
    </row>
    <row r="10162" spans="1:1">
      <c r="A10162" s="346"/>
    </row>
    <row r="10163" spans="1:1">
      <c r="A10163" s="346"/>
    </row>
    <row r="10164" spans="1:1">
      <c r="A10164" s="346"/>
    </row>
    <row r="10165" spans="1:1">
      <c r="A10165" s="346"/>
    </row>
    <row r="10166" spans="1:1">
      <c r="A10166" s="346"/>
    </row>
    <row r="10167" spans="1:1">
      <c r="A10167" s="346"/>
    </row>
    <row r="10168" spans="1:1">
      <c r="A10168" s="346"/>
    </row>
    <row r="10169" spans="1:1">
      <c r="A10169" s="346"/>
    </row>
    <row r="10170" spans="1:1">
      <c r="A10170" s="346"/>
    </row>
    <row r="10171" spans="1:1">
      <c r="A10171" s="346"/>
    </row>
    <row r="10172" spans="1:1">
      <c r="A10172" s="346"/>
    </row>
    <row r="10173" spans="1:1">
      <c r="A10173" s="346"/>
    </row>
    <row r="10174" spans="1:1">
      <c r="A10174" s="346"/>
    </row>
    <row r="10175" spans="1:1">
      <c r="A10175" s="346"/>
    </row>
    <row r="10176" spans="1:1">
      <c r="A10176" s="346"/>
    </row>
    <row r="10177" spans="1:1">
      <c r="A10177" s="346"/>
    </row>
    <row r="10178" spans="1:1">
      <c r="A10178" s="346"/>
    </row>
    <row r="10179" spans="1:1">
      <c r="A10179" s="346"/>
    </row>
    <row r="10180" spans="1:1">
      <c r="A10180" s="346"/>
    </row>
    <row r="10181" spans="1:1">
      <c r="A10181" s="346"/>
    </row>
    <row r="10182" spans="1:1">
      <c r="A10182" s="346"/>
    </row>
    <row r="10183" spans="1:1">
      <c r="A10183" s="346"/>
    </row>
    <row r="10184" spans="1:1">
      <c r="A10184" s="346"/>
    </row>
    <row r="10185" spans="1:1">
      <c r="A10185" s="346"/>
    </row>
    <row r="10186" spans="1:1">
      <c r="A10186" s="346"/>
    </row>
    <row r="10187" spans="1:1">
      <c r="A10187" s="346"/>
    </row>
    <row r="10188" spans="1:1">
      <c r="A10188" s="346"/>
    </row>
    <row r="10189" spans="1:1">
      <c r="A10189" s="346"/>
    </row>
    <row r="10190" spans="1:1">
      <c r="A10190" s="346"/>
    </row>
    <row r="10191" spans="1:1">
      <c r="A10191" s="346"/>
    </row>
    <row r="10192" spans="1:1">
      <c r="A10192" s="346"/>
    </row>
    <row r="10193" spans="1:1">
      <c r="A10193" s="346"/>
    </row>
    <row r="10194" spans="1:1">
      <c r="A10194" s="346"/>
    </row>
    <row r="10195" spans="1:1">
      <c r="A10195" s="346"/>
    </row>
    <row r="10196" spans="1:1">
      <c r="A10196" s="346"/>
    </row>
    <row r="10197" spans="1:1">
      <c r="A10197" s="346"/>
    </row>
    <row r="10198" spans="1:1">
      <c r="A10198" s="346"/>
    </row>
    <row r="10199" spans="1:1">
      <c r="A10199" s="346"/>
    </row>
    <row r="10200" spans="1:1">
      <c r="A10200" s="346"/>
    </row>
    <row r="10201" spans="1:1">
      <c r="A10201" s="346"/>
    </row>
    <row r="10202" spans="1:1">
      <c r="A10202" s="346"/>
    </row>
    <row r="10203" spans="1:1">
      <c r="A10203" s="346"/>
    </row>
    <row r="10204" spans="1:1">
      <c r="A10204" s="346"/>
    </row>
    <row r="10205" spans="1:1">
      <c r="A10205" s="346"/>
    </row>
    <row r="10206" spans="1:1">
      <c r="A10206" s="346"/>
    </row>
    <row r="10207" spans="1:1">
      <c r="A10207" s="346"/>
    </row>
    <row r="10208" spans="1:1">
      <c r="A10208" s="346"/>
    </row>
    <row r="10209" spans="1:1">
      <c r="A10209" s="346"/>
    </row>
    <row r="10210" spans="1:1">
      <c r="A10210" s="346"/>
    </row>
    <row r="10211" spans="1:1">
      <c r="A10211" s="346"/>
    </row>
    <row r="10212" spans="1:1">
      <c r="A10212" s="346"/>
    </row>
    <row r="10213" spans="1:1">
      <c r="A10213" s="346"/>
    </row>
    <row r="10214" spans="1:1">
      <c r="A10214" s="346"/>
    </row>
    <row r="10215" spans="1:1">
      <c r="A10215" s="346"/>
    </row>
    <row r="10216" spans="1:1">
      <c r="A10216" s="346"/>
    </row>
    <row r="10217" spans="1:1">
      <c r="A10217" s="346"/>
    </row>
    <row r="10218" spans="1:1">
      <c r="A10218" s="346"/>
    </row>
    <row r="10219" spans="1:1">
      <c r="A10219" s="346"/>
    </row>
    <row r="10220" spans="1:1">
      <c r="A10220" s="346"/>
    </row>
    <row r="10221" spans="1:1">
      <c r="A10221" s="346"/>
    </row>
    <row r="10222" spans="1:1">
      <c r="A10222" s="346"/>
    </row>
    <row r="10223" spans="1:1">
      <c r="A10223" s="346"/>
    </row>
    <row r="10224" spans="1:1">
      <c r="A10224" s="346"/>
    </row>
    <row r="10225" spans="1:1">
      <c r="A10225" s="346"/>
    </row>
    <row r="10226" spans="1:1">
      <c r="A10226" s="346"/>
    </row>
    <row r="10227" spans="1:1">
      <c r="A10227" s="346"/>
    </row>
    <row r="10228" spans="1:1">
      <c r="A10228" s="346"/>
    </row>
    <row r="10229" spans="1:1">
      <c r="A10229" s="346"/>
    </row>
    <row r="10230" spans="1:1">
      <c r="A10230" s="346"/>
    </row>
    <row r="10231" spans="1:1">
      <c r="A10231" s="346"/>
    </row>
    <row r="10232" spans="1:1">
      <c r="A10232" s="346"/>
    </row>
    <row r="10233" spans="1:1">
      <c r="A10233" s="346"/>
    </row>
    <row r="10234" spans="1:1">
      <c r="A10234" s="346"/>
    </row>
    <row r="10235" spans="1:1">
      <c r="A10235" s="346"/>
    </row>
    <row r="10236" spans="1:1">
      <c r="A10236" s="346"/>
    </row>
    <row r="10237" spans="1:1">
      <c r="A10237" s="346"/>
    </row>
    <row r="10238" spans="1:1">
      <c r="A10238" s="346"/>
    </row>
    <row r="10239" spans="1:1">
      <c r="A10239" s="346"/>
    </row>
    <row r="10240" spans="1:1">
      <c r="A10240" s="346"/>
    </row>
    <row r="10241" spans="1:1">
      <c r="A10241" s="346"/>
    </row>
    <row r="10242" spans="1:1">
      <c r="A10242" s="346"/>
    </row>
    <row r="10243" spans="1:1">
      <c r="A10243" s="346"/>
    </row>
    <row r="10244" spans="1:1">
      <c r="A10244" s="346"/>
    </row>
    <row r="10245" spans="1:1">
      <c r="A10245" s="346"/>
    </row>
    <row r="10246" spans="1:1">
      <c r="A10246" s="346"/>
    </row>
    <row r="10247" spans="1:1">
      <c r="A10247" s="346"/>
    </row>
    <row r="10248" spans="1:1">
      <c r="A10248" s="346"/>
    </row>
    <row r="10249" spans="1:1">
      <c r="A10249" s="346"/>
    </row>
    <row r="10250" spans="1:1">
      <c r="A10250" s="346"/>
    </row>
    <row r="10251" spans="1:1">
      <c r="A10251" s="346"/>
    </row>
    <row r="10252" spans="1:1">
      <c r="A10252" s="346"/>
    </row>
    <row r="10253" spans="1:1">
      <c r="A10253" s="346"/>
    </row>
    <row r="10254" spans="1:1">
      <c r="A10254" s="346"/>
    </row>
    <row r="10255" spans="1:1">
      <c r="A10255" s="346"/>
    </row>
    <row r="10256" spans="1:1">
      <c r="A10256" s="346"/>
    </row>
    <row r="10257" spans="1:1">
      <c r="A10257" s="346"/>
    </row>
    <row r="10258" spans="1:1">
      <c r="A10258" s="346"/>
    </row>
    <row r="10259" spans="1:1">
      <c r="A10259" s="346"/>
    </row>
    <row r="10260" spans="1:1">
      <c r="A10260" s="346"/>
    </row>
    <row r="10261" spans="1:1">
      <c r="A10261" s="346"/>
    </row>
    <row r="10262" spans="1:1">
      <c r="A10262" s="346"/>
    </row>
    <row r="10263" spans="1:1">
      <c r="A10263" s="346"/>
    </row>
    <row r="10264" spans="1:1">
      <c r="A10264" s="346"/>
    </row>
    <row r="10265" spans="1:1">
      <c r="A10265" s="346"/>
    </row>
    <row r="10266" spans="1:1">
      <c r="A10266" s="346"/>
    </row>
    <row r="10267" spans="1:1">
      <c r="A10267" s="346"/>
    </row>
    <row r="10268" spans="1:1">
      <c r="A10268" s="346"/>
    </row>
    <row r="10269" spans="1:1">
      <c r="A10269" s="346"/>
    </row>
    <row r="10270" spans="1:1">
      <c r="A10270" s="346"/>
    </row>
    <row r="10271" spans="1:1">
      <c r="A10271" s="346"/>
    </row>
    <row r="10272" spans="1:1">
      <c r="A10272" s="346"/>
    </row>
    <row r="10273" spans="1:1">
      <c r="A10273" s="346"/>
    </row>
    <row r="10274" spans="1:1">
      <c r="A10274" s="346"/>
    </row>
    <row r="10275" spans="1:1">
      <c r="A10275" s="346"/>
    </row>
    <row r="10276" spans="1:1">
      <c r="A10276" s="346"/>
    </row>
    <row r="10277" spans="1:1">
      <c r="A10277" s="346"/>
    </row>
    <row r="10278" spans="1:1">
      <c r="A10278" s="346"/>
    </row>
    <row r="10279" spans="1:1">
      <c r="A10279" s="346"/>
    </row>
    <row r="10280" spans="1:1">
      <c r="A10280" s="346"/>
    </row>
    <row r="10281" spans="1:1">
      <c r="A10281" s="346"/>
    </row>
    <row r="10282" spans="1:1">
      <c r="A10282" s="346"/>
    </row>
    <row r="10283" spans="1:1">
      <c r="A10283" s="346"/>
    </row>
    <row r="10284" spans="1:1">
      <c r="A10284" s="346"/>
    </row>
    <row r="10285" spans="1:1">
      <c r="A10285" s="346"/>
    </row>
    <row r="10286" spans="1:1">
      <c r="A10286" s="346"/>
    </row>
    <row r="10287" spans="1:1">
      <c r="A10287" s="346"/>
    </row>
    <row r="10288" spans="1:1">
      <c r="A10288" s="346"/>
    </row>
    <row r="10289" spans="1:1">
      <c r="A10289" s="346"/>
    </row>
    <row r="10290" spans="1:1">
      <c r="A10290" s="346"/>
    </row>
    <row r="10291" spans="1:1">
      <c r="A10291" s="346"/>
    </row>
    <row r="10292" spans="1:1">
      <c r="A10292" s="346"/>
    </row>
    <row r="10293" spans="1:1">
      <c r="A10293" s="346"/>
    </row>
    <row r="10294" spans="1:1">
      <c r="A10294" s="346"/>
    </row>
    <row r="10295" spans="1:1">
      <c r="A10295" s="346"/>
    </row>
    <row r="10296" spans="1:1">
      <c r="A10296" s="346"/>
    </row>
    <row r="10297" spans="1:1">
      <c r="A10297" s="346"/>
    </row>
    <row r="10298" spans="1:1">
      <c r="A10298" s="346"/>
    </row>
    <row r="10299" spans="1:1">
      <c r="A10299" s="346"/>
    </row>
    <row r="10300" spans="1:1">
      <c r="A10300" s="346"/>
    </row>
    <row r="10301" spans="1:1">
      <c r="A10301" s="346"/>
    </row>
    <row r="10302" spans="1:1">
      <c r="A10302" s="346"/>
    </row>
    <row r="10303" spans="1:1">
      <c r="A10303" s="346"/>
    </row>
    <row r="10304" spans="1:1">
      <c r="A10304" s="346"/>
    </row>
    <row r="10305" spans="1:1">
      <c r="A10305" s="346"/>
    </row>
    <row r="10306" spans="1:1">
      <c r="A10306" s="346"/>
    </row>
    <row r="10307" spans="1:1">
      <c r="A10307" s="346"/>
    </row>
    <row r="10308" spans="1:1">
      <c r="A10308" s="346"/>
    </row>
    <row r="10309" spans="1:1">
      <c r="A10309" s="346"/>
    </row>
    <row r="10310" spans="1:1">
      <c r="A10310" s="346"/>
    </row>
    <row r="10311" spans="1:1">
      <c r="A10311" s="346"/>
    </row>
    <row r="10312" spans="1:1">
      <c r="A10312" s="346"/>
    </row>
    <row r="10313" spans="1:1">
      <c r="A10313" s="346"/>
    </row>
    <row r="10314" spans="1:1">
      <c r="A10314" s="346"/>
    </row>
    <row r="10315" spans="1:1">
      <c r="A10315" s="346"/>
    </row>
    <row r="10316" spans="1:1">
      <c r="A10316" s="346"/>
    </row>
    <row r="10317" spans="1:1">
      <c r="A10317" s="346"/>
    </row>
    <row r="10318" spans="1:1">
      <c r="A10318" s="346"/>
    </row>
    <row r="10319" spans="1:1">
      <c r="A10319" s="346"/>
    </row>
    <row r="10320" spans="1:1">
      <c r="A10320" s="346"/>
    </row>
    <row r="10321" spans="1:1">
      <c r="A10321" s="346"/>
    </row>
    <row r="10322" spans="1:1">
      <c r="A10322" s="346"/>
    </row>
    <row r="10323" spans="1:1">
      <c r="A10323" s="346"/>
    </row>
    <row r="10324" spans="1:1">
      <c r="A10324" s="346"/>
    </row>
    <row r="10325" spans="1:1">
      <c r="A10325" s="346"/>
    </row>
    <row r="10326" spans="1:1">
      <c r="A10326" s="346"/>
    </row>
    <row r="10327" spans="1:1">
      <c r="A10327" s="346"/>
    </row>
    <row r="10328" spans="1:1">
      <c r="A10328" s="346"/>
    </row>
    <row r="10329" spans="1:1">
      <c r="A10329" s="346"/>
    </row>
    <row r="10330" spans="1:1">
      <c r="A10330" s="346"/>
    </row>
    <row r="10331" spans="1:1">
      <c r="A10331" s="346"/>
    </row>
    <row r="10332" spans="1:1">
      <c r="A10332" s="346"/>
    </row>
    <row r="10333" spans="1:1">
      <c r="A10333" s="346"/>
    </row>
    <row r="10334" spans="1:1">
      <c r="A10334" s="346"/>
    </row>
    <row r="10335" spans="1:1">
      <c r="A10335" s="346"/>
    </row>
    <row r="10336" spans="1:1">
      <c r="A10336" s="346"/>
    </row>
    <row r="10337" spans="1:1">
      <c r="A10337" s="346"/>
    </row>
    <row r="10338" spans="1:1">
      <c r="A10338" s="346"/>
    </row>
    <row r="10339" spans="1:1">
      <c r="A10339" s="346"/>
    </row>
    <row r="10340" spans="1:1">
      <c r="A10340" s="346"/>
    </row>
    <row r="10341" spans="1:1">
      <c r="A10341" s="346"/>
    </row>
    <row r="10342" spans="1:1">
      <c r="A10342" s="346"/>
    </row>
    <row r="10343" spans="1:1">
      <c r="A10343" s="346"/>
    </row>
    <row r="10344" spans="1:1">
      <c r="A10344" s="346"/>
    </row>
    <row r="10345" spans="1:1">
      <c r="A10345" s="346"/>
    </row>
    <row r="10346" spans="1:1">
      <c r="A10346" s="346"/>
    </row>
    <row r="10347" spans="1:1">
      <c r="A10347" s="346"/>
    </row>
    <row r="10348" spans="1:1">
      <c r="A10348" s="346"/>
    </row>
    <row r="10349" spans="1:1">
      <c r="A10349" s="346"/>
    </row>
    <row r="10350" spans="1:1">
      <c r="A10350" s="346"/>
    </row>
    <row r="10351" spans="1:1">
      <c r="A10351" s="346"/>
    </row>
    <row r="10352" spans="1:1">
      <c r="A10352" s="346"/>
    </row>
    <row r="10353" spans="1:1">
      <c r="A10353" s="346"/>
    </row>
    <row r="10354" spans="1:1">
      <c r="A10354" s="346"/>
    </row>
    <row r="10355" spans="1:1">
      <c r="A10355" s="346"/>
    </row>
    <row r="10356" spans="1:1">
      <c r="A10356" s="346"/>
    </row>
    <row r="10357" spans="1:1">
      <c r="A10357" s="346"/>
    </row>
    <row r="10358" spans="1:1">
      <c r="A10358" s="346"/>
    </row>
    <row r="10359" spans="1:1">
      <c r="A10359" s="346"/>
    </row>
    <row r="10360" spans="1:1">
      <c r="A10360" s="346"/>
    </row>
    <row r="10361" spans="1:1">
      <c r="A10361" s="346"/>
    </row>
    <row r="10362" spans="1:1">
      <c r="A10362" s="346"/>
    </row>
    <row r="10363" spans="1:1">
      <c r="A10363" s="346"/>
    </row>
    <row r="10364" spans="1:1">
      <c r="A10364" s="346"/>
    </row>
    <row r="10365" spans="1:1">
      <c r="A10365" s="346"/>
    </row>
    <row r="10366" spans="1:1">
      <c r="A10366" s="346"/>
    </row>
    <row r="10367" spans="1:1">
      <c r="A10367" s="346"/>
    </row>
    <row r="10368" spans="1:1">
      <c r="A10368" s="346"/>
    </row>
    <row r="10369" spans="1:1">
      <c r="A10369" s="346"/>
    </row>
    <row r="10370" spans="1:1">
      <c r="A10370" s="346"/>
    </row>
    <row r="10371" spans="1:1">
      <c r="A10371" s="346"/>
    </row>
    <row r="10372" spans="1:1">
      <c r="A10372" s="346"/>
    </row>
    <row r="10373" spans="1:1">
      <c r="A10373" s="346"/>
    </row>
    <row r="10374" spans="1:1">
      <c r="A10374" s="346"/>
    </row>
    <row r="10375" spans="1:1">
      <c r="A10375" s="346"/>
    </row>
    <row r="10376" spans="1:1">
      <c r="A10376" s="346"/>
    </row>
    <row r="10377" spans="1:1">
      <c r="A10377" s="346"/>
    </row>
    <row r="10378" spans="1:1">
      <c r="A10378" s="346"/>
    </row>
    <row r="10379" spans="1:1">
      <c r="A10379" s="346"/>
    </row>
    <row r="10380" spans="1:1">
      <c r="A10380" s="346"/>
    </row>
    <row r="10381" spans="1:1">
      <c r="A10381" s="346"/>
    </row>
    <row r="10382" spans="1:1">
      <c r="A10382" s="346"/>
    </row>
    <row r="10383" spans="1:1">
      <c r="A10383" s="346"/>
    </row>
    <row r="10384" spans="1:1">
      <c r="A10384" s="346"/>
    </row>
    <row r="10385" spans="1:1">
      <c r="A10385" s="346"/>
    </row>
    <row r="10386" spans="1:1">
      <c r="A10386" s="346"/>
    </row>
    <row r="10387" spans="1:1">
      <c r="A10387" s="346"/>
    </row>
    <row r="10388" spans="1:1">
      <c r="A10388" s="346"/>
    </row>
    <row r="10389" spans="1:1">
      <c r="A10389" s="346"/>
    </row>
    <row r="10390" spans="1:1">
      <c r="A10390" s="346"/>
    </row>
    <row r="10391" spans="1:1">
      <c r="A10391" s="346"/>
    </row>
    <row r="10392" spans="1:1">
      <c r="A10392" s="346"/>
    </row>
    <row r="10393" spans="1:1">
      <c r="A10393" s="346"/>
    </row>
    <row r="10394" spans="1:1">
      <c r="A10394" s="346"/>
    </row>
    <row r="10395" spans="1:1">
      <c r="A10395" s="346"/>
    </row>
    <row r="10396" spans="1:1">
      <c r="A10396" s="346"/>
    </row>
    <row r="10397" spans="1:1">
      <c r="A10397" s="346"/>
    </row>
    <row r="10398" spans="1:1">
      <c r="A10398" s="346"/>
    </row>
    <row r="10399" spans="1:1">
      <c r="A10399" s="346"/>
    </row>
    <row r="10400" spans="1:1">
      <c r="A10400" s="346"/>
    </row>
    <row r="10401" spans="1:1">
      <c r="A10401" s="346"/>
    </row>
    <row r="10402" spans="1:1">
      <c r="A10402" s="346"/>
    </row>
    <row r="10403" spans="1:1">
      <c r="A10403" s="346"/>
    </row>
    <row r="10404" spans="1:1">
      <c r="A10404" s="346"/>
    </row>
    <row r="10405" spans="1:1">
      <c r="A10405" s="346"/>
    </row>
    <row r="10406" spans="1:1">
      <c r="A10406" s="346"/>
    </row>
    <row r="10407" spans="1:1">
      <c r="A10407" s="346"/>
    </row>
    <row r="10408" spans="1:1">
      <c r="A10408" s="346"/>
    </row>
    <row r="10409" spans="1:1">
      <c r="A10409" s="346"/>
    </row>
    <row r="10410" spans="1:1">
      <c r="A10410" s="346"/>
    </row>
    <row r="10411" spans="1:1">
      <c r="A10411" s="346"/>
    </row>
    <row r="10412" spans="1:1">
      <c r="A10412" s="346"/>
    </row>
    <row r="10413" spans="1:1">
      <c r="A10413" s="346"/>
    </row>
    <row r="10414" spans="1:1">
      <c r="A10414" s="346"/>
    </row>
    <row r="10415" spans="1:1">
      <c r="A10415" s="346"/>
    </row>
    <row r="10416" spans="1:1">
      <c r="A10416" s="346"/>
    </row>
    <row r="10417" spans="1:1">
      <c r="A10417" s="346"/>
    </row>
    <row r="10418" spans="1:1">
      <c r="A10418" s="346"/>
    </row>
    <row r="10419" spans="1:1">
      <c r="A10419" s="346"/>
    </row>
    <row r="10420" spans="1:1">
      <c r="A10420" s="346"/>
    </row>
    <row r="10421" spans="1:1">
      <c r="A10421" s="346"/>
    </row>
    <row r="10422" spans="1:1">
      <c r="A10422" s="346"/>
    </row>
    <row r="10423" spans="1:1">
      <c r="A10423" s="346"/>
    </row>
    <row r="10424" spans="1:1">
      <c r="A10424" s="346"/>
    </row>
    <row r="10425" spans="1:1">
      <c r="A10425" s="346"/>
    </row>
    <row r="10426" spans="1:1">
      <c r="A10426" s="346"/>
    </row>
    <row r="10427" spans="1:1">
      <c r="A10427" s="346"/>
    </row>
    <row r="10428" spans="1:1">
      <c r="A10428" s="346"/>
    </row>
    <row r="10429" spans="1:1">
      <c r="A10429" s="346"/>
    </row>
    <row r="10430" spans="1:1">
      <c r="A10430" s="346"/>
    </row>
    <row r="10431" spans="1:1">
      <c r="A10431" s="346"/>
    </row>
    <row r="10432" spans="1:1">
      <c r="A10432" s="346"/>
    </row>
    <row r="10433" spans="1:1">
      <c r="A10433" s="346"/>
    </row>
    <row r="10434" spans="1:1">
      <c r="A10434" s="346"/>
    </row>
    <row r="10435" spans="1:1">
      <c r="A10435" s="346"/>
    </row>
    <row r="10436" spans="1:1">
      <c r="A10436" s="346"/>
    </row>
    <row r="10437" spans="1:1">
      <c r="A10437" s="346"/>
    </row>
    <row r="10438" spans="1:1">
      <c r="A10438" s="346"/>
    </row>
    <row r="10439" spans="1:1">
      <c r="A10439" s="346"/>
    </row>
    <row r="10440" spans="1:1">
      <c r="A10440" s="346"/>
    </row>
    <row r="10441" spans="1:1">
      <c r="A10441" s="346"/>
    </row>
    <row r="10442" spans="1:1">
      <c r="A10442" s="346"/>
    </row>
    <row r="10443" spans="1:1">
      <c r="A10443" s="346"/>
    </row>
    <row r="10444" spans="1:1">
      <c r="A10444" s="346"/>
    </row>
    <row r="10445" spans="1:1">
      <c r="A10445" s="346"/>
    </row>
    <row r="10446" spans="1:1">
      <c r="A10446" s="346"/>
    </row>
    <row r="10447" spans="1:1">
      <c r="A10447" s="346"/>
    </row>
    <row r="10448" spans="1:1">
      <c r="A10448" s="346"/>
    </row>
    <row r="10449" spans="1:1">
      <c r="A10449" s="346"/>
    </row>
    <row r="10450" spans="1:1">
      <c r="A10450" s="346"/>
    </row>
    <row r="10451" spans="1:1">
      <c r="A10451" s="346"/>
    </row>
    <row r="10452" spans="1:1">
      <c r="A10452" s="346"/>
    </row>
    <row r="10453" spans="1:1">
      <c r="A10453" s="346"/>
    </row>
    <row r="10454" spans="1:1">
      <c r="A10454" s="346"/>
    </row>
    <row r="10455" spans="1:1">
      <c r="A10455" s="346"/>
    </row>
    <row r="10456" spans="1:1">
      <c r="A10456" s="346"/>
    </row>
    <row r="10457" spans="1:1">
      <c r="A10457" s="346"/>
    </row>
    <row r="10458" spans="1:1">
      <c r="A10458" s="346"/>
    </row>
    <row r="10459" spans="1:1">
      <c r="A10459" s="346"/>
    </row>
    <row r="10460" spans="1:1">
      <c r="A10460" s="346"/>
    </row>
    <row r="10461" spans="1:1">
      <c r="A10461" s="346"/>
    </row>
    <row r="10462" spans="1:1">
      <c r="A10462" s="346"/>
    </row>
    <row r="10463" spans="1:1">
      <c r="A10463" s="346"/>
    </row>
    <row r="10464" spans="1:1">
      <c r="A10464" s="346"/>
    </row>
    <row r="10465" spans="1:1">
      <c r="A10465" s="346"/>
    </row>
    <row r="10466" spans="1:1">
      <c r="A10466" s="346"/>
    </row>
    <row r="10467" spans="1:1">
      <c r="A10467" s="346"/>
    </row>
    <row r="10468" spans="1:1">
      <c r="A10468" s="346"/>
    </row>
    <row r="10469" spans="1:1">
      <c r="A10469" s="346"/>
    </row>
    <row r="10470" spans="1:1">
      <c r="A10470" s="346"/>
    </row>
    <row r="10471" spans="1:1">
      <c r="A10471" s="346"/>
    </row>
    <row r="10472" spans="1:1">
      <c r="A10472" s="346"/>
    </row>
    <row r="10473" spans="1:1">
      <c r="A10473" s="346"/>
    </row>
    <row r="10474" spans="1:1">
      <c r="A10474" s="346"/>
    </row>
    <row r="10475" spans="1:1">
      <c r="A10475" s="346"/>
    </row>
    <row r="10476" spans="1:1">
      <c r="A10476" s="346"/>
    </row>
    <row r="10477" spans="1:1">
      <c r="A10477" s="346"/>
    </row>
    <row r="10478" spans="1:1">
      <c r="A10478" s="346"/>
    </row>
    <row r="10479" spans="1:1">
      <c r="A10479" s="346"/>
    </row>
    <row r="10480" spans="1:1">
      <c r="A10480" s="346"/>
    </row>
    <row r="10481" spans="1:1">
      <c r="A10481" s="346"/>
    </row>
    <row r="10482" spans="1:1">
      <c r="A10482" s="346"/>
    </row>
    <row r="10483" spans="1:1">
      <c r="A10483" s="346"/>
    </row>
    <row r="10484" spans="1:1">
      <c r="A10484" s="346"/>
    </row>
    <row r="10485" spans="1:1">
      <c r="A10485" s="346"/>
    </row>
    <row r="10486" spans="1:1">
      <c r="A10486" s="346"/>
    </row>
    <row r="10487" spans="1:1">
      <c r="A10487" s="346"/>
    </row>
    <row r="10488" spans="1:1">
      <c r="A10488" s="346"/>
    </row>
    <row r="10489" spans="1:1">
      <c r="A10489" s="346"/>
    </row>
    <row r="10490" spans="1:1">
      <c r="A10490" s="346"/>
    </row>
    <row r="10491" spans="1:1">
      <c r="A10491" s="346"/>
    </row>
    <row r="10492" spans="1:1">
      <c r="A10492" s="346"/>
    </row>
    <row r="10493" spans="1:1">
      <c r="A10493" s="346"/>
    </row>
    <row r="10494" spans="1:1">
      <c r="A10494" s="346"/>
    </row>
    <row r="10495" spans="1:1">
      <c r="A10495" s="346"/>
    </row>
    <row r="10496" spans="1:1">
      <c r="A10496" s="346"/>
    </row>
    <row r="10497" spans="1:1">
      <c r="A10497" s="346"/>
    </row>
    <row r="10498" spans="1:1">
      <c r="A10498" s="346"/>
    </row>
    <row r="10499" spans="1:1">
      <c r="A10499" s="346"/>
    </row>
    <row r="10500" spans="1:1">
      <c r="A10500" s="346"/>
    </row>
    <row r="10501" spans="1:1">
      <c r="A10501" s="346"/>
    </row>
    <row r="10502" spans="1:1">
      <c r="A10502" s="346"/>
    </row>
    <row r="10503" spans="1:1">
      <c r="A10503" s="346"/>
    </row>
    <row r="10504" spans="1:1">
      <c r="A10504" s="346"/>
    </row>
    <row r="10505" spans="1:1">
      <c r="A10505" s="346"/>
    </row>
    <row r="10506" spans="1:1">
      <c r="A10506" s="346"/>
    </row>
    <row r="10507" spans="1:1">
      <c r="A10507" s="346"/>
    </row>
    <row r="10508" spans="1:1">
      <c r="A10508" s="346"/>
    </row>
    <row r="10509" spans="1:1">
      <c r="A10509" s="346"/>
    </row>
    <row r="10510" spans="1:1">
      <c r="A10510" s="346"/>
    </row>
    <row r="10511" spans="1:1">
      <c r="A10511" s="346"/>
    </row>
    <row r="10512" spans="1:1">
      <c r="A10512" s="346"/>
    </row>
    <row r="10513" spans="1:1">
      <c r="A10513" s="346"/>
    </row>
    <row r="10514" spans="1:1">
      <c r="A10514" s="346"/>
    </row>
    <row r="10515" spans="1:1">
      <c r="A10515" s="346"/>
    </row>
    <row r="10516" spans="1:1">
      <c r="A10516" s="346"/>
    </row>
    <row r="10517" spans="1:1">
      <c r="A10517" s="346"/>
    </row>
    <row r="10518" spans="1:1">
      <c r="A10518" s="346"/>
    </row>
    <row r="10519" spans="1:1">
      <c r="A10519" s="346"/>
    </row>
    <row r="10520" spans="1:1">
      <c r="A10520" s="346"/>
    </row>
    <row r="10521" spans="1:1">
      <c r="A10521" s="346"/>
    </row>
    <row r="10522" spans="1:1">
      <c r="A10522" s="346"/>
    </row>
    <row r="10523" spans="1:1">
      <c r="A10523" s="346"/>
    </row>
    <row r="10524" spans="1:1">
      <c r="A10524" s="346"/>
    </row>
    <row r="10525" spans="1:1">
      <c r="A10525" s="346"/>
    </row>
    <row r="10526" spans="1:1">
      <c r="A10526" s="346"/>
    </row>
    <row r="10527" spans="1:1">
      <c r="A10527" s="346"/>
    </row>
    <row r="10528" spans="1:1">
      <c r="A10528" s="346"/>
    </row>
    <row r="10529" spans="1:1">
      <c r="A10529" s="346"/>
    </row>
    <row r="10530" spans="1:1">
      <c r="A10530" s="346"/>
    </row>
    <row r="10531" spans="1:1">
      <c r="A10531" s="346"/>
    </row>
    <row r="10532" spans="1:1">
      <c r="A10532" s="346"/>
    </row>
    <row r="10533" spans="1:1">
      <c r="A10533" s="346"/>
    </row>
    <row r="10534" spans="1:1">
      <c r="A10534" s="346"/>
    </row>
    <row r="10535" spans="1:1">
      <c r="A10535" s="346"/>
    </row>
    <row r="10536" spans="1:1">
      <c r="A10536" s="346"/>
    </row>
    <row r="10537" spans="1:1">
      <c r="A10537" s="346"/>
    </row>
    <row r="10538" spans="1:1">
      <c r="A10538" s="346"/>
    </row>
    <row r="10539" spans="1:1">
      <c r="A10539" s="346"/>
    </row>
    <row r="10540" spans="1:1">
      <c r="A10540" s="346"/>
    </row>
    <row r="10541" spans="1:1">
      <c r="A10541" s="346"/>
    </row>
    <row r="10542" spans="1:1">
      <c r="A10542" s="346"/>
    </row>
    <row r="10543" spans="1:1">
      <c r="A10543" s="346"/>
    </row>
    <row r="10544" spans="1:1">
      <c r="A10544" s="346"/>
    </row>
    <row r="10545" spans="1:1">
      <c r="A10545" s="346"/>
    </row>
    <row r="10546" spans="1:1">
      <c r="A10546" s="346"/>
    </row>
    <row r="10547" spans="1:1">
      <c r="A10547" s="346"/>
    </row>
    <row r="10548" spans="1:1">
      <c r="A10548" s="346"/>
    </row>
    <row r="10549" spans="1:1">
      <c r="A10549" s="346"/>
    </row>
    <row r="10550" spans="1:1">
      <c r="A10550" s="346"/>
    </row>
    <row r="10551" spans="1:1">
      <c r="A10551" s="346"/>
    </row>
    <row r="10552" spans="1:1">
      <c r="A10552" s="346"/>
    </row>
    <row r="10553" spans="1:1">
      <c r="A10553" s="346"/>
    </row>
    <row r="10554" spans="1:1">
      <c r="A10554" s="346"/>
    </row>
    <row r="10555" spans="1:1">
      <c r="A10555" s="346"/>
    </row>
    <row r="10556" spans="1:1">
      <c r="A10556" s="346"/>
    </row>
    <row r="10557" spans="1:1">
      <c r="A10557" s="346"/>
    </row>
    <row r="10558" spans="1:1">
      <c r="A10558" s="346"/>
    </row>
    <row r="10559" spans="1:1">
      <c r="A10559" s="346"/>
    </row>
    <row r="10560" spans="1:1">
      <c r="A10560" s="346"/>
    </row>
    <row r="10561" spans="1:1">
      <c r="A10561" s="346"/>
    </row>
    <row r="10562" spans="1:1">
      <c r="A10562" s="346"/>
    </row>
    <row r="10563" spans="1:1">
      <c r="A10563" s="346"/>
    </row>
    <row r="10564" spans="1:1">
      <c r="A10564" s="346"/>
    </row>
    <row r="10565" spans="1:1">
      <c r="A10565" s="346"/>
    </row>
    <row r="10566" spans="1:1">
      <c r="A10566" s="346"/>
    </row>
    <row r="10567" spans="1:1">
      <c r="A10567" s="346"/>
    </row>
    <row r="10568" spans="1:1">
      <c r="A10568" s="346"/>
    </row>
    <row r="10569" spans="1:1">
      <c r="A10569" s="346"/>
    </row>
    <row r="10570" spans="1:1">
      <c r="A10570" s="346"/>
    </row>
    <row r="10571" spans="1:1">
      <c r="A10571" s="346"/>
    </row>
    <row r="10572" spans="1:1">
      <c r="A10572" s="346"/>
    </row>
    <row r="10573" spans="1:1">
      <c r="A10573" s="346"/>
    </row>
    <row r="10574" spans="1:1">
      <c r="A10574" s="346"/>
    </row>
    <row r="10575" spans="1:1">
      <c r="A10575" s="346"/>
    </row>
    <row r="10576" spans="1:1">
      <c r="A10576" s="346"/>
    </row>
    <row r="10577" spans="1:1">
      <c r="A10577" s="346"/>
    </row>
    <row r="10578" spans="1:1">
      <c r="A10578" s="346"/>
    </row>
    <row r="10579" spans="1:1">
      <c r="A10579" s="346"/>
    </row>
    <row r="10580" spans="1:1">
      <c r="A10580" s="346"/>
    </row>
    <row r="10581" spans="1:1">
      <c r="A10581" s="346"/>
    </row>
    <row r="10582" spans="1:1">
      <c r="A10582" s="346"/>
    </row>
    <row r="10583" spans="1:1">
      <c r="A10583" s="346"/>
    </row>
    <row r="10584" spans="1:1">
      <c r="A10584" s="346"/>
    </row>
    <row r="10585" spans="1:1">
      <c r="A10585" s="346"/>
    </row>
    <row r="10586" spans="1:1">
      <c r="A10586" s="346"/>
    </row>
    <row r="10587" spans="1:1">
      <c r="A10587" s="346"/>
    </row>
    <row r="10588" spans="1:1">
      <c r="A10588" s="346"/>
    </row>
    <row r="10589" spans="1:1">
      <c r="A10589" s="346"/>
    </row>
    <row r="10590" spans="1:1">
      <c r="A10590" s="346"/>
    </row>
    <row r="10591" spans="1:1">
      <c r="A10591" s="346"/>
    </row>
    <row r="10592" spans="1:1">
      <c r="A10592" s="346"/>
    </row>
    <row r="10593" spans="1:1">
      <c r="A10593" s="346"/>
    </row>
    <row r="10594" spans="1:1">
      <c r="A10594" s="346"/>
    </row>
    <row r="10595" spans="1:1">
      <c r="A10595" s="346"/>
    </row>
    <row r="10596" spans="1:1">
      <c r="A10596" s="346"/>
    </row>
    <row r="10597" spans="1:1">
      <c r="A10597" s="346"/>
    </row>
    <row r="10598" spans="1:1">
      <c r="A10598" s="346"/>
    </row>
    <row r="10599" spans="1:1">
      <c r="A10599" s="346"/>
    </row>
    <row r="10600" spans="1:1">
      <c r="A10600" s="346"/>
    </row>
    <row r="10601" spans="1:1">
      <c r="A10601" s="346"/>
    </row>
    <row r="10602" spans="1:1">
      <c r="A10602" s="346"/>
    </row>
    <row r="10603" spans="1:1">
      <c r="A10603" s="346"/>
    </row>
    <row r="10604" spans="1:1">
      <c r="A10604" s="346"/>
    </row>
    <row r="10605" spans="1:1">
      <c r="A10605" s="346"/>
    </row>
    <row r="10606" spans="1:1">
      <c r="A10606" s="346"/>
    </row>
    <row r="10607" spans="1:1">
      <c r="A10607" s="346"/>
    </row>
    <row r="10608" spans="1:1">
      <c r="A10608" s="346"/>
    </row>
    <row r="10609" spans="1:1">
      <c r="A10609" s="346"/>
    </row>
    <row r="10610" spans="1:1">
      <c r="A10610" s="346"/>
    </row>
    <row r="10611" spans="1:1">
      <c r="A10611" s="346"/>
    </row>
    <row r="10612" spans="1:1">
      <c r="A10612" s="346"/>
    </row>
    <row r="10613" spans="1:1">
      <c r="A10613" s="346"/>
    </row>
    <row r="10614" spans="1:1">
      <c r="A10614" s="346"/>
    </row>
    <row r="10615" spans="1:1">
      <c r="A10615" s="346"/>
    </row>
    <row r="10616" spans="1:1">
      <c r="A10616" s="346"/>
    </row>
    <row r="10617" spans="1:1">
      <c r="A10617" s="346"/>
    </row>
    <row r="10618" spans="1:1">
      <c r="A10618" s="346"/>
    </row>
    <row r="10619" spans="1:1">
      <c r="A10619" s="346"/>
    </row>
    <row r="10620" spans="1:1">
      <c r="A10620" s="346"/>
    </row>
    <row r="10621" spans="1:1">
      <c r="A10621" s="346"/>
    </row>
    <row r="10622" spans="1:1">
      <c r="A10622" s="346"/>
    </row>
    <row r="10623" spans="1:1">
      <c r="A10623" s="346"/>
    </row>
    <row r="10624" spans="1:1">
      <c r="A10624" s="346"/>
    </row>
    <row r="10625" spans="1:1">
      <c r="A10625" s="346"/>
    </row>
    <row r="10626" spans="1:1">
      <c r="A10626" s="346"/>
    </row>
    <row r="10627" spans="1:1">
      <c r="A10627" s="346"/>
    </row>
    <row r="10628" spans="1:1">
      <c r="A10628" s="346"/>
    </row>
    <row r="10629" spans="1:1">
      <c r="A10629" s="346"/>
    </row>
    <row r="10630" spans="1:1">
      <c r="A10630" s="346"/>
    </row>
    <row r="10631" spans="1:1">
      <c r="A10631" s="346"/>
    </row>
    <row r="10632" spans="1:1">
      <c r="A10632" s="346"/>
    </row>
    <row r="10633" spans="1:1">
      <c r="A10633" s="346"/>
    </row>
    <row r="10634" spans="1:1">
      <c r="A10634" s="346"/>
    </row>
    <row r="10635" spans="1:1">
      <c r="A10635" s="346"/>
    </row>
    <row r="10636" spans="1:1">
      <c r="A10636" s="346"/>
    </row>
    <row r="10637" spans="1:1">
      <c r="A10637" s="346"/>
    </row>
    <row r="10638" spans="1:1">
      <c r="A10638" s="346"/>
    </row>
    <row r="10639" spans="1:1">
      <c r="A10639" s="346"/>
    </row>
    <row r="10640" spans="1:1">
      <c r="A10640" s="346"/>
    </row>
    <row r="10641" spans="1:1">
      <c r="A10641" s="346"/>
    </row>
    <row r="10642" spans="1:1">
      <c r="A10642" s="346"/>
    </row>
    <row r="10643" spans="1:1">
      <c r="A10643" s="346"/>
    </row>
    <row r="10644" spans="1:1">
      <c r="A10644" s="346"/>
    </row>
    <row r="10645" spans="1:1">
      <c r="A10645" s="346"/>
    </row>
    <row r="10646" spans="1:1">
      <c r="A10646" s="346"/>
    </row>
    <row r="10647" spans="1:1">
      <c r="A10647" s="346"/>
    </row>
    <row r="10648" spans="1:1">
      <c r="A10648" s="346"/>
    </row>
    <row r="10649" spans="1:1">
      <c r="A10649" s="346"/>
    </row>
    <row r="10650" spans="1:1">
      <c r="A10650" s="346"/>
    </row>
    <row r="10651" spans="1:1">
      <c r="A10651" s="346"/>
    </row>
    <row r="10652" spans="1:1">
      <c r="A10652" s="346"/>
    </row>
    <row r="10653" spans="1:1">
      <c r="A10653" s="346"/>
    </row>
    <row r="10654" spans="1:1">
      <c r="A10654" s="346"/>
    </row>
    <row r="10655" spans="1:1">
      <c r="A10655" s="346"/>
    </row>
    <row r="10656" spans="1:1">
      <c r="A10656" s="346"/>
    </row>
    <row r="10657" spans="1:1">
      <c r="A10657" s="346"/>
    </row>
    <row r="10658" spans="1:1">
      <c r="A10658" s="346"/>
    </row>
    <row r="10659" spans="1:1">
      <c r="A10659" s="346"/>
    </row>
    <row r="10660" spans="1:1">
      <c r="A10660" s="346"/>
    </row>
    <row r="10661" spans="1:1">
      <c r="A10661" s="346"/>
    </row>
    <row r="10662" spans="1:1">
      <c r="A10662" s="346"/>
    </row>
    <row r="10663" spans="1:1">
      <c r="A10663" s="346"/>
    </row>
    <row r="10664" spans="1:1">
      <c r="A10664" s="346"/>
    </row>
    <row r="10665" spans="1:1">
      <c r="A10665" s="346"/>
    </row>
    <row r="10666" spans="1:1">
      <c r="A10666" s="346"/>
    </row>
    <row r="10667" spans="1:1">
      <c r="A10667" s="346"/>
    </row>
    <row r="10668" spans="1:1">
      <c r="A10668" s="346"/>
    </row>
    <row r="10669" spans="1:1">
      <c r="A10669" s="346"/>
    </row>
    <row r="10670" spans="1:1">
      <c r="A10670" s="346"/>
    </row>
    <row r="10671" spans="1:1">
      <c r="A10671" s="346"/>
    </row>
    <row r="10672" spans="1:1">
      <c r="A10672" s="346"/>
    </row>
    <row r="10673" spans="1:1">
      <c r="A10673" s="346"/>
    </row>
    <row r="10674" spans="1:1">
      <c r="A10674" s="346"/>
    </row>
    <row r="10675" spans="1:1">
      <c r="A10675" s="346"/>
    </row>
    <row r="10676" spans="1:1">
      <c r="A10676" s="346"/>
    </row>
    <row r="10677" spans="1:1">
      <c r="A10677" s="346"/>
    </row>
    <row r="10678" spans="1:1">
      <c r="A10678" s="346"/>
    </row>
    <row r="10679" spans="1:1">
      <c r="A10679" s="346"/>
    </row>
    <row r="10680" spans="1:1">
      <c r="A10680" s="346"/>
    </row>
    <row r="10681" spans="1:1">
      <c r="A10681" s="346"/>
    </row>
    <row r="10682" spans="1:1">
      <c r="A10682" s="346"/>
    </row>
    <row r="10683" spans="1:1">
      <c r="A10683" s="346"/>
    </row>
    <row r="10684" spans="1:1">
      <c r="A10684" s="346"/>
    </row>
    <row r="10685" spans="1:1">
      <c r="A10685" s="346"/>
    </row>
    <row r="10686" spans="1:1">
      <c r="A10686" s="346"/>
    </row>
    <row r="10687" spans="1:1">
      <c r="A10687" s="346"/>
    </row>
    <row r="10688" spans="1:1">
      <c r="A10688" s="346"/>
    </row>
    <row r="10689" spans="1:1">
      <c r="A10689" s="346"/>
    </row>
    <row r="10690" spans="1:1">
      <c r="A10690" s="346"/>
    </row>
    <row r="10691" spans="1:1">
      <c r="A10691" s="346"/>
    </row>
    <row r="10692" spans="1:1">
      <c r="A10692" s="346"/>
    </row>
    <row r="10693" spans="1:1">
      <c r="A10693" s="346"/>
    </row>
    <row r="10694" spans="1:1">
      <c r="A10694" s="346"/>
    </row>
    <row r="10695" spans="1:1">
      <c r="A10695" s="346"/>
    </row>
    <row r="10696" spans="1:1">
      <c r="A10696" s="346"/>
    </row>
    <row r="10697" spans="1:1">
      <c r="A10697" s="346"/>
    </row>
    <row r="10698" spans="1:1">
      <c r="A10698" s="346"/>
    </row>
    <row r="10699" spans="1:1">
      <c r="A10699" s="346"/>
    </row>
    <row r="10700" spans="1:1">
      <c r="A10700" s="346"/>
    </row>
    <row r="10701" spans="1:1">
      <c r="A10701" s="346"/>
    </row>
    <row r="10702" spans="1:1">
      <c r="A10702" s="346"/>
    </row>
    <row r="10703" spans="1:1">
      <c r="A10703" s="346"/>
    </row>
    <row r="10704" spans="1:1">
      <c r="A10704" s="346"/>
    </row>
    <row r="10705" spans="1:1">
      <c r="A10705" s="346"/>
    </row>
    <row r="10706" spans="1:1">
      <c r="A10706" s="346"/>
    </row>
    <row r="10707" spans="1:1">
      <c r="A10707" s="346"/>
    </row>
    <row r="10708" spans="1:1">
      <c r="A10708" s="346"/>
    </row>
    <row r="10709" spans="1:1">
      <c r="A10709" s="346"/>
    </row>
    <row r="10710" spans="1:1">
      <c r="A10710" s="346"/>
    </row>
    <row r="10711" spans="1:1">
      <c r="A10711" s="346"/>
    </row>
    <row r="10712" spans="1:1">
      <c r="A10712" s="346"/>
    </row>
    <row r="10713" spans="1:1">
      <c r="A10713" s="346"/>
    </row>
    <row r="10714" spans="1:1">
      <c r="A10714" s="346"/>
    </row>
    <row r="10715" spans="1:1">
      <c r="A10715" s="346"/>
    </row>
    <row r="10716" spans="1:1">
      <c r="A10716" s="346"/>
    </row>
    <row r="10717" spans="1:1">
      <c r="A10717" s="346"/>
    </row>
    <row r="10718" spans="1:1">
      <c r="A10718" s="346"/>
    </row>
    <row r="10719" spans="1:1">
      <c r="A10719" s="346"/>
    </row>
    <row r="10720" spans="1:1">
      <c r="A10720" s="346"/>
    </row>
    <row r="10721" spans="1:1">
      <c r="A10721" s="346"/>
    </row>
    <row r="10722" spans="1:1">
      <c r="A10722" s="346"/>
    </row>
    <row r="10723" spans="1:1">
      <c r="A10723" s="346"/>
    </row>
    <row r="10724" spans="1:1">
      <c r="A10724" s="346"/>
    </row>
    <row r="10725" spans="1:1">
      <c r="A10725" s="346"/>
    </row>
    <row r="10726" spans="1:1">
      <c r="A10726" s="346"/>
    </row>
    <row r="10727" spans="1:1">
      <c r="A10727" s="346"/>
    </row>
    <row r="10728" spans="1:1">
      <c r="A10728" s="346"/>
    </row>
    <row r="10729" spans="1:1">
      <c r="A10729" s="346"/>
    </row>
    <row r="10730" spans="1:1">
      <c r="A10730" s="346"/>
    </row>
    <row r="10731" spans="1:1">
      <c r="A10731" s="346"/>
    </row>
    <row r="10732" spans="1:1">
      <c r="A10732" s="346"/>
    </row>
    <row r="10733" spans="1:1">
      <c r="A10733" s="346"/>
    </row>
    <row r="10734" spans="1:1">
      <c r="A10734" s="346"/>
    </row>
    <row r="10735" spans="1:1">
      <c r="A10735" s="346"/>
    </row>
    <row r="10736" spans="1:1">
      <c r="A10736" s="346"/>
    </row>
    <row r="10737" spans="1:1">
      <c r="A10737" s="346"/>
    </row>
    <row r="10738" spans="1:1">
      <c r="A10738" s="346"/>
    </row>
    <row r="10739" spans="1:1">
      <c r="A10739" s="346"/>
    </row>
    <row r="10740" spans="1:1">
      <c r="A10740" s="346"/>
    </row>
    <row r="10741" spans="1:1">
      <c r="A10741" s="346"/>
    </row>
    <row r="10742" spans="1:1">
      <c r="A10742" s="346"/>
    </row>
    <row r="10743" spans="1:1">
      <c r="A10743" s="346"/>
    </row>
    <row r="10744" spans="1:1">
      <c r="A10744" s="346"/>
    </row>
    <row r="10745" spans="1:1">
      <c r="A10745" s="346"/>
    </row>
    <row r="10746" spans="1:1">
      <c r="A10746" s="346"/>
    </row>
    <row r="10747" spans="1:1">
      <c r="A10747" s="346"/>
    </row>
    <row r="10748" spans="1:1">
      <c r="A10748" s="346"/>
    </row>
    <row r="10749" spans="1:1">
      <c r="A10749" s="346"/>
    </row>
    <row r="10750" spans="1:1">
      <c r="A10750" s="346"/>
    </row>
    <row r="10751" spans="1:1">
      <c r="A10751" s="346"/>
    </row>
    <row r="10752" spans="1:1">
      <c r="A10752" s="346"/>
    </row>
    <row r="10753" spans="1:1">
      <c r="A10753" s="346"/>
    </row>
    <row r="10754" spans="1:1">
      <c r="A10754" s="346"/>
    </row>
    <row r="10755" spans="1:1">
      <c r="A10755" s="346"/>
    </row>
    <row r="10756" spans="1:1">
      <c r="A10756" s="346"/>
    </row>
    <row r="10757" spans="1:1">
      <c r="A10757" s="346"/>
    </row>
    <row r="10758" spans="1:1">
      <c r="A10758" s="346"/>
    </row>
    <row r="10759" spans="1:1">
      <c r="A10759" s="346"/>
    </row>
    <row r="10760" spans="1:1">
      <c r="A10760" s="346"/>
    </row>
    <row r="10761" spans="1:1">
      <c r="A10761" s="346"/>
    </row>
    <row r="10762" spans="1:1">
      <c r="A10762" s="346"/>
    </row>
    <row r="10763" spans="1:1">
      <c r="A10763" s="346"/>
    </row>
    <row r="10764" spans="1:1">
      <c r="A10764" s="346"/>
    </row>
    <row r="10765" spans="1:1">
      <c r="A10765" s="346"/>
    </row>
    <row r="10766" spans="1:1">
      <c r="A10766" s="346"/>
    </row>
    <row r="10767" spans="1:1">
      <c r="A10767" s="346"/>
    </row>
    <row r="10768" spans="1:1">
      <c r="A10768" s="346"/>
    </row>
    <row r="10769" spans="1:1">
      <c r="A10769" s="346"/>
    </row>
    <row r="10770" spans="1:1">
      <c r="A10770" s="346"/>
    </row>
    <row r="10771" spans="1:1">
      <c r="A10771" s="346"/>
    </row>
    <row r="10772" spans="1:1">
      <c r="A10772" s="346"/>
    </row>
    <row r="10773" spans="1:1">
      <c r="A10773" s="346"/>
    </row>
    <row r="10774" spans="1:1">
      <c r="A10774" s="346"/>
    </row>
    <row r="10775" spans="1:1">
      <c r="A10775" s="346"/>
    </row>
    <row r="10776" spans="1:1">
      <c r="A10776" s="346"/>
    </row>
    <row r="10777" spans="1:1">
      <c r="A10777" s="346"/>
    </row>
    <row r="10778" spans="1:1">
      <c r="A10778" s="346"/>
    </row>
    <row r="10779" spans="1:1">
      <c r="A10779" s="346"/>
    </row>
    <row r="10780" spans="1:1">
      <c r="A10780" s="346"/>
    </row>
    <row r="10781" spans="1:1">
      <c r="A10781" s="346"/>
    </row>
    <row r="10782" spans="1:1">
      <c r="A10782" s="346"/>
    </row>
    <row r="10783" spans="1:1">
      <c r="A10783" s="346"/>
    </row>
    <row r="10784" spans="1:1">
      <c r="A10784" s="346"/>
    </row>
    <row r="10785" spans="1:1">
      <c r="A10785" s="346"/>
    </row>
    <row r="10786" spans="1:1">
      <c r="A10786" s="346"/>
    </row>
    <row r="10787" spans="1:1">
      <c r="A10787" s="346"/>
    </row>
    <row r="10788" spans="1:1">
      <c r="A10788" s="346"/>
    </row>
    <row r="10789" spans="1:1">
      <c r="A10789" s="346"/>
    </row>
    <row r="10790" spans="1:1">
      <c r="A10790" s="346"/>
    </row>
    <row r="10791" spans="1:1">
      <c r="A10791" s="346"/>
    </row>
    <row r="10792" spans="1:1">
      <c r="A10792" s="346"/>
    </row>
    <row r="10793" spans="1:1">
      <c r="A10793" s="346"/>
    </row>
    <row r="10794" spans="1:1">
      <c r="A10794" s="346"/>
    </row>
    <row r="10795" spans="1:1">
      <c r="A10795" s="346"/>
    </row>
    <row r="10796" spans="1:1">
      <c r="A10796" s="346"/>
    </row>
    <row r="10797" spans="1:1">
      <c r="A10797" s="346"/>
    </row>
    <row r="10798" spans="1:1">
      <c r="A10798" s="346"/>
    </row>
    <row r="10799" spans="1:1">
      <c r="A10799" s="346"/>
    </row>
    <row r="10800" spans="1:1">
      <c r="A10800" s="346"/>
    </row>
    <row r="10801" spans="1:1">
      <c r="A10801" s="346"/>
    </row>
    <row r="10802" spans="1:1">
      <c r="A10802" s="346"/>
    </row>
    <row r="10803" spans="1:1">
      <c r="A10803" s="346"/>
    </row>
    <row r="10804" spans="1:1">
      <c r="A10804" s="346"/>
    </row>
    <row r="10805" spans="1:1">
      <c r="A10805" s="346"/>
    </row>
    <row r="10806" spans="1:1">
      <c r="A10806" s="346"/>
    </row>
    <row r="10807" spans="1:1">
      <c r="A10807" s="346"/>
    </row>
    <row r="10808" spans="1:1">
      <c r="A10808" s="346"/>
    </row>
    <row r="10809" spans="1:1">
      <c r="A10809" s="346"/>
    </row>
    <row r="10810" spans="1:1">
      <c r="A10810" s="346"/>
    </row>
    <row r="10811" spans="1:1">
      <c r="A10811" s="346"/>
    </row>
    <row r="10812" spans="1:1">
      <c r="A10812" s="346"/>
    </row>
    <row r="10813" spans="1:1">
      <c r="A10813" s="346"/>
    </row>
    <row r="10814" spans="1:1">
      <c r="A10814" s="346"/>
    </row>
    <row r="10815" spans="1:1">
      <c r="A10815" s="346"/>
    </row>
    <row r="10816" spans="1:1">
      <c r="A10816" s="346"/>
    </row>
    <row r="10817" spans="1:1">
      <c r="A10817" s="346"/>
    </row>
    <row r="10818" spans="1:1">
      <c r="A10818" s="346"/>
    </row>
    <row r="10819" spans="1:1">
      <c r="A10819" s="346"/>
    </row>
    <row r="10820" spans="1:1">
      <c r="A10820" s="346"/>
    </row>
    <row r="10821" spans="1:1">
      <c r="A10821" s="346"/>
    </row>
    <row r="10822" spans="1:1">
      <c r="A10822" s="346"/>
    </row>
    <row r="10823" spans="1:1">
      <c r="A10823" s="346"/>
    </row>
    <row r="10824" spans="1:1">
      <c r="A10824" s="346"/>
    </row>
    <row r="10825" spans="1:1">
      <c r="A10825" s="346"/>
    </row>
    <row r="10826" spans="1:1">
      <c r="A10826" s="346"/>
    </row>
    <row r="10827" spans="1:1">
      <c r="A10827" s="346"/>
    </row>
    <row r="10828" spans="1:1">
      <c r="A10828" s="346"/>
    </row>
    <row r="10829" spans="1:1">
      <c r="A10829" s="346"/>
    </row>
    <row r="10830" spans="1:1">
      <c r="A10830" s="346"/>
    </row>
    <row r="10831" spans="1:1">
      <c r="A10831" s="346"/>
    </row>
    <row r="10832" spans="1:1">
      <c r="A10832" s="346"/>
    </row>
    <row r="10833" spans="1:1">
      <c r="A10833" s="346"/>
    </row>
    <row r="10834" spans="1:1">
      <c r="A10834" s="346"/>
    </row>
    <row r="10835" spans="1:1">
      <c r="A10835" s="346"/>
    </row>
    <row r="10836" spans="1:1">
      <c r="A10836" s="346"/>
    </row>
    <row r="10837" spans="1:1">
      <c r="A10837" s="346"/>
    </row>
    <row r="10838" spans="1:1">
      <c r="A10838" s="346"/>
    </row>
    <row r="10839" spans="1:1">
      <c r="A10839" s="346"/>
    </row>
    <row r="10840" spans="1:1">
      <c r="A10840" s="346"/>
    </row>
    <row r="10841" spans="1:1">
      <c r="A10841" s="346"/>
    </row>
    <row r="10842" spans="1:1">
      <c r="A10842" s="346"/>
    </row>
    <row r="10843" spans="1:1">
      <c r="A10843" s="346"/>
    </row>
    <row r="10844" spans="1:1">
      <c r="A10844" s="346"/>
    </row>
    <row r="10845" spans="1:1">
      <c r="A10845" s="346"/>
    </row>
    <row r="10846" spans="1:1">
      <c r="A10846" s="346"/>
    </row>
    <row r="10847" spans="1:1">
      <c r="A10847" s="346"/>
    </row>
    <row r="10848" spans="1:1">
      <c r="A10848" s="346"/>
    </row>
    <row r="10849" spans="1:1">
      <c r="A10849" s="346"/>
    </row>
    <row r="10850" spans="1:1">
      <c r="A10850" s="346"/>
    </row>
    <row r="10851" spans="1:1">
      <c r="A10851" s="346"/>
    </row>
    <row r="10852" spans="1:1">
      <c r="A10852" s="346"/>
    </row>
    <row r="10853" spans="1:1">
      <c r="A10853" s="346"/>
    </row>
    <row r="10854" spans="1:1">
      <c r="A10854" s="346"/>
    </row>
    <row r="10855" spans="1:1">
      <c r="A10855" s="346"/>
    </row>
    <row r="10856" spans="1:1">
      <c r="A10856" s="346"/>
    </row>
    <row r="10857" spans="1:1">
      <c r="A10857" s="346"/>
    </row>
    <row r="10858" spans="1:1">
      <c r="A10858" s="346"/>
    </row>
    <row r="10859" spans="1:1">
      <c r="A10859" s="346"/>
    </row>
    <row r="10860" spans="1:1">
      <c r="A10860" s="346"/>
    </row>
    <row r="10861" spans="1:1">
      <c r="A10861" s="346"/>
    </row>
    <row r="10862" spans="1:1">
      <c r="A10862" s="346"/>
    </row>
    <row r="10863" spans="1:1">
      <c r="A10863" s="346"/>
    </row>
    <row r="10864" spans="1:1">
      <c r="A10864" s="346"/>
    </row>
    <row r="10865" spans="1:1">
      <c r="A10865" s="346"/>
    </row>
    <row r="10866" spans="1:1">
      <c r="A10866" s="346"/>
    </row>
    <row r="10867" spans="1:1">
      <c r="A10867" s="346"/>
    </row>
    <row r="10868" spans="1:1">
      <c r="A10868" s="346"/>
    </row>
    <row r="10869" spans="1:1">
      <c r="A10869" s="346"/>
    </row>
    <row r="10870" spans="1:1">
      <c r="A10870" s="346"/>
    </row>
    <row r="10871" spans="1:1">
      <c r="A10871" s="346"/>
    </row>
    <row r="10872" spans="1:1">
      <c r="A10872" s="346"/>
    </row>
    <row r="10873" spans="1:1">
      <c r="A10873" s="346"/>
    </row>
    <row r="10874" spans="1:1">
      <c r="A10874" s="346"/>
    </row>
    <row r="10875" spans="1:1">
      <c r="A10875" s="346"/>
    </row>
    <row r="10876" spans="1:1">
      <c r="A10876" s="346"/>
    </row>
    <row r="10877" spans="1:1">
      <c r="A10877" s="346"/>
    </row>
    <row r="10878" spans="1:1">
      <c r="A10878" s="346"/>
    </row>
    <row r="10879" spans="1:1">
      <c r="A10879" s="346"/>
    </row>
    <row r="10880" spans="1:1">
      <c r="A10880" s="346"/>
    </row>
    <row r="10881" spans="1:1">
      <c r="A10881" s="346"/>
    </row>
    <row r="10882" spans="1:1">
      <c r="A10882" s="346"/>
    </row>
    <row r="10883" spans="1:1">
      <c r="A10883" s="346"/>
    </row>
    <row r="10884" spans="1:1">
      <c r="A10884" s="346"/>
    </row>
    <row r="10885" spans="1:1">
      <c r="A10885" s="346"/>
    </row>
    <row r="10886" spans="1:1">
      <c r="A10886" s="346"/>
    </row>
    <row r="10887" spans="1:1">
      <c r="A10887" s="346"/>
    </row>
    <row r="10888" spans="1:1">
      <c r="A10888" s="346"/>
    </row>
    <row r="10889" spans="1:1">
      <c r="A10889" s="346"/>
    </row>
    <row r="10890" spans="1:1">
      <c r="A10890" s="346"/>
    </row>
    <row r="10891" spans="1:1">
      <c r="A10891" s="346"/>
    </row>
    <row r="10892" spans="1:1">
      <c r="A10892" s="346"/>
    </row>
    <row r="10893" spans="1:1">
      <c r="A10893" s="346"/>
    </row>
    <row r="10894" spans="1:1">
      <c r="A10894" s="346"/>
    </row>
    <row r="10895" spans="1:1">
      <c r="A10895" s="346"/>
    </row>
    <row r="10896" spans="1:1">
      <c r="A10896" s="346"/>
    </row>
    <row r="10897" spans="1:1">
      <c r="A10897" s="346"/>
    </row>
    <row r="10898" spans="1:1">
      <c r="A10898" s="346"/>
    </row>
    <row r="10899" spans="1:1">
      <c r="A10899" s="346"/>
    </row>
    <row r="10900" spans="1:1">
      <c r="A10900" s="346"/>
    </row>
    <row r="10901" spans="1:1">
      <c r="A10901" s="346"/>
    </row>
    <row r="10902" spans="1:1">
      <c r="A10902" s="346"/>
    </row>
    <row r="10903" spans="1:1">
      <c r="A10903" s="346"/>
    </row>
    <row r="10904" spans="1:1">
      <c r="A10904" s="346"/>
    </row>
    <row r="10905" spans="1:1">
      <c r="A10905" s="346"/>
    </row>
    <row r="10906" spans="1:1">
      <c r="A10906" s="346"/>
    </row>
    <row r="10907" spans="1:1">
      <c r="A10907" s="346"/>
    </row>
    <row r="10908" spans="1:1">
      <c r="A10908" s="346"/>
    </row>
    <row r="10909" spans="1:1">
      <c r="A10909" s="346"/>
    </row>
    <row r="10910" spans="1:1">
      <c r="A10910" s="346"/>
    </row>
    <row r="10911" spans="1:1">
      <c r="A10911" s="346"/>
    </row>
    <row r="10912" spans="1:1">
      <c r="A10912" s="346"/>
    </row>
    <row r="10913" spans="1:1">
      <c r="A10913" s="346"/>
    </row>
    <row r="10914" spans="1:1">
      <c r="A10914" s="346"/>
    </row>
    <row r="10915" spans="1:1">
      <c r="A10915" s="346"/>
    </row>
    <row r="10916" spans="1:1">
      <c r="A10916" s="346"/>
    </row>
    <row r="10917" spans="1:1">
      <c r="A10917" s="346"/>
    </row>
    <row r="10918" spans="1:1">
      <c r="A10918" s="346"/>
    </row>
    <row r="10919" spans="1:1">
      <c r="A10919" s="346"/>
    </row>
    <row r="10920" spans="1:1">
      <c r="A10920" s="346"/>
    </row>
    <row r="10921" spans="1:1">
      <c r="A10921" s="346"/>
    </row>
    <row r="10922" spans="1:1">
      <c r="A10922" s="346"/>
    </row>
    <row r="10923" spans="1:1">
      <c r="A10923" s="346"/>
    </row>
    <row r="10924" spans="1:1">
      <c r="A10924" s="346"/>
    </row>
    <row r="10925" spans="1:1">
      <c r="A10925" s="346"/>
    </row>
    <row r="10926" spans="1:1">
      <c r="A10926" s="346"/>
    </row>
    <row r="10927" spans="1:1">
      <c r="A10927" s="346"/>
    </row>
    <row r="10928" spans="1:1">
      <c r="A10928" s="346"/>
    </row>
    <row r="10929" spans="1:1">
      <c r="A10929" s="346"/>
    </row>
    <row r="10930" spans="1:1">
      <c r="A10930" s="346"/>
    </row>
    <row r="10931" spans="1:1">
      <c r="A10931" s="346"/>
    </row>
    <row r="10932" spans="1:1">
      <c r="A10932" s="346"/>
    </row>
    <row r="10933" spans="1:1">
      <c r="A10933" s="346"/>
    </row>
    <row r="10934" spans="1:1">
      <c r="A10934" s="346"/>
    </row>
    <row r="10935" spans="1:1">
      <c r="A10935" s="346"/>
    </row>
    <row r="10936" spans="1:1">
      <c r="A10936" s="346"/>
    </row>
    <row r="10937" spans="1:1">
      <c r="A10937" s="346"/>
    </row>
    <row r="10938" spans="1:1">
      <c r="A10938" s="346"/>
    </row>
    <row r="10939" spans="1:1">
      <c r="A10939" s="346"/>
    </row>
    <row r="10940" spans="1:1">
      <c r="A10940" s="346"/>
    </row>
    <row r="10941" spans="1:1">
      <c r="A10941" s="346"/>
    </row>
    <row r="10942" spans="1:1">
      <c r="A10942" s="346"/>
    </row>
    <row r="10943" spans="1:1">
      <c r="A10943" s="346"/>
    </row>
    <row r="10944" spans="1:1">
      <c r="A10944" s="346"/>
    </row>
    <row r="10945" spans="1:1">
      <c r="A10945" s="346"/>
    </row>
    <row r="10946" spans="1:1">
      <c r="A10946" s="346"/>
    </row>
    <row r="10947" spans="1:1">
      <c r="A10947" s="346"/>
    </row>
    <row r="10948" spans="1:1">
      <c r="A10948" s="346"/>
    </row>
    <row r="10949" spans="1:1">
      <c r="A10949" s="346"/>
    </row>
    <row r="10950" spans="1:1">
      <c r="A10950" s="346"/>
    </row>
    <row r="10951" spans="1:1">
      <c r="A10951" s="346"/>
    </row>
    <row r="10952" spans="1:1">
      <c r="A10952" s="346"/>
    </row>
    <row r="10953" spans="1:1">
      <c r="A10953" s="346"/>
    </row>
    <row r="10954" spans="1:1">
      <c r="A10954" s="346"/>
    </row>
    <row r="10955" spans="1:1">
      <c r="A10955" s="346"/>
    </row>
    <row r="10956" spans="1:1">
      <c r="A10956" s="346"/>
    </row>
    <row r="10957" spans="1:1">
      <c r="A10957" s="346"/>
    </row>
    <row r="10958" spans="1:1">
      <c r="A10958" s="346"/>
    </row>
    <row r="10959" spans="1:1">
      <c r="A10959" s="346"/>
    </row>
    <row r="10960" spans="1:1">
      <c r="A10960" s="346"/>
    </row>
    <row r="10961" spans="1:1">
      <c r="A10961" s="346"/>
    </row>
    <row r="10962" spans="1:1">
      <c r="A10962" s="346"/>
    </row>
    <row r="10963" spans="1:1">
      <c r="A10963" s="346"/>
    </row>
    <row r="10964" spans="1:1">
      <c r="A10964" s="346"/>
    </row>
    <row r="10965" spans="1:1">
      <c r="A10965" s="346"/>
    </row>
    <row r="10966" spans="1:1">
      <c r="A10966" s="346"/>
    </row>
    <row r="10967" spans="1:1">
      <c r="A10967" s="346"/>
    </row>
    <row r="10968" spans="1:1">
      <c r="A10968" s="346"/>
    </row>
    <row r="10969" spans="1:1">
      <c r="A10969" s="346"/>
    </row>
    <row r="10970" spans="1:1">
      <c r="A10970" s="346"/>
    </row>
    <row r="10971" spans="1:1">
      <c r="A10971" s="346"/>
    </row>
    <row r="10972" spans="1:1">
      <c r="A10972" s="346"/>
    </row>
    <row r="10973" spans="1:1">
      <c r="A10973" s="346"/>
    </row>
    <row r="10974" spans="1:1">
      <c r="A10974" s="346"/>
    </row>
    <row r="10975" spans="1:1">
      <c r="A10975" s="346"/>
    </row>
    <row r="10976" spans="1:1">
      <c r="A10976" s="346"/>
    </row>
    <row r="10977" spans="1:1">
      <c r="A10977" s="346"/>
    </row>
    <row r="10978" spans="1:1">
      <c r="A10978" s="346"/>
    </row>
    <row r="10979" spans="1:1">
      <c r="A10979" s="346"/>
    </row>
    <row r="10980" spans="1:1">
      <c r="A10980" s="346"/>
    </row>
    <row r="10981" spans="1:1">
      <c r="A10981" s="346"/>
    </row>
    <row r="10982" spans="1:1">
      <c r="A10982" s="346"/>
    </row>
    <row r="10983" spans="1:1">
      <c r="A10983" s="346"/>
    </row>
    <row r="10984" spans="1:1">
      <c r="A10984" s="346"/>
    </row>
    <row r="10985" spans="1:1">
      <c r="A10985" s="346"/>
    </row>
    <row r="10986" spans="1:1">
      <c r="A10986" s="346"/>
    </row>
    <row r="10987" spans="1:1">
      <c r="A10987" s="346"/>
    </row>
    <row r="10988" spans="1:1">
      <c r="A10988" s="346"/>
    </row>
    <row r="10989" spans="1:1">
      <c r="A10989" s="346"/>
    </row>
    <row r="10990" spans="1:1">
      <c r="A10990" s="346"/>
    </row>
    <row r="10991" spans="1:1">
      <c r="A10991" s="346"/>
    </row>
    <row r="10992" spans="1:1">
      <c r="A10992" s="346"/>
    </row>
    <row r="10993" spans="1:1">
      <c r="A10993" s="346"/>
    </row>
    <row r="10994" spans="1:1">
      <c r="A10994" s="346"/>
    </row>
    <row r="10995" spans="1:1">
      <c r="A10995" s="346"/>
    </row>
    <row r="10996" spans="1:1">
      <c r="A10996" s="346"/>
    </row>
    <row r="10997" spans="1:1">
      <c r="A10997" s="346"/>
    </row>
    <row r="10998" spans="1:1">
      <c r="A10998" s="346"/>
    </row>
    <row r="10999" spans="1:1">
      <c r="A10999" s="346"/>
    </row>
    <row r="11000" spans="1:1">
      <c r="A11000" s="346"/>
    </row>
    <row r="11001" spans="1:1">
      <c r="A11001" s="346"/>
    </row>
    <row r="11002" spans="1:1">
      <c r="A11002" s="346"/>
    </row>
    <row r="11003" spans="1:1">
      <c r="A11003" s="346"/>
    </row>
    <row r="11004" spans="1:1">
      <c r="A11004" s="346"/>
    </row>
    <row r="11005" spans="1:1">
      <c r="A11005" s="346"/>
    </row>
    <row r="11006" spans="1:1">
      <c r="A11006" s="346"/>
    </row>
    <row r="11007" spans="1:1">
      <c r="A11007" s="346"/>
    </row>
    <row r="11008" spans="1:1">
      <c r="A11008" s="346"/>
    </row>
    <row r="11009" spans="1:1">
      <c r="A11009" s="346"/>
    </row>
    <row r="11010" spans="1:1">
      <c r="A11010" s="346"/>
    </row>
    <row r="11011" spans="1:1">
      <c r="A11011" s="346"/>
    </row>
    <row r="11012" spans="1:1">
      <c r="A11012" s="346"/>
    </row>
    <row r="11013" spans="1:1">
      <c r="A11013" s="346"/>
    </row>
    <row r="11014" spans="1:1">
      <c r="A11014" s="346"/>
    </row>
    <row r="11015" spans="1:1">
      <c r="A11015" s="346"/>
    </row>
    <row r="11016" spans="1:1">
      <c r="A11016" s="346"/>
    </row>
    <row r="11017" spans="1:1">
      <c r="A11017" s="346"/>
    </row>
    <row r="11018" spans="1:1">
      <c r="A11018" s="346"/>
    </row>
    <row r="11019" spans="1:1">
      <c r="A11019" s="346"/>
    </row>
    <row r="11020" spans="1:1">
      <c r="A11020" s="346"/>
    </row>
    <row r="11021" spans="1:1">
      <c r="A11021" s="346"/>
    </row>
    <row r="11022" spans="1:1">
      <c r="A11022" s="346"/>
    </row>
    <row r="11023" spans="1:1">
      <c r="A11023" s="346"/>
    </row>
    <row r="11024" spans="1:1">
      <c r="A11024" s="346"/>
    </row>
    <row r="11025" spans="1:1">
      <c r="A11025" s="346"/>
    </row>
    <row r="11026" spans="1:1">
      <c r="A11026" s="346"/>
    </row>
    <row r="11027" spans="1:1">
      <c r="A11027" s="346"/>
    </row>
    <row r="11028" spans="1:1">
      <c r="A11028" s="346"/>
    </row>
    <row r="11029" spans="1:1">
      <c r="A11029" s="346"/>
    </row>
    <row r="11030" spans="1:1">
      <c r="A11030" s="346"/>
    </row>
    <row r="11031" spans="1:1">
      <c r="A11031" s="346"/>
    </row>
    <row r="11032" spans="1:1">
      <c r="A11032" s="346"/>
    </row>
    <row r="11033" spans="1:1">
      <c r="A11033" s="346"/>
    </row>
    <row r="11034" spans="1:1">
      <c r="A11034" s="346"/>
    </row>
    <row r="11035" spans="1:1">
      <c r="A11035" s="346"/>
    </row>
    <row r="11036" spans="1:1">
      <c r="A11036" s="346"/>
    </row>
    <row r="11037" spans="1:1">
      <c r="A11037" s="346"/>
    </row>
    <row r="11038" spans="1:1">
      <c r="A11038" s="346"/>
    </row>
    <row r="11039" spans="1:1">
      <c r="A11039" s="346"/>
    </row>
    <row r="11040" spans="1:1">
      <c r="A11040" s="346"/>
    </row>
    <row r="11041" spans="1:1">
      <c r="A11041" s="346"/>
    </row>
    <row r="11042" spans="1:1">
      <c r="A11042" s="346"/>
    </row>
    <row r="11043" spans="1:1">
      <c r="A11043" s="346"/>
    </row>
    <row r="11044" spans="1:1">
      <c r="A11044" s="346"/>
    </row>
    <row r="11045" spans="1:1">
      <c r="A11045" s="346"/>
    </row>
    <row r="11046" spans="1:1">
      <c r="A11046" s="346"/>
    </row>
    <row r="11047" spans="1:1">
      <c r="A11047" s="346"/>
    </row>
    <row r="11048" spans="1:1">
      <c r="A11048" s="346"/>
    </row>
    <row r="11049" spans="1:1">
      <c r="A11049" s="346"/>
    </row>
    <row r="11050" spans="1:1">
      <c r="A11050" s="346"/>
    </row>
    <row r="11051" spans="1:1">
      <c r="A11051" s="346"/>
    </row>
    <row r="11052" spans="1:1">
      <c r="A11052" s="346"/>
    </row>
    <row r="11053" spans="1:1">
      <c r="A11053" s="346"/>
    </row>
    <row r="11054" spans="1:1">
      <c r="A11054" s="346"/>
    </row>
    <row r="11055" spans="1:1">
      <c r="A11055" s="346"/>
    </row>
    <row r="11056" spans="1:1">
      <c r="A11056" s="346"/>
    </row>
    <row r="11057" spans="1:1">
      <c r="A11057" s="346"/>
    </row>
    <row r="11058" spans="1:1">
      <c r="A11058" s="346"/>
    </row>
    <row r="11059" spans="1:1">
      <c r="A11059" s="346"/>
    </row>
    <row r="11060" spans="1:1">
      <c r="A11060" s="346"/>
    </row>
    <row r="11061" spans="1:1">
      <c r="A11061" s="346"/>
    </row>
    <row r="11062" spans="1:1">
      <c r="A11062" s="346"/>
    </row>
    <row r="11063" spans="1:1">
      <c r="A11063" s="346"/>
    </row>
    <row r="11064" spans="1:1">
      <c r="A11064" s="346"/>
    </row>
    <row r="11065" spans="1:1">
      <c r="A11065" s="346"/>
    </row>
    <row r="11066" spans="1:1">
      <c r="A11066" s="346"/>
    </row>
    <row r="11067" spans="1:1">
      <c r="A11067" s="346"/>
    </row>
    <row r="11068" spans="1:1">
      <c r="A11068" s="346"/>
    </row>
    <row r="11069" spans="1:1">
      <c r="A11069" s="346"/>
    </row>
    <row r="11070" spans="1:1">
      <c r="A11070" s="346"/>
    </row>
    <row r="11071" spans="1:1">
      <c r="A11071" s="346"/>
    </row>
    <row r="11072" spans="1:1">
      <c r="A11072" s="346"/>
    </row>
    <row r="11073" spans="1:1">
      <c r="A11073" s="346"/>
    </row>
    <row r="11074" spans="1:1">
      <c r="A11074" s="346"/>
    </row>
    <row r="11075" spans="1:1">
      <c r="A11075" s="346"/>
    </row>
    <row r="11076" spans="1:1">
      <c r="A11076" s="346"/>
    </row>
    <row r="11077" spans="1:1">
      <c r="A11077" s="346"/>
    </row>
    <row r="11078" spans="1:1">
      <c r="A11078" s="346"/>
    </row>
    <row r="11079" spans="1:1">
      <c r="A11079" s="346"/>
    </row>
    <row r="11080" spans="1:1">
      <c r="A11080" s="346"/>
    </row>
    <row r="11081" spans="1:1">
      <c r="A11081" s="346"/>
    </row>
    <row r="11082" spans="1:1">
      <c r="A11082" s="346"/>
    </row>
    <row r="11083" spans="1:1">
      <c r="A11083" s="346"/>
    </row>
    <row r="11084" spans="1:1">
      <c r="A11084" s="346"/>
    </row>
    <row r="11085" spans="1:1">
      <c r="A11085" s="346"/>
    </row>
    <row r="11086" spans="1:1">
      <c r="A11086" s="346"/>
    </row>
    <row r="11087" spans="1:1">
      <c r="A11087" s="346"/>
    </row>
    <row r="11088" spans="1:1">
      <c r="A11088" s="346"/>
    </row>
    <row r="11089" spans="1:1">
      <c r="A11089" s="346"/>
    </row>
    <row r="11090" spans="1:1">
      <c r="A11090" s="346"/>
    </row>
    <row r="11091" spans="1:1">
      <c r="A11091" s="346"/>
    </row>
    <row r="11092" spans="1:1">
      <c r="A11092" s="346"/>
    </row>
    <row r="11093" spans="1:1">
      <c r="A11093" s="346"/>
    </row>
    <row r="11094" spans="1:1">
      <c r="A11094" s="346"/>
    </row>
    <row r="11095" spans="1:1">
      <c r="A11095" s="346"/>
    </row>
    <row r="11096" spans="1:1">
      <c r="A11096" s="346"/>
    </row>
    <row r="11097" spans="1:1">
      <c r="A11097" s="346"/>
    </row>
    <row r="11098" spans="1:1">
      <c r="A11098" s="346"/>
    </row>
    <row r="11099" spans="1:1">
      <c r="A11099" s="346"/>
    </row>
    <row r="11100" spans="1:1">
      <c r="A11100" s="346"/>
    </row>
    <row r="11101" spans="1:1">
      <c r="A11101" s="346"/>
    </row>
    <row r="11102" spans="1:1">
      <c r="A11102" s="346"/>
    </row>
    <row r="11103" spans="1:1">
      <c r="A11103" s="346"/>
    </row>
    <row r="11104" spans="1:1">
      <c r="A11104" s="346"/>
    </row>
    <row r="11105" spans="1:1">
      <c r="A11105" s="346"/>
    </row>
    <row r="11106" spans="1:1">
      <c r="A11106" s="346"/>
    </row>
    <row r="11107" spans="1:1">
      <c r="A11107" s="346"/>
    </row>
    <row r="11108" spans="1:1">
      <c r="A11108" s="346"/>
    </row>
    <row r="11109" spans="1:1">
      <c r="A11109" s="346"/>
    </row>
    <row r="11110" spans="1:1">
      <c r="A11110" s="346"/>
    </row>
    <row r="11111" spans="1:1">
      <c r="A11111" s="346"/>
    </row>
    <row r="11112" spans="1:1">
      <c r="A11112" s="346"/>
    </row>
    <row r="11113" spans="1:1">
      <c r="A11113" s="346"/>
    </row>
    <row r="11114" spans="1:1">
      <c r="A11114" s="346"/>
    </row>
    <row r="11115" spans="1:1">
      <c r="A11115" s="346"/>
    </row>
    <row r="11116" spans="1:1">
      <c r="A11116" s="346"/>
    </row>
    <row r="11117" spans="1:1">
      <c r="A11117" s="346"/>
    </row>
    <row r="11118" spans="1:1">
      <c r="A11118" s="346"/>
    </row>
    <row r="11119" spans="1:1">
      <c r="A11119" s="346"/>
    </row>
    <row r="11120" spans="1:1">
      <c r="A11120" s="346"/>
    </row>
    <row r="11121" spans="1:1">
      <c r="A11121" s="346"/>
    </row>
    <row r="11122" spans="1:1">
      <c r="A11122" s="346"/>
    </row>
    <row r="11123" spans="1:1">
      <c r="A11123" s="346"/>
    </row>
    <row r="11124" spans="1:1">
      <c r="A11124" s="346"/>
    </row>
    <row r="11125" spans="1:1">
      <c r="A11125" s="346"/>
    </row>
    <row r="11126" spans="1:1">
      <c r="A11126" s="346"/>
    </row>
    <row r="11127" spans="1:1">
      <c r="A11127" s="346"/>
    </row>
    <row r="11128" spans="1:1">
      <c r="A11128" s="346"/>
    </row>
    <row r="11129" spans="1:1">
      <c r="A11129" s="346"/>
    </row>
    <row r="11130" spans="1:1">
      <c r="A11130" s="346"/>
    </row>
    <row r="11131" spans="1:1">
      <c r="A11131" s="346"/>
    </row>
    <row r="11132" spans="1:1">
      <c r="A11132" s="346"/>
    </row>
    <row r="11133" spans="1:1">
      <c r="A11133" s="346"/>
    </row>
    <row r="11134" spans="1:1">
      <c r="A11134" s="346"/>
    </row>
    <row r="11135" spans="1:1">
      <c r="A11135" s="346"/>
    </row>
    <row r="11136" spans="1:1">
      <c r="A11136" s="346"/>
    </row>
    <row r="11137" spans="1:1">
      <c r="A11137" s="346"/>
    </row>
    <row r="11138" spans="1:1">
      <c r="A11138" s="346"/>
    </row>
    <row r="11139" spans="1:1">
      <c r="A11139" s="346"/>
    </row>
    <row r="11140" spans="1:1">
      <c r="A11140" s="346"/>
    </row>
    <row r="11141" spans="1:1">
      <c r="A11141" s="346"/>
    </row>
    <row r="11142" spans="1:1">
      <c r="A11142" s="346"/>
    </row>
    <row r="11143" spans="1:1">
      <c r="A11143" s="346"/>
    </row>
    <row r="11144" spans="1:1">
      <c r="A11144" s="346"/>
    </row>
    <row r="11145" spans="1:1">
      <c r="A11145" s="346"/>
    </row>
    <row r="11146" spans="1:1">
      <c r="A11146" s="346"/>
    </row>
    <row r="11147" spans="1:1">
      <c r="A11147" s="346"/>
    </row>
    <row r="11148" spans="1:1">
      <c r="A11148" s="346"/>
    </row>
    <row r="11149" spans="1:1">
      <c r="A11149" s="346"/>
    </row>
    <row r="11150" spans="1:1">
      <c r="A11150" s="346"/>
    </row>
    <row r="11151" spans="1:1">
      <c r="A11151" s="346"/>
    </row>
    <row r="11152" spans="1:1">
      <c r="A11152" s="346"/>
    </row>
    <row r="11153" spans="1:1">
      <c r="A11153" s="346"/>
    </row>
    <row r="11154" spans="1:1">
      <c r="A11154" s="346"/>
    </row>
    <row r="11155" spans="1:1">
      <c r="A11155" s="346"/>
    </row>
    <row r="11156" spans="1:1">
      <c r="A11156" s="346"/>
    </row>
    <row r="11157" spans="1:1">
      <c r="A11157" s="346"/>
    </row>
    <row r="11158" spans="1:1">
      <c r="A11158" s="346"/>
    </row>
    <row r="11159" spans="1:1">
      <c r="A11159" s="346"/>
    </row>
    <row r="11160" spans="1:1">
      <c r="A11160" s="346"/>
    </row>
    <row r="11161" spans="1:1">
      <c r="A11161" s="346"/>
    </row>
    <row r="11162" spans="1:1">
      <c r="A11162" s="346"/>
    </row>
    <row r="11163" spans="1:1">
      <c r="A11163" s="346"/>
    </row>
    <row r="11164" spans="1:1">
      <c r="A11164" s="346"/>
    </row>
    <row r="11165" spans="1:1">
      <c r="A11165" s="346"/>
    </row>
    <row r="11166" spans="1:1">
      <c r="A11166" s="346"/>
    </row>
    <row r="11167" spans="1:1">
      <c r="A11167" s="346"/>
    </row>
    <row r="11168" spans="1:1">
      <c r="A11168" s="346"/>
    </row>
    <row r="11169" spans="1:1">
      <c r="A11169" s="346"/>
    </row>
    <row r="11170" spans="1:1">
      <c r="A11170" s="346"/>
    </row>
    <row r="11171" spans="1:1">
      <c r="A11171" s="346"/>
    </row>
    <row r="11172" spans="1:1">
      <c r="A11172" s="346"/>
    </row>
    <row r="11173" spans="1:1">
      <c r="A11173" s="346"/>
    </row>
    <row r="11174" spans="1:1">
      <c r="A11174" s="346"/>
    </row>
    <row r="11175" spans="1:1">
      <c r="A11175" s="346"/>
    </row>
    <row r="11176" spans="1:1">
      <c r="A11176" s="346"/>
    </row>
    <row r="11177" spans="1:1">
      <c r="A11177" s="346"/>
    </row>
    <row r="11178" spans="1:1">
      <c r="A11178" s="346"/>
    </row>
    <row r="11179" spans="1:1">
      <c r="A11179" s="346"/>
    </row>
    <row r="11180" spans="1:1">
      <c r="A11180" s="346"/>
    </row>
    <row r="11181" spans="1:1">
      <c r="A11181" s="346"/>
    </row>
    <row r="11182" spans="1:1">
      <c r="A11182" s="346"/>
    </row>
    <row r="11183" spans="1:1">
      <c r="A11183" s="346"/>
    </row>
    <row r="11184" spans="1:1">
      <c r="A11184" s="346"/>
    </row>
    <row r="11185" spans="1:1">
      <c r="A11185" s="346"/>
    </row>
    <row r="11186" spans="1:1">
      <c r="A11186" s="346"/>
    </row>
    <row r="11187" spans="1:1">
      <c r="A11187" s="346"/>
    </row>
    <row r="11188" spans="1:1">
      <c r="A11188" s="346"/>
    </row>
    <row r="11189" spans="1:1">
      <c r="A11189" s="346"/>
    </row>
    <row r="11190" spans="1:1">
      <c r="A11190" s="346"/>
    </row>
    <row r="11191" spans="1:1">
      <c r="A11191" s="346"/>
    </row>
    <row r="11192" spans="1:1">
      <c r="A11192" s="346"/>
    </row>
    <row r="11193" spans="1:1">
      <c r="A11193" s="346"/>
    </row>
    <row r="11194" spans="1:1">
      <c r="A11194" s="346"/>
    </row>
    <row r="11195" spans="1:1">
      <c r="A11195" s="346"/>
    </row>
    <row r="11196" spans="1:1">
      <c r="A11196" s="346"/>
    </row>
    <row r="11197" spans="1:1">
      <c r="A11197" s="346"/>
    </row>
    <row r="11198" spans="1:1">
      <c r="A11198" s="346"/>
    </row>
    <row r="11199" spans="1:1">
      <c r="A11199" s="346"/>
    </row>
    <row r="11200" spans="1:1">
      <c r="A11200" s="346"/>
    </row>
    <row r="11201" spans="1:1">
      <c r="A11201" s="346"/>
    </row>
    <row r="11202" spans="1:1">
      <c r="A11202" s="346"/>
    </row>
    <row r="11203" spans="1:1">
      <c r="A11203" s="346"/>
    </row>
    <row r="11204" spans="1:1">
      <c r="A11204" s="346"/>
    </row>
    <row r="11205" spans="1:1">
      <c r="A11205" s="346"/>
    </row>
    <row r="11206" spans="1:1">
      <c r="A11206" s="346"/>
    </row>
    <row r="11207" spans="1:1">
      <c r="A11207" s="346"/>
    </row>
    <row r="11208" spans="1:1">
      <c r="A11208" s="346"/>
    </row>
    <row r="11209" spans="1:1">
      <c r="A11209" s="346"/>
    </row>
    <row r="11210" spans="1:1">
      <c r="A11210" s="346"/>
    </row>
    <row r="11211" spans="1:1">
      <c r="A11211" s="346"/>
    </row>
    <row r="11212" spans="1:1">
      <c r="A11212" s="346"/>
    </row>
    <row r="11213" spans="1:1">
      <c r="A11213" s="346"/>
    </row>
    <row r="11214" spans="1:1">
      <c r="A11214" s="346"/>
    </row>
    <row r="11215" spans="1:1">
      <c r="A11215" s="346"/>
    </row>
    <row r="11216" spans="1:1">
      <c r="A11216" s="346"/>
    </row>
    <row r="11217" spans="1:1">
      <c r="A11217" s="346"/>
    </row>
    <row r="11218" spans="1:1">
      <c r="A11218" s="346"/>
    </row>
    <row r="11219" spans="1:1">
      <c r="A11219" s="346"/>
    </row>
    <row r="11220" spans="1:1">
      <c r="A11220" s="346"/>
    </row>
    <row r="11221" spans="1:1">
      <c r="A11221" s="346"/>
    </row>
    <row r="11222" spans="1:1">
      <c r="A11222" s="346"/>
    </row>
    <row r="11223" spans="1:1">
      <c r="A11223" s="346"/>
    </row>
    <row r="11224" spans="1:1">
      <c r="A11224" s="346"/>
    </row>
    <row r="11225" spans="1:1">
      <c r="A11225" s="346"/>
    </row>
    <row r="11226" spans="1:1">
      <c r="A11226" s="346"/>
    </row>
    <row r="11227" spans="1:1">
      <c r="A11227" s="346"/>
    </row>
    <row r="11228" spans="1:1">
      <c r="A11228" s="346"/>
    </row>
    <row r="11229" spans="1:1">
      <c r="A11229" s="346"/>
    </row>
    <row r="11230" spans="1:1">
      <c r="A11230" s="346"/>
    </row>
    <row r="11231" spans="1:1">
      <c r="A11231" s="346"/>
    </row>
    <row r="11232" spans="1:1">
      <c r="A11232" s="346"/>
    </row>
    <row r="11233" spans="1:1">
      <c r="A11233" s="346"/>
    </row>
    <row r="11234" spans="1:1">
      <c r="A11234" s="346"/>
    </row>
    <row r="11235" spans="1:1">
      <c r="A11235" s="346"/>
    </row>
    <row r="11236" spans="1:1">
      <c r="A11236" s="346"/>
    </row>
    <row r="11237" spans="1:1">
      <c r="A11237" s="346"/>
    </row>
    <row r="11238" spans="1:1">
      <c r="A11238" s="346"/>
    </row>
    <row r="11239" spans="1:1">
      <c r="A11239" s="346"/>
    </row>
    <row r="11240" spans="1:1">
      <c r="A11240" s="346"/>
    </row>
    <row r="11241" spans="1:1">
      <c r="A11241" s="346"/>
    </row>
    <row r="11242" spans="1:1">
      <c r="A11242" s="346"/>
    </row>
    <row r="11243" spans="1:1">
      <c r="A11243" s="346"/>
    </row>
    <row r="11244" spans="1:1">
      <c r="A11244" s="346"/>
    </row>
    <row r="11245" spans="1:1">
      <c r="A11245" s="346"/>
    </row>
    <row r="11246" spans="1:1">
      <c r="A11246" s="346"/>
    </row>
    <row r="11247" spans="1:1">
      <c r="A11247" s="346"/>
    </row>
    <row r="11248" spans="1:1">
      <c r="A11248" s="346"/>
    </row>
    <row r="11249" spans="1:1">
      <c r="A11249" s="346"/>
    </row>
    <row r="11250" spans="1:1">
      <c r="A11250" s="346"/>
    </row>
    <row r="11251" spans="1:1">
      <c r="A11251" s="346"/>
    </row>
    <row r="11252" spans="1:1">
      <c r="A11252" s="346"/>
    </row>
    <row r="11253" spans="1:1">
      <c r="A11253" s="346"/>
    </row>
    <row r="11254" spans="1:1">
      <c r="A11254" s="346"/>
    </row>
    <row r="11255" spans="1:1">
      <c r="A11255" s="346"/>
    </row>
    <row r="11256" spans="1:1">
      <c r="A11256" s="346"/>
    </row>
    <row r="11257" spans="1:1">
      <c r="A11257" s="346"/>
    </row>
    <row r="11258" spans="1:1">
      <c r="A11258" s="346"/>
    </row>
    <row r="11259" spans="1:1">
      <c r="A11259" s="346"/>
    </row>
    <row r="11260" spans="1:1">
      <c r="A11260" s="346"/>
    </row>
    <row r="11261" spans="1:1">
      <c r="A11261" s="346"/>
    </row>
    <row r="11262" spans="1:1">
      <c r="A11262" s="346"/>
    </row>
    <row r="11263" spans="1:1">
      <c r="A11263" s="346"/>
    </row>
    <row r="11264" spans="1:1">
      <c r="A11264" s="346"/>
    </row>
    <row r="11265" spans="1:1">
      <c r="A11265" s="346"/>
    </row>
    <row r="11266" spans="1:1">
      <c r="A11266" s="346"/>
    </row>
    <row r="11267" spans="1:1">
      <c r="A11267" s="346"/>
    </row>
    <row r="11268" spans="1:1">
      <c r="A11268" s="346"/>
    </row>
    <row r="11269" spans="1:1">
      <c r="A11269" s="346"/>
    </row>
    <row r="11270" spans="1:1">
      <c r="A11270" s="346"/>
    </row>
    <row r="11271" spans="1:1">
      <c r="A11271" s="346"/>
    </row>
    <row r="11272" spans="1:1">
      <c r="A11272" s="346"/>
    </row>
    <row r="11273" spans="1:1">
      <c r="A11273" s="346"/>
    </row>
    <row r="11274" spans="1:1">
      <c r="A11274" s="346"/>
    </row>
    <row r="11275" spans="1:1">
      <c r="A11275" s="346"/>
    </row>
    <row r="11276" spans="1:1">
      <c r="A11276" s="346"/>
    </row>
    <row r="11277" spans="1:1">
      <c r="A11277" s="346"/>
    </row>
    <row r="11278" spans="1:1">
      <c r="A11278" s="346"/>
    </row>
    <row r="11279" spans="1:1">
      <c r="A11279" s="346"/>
    </row>
    <row r="11280" spans="1:1">
      <c r="A11280" s="346"/>
    </row>
    <row r="11281" spans="1:1">
      <c r="A11281" s="346"/>
    </row>
    <row r="11282" spans="1:1">
      <c r="A11282" s="346"/>
    </row>
    <row r="11283" spans="1:1">
      <c r="A11283" s="346"/>
    </row>
    <row r="11284" spans="1:1">
      <c r="A11284" s="346"/>
    </row>
    <row r="11285" spans="1:1">
      <c r="A11285" s="346"/>
    </row>
    <row r="11286" spans="1:1">
      <c r="A11286" s="346"/>
    </row>
    <row r="11287" spans="1:1">
      <c r="A11287" s="346"/>
    </row>
    <row r="11288" spans="1:1">
      <c r="A11288" s="346"/>
    </row>
    <row r="11289" spans="1:1">
      <c r="A11289" s="346"/>
    </row>
    <row r="11290" spans="1:1">
      <c r="A11290" s="346"/>
    </row>
    <row r="11291" spans="1:1">
      <c r="A11291" s="346"/>
    </row>
    <row r="11292" spans="1:1">
      <c r="A11292" s="346"/>
    </row>
    <row r="11293" spans="1:1">
      <c r="A11293" s="346"/>
    </row>
    <row r="11294" spans="1:1">
      <c r="A11294" s="346"/>
    </row>
    <row r="11295" spans="1:1">
      <c r="A11295" s="346"/>
    </row>
    <row r="11296" spans="1:1">
      <c r="A11296" s="346"/>
    </row>
    <row r="11297" spans="1:1">
      <c r="A11297" s="346"/>
    </row>
    <row r="11298" spans="1:1">
      <c r="A11298" s="346"/>
    </row>
    <row r="11299" spans="1:1">
      <c r="A11299" s="346"/>
    </row>
    <row r="11300" spans="1:1">
      <c r="A11300" s="346"/>
    </row>
    <row r="11301" spans="1:1">
      <c r="A11301" s="346"/>
    </row>
    <row r="11302" spans="1:1">
      <c r="A11302" s="346"/>
    </row>
    <row r="11303" spans="1:1">
      <c r="A11303" s="346"/>
    </row>
    <row r="11304" spans="1:1">
      <c r="A11304" s="346"/>
    </row>
    <row r="11305" spans="1:1">
      <c r="A11305" s="346"/>
    </row>
    <row r="11306" spans="1:1">
      <c r="A11306" s="346"/>
    </row>
    <row r="11307" spans="1:1">
      <c r="A11307" s="346"/>
    </row>
    <row r="11308" spans="1:1">
      <c r="A11308" s="346"/>
    </row>
    <row r="11309" spans="1:1">
      <c r="A11309" s="346"/>
    </row>
    <row r="11310" spans="1:1">
      <c r="A11310" s="346"/>
    </row>
    <row r="11311" spans="1:1">
      <c r="A11311" s="346"/>
    </row>
    <row r="11312" spans="1:1">
      <c r="A11312" s="346"/>
    </row>
    <row r="11313" spans="1:1">
      <c r="A11313" s="346"/>
    </row>
    <row r="11314" spans="1:1">
      <c r="A11314" s="346"/>
    </row>
    <row r="11315" spans="1:1">
      <c r="A11315" s="346"/>
    </row>
    <row r="11316" spans="1:1">
      <c r="A11316" s="346"/>
    </row>
    <row r="11317" spans="1:1">
      <c r="A11317" s="346"/>
    </row>
    <row r="11318" spans="1:1">
      <c r="A11318" s="346"/>
    </row>
    <row r="11319" spans="1:1">
      <c r="A11319" s="346"/>
    </row>
    <row r="11320" spans="1:1">
      <c r="A11320" s="346"/>
    </row>
    <row r="11321" spans="1:1">
      <c r="A11321" s="346"/>
    </row>
    <row r="11322" spans="1:1">
      <c r="A11322" s="346"/>
    </row>
    <row r="11323" spans="1:1">
      <c r="A11323" s="346"/>
    </row>
    <row r="11324" spans="1:1">
      <c r="A11324" s="346"/>
    </row>
    <row r="11325" spans="1:1">
      <c r="A11325" s="346"/>
    </row>
    <row r="11326" spans="1:1">
      <c r="A11326" s="346"/>
    </row>
    <row r="11327" spans="1:1">
      <c r="A11327" s="346"/>
    </row>
    <row r="11328" spans="1:1">
      <c r="A11328" s="346"/>
    </row>
    <row r="11329" spans="1:1">
      <c r="A11329" s="346"/>
    </row>
    <row r="11330" spans="1:1">
      <c r="A11330" s="346"/>
    </row>
    <row r="11331" spans="1:1">
      <c r="A11331" s="346"/>
    </row>
    <row r="11332" spans="1:1">
      <c r="A11332" s="346"/>
    </row>
    <row r="11333" spans="1:1">
      <c r="A11333" s="346"/>
    </row>
    <row r="11334" spans="1:1">
      <c r="A11334" s="346"/>
    </row>
    <row r="11335" spans="1:1">
      <c r="A11335" s="346"/>
    </row>
    <row r="11336" spans="1:1">
      <c r="A11336" s="346"/>
    </row>
    <row r="11337" spans="1:1">
      <c r="A11337" s="346"/>
    </row>
    <row r="11338" spans="1:1">
      <c r="A11338" s="346"/>
    </row>
    <row r="11339" spans="1:1">
      <c r="A11339" s="346"/>
    </row>
    <row r="11340" spans="1:1">
      <c r="A11340" s="346"/>
    </row>
    <row r="11341" spans="1:1">
      <c r="A11341" s="346"/>
    </row>
    <row r="11342" spans="1:1">
      <c r="A11342" s="346"/>
    </row>
    <row r="11343" spans="1:1">
      <c r="A11343" s="346"/>
    </row>
    <row r="11344" spans="1:1">
      <c r="A11344" s="346"/>
    </row>
    <row r="11345" spans="1:1">
      <c r="A11345" s="346"/>
    </row>
    <row r="11346" spans="1:1">
      <c r="A11346" s="346"/>
    </row>
    <row r="11347" spans="1:1">
      <c r="A11347" s="346"/>
    </row>
    <row r="11348" spans="1:1">
      <c r="A11348" s="346"/>
    </row>
    <row r="11349" spans="1:1">
      <c r="A11349" s="346"/>
    </row>
    <row r="11350" spans="1:1">
      <c r="A11350" s="346"/>
    </row>
    <row r="11351" spans="1:1">
      <c r="A11351" s="346"/>
    </row>
    <row r="11352" spans="1:1">
      <c r="A11352" s="346"/>
    </row>
    <row r="11353" spans="1:1">
      <c r="A11353" s="346"/>
    </row>
    <row r="11354" spans="1:1">
      <c r="A11354" s="346"/>
    </row>
    <row r="11355" spans="1:1">
      <c r="A11355" s="346"/>
    </row>
    <row r="11356" spans="1:1">
      <c r="A11356" s="346"/>
    </row>
    <row r="11357" spans="1:1">
      <c r="A11357" s="346"/>
    </row>
    <row r="11358" spans="1:1">
      <c r="A11358" s="346"/>
    </row>
    <row r="11359" spans="1:1">
      <c r="A11359" s="346"/>
    </row>
    <row r="11360" spans="1:1">
      <c r="A11360" s="346"/>
    </row>
    <row r="11361" spans="1:1">
      <c r="A11361" s="346"/>
    </row>
    <row r="11362" spans="1:1">
      <c r="A11362" s="346"/>
    </row>
    <row r="11363" spans="1:1">
      <c r="A11363" s="346"/>
    </row>
    <row r="11364" spans="1:1">
      <c r="A11364" s="346"/>
    </row>
    <row r="11365" spans="1:1">
      <c r="A11365" s="346"/>
    </row>
    <row r="11366" spans="1:1">
      <c r="A11366" s="346"/>
    </row>
    <row r="11367" spans="1:1">
      <c r="A11367" s="346"/>
    </row>
    <row r="11368" spans="1:1">
      <c r="A11368" s="346"/>
    </row>
    <row r="11369" spans="1:1">
      <c r="A11369" s="346"/>
    </row>
    <row r="11370" spans="1:1">
      <c r="A11370" s="346"/>
    </row>
    <row r="11371" spans="1:1">
      <c r="A11371" s="346"/>
    </row>
    <row r="11372" spans="1:1">
      <c r="A11372" s="346"/>
    </row>
    <row r="11373" spans="1:1">
      <c r="A11373" s="346"/>
    </row>
    <row r="11374" spans="1:1">
      <c r="A11374" s="346"/>
    </row>
    <row r="11375" spans="1:1">
      <c r="A11375" s="346"/>
    </row>
    <row r="11376" spans="1:1">
      <c r="A11376" s="346"/>
    </row>
    <row r="11377" spans="1:1">
      <c r="A11377" s="346"/>
    </row>
    <row r="11378" spans="1:1">
      <c r="A11378" s="346"/>
    </row>
    <row r="11379" spans="1:1">
      <c r="A11379" s="346"/>
    </row>
    <row r="11380" spans="1:1">
      <c r="A11380" s="346"/>
    </row>
    <row r="11381" spans="1:1">
      <c r="A11381" s="346"/>
    </row>
    <row r="11382" spans="1:1">
      <c r="A11382" s="346"/>
    </row>
    <row r="11383" spans="1:1">
      <c r="A11383" s="346"/>
    </row>
    <row r="11384" spans="1:1">
      <c r="A11384" s="346"/>
    </row>
    <row r="11385" spans="1:1">
      <c r="A11385" s="346"/>
    </row>
    <row r="11386" spans="1:1">
      <c r="A11386" s="346"/>
    </row>
    <row r="11387" spans="1:1">
      <c r="A11387" s="346"/>
    </row>
    <row r="11388" spans="1:1">
      <c r="A11388" s="346"/>
    </row>
    <row r="11389" spans="1:1">
      <c r="A11389" s="346"/>
    </row>
    <row r="11390" spans="1:1">
      <c r="A11390" s="346"/>
    </row>
    <row r="11391" spans="1:1">
      <c r="A11391" s="346"/>
    </row>
    <row r="11392" spans="1:1">
      <c r="A11392" s="346"/>
    </row>
    <row r="11393" spans="1:1">
      <c r="A11393" s="346"/>
    </row>
    <row r="11394" spans="1:1">
      <c r="A11394" s="346"/>
    </row>
    <row r="11395" spans="1:1">
      <c r="A11395" s="346"/>
    </row>
    <row r="11396" spans="1:1">
      <c r="A11396" s="346"/>
    </row>
    <row r="11397" spans="1:1">
      <c r="A11397" s="346"/>
    </row>
    <row r="11398" spans="1:1">
      <c r="A11398" s="346"/>
    </row>
    <row r="11399" spans="1:1">
      <c r="A11399" s="346"/>
    </row>
    <row r="11400" spans="1:1">
      <c r="A11400" s="346"/>
    </row>
    <row r="11401" spans="1:1">
      <c r="A11401" s="346"/>
    </row>
    <row r="11402" spans="1:1">
      <c r="A11402" s="346"/>
    </row>
    <row r="11403" spans="1:1">
      <c r="A11403" s="346"/>
    </row>
    <row r="11404" spans="1:1">
      <c r="A11404" s="346"/>
    </row>
    <row r="11405" spans="1:1">
      <c r="A11405" s="346"/>
    </row>
    <row r="11406" spans="1:1">
      <c r="A11406" s="346"/>
    </row>
    <row r="11407" spans="1:1">
      <c r="A11407" s="346"/>
    </row>
    <row r="11408" spans="1:1">
      <c r="A11408" s="346"/>
    </row>
    <row r="11409" spans="1:1">
      <c r="A11409" s="346"/>
    </row>
    <row r="11410" spans="1:1">
      <c r="A11410" s="346"/>
    </row>
    <row r="11411" spans="1:1">
      <c r="A11411" s="346"/>
    </row>
    <row r="11412" spans="1:1">
      <c r="A11412" s="346"/>
    </row>
    <row r="11413" spans="1:1">
      <c r="A11413" s="346"/>
    </row>
    <row r="11414" spans="1:1">
      <c r="A11414" s="346"/>
    </row>
    <row r="11415" spans="1:1">
      <c r="A11415" s="346"/>
    </row>
    <row r="11416" spans="1:1">
      <c r="A11416" s="346"/>
    </row>
    <row r="11417" spans="1:1">
      <c r="A11417" s="346"/>
    </row>
    <row r="11418" spans="1:1">
      <c r="A11418" s="346"/>
    </row>
    <row r="11419" spans="1:1">
      <c r="A11419" s="346"/>
    </row>
    <row r="11420" spans="1:1">
      <c r="A11420" s="346"/>
    </row>
    <row r="11421" spans="1:1">
      <c r="A11421" s="346"/>
    </row>
    <row r="11422" spans="1:1">
      <c r="A11422" s="346"/>
    </row>
    <row r="11423" spans="1:1">
      <c r="A11423" s="346"/>
    </row>
    <row r="11424" spans="1:1">
      <c r="A11424" s="346"/>
    </row>
    <row r="11425" spans="1:1">
      <c r="A11425" s="346"/>
    </row>
    <row r="11426" spans="1:1">
      <c r="A11426" s="346"/>
    </row>
    <row r="11427" spans="1:1">
      <c r="A11427" s="346"/>
    </row>
    <row r="11428" spans="1:1">
      <c r="A11428" s="346"/>
    </row>
    <row r="11429" spans="1:1">
      <c r="A11429" s="346"/>
    </row>
    <row r="11430" spans="1:1">
      <c r="A11430" s="346"/>
    </row>
    <row r="11431" spans="1:1">
      <c r="A11431" s="346"/>
    </row>
    <row r="11432" spans="1:1">
      <c r="A11432" s="346"/>
    </row>
    <row r="11433" spans="1:1">
      <c r="A11433" s="346"/>
    </row>
    <row r="11434" spans="1:1">
      <c r="A11434" s="346"/>
    </row>
    <row r="11435" spans="1:1">
      <c r="A11435" s="346"/>
    </row>
    <row r="11436" spans="1:1">
      <c r="A11436" s="346"/>
    </row>
    <row r="11437" spans="1:1">
      <c r="A11437" s="346"/>
    </row>
    <row r="11438" spans="1:1">
      <c r="A11438" s="346"/>
    </row>
    <row r="11439" spans="1:1">
      <c r="A11439" s="346"/>
    </row>
    <row r="11440" spans="1:1">
      <c r="A11440" s="346"/>
    </row>
    <row r="11441" spans="1:1">
      <c r="A11441" s="346"/>
    </row>
    <row r="11442" spans="1:1">
      <c r="A11442" s="346"/>
    </row>
    <row r="11443" spans="1:1">
      <c r="A11443" s="346"/>
    </row>
    <row r="11444" spans="1:1">
      <c r="A11444" s="346"/>
    </row>
    <row r="11445" spans="1:1">
      <c r="A11445" s="346"/>
    </row>
    <row r="11446" spans="1:1">
      <c r="A11446" s="346"/>
    </row>
    <row r="11447" spans="1:1">
      <c r="A11447" s="346"/>
    </row>
    <row r="11448" spans="1:1">
      <c r="A11448" s="346"/>
    </row>
    <row r="11449" spans="1:1">
      <c r="A11449" s="346"/>
    </row>
    <row r="11450" spans="1:1">
      <c r="A11450" s="346"/>
    </row>
    <row r="11451" spans="1:1">
      <c r="A11451" s="346"/>
    </row>
    <row r="11452" spans="1:1">
      <c r="A11452" s="346"/>
    </row>
    <row r="11453" spans="1:1">
      <c r="A11453" s="346"/>
    </row>
    <row r="11454" spans="1:1">
      <c r="A11454" s="346"/>
    </row>
    <row r="11455" spans="1:1">
      <c r="A11455" s="346"/>
    </row>
    <row r="11456" spans="1:1">
      <c r="A11456" s="346"/>
    </row>
    <row r="11457" spans="1:1">
      <c r="A11457" s="346"/>
    </row>
    <row r="11458" spans="1:1">
      <c r="A11458" s="346"/>
    </row>
    <row r="11459" spans="1:1">
      <c r="A11459" s="346"/>
    </row>
    <row r="11460" spans="1:1">
      <c r="A11460" s="346"/>
    </row>
    <row r="11461" spans="1:1">
      <c r="A11461" s="346"/>
    </row>
    <row r="11462" spans="1:1">
      <c r="A11462" s="346"/>
    </row>
    <row r="11463" spans="1:1">
      <c r="A11463" s="346"/>
    </row>
    <row r="11464" spans="1:1">
      <c r="A11464" s="346"/>
    </row>
    <row r="11465" spans="1:1">
      <c r="A11465" s="346"/>
    </row>
    <row r="11466" spans="1:1">
      <c r="A11466" s="346"/>
    </row>
    <row r="11467" spans="1:1">
      <c r="A11467" s="346"/>
    </row>
    <row r="11468" spans="1:1">
      <c r="A11468" s="346"/>
    </row>
    <row r="11469" spans="1:1">
      <c r="A11469" s="346"/>
    </row>
    <row r="11470" spans="1:1">
      <c r="A11470" s="346"/>
    </row>
    <row r="11471" spans="1:1">
      <c r="A11471" s="346"/>
    </row>
    <row r="11472" spans="1:1">
      <c r="A11472" s="346"/>
    </row>
    <row r="11473" spans="1:1">
      <c r="A11473" s="346"/>
    </row>
    <row r="11474" spans="1:1">
      <c r="A11474" s="346"/>
    </row>
    <row r="11475" spans="1:1">
      <c r="A11475" s="346"/>
    </row>
    <row r="11476" spans="1:1">
      <c r="A11476" s="346"/>
    </row>
    <row r="11477" spans="1:1">
      <c r="A11477" s="346"/>
    </row>
    <row r="11478" spans="1:1">
      <c r="A11478" s="346"/>
    </row>
    <row r="11479" spans="1:1">
      <c r="A11479" s="346"/>
    </row>
    <row r="11480" spans="1:1">
      <c r="A11480" s="346"/>
    </row>
    <row r="11481" spans="1:1">
      <c r="A11481" s="346"/>
    </row>
    <row r="11482" spans="1:1">
      <c r="A11482" s="346"/>
    </row>
    <row r="11483" spans="1:1">
      <c r="A11483" s="346"/>
    </row>
    <row r="11484" spans="1:1">
      <c r="A11484" s="346"/>
    </row>
    <row r="11485" spans="1:1">
      <c r="A11485" s="346"/>
    </row>
    <row r="11486" spans="1:1">
      <c r="A11486" s="346"/>
    </row>
    <row r="11487" spans="1:1">
      <c r="A11487" s="346"/>
    </row>
    <row r="11488" spans="1:1">
      <c r="A11488" s="346"/>
    </row>
    <row r="11489" spans="1:1">
      <c r="A11489" s="346"/>
    </row>
    <row r="11490" spans="1:1">
      <c r="A11490" s="346"/>
    </row>
    <row r="11491" spans="1:1">
      <c r="A11491" s="346"/>
    </row>
    <row r="11492" spans="1:1">
      <c r="A11492" s="346"/>
    </row>
    <row r="11493" spans="1:1">
      <c r="A11493" s="346"/>
    </row>
    <row r="11494" spans="1:1">
      <c r="A11494" s="346"/>
    </row>
    <row r="11495" spans="1:1">
      <c r="A11495" s="346"/>
    </row>
    <row r="11496" spans="1:1">
      <c r="A11496" s="346"/>
    </row>
    <row r="11497" spans="1:1">
      <c r="A11497" s="346"/>
    </row>
    <row r="11498" spans="1:1">
      <c r="A11498" s="346"/>
    </row>
    <row r="11499" spans="1:1">
      <c r="A11499" s="346"/>
    </row>
    <row r="11500" spans="1:1">
      <c r="A11500" s="346"/>
    </row>
    <row r="11501" spans="1:1">
      <c r="A11501" s="346"/>
    </row>
    <row r="11502" spans="1:1">
      <c r="A11502" s="346"/>
    </row>
    <row r="11503" spans="1:1">
      <c r="A11503" s="346"/>
    </row>
    <row r="11504" spans="1:1">
      <c r="A11504" s="346"/>
    </row>
    <row r="11505" spans="1:1">
      <c r="A11505" s="346"/>
    </row>
    <row r="11506" spans="1:1">
      <c r="A11506" s="346"/>
    </row>
    <row r="11507" spans="1:1">
      <c r="A11507" s="346"/>
    </row>
    <row r="11508" spans="1:1">
      <c r="A11508" s="346"/>
    </row>
    <row r="11509" spans="1:1">
      <c r="A11509" s="346"/>
    </row>
    <row r="11510" spans="1:1">
      <c r="A11510" s="346"/>
    </row>
    <row r="11511" spans="1:1">
      <c r="A11511" s="346"/>
    </row>
    <row r="11512" spans="1:1">
      <c r="A11512" s="346"/>
    </row>
    <row r="11513" spans="1:1">
      <c r="A11513" s="346"/>
    </row>
    <row r="11514" spans="1:1">
      <c r="A11514" s="346"/>
    </row>
    <row r="11515" spans="1:1">
      <c r="A11515" s="346"/>
    </row>
    <row r="11516" spans="1:1">
      <c r="A11516" s="346"/>
    </row>
    <row r="11517" spans="1:1">
      <c r="A11517" s="346"/>
    </row>
    <row r="11518" spans="1:1">
      <c r="A11518" s="346"/>
    </row>
    <row r="11519" spans="1:1">
      <c r="A11519" s="346"/>
    </row>
    <row r="11520" spans="1:1">
      <c r="A11520" s="346"/>
    </row>
    <row r="11521" spans="1:1">
      <c r="A11521" s="346"/>
    </row>
    <row r="11522" spans="1:1">
      <c r="A11522" s="346"/>
    </row>
    <row r="11523" spans="1:1">
      <c r="A11523" s="346"/>
    </row>
    <row r="11524" spans="1:1">
      <c r="A11524" s="346"/>
    </row>
    <row r="11525" spans="1:1">
      <c r="A11525" s="346"/>
    </row>
    <row r="11526" spans="1:1">
      <c r="A11526" s="346"/>
    </row>
    <row r="11527" spans="1:1">
      <c r="A11527" s="346"/>
    </row>
    <row r="11528" spans="1:1">
      <c r="A11528" s="346"/>
    </row>
    <row r="11529" spans="1:1">
      <c r="A11529" s="346"/>
    </row>
    <row r="11530" spans="1:1">
      <c r="A11530" s="346"/>
    </row>
    <row r="11531" spans="1:1">
      <c r="A11531" s="346"/>
    </row>
    <row r="11532" spans="1:1">
      <c r="A11532" s="346"/>
    </row>
    <row r="11533" spans="1:1">
      <c r="A11533" s="346"/>
    </row>
    <row r="11534" spans="1:1">
      <c r="A11534" s="346"/>
    </row>
    <row r="11535" spans="1:1">
      <c r="A11535" s="346"/>
    </row>
    <row r="11536" spans="1:1">
      <c r="A11536" s="346"/>
    </row>
    <row r="11537" spans="1:1">
      <c r="A11537" s="346"/>
    </row>
    <row r="11538" spans="1:1">
      <c r="A11538" s="346"/>
    </row>
    <row r="11539" spans="1:1">
      <c r="A11539" s="346"/>
    </row>
    <row r="11540" spans="1:1">
      <c r="A11540" s="346"/>
    </row>
    <row r="11541" spans="1:1">
      <c r="A11541" s="346"/>
    </row>
    <row r="11542" spans="1:1">
      <c r="A11542" s="346"/>
    </row>
    <row r="11543" spans="1:1">
      <c r="A11543" s="346"/>
    </row>
    <row r="11544" spans="1:1">
      <c r="A11544" s="346"/>
    </row>
    <row r="11545" spans="1:1">
      <c r="A11545" s="346"/>
    </row>
    <row r="11546" spans="1:1">
      <c r="A11546" s="346"/>
    </row>
    <row r="11547" spans="1:1">
      <c r="A11547" s="346"/>
    </row>
    <row r="11548" spans="1:1">
      <c r="A11548" s="346"/>
    </row>
    <row r="11549" spans="1:1">
      <c r="A11549" s="346"/>
    </row>
    <row r="11550" spans="1:1">
      <c r="A11550" s="346"/>
    </row>
    <row r="11551" spans="1:1">
      <c r="A11551" s="346"/>
    </row>
    <row r="11552" spans="1:1">
      <c r="A11552" s="346"/>
    </row>
    <row r="11553" spans="1:1">
      <c r="A11553" s="346"/>
    </row>
    <row r="11554" spans="1:1">
      <c r="A11554" s="346"/>
    </row>
    <row r="11555" spans="1:1">
      <c r="A11555" s="346"/>
    </row>
    <row r="11556" spans="1:1">
      <c r="A11556" s="346"/>
    </row>
    <row r="11557" spans="1:1">
      <c r="A11557" s="346"/>
    </row>
    <row r="11558" spans="1:1">
      <c r="A11558" s="346"/>
    </row>
    <row r="11559" spans="1:1">
      <c r="A11559" s="346"/>
    </row>
    <row r="11560" spans="1:1">
      <c r="A11560" s="346"/>
    </row>
    <row r="11561" spans="1:1">
      <c r="A11561" s="346"/>
    </row>
    <row r="11562" spans="1:1">
      <c r="A11562" s="346"/>
    </row>
    <row r="11563" spans="1:1">
      <c r="A11563" s="346"/>
    </row>
    <row r="11564" spans="1:1">
      <c r="A11564" s="346"/>
    </row>
    <row r="11565" spans="1:1">
      <c r="A11565" s="346"/>
    </row>
    <row r="11566" spans="1:1">
      <c r="A11566" s="346"/>
    </row>
    <row r="11567" spans="1:1">
      <c r="A11567" s="346"/>
    </row>
    <row r="11568" spans="1:1">
      <c r="A11568" s="346"/>
    </row>
    <row r="11569" spans="1:1">
      <c r="A11569" s="346"/>
    </row>
    <row r="11570" spans="1:1">
      <c r="A11570" s="346"/>
    </row>
    <row r="11571" spans="1:1">
      <c r="A11571" s="346"/>
    </row>
    <row r="11572" spans="1:1">
      <c r="A11572" s="346"/>
    </row>
    <row r="11573" spans="1:1">
      <c r="A11573" s="346"/>
    </row>
    <row r="11574" spans="1:1">
      <c r="A11574" s="346"/>
    </row>
    <row r="11575" spans="1:1">
      <c r="A11575" s="346"/>
    </row>
    <row r="11576" spans="1:1">
      <c r="A11576" s="346"/>
    </row>
    <row r="11577" spans="1:1">
      <c r="A11577" s="346"/>
    </row>
    <row r="11578" spans="1:1">
      <c r="A11578" s="346"/>
    </row>
    <row r="11579" spans="1:1">
      <c r="A11579" s="346"/>
    </row>
    <row r="11580" spans="1:1">
      <c r="A11580" s="346"/>
    </row>
    <row r="11581" spans="1:1">
      <c r="A11581" s="346"/>
    </row>
    <row r="11582" spans="1:1">
      <c r="A11582" s="346"/>
    </row>
    <row r="11583" spans="1:1">
      <c r="A11583" s="346"/>
    </row>
    <row r="11584" spans="1:1">
      <c r="A11584" s="346"/>
    </row>
    <row r="11585" spans="1:1">
      <c r="A11585" s="346"/>
    </row>
    <row r="11586" spans="1:1">
      <c r="A11586" s="346"/>
    </row>
    <row r="11587" spans="1:1">
      <c r="A11587" s="346"/>
    </row>
    <row r="11588" spans="1:1">
      <c r="A11588" s="346"/>
    </row>
    <row r="11589" spans="1:1">
      <c r="A11589" s="346"/>
    </row>
    <row r="11590" spans="1:1">
      <c r="A11590" s="346"/>
    </row>
    <row r="11591" spans="1:1">
      <c r="A11591" s="346"/>
    </row>
    <row r="11592" spans="1:1">
      <c r="A11592" s="346"/>
    </row>
    <row r="11593" spans="1:1">
      <c r="A11593" s="346"/>
    </row>
    <row r="11594" spans="1:1">
      <c r="A11594" s="346"/>
    </row>
    <row r="11595" spans="1:1">
      <c r="A11595" s="346"/>
    </row>
    <row r="11596" spans="1:1">
      <c r="A11596" s="346"/>
    </row>
    <row r="11597" spans="1:1">
      <c r="A11597" s="346"/>
    </row>
    <row r="11598" spans="1:1">
      <c r="A11598" s="346"/>
    </row>
    <row r="11599" spans="1:1">
      <c r="A11599" s="346"/>
    </row>
    <row r="11600" spans="1:1">
      <c r="A11600" s="346"/>
    </row>
    <row r="11601" spans="1:1">
      <c r="A11601" s="346"/>
    </row>
    <row r="11602" spans="1:1">
      <c r="A11602" s="346"/>
    </row>
    <row r="11603" spans="1:1">
      <c r="A11603" s="346"/>
    </row>
    <row r="11604" spans="1:1">
      <c r="A11604" s="346"/>
    </row>
    <row r="11605" spans="1:1">
      <c r="A11605" s="346"/>
    </row>
    <row r="11606" spans="1:1">
      <c r="A11606" s="346"/>
    </row>
    <row r="11607" spans="1:1">
      <c r="A11607" s="346"/>
    </row>
    <row r="11608" spans="1:1">
      <c r="A11608" s="346"/>
    </row>
    <row r="11609" spans="1:1">
      <c r="A11609" s="346"/>
    </row>
    <row r="11610" spans="1:1">
      <c r="A11610" s="346"/>
    </row>
    <row r="11611" spans="1:1">
      <c r="A11611" s="346"/>
    </row>
    <row r="11612" spans="1:1">
      <c r="A11612" s="346"/>
    </row>
    <row r="11613" spans="1:1">
      <c r="A11613" s="346"/>
    </row>
    <row r="11614" spans="1:1">
      <c r="A11614" s="346"/>
    </row>
    <row r="11615" spans="1:1">
      <c r="A11615" s="346"/>
    </row>
    <row r="11616" spans="1:1">
      <c r="A11616" s="346"/>
    </row>
    <row r="11617" spans="1:1">
      <c r="A11617" s="346"/>
    </row>
    <row r="11618" spans="1:1">
      <c r="A11618" s="346"/>
    </row>
    <row r="11619" spans="1:1">
      <c r="A11619" s="346"/>
    </row>
    <row r="11620" spans="1:1">
      <c r="A11620" s="346"/>
    </row>
    <row r="11621" spans="1:1">
      <c r="A11621" s="346"/>
    </row>
    <row r="11622" spans="1:1">
      <c r="A11622" s="346"/>
    </row>
    <row r="11623" spans="1:1">
      <c r="A11623" s="346"/>
    </row>
    <row r="11624" spans="1:1">
      <c r="A11624" s="346"/>
    </row>
    <row r="11625" spans="1:1">
      <c r="A11625" s="346"/>
    </row>
    <row r="11626" spans="1:1">
      <c r="A11626" s="346"/>
    </row>
    <row r="11627" spans="1:1">
      <c r="A11627" s="346"/>
    </row>
    <row r="11628" spans="1:1">
      <c r="A11628" s="346"/>
    </row>
    <row r="11629" spans="1:1">
      <c r="A11629" s="346"/>
    </row>
    <row r="11630" spans="1:1">
      <c r="A11630" s="346"/>
    </row>
    <row r="11631" spans="1:1">
      <c r="A11631" s="346"/>
    </row>
    <row r="11632" spans="1:1">
      <c r="A11632" s="346"/>
    </row>
    <row r="11633" spans="1:1">
      <c r="A11633" s="346"/>
    </row>
    <row r="11634" spans="1:1">
      <c r="A11634" s="346"/>
    </row>
    <row r="11635" spans="1:1">
      <c r="A11635" s="346"/>
    </row>
    <row r="11636" spans="1:1">
      <c r="A11636" s="346"/>
    </row>
    <row r="11637" spans="1:1">
      <c r="A11637" s="346"/>
    </row>
    <row r="11638" spans="1:1">
      <c r="A11638" s="346"/>
    </row>
    <row r="11639" spans="1:1">
      <c r="A11639" s="346"/>
    </row>
    <row r="11640" spans="1:1">
      <c r="A11640" s="346"/>
    </row>
    <row r="11641" spans="1:1">
      <c r="A11641" s="346"/>
    </row>
    <row r="11642" spans="1:1">
      <c r="A11642" s="346"/>
    </row>
    <row r="11643" spans="1:1">
      <c r="A11643" s="346"/>
    </row>
    <row r="11644" spans="1:1">
      <c r="A11644" s="346"/>
    </row>
    <row r="11645" spans="1:1">
      <c r="A11645" s="346"/>
    </row>
    <row r="11646" spans="1:1">
      <c r="A11646" s="346"/>
    </row>
    <row r="11647" spans="1:1">
      <c r="A11647" s="346"/>
    </row>
    <row r="11648" spans="1:1">
      <c r="A11648" s="346"/>
    </row>
    <row r="11649" spans="1:1">
      <c r="A11649" s="346"/>
    </row>
    <row r="11650" spans="1:1">
      <c r="A11650" s="346"/>
    </row>
    <row r="11651" spans="1:1">
      <c r="A11651" s="346"/>
    </row>
    <row r="11652" spans="1:1">
      <c r="A11652" s="346"/>
    </row>
    <row r="11653" spans="1:1">
      <c r="A11653" s="346"/>
    </row>
    <row r="11654" spans="1:1">
      <c r="A11654" s="346"/>
    </row>
    <row r="11655" spans="1:1">
      <c r="A11655" s="346"/>
    </row>
    <row r="11656" spans="1:1">
      <c r="A11656" s="346"/>
    </row>
    <row r="11657" spans="1:1">
      <c r="A11657" s="346"/>
    </row>
    <row r="11658" spans="1:1">
      <c r="A11658" s="346"/>
    </row>
    <row r="11659" spans="1:1">
      <c r="A11659" s="346"/>
    </row>
    <row r="11660" spans="1:1">
      <c r="A11660" s="346"/>
    </row>
    <row r="11661" spans="1:1">
      <c r="A11661" s="346"/>
    </row>
    <row r="11662" spans="1:1">
      <c r="A11662" s="346"/>
    </row>
    <row r="11663" spans="1:1">
      <c r="A11663" s="346"/>
    </row>
    <row r="11664" spans="1:1">
      <c r="A11664" s="346"/>
    </row>
    <row r="11665" spans="1:1">
      <c r="A11665" s="346"/>
    </row>
    <row r="11666" spans="1:1">
      <c r="A11666" s="346"/>
    </row>
    <row r="11667" spans="1:1">
      <c r="A11667" s="346"/>
    </row>
    <row r="11668" spans="1:1">
      <c r="A11668" s="346"/>
    </row>
    <row r="11669" spans="1:1">
      <c r="A11669" s="346"/>
    </row>
    <row r="11670" spans="1:1">
      <c r="A11670" s="346"/>
    </row>
    <row r="11671" spans="1:1">
      <c r="A11671" s="346"/>
    </row>
    <row r="11672" spans="1:1">
      <c r="A11672" s="346"/>
    </row>
    <row r="11673" spans="1:1">
      <c r="A11673" s="346"/>
    </row>
    <row r="11674" spans="1:1">
      <c r="A11674" s="346"/>
    </row>
    <row r="11675" spans="1:1">
      <c r="A11675" s="346"/>
    </row>
    <row r="11676" spans="1:1">
      <c r="A11676" s="346"/>
    </row>
    <row r="11677" spans="1:1">
      <c r="A11677" s="346"/>
    </row>
    <row r="11678" spans="1:1">
      <c r="A11678" s="346"/>
    </row>
    <row r="11679" spans="1:1">
      <c r="A11679" s="346"/>
    </row>
    <row r="11680" spans="1:1">
      <c r="A11680" s="346"/>
    </row>
    <row r="11681" spans="1:1">
      <c r="A11681" s="346"/>
    </row>
    <row r="11682" spans="1:1">
      <c r="A11682" s="346"/>
    </row>
    <row r="11683" spans="1:1">
      <c r="A11683" s="346"/>
    </row>
    <row r="11684" spans="1:1">
      <c r="A11684" s="346"/>
    </row>
    <row r="11685" spans="1:1">
      <c r="A11685" s="346"/>
    </row>
    <row r="11686" spans="1:1">
      <c r="A11686" s="346"/>
    </row>
    <row r="11687" spans="1:1">
      <c r="A11687" s="346"/>
    </row>
    <row r="11688" spans="1:1">
      <c r="A11688" s="346"/>
    </row>
    <row r="11689" spans="1:1">
      <c r="A11689" s="346"/>
    </row>
    <row r="11690" spans="1:1">
      <c r="A11690" s="346"/>
    </row>
    <row r="11691" spans="1:1">
      <c r="A11691" s="346"/>
    </row>
    <row r="11692" spans="1:1">
      <c r="A11692" s="346"/>
    </row>
    <row r="11693" spans="1:1">
      <c r="A11693" s="346"/>
    </row>
    <row r="11694" spans="1:1">
      <c r="A11694" s="346"/>
    </row>
    <row r="11695" spans="1:1">
      <c r="A11695" s="346"/>
    </row>
    <row r="11696" spans="1:1">
      <c r="A11696" s="346"/>
    </row>
    <row r="11697" spans="1:1">
      <c r="A11697" s="346"/>
    </row>
    <row r="11698" spans="1:1">
      <c r="A11698" s="346"/>
    </row>
    <row r="11699" spans="1:1">
      <c r="A11699" s="346"/>
    </row>
    <row r="11700" spans="1:1">
      <c r="A11700" s="346"/>
    </row>
    <row r="11701" spans="1:1">
      <c r="A11701" s="346"/>
    </row>
    <row r="11702" spans="1:1">
      <c r="A11702" s="346"/>
    </row>
    <row r="11703" spans="1:1">
      <c r="A11703" s="346"/>
    </row>
    <row r="11704" spans="1:1">
      <c r="A11704" s="346"/>
    </row>
    <row r="11705" spans="1:1">
      <c r="A11705" s="346"/>
    </row>
    <row r="11706" spans="1:1">
      <c r="A11706" s="346"/>
    </row>
    <row r="11707" spans="1:1">
      <c r="A11707" s="346"/>
    </row>
    <row r="11708" spans="1:1">
      <c r="A11708" s="346"/>
    </row>
    <row r="11709" spans="1:1">
      <c r="A11709" s="346"/>
    </row>
    <row r="11710" spans="1:1">
      <c r="A11710" s="346"/>
    </row>
    <row r="11711" spans="1:1">
      <c r="A11711" s="346"/>
    </row>
    <row r="11712" spans="1:1">
      <c r="A11712" s="346"/>
    </row>
    <row r="11713" spans="1:1">
      <c r="A11713" s="346"/>
    </row>
    <row r="11714" spans="1:1">
      <c r="A11714" s="346"/>
    </row>
    <row r="11715" spans="1:1">
      <c r="A11715" s="346"/>
    </row>
    <row r="11716" spans="1:1">
      <c r="A11716" s="346"/>
    </row>
    <row r="11717" spans="1:1">
      <c r="A11717" s="346"/>
    </row>
    <row r="11718" spans="1:1">
      <c r="A11718" s="346"/>
    </row>
    <row r="11719" spans="1:1">
      <c r="A11719" s="346"/>
    </row>
    <row r="11720" spans="1:1">
      <c r="A11720" s="346"/>
    </row>
    <row r="11721" spans="1:1">
      <c r="A11721" s="346"/>
    </row>
    <row r="11722" spans="1:1">
      <c r="A11722" s="346"/>
    </row>
    <row r="11723" spans="1:1">
      <c r="A11723" s="346"/>
    </row>
    <row r="11724" spans="1:1">
      <c r="A11724" s="346"/>
    </row>
    <row r="11725" spans="1:1">
      <c r="A11725" s="346"/>
    </row>
    <row r="11726" spans="1:1">
      <c r="A11726" s="346"/>
    </row>
    <row r="11727" spans="1:1">
      <c r="A11727" s="346"/>
    </row>
    <row r="11728" spans="1:1">
      <c r="A11728" s="346"/>
    </row>
    <row r="11729" spans="1:1">
      <c r="A11729" s="346"/>
    </row>
    <row r="11730" spans="1:1">
      <c r="A11730" s="346"/>
    </row>
    <row r="11731" spans="1:1">
      <c r="A11731" s="346"/>
    </row>
    <row r="11732" spans="1:1">
      <c r="A11732" s="346"/>
    </row>
    <row r="11733" spans="1:1">
      <c r="A11733" s="346"/>
    </row>
    <row r="11734" spans="1:1">
      <c r="A11734" s="346"/>
    </row>
    <row r="11735" spans="1:1">
      <c r="A11735" s="346"/>
    </row>
    <row r="11736" spans="1:1">
      <c r="A11736" s="346"/>
    </row>
    <row r="11737" spans="1:1">
      <c r="A11737" s="346"/>
    </row>
    <row r="11738" spans="1:1">
      <c r="A11738" s="346"/>
    </row>
    <row r="11739" spans="1:1">
      <c r="A11739" s="346"/>
    </row>
    <row r="11740" spans="1:1">
      <c r="A11740" s="346"/>
    </row>
    <row r="11741" spans="1:1">
      <c r="A11741" s="346"/>
    </row>
    <row r="11742" spans="1:1">
      <c r="A11742" s="346"/>
    </row>
    <row r="11743" spans="1:1">
      <c r="A11743" s="346"/>
    </row>
    <row r="11744" spans="1:1">
      <c r="A11744" s="346"/>
    </row>
    <row r="11745" spans="1:1">
      <c r="A11745" s="346"/>
    </row>
    <row r="11746" spans="1:1">
      <c r="A11746" s="346"/>
    </row>
    <row r="11747" spans="1:1">
      <c r="A11747" s="346"/>
    </row>
    <row r="11748" spans="1:1">
      <c r="A11748" s="346"/>
    </row>
    <row r="11749" spans="1:1">
      <c r="A11749" s="346"/>
    </row>
    <row r="11750" spans="1:1">
      <c r="A11750" s="346"/>
    </row>
    <row r="11751" spans="1:1">
      <c r="A11751" s="346"/>
    </row>
    <row r="11752" spans="1:1">
      <c r="A11752" s="346"/>
    </row>
    <row r="11753" spans="1:1">
      <c r="A11753" s="346"/>
    </row>
    <row r="11754" spans="1:1">
      <c r="A11754" s="346"/>
    </row>
    <row r="11755" spans="1:1">
      <c r="A11755" s="346"/>
    </row>
    <row r="11756" spans="1:1">
      <c r="A11756" s="346"/>
    </row>
    <row r="11757" spans="1:1">
      <c r="A11757" s="346"/>
    </row>
    <row r="11758" spans="1:1">
      <c r="A11758" s="346"/>
    </row>
    <row r="11759" spans="1:1">
      <c r="A11759" s="346"/>
    </row>
    <row r="11760" spans="1:1">
      <c r="A11760" s="346"/>
    </row>
    <row r="11761" spans="1:1">
      <c r="A11761" s="346"/>
    </row>
    <row r="11762" spans="1:1">
      <c r="A11762" s="346"/>
    </row>
    <row r="11763" spans="1:1">
      <c r="A11763" s="346"/>
    </row>
    <row r="11764" spans="1:1">
      <c r="A11764" s="346"/>
    </row>
    <row r="11765" spans="1:1">
      <c r="A11765" s="346"/>
    </row>
    <row r="11766" spans="1:1">
      <c r="A11766" s="346"/>
    </row>
    <row r="11767" spans="1:1">
      <c r="A11767" s="346"/>
    </row>
    <row r="11768" spans="1:1">
      <c r="A11768" s="346"/>
    </row>
    <row r="11769" spans="1:1">
      <c r="A11769" s="346"/>
    </row>
    <row r="11770" spans="1:1">
      <c r="A11770" s="346"/>
    </row>
    <row r="11771" spans="1:1">
      <c r="A11771" s="346"/>
    </row>
    <row r="11772" spans="1:1">
      <c r="A11772" s="346"/>
    </row>
    <row r="11773" spans="1:1">
      <c r="A11773" s="346"/>
    </row>
    <row r="11774" spans="1:1">
      <c r="A11774" s="346"/>
    </row>
    <row r="11775" spans="1:1">
      <c r="A11775" s="346"/>
    </row>
    <row r="11776" spans="1:1">
      <c r="A11776" s="346"/>
    </row>
    <row r="11777" spans="1:1">
      <c r="A11777" s="346"/>
    </row>
    <row r="11778" spans="1:1">
      <c r="A11778" s="346"/>
    </row>
    <row r="11779" spans="1:1">
      <c r="A11779" s="346"/>
    </row>
    <row r="11780" spans="1:1">
      <c r="A11780" s="346"/>
    </row>
    <row r="11781" spans="1:1">
      <c r="A11781" s="346"/>
    </row>
    <row r="11782" spans="1:1">
      <c r="A11782" s="346"/>
    </row>
    <row r="11783" spans="1:1">
      <c r="A11783" s="346"/>
    </row>
    <row r="11784" spans="1:1">
      <c r="A11784" s="346"/>
    </row>
    <row r="11785" spans="1:1">
      <c r="A11785" s="346"/>
    </row>
    <row r="11786" spans="1:1">
      <c r="A11786" s="346"/>
    </row>
    <row r="11787" spans="1:1">
      <c r="A11787" s="346"/>
    </row>
    <row r="11788" spans="1:1">
      <c r="A11788" s="346"/>
    </row>
    <row r="11789" spans="1:1">
      <c r="A11789" s="346"/>
    </row>
    <row r="11790" spans="1:1">
      <c r="A11790" s="346"/>
    </row>
    <row r="11791" spans="1:1">
      <c r="A11791" s="346"/>
    </row>
    <row r="11792" spans="1:1">
      <c r="A11792" s="346"/>
    </row>
    <row r="11793" spans="1:1">
      <c r="A11793" s="346"/>
    </row>
    <row r="11794" spans="1:1">
      <c r="A11794" s="346"/>
    </row>
    <row r="11795" spans="1:1">
      <c r="A11795" s="346"/>
    </row>
    <row r="11796" spans="1:1">
      <c r="A11796" s="346"/>
    </row>
    <row r="11797" spans="1:1">
      <c r="A11797" s="346"/>
    </row>
    <row r="11798" spans="1:1">
      <c r="A11798" s="346"/>
    </row>
    <row r="11799" spans="1:1">
      <c r="A11799" s="346"/>
    </row>
    <row r="11800" spans="1:1">
      <c r="A11800" s="346"/>
    </row>
    <row r="11801" spans="1:1">
      <c r="A11801" s="346"/>
    </row>
    <row r="11802" spans="1:1">
      <c r="A11802" s="346"/>
    </row>
    <row r="11803" spans="1:1">
      <c r="A11803" s="346"/>
    </row>
    <row r="11804" spans="1:1">
      <c r="A11804" s="346"/>
    </row>
    <row r="11805" spans="1:1">
      <c r="A11805" s="346"/>
    </row>
    <row r="11806" spans="1:1">
      <c r="A11806" s="346"/>
    </row>
    <row r="11807" spans="1:1">
      <c r="A11807" s="346"/>
    </row>
    <row r="11808" spans="1:1">
      <c r="A11808" s="346"/>
    </row>
    <row r="11809" spans="1:1">
      <c r="A11809" s="346"/>
    </row>
    <row r="11810" spans="1:1">
      <c r="A11810" s="346"/>
    </row>
    <row r="11811" spans="1:1">
      <c r="A11811" s="346"/>
    </row>
    <row r="11812" spans="1:1">
      <c r="A11812" s="346"/>
    </row>
    <row r="11813" spans="1:1">
      <c r="A11813" s="346"/>
    </row>
    <row r="11814" spans="1:1">
      <c r="A11814" s="346"/>
    </row>
    <row r="11815" spans="1:1">
      <c r="A11815" s="346"/>
    </row>
    <row r="11816" spans="1:1">
      <c r="A11816" s="346"/>
    </row>
    <row r="11817" spans="1:1">
      <c r="A11817" s="346"/>
    </row>
    <row r="11818" spans="1:1">
      <c r="A11818" s="346"/>
    </row>
    <row r="11819" spans="1:1">
      <c r="A11819" s="346"/>
    </row>
    <row r="11820" spans="1:1">
      <c r="A11820" s="346"/>
    </row>
    <row r="11821" spans="1:1">
      <c r="A11821" s="346"/>
    </row>
    <row r="11822" spans="1:1">
      <c r="A11822" s="346"/>
    </row>
    <row r="11823" spans="1:1">
      <c r="A11823" s="346"/>
    </row>
    <row r="11824" spans="1:1">
      <c r="A11824" s="346"/>
    </row>
    <row r="11825" spans="1:1">
      <c r="A11825" s="346"/>
    </row>
    <row r="11826" spans="1:1">
      <c r="A11826" s="346"/>
    </row>
    <row r="11827" spans="1:1">
      <c r="A11827" s="346"/>
    </row>
    <row r="11828" spans="1:1">
      <c r="A11828" s="346"/>
    </row>
    <row r="11829" spans="1:1">
      <c r="A11829" s="346"/>
    </row>
    <row r="11830" spans="1:1">
      <c r="A11830" s="346"/>
    </row>
    <row r="11831" spans="1:1">
      <c r="A11831" s="346"/>
    </row>
    <row r="11832" spans="1:1">
      <c r="A11832" s="346"/>
    </row>
    <row r="11833" spans="1:1">
      <c r="A11833" s="346"/>
    </row>
    <row r="11834" spans="1:1">
      <c r="A11834" s="346"/>
    </row>
    <row r="11835" spans="1:1">
      <c r="A11835" s="346"/>
    </row>
    <row r="11836" spans="1:1">
      <c r="A11836" s="346"/>
    </row>
    <row r="11837" spans="1:1">
      <c r="A11837" s="346"/>
    </row>
    <row r="11838" spans="1:1">
      <c r="A11838" s="346"/>
    </row>
    <row r="11839" spans="1:1">
      <c r="A11839" s="346"/>
    </row>
    <row r="11840" spans="1:1">
      <c r="A11840" s="346"/>
    </row>
    <row r="11841" spans="1:1">
      <c r="A11841" s="346"/>
    </row>
    <row r="11842" spans="1:1">
      <c r="A11842" s="346"/>
    </row>
    <row r="11843" spans="1:1">
      <c r="A11843" s="346"/>
    </row>
    <row r="11844" spans="1:1">
      <c r="A11844" s="346"/>
    </row>
    <row r="11845" spans="1:1">
      <c r="A11845" s="346"/>
    </row>
    <row r="11846" spans="1:1">
      <c r="A11846" s="346"/>
    </row>
    <row r="11847" spans="1:1">
      <c r="A11847" s="346"/>
    </row>
    <row r="11848" spans="1:1">
      <c r="A11848" s="346"/>
    </row>
    <row r="11849" spans="1:1">
      <c r="A11849" s="346"/>
    </row>
    <row r="11850" spans="1:1">
      <c r="A11850" s="346"/>
    </row>
    <row r="11851" spans="1:1">
      <c r="A11851" s="346"/>
    </row>
    <row r="11852" spans="1:1">
      <c r="A11852" s="346"/>
    </row>
    <row r="11853" spans="1:1">
      <c r="A11853" s="346"/>
    </row>
    <row r="11854" spans="1:1">
      <c r="A11854" s="346"/>
    </row>
    <row r="11855" spans="1:1">
      <c r="A11855" s="346"/>
    </row>
    <row r="11856" spans="1:1">
      <c r="A11856" s="346"/>
    </row>
    <row r="11857" spans="1:1">
      <c r="A11857" s="346"/>
    </row>
    <row r="11858" spans="1:1">
      <c r="A11858" s="346"/>
    </row>
    <row r="11859" spans="1:1">
      <c r="A11859" s="346"/>
    </row>
    <row r="11860" spans="1:1">
      <c r="A11860" s="346"/>
    </row>
    <row r="11861" spans="1:1">
      <c r="A11861" s="346"/>
    </row>
    <row r="11862" spans="1:1">
      <c r="A11862" s="346"/>
    </row>
    <row r="11863" spans="1:1">
      <c r="A11863" s="346"/>
    </row>
    <row r="11864" spans="1:1">
      <c r="A11864" s="346"/>
    </row>
    <row r="11865" spans="1:1">
      <c r="A11865" s="346"/>
    </row>
    <row r="11866" spans="1:1">
      <c r="A11866" s="346"/>
    </row>
    <row r="11867" spans="1:1">
      <c r="A11867" s="346"/>
    </row>
    <row r="11868" spans="1:1">
      <c r="A11868" s="346"/>
    </row>
    <row r="11869" spans="1:1">
      <c r="A11869" s="346"/>
    </row>
    <row r="11870" spans="1:1">
      <c r="A11870" s="346"/>
    </row>
    <row r="11871" spans="1:1">
      <c r="A11871" s="346"/>
    </row>
    <row r="11872" spans="1:1">
      <c r="A11872" s="346"/>
    </row>
    <row r="11873" spans="1:1">
      <c r="A11873" s="346"/>
    </row>
    <row r="11874" spans="1:1">
      <c r="A11874" s="346"/>
    </row>
    <row r="11875" spans="1:1">
      <c r="A11875" s="346"/>
    </row>
    <row r="11876" spans="1:1">
      <c r="A11876" s="346"/>
    </row>
    <row r="11877" spans="1:1">
      <c r="A11877" s="346"/>
    </row>
    <row r="11878" spans="1:1">
      <c r="A11878" s="346"/>
    </row>
    <row r="11879" spans="1:1">
      <c r="A11879" s="346"/>
    </row>
    <row r="11880" spans="1:1">
      <c r="A11880" s="346"/>
    </row>
    <row r="11881" spans="1:1">
      <c r="A11881" s="346"/>
    </row>
    <row r="11882" spans="1:1">
      <c r="A11882" s="346"/>
    </row>
    <row r="11883" spans="1:1">
      <c r="A11883" s="346"/>
    </row>
    <row r="11884" spans="1:1">
      <c r="A11884" s="346"/>
    </row>
    <row r="11885" spans="1:1">
      <c r="A11885" s="346"/>
    </row>
    <row r="11886" spans="1:1">
      <c r="A11886" s="346"/>
    </row>
    <row r="11887" spans="1:1">
      <c r="A11887" s="346"/>
    </row>
    <row r="11888" spans="1:1">
      <c r="A11888" s="346"/>
    </row>
    <row r="11889" spans="1:1">
      <c r="A11889" s="346"/>
    </row>
    <row r="11890" spans="1:1">
      <c r="A11890" s="346"/>
    </row>
    <row r="11891" spans="1:1">
      <c r="A11891" s="346"/>
    </row>
    <row r="11892" spans="1:1">
      <c r="A11892" s="346"/>
    </row>
    <row r="11893" spans="1:1">
      <c r="A11893" s="346"/>
    </row>
    <row r="11894" spans="1:1">
      <c r="A11894" s="346"/>
    </row>
    <row r="11895" spans="1:1">
      <c r="A11895" s="346"/>
    </row>
    <row r="11896" spans="1:1">
      <c r="A11896" s="346"/>
    </row>
    <row r="11897" spans="1:1">
      <c r="A11897" s="346"/>
    </row>
    <row r="11898" spans="1:1">
      <c r="A11898" s="346"/>
    </row>
    <row r="11899" spans="1:1">
      <c r="A11899" s="346"/>
    </row>
    <row r="11900" spans="1:1">
      <c r="A11900" s="346"/>
    </row>
    <row r="11901" spans="1:1">
      <c r="A11901" s="346"/>
    </row>
    <row r="11902" spans="1:1">
      <c r="A11902" s="346"/>
    </row>
    <row r="11903" spans="1:1">
      <c r="A11903" s="346"/>
    </row>
    <row r="11904" spans="1:1">
      <c r="A11904" s="346"/>
    </row>
    <row r="11905" spans="1:1">
      <c r="A11905" s="346"/>
    </row>
    <row r="11906" spans="1:1">
      <c r="A11906" s="346"/>
    </row>
    <row r="11907" spans="1:1">
      <c r="A11907" s="346"/>
    </row>
    <row r="11908" spans="1:1">
      <c r="A11908" s="346"/>
    </row>
    <row r="11909" spans="1:1">
      <c r="A11909" s="346"/>
    </row>
    <row r="11910" spans="1:1">
      <c r="A11910" s="346"/>
    </row>
    <row r="11911" spans="1:1">
      <c r="A11911" s="346"/>
    </row>
    <row r="11912" spans="1:1">
      <c r="A11912" s="346"/>
    </row>
    <row r="11913" spans="1:1">
      <c r="A11913" s="346"/>
    </row>
    <row r="11914" spans="1:1">
      <c r="A11914" s="346"/>
    </row>
    <row r="11915" spans="1:1">
      <c r="A11915" s="346"/>
    </row>
    <row r="11916" spans="1:1">
      <c r="A11916" s="346"/>
    </row>
    <row r="11917" spans="1:1">
      <c r="A11917" s="346"/>
    </row>
    <row r="11918" spans="1:1">
      <c r="A11918" s="346"/>
    </row>
    <row r="11919" spans="1:1">
      <c r="A11919" s="346"/>
    </row>
    <row r="11920" spans="1:1">
      <c r="A11920" s="346"/>
    </row>
    <row r="11921" spans="1:1">
      <c r="A11921" s="346"/>
    </row>
    <row r="11922" spans="1:1">
      <c r="A11922" s="346"/>
    </row>
    <row r="11923" spans="1:1">
      <c r="A11923" s="346"/>
    </row>
    <row r="11924" spans="1:1">
      <c r="A11924" s="346"/>
    </row>
    <row r="11925" spans="1:1">
      <c r="A11925" s="346"/>
    </row>
    <row r="11926" spans="1:1">
      <c r="A11926" s="346"/>
    </row>
    <row r="11927" spans="1:1">
      <c r="A11927" s="346"/>
    </row>
    <row r="11928" spans="1:1">
      <c r="A11928" s="346"/>
    </row>
    <row r="11929" spans="1:1">
      <c r="A11929" s="346"/>
    </row>
    <row r="11930" spans="1:1">
      <c r="A11930" s="346"/>
    </row>
    <row r="11931" spans="1:1">
      <c r="A11931" s="346"/>
    </row>
    <row r="11932" spans="1:1">
      <c r="A11932" s="346"/>
    </row>
    <row r="11933" spans="1:1">
      <c r="A11933" s="346"/>
    </row>
    <row r="11934" spans="1:1">
      <c r="A11934" s="346"/>
    </row>
    <row r="11935" spans="1:1">
      <c r="A11935" s="346"/>
    </row>
    <row r="11936" spans="1:1">
      <c r="A11936" s="346"/>
    </row>
    <row r="11937" spans="1:1">
      <c r="A11937" s="346"/>
    </row>
    <row r="11938" spans="1:1">
      <c r="A11938" s="346"/>
    </row>
    <row r="11939" spans="1:1">
      <c r="A11939" s="346"/>
    </row>
    <row r="11940" spans="1:1">
      <c r="A11940" s="346"/>
    </row>
    <row r="11941" spans="1:1">
      <c r="A11941" s="346"/>
    </row>
    <row r="11942" spans="1:1">
      <c r="A11942" s="346"/>
    </row>
    <row r="11943" spans="1:1">
      <c r="A11943" s="346"/>
    </row>
    <row r="11944" spans="1:1">
      <c r="A11944" s="346"/>
    </row>
    <row r="11945" spans="1:1">
      <c r="A11945" s="346"/>
    </row>
    <row r="11946" spans="1:1">
      <c r="A11946" s="346"/>
    </row>
    <row r="11947" spans="1:1">
      <c r="A11947" s="346"/>
    </row>
    <row r="11948" spans="1:1">
      <c r="A11948" s="346"/>
    </row>
    <row r="11949" spans="1:1">
      <c r="A11949" s="346"/>
    </row>
    <row r="11950" spans="1:1">
      <c r="A11950" s="346"/>
    </row>
    <row r="11951" spans="1:1">
      <c r="A11951" s="346"/>
    </row>
    <row r="11952" spans="1:1">
      <c r="A11952" s="346"/>
    </row>
    <row r="11953" spans="1:1">
      <c r="A11953" s="346"/>
    </row>
    <row r="11954" spans="1:1">
      <c r="A11954" s="346"/>
    </row>
    <row r="11955" spans="1:1">
      <c r="A11955" s="346"/>
    </row>
    <row r="11956" spans="1:1">
      <c r="A11956" s="346"/>
    </row>
    <row r="11957" spans="1:1">
      <c r="A11957" s="346"/>
    </row>
    <row r="11958" spans="1:1">
      <c r="A11958" s="346"/>
    </row>
    <row r="11959" spans="1:1">
      <c r="A11959" s="346"/>
    </row>
    <row r="11960" spans="1:1">
      <c r="A11960" s="346"/>
    </row>
    <row r="11961" spans="1:1">
      <c r="A11961" s="346"/>
    </row>
    <row r="11962" spans="1:1">
      <c r="A11962" s="346"/>
    </row>
    <row r="11963" spans="1:1">
      <c r="A11963" s="346"/>
    </row>
    <row r="11964" spans="1:1">
      <c r="A11964" s="346"/>
    </row>
    <row r="11965" spans="1:1">
      <c r="A11965" s="346"/>
    </row>
    <row r="11966" spans="1:1">
      <c r="A11966" s="346"/>
    </row>
    <row r="11967" spans="1:1">
      <c r="A11967" s="346"/>
    </row>
    <row r="11968" spans="1:1">
      <c r="A11968" s="346"/>
    </row>
    <row r="11969" spans="1:1">
      <c r="A11969" s="346"/>
    </row>
    <row r="11970" spans="1:1">
      <c r="A11970" s="346"/>
    </row>
    <row r="11971" spans="1:1">
      <c r="A11971" s="346"/>
    </row>
    <row r="11972" spans="1:1">
      <c r="A11972" s="346"/>
    </row>
    <row r="11973" spans="1:1">
      <c r="A11973" s="346"/>
    </row>
    <row r="11974" spans="1:1">
      <c r="A11974" s="346"/>
    </row>
    <row r="11975" spans="1:1">
      <c r="A11975" s="346"/>
    </row>
    <row r="11976" spans="1:1">
      <c r="A11976" s="346"/>
    </row>
    <row r="11977" spans="1:1">
      <c r="A11977" s="346"/>
    </row>
    <row r="11978" spans="1:1">
      <c r="A11978" s="346"/>
    </row>
    <row r="11979" spans="1:1">
      <c r="A11979" s="346"/>
    </row>
    <row r="11980" spans="1:1">
      <c r="A11980" s="346"/>
    </row>
    <row r="11981" spans="1:1">
      <c r="A11981" s="346"/>
    </row>
    <row r="11982" spans="1:1">
      <c r="A11982" s="346"/>
    </row>
    <row r="11983" spans="1:1">
      <c r="A11983" s="346"/>
    </row>
    <row r="11984" spans="1:1">
      <c r="A11984" s="346"/>
    </row>
    <row r="11985" spans="1:1">
      <c r="A11985" s="346"/>
    </row>
    <row r="11986" spans="1:1">
      <c r="A11986" s="346"/>
    </row>
    <row r="11987" spans="1:1">
      <c r="A11987" s="346"/>
    </row>
    <row r="11988" spans="1:1">
      <c r="A11988" s="346"/>
    </row>
    <row r="11989" spans="1:1">
      <c r="A11989" s="346"/>
    </row>
    <row r="11990" spans="1:1">
      <c r="A11990" s="346"/>
    </row>
    <row r="11991" spans="1:1">
      <c r="A11991" s="346"/>
    </row>
    <row r="11992" spans="1:1">
      <c r="A11992" s="346"/>
    </row>
    <row r="11993" spans="1:1">
      <c r="A11993" s="346"/>
    </row>
    <row r="11994" spans="1:1">
      <c r="A11994" s="346"/>
    </row>
    <row r="11995" spans="1:1">
      <c r="A11995" s="346"/>
    </row>
    <row r="11996" spans="1:1">
      <c r="A11996" s="346"/>
    </row>
    <row r="11997" spans="1:1">
      <c r="A11997" s="346"/>
    </row>
    <row r="11998" spans="1:1">
      <c r="A11998" s="346"/>
    </row>
    <row r="11999" spans="1:1">
      <c r="A11999" s="346"/>
    </row>
    <row r="12000" spans="1:1">
      <c r="A12000" s="346"/>
    </row>
    <row r="12001" spans="1:1">
      <c r="A12001" s="346"/>
    </row>
    <row r="12002" spans="1:1">
      <c r="A12002" s="346"/>
    </row>
    <row r="12003" spans="1:1">
      <c r="A12003" s="346"/>
    </row>
    <row r="12004" spans="1:1">
      <c r="A12004" s="346"/>
    </row>
    <row r="12005" spans="1:1">
      <c r="A12005" s="346"/>
    </row>
    <row r="12006" spans="1:1">
      <c r="A12006" s="346"/>
    </row>
    <row r="12007" spans="1:1">
      <c r="A12007" s="346"/>
    </row>
    <row r="12008" spans="1:1">
      <c r="A12008" s="346"/>
    </row>
    <row r="12009" spans="1:1">
      <c r="A12009" s="346"/>
    </row>
    <row r="12010" spans="1:1">
      <c r="A12010" s="346"/>
    </row>
    <row r="12011" spans="1:1">
      <c r="A12011" s="346"/>
    </row>
    <row r="12012" spans="1:1">
      <c r="A12012" s="346"/>
    </row>
    <row r="12013" spans="1:1">
      <c r="A12013" s="346"/>
    </row>
    <row r="12014" spans="1:1">
      <c r="A12014" s="346"/>
    </row>
    <row r="12015" spans="1:1">
      <c r="A12015" s="346"/>
    </row>
    <row r="12016" spans="1:1">
      <c r="A12016" s="346"/>
    </row>
    <row r="12017" spans="1:1">
      <c r="A12017" s="346"/>
    </row>
    <row r="12018" spans="1:1">
      <c r="A12018" s="346"/>
    </row>
    <row r="12019" spans="1:1">
      <c r="A12019" s="346"/>
    </row>
    <row r="12020" spans="1:1">
      <c r="A12020" s="346"/>
    </row>
    <row r="12021" spans="1:1">
      <c r="A12021" s="346"/>
    </row>
    <row r="12022" spans="1:1">
      <c r="A12022" s="346"/>
    </row>
    <row r="12023" spans="1:1">
      <c r="A12023" s="346"/>
    </row>
    <row r="12024" spans="1:1">
      <c r="A12024" s="346"/>
    </row>
    <row r="12025" spans="1:1">
      <c r="A12025" s="346"/>
    </row>
    <row r="12026" spans="1:1">
      <c r="A12026" s="346"/>
    </row>
    <row r="12027" spans="1:1">
      <c r="A12027" s="346"/>
    </row>
    <row r="12028" spans="1:1">
      <c r="A12028" s="346"/>
    </row>
    <row r="12029" spans="1:1">
      <c r="A12029" s="346"/>
    </row>
    <row r="12030" spans="1:1">
      <c r="A12030" s="346"/>
    </row>
    <row r="12031" spans="1:1">
      <c r="A12031" s="346"/>
    </row>
    <row r="12032" spans="1:1">
      <c r="A12032" s="346"/>
    </row>
    <row r="12033" spans="1:1">
      <c r="A12033" s="346"/>
    </row>
    <row r="12034" spans="1:1">
      <c r="A12034" s="346"/>
    </row>
    <row r="12035" spans="1:1">
      <c r="A12035" s="346"/>
    </row>
    <row r="12036" spans="1:1">
      <c r="A12036" s="346"/>
    </row>
    <row r="12037" spans="1:1">
      <c r="A12037" s="346"/>
    </row>
    <row r="12038" spans="1:1">
      <c r="A12038" s="346"/>
    </row>
    <row r="12039" spans="1:1">
      <c r="A12039" s="346"/>
    </row>
    <row r="12040" spans="1:1">
      <c r="A12040" s="346"/>
    </row>
    <row r="12041" spans="1:1">
      <c r="A12041" s="346"/>
    </row>
    <row r="12042" spans="1:1">
      <c r="A12042" s="346"/>
    </row>
    <row r="12043" spans="1:1">
      <c r="A12043" s="346"/>
    </row>
    <row r="12044" spans="1:1">
      <c r="A12044" s="346"/>
    </row>
    <row r="12045" spans="1:1">
      <c r="A12045" s="346"/>
    </row>
    <row r="12046" spans="1:1">
      <c r="A12046" s="346"/>
    </row>
    <row r="12047" spans="1:1">
      <c r="A12047" s="346"/>
    </row>
    <row r="12048" spans="1:1">
      <c r="A12048" s="346"/>
    </row>
    <row r="12049" spans="1:1">
      <c r="A12049" s="346"/>
    </row>
    <row r="12050" spans="1:1">
      <c r="A12050" s="346"/>
    </row>
    <row r="12051" spans="1:1">
      <c r="A12051" s="346"/>
    </row>
    <row r="12052" spans="1:1">
      <c r="A12052" s="346"/>
    </row>
    <row r="12053" spans="1:1">
      <c r="A12053" s="346"/>
    </row>
    <row r="12054" spans="1:1">
      <c r="A12054" s="346"/>
    </row>
    <row r="12055" spans="1:1">
      <c r="A12055" s="346"/>
    </row>
    <row r="12056" spans="1:1">
      <c r="A12056" s="346"/>
    </row>
    <row r="12057" spans="1:1">
      <c r="A12057" s="346"/>
    </row>
    <row r="12058" spans="1:1">
      <c r="A12058" s="346"/>
    </row>
    <row r="12059" spans="1:1">
      <c r="A12059" s="346"/>
    </row>
    <row r="12060" spans="1:1">
      <c r="A12060" s="346"/>
    </row>
    <row r="12061" spans="1:1">
      <c r="A12061" s="346"/>
    </row>
    <row r="12062" spans="1:1">
      <c r="A12062" s="346"/>
    </row>
    <row r="12063" spans="1:1">
      <c r="A12063" s="346"/>
    </row>
    <row r="12064" spans="1:1">
      <c r="A12064" s="346"/>
    </row>
    <row r="12065" spans="1:1">
      <c r="A12065" s="346"/>
    </row>
    <row r="12066" spans="1:1">
      <c r="A12066" s="346"/>
    </row>
    <row r="12067" spans="1:1">
      <c r="A12067" s="346"/>
    </row>
    <row r="12068" spans="1:1">
      <c r="A12068" s="346"/>
    </row>
    <row r="12069" spans="1:1">
      <c r="A12069" s="346"/>
    </row>
    <row r="12070" spans="1:1">
      <c r="A12070" s="346"/>
    </row>
    <row r="12071" spans="1:1">
      <c r="A12071" s="346"/>
    </row>
    <row r="12072" spans="1:1">
      <c r="A12072" s="346"/>
    </row>
    <row r="12073" spans="1:1">
      <c r="A12073" s="346"/>
    </row>
    <row r="12074" spans="1:1">
      <c r="A12074" s="346"/>
    </row>
    <row r="12075" spans="1:1">
      <c r="A12075" s="346"/>
    </row>
    <row r="12076" spans="1:1">
      <c r="A12076" s="346"/>
    </row>
    <row r="12077" spans="1:1">
      <c r="A12077" s="346"/>
    </row>
    <row r="12078" spans="1:1">
      <c r="A12078" s="346"/>
    </row>
    <row r="12079" spans="1:1">
      <c r="A12079" s="346"/>
    </row>
    <row r="12080" spans="1:1">
      <c r="A12080" s="346"/>
    </row>
    <row r="12081" spans="1:1">
      <c r="A12081" s="346"/>
    </row>
    <row r="12082" spans="1:1">
      <c r="A12082" s="346"/>
    </row>
    <row r="12083" spans="1:1">
      <c r="A12083" s="346"/>
    </row>
    <row r="12084" spans="1:1">
      <c r="A12084" s="346"/>
    </row>
    <row r="12085" spans="1:1">
      <c r="A12085" s="346"/>
    </row>
    <row r="12086" spans="1:1">
      <c r="A12086" s="346"/>
    </row>
    <row r="12087" spans="1:1">
      <c r="A12087" s="346"/>
    </row>
    <row r="12088" spans="1:1">
      <c r="A12088" s="346"/>
    </row>
    <row r="12089" spans="1:1">
      <c r="A12089" s="346"/>
    </row>
    <row r="12090" spans="1:1">
      <c r="A12090" s="346"/>
    </row>
    <row r="12091" spans="1:1">
      <c r="A12091" s="346"/>
    </row>
    <row r="12092" spans="1:1">
      <c r="A12092" s="346"/>
    </row>
    <row r="12093" spans="1:1">
      <c r="A12093" s="346"/>
    </row>
    <row r="12094" spans="1:1">
      <c r="A12094" s="346"/>
    </row>
    <row r="12095" spans="1:1">
      <c r="A12095" s="346"/>
    </row>
    <row r="12096" spans="1:1">
      <c r="A12096" s="346"/>
    </row>
    <row r="12097" spans="1:1">
      <c r="A12097" s="346"/>
    </row>
    <row r="12098" spans="1:1">
      <c r="A12098" s="346"/>
    </row>
    <row r="12099" spans="1:1">
      <c r="A12099" s="346"/>
    </row>
    <row r="12100" spans="1:1">
      <c r="A12100" s="346"/>
    </row>
    <row r="12101" spans="1:1">
      <c r="A12101" s="346"/>
    </row>
    <row r="12102" spans="1:1">
      <c r="A12102" s="346"/>
    </row>
    <row r="12103" spans="1:1">
      <c r="A12103" s="346"/>
    </row>
    <row r="12104" spans="1:1">
      <c r="A12104" s="346"/>
    </row>
    <row r="12105" spans="1:1">
      <c r="A12105" s="346"/>
    </row>
    <row r="12106" spans="1:1">
      <c r="A12106" s="346"/>
    </row>
    <row r="12107" spans="1:1">
      <c r="A12107" s="346"/>
    </row>
    <row r="12108" spans="1:1">
      <c r="A12108" s="346"/>
    </row>
    <row r="12109" spans="1:1">
      <c r="A12109" s="346"/>
    </row>
    <row r="12110" spans="1:1">
      <c r="A12110" s="346"/>
    </row>
    <row r="12111" spans="1:1">
      <c r="A12111" s="346"/>
    </row>
    <row r="12112" spans="1:1">
      <c r="A12112" s="346"/>
    </row>
    <row r="12113" spans="1:1">
      <c r="A12113" s="346"/>
    </row>
    <row r="12114" spans="1:1">
      <c r="A12114" s="346"/>
    </row>
    <row r="12115" spans="1:1">
      <c r="A12115" s="346"/>
    </row>
    <row r="12116" spans="1:1">
      <c r="A12116" s="346"/>
    </row>
    <row r="12117" spans="1:1">
      <c r="A12117" s="346"/>
    </row>
    <row r="12118" spans="1:1">
      <c r="A12118" s="346"/>
    </row>
    <row r="12119" spans="1:1">
      <c r="A12119" s="346"/>
    </row>
    <row r="12120" spans="1:1">
      <c r="A12120" s="346"/>
    </row>
    <row r="12121" spans="1:1">
      <c r="A12121" s="346"/>
    </row>
    <row r="12122" spans="1:1">
      <c r="A12122" s="346"/>
    </row>
    <row r="12123" spans="1:1">
      <c r="A12123" s="346"/>
    </row>
    <row r="12124" spans="1:1">
      <c r="A12124" s="346"/>
    </row>
    <row r="12125" spans="1:1">
      <c r="A12125" s="346"/>
    </row>
    <row r="12126" spans="1:1">
      <c r="A12126" s="346"/>
    </row>
    <row r="12127" spans="1:1">
      <c r="A12127" s="346"/>
    </row>
    <row r="12128" spans="1:1">
      <c r="A12128" s="346"/>
    </row>
    <row r="12129" spans="1:1">
      <c r="A12129" s="346"/>
    </row>
    <row r="12130" spans="1:1">
      <c r="A12130" s="346"/>
    </row>
    <row r="12131" spans="1:1">
      <c r="A12131" s="346"/>
    </row>
    <row r="12132" spans="1:1">
      <c r="A12132" s="346"/>
    </row>
    <row r="12133" spans="1:1">
      <c r="A12133" s="346"/>
    </row>
    <row r="12134" spans="1:1">
      <c r="A12134" s="346"/>
    </row>
    <row r="12135" spans="1:1">
      <c r="A12135" s="346"/>
    </row>
    <row r="12136" spans="1:1">
      <c r="A12136" s="346"/>
    </row>
    <row r="12137" spans="1:1">
      <c r="A12137" s="346"/>
    </row>
    <row r="12138" spans="1:1">
      <c r="A12138" s="346"/>
    </row>
    <row r="12139" spans="1:1">
      <c r="A12139" s="346"/>
    </row>
    <row r="12140" spans="1:1">
      <c r="A12140" s="346"/>
    </row>
    <row r="12141" spans="1:1">
      <c r="A12141" s="346"/>
    </row>
    <row r="12142" spans="1:1">
      <c r="A12142" s="346"/>
    </row>
    <row r="12143" spans="1:1">
      <c r="A12143" s="346"/>
    </row>
    <row r="12144" spans="1:1">
      <c r="A12144" s="346"/>
    </row>
    <row r="12145" spans="1:1">
      <c r="A12145" s="346"/>
    </row>
    <row r="12146" spans="1:1">
      <c r="A12146" s="346"/>
    </row>
    <row r="12147" spans="1:1">
      <c r="A12147" s="346"/>
    </row>
    <row r="12148" spans="1:1">
      <c r="A12148" s="346"/>
    </row>
    <row r="12149" spans="1:1">
      <c r="A12149" s="346"/>
    </row>
    <row r="12150" spans="1:1">
      <c r="A12150" s="346"/>
    </row>
    <row r="12151" spans="1:1">
      <c r="A12151" s="346"/>
    </row>
    <row r="12152" spans="1:1">
      <c r="A12152" s="346"/>
    </row>
    <row r="12153" spans="1:1">
      <c r="A12153" s="346"/>
    </row>
    <row r="12154" spans="1:1">
      <c r="A12154" s="346"/>
    </row>
    <row r="12155" spans="1:1">
      <c r="A12155" s="346"/>
    </row>
    <row r="12156" spans="1:1">
      <c r="A12156" s="346"/>
    </row>
    <row r="12157" spans="1:1">
      <c r="A12157" s="346"/>
    </row>
    <row r="12158" spans="1:1">
      <c r="A12158" s="346"/>
    </row>
    <row r="12159" spans="1:1">
      <c r="A12159" s="346"/>
    </row>
    <row r="12160" spans="1:1">
      <c r="A12160" s="346"/>
    </row>
    <row r="12161" spans="1:1">
      <c r="A12161" s="346"/>
    </row>
    <row r="12162" spans="1:1">
      <c r="A12162" s="346"/>
    </row>
    <row r="12163" spans="1:1">
      <c r="A12163" s="346"/>
    </row>
    <row r="12164" spans="1:1">
      <c r="A12164" s="346"/>
    </row>
    <row r="12165" spans="1:1">
      <c r="A12165" s="346"/>
    </row>
    <row r="12166" spans="1:1">
      <c r="A12166" s="346"/>
    </row>
    <row r="12167" spans="1:1">
      <c r="A12167" s="346"/>
    </row>
    <row r="12168" spans="1:1">
      <c r="A12168" s="346"/>
    </row>
    <row r="12169" spans="1:1">
      <c r="A12169" s="346"/>
    </row>
    <row r="12170" spans="1:1">
      <c r="A12170" s="346"/>
    </row>
    <row r="12171" spans="1:1">
      <c r="A12171" s="346"/>
    </row>
    <row r="12172" spans="1:1">
      <c r="A12172" s="346"/>
    </row>
    <row r="12173" spans="1:1">
      <c r="A12173" s="346"/>
    </row>
    <row r="12174" spans="1:1">
      <c r="A12174" s="346"/>
    </row>
    <row r="12175" spans="1:1">
      <c r="A12175" s="346"/>
    </row>
    <row r="12176" spans="1:1">
      <c r="A12176" s="346"/>
    </row>
    <row r="12177" spans="1:1">
      <c r="A12177" s="346"/>
    </row>
    <row r="12178" spans="1:1">
      <c r="A12178" s="346"/>
    </row>
    <row r="12179" spans="1:1">
      <c r="A12179" s="346"/>
    </row>
    <row r="12180" spans="1:1">
      <c r="A12180" s="346"/>
    </row>
    <row r="12181" spans="1:1">
      <c r="A12181" s="346"/>
    </row>
    <row r="12182" spans="1:1">
      <c r="A12182" s="346"/>
    </row>
    <row r="12183" spans="1:1">
      <c r="A12183" s="346"/>
    </row>
    <row r="12184" spans="1:1">
      <c r="A12184" s="346"/>
    </row>
    <row r="12185" spans="1:1">
      <c r="A12185" s="346"/>
    </row>
    <row r="12186" spans="1:1">
      <c r="A12186" s="346"/>
    </row>
    <row r="12187" spans="1:1">
      <c r="A12187" s="346"/>
    </row>
    <row r="12188" spans="1:1">
      <c r="A12188" s="346"/>
    </row>
    <row r="12189" spans="1:1">
      <c r="A12189" s="346"/>
    </row>
    <row r="12190" spans="1:1">
      <c r="A12190" s="346"/>
    </row>
    <row r="12191" spans="1:1">
      <c r="A12191" s="346"/>
    </row>
    <row r="12192" spans="1:1">
      <c r="A12192" s="346"/>
    </row>
    <row r="12193" spans="1:1">
      <c r="A12193" s="346"/>
    </row>
    <row r="12194" spans="1:1">
      <c r="A12194" s="346"/>
    </row>
    <row r="12195" spans="1:1">
      <c r="A12195" s="346"/>
    </row>
    <row r="12196" spans="1:1">
      <c r="A12196" s="346"/>
    </row>
    <row r="12197" spans="1:1">
      <c r="A12197" s="346"/>
    </row>
    <row r="12198" spans="1:1">
      <c r="A12198" s="346"/>
    </row>
    <row r="12199" spans="1:1">
      <c r="A12199" s="346"/>
    </row>
    <row r="12200" spans="1:1">
      <c r="A12200" s="346"/>
    </row>
    <row r="12201" spans="1:1">
      <c r="A12201" s="346"/>
    </row>
    <row r="12202" spans="1:1">
      <c r="A12202" s="346"/>
    </row>
    <row r="12203" spans="1:1">
      <c r="A12203" s="346"/>
    </row>
    <row r="12204" spans="1:1">
      <c r="A12204" s="346"/>
    </row>
    <row r="12205" spans="1:1">
      <c r="A12205" s="346"/>
    </row>
    <row r="12206" spans="1:1">
      <c r="A12206" s="346"/>
    </row>
    <row r="12207" spans="1:1">
      <c r="A12207" s="346"/>
    </row>
    <row r="12208" spans="1:1">
      <c r="A12208" s="346"/>
    </row>
    <row r="12209" spans="1:1">
      <c r="A12209" s="346"/>
    </row>
    <row r="12210" spans="1:1">
      <c r="A12210" s="346"/>
    </row>
    <row r="12211" spans="1:1">
      <c r="A12211" s="346"/>
    </row>
    <row r="12212" spans="1:1">
      <c r="A12212" s="346"/>
    </row>
    <row r="12213" spans="1:1">
      <c r="A12213" s="346"/>
    </row>
    <row r="12214" spans="1:1">
      <c r="A12214" s="346"/>
    </row>
    <row r="12215" spans="1:1">
      <c r="A12215" s="346"/>
    </row>
    <row r="12216" spans="1:1">
      <c r="A12216" s="346"/>
    </row>
    <row r="12217" spans="1:1">
      <c r="A12217" s="346"/>
    </row>
    <row r="12218" spans="1:1">
      <c r="A12218" s="346"/>
    </row>
    <row r="12219" spans="1:1">
      <c r="A12219" s="346"/>
    </row>
    <row r="12220" spans="1:1">
      <c r="A12220" s="346"/>
    </row>
    <row r="12221" spans="1:1">
      <c r="A12221" s="346"/>
    </row>
    <row r="12222" spans="1:1">
      <c r="A12222" s="346"/>
    </row>
    <row r="12223" spans="1:1">
      <c r="A12223" s="346"/>
    </row>
    <row r="12224" spans="1:1">
      <c r="A12224" s="346"/>
    </row>
    <row r="12225" spans="1:1">
      <c r="A12225" s="346"/>
    </row>
    <row r="12226" spans="1:1">
      <c r="A12226" s="346"/>
    </row>
    <row r="12227" spans="1:1">
      <c r="A12227" s="346"/>
    </row>
    <row r="12228" spans="1:1">
      <c r="A12228" s="346"/>
    </row>
    <row r="12229" spans="1:1">
      <c r="A12229" s="346"/>
    </row>
    <row r="12230" spans="1:1">
      <c r="A12230" s="346"/>
    </row>
    <row r="12231" spans="1:1">
      <c r="A12231" s="346"/>
    </row>
    <row r="12232" spans="1:1">
      <c r="A12232" s="346"/>
    </row>
    <row r="12233" spans="1:1">
      <c r="A12233" s="346"/>
    </row>
    <row r="12234" spans="1:1">
      <c r="A12234" s="346"/>
    </row>
    <row r="12235" spans="1:1">
      <c r="A12235" s="346"/>
    </row>
    <row r="12236" spans="1:1">
      <c r="A12236" s="346"/>
    </row>
    <row r="12237" spans="1:1">
      <c r="A12237" s="346"/>
    </row>
    <row r="12238" spans="1:1">
      <c r="A12238" s="346"/>
    </row>
    <row r="12239" spans="1:1">
      <c r="A12239" s="346"/>
    </row>
    <row r="12240" spans="1:1">
      <c r="A12240" s="346"/>
    </row>
    <row r="12241" spans="1:1">
      <c r="A12241" s="346"/>
    </row>
    <row r="12242" spans="1:1">
      <c r="A12242" s="346"/>
    </row>
    <row r="12243" spans="1:1">
      <c r="A12243" s="346"/>
    </row>
    <row r="12244" spans="1:1">
      <c r="A12244" s="346"/>
    </row>
    <row r="12245" spans="1:1">
      <c r="A12245" s="346"/>
    </row>
    <row r="12246" spans="1:1">
      <c r="A12246" s="346"/>
    </row>
    <row r="12247" spans="1:1">
      <c r="A12247" s="346"/>
    </row>
    <row r="12248" spans="1:1">
      <c r="A12248" s="346"/>
    </row>
    <row r="12249" spans="1:1">
      <c r="A12249" s="346"/>
    </row>
    <row r="12250" spans="1:1">
      <c r="A12250" s="346"/>
    </row>
    <row r="12251" spans="1:1">
      <c r="A12251" s="346"/>
    </row>
    <row r="12252" spans="1:1">
      <c r="A12252" s="346"/>
    </row>
    <row r="12253" spans="1:1">
      <c r="A12253" s="346"/>
    </row>
    <row r="12254" spans="1:1">
      <c r="A12254" s="346"/>
    </row>
    <row r="12255" spans="1:1">
      <c r="A12255" s="346"/>
    </row>
    <row r="12256" spans="1:1">
      <c r="A12256" s="346"/>
    </row>
    <row r="12257" spans="1:1">
      <c r="A12257" s="346"/>
    </row>
    <row r="12258" spans="1:1">
      <c r="A12258" s="346"/>
    </row>
    <row r="12259" spans="1:1">
      <c r="A12259" s="346"/>
    </row>
    <row r="12260" spans="1:1">
      <c r="A12260" s="346"/>
    </row>
    <row r="12261" spans="1:1">
      <c r="A12261" s="346"/>
    </row>
    <row r="12262" spans="1:1">
      <c r="A12262" s="346"/>
    </row>
    <row r="12263" spans="1:1">
      <c r="A12263" s="346"/>
    </row>
    <row r="12264" spans="1:1">
      <c r="A12264" s="346"/>
    </row>
    <row r="12265" spans="1:1">
      <c r="A12265" s="346"/>
    </row>
    <row r="12266" spans="1:1">
      <c r="A12266" s="346"/>
    </row>
    <row r="12267" spans="1:1">
      <c r="A12267" s="346"/>
    </row>
    <row r="12268" spans="1:1">
      <c r="A12268" s="346"/>
    </row>
    <row r="12269" spans="1:1">
      <c r="A12269" s="346"/>
    </row>
    <row r="12270" spans="1:1">
      <c r="A12270" s="346"/>
    </row>
    <row r="12271" spans="1:1">
      <c r="A12271" s="346"/>
    </row>
    <row r="12272" spans="1:1">
      <c r="A12272" s="346"/>
    </row>
    <row r="12273" spans="1:1">
      <c r="A12273" s="346"/>
    </row>
    <row r="12274" spans="1:1">
      <c r="A12274" s="346"/>
    </row>
    <row r="12275" spans="1:1">
      <c r="A12275" s="346"/>
    </row>
    <row r="12276" spans="1:1">
      <c r="A12276" s="346"/>
    </row>
    <row r="12277" spans="1:1">
      <c r="A12277" s="346"/>
    </row>
    <row r="12278" spans="1:1">
      <c r="A12278" s="346"/>
    </row>
    <row r="12279" spans="1:1">
      <c r="A12279" s="346"/>
    </row>
    <row r="12280" spans="1:1">
      <c r="A12280" s="346"/>
    </row>
    <row r="12281" spans="1:1">
      <c r="A12281" s="346"/>
    </row>
    <row r="12282" spans="1:1">
      <c r="A12282" s="346"/>
    </row>
    <row r="12283" spans="1:1">
      <c r="A12283" s="346"/>
    </row>
    <row r="12284" spans="1:1">
      <c r="A12284" s="346"/>
    </row>
    <row r="12285" spans="1:1">
      <c r="A12285" s="346"/>
    </row>
    <row r="12286" spans="1:1">
      <c r="A12286" s="346"/>
    </row>
    <row r="12287" spans="1:1">
      <c r="A12287" s="346"/>
    </row>
    <row r="12288" spans="1:1">
      <c r="A12288" s="346"/>
    </row>
    <row r="12289" spans="1:1">
      <c r="A12289" s="346"/>
    </row>
    <row r="12290" spans="1:1">
      <c r="A12290" s="346"/>
    </row>
    <row r="12291" spans="1:1">
      <c r="A12291" s="346"/>
    </row>
    <row r="12292" spans="1:1">
      <c r="A12292" s="346"/>
    </row>
    <row r="12293" spans="1:1">
      <c r="A12293" s="346"/>
    </row>
    <row r="12294" spans="1:1">
      <c r="A12294" s="346"/>
    </row>
    <row r="12295" spans="1:1">
      <c r="A12295" s="346"/>
    </row>
    <row r="12296" spans="1:1">
      <c r="A12296" s="346"/>
    </row>
    <row r="12297" spans="1:1">
      <c r="A12297" s="346"/>
    </row>
    <row r="12298" spans="1:1">
      <c r="A12298" s="346"/>
    </row>
    <row r="12299" spans="1:1">
      <c r="A12299" s="346"/>
    </row>
    <row r="12300" spans="1:1">
      <c r="A12300" s="346"/>
    </row>
    <row r="12301" spans="1:1">
      <c r="A12301" s="346"/>
    </row>
    <row r="12302" spans="1:1">
      <c r="A12302" s="346"/>
    </row>
    <row r="12303" spans="1:1">
      <c r="A12303" s="346"/>
    </row>
    <row r="12304" spans="1:1">
      <c r="A12304" s="346"/>
    </row>
    <row r="12305" spans="1:1">
      <c r="A12305" s="346"/>
    </row>
    <row r="12306" spans="1:1">
      <c r="A12306" s="346"/>
    </row>
    <row r="12307" spans="1:1">
      <c r="A12307" s="346"/>
    </row>
    <row r="12308" spans="1:1">
      <c r="A12308" s="346"/>
    </row>
    <row r="12309" spans="1:1">
      <c r="A12309" s="346"/>
    </row>
    <row r="12310" spans="1:1">
      <c r="A12310" s="346"/>
    </row>
    <row r="12311" spans="1:1">
      <c r="A12311" s="346"/>
    </row>
    <row r="12312" spans="1:1">
      <c r="A12312" s="346"/>
    </row>
    <row r="12313" spans="1:1">
      <c r="A12313" s="346"/>
    </row>
    <row r="12314" spans="1:1">
      <c r="A12314" s="346"/>
    </row>
    <row r="12315" spans="1:1">
      <c r="A12315" s="346"/>
    </row>
    <row r="12316" spans="1:1">
      <c r="A12316" s="346"/>
    </row>
    <row r="12317" spans="1:1">
      <c r="A12317" s="346"/>
    </row>
    <row r="12318" spans="1:1">
      <c r="A12318" s="346"/>
    </row>
    <row r="12319" spans="1:1">
      <c r="A12319" s="346"/>
    </row>
    <row r="12320" spans="1:1">
      <c r="A12320" s="346"/>
    </row>
    <row r="12321" spans="1:1">
      <c r="A12321" s="346"/>
    </row>
    <row r="12322" spans="1:1">
      <c r="A12322" s="346"/>
    </row>
    <row r="12323" spans="1:1">
      <c r="A12323" s="346"/>
    </row>
    <row r="12324" spans="1:1">
      <c r="A12324" s="346"/>
    </row>
    <row r="12325" spans="1:1">
      <c r="A12325" s="346"/>
    </row>
    <row r="12326" spans="1:1">
      <c r="A12326" s="346"/>
    </row>
    <row r="12327" spans="1:1">
      <c r="A12327" s="346"/>
    </row>
    <row r="12328" spans="1:1">
      <c r="A12328" s="346"/>
    </row>
    <row r="12329" spans="1:1">
      <c r="A12329" s="346"/>
    </row>
    <row r="12330" spans="1:1">
      <c r="A12330" s="346"/>
    </row>
    <row r="12331" spans="1:1">
      <c r="A12331" s="346"/>
    </row>
    <row r="12332" spans="1:1">
      <c r="A12332" s="346"/>
    </row>
    <row r="12333" spans="1:1">
      <c r="A12333" s="346"/>
    </row>
    <row r="12334" spans="1:1">
      <c r="A12334" s="346"/>
    </row>
    <row r="12335" spans="1:1">
      <c r="A12335" s="346"/>
    </row>
    <row r="12336" spans="1:1">
      <c r="A12336" s="346"/>
    </row>
    <row r="12337" spans="1:1">
      <c r="A12337" s="346"/>
    </row>
    <row r="12338" spans="1:1">
      <c r="A12338" s="346"/>
    </row>
    <row r="12339" spans="1:1">
      <c r="A12339" s="346"/>
    </row>
    <row r="12340" spans="1:1">
      <c r="A12340" s="346"/>
    </row>
    <row r="12341" spans="1:1">
      <c r="A12341" s="346"/>
    </row>
    <row r="12342" spans="1:1">
      <c r="A12342" s="346"/>
    </row>
    <row r="12343" spans="1:1">
      <c r="A12343" s="346"/>
    </row>
    <row r="12344" spans="1:1">
      <c r="A12344" s="346"/>
    </row>
    <row r="12345" spans="1:1">
      <c r="A12345" s="346"/>
    </row>
    <row r="12346" spans="1:1">
      <c r="A12346" s="346"/>
    </row>
    <row r="12347" spans="1:1">
      <c r="A12347" s="346"/>
    </row>
    <row r="12348" spans="1:1">
      <c r="A12348" s="346"/>
    </row>
    <row r="12349" spans="1:1">
      <c r="A12349" s="346"/>
    </row>
    <row r="12350" spans="1:1">
      <c r="A12350" s="346"/>
    </row>
    <row r="12351" spans="1:1">
      <c r="A12351" s="346"/>
    </row>
    <row r="12352" spans="1:1">
      <c r="A12352" s="346"/>
    </row>
    <row r="12353" spans="1:1">
      <c r="A12353" s="346"/>
    </row>
    <row r="12354" spans="1:1">
      <c r="A12354" s="346"/>
    </row>
    <row r="12355" spans="1:1">
      <c r="A12355" s="346"/>
    </row>
    <row r="12356" spans="1:1">
      <c r="A12356" s="346"/>
    </row>
    <row r="12357" spans="1:1">
      <c r="A12357" s="346"/>
    </row>
    <row r="12358" spans="1:1">
      <c r="A12358" s="346"/>
    </row>
    <row r="12359" spans="1:1">
      <c r="A12359" s="346"/>
    </row>
    <row r="12360" spans="1:1">
      <c r="A12360" s="346"/>
    </row>
    <row r="12361" spans="1:1">
      <c r="A12361" s="346"/>
    </row>
    <row r="12362" spans="1:1">
      <c r="A12362" s="346"/>
    </row>
    <row r="12363" spans="1:1">
      <c r="A12363" s="346"/>
    </row>
    <row r="12364" spans="1:1">
      <c r="A12364" s="346"/>
    </row>
    <row r="12365" spans="1:1">
      <c r="A12365" s="346"/>
    </row>
    <row r="12366" spans="1:1">
      <c r="A12366" s="346"/>
    </row>
    <row r="12367" spans="1:1">
      <c r="A12367" s="346"/>
    </row>
    <row r="12368" spans="1:1">
      <c r="A12368" s="346"/>
    </row>
    <row r="12369" spans="1:1">
      <c r="A12369" s="346"/>
    </row>
    <row r="12370" spans="1:1">
      <c r="A12370" s="346"/>
    </row>
    <row r="12371" spans="1:1">
      <c r="A12371" s="346"/>
    </row>
    <row r="12372" spans="1:1">
      <c r="A12372" s="346"/>
    </row>
    <row r="12373" spans="1:1">
      <c r="A12373" s="346"/>
    </row>
    <row r="12374" spans="1:1">
      <c r="A12374" s="346"/>
    </row>
    <row r="12375" spans="1:1">
      <c r="A12375" s="346"/>
    </row>
    <row r="12376" spans="1:1">
      <c r="A12376" s="346"/>
    </row>
    <row r="12377" spans="1:1">
      <c r="A12377" s="346"/>
    </row>
    <row r="12378" spans="1:1">
      <c r="A12378" s="346"/>
    </row>
    <row r="12379" spans="1:1">
      <c r="A12379" s="346"/>
    </row>
    <row r="12380" spans="1:1">
      <c r="A12380" s="346"/>
    </row>
    <row r="12381" spans="1:1">
      <c r="A12381" s="346"/>
    </row>
    <row r="12382" spans="1:1">
      <c r="A12382" s="346"/>
    </row>
    <row r="12383" spans="1:1">
      <c r="A12383" s="346"/>
    </row>
    <row r="12384" spans="1:1">
      <c r="A12384" s="346"/>
    </row>
    <row r="12385" spans="1:1">
      <c r="A12385" s="346"/>
    </row>
    <row r="12386" spans="1:1">
      <c r="A12386" s="346"/>
    </row>
    <row r="12387" spans="1:1">
      <c r="A12387" s="346"/>
    </row>
    <row r="12388" spans="1:1">
      <c r="A12388" s="346"/>
    </row>
    <row r="12389" spans="1:1">
      <c r="A12389" s="346"/>
    </row>
    <row r="12390" spans="1:1">
      <c r="A12390" s="346"/>
    </row>
    <row r="12391" spans="1:1">
      <c r="A12391" s="346"/>
    </row>
    <row r="12392" spans="1:1">
      <c r="A12392" s="346"/>
    </row>
    <row r="12393" spans="1:1">
      <c r="A12393" s="346"/>
    </row>
    <row r="12394" spans="1:1">
      <c r="A12394" s="346"/>
    </row>
    <row r="12395" spans="1:1">
      <c r="A12395" s="346"/>
    </row>
    <row r="12396" spans="1:1">
      <c r="A12396" s="346"/>
    </row>
    <row r="12397" spans="1:1">
      <c r="A12397" s="346"/>
    </row>
    <row r="12398" spans="1:1">
      <c r="A12398" s="346"/>
    </row>
    <row r="12399" spans="1:1">
      <c r="A12399" s="346"/>
    </row>
    <row r="12400" spans="1:1">
      <c r="A12400" s="346"/>
    </row>
    <row r="12401" spans="1:1">
      <c r="A12401" s="346"/>
    </row>
    <row r="12402" spans="1:1">
      <c r="A12402" s="346"/>
    </row>
    <row r="12403" spans="1:1">
      <c r="A12403" s="346"/>
    </row>
    <row r="12404" spans="1:1">
      <c r="A12404" s="346"/>
    </row>
    <row r="12405" spans="1:1">
      <c r="A12405" s="346"/>
    </row>
    <row r="12406" spans="1:1">
      <c r="A12406" s="346"/>
    </row>
    <row r="12407" spans="1:1">
      <c r="A12407" s="346"/>
    </row>
    <row r="12408" spans="1:1">
      <c r="A12408" s="346"/>
    </row>
    <row r="12409" spans="1:1">
      <c r="A12409" s="346"/>
    </row>
    <row r="12410" spans="1:1">
      <c r="A12410" s="346"/>
    </row>
    <row r="12411" spans="1:1">
      <c r="A12411" s="346"/>
    </row>
    <row r="12412" spans="1:1">
      <c r="A12412" s="346"/>
    </row>
    <row r="12413" spans="1:1">
      <c r="A12413" s="346"/>
    </row>
    <row r="12414" spans="1:1">
      <c r="A12414" s="346"/>
    </row>
    <row r="12415" spans="1:1">
      <c r="A12415" s="346"/>
    </row>
    <row r="12416" spans="1:1">
      <c r="A12416" s="346"/>
    </row>
    <row r="12417" spans="1:1">
      <c r="A12417" s="346"/>
    </row>
    <row r="12418" spans="1:1">
      <c r="A12418" s="346"/>
    </row>
    <row r="12419" spans="1:1">
      <c r="A12419" s="346"/>
    </row>
    <row r="12420" spans="1:1">
      <c r="A12420" s="346"/>
    </row>
    <row r="12421" spans="1:1">
      <c r="A12421" s="346"/>
    </row>
    <row r="12422" spans="1:1">
      <c r="A12422" s="346"/>
    </row>
    <row r="12423" spans="1:1">
      <c r="A12423" s="346"/>
    </row>
    <row r="12424" spans="1:1">
      <c r="A12424" s="346"/>
    </row>
    <row r="12425" spans="1:1">
      <c r="A12425" s="346"/>
    </row>
    <row r="12426" spans="1:1">
      <c r="A12426" s="346"/>
    </row>
    <row r="12427" spans="1:1">
      <c r="A12427" s="346"/>
    </row>
    <row r="12428" spans="1:1">
      <c r="A12428" s="346"/>
    </row>
    <row r="12429" spans="1:1">
      <c r="A12429" s="346"/>
    </row>
    <row r="12430" spans="1:1">
      <c r="A12430" s="346"/>
    </row>
    <row r="12431" spans="1:1">
      <c r="A12431" s="346"/>
    </row>
    <row r="12432" spans="1:1">
      <c r="A12432" s="346"/>
    </row>
    <row r="12433" spans="1:1">
      <c r="A12433" s="346"/>
    </row>
    <row r="12434" spans="1:1">
      <c r="A12434" s="346"/>
    </row>
    <row r="12435" spans="1:1">
      <c r="A12435" s="346"/>
    </row>
    <row r="12436" spans="1:1">
      <c r="A12436" s="346"/>
    </row>
    <row r="12437" spans="1:1">
      <c r="A12437" s="346"/>
    </row>
    <row r="12438" spans="1:1">
      <c r="A12438" s="346"/>
    </row>
    <row r="12439" spans="1:1">
      <c r="A12439" s="346"/>
    </row>
    <row r="12440" spans="1:1">
      <c r="A12440" s="346"/>
    </row>
    <row r="12441" spans="1:1">
      <c r="A12441" s="346"/>
    </row>
    <row r="12442" spans="1:1">
      <c r="A12442" s="346"/>
    </row>
    <row r="12443" spans="1:1">
      <c r="A12443" s="346"/>
    </row>
    <row r="12444" spans="1:1">
      <c r="A12444" s="346"/>
    </row>
    <row r="12445" spans="1:1">
      <c r="A12445" s="346"/>
    </row>
    <row r="12446" spans="1:1">
      <c r="A12446" s="346"/>
    </row>
    <row r="12447" spans="1:1">
      <c r="A12447" s="346"/>
    </row>
    <row r="12448" spans="1:1">
      <c r="A12448" s="346"/>
    </row>
    <row r="12449" spans="1:1">
      <c r="A12449" s="346"/>
    </row>
    <row r="12450" spans="1:1">
      <c r="A12450" s="346"/>
    </row>
    <row r="12451" spans="1:1">
      <c r="A12451" s="346"/>
    </row>
    <row r="12452" spans="1:1">
      <c r="A12452" s="346"/>
    </row>
    <row r="12453" spans="1:1">
      <c r="A12453" s="346"/>
    </row>
    <row r="12454" spans="1:1">
      <c r="A12454" s="346"/>
    </row>
    <row r="12455" spans="1:1">
      <c r="A12455" s="346"/>
    </row>
    <row r="12456" spans="1:1">
      <c r="A12456" s="346"/>
    </row>
    <row r="12457" spans="1:1">
      <c r="A12457" s="346"/>
    </row>
    <row r="12458" spans="1:1">
      <c r="A12458" s="346"/>
    </row>
    <row r="12459" spans="1:1">
      <c r="A12459" s="346"/>
    </row>
    <row r="12460" spans="1:1">
      <c r="A12460" s="346"/>
    </row>
    <row r="12461" spans="1:1">
      <c r="A12461" s="346"/>
    </row>
    <row r="12462" spans="1:1">
      <c r="A12462" s="346"/>
    </row>
    <row r="12463" spans="1:1">
      <c r="A12463" s="346"/>
    </row>
    <row r="12464" spans="1:1">
      <c r="A12464" s="346"/>
    </row>
    <row r="12465" spans="1:1">
      <c r="A12465" s="346"/>
    </row>
    <row r="12466" spans="1:1">
      <c r="A12466" s="346"/>
    </row>
    <row r="12467" spans="1:1">
      <c r="A12467" s="346"/>
    </row>
    <row r="12468" spans="1:1">
      <c r="A12468" s="346"/>
    </row>
    <row r="12469" spans="1:1">
      <c r="A12469" s="346"/>
    </row>
    <row r="12470" spans="1:1">
      <c r="A12470" s="346"/>
    </row>
    <row r="12471" spans="1:1">
      <c r="A12471" s="346"/>
    </row>
    <row r="12472" spans="1:1">
      <c r="A12472" s="346"/>
    </row>
    <row r="12473" spans="1:1">
      <c r="A12473" s="346"/>
    </row>
    <row r="12474" spans="1:1">
      <c r="A12474" s="346"/>
    </row>
    <row r="12475" spans="1:1">
      <c r="A12475" s="346"/>
    </row>
    <row r="12476" spans="1:1">
      <c r="A12476" s="346"/>
    </row>
    <row r="12477" spans="1:1">
      <c r="A12477" s="346"/>
    </row>
    <row r="12478" spans="1:1">
      <c r="A12478" s="346"/>
    </row>
    <row r="12479" spans="1:1">
      <c r="A12479" s="346"/>
    </row>
    <row r="12480" spans="1:1">
      <c r="A12480" s="346"/>
    </row>
    <row r="12481" spans="1:1">
      <c r="A12481" s="346"/>
    </row>
    <row r="12482" spans="1:1">
      <c r="A12482" s="346"/>
    </row>
    <row r="12483" spans="1:1">
      <c r="A12483" s="346"/>
    </row>
    <row r="12484" spans="1:1">
      <c r="A12484" s="346"/>
    </row>
    <row r="12485" spans="1:1">
      <c r="A12485" s="346"/>
    </row>
    <row r="12486" spans="1:1">
      <c r="A12486" s="346"/>
    </row>
    <row r="12487" spans="1:1">
      <c r="A12487" s="346"/>
    </row>
    <row r="12488" spans="1:1">
      <c r="A12488" s="346"/>
    </row>
    <row r="12489" spans="1:1">
      <c r="A12489" s="346"/>
    </row>
    <row r="12490" spans="1:1">
      <c r="A12490" s="346"/>
    </row>
    <row r="12491" spans="1:1">
      <c r="A12491" s="346"/>
    </row>
    <row r="12492" spans="1:1">
      <c r="A12492" s="346"/>
    </row>
    <row r="12493" spans="1:1">
      <c r="A12493" s="346"/>
    </row>
    <row r="12494" spans="1:1">
      <c r="A12494" s="346"/>
    </row>
    <row r="12495" spans="1:1">
      <c r="A12495" s="346"/>
    </row>
    <row r="12496" spans="1:1">
      <c r="A12496" s="346"/>
    </row>
    <row r="12497" spans="1:1">
      <c r="A12497" s="346"/>
    </row>
    <row r="12498" spans="1:1">
      <c r="A12498" s="346"/>
    </row>
    <row r="12499" spans="1:1">
      <c r="A12499" s="346"/>
    </row>
    <row r="12500" spans="1:1">
      <c r="A12500" s="346"/>
    </row>
    <row r="12501" spans="1:1">
      <c r="A12501" s="346"/>
    </row>
    <row r="12502" spans="1:1">
      <c r="A12502" s="346"/>
    </row>
    <row r="12503" spans="1:1">
      <c r="A12503" s="346"/>
    </row>
    <row r="12504" spans="1:1">
      <c r="A12504" s="346"/>
    </row>
    <row r="12505" spans="1:1">
      <c r="A12505" s="346"/>
    </row>
    <row r="12506" spans="1:1">
      <c r="A12506" s="346"/>
    </row>
    <row r="12507" spans="1:1">
      <c r="A12507" s="346"/>
    </row>
    <row r="12508" spans="1:1">
      <c r="A12508" s="346"/>
    </row>
    <row r="12509" spans="1:1">
      <c r="A12509" s="346"/>
    </row>
    <row r="12510" spans="1:1">
      <c r="A12510" s="346"/>
    </row>
    <row r="12511" spans="1:1">
      <c r="A12511" s="346"/>
    </row>
    <row r="12512" spans="1:1">
      <c r="A12512" s="346"/>
    </row>
    <row r="12513" spans="1:1">
      <c r="A12513" s="346"/>
    </row>
    <row r="12514" spans="1:1">
      <c r="A12514" s="346"/>
    </row>
    <row r="12515" spans="1:1">
      <c r="A12515" s="346"/>
    </row>
    <row r="12516" spans="1:1">
      <c r="A12516" s="346"/>
    </row>
    <row r="12517" spans="1:1">
      <c r="A12517" s="346"/>
    </row>
    <row r="12518" spans="1:1">
      <c r="A12518" s="346"/>
    </row>
    <row r="12519" spans="1:1">
      <c r="A12519" s="346"/>
    </row>
    <row r="12520" spans="1:1">
      <c r="A12520" s="346"/>
    </row>
    <row r="12521" spans="1:1">
      <c r="A12521" s="346"/>
    </row>
    <row r="12522" spans="1:1">
      <c r="A12522" s="346"/>
    </row>
    <row r="12523" spans="1:1">
      <c r="A12523" s="346"/>
    </row>
    <row r="12524" spans="1:1">
      <c r="A12524" s="346"/>
    </row>
    <row r="12525" spans="1:1">
      <c r="A12525" s="346"/>
    </row>
    <row r="12526" spans="1:1">
      <c r="A12526" s="346"/>
    </row>
    <row r="12527" spans="1:1">
      <c r="A12527" s="346"/>
    </row>
    <row r="12528" spans="1:1">
      <c r="A12528" s="346"/>
    </row>
    <row r="12529" spans="1:1">
      <c r="A12529" s="346"/>
    </row>
    <row r="12530" spans="1:1">
      <c r="A12530" s="346"/>
    </row>
    <row r="12531" spans="1:1">
      <c r="A12531" s="346"/>
    </row>
    <row r="12532" spans="1:1">
      <c r="A12532" s="346"/>
    </row>
    <row r="12533" spans="1:1">
      <c r="A12533" s="346"/>
    </row>
    <row r="12534" spans="1:1">
      <c r="A12534" s="346"/>
    </row>
    <row r="12535" spans="1:1">
      <c r="A12535" s="346"/>
    </row>
    <row r="12536" spans="1:1">
      <c r="A12536" s="346"/>
    </row>
    <row r="12537" spans="1:1">
      <c r="A12537" s="346"/>
    </row>
    <row r="12538" spans="1:1">
      <c r="A12538" s="346"/>
    </row>
    <row r="12539" spans="1:1">
      <c r="A12539" s="346"/>
    </row>
    <row r="12540" spans="1:1">
      <c r="A12540" s="346"/>
    </row>
    <row r="12541" spans="1:1">
      <c r="A12541" s="346"/>
    </row>
    <row r="12542" spans="1:1">
      <c r="A12542" s="346"/>
    </row>
    <row r="12543" spans="1:1">
      <c r="A12543" s="346"/>
    </row>
    <row r="12544" spans="1:1">
      <c r="A12544" s="346"/>
    </row>
    <row r="12545" spans="1:1">
      <c r="A12545" s="346"/>
    </row>
    <row r="12546" spans="1:1">
      <c r="A12546" s="346"/>
    </row>
    <row r="12547" spans="1:1">
      <c r="A12547" s="346"/>
    </row>
    <row r="12548" spans="1:1">
      <c r="A12548" s="346"/>
    </row>
    <row r="12549" spans="1:1">
      <c r="A12549" s="346"/>
    </row>
    <row r="12550" spans="1:1">
      <c r="A12550" s="346"/>
    </row>
    <row r="12551" spans="1:1">
      <c r="A12551" s="346"/>
    </row>
    <row r="12552" spans="1:1">
      <c r="A12552" s="346"/>
    </row>
    <row r="12553" spans="1:1">
      <c r="A12553" s="346"/>
    </row>
    <row r="12554" spans="1:1">
      <c r="A12554" s="346"/>
    </row>
    <row r="12555" spans="1:1">
      <c r="A12555" s="346"/>
    </row>
    <row r="12556" spans="1:1">
      <c r="A12556" s="346"/>
    </row>
    <row r="12557" spans="1:1">
      <c r="A12557" s="346"/>
    </row>
    <row r="12558" spans="1:1">
      <c r="A12558" s="346"/>
    </row>
    <row r="12559" spans="1:1">
      <c r="A12559" s="346"/>
    </row>
    <row r="12560" spans="1:1">
      <c r="A12560" s="346"/>
    </row>
    <row r="12561" spans="1:1">
      <c r="A12561" s="346"/>
    </row>
    <row r="12562" spans="1:1">
      <c r="A12562" s="346"/>
    </row>
    <row r="12563" spans="1:1">
      <c r="A12563" s="346"/>
    </row>
    <row r="12564" spans="1:1">
      <c r="A12564" s="346"/>
    </row>
    <row r="12565" spans="1:1">
      <c r="A12565" s="346"/>
    </row>
    <row r="12566" spans="1:1">
      <c r="A12566" s="346"/>
    </row>
    <row r="12567" spans="1:1">
      <c r="A12567" s="346"/>
    </row>
    <row r="12568" spans="1:1">
      <c r="A12568" s="346"/>
    </row>
    <row r="12569" spans="1:1">
      <c r="A12569" s="346"/>
    </row>
    <row r="12570" spans="1:1">
      <c r="A12570" s="346"/>
    </row>
    <row r="12571" spans="1:1">
      <c r="A12571" s="346"/>
    </row>
    <row r="12572" spans="1:1">
      <c r="A12572" s="346"/>
    </row>
    <row r="12573" spans="1:1">
      <c r="A12573" s="346"/>
    </row>
    <row r="12574" spans="1:1">
      <c r="A12574" s="346"/>
    </row>
    <row r="12575" spans="1:1">
      <c r="A12575" s="346"/>
    </row>
    <row r="12576" spans="1:1">
      <c r="A12576" s="346"/>
    </row>
    <row r="12577" spans="1:1">
      <c r="A12577" s="346"/>
    </row>
    <row r="12578" spans="1:1">
      <c r="A12578" s="346"/>
    </row>
    <row r="12579" spans="1:1">
      <c r="A12579" s="346"/>
    </row>
    <row r="12580" spans="1:1">
      <c r="A12580" s="346"/>
    </row>
    <row r="12581" spans="1:1">
      <c r="A12581" s="346"/>
    </row>
    <row r="12582" spans="1:1">
      <c r="A12582" s="346"/>
    </row>
    <row r="12583" spans="1:1">
      <c r="A12583" s="346"/>
    </row>
    <row r="12584" spans="1:1">
      <c r="A12584" s="346"/>
    </row>
    <row r="12585" spans="1:1">
      <c r="A12585" s="346"/>
    </row>
    <row r="12586" spans="1:1">
      <c r="A12586" s="346"/>
    </row>
    <row r="12587" spans="1:1">
      <c r="A12587" s="346"/>
    </row>
    <row r="12588" spans="1:1">
      <c r="A12588" s="346"/>
    </row>
    <row r="12589" spans="1:1">
      <c r="A12589" s="346"/>
    </row>
    <row r="12590" spans="1:1">
      <c r="A12590" s="346"/>
    </row>
    <row r="12591" spans="1:1">
      <c r="A12591" s="346"/>
    </row>
    <row r="12592" spans="1:1">
      <c r="A12592" s="346"/>
    </row>
    <row r="12593" spans="1:1">
      <c r="A12593" s="346"/>
    </row>
    <row r="12594" spans="1:1">
      <c r="A12594" s="346"/>
    </row>
    <row r="12595" spans="1:1">
      <c r="A12595" s="346"/>
    </row>
    <row r="12596" spans="1:1">
      <c r="A12596" s="346"/>
    </row>
    <row r="12597" spans="1:1">
      <c r="A12597" s="346"/>
    </row>
    <row r="12598" spans="1:1">
      <c r="A12598" s="346"/>
    </row>
    <row r="12599" spans="1:1">
      <c r="A12599" s="346"/>
    </row>
    <row r="12600" spans="1:1">
      <c r="A12600" s="346"/>
    </row>
    <row r="12601" spans="1:1">
      <c r="A12601" s="346"/>
    </row>
    <row r="12602" spans="1:1">
      <c r="A12602" s="346"/>
    </row>
    <row r="12603" spans="1:1">
      <c r="A12603" s="346"/>
    </row>
    <row r="12604" spans="1:1">
      <c r="A12604" s="346"/>
    </row>
    <row r="12605" spans="1:1">
      <c r="A12605" s="346"/>
    </row>
    <row r="12606" spans="1:1">
      <c r="A12606" s="346"/>
    </row>
    <row r="12607" spans="1:1">
      <c r="A12607" s="346"/>
    </row>
    <row r="12608" spans="1:1">
      <c r="A12608" s="346"/>
    </row>
    <row r="12609" spans="1:1">
      <c r="A12609" s="346"/>
    </row>
    <row r="12610" spans="1:1">
      <c r="A12610" s="346"/>
    </row>
    <row r="12611" spans="1:1">
      <c r="A12611" s="346"/>
    </row>
    <row r="12612" spans="1:1">
      <c r="A12612" s="346"/>
    </row>
    <row r="12613" spans="1:1">
      <c r="A12613" s="346"/>
    </row>
    <row r="12614" spans="1:1">
      <c r="A12614" s="346"/>
    </row>
    <row r="12615" spans="1:1">
      <c r="A12615" s="346"/>
    </row>
    <row r="12616" spans="1:1">
      <c r="A12616" s="346"/>
    </row>
    <row r="12617" spans="1:1">
      <c r="A12617" s="346"/>
    </row>
    <row r="12618" spans="1:1">
      <c r="A12618" s="346"/>
    </row>
    <row r="12619" spans="1:1">
      <c r="A12619" s="346"/>
    </row>
    <row r="12620" spans="1:1">
      <c r="A12620" s="346"/>
    </row>
    <row r="12621" spans="1:1">
      <c r="A12621" s="346"/>
    </row>
    <row r="12622" spans="1:1">
      <c r="A12622" s="346"/>
    </row>
    <row r="12623" spans="1:1">
      <c r="A12623" s="346"/>
    </row>
    <row r="12624" spans="1:1">
      <c r="A12624" s="346"/>
    </row>
    <row r="12625" spans="1:1">
      <c r="A12625" s="346"/>
    </row>
    <row r="12626" spans="1:1">
      <c r="A12626" s="346"/>
    </row>
    <row r="12627" spans="1:1">
      <c r="A12627" s="346"/>
    </row>
    <row r="12628" spans="1:1">
      <c r="A12628" s="346"/>
    </row>
    <row r="12629" spans="1:1">
      <c r="A12629" s="346"/>
    </row>
    <row r="12630" spans="1:1">
      <c r="A12630" s="346"/>
    </row>
    <row r="12631" spans="1:1">
      <c r="A12631" s="346"/>
    </row>
    <row r="12632" spans="1:1">
      <c r="A12632" s="346"/>
    </row>
    <row r="12633" spans="1:1">
      <c r="A12633" s="346"/>
    </row>
    <row r="12634" spans="1:1">
      <c r="A12634" s="346"/>
    </row>
    <row r="12635" spans="1:1">
      <c r="A12635" s="346"/>
    </row>
    <row r="12636" spans="1:1">
      <c r="A12636" s="346"/>
    </row>
    <row r="12637" spans="1:1">
      <c r="A12637" s="346"/>
    </row>
    <row r="12638" spans="1:1">
      <c r="A12638" s="346"/>
    </row>
    <row r="12639" spans="1:1">
      <c r="A12639" s="346"/>
    </row>
    <row r="12640" spans="1:1">
      <c r="A12640" s="346"/>
    </row>
    <row r="12641" spans="1:1">
      <c r="A12641" s="346"/>
    </row>
    <row r="12642" spans="1:1">
      <c r="A12642" s="346"/>
    </row>
    <row r="12643" spans="1:1">
      <c r="A12643" s="346"/>
    </row>
    <row r="12644" spans="1:1">
      <c r="A12644" s="346"/>
    </row>
    <row r="12645" spans="1:1">
      <c r="A12645" s="346"/>
    </row>
    <row r="12646" spans="1:1">
      <c r="A12646" s="346"/>
    </row>
    <row r="12647" spans="1:1">
      <c r="A12647" s="346"/>
    </row>
    <row r="12648" spans="1:1">
      <c r="A12648" s="346"/>
    </row>
    <row r="12649" spans="1:1">
      <c r="A12649" s="346"/>
    </row>
    <row r="12650" spans="1:1">
      <c r="A12650" s="346"/>
    </row>
    <row r="12651" spans="1:1">
      <c r="A12651" s="346"/>
    </row>
    <row r="12652" spans="1:1">
      <c r="A12652" s="346"/>
    </row>
    <row r="12653" spans="1:1">
      <c r="A12653" s="346"/>
    </row>
    <row r="12654" spans="1:1">
      <c r="A12654" s="346"/>
    </row>
    <row r="12655" spans="1:1">
      <c r="A12655" s="346"/>
    </row>
    <row r="12656" spans="1:1">
      <c r="A12656" s="346"/>
    </row>
    <row r="12657" spans="1:1">
      <c r="A12657" s="346"/>
    </row>
    <row r="12658" spans="1:1">
      <c r="A12658" s="346"/>
    </row>
    <row r="12659" spans="1:1">
      <c r="A12659" s="346"/>
    </row>
    <row r="12660" spans="1:1">
      <c r="A12660" s="346"/>
    </row>
    <row r="12661" spans="1:1">
      <c r="A12661" s="346"/>
    </row>
    <row r="12662" spans="1:1">
      <c r="A12662" s="346"/>
    </row>
    <row r="12663" spans="1:1">
      <c r="A12663" s="346"/>
    </row>
    <row r="12664" spans="1:1">
      <c r="A12664" s="346"/>
    </row>
    <row r="12665" spans="1:1">
      <c r="A12665" s="346"/>
    </row>
    <row r="12666" spans="1:1">
      <c r="A12666" s="346"/>
    </row>
    <row r="12667" spans="1:1">
      <c r="A12667" s="346"/>
    </row>
    <row r="12668" spans="1:1">
      <c r="A12668" s="346"/>
    </row>
    <row r="12669" spans="1:1">
      <c r="A12669" s="346"/>
    </row>
    <row r="12670" spans="1:1">
      <c r="A12670" s="346"/>
    </row>
    <row r="12671" spans="1:1">
      <c r="A12671" s="346"/>
    </row>
    <row r="12672" spans="1:1">
      <c r="A12672" s="346"/>
    </row>
    <row r="12673" spans="1:1">
      <c r="A12673" s="346"/>
    </row>
    <row r="12674" spans="1:1">
      <c r="A12674" s="346"/>
    </row>
    <row r="12675" spans="1:1">
      <c r="A12675" s="346"/>
    </row>
    <row r="12676" spans="1:1">
      <c r="A12676" s="346"/>
    </row>
    <row r="12677" spans="1:1">
      <c r="A12677" s="346"/>
    </row>
    <row r="12678" spans="1:1">
      <c r="A12678" s="346"/>
    </row>
    <row r="12679" spans="1:1">
      <c r="A12679" s="346"/>
    </row>
    <row r="12680" spans="1:1">
      <c r="A12680" s="346"/>
    </row>
    <row r="12681" spans="1:1">
      <c r="A12681" s="346"/>
    </row>
    <row r="12682" spans="1:1">
      <c r="A12682" s="346"/>
    </row>
    <row r="12683" spans="1:1">
      <c r="A12683" s="346"/>
    </row>
    <row r="12684" spans="1:1">
      <c r="A12684" s="346"/>
    </row>
    <row r="12685" spans="1:1">
      <c r="A12685" s="346"/>
    </row>
    <row r="12686" spans="1:1">
      <c r="A12686" s="346"/>
    </row>
    <row r="12687" spans="1:1">
      <c r="A12687" s="346"/>
    </row>
    <row r="12688" spans="1:1">
      <c r="A12688" s="346"/>
    </row>
    <row r="12689" spans="1:1">
      <c r="A12689" s="346"/>
    </row>
    <row r="12690" spans="1:1">
      <c r="A12690" s="346"/>
    </row>
    <row r="12691" spans="1:1">
      <c r="A12691" s="346"/>
    </row>
    <row r="12692" spans="1:1">
      <c r="A12692" s="346"/>
    </row>
    <row r="12693" spans="1:1">
      <c r="A12693" s="346"/>
    </row>
    <row r="12694" spans="1:1">
      <c r="A12694" s="346"/>
    </row>
    <row r="12695" spans="1:1">
      <c r="A12695" s="346"/>
    </row>
    <row r="12696" spans="1:1">
      <c r="A12696" s="346"/>
    </row>
    <row r="12697" spans="1:1">
      <c r="A12697" s="346"/>
    </row>
    <row r="12698" spans="1:1">
      <c r="A12698" s="346"/>
    </row>
    <row r="12699" spans="1:1">
      <c r="A12699" s="346"/>
    </row>
    <row r="12700" spans="1:1">
      <c r="A12700" s="346"/>
    </row>
    <row r="12701" spans="1:1">
      <c r="A12701" s="346"/>
    </row>
    <row r="12702" spans="1:1">
      <c r="A12702" s="346"/>
    </row>
    <row r="12703" spans="1:1">
      <c r="A12703" s="346"/>
    </row>
    <row r="12704" spans="1:1">
      <c r="A12704" s="346"/>
    </row>
    <row r="12705" spans="1:1">
      <c r="A12705" s="346"/>
    </row>
    <row r="12706" spans="1:1">
      <c r="A12706" s="346"/>
    </row>
    <row r="12707" spans="1:1">
      <c r="A12707" s="346"/>
    </row>
    <row r="12708" spans="1:1">
      <c r="A12708" s="346"/>
    </row>
    <row r="12709" spans="1:1">
      <c r="A12709" s="346"/>
    </row>
    <row r="12710" spans="1:1">
      <c r="A12710" s="346"/>
    </row>
    <row r="12711" spans="1:1">
      <c r="A12711" s="346"/>
    </row>
    <row r="12712" spans="1:1">
      <c r="A12712" s="346"/>
    </row>
    <row r="12713" spans="1:1">
      <c r="A12713" s="346"/>
    </row>
    <row r="12714" spans="1:1">
      <c r="A12714" s="346"/>
    </row>
    <row r="12715" spans="1:1">
      <c r="A12715" s="346"/>
    </row>
    <row r="12716" spans="1:1">
      <c r="A12716" s="346"/>
    </row>
    <row r="12717" spans="1:1">
      <c r="A12717" s="346"/>
    </row>
    <row r="12718" spans="1:1">
      <c r="A12718" s="346"/>
    </row>
    <row r="12719" spans="1:1">
      <c r="A12719" s="346"/>
    </row>
    <row r="12720" spans="1:1">
      <c r="A12720" s="346"/>
    </row>
    <row r="12721" spans="1:1">
      <c r="A12721" s="346"/>
    </row>
    <row r="12722" spans="1:1">
      <c r="A12722" s="346"/>
    </row>
    <row r="12723" spans="1:1">
      <c r="A12723" s="346"/>
    </row>
    <row r="12724" spans="1:1">
      <c r="A12724" s="346"/>
    </row>
    <row r="12725" spans="1:1">
      <c r="A12725" s="346"/>
    </row>
    <row r="12726" spans="1:1">
      <c r="A12726" s="346"/>
    </row>
    <row r="12727" spans="1:1">
      <c r="A12727" s="346"/>
    </row>
    <row r="12728" spans="1:1">
      <c r="A12728" s="346"/>
    </row>
    <row r="12729" spans="1:1">
      <c r="A12729" s="346"/>
    </row>
    <row r="12730" spans="1:1">
      <c r="A12730" s="346"/>
    </row>
    <row r="12731" spans="1:1">
      <c r="A12731" s="346"/>
    </row>
    <row r="12732" spans="1:1">
      <c r="A12732" s="346"/>
    </row>
    <row r="12733" spans="1:1">
      <c r="A12733" s="346"/>
    </row>
    <row r="12734" spans="1:1">
      <c r="A12734" s="346"/>
    </row>
    <row r="12735" spans="1:1">
      <c r="A12735" s="346"/>
    </row>
    <row r="12736" spans="1:1">
      <c r="A12736" s="346"/>
    </row>
    <row r="12737" spans="1:1">
      <c r="A12737" s="346"/>
    </row>
    <row r="12738" spans="1:1">
      <c r="A12738" s="346"/>
    </row>
    <row r="12739" spans="1:1">
      <c r="A12739" s="346"/>
    </row>
    <row r="12740" spans="1:1">
      <c r="A12740" s="346"/>
    </row>
    <row r="12741" spans="1:1">
      <c r="A12741" s="346"/>
    </row>
    <row r="12742" spans="1:1">
      <c r="A12742" s="346"/>
    </row>
    <row r="12743" spans="1:1">
      <c r="A12743" s="346"/>
    </row>
    <row r="12744" spans="1:1">
      <c r="A12744" s="346"/>
    </row>
    <row r="12745" spans="1:1">
      <c r="A12745" s="346"/>
    </row>
    <row r="12746" spans="1:1">
      <c r="A12746" s="346"/>
    </row>
    <row r="12747" spans="1:1">
      <c r="A12747" s="346"/>
    </row>
    <row r="12748" spans="1:1">
      <c r="A12748" s="346"/>
    </row>
    <row r="12749" spans="1:1">
      <c r="A12749" s="346"/>
    </row>
    <row r="12750" spans="1:1">
      <c r="A12750" s="346"/>
    </row>
    <row r="12751" spans="1:1">
      <c r="A12751" s="346"/>
    </row>
    <row r="12752" spans="1:1">
      <c r="A12752" s="346"/>
    </row>
    <row r="12753" spans="1:1">
      <c r="A12753" s="346"/>
    </row>
    <row r="12754" spans="1:1">
      <c r="A12754" s="346"/>
    </row>
    <row r="12755" spans="1:1">
      <c r="A12755" s="346"/>
    </row>
    <row r="12756" spans="1:1">
      <c r="A12756" s="346"/>
    </row>
    <row r="12757" spans="1:1">
      <c r="A12757" s="346"/>
    </row>
    <row r="12758" spans="1:1">
      <c r="A12758" s="346"/>
    </row>
    <row r="12759" spans="1:1">
      <c r="A12759" s="346"/>
    </row>
    <row r="12760" spans="1:1">
      <c r="A12760" s="346"/>
    </row>
    <row r="12761" spans="1:1">
      <c r="A12761" s="346"/>
    </row>
    <row r="12762" spans="1:1">
      <c r="A12762" s="346"/>
    </row>
    <row r="12763" spans="1:1">
      <c r="A12763" s="346"/>
    </row>
    <row r="12764" spans="1:1">
      <c r="A12764" s="346"/>
    </row>
    <row r="12765" spans="1:1">
      <c r="A12765" s="346"/>
    </row>
    <row r="12766" spans="1:1">
      <c r="A12766" s="346"/>
    </row>
    <row r="12767" spans="1:1">
      <c r="A12767" s="346"/>
    </row>
    <row r="12768" spans="1:1">
      <c r="A12768" s="346"/>
    </row>
    <row r="12769" spans="1:1">
      <c r="A12769" s="346"/>
    </row>
    <row r="12770" spans="1:1">
      <c r="A12770" s="346"/>
    </row>
    <row r="12771" spans="1:1">
      <c r="A12771" s="346"/>
    </row>
    <row r="12772" spans="1:1">
      <c r="A12772" s="346"/>
    </row>
    <row r="12773" spans="1:1">
      <c r="A12773" s="346"/>
    </row>
    <row r="12774" spans="1:1">
      <c r="A12774" s="346"/>
    </row>
    <row r="12775" spans="1:1">
      <c r="A12775" s="346"/>
    </row>
    <row r="12776" spans="1:1">
      <c r="A12776" s="346"/>
    </row>
    <row r="12777" spans="1:1">
      <c r="A12777" s="346"/>
    </row>
    <row r="12778" spans="1:1">
      <c r="A12778" s="346"/>
    </row>
    <row r="12779" spans="1:1">
      <c r="A12779" s="346"/>
    </row>
    <row r="12780" spans="1:1">
      <c r="A12780" s="346"/>
    </row>
    <row r="12781" spans="1:1">
      <c r="A12781" s="346"/>
    </row>
    <row r="12782" spans="1:1">
      <c r="A12782" s="346"/>
    </row>
    <row r="12783" spans="1:1">
      <c r="A12783" s="346"/>
    </row>
    <row r="12784" spans="1:1">
      <c r="A12784" s="346"/>
    </row>
    <row r="12785" spans="1:1">
      <c r="A12785" s="346"/>
    </row>
    <row r="12786" spans="1:1">
      <c r="A12786" s="346"/>
    </row>
    <row r="12787" spans="1:1">
      <c r="A12787" s="346"/>
    </row>
    <row r="12788" spans="1:1">
      <c r="A12788" s="346"/>
    </row>
    <row r="12789" spans="1:1">
      <c r="A12789" s="346"/>
    </row>
    <row r="12790" spans="1:1">
      <c r="A12790" s="346"/>
    </row>
    <row r="12791" spans="1:1">
      <c r="A12791" s="346"/>
    </row>
    <row r="12792" spans="1:1">
      <c r="A12792" s="346"/>
    </row>
    <row r="12793" spans="1:1">
      <c r="A12793" s="346"/>
    </row>
    <row r="12794" spans="1:1">
      <c r="A12794" s="346"/>
    </row>
    <row r="12795" spans="1:1">
      <c r="A12795" s="346"/>
    </row>
    <row r="12796" spans="1:1">
      <c r="A12796" s="346"/>
    </row>
    <row r="12797" spans="1:1">
      <c r="A12797" s="346"/>
    </row>
    <row r="12798" spans="1:1">
      <c r="A12798" s="346"/>
    </row>
    <row r="12799" spans="1:1">
      <c r="A12799" s="346"/>
    </row>
    <row r="12800" spans="1:1">
      <c r="A12800" s="346"/>
    </row>
    <row r="12801" spans="1:1">
      <c r="A12801" s="346"/>
    </row>
    <row r="12802" spans="1:1">
      <c r="A12802" s="346"/>
    </row>
    <row r="12803" spans="1:1">
      <c r="A12803" s="346"/>
    </row>
    <row r="12804" spans="1:1">
      <c r="A12804" s="346"/>
    </row>
    <row r="12805" spans="1:1">
      <c r="A12805" s="346"/>
    </row>
    <row r="12806" spans="1:1">
      <c r="A12806" s="346"/>
    </row>
    <row r="12807" spans="1:1">
      <c r="A12807" s="346"/>
    </row>
    <row r="12808" spans="1:1">
      <c r="A12808" s="346"/>
    </row>
    <row r="12809" spans="1:1">
      <c r="A12809" s="346"/>
    </row>
    <row r="12810" spans="1:1">
      <c r="A12810" s="346"/>
    </row>
    <row r="12811" spans="1:1">
      <c r="A12811" s="346"/>
    </row>
    <row r="12812" spans="1:1">
      <c r="A12812" s="346"/>
    </row>
    <row r="12813" spans="1:1">
      <c r="A12813" s="346"/>
    </row>
    <row r="12814" spans="1:1">
      <c r="A12814" s="346"/>
    </row>
    <row r="12815" spans="1:1">
      <c r="A12815" s="346"/>
    </row>
    <row r="12816" spans="1:1">
      <c r="A12816" s="346"/>
    </row>
    <row r="12817" spans="1:1">
      <c r="A12817" s="346"/>
    </row>
    <row r="12818" spans="1:1">
      <c r="A12818" s="346"/>
    </row>
    <row r="12819" spans="1:1">
      <c r="A12819" s="346"/>
    </row>
    <row r="12820" spans="1:1">
      <c r="A12820" s="346"/>
    </row>
    <row r="12821" spans="1:1">
      <c r="A12821" s="346"/>
    </row>
    <row r="12822" spans="1:1">
      <c r="A12822" s="346"/>
    </row>
    <row r="12823" spans="1:1">
      <c r="A12823" s="346"/>
    </row>
    <row r="12824" spans="1:1">
      <c r="A12824" s="346"/>
    </row>
    <row r="12825" spans="1:1">
      <c r="A12825" s="346"/>
    </row>
    <row r="12826" spans="1:1">
      <c r="A12826" s="346"/>
    </row>
    <row r="12827" spans="1:1">
      <c r="A12827" s="346"/>
    </row>
    <row r="12828" spans="1:1">
      <c r="A12828" s="346"/>
    </row>
    <row r="12829" spans="1:1">
      <c r="A12829" s="346"/>
    </row>
    <row r="12830" spans="1:1">
      <c r="A12830" s="346"/>
    </row>
    <row r="12831" spans="1:1">
      <c r="A12831" s="346"/>
    </row>
    <row r="12832" spans="1:1">
      <c r="A12832" s="346"/>
    </row>
    <row r="12833" spans="1:1">
      <c r="A12833" s="346"/>
    </row>
    <row r="12834" spans="1:1">
      <c r="A12834" s="346"/>
    </row>
    <row r="12835" spans="1:1">
      <c r="A12835" s="346"/>
    </row>
    <row r="12836" spans="1:1">
      <c r="A12836" s="346"/>
    </row>
    <row r="12837" spans="1:1">
      <c r="A12837" s="346"/>
    </row>
    <row r="12838" spans="1:1">
      <c r="A12838" s="346"/>
    </row>
    <row r="12839" spans="1:1">
      <c r="A12839" s="346"/>
    </row>
    <row r="12840" spans="1:1">
      <c r="A12840" s="346"/>
    </row>
    <row r="12841" spans="1:1">
      <c r="A12841" s="346"/>
    </row>
    <row r="12842" spans="1:1">
      <c r="A12842" s="346"/>
    </row>
    <row r="12843" spans="1:1">
      <c r="A12843" s="346"/>
    </row>
    <row r="12844" spans="1:1">
      <c r="A12844" s="346"/>
    </row>
    <row r="12845" spans="1:1">
      <c r="A12845" s="346"/>
    </row>
    <row r="12846" spans="1:1">
      <c r="A12846" s="346"/>
    </row>
    <row r="12847" spans="1:1">
      <c r="A12847" s="346"/>
    </row>
    <row r="12848" spans="1:1">
      <c r="A12848" s="346"/>
    </row>
    <row r="12849" spans="1:1">
      <c r="A12849" s="346"/>
    </row>
    <row r="12850" spans="1:1">
      <c r="A12850" s="346"/>
    </row>
    <row r="12851" spans="1:1">
      <c r="A12851" s="346"/>
    </row>
    <row r="12852" spans="1:1">
      <c r="A12852" s="346"/>
    </row>
    <row r="12853" spans="1:1">
      <c r="A12853" s="346"/>
    </row>
    <row r="12854" spans="1:1">
      <c r="A12854" s="346"/>
    </row>
    <row r="12855" spans="1:1">
      <c r="A12855" s="346"/>
    </row>
    <row r="12856" spans="1:1">
      <c r="A12856" s="346"/>
    </row>
    <row r="12857" spans="1:1">
      <c r="A12857" s="346"/>
    </row>
    <row r="12858" spans="1:1">
      <c r="A12858" s="346"/>
    </row>
    <row r="12859" spans="1:1">
      <c r="A12859" s="346"/>
    </row>
    <row r="12860" spans="1:1">
      <c r="A12860" s="346"/>
    </row>
    <row r="12861" spans="1:1">
      <c r="A12861" s="346"/>
    </row>
    <row r="12862" spans="1:1">
      <c r="A12862" s="346"/>
    </row>
    <row r="12863" spans="1:1">
      <c r="A12863" s="346"/>
    </row>
    <row r="12864" spans="1:1">
      <c r="A12864" s="346"/>
    </row>
    <row r="12865" spans="1:1">
      <c r="A12865" s="346"/>
    </row>
    <row r="12866" spans="1:1">
      <c r="A12866" s="346"/>
    </row>
    <row r="12867" spans="1:1">
      <c r="A12867" s="346"/>
    </row>
    <row r="12868" spans="1:1">
      <c r="A12868" s="346"/>
    </row>
    <row r="12869" spans="1:1">
      <c r="A12869" s="346"/>
    </row>
    <row r="12870" spans="1:1">
      <c r="A12870" s="346"/>
    </row>
    <row r="12871" spans="1:1">
      <c r="A12871" s="346"/>
    </row>
    <row r="12872" spans="1:1">
      <c r="A12872" s="346"/>
    </row>
    <row r="12873" spans="1:1">
      <c r="A12873" s="346"/>
    </row>
    <row r="12874" spans="1:1">
      <c r="A12874" s="346"/>
    </row>
    <row r="12875" spans="1:1">
      <c r="A12875" s="346"/>
    </row>
    <row r="12876" spans="1:1">
      <c r="A12876" s="346"/>
    </row>
    <row r="12877" spans="1:1">
      <c r="A12877" s="346"/>
    </row>
    <row r="12878" spans="1:1">
      <c r="A12878" s="346"/>
    </row>
    <row r="12879" spans="1:1">
      <c r="A12879" s="346"/>
    </row>
    <row r="12880" spans="1:1">
      <c r="A12880" s="346"/>
    </row>
    <row r="12881" spans="1:1">
      <c r="A12881" s="346"/>
    </row>
    <row r="12882" spans="1:1">
      <c r="A12882" s="346"/>
    </row>
    <row r="12883" spans="1:1">
      <c r="A12883" s="346"/>
    </row>
    <row r="12884" spans="1:1">
      <c r="A12884" s="346"/>
    </row>
    <row r="12885" spans="1:1">
      <c r="A12885" s="346"/>
    </row>
    <row r="12886" spans="1:1">
      <c r="A12886" s="346"/>
    </row>
    <row r="12887" spans="1:1">
      <c r="A12887" s="346"/>
    </row>
    <row r="12888" spans="1:1">
      <c r="A12888" s="346"/>
    </row>
    <row r="12889" spans="1:1">
      <c r="A12889" s="346"/>
    </row>
    <row r="12890" spans="1:1">
      <c r="A12890" s="346"/>
    </row>
    <row r="12891" spans="1:1">
      <c r="A12891" s="346"/>
    </row>
    <row r="12892" spans="1:1">
      <c r="A12892" s="346"/>
    </row>
    <row r="12893" spans="1:1">
      <c r="A12893" s="346"/>
    </row>
    <row r="12894" spans="1:1">
      <c r="A12894" s="346"/>
    </row>
    <row r="12895" spans="1:1">
      <c r="A12895" s="346"/>
    </row>
    <row r="12896" spans="1:1">
      <c r="A12896" s="346"/>
    </row>
    <row r="12897" spans="1:1">
      <c r="A12897" s="346"/>
    </row>
    <row r="12898" spans="1:1">
      <c r="A12898" s="346"/>
    </row>
    <row r="12899" spans="1:1">
      <c r="A12899" s="346"/>
    </row>
    <row r="12900" spans="1:1">
      <c r="A12900" s="346"/>
    </row>
    <row r="12901" spans="1:1">
      <c r="A12901" s="346"/>
    </row>
    <row r="12902" spans="1:1">
      <c r="A12902" s="346"/>
    </row>
    <row r="12903" spans="1:1">
      <c r="A12903" s="346"/>
    </row>
    <row r="12904" spans="1:1">
      <c r="A12904" s="346"/>
    </row>
    <row r="12905" spans="1:1">
      <c r="A12905" s="346"/>
    </row>
    <row r="12906" spans="1:1">
      <c r="A12906" s="346"/>
    </row>
    <row r="12907" spans="1:1">
      <c r="A12907" s="346"/>
    </row>
    <row r="12908" spans="1:1">
      <c r="A12908" s="346"/>
    </row>
    <row r="12909" spans="1:1">
      <c r="A12909" s="346"/>
    </row>
    <row r="12910" spans="1:1">
      <c r="A12910" s="346"/>
    </row>
    <row r="12911" spans="1:1">
      <c r="A12911" s="346"/>
    </row>
    <row r="12912" spans="1:1">
      <c r="A12912" s="346"/>
    </row>
    <row r="12913" spans="1:1">
      <c r="A12913" s="346"/>
    </row>
    <row r="12914" spans="1:1">
      <c r="A12914" s="346"/>
    </row>
    <row r="12915" spans="1:1">
      <c r="A12915" s="346"/>
    </row>
    <row r="12916" spans="1:1">
      <c r="A12916" s="346"/>
    </row>
    <row r="12917" spans="1:1">
      <c r="A12917" s="346"/>
    </row>
    <row r="12918" spans="1:1">
      <c r="A12918" s="346"/>
    </row>
    <row r="12919" spans="1:1">
      <c r="A12919" s="346"/>
    </row>
    <row r="12920" spans="1:1">
      <c r="A12920" s="346"/>
    </row>
    <row r="12921" spans="1:1">
      <c r="A12921" s="346"/>
    </row>
    <row r="12922" spans="1:1">
      <c r="A12922" s="346"/>
    </row>
    <row r="12923" spans="1:1">
      <c r="A12923" s="346"/>
    </row>
    <row r="12924" spans="1:1">
      <c r="A12924" s="346"/>
    </row>
    <row r="12925" spans="1:1">
      <c r="A12925" s="346"/>
    </row>
    <row r="12926" spans="1:1">
      <c r="A12926" s="346"/>
    </row>
    <row r="12927" spans="1:1">
      <c r="A12927" s="346"/>
    </row>
    <row r="12928" spans="1:1">
      <c r="A12928" s="346"/>
    </row>
    <row r="12929" spans="1:1">
      <c r="A12929" s="346"/>
    </row>
    <row r="12930" spans="1:1">
      <c r="A12930" s="346"/>
    </row>
    <row r="12931" spans="1:1">
      <c r="A12931" s="346"/>
    </row>
    <row r="12932" spans="1:1">
      <c r="A12932" s="346"/>
    </row>
    <row r="12933" spans="1:1">
      <c r="A12933" s="346"/>
    </row>
    <row r="12934" spans="1:1">
      <c r="A12934" s="346"/>
    </row>
    <row r="12935" spans="1:1">
      <c r="A12935" s="346"/>
    </row>
    <row r="12936" spans="1:1">
      <c r="A12936" s="346"/>
    </row>
    <row r="12937" spans="1:1">
      <c r="A12937" s="346"/>
    </row>
    <row r="12938" spans="1:1">
      <c r="A12938" s="346"/>
    </row>
    <row r="12939" spans="1:1">
      <c r="A12939" s="346"/>
    </row>
    <row r="12940" spans="1:1">
      <c r="A12940" s="346"/>
    </row>
    <row r="12941" spans="1:1">
      <c r="A12941" s="346"/>
    </row>
    <row r="12942" spans="1:1">
      <c r="A12942" s="346"/>
    </row>
    <row r="12943" spans="1:1">
      <c r="A12943" s="346"/>
    </row>
    <row r="12944" spans="1:1">
      <c r="A12944" s="346"/>
    </row>
    <row r="12945" spans="1:1">
      <c r="A12945" s="346"/>
    </row>
    <row r="12946" spans="1:1">
      <c r="A12946" s="346"/>
    </row>
    <row r="12947" spans="1:1">
      <c r="A12947" s="346"/>
    </row>
    <row r="12948" spans="1:1">
      <c r="A12948" s="346"/>
    </row>
    <row r="12949" spans="1:1">
      <c r="A12949" s="346"/>
    </row>
    <row r="12950" spans="1:1">
      <c r="A12950" s="346"/>
    </row>
    <row r="12951" spans="1:1">
      <c r="A12951" s="346"/>
    </row>
    <row r="12952" spans="1:1">
      <c r="A12952" s="346"/>
    </row>
    <row r="12953" spans="1:1">
      <c r="A12953" s="346"/>
    </row>
    <row r="12954" spans="1:1">
      <c r="A12954" s="346"/>
    </row>
    <row r="12955" spans="1:1">
      <c r="A12955" s="346"/>
    </row>
    <row r="12956" spans="1:1">
      <c r="A12956" s="346"/>
    </row>
    <row r="12957" spans="1:1">
      <c r="A12957" s="346"/>
    </row>
    <row r="12958" spans="1:1">
      <c r="A12958" s="346"/>
    </row>
    <row r="12959" spans="1:1">
      <c r="A12959" s="346"/>
    </row>
    <row r="12960" spans="1:1">
      <c r="A12960" s="346"/>
    </row>
    <row r="12961" spans="1:1">
      <c r="A12961" s="346"/>
    </row>
    <row r="12962" spans="1:1">
      <c r="A12962" s="346"/>
    </row>
    <row r="12963" spans="1:1">
      <c r="A12963" s="346"/>
    </row>
    <row r="12964" spans="1:1">
      <c r="A12964" s="346"/>
    </row>
    <row r="12965" spans="1:1">
      <c r="A12965" s="346"/>
    </row>
    <row r="12966" spans="1:1">
      <c r="A12966" s="346"/>
    </row>
    <row r="12967" spans="1:1">
      <c r="A12967" s="346"/>
    </row>
    <row r="12968" spans="1:1">
      <c r="A12968" s="346"/>
    </row>
    <row r="12969" spans="1:1">
      <c r="A12969" s="346"/>
    </row>
    <row r="12970" spans="1:1">
      <c r="A12970" s="346"/>
    </row>
    <row r="12971" spans="1:1">
      <c r="A12971" s="346"/>
    </row>
    <row r="12972" spans="1:1">
      <c r="A12972" s="346"/>
    </row>
    <row r="12973" spans="1:1">
      <c r="A12973" s="346"/>
    </row>
    <row r="12974" spans="1:1">
      <c r="A12974" s="346"/>
    </row>
    <row r="12975" spans="1:1">
      <c r="A12975" s="346"/>
    </row>
    <row r="12976" spans="1:1">
      <c r="A12976" s="346"/>
    </row>
    <row r="12977" spans="1:1">
      <c r="A12977" s="346"/>
    </row>
    <row r="12978" spans="1:1">
      <c r="A12978" s="346"/>
    </row>
    <row r="12979" spans="1:1">
      <c r="A12979" s="346"/>
    </row>
    <row r="12980" spans="1:1">
      <c r="A12980" s="346"/>
    </row>
    <row r="12981" spans="1:1">
      <c r="A12981" s="346"/>
    </row>
    <row r="12982" spans="1:1">
      <c r="A12982" s="346"/>
    </row>
    <row r="12983" spans="1:1">
      <c r="A12983" s="346"/>
    </row>
    <row r="12984" spans="1:1">
      <c r="A12984" s="346"/>
    </row>
    <row r="12985" spans="1:1">
      <c r="A12985" s="346"/>
    </row>
    <row r="12986" spans="1:1">
      <c r="A12986" s="346"/>
    </row>
    <row r="12987" spans="1:1">
      <c r="A12987" s="346"/>
    </row>
    <row r="12988" spans="1:1">
      <c r="A12988" s="346"/>
    </row>
    <row r="12989" spans="1:1">
      <c r="A12989" s="346"/>
    </row>
    <row r="12990" spans="1:1">
      <c r="A12990" s="346"/>
    </row>
    <row r="12991" spans="1:1">
      <c r="A12991" s="346"/>
    </row>
    <row r="12992" spans="1:1">
      <c r="A12992" s="346"/>
    </row>
    <row r="12993" spans="1:1">
      <c r="A12993" s="346"/>
    </row>
    <row r="12994" spans="1:1">
      <c r="A12994" s="346"/>
    </row>
    <row r="12995" spans="1:1">
      <c r="A12995" s="346"/>
    </row>
    <row r="12996" spans="1:1">
      <c r="A12996" s="346"/>
    </row>
    <row r="12997" spans="1:1">
      <c r="A12997" s="346"/>
    </row>
    <row r="12998" spans="1:1">
      <c r="A12998" s="346"/>
    </row>
    <row r="12999" spans="1:1">
      <c r="A12999" s="346"/>
    </row>
    <row r="13000" spans="1:1">
      <c r="A13000" s="346"/>
    </row>
    <row r="13001" spans="1:1">
      <c r="A13001" s="346"/>
    </row>
    <row r="13002" spans="1:1">
      <c r="A13002" s="346"/>
    </row>
    <row r="13003" spans="1:1">
      <c r="A13003" s="346"/>
    </row>
    <row r="13004" spans="1:1">
      <c r="A13004" s="346"/>
    </row>
    <row r="13005" spans="1:1">
      <c r="A13005" s="346"/>
    </row>
    <row r="13006" spans="1:1">
      <c r="A13006" s="346"/>
    </row>
    <row r="13007" spans="1:1">
      <c r="A13007" s="346"/>
    </row>
    <row r="13008" spans="1:1">
      <c r="A13008" s="346"/>
    </row>
    <row r="13009" spans="1:1">
      <c r="A13009" s="346"/>
    </row>
    <row r="13010" spans="1:1">
      <c r="A13010" s="346"/>
    </row>
    <row r="13011" spans="1:1">
      <c r="A13011" s="346"/>
    </row>
    <row r="13012" spans="1:1">
      <c r="A13012" s="346"/>
    </row>
    <row r="13013" spans="1:1">
      <c r="A13013" s="346"/>
    </row>
    <row r="13014" spans="1:1">
      <c r="A13014" s="346"/>
    </row>
    <row r="13015" spans="1:1">
      <c r="A13015" s="346"/>
    </row>
    <row r="13016" spans="1:1">
      <c r="A13016" s="346"/>
    </row>
    <row r="13017" spans="1:1">
      <c r="A13017" s="346"/>
    </row>
    <row r="13018" spans="1:1">
      <c r="A13018" s="346"/>
    </row>
    <row r="13019" spans="1:1">
      <c r="A13019" s="346"/>
    </row>
    <row r="13020" spans="1:1">
      <c r="A13020" s="346"/>
    </row>
    <row r="13021" spans="1:1">
      <c r="A13021" s="346"/>
    </row>
    <row r="13022" spans="1:1">
      <c r="A13022" s="346"/>
    </row>
    <row r="13023" spans="1:1">
      <c r="A13023" s="346"/>
    </row>
    <row r="13024" spans="1:1">
      <c r="A13024" s="346"/>
    </row>
    <row r="13025" spans="1:1">
      <c r="A13025" s="346"/>
    </row>
    <row r="13026" spans="1:1">
      <c r="A13026" s="346"/>
    </row>
    <row r="13027" spans="1:1">
      <c r="A13027" s="346"/>
    </row>
    <row r="13028" spans="1:1">
      <c r="A13028" s="346"/>
    </row>
    <row r="13029" spans="1:1">
      <c r="A13029" s="346"/>
    </row>
    <row r="13030" spans="1:1">
      <c r="A13030" s="346"/>
    </row>
    <row r="13031" spans="1:1">
      <c r="A13031" s="346"/>
    </row>
    <row r="13032" spans="1:1">
      <c r="A13032" s="346"/>
    </row>
    <row r="13033" spans="1:1">
      <c r="A13033" s="346"/>
    </row>
    <row r="13034" spans="1:1">
      <c r="A13034" s="346"/>
    </row>
    <row r="13035" spans="1:1">
      <c r="A13035" s="346"/>
    </row>
    <row r="13036" spans="1:1">
      <c r="A13036" s="346"/>
    </row>
    <row r="13037" spans="1:1">
      <c r="A13037" s="346"/>
    </row>
    <row r="13038" spans="1:1">
      <c r="A13038" s="346"/>
    </row>
    <row r="13039" spans="1:1">
      <c r="A13039" s="346"/>
    </row>
    <row r="13040" spans="1:1">
      <c r="A13040" s="346"/>
    </row>
    <row r="13041" spans="1:1">
      <c r="A13041" s="346"/>
    </row>
    <row r="13042" spans="1:1">
      <c r="A13042" s="346"/>
    </row>
    <row r="13043" spans="1:1">
      <c r="A13043" s="346"/>
    </row>
    <row r="13044" spans="1:1">
      <c r="A13044" s="346"/>
    </row>
    <row r="13045" spans="1:1">
      <c r="A13045" s="346"/>
    </row>
    <row r="13046" spans="1:1">
      <c r="A13046" s="346"/>
    </row>
    <row r="13047" spans="1:1">
      <c r="A13047" s="346"/>
    </row>
    <row r="13048" spans="1:1">
      <c r="A13048" s="346"/>
    </row>
    <row r="13049" spans="1:1">
      <c r="A13049" s="346"/>
    </row>
    <row r="13050" spans="1:1">
      <c r="A13050" s="346"/>
    </row>
    <row r="13051" spans="1:1">
      <c r="A13051" s="346"/>
    </row>
    <row r="13052" spans="1:1">
      <c r="A13052" s="346"/>
    </row>
    <row r="13053" spans="1:1">
      <c r="A13053" s="346"/>
    </row>
    <row r="13054" spans="1:1">
      <c r="A13054" s="346"/>
    </row>
    <row r="13055" spans="1:1">
      <c r="A13055" s="346"/>
    </row>
    <row r="13056" spans="1:1">
      <c r="A13056" s="346"/>
    </row>
    <row r="13057" spans="1:1">
      <c r="A13057" s="346"/>
    </row>
    <row r="13058" spans="1:1">
      <c r="A13058" s="346"/>
    </row>
    <row r="13059" spans="1:1">
      <c r="A13059" s="346"/>
    </row>
    <row r="13060" spans="1:1">
      <c r="A13060" s="346"/>
    </row>
    <row r="13061" spans="1:1">
      <c r="A13061" s="346"/>
    </row>
    <row r="13062" spans="1:1">
      <c r="A13062" s="346"/>
    </row>
    <row r="13063" spans="1:1">
      <c r="A13063" s="346"/>
    </row>
    <row r="13064" spans="1:1">
      <c r="A13064" s="346"/>
    </row>
    <row r="13065" spans="1:1">
      <c r="A13065" s="346"/>
    </row>
    <row r="13066" spans="1:1">
      <c r="A13066" s="346"/>
    </row>
    <row r="13067" spans="1:1">
      <c r="A13067" s="346"/>
    </row>
    <row r="13068" spans="1:1">
      <c r="A13068" s="346"/>
    </row>
    <row r="13069" spans="1:1">
      <c r="A13069" s="346"/>
    </row>
    <row r="13070" spans="1:1">
      <c r="A13070" s="346"/>
    </row>
    <row r="13071" spans="1:1">
      <c r="A13071" s="346"/>
    </row>
    <row r="13072" spans="1:1">
      <c r="A13072" s="346"/>
    </row>
    <row r="13073" spans="1:1">
      <c r="A13073" s="346"/>
    </row>
    <row r="13074" spans="1:1">
      <c r="A13074" s="346"/>
    </row>
    <row r="13075" spans="1:1">
      <c r="A13075" s="346"/>
    </row>
    <row r="13076" spans="1:1">
      <c r="A13076" s="346"/>
    </row>
    <row r="13077" spans="1:1">
      <c r="A13077" s="346"/>
    </row>
    <row r="13078" spans="1:1">
      <c r="A13078" s="346"/>
    </row>
    <row r="13079" spans="1:1">
      <c r="A13079" s="346"/>
    </row>
    <row r="13080" spans="1:1">
      <c r="A13080" s="346"/>
    </row>
    <row r="13081" spans="1:1">
      <c r="A13081" s="346"/>
    </row>
    <row r="13082" spans="1:1">
      <c r="A13082" s="346"/>
    </row>
    <row r="13083" spans="1:1">
      <c r="A13083" s="346"/>
    </row>
    <row r="13084" spans="1:1">
      <c r="A13084" s="346"/>
    </row>
    <row r="13085" spans="1:1">
      <c r="A13085" s="346"/>
    </row>
    <row r="13086" spans="1:1">
      <c r="A13086" s="346"/>
    </row>
    <row r="13087" spans="1:1">
      <c r="A13087" s="346"/>
    </row>
    <row r="13088" spans="1:1">
      <c r="A13088" s="346"/>
    </row>
    <row r="13089" spans="1:1">
      <c r="A13089" s="346"/>
    </row>
    <row r="13090" spans="1:1">
      <c r="A13090" s="346"/>
    </row>
    <row r="13091" spans="1:1">
      <c r="A13091" s="346"/>
    </row>
    <row r="13092" spans="1:1">
      <c r="A13092" s="346"/>
    </row>
    <row r="13093" spans="1:1">
      <c r="A13093" s="346"/>
    </row>
    <row r="13094" spans="1:1">
      <c r="A13094" s="346"/>
    </row>
    <row r="13095" spans="1:1">
      <c r="A13095" s="346"/>
    </row>
    <row r="13096" spans="1:1">
      <c r="A13096" s="346"/>
    </row>
    <row r="13097" spans="1:1">
      <c r="A13097" s="346"/>
    </row>
    <row r="13098" spans="1:1">
      <c r="A13098" s="346"/>
    </row>
    <row r="13099" spans="1:1">
      <c r="A13099" s="346"/>
    </row>
    <row r="13100" spans="1:1">
      <c r="A13100" s="346"/>
    </row>
    <row r="13101" spans="1:1">
      <c r="A13101" s="346"/>
    </row>
    <row r="13102" spans="1:1">
      <c r="A13102" s="346"/>
    </row>
    <row r="13103" spans="1:1">
      <c r="A13103" s="346"/>
    </row>
    <row r="13104" spans="1:1">
      <c r="A13104" s="346"/>
    </row>
    <row r="13105" spans="1:1">
      <c r="A13105" s="346"/>
    </row>
    <row r="13106" spans="1:1">
      <c r="A13106" s="346"/>
    </row>
    <row r="13107" spans="1:1">
      <c r="A13107" s="346"/>
    </row>
    <row r="13108" spans="1:1">
      <c r="A13108" s="346"/>
    </row>
    <row r="13109" spans="1:1">
      <c r="A13109" s="346"/>
    </row>
    <row r="13110" spans="1:1">
      <c r="A13110" s="346"/>
    </row>
    <row r="13111" spans="1:1">
      <c r="A13111" s="346"/>
    </row>
    <row r="13112" spans="1:1">
      <c r="A13112" s="346"/>
    </row>
    <row r="13113" spans="1:1">
      <c r="A13113" s="346"/>
    </row>
    <row r="13114" spans="1:1">
      <c r="A13114" s="346"/>
    </row>
    <row r="13115" spans="1:1">
      <c r="A13115" s="346"/>
    </row>
    <row r="13116" spans="1:1">
      <c r="A13116" s="346"/>
    </row>
    <row r="13117" spans="1:1">
      <c r="A13117" s="346"/>
    </row>
    <row r="13118" spans="1:1">
      <c r="A13118" s="346"/>
    </row>
    <row r="13119" spans="1:1">
      <c r="A13119" s="346"/>
    </row>
    <row r="13120" spans="1:1">
      <c r="A13120" s="346"/>
    </row>
    <row r="13121" spans="1:1">
      <c r="A13121" s="346"/>
    </row>
    <row r="13122" spans="1:1">
      <c r="A13122" s="346"/>
    </row>
    <row r="13123" spans="1:1">
      <c r="A13123" s="346"/>
    </row>
    <row r="13124" spans="1:1">
      <c r="A13124" s="346"/>
    </row>
    <row r="13125" spans="1:1">
      <c r="A13125" s="346"/>
    </row>
    <row r="13126" spans="1:1">
      <c r="A13126" s="346"/>
    </row>
    <row r="13127" spans="1:1">
      <c r="A13127" s="346"/>
    </row>
    <row r="13128" spans="1:1">
      <c r="A13128" s="346"/>
    </row>
    <row r="13129" spans="1:1">
      <c r="A13129" s="346"/>
    </row>
    <row r="13130" spans="1:1">
      <c r="A13130" s="346"/>
    </row>
    <row r="13131" spans="1:1">
      <c r="A13131" s="346"/>
    </row>
    <row r="13132" spans="1:1">
      <c r="A13132" s="346"/>
    </row>
    <row r="13133" spans="1:1">
      <c r="A13133" s="346"/>
    </row>
    <row r="13134" spans="1:1">
      <c r="A13134" s="346"/>
    </row>
    <row r="13135" spans="1:1">
      <c r="A13135" s="346"/>
    </row>
    <row r="13136" spans="1:1">
      <c r="A13136" s="346"/>
    </row>
    <row r="13137" spans="1:1">
      <c r="A13137" s="346"/>
    </row>
    <row r="13138" spans="1:1">
      <c r="A13138" s="346"/>
    </row>
    <row r="13139" spans="1:1">
      <c r="A13139" s="346"/>
    </row>
    <row r="13140" spans="1:1">
      <c r="A13140" s="346"/>
    </row>
    <row r="13141" spans="1:1">
      <c r="A13141" s="346"/>
    </row>
    <row r="13142" spans="1:1">
      <c r="A13142" s="346"/>
    </row>
    <row r="13143" spans="1:1">
      <c r="A13143" s="346"/>
    </row>
    <row r="13144" spans="1:1">
      <c r="A13144" s="346"/>
    </row>
    <row r="13145" spans="1:1">
      <c r="A13145" s="346"/>
    </row>
    <row r="13146" spans="1:1">
      <c r="A13146" s="346"/>
    </row>
    <row r="13147" spans="1:1">
      <c r="A13147" s="346"/>
    </row>
    <row r="13148" spans="1:1">
      <c r="A13148" s="346"/>
    </row>
    <row r="13149" spans="1:1">
      <c r="A13149" s="346"/>
    </row>
    <row r="13150" spans="1:1">
      <c r="A13150" s="346"/>
    </row>
    <row r="13151" spans="1:1">
      <c r="A13151" s="346"/>
    </row>
    <row r="13152" spans="1:1">
      <c r="A13152" s="346"/>
    </row>
    <row r="13153" spans="1:1">
      <c r="A13153" s="346"/>
    </row>
    <row r="13154" spans="1:1">
      <c r="A13154" s="346"/>
    </row>
    <row r="13155" spans="1:1">
      <c r="A13155" s="346"/>
    </row>
    <row r="13156" spans="1:1">
      <c r="A13156" s="346"/>
    </row>
    <row r="13157" spans="1:1">
      <c r="A13157" s="346"/>
    </row>
    <row r="13158" spans="1:1">
      <c r="A13158" s="346"/>
    </row>
    <row r="13159" spans="1:1">
      <c r="A13159" s="346"/>
    </row>
    <row r="13160" spans="1:1">
      <c r="A13160" s="346"/>
    </row>
    <row r="13161" spans="1:1">
      <c r="A13161" s="346"/>
    </row>
    <row r="13162" spans="1:1">
      <c r="A13162" s="346"/>
    </row>
    <row r="13163" spans="1:1">
      <c r="A13163" s="346"/>
    </row>
    <row r="13164" spans="1:1">
      <c r="A13164" s="346"/>
    </row>
    <row r="13165" spans="1:1">
      <c r="A13165" s="346"/>
    </row>
    <row r="13166" spans="1:1">
      <c r="A13166" s="346"/>
    </row>
    <row r="13167" spans="1:1">
      <c r="A13167" s="346"/>
    </row>
    <row r="13168" spans="1:1">
      <c r="A13168" s="346"/>
    </row>
    <row r="13169" spans="1:1">
      <c r="A13169" s="346"/>
    </row>
    <row r="13170" spans="1:1">
      <c r="A13170" s="346"/>
    </row>
    <row r="13171" spans="1:1">
      <c r="A13171" s="346"/>
    </row>
    <row r="13172" spans="1:1">
      <c r="A13172" s="346"/>
    </row>
    <row r="13173" spans="1:1">
      <c r="A13173" s="346"/>
    </row>
    <row r="13174" spans="1:1">
      <c r="A13174" s="346"/>
    </row>
    <row r="13175" spans="1:1">
      <c r="A13175" s="346"/>
    </row>
    <row r="13176" spans="1:1">
      <c r="A13176" s="346"/>
    </row>
    <row r="13177" spans="1:1">
      <c r="A13177" s="346"/>
    </row>
    <row r="13178" spans="1:1">
      <c r="A13178" s="346"/>
    </row>
    <row r="13179" spans="1:1">
      <c r="A13179" s="346"/>
    </row>
    <row r="13180" spans="1:1">
      <c r="A13180" s="346"/>
    </row>
    <row r="13181" spans="1:1">
      <c r="A13181" s="346"/>
    </row>
    <row r="13182" spans="1:1">
      <c r="A13182" s="346"/>
    </row>
    <row r="13183" spans="1:1">
      <c r="A13183" s="346"/>
    </row>
    <row r="13184" spans="1:1">
      <c r="A13184" s="346"/>
    </row>
    <row r="13185" spans="1:1">
      <c r="A13185" s="346"/>
    </row>
    <row r="13186" spans="1:1">
      <c r="A13186" s="346"/>
    </row>
    <row r="13187" spans="1:1">
      <c r="A13187" s="346"/>
    </row>
    <row r="13188" spans="1:1">
      <c r="A13188" s="346"/>
    </row>
    <row r="13189" spans="1:1">
      <c r="A13189" s="346"/>
    </row>
    <row r="13190" spans="1:1">
      <c r="A13190" s="346"/>
    </row>
    <row r="13191" spans="1:1">
      <c r="A13191" s="346"/>
    </row>
    <row r="13192" spans="1:1">
      <c r="A13192" s="346"/>
    </row>
    <row r="13193" spans="1:1">
      <c r="A13193" s="346"/>
    </row>
    <row r="13194" spans="1:1">
      <c r="A13194" s="346"/>
    </row>
    <row r="13195" spans="1:1">
      <c r="A13195" s="346"/>
    </row>
    <row r="13196" spans="1:1">
      <c r="A13196" s="346"/>
    </row>
    <row r="13197" spans="1:1">
      <c r="A13197" s="346"/>
    </row>
    <row r="13198" spans="1:1">
      <c r="A13198" s="346"/>
    </row>
    <row r="13199" spans="1:1">
      <c r="A13199" s="346"/>
    </row>
    <row r="13200" spans="1:1">
      <c r="A13200" s="346"/>
    </row>
    <row r="13201" spans="1:1">
      <c r="A13201" s="346"/>
    </row>
    <row r="13202" spans="1:1">
      <c r="A13202" s="346"/>
    </row>
    <row r="13203" spans="1:1">
      <c r="A13203" s="346"/>
    </row>
    <row r="13204" spans="1:1">
      <c r="A13204" s="346"/>
    </row>
    <row r="13205" spans="1:1">
      <c r="A13205" s="346"/>
    </row>
    <row r="13206" spans="1:1">
      <c r="A13206" s="346"/>
    </row>
    <row r="13207" spans="1:1">
      <c r="A13207" s="346"/>
    </row>
    <row r="13208" spans="1:1">
      <c r="A13208" s="346"/>
    </row>
    <row r="13209" spans="1:1">
      <c r="A13209" s="346"/>
    </row>
    <row r="13210" spans="1:1">
      <c r="A13210" s="346"/>
    </row>
    <row r="13211" spans="1:1">
      <c r="A13211" s="346"/>
    </row>
    <row r="13212" spans="1:1">
      <c r="A13212" s="346"/>
    </row>
    <row r="13213" spans="1:1">
      <c r="A13213" s="346"/>
    </row>
    <row r="13214" spans="1:1">
      <c r="A13214" s="346"/>
    </row>
    <row r="13215" spans="1:1">
      <c r="A13215" s="346"/>
    </row>
    <row r="13216" spans="1:1">
      <c r="A13216" s="346"/>
    </row>
    <row r="13217" spans="1:1">
      <c r="A13217" s="346"/>
    </row>
    <row r="13218" spans="1:1">
      <c r="A13218" s="346"/>
    </row>
    <row r="13219" spans="1:1">
      <c r="A13219" s="346"/>
    </row>
    <row r="13220" spans="1:1">
      <c r="A13220" s="346"/>
    </row>
    <row r="13221" spans="1:1">
      <c r="A13221" s="346"/>
    </row>
    <row r="13222" spans="1:1">
      <c r="A13222" s="346"/>
    </row>
    <row r="13223" spans="1:1">
      <c r="A13223" s="346"/>
    </row>
    <row r="13224" spans="1:1">
      <c r="A13224" s="346"/>
    </row>
    <row r="13225" spans="1:1">
      <c r="A13225" s="346"/>
    </row>
    <row r="13226" spans="1:1">
      <c r="A13226" s="346"/>
    </row>
    <row r="13227" spans="1:1">
      <c r="A13227" s="346"/>
    </row>
    <row r="13228" spans="1:1">
      <c r="A13228" s="346"/>
    </row>
    <row r="13229" spans="1:1">
      <c r="A13229" s="346"/>
    </row>
    <row r="13230" spans="1:1">
      <c r="A13230" s="346"/>
    </row>
    <row r="13231" spans="1:1">
      <c r="A13231" s="346"/>
    </row>
    <row r="13232" spans="1:1">
      <c r="A13232" s="346"/>
    </row>
    <row r="13233" spans="1:1">
      <c r="A13233" s="346"/>
    </row>
    <row r="13234" spans="1:1">
      <c r="A13234" s="346"/>
    </row>
    <row r="13235" spans="1:1">
      <c r="A13235" s="346"/>
    </row>
    <row r="13236" spans="1:1">
      <c r="A13236" s="346"/>
    </row>
    <row r="13237" spans="1:1">
      <c r="A13237" s="346"/>
    </row>
    <row r="13238" spans="1:1">
      <c r="A13238" s="346"/>
    </row>
    <row r="13239" spans="1:1">
      <c r="A13239" s="346"/>
    </row>
    <row r="13240" spans="1:1">
      <c r="A13240" s="346"/>
    </row>
    <row r="13241" spans="1:1">
      <c r="A13241" s="346"/>
    </row>
    <row r="13242" spans="1:1">
      <c r="A13242" s="346"/>
    </row>
    <row r="13243" spans="1:1">
      <c r="A13243" s="346"/>
    </row>
    <row r="13244" spans="1:1">
      <c r="A13244" s="346"/>
    </row>
    <row r="13245" spans="1:1">
      <c r="A13245" s="346"/>
    </row>
    <row r="13246" spans="1:1">
      <c r="A13246" s="346"/>
    </row>
    <row r="13247" spans="1:1">
      <c r="A13247" s="346"/>
    </row>
    <row r="13248" spans="1:1">
      <c r="A13248" s="346"/>
    </row>
    <row r="13249" spans="1:1">
      <c r="A13249" s="346"/>
    </row>
    <row r="13250" spans="1:1">
      <c r="A13250" s="346"/>
    </row>
    <row r="13251" spans="1:1">
      <c r="A13251" s="346"/>
    </row>
    <row r="13252" spans="1:1">
      <c r="A13252" s="346"/>
    </row>
    <row r="13253" spans="1:1">
      <c r="A13253" s="346"/>
    </row>
    <row r="13254" spans="1:1">
      <c r="A13254" s="346"/>
    </row>
    <row r="13255" spans="1:1">
      <c r="A13255" s="346"/>
    </row>
    <row r="13256" spans="1:1">
      <c r="A13256" s="346"/>
    </row>
    <row r="13257" spans="1:1">
      <c r="A13257" s="346"/>
    </row>
    <row r="13258" spans="1:1">
      <c r="A13258" s="346"/>
    </row>
    <row r="13259" spans="1:1">
      <c r="A13259" s="346"/>
    </row>
    <row r="13260" spans="1:1">
      <c r="A13260" s="346"/>
    </row>
    <row r="13261" spans="1:1">
      <c r="A13261" s="346"/>
    </row>
    <row r="13262" spans="1:1">
      <c r="A13262" s="346"/>
    </row>
    <row r="13263" spans="1:1">
      <c r="A13263" s="346"/>
    </row>
    <row r="13264" spans="1:1">
      <c r="A13264" s="346"/>
    </row>
    <row r="13265" spans="1:1">
      <c r="A13265" s="346"/>
    </row>
    <row r="13266" spans="1:1">
      <c r="A13266" s="346"/>
    </row>
    <row r="13267" spans="1:1">
      <c r="A13267" s="346"/>
    </row>
    <row r="13268" spans="1:1">
      <c r="A13268" s="346"/>
    </row>
    <row r="13269" spans="1:1">
      <c r="A13269" s="346"/>
    </row>
    <row r="13270" spans="1:1">
      <c r="A13270" s="346"/>
    </row>
    <row r="13271" spans="1:1">
      <c r="A13271" s="346"/>
    </row>
    <row r="13272" spans="1:1">
      <c r="A13272" s="346"/>
    </row>
    <row r="13273" spans="1:1">
      <c r="A13273" s="346"/>
    </row>
    <row r="13274" spans="1:1">
      <c r="A13274" s="346"/>
    </row>
    <row r="13275" spans="1:1">
      <c r="A13275" s="346"/>
    </row>
    <row r="13276" spans="1:1">
      <c r="A13276" s="346"/>
    </row>
    <row r="13277" spans="1:1">
      <c r="A13277" s="346"/>
    </row>
    <row r="13278" spans="1:1">
      <c r="A13278" s="346"/>
    </row>
    <row r="13279" spans="1:1">
      <c r="A13279" s="346"/>
    </row>
    <row r="13280" spans="1:1">
      <c r="A13280" s="346"/>
    </row>
    <row r="13281" spans="1:1">
      <c r="A13281" s="346"/>
    </row>
    <row r="13282" spans="1:1">
      <c r="A13282" s="346"/>
    </row>
    <row r="13283" spans="1:1">
      <c r="A13283" s="346"/>
    </row>
    <row r="13284" spans="1:1">
      <c r="A13284" s="346"/>
    </row>
    <row r="13285" spans="1:1">
      <c r="A13285" s="346"/>
    </row>
    <row r="13286" spans="1:1">
      <c r="A13286" s="346"/>
    </row>
    <row r="13287" spans="1:1">
      <c r="A13287" s="346"/>
    </row>
    <row r="13288" spans="1:1">
      <c r="A13288" s="346"/>
    </row>
    <row r="13289" spans="1:1">
      <c r="A13289" s="346"/>
    </row>
    <row r="13290" spans="1:1">
      <c r="A13290" s="346"/>
    </row>
    <row r="13291" spans="1:1">
      <c r="A13291" s="346"/>
    </row>
    <row r="13292" spans="1:1">
      <c r="A13292" s="346"/>
    </row>
    <row r="13293" spans="1:1">
      <c r="A13293" s="346"/>
    </row>
    <row r="13294" spans="1:1">
      <c r="A13294" s="346"/>
    </row>
    <row r="13295" spans="1:1">
      <c r="A13295" s="346"/>
    </row>
    <row r="13296" spans="1:1">
      <c r="A13296" s="346"/>
    </row>
    <row r="13297" spans="1:1">
      <c r="A13297" s="346"/>
    </row>
    <row r="13298" spans="1:1">
      <c r="A13298" s="346"/>
    </row>
    <row r="13299" spans="1:1">
      <c r="A13299" s="346"/>
    </row>
    <row r="13300" spans="1:1">
      <c r="A13300" s="346"/>
    </row>
    <row r="13301" spans="1:1">
      <c r="A13301" s="346"/>
    </row>
    <row r="13302" spans="1:1">
      <c r="A13302" s="346"/>
    </row>
    <row r="13303" spans="1:1">
      <c r="A13303" s="346"/>
    </row>
    <row r="13304" spans="1:1">
      <c r="A13304" s="346"/>
    </row>
    <row r="13305" spans="1:1">
      <c r="A13305" s="346"/>
    </row>
    <row r="13306" spans="1:1">
      <c r="A13306" s="346"/>
    </row>
    <row r="13307" spans="1:1">
      <c r="A13307" s="346"/>
    </row>
    <row r="13308" spans="1:1">
      <c r="A13308" s="346"/>
    </row>
    <row r="13309" spans="1:1">
      <c r="A13309" s="346"/>
    </row>
    <row r="13310" spans="1:1">
      <c r="A13310" s="346"/>
    </row>
    <row r="13311" spans="1:1">
      <c r="A13311" s="346"/>
    </row>
    <row r="13312" spans="1:1">
      <c r="A13312" s="346"/>
    </row>
    <row r="13313" spans="1:1">
      <c r="A13313" s="346"/>
    </row>
    <row r="13314" spans="1:1">
      <c r="A13314" s="346"/>
    </row>
    <row r="13315" spans="1:1">
      <c r="A13315" s="346"/>
    </row>
    <row r="13316" spans="1:1">
      <c r="A13316" s="346"/>
    </row>
    <row r="13317" spans="1:1">
      <c r="A13317" s="346"/>
    </row>
    <row r="13318" spans="1:1">
      <c r="A13318" s="346"/>
    </row>
    <row r="13319" spans="1:1">
      <c r="A13319" s="346"/>
    </row>
    <row r="13320" spans="1:1">
      <c r="A13320" s="346"/>
    </row>
    <row r="13321" spans="1:1">
      <c r="A13321" s="346"/>
    </row>
    <row r="13322" spans="1:1">
      <c r="A13322" s="346"/>
    </row>
    <row r="13323" spans="1:1">
      <c r="A13323" s="346"/>
    </row>
    <row r="13324" spans="1:1">
      <c r="A13324" s="346"/>
    </row>
    <row r="13325" spans="1:1">
      <c r="A13325" s="346"/>
    </row>
    <row r="13326" spans="1:1">
      <c r="A13326" s="346"/>
    </row>
    <row r="13327" spans="1:1">
      <c r="A13327" s="346"/>
    </row>
    <row r="13328" spans="1:1">
      <c r="A13328" s="346"/>
    </row>
    <row r="13329" spans="1:1">
      <c r="A13329" s="346"/>
    </row>
    <row r="13330" spans="1:1">
      <c r="A13330" s="346"/>
    </row>
    <row r="13331" spans="1:1">
      <c r="A13331" s="346"/>
    </row>
    <row r="13332" spans="1:1">
      <c r="A13332" s="346"/>
    </row>
    <row r="13333" spans="1:1">
      <c r="A13333" s="346"/>
    </row>
    <row r="13334" spans="1:1">
      <c r="A13334" s="346"/>
    </row>
    <row r="13335" spans="1:1">
      <c r="A13335" s="346"/>
    </row>
    <row r="13336" spans="1:1">
      <c r="A13336" s="346"/>
    </row>
    <row r="13337" spans="1:1">
      <c r="A13337" s="346"/>
    </row>
    <row r="13338" spans="1:1">
      <c r="A13338" s="346"/>
    </row>
    <row r="13339" spans="1:1">
      <c r="A13339" s="346"/>
    </row>
    <row r="13340" spans="1:1">
      <c r="A13340" s="346"/>
    </row>
    <row r="13341" spans="1:1">
      <c r="A13341" s="346"/>
    </row>
    <row r="13342" spans="1:1">
      <c r="A13342" s="346"/>
    </row>
    <row r="13343" spans="1:1">
      <c r="A13343" s="346"/>
    </row>
    <row r="13344" spans="1:1">
      <c r="A13344" s="346"/>
    </row>
    <row r="13345" spans="1:1">
      <c r="A13345" s="346"/>
    </row>
    <row r="13346" spans="1:1">
      <c r="A13346" s="346"/>
    </row>
    <row r="13347" spans="1:1">
      <c r="A13347" s="346"/>
    </row>
    <row r="13348" spans="1:1">
      <c r="A13348" s="346"/>
    </row>
    <row r="13349" spans="1:1">
      <c r="A13349" s="346"/>
    </row>
    <row r="13350" spans="1:1">
      <c r="A13350" s="346"/>
    </row>
    <row r="13351" spans="1:1">
      <c r="A13351" s="346"/>
    </row>
    <row r="13352" spans="1:1">
      <c r="A13352" s="346"/>
    </row>
    <row r="13353" spans="1:1">
      <c r="A13353" s="346"/>
    </row>
    <row r="13354" spans="1:1">
      <c r="A13354" s="346"/>
    </row>
    <row r="13355" spans="1:1">
      <c r="A13355" s="346"/>
    </row>
    <row r="13356" spans="1:1">
      <c r="A13356" s="346"/>
    </row>
    <row r="13357" spans="1:1">
      <c r="A13357" s="346"/>
    </row>
    <row r="13358" spans="1:1">
      <c r="A13358" s="346"/>
    </row>
    <row r="13359" spans="1:1">
      <c r="A13359" s="346"/>
    </row>
    <row r="13360" spans="1:1">
      <c r="A13360" s="346"/>
    </row>
    <row r="13361" spans="1:1">
      <c r="A13361" s="346"/>
    </row>
    <row r="13362" spans="1:1">
      <c r="A13362" s="346"/>
    </row>
    <row r="13363" spans="1:1">
      <c r="A13363" s="346"/>
    </row>
    <row r="13364" spans="1:1">
      <c r="A13364" s="346"/>
    </row>
    <row r="13365" spans="1:1">
      <c r="A13365" s="346"/>
    </row>
    <row r="13366" spans="1:1">
      <c r="A13366" s="346"/>
    </row>
    <row r="13367" spans="1:1">
      <c r="A13367" s="346"/>
    </row>
    <row r="13368" spans="1:1">
      <c r="A13368" s="346"/>
    </row>
    <row r="13369" spans="1:1">
      <c r="A13369" s="346"/>
    </row>
    <row r="13370" spans="1:1">
      <c r="A13370" s="346"/>
    </row>
    <row r="13371" spans="1:1">
      <c r="A13371" s="346"/>
    </row>
    <row r="13372" spans="1:1">
      <c r="A13372" s="346"/>
    </row>
    <row r="13373" spans="1:1">
      <c r="A13373" s="346"/>
    </row>
    <row r="13374" spans="1:1">
      <c r="A13374" s="346"/>
    </row>
    <row r="13375" spans="1:1">
      <c r="A13375" s="346"/>
    </row>
    <row r="13376" spans="1:1">
      <c r="A13376" s="346"/>
    </row>
    <row r="13377" spans="1:1">
      <c r="A13377" s="346"/>
    </row>
    <row r="13378" spans="1:1">
      <c r="A13378" s="346"/>
    </row>
    <row r="13379" spans="1:1">
      <c r="A13379" s="346"/>
    </row>
    <row r="13380" spans="1:1">
      <c r="A13380" s="346"/>
    </row>
    <row r="13381" spans="1:1">
      <c r="A13381" s="346"/>
    </row>
    <row r="13382" spans="1:1">
      <c r="A13382" s="346"/>
    </row>
    <row r="13383" spans="1:1">
      <c r="A13383" s="346"/>
    </row>
    <row r="13384" spans="1:1">
      <c r="A13384" s="346"/>
    </row>
    <row r="13385" spans="1:1">
      <c r="A13385" s="346"/>
    </row>
    <row r="13386" spans="1:1">
      <c r="A13386" s="346"/>
    </row>
    <row r="13387" spans="1:1">
      <c r="A13387" s="346"/>
    </row>
    <row r="13388" spans="1:1">
      <c r="A13388" s="346"/>
    </row>
    <row r="13389" spans="1:1">
      <c r="A13389" s="346"/>
    </row>
    <row r="13390" spans="1:1">
      <c r="A13390" s="346"/>
    </row>
    <row r="13391" spans="1:1">
      <c r="A13391" s="346"/>
    </row>
    <row r="13392" spans="1:1">
      <c r="A13392" s="346"/>
    </row>
    <row r="13393" spans="1:1">
      <c r="A13393" s="346"/>
    </row>
    <row r="13394" spans="1:1">
      <c r="A13394" s="346"/>
    </row>
    <row r="13395" spans="1:1">
      <c r="A13395" s="346"/>
    </row>
    <row r="13396" spans="1:1">
      <c r="A13396" s="346"/>
    </row>
    <row r="13397" spans="1:1">
      <c r="A13397" s="346"/>
    </row>
    <row r="13398" spans="1:1">
      <c r="A13398" s="346"/>
    </row>
    <row r="13399" spans="1:1">
      <c r="A13399" s="346"/>
    </row>
    <row r="13400" spans="1:1">
      <c r="A13400" s="346"/>
    </row>
    <row r="13401" spans="1:1">
      <c r="A13401" s="346"/>
    </row>
    <row r="13402" spans="1:1">
      <c r="A13402" s="346"/>
    </row>
    <row r="13403" spans="1:1">
      <c r="A13403" s="346"/>
    </row>
    <row r="13404" spans="1:1">
      <c r="A13404" s="346"/>
    </row>
    <row r="13405" spans="1:1">
      <c r="A13405" s="346"/>
    </row>
    <row r="13406" spans="1:1">
      <c r="A13406" s="346"/>
    </row>
    <row r="13407" spans="1:1">
      <c r="A13407" s="346"/>
    </row>
    <row r="13408" spans="1:1">
      <c r="A13408" s="346"/>
    </row>
    <row r="13409" spans="1:1">
      <c r="A13409" s="346"/>
    </row>
    <row r="13410" spans="1:1">
      <c r="A13410" s="346"/>
    </row>
    <row r="13411" spans="1:1">
      <c r="A13411" s="346"/>
    </row>
    <row r="13412" spans="1:1">
      <c r="A13412" s="346"/>
    </row>
    <row r="13413" spans="1:1">
      <c r="A13413" s="346"/>
    </row>
    <row r="13414" spans="1:1">
      <c r="A13414" s="346"/>
    </row>
    <row r="13415" spans="1:1">
      <c r="A13415" s="346"/>
    </row>
    <row r="13416" spans="1:1">
      <c r="A13416" s="346"/>
    </row>
    <row r="13417" spans="1:1">
      <c r="A13417" s="346"/>
    </row>
    <row r="13418" spans="1:1">
      <c r="A13418" s="346"/>
    </row>
    <row r="13419" spans="1:1">
      <c r="A13419" s="346"/>
    </row>
    <row r="13420" spans="1:1">
      <c r="A13420" s="346"/>
    </row>
    <row r="13421" spans="1:1">
      <c r="A13421" s="346"/>
    </row>
    <row r="13422" spans="1:1">
      <c r="A13422" s="346"/>
    </row>
    <row r="13423" spans="1:1">
      <c r="A13423" s="346"/>
    </row>
    <row r="13424" spans="1:1">
      <c r="A13424" s="346"/>
    </row>
    <row r="13425" spans="1:1">
      <c r="A13425" s="346"/>
    </row>
    <row r="13426" spans="1:1">
      <c r="A13426" s="346"/>
    </row>
    <row r="13427" spans="1:1">
      <c r="A13427" s="346"/>
    </row>
    <row r="13428" spans="1:1">
      <c r="A13428" s="346"/>
    </row>
    <row r="13429" spans="1:1">
      <c r="A13429" s="346"/>
    </row>
    <row r="13430" spans="1:1">
      <c r="A13430" s="346"/>
    </row>
    <row r="13431" spans="1:1">
      <c r="A13431" s="346"/>
    </row>
    <row r="13432" spans="1:1">
      <c r="A13432" s="346"/>
    </row>
    <row r="13433" spans="1:1">
      <c r="A13433" s="346"/>
    </row>
    <row r="13434" spans="1:1">
      <c r="A13434" s="346"/>
    </row>
    <row r="13435" spans="1:1">
      <c r="A13435" s="346"/>
    </row>
    <row r="13436" spans="1:1">
      <c r="A13436" s="346"/>
    </row>
    <row r="13437" spans="1:1">
      <c r="A13437" s="346"/>
    </row>
    <row r="13438" spans="1:1">
      <c r="A13438" s="346"/>
    </row>
    <row r="13439" spans="1:1">
      <c r="A13439" s="346"/>
    </row>
    <row r="13440" spans="1:1">
      <c r="A13440" s="346"/>
    </row>
    <row r="13441" spans="1:1">
      <c r="A13441" s="346"/>
    </row>
    <row r="13442" spans="1:1">
      <c r="A13442" s="346"/>
    </row>
    <row r="13443" spans="1:1">
      <c r="A13443" s="346"/>
    </row>
    <row r="13444" spans="1:1">
      <c r="A13444" s="346"/>
    </row>
    <row r="13445" spans="1:1">
      <c r="A13445" s="346"/>
    </row>
    <row r="13446" spans="1:1">
      <c r="A13446" s="346"/>
    </row>
    <row r="13447" spans="1:1">
      <c r="A13447" s="346"/>
    </row>
    <row r="13448" spans="1:1">
      <c r="A13448" s="346"/>
    </row>
    <row r="13449" spans="1:1">
      <c r="A13449" s="346"/>
    </row>
    <row r="13450" spans="1:1">
      <c r="A13450" s="346"/>
    </row>
    <row r="13451" spans="1:1">
      <c r="A13451" s="346"/>
    </row>
    <row r="13452" spans="1:1">
      <c r="A13452" s="346"/>
    </row>
    <row r="13453" spans="1:1">
      <c r="A13453" s="346"/>
    </row>
    <row r="13454" spans="1:1">
      <c r="A13454" s="346"/>
    </row>
    <row r="13455" spans="1:1">
      <c r="A13455" s="346"/>
    </row>
    <row r="13456" spans="1:1">
      <c r="A13456" s="346"/>
    </row>
    <row r="13457" spans="1:1">
      <c r="A13457" s="346"/>
    </row>
    <row r="13458" spans="1:1">
      <c r="A13458" s="346"/>
    </row>
    <row r="13459" spans="1:1">
      <c r="A13459" s="346"/>
    </row>
    <row r="13460" spans="1:1">
      <c r="A13460" s="346"/>
    </row>
    <row r="13461" spans="1:1">
      <c r="A13461" s="346"/>
    </row>
    <row r="13462" spans="1:1">
      <c r="A13462" s="346"/>
    </row>
    <row r="13463" spans="1:1">
      <c r="A13463" s="346"/>
    </row>
    <row r="13464" spans="1:1">
      <c r="A13464" s="346"/>
    </row>
    <row r="13465" spans="1:1">
      <c r="A13465" s="346"/>
    </row>
    <row r="13466" spans="1:1">
      <c r="A13466" s="346"/>
    </row>
    <row r="13467" spans="1:1">
      <c r="A13467" s="346"/>
    </row>
    <row r="13468" spans="1:1">
      <c r="A13468" s="346"/>
    </row>
    <row r="13469" spans="1:1">
      <c r="A13469" s="346"/>
    </row>
    <row r="13470" spans="1:1">
      <c r="A13470" s="346"/>
    </row>
    <row r="13471" spans="1:1">
      <c r="A13471" s="346"/>
    </row>
    <row r="13472" spans="1:1">
      <c r="A13472" s="346"/>
    </row>
    <row r="13473" spans="1:1">
      <c r="A13473" s="346"/>
    </row>
    <row r="13474" spans="1:1">
      <c r="A13474" s="346"/>
    </row>
    <row r="13475" spans="1:1">
      <c r="A13475" s="346"/>
    </row>
    <row r="13476" spans="1:1">
      <c r="A13476" s="346"/>
    </row>
    <row r="13477" spans="1:1">
      <c r="A13477" s="346"/>
    </row>
    <row r="13478" spans="1:1">
      <c r="A13478" s="346"/>
    </row>
    <row r="13479" spans="1:1">
      <c r="A13479" s="346"/>
    </row>
    <row r="13480" spans="1:1">
      <c r="A13480" s="346"/>
    </row>
    <row r="13481" spans="1:1">
      <c r="A13481" s="346"/>
    </row>
    <row r="13482" spans="1:1">
      <c r="A13482" s="346"/>
    </row>
    <row r="13483" spans="1:1">
      <c r="A13483" s="346"/>
    </row>
    <row r="13484" spans="1:1">
      <c r="A13484" s="346"/>
    </row>
    <row r="13485" spans="1:1">
      <c r="A13485" s="346"/>
    </row>
    <row r="13486" spans="1:1">
      <c r="A13486" s="346"/>
    </row>
    <row r="13487" spans="1:1">
      <c r="A13487" s="346"/>
    </row>
    <row r="13488" spans="1:1">
      <c r="A13488" s="346"/>
    </row>
    <row r="13489" spans="1:1">
      <c r="A13489" s="346"/>
    </row>
    <row r="13490" spans="1:1">
      <c r="A13490" s="346"/>
    </row>
    <row r="13491" spans="1:1">
      <c r="A13491" s="346"/>
    </row>
    <row r="13492" spans="1:1">
      <c r="A13492" s="346"/>
    </row>
    <row r="13493" spans="1:1">
      <c r="A13493" s="346"/>
    </row>
    <row r="13494" spans="1:1">
      <c r="A13494" s="346"/>
    </row>
    <row r="13495" spans="1:1">
      <c r="A13495" s="346"/>
    </row>
    <row r="13496" spans="1:1">
      <c r="A13496" s="346"/>
    </row>
    <row r="13497" spans="1:1">
      <c r="A13497" s="346"/>
    </row>
    <row r="13498" spans="1:1">
      <c r="A13498" s="346"/>
    </row>
    <row r="13499" spans="1:1">
      <c r="A13499" s="346"/>
    </row>
    <row r="13500" spans="1:1">
      <c r="A13500" s="346"/>
    </row>
    <row r="13501" spans="1:1">
      <c r="A13501" s="346"/>
    </row>
    <row r="13502" spans="1:1">
      <c r="A13502" s="346"/>
    </row>
    <row r="13503" spans="1:1">
      <c r="A13503" s="346"/>
    </row>
    <row r="13504" spans="1:1">
      <c r="A13504" s="346"/>
    </row>
    <row r="13505" spans="1:1">
      <c r="A13505" s="346"/>
    </row>
    <row r="13506" spans="1:1">
      <c r="A13506" s="346"/>
    </row>
    <row r="13507" spans="1:1">
      <c r="A13507" s="346"/>
    </row>
    <row r="13508" spans="1:1">
      <c r="A13508" s="346"/>
    </row>
    <row r="13509" spans="1:1">
      <c r="A13509" s="346"/>
    </row>
    <row r="13510" spans="1:1">
      <c r="A13510" s="346"/>
    </row>
    <row r="13511" spans="1:1">
      <c r="A13511" s="346"/>
    </row>
    <row r="13512" spans="1:1">
      <c r="A13512" s="346"/>
    </row>
    <row r="13513" spans="1:1">
      <c r="A13513" s="346"/>
    </row>
    <row r="13514" spans="1:1">
      <c r="A13514" s="346"/>
    </row>
    <row r="13515" spans="1:1">
      <c r="A13515" s="346"/>
    </row>
    <row r="13516" spans="1:1">
      <c r="A13516" s="346"/>
    </row>
    <row r="13517" spans="1:1">
      <c r="A13517" s="346"/>
    </row>
    <row r="13518" spans="1:1">
      <c r="A13518" s="346"/>
    </row>
    <row r="13519" spans="1:1">
      <c r="A13519" s="346"/>
    </row>
    <row r="13520" spans="1:1">
      <c r="A13520" s="346"/>
    </row>
    <row r="13521" spans="1:1">
      <c r="A13521" s="346"/>
    </row>
    <row r="13522" spans="1:1">
      <c r="A13522" s="346"/>
    </row>
    <row r="13523" spans="1:1">
      <c r="A13523" s="346"/>
    </row>
    <row r="13524" spans="1:1">
      <c r="A13524" s="346"/>
    </row>
    <row r="13525" spans="1:1">
      <c r="A13525" s="346"/>
    </row>
    <row r="13526" spans="1:1">
      <c r="A13526" s="346"/>
    </row>
    <row r="13527" spans="1:1">
      <c r="A13527" s="346"/>
    </row>
    <row r="13528" spans="1:1">
      <c r="A13528" s="346"/>
    </row>
    <row r="13529" spans="1:1">
      <c r="A13529" s="346"/>
    </row>
    <row r="13530" spans="1:1">
      <c r="A13530" s="346"/>
    </row>
    <row r="13531" spans="1:1">
      <c r="A13531" s="346"/>
    </row>
    <row r="13532" spans="1:1">
      <c r="A13532" s="346"/>
    </row>
    <row r="13533" spans="1:1">
      <c r="A13533" s="346"/>
    </row>
    <row r="13534" spans="1:1">
      <c r="A13534" s="346"/>
    </row>
    <row r="13535" spans="1:1">
      <c r="A13535" s="346"/>
    </row>
    <row r="13536" spans="1:1">
      <c r="A13536" s="346"/>
    </row>
    <row r="13537" spans="1:1">
      <c r="A13537" s="346"/>
    </row>
    <row r="13538" spans="1:1">
      <c r="A13538" s="346"/>
    </row>
    <row r="13539" spans="1:1">
      <c r="A13539" s="346"/>
    </row>
    <row r="13540" spans="1:1">
      <c r="A13540" s="346"/>
    </row>
    <row r="13541" spans="1:1">
      <c r="A13541" s="346"/>
    </row>
    <row r="13542" spans="1:1">
      <c r="A13542" s="346"/>
    </row>
    <row r="13543" spans="1:1">
      <c r="A13543" s="346"/>
    </row>
    <row r="13544" spans="1:1">
      <c r="A13544" s="346"/>
    </row>
    <row r="13545" spans="1:1">
      <c r="A13545" s="346"/>
    </row>
    <row r="13546" spans="1:1">
      <c r="A13546" s="346"/>
    </row>
    <row r="13547" spans="1:1">
      <c r="A13547" s="346"/>
    </row>
    <row r="13548" spans="1:1">
      <c r="A13548" s="346"/>
    </row>
    <row r="13549" spans="1:1">
      <c r="A13549" s="346"/>
    </row>
    <row r="13550" spans="1:1">
      <c r="A13550" s="346"/>
    </row>
    <row r="13551" spans="1:1">
      <c r="A13551" s="346"/>
    </row>
    <row r="13552" spans="1:1">
      <c r="A13552" s="346"/>
    </row>
    <row r="13553" spans="1:1">
      <c r="A13553" s="346"/>
    </row>
    <row r="13554" spans="1:1">
      <c r="A13554" s="346"/>
    </row>
    <row r="13555" spans="1:1">
      <c r="A13555" s="346"/>
    </row>
    <row r="13556" spans="1:1">
      <c r="A13556" s="346"/>
    </row>
    <row r="13557" spans="1:1">
      <c r="A13557" s="346"/>
    </row>
    <row r="13558" spans="1:1">
      <c r="A13558" s="346"/>
    </row>
    <row r="13559" spans="1:1">
      <c r="A13559" s="346"/>
    </row>
    <row r="13560" spans="1:1">
      <c r="A13560" s="346"/>
    </row>
    <row r="13561" spans="1:1">
      <c r="A13561" s="346"/>
    </row>
    <row r="13562" spans="1:1">
      <c r="A13562" s="346"/>
    </row>
    <row r="13563" spans="1:1">
      <c r="A13563" s="346"/>
    </row>
    <row r="13564" spans="1:1">
      <c r="A13564" s="346"/>
    </row>
    <row r="13565" spans="1:1">
      <c r="A13565" s="346"/>
    </row>
    <row r="13566" spans="1:1">
      <c r="A13566" s="346"/>
    </row>
    <row r="13567" spans="1:1">
      <c r="A13567" s="346"/>
    </row>
    <row r="13568" spans="1:1">
      <c r="A13568" s="346"/>
    </row>
    <row r="13569" spans="1:1">
      <c r="A13569" s="346"/>
    </row>
    <row r="13570" spans="1:1">
      <c r="A13570" s="346"/>
    </row>
    <row r="13571" spans="1:1">
      <c r="A13571" s="346"/>
    </row>
    <row r="13572" spans="1:1">
      <c r="A13572" s="346"/>
    </row>
    <row r="13573" spans="1:1">
      <c r="A13573" s="346"/>
    </row>
    <row r="13574" spans="1:1">
      <c r="A13574" s="346"/>
    </row>
    <row r="13575" spans="1:1">
      <c r="A13575" s="346"/>
    </row>
    <row r="13576" spans="1:1">
      <c r="A13576" s="346"/>
    </row>
    <row r="13577" spans="1:1">
      <c r="A13577" s="346"/>
    </row>
    <row r="13578" spans="1:1">
      <c r="A13578" s="346"/>
    </row>
    <row r="13579" spans="1:1">
      <c r="A13579" s="346"/>
    </row>
    <row r="13580" spans="1:1">
      <c r="A13580" s="346"/>
    </row>
    <row r="13581" spans="1:1">
      <c r="A13581" s="346"/>
    </row>
    <row r="13582" spans="1:1">
      <c r="A13582" s="346"/>
    </row>
    <row r="13583" spans="1:1">
      <c r="A13583" s="346"/>
    </row>
    <row r="13584" spans="1:1">
      <c r="A13584" s="346"/>
    </row>
    <row r="13585" spans="1:1">
      <c r="A13585" s="346"/>
    </row>
    <row r="13586" spans="1:1">
      <c r="A13586" s="346"/>
    </row>
    <row r="13587" spans="1:1">
      <c r="A13587" s="346"/>
    </row>
    <row r="13588" spans="1:1">
      <c r="A13588" s="346"/>
    </row>
    <row r="13589" spans="1:1">
      <c r="A13589" s="346"/>
    </row>
    <row r="13590" spans="1:1">
      <c r="A13590" s="346"/>
    </row>
    <row r="13591" spans="1:1">
      <c r="A13591" s="346"/>
    </row>
    <row r="13592" spans="1:1">
      <c r="A13592" s="346"/>
    </row>
    <row r="13593" spans="1:1">
      <c r="A13593" s="346"/>
    </row>
    <row r="13594" spans="1:1">
      <c r="A13594" s="346"/>
    </row>
    <row r="13595" spans="1:1">
      <c r="A13595" s="346"/>
    </row>
    <row r="13596" spans="1:1">
      <c r="A13596" s="346"/>
    </row>
    <row r="13597" spans="1:1">
      <c r="A13597" s="346"/>
    </row>
    <row r="13598" spans="1:1">
      <c r="A13598" s="346"/>
    </row>
    <row r="13599" spans="1:1">
      <c r="A13599" s="346"/>
    </row>
    <row r="13600" spans="1:1">
      <c r="A13600" s="346"/>
    </row>
    <row r="13601" spans="1:1">
      <c r="A13601" s="346"/>
    </row>
    <row r="13602" spans="1:1">
      <c r="A13602" s="346"/>
    </row>
    <row r="13603" spans="1:1">
      <c r="A13603" s="346"/>
    </row>
    <row r="13604" spans="1:1">
      <c r="A13604" s="346"/>
    </row>
    <row r="13605" spans="1:1">
      <c r="A13605" s="346"/>
    </row>
    <row r="13606" spans="1:1">
      <c r="A13606" s="346"/>
    </row>
    <row r="13607" spans="1:1">
      <c r="A13607" s="346"/>
    </row>
    <row r="13608" spans="1:1">
      <c r="A13608" s="346"/>
    </row>
    <row r="13609" spans="1:1">
      <c r="A13609" s="346"/>
    </row>
    <row r="13610" spans="1:1">
      <c r="A13610" s="346"/>
    </row>
    <row r="13611" spans="1:1">
      <c r="A13611" s="346"/>
    </row>
    <row r="13612" spans="1:1">
      <c r="A13612" s="346"/>
    </row>
    <row r="13613" spans="1:1">
      <c r="A13613" s="346"/>
    </row>
    <row r="13614" spans="1:1">
      <c r="A13614" s="346"/>
    </row>
    <row r="13615" spans="1:1">
      <c r="A13615" s="346"/>
    </row>
    <row r="13616" spans="1:1">
      <c r="A13616" s="346"/>
    </row>
    <row r="13617" spans="1:1">
      <c r="A13617" s="346"/>
    </row>
    <row r="13618" spans="1:1">
      <c r="A13618" s="346"/>
    </row>
    <row r="13619" spans="1:1">
      <c r="A13619" s="346"/>
    </row>
    <row r="13620" spans="1:1">
      <c r="A13620" s="346"/>
    </row>
    <row r="13621" spans="1:1">
      <c r="A13621" s="346"/>
    </row>
    <row r="13622" spans="1:1">
      <c r="A13622" s="346"/>
    </row>
    <row r="13623" spans="1:1">
      <c r="A13623" s="346"/>
    </row>
    <row r="13624" spans="1:1">
      <c r="A13624" s="346"/>
    </row>
    <row r="13625" spans="1:1">
      <c r="A13625" s="346"/>
    </row>
    <row r="13626" spans="1:1">
      <c r="A13626" s="346"/>
    </row>
    <row r="13627" spans="1:1">
      <c r="A13627" s="346"/>
    </row>
    <row r="13628" spans="1:1">
      <c r="A13628" s="346"/>
    </row>
    <row r="13629" spans="1:1">
      <c r="A13629" s="346"/>
    </row>
    <row r="13630" spans="1:1">
      <c r="A13630" s="346"/>
    </row>
    <row r="13631" spans="1:1">
      <c r="A13631" s="346"/>
    </row>
    <row r="13632" spans="1:1">
      <c r="A13632" s="346"/>
    </row>
    <row r="13633" spans="1:1">
      <c r="A13633" s="346"/>
    </row>
    <row r="13634" spans="1:1">
      <c r="A13634" s="346"/>
    </row>
    <row r="13635" spans="1:1">
      <c r="A13635" s="346"/>
    </row>
    <row r="13636" spans="1:1">
      <c r="A13636" s="346"/>
    </row>
    <row r="13637" spans="1:1">
      <c r="A13637" s="346"/>
    </row>
    <row r="13638" spans="1:1">
      <c r="A13638" s="346"/>
    </row>
    <row r="13639" spans="1:1">
      <c r="A13639" s="346"/>
    </row>
    <row r="13640" spans="1:1">
      <c r="A13640" s="346"/>
    </row>
    <row r="13641" spans="1:1">
      <c r="A13641" s="346"/>
    </row>
    <row r="13642" spans="1:1">
      <c r="A13642" s="346"/>
    </row>
    <row r="13643" spans="1:1">
      <c r="A13643" s="346"/>
    </row>
    <row r="13644" spans="1:1">
      <c r="A13644" s="346"/>
    </row>
    <row r="13645" spans="1:1">
      <c r="A13645" s="346"/>
    </row>
    <row r="13646" spans="1:1">
      <c r="A13646" s="346"/>
    </row>
    <row r="13647" spans="1:1">
      <c r="A13647" s="346"/>
    </row>
    <row r="13648" spans="1:1">
      <c r="A13648" s="346"/>
    </row>
    <row r="13649" spans="1:1">
      <c r="A13649" s="346"/>
    </row>
    <row r="13650" spans="1:1">
      <c r="A13650" s="346"/>
    </row>
    <row r="13651" spans="1:1">
      <c r="A13651" s="346"/>
    </row>
    <row r="13652" spans="1:1">
      <c r="A13652" s="346"/>
    </row>
    <row r="13653" spans="1:1">
      <c r="A13653" s="346"/>
    </row>
    <row r="13654" spans="1:1">
      <c r="A13654" s="346"/>
    </row>
    <row r="13655" spans="1:1">
      <c r="A13655" s="346"/>
    </row>
    <row r="13656" spans="1:1">
      <c r="A13656" s="346"/>
    </row>
    <row r="13657" spans="1:1">
      <c r="A13657" s="346"/>
    </row>
    <row r="13658" spans="1:1">
      <c r="A13658" s="346"/>
    </row>
    <row r="13659" spans="1:1">
      <c r="A13659" s="346"/>
    </row>
    <row r="13660" spans="1:1">
      <c r="A13660" s="346"/>
    </row>
    <row r="13661" spans="1:1">
      <c r="A13661" s="346"/>
    </row>
    <row r="13662" spans="1:1">
      <c r="A13662" s="346"/>
    </row>
    <row r="13663" spans="1:1">
      <c r="A13663" s="346"/>
    </row>
    <row r="13664" spans="1:1">
      <c r="A13664" s="346"/>
    </row>
    <row r="13665" spans="1:1">
      <c r="A13665" s="346"/>
    </row>
    <row r="13666" spans="1:1">
      <c r="A13666" s="346"/>
    </row>
    <row r="13667" spans="1:1">
      <c r="A13667" s="346"/>
    </row>
    <row r="13668" spans="1:1">
      <c r="A13668" s="346"/>
    </row>
    <row r="13669" spans="1:1">
      <c r="A13669" s="346"/>
    </row>
    <row r="13670" spans="1:1">
      <c r="A13670" s="346"/>
    </row>
    <row r="13671" spans="1:1">
      <c r="A13671" s="346"/>
    </row>
    <row r="13672" spans="1:1">
      <c r="A13672" s="346"/>
    </row>
    <row r="13673" spans="1:1">
      <c r="A13673" s="346"/>
    </row>
    <row r="13674" spans="1:1">
      <c r="A13674" s="346"/>
    </row>
    <row r="13675" spans="1:1">
      <c r="A13675" s="346"/>
    </row>
    <row r="13676" spans="1:1">
      <c r="A13676" s="346"/>
    </row>
    <row r="13677" spans="1:1">
      <c r="A13677" s="346"/>
    </row>
    <row r="13678" spans="1:1">
      <c r="A13678" s="346"/>
    </row>
    <row r="13679" spans="1:1">
      <c r="A13679" s="346"/>
    </row>
    <row r="13680" spans="1:1">
      <c r="A13680" s="346"/>
    </row>
    <row r="13681" spans="1:1">
      <c r="A13681" s="346"/>
    </row>
    <row r="13682" spans="1:1">
      <c r="A13682" s="346"/>
    </row>
    <row r="13683" spans="1:1">
      <c r="A13683" s="346"/>
    </row>
    <row r="13684" spans="1:1">
      <c r="A13684" s="346"/>
    </row>
    <row r="13685" spans="1:1">
      <c r="A13685" s="346"/>
    </row>
    <row r="13686" spans="1:1">
      <c r="A13686" s="346"/>
    </row>
    <row r="13687" spans="1:1">
      <c r="A13687" s="346"/>
    </row>
    <row r="13688" spans="1:1">
      <c r="A13688" s="346"/>
    </row>
    <row r="13689" spans="1:1">
      <c r="A13689" s="346"/>
    </row>
    <row r="13690" spans="1:1">
      <c r="A13690" s="346"/>
    </row>
    <row r="13691" spans="1:1">
      <c r="A13691" s="346"/>
    </row>
    <row r="13692" spans="1:1">
      <c r="A13692" s="346"/>
    </row>
    <row r="13693" spans="1:1">
      <c r="A13693" s="346"/>
    </row>
    <row r="13694" spans="1:1">
      <c r="A13694" s="346"/>
    </row>
    <row r="13695" spans="1:1">
      <c r="A13695" s="346"/>
    </row>
    <row r="13696" spans="1:1">
      <c r="A13696" s="346"/>
    </row>
    <row r="13697" spans="1:1">
      <c r="A13697" s="346"/>
    </row>
    <row r="13698" spans="1:1">
      <c r="A13698" s="346"/>
    </row>
    <row r="13699" spans="1:1">
      <c r="A13699" s="346"/>
    </row>
    <row r="13700" spans="1:1">
      <c r="A13700" s="346"/>
    </row>
    <row r="13701" spans="1:1">
      <c r="A13701" s="346"/>
    </row>
    <row r="13702" spans="1:1">
      <c r="A13702" s="346"/>
    </row>
    <row r="13703" spans="1:1">
      <c r="A13703" s="346"/>
    </row>
    <row r="13704" spans="1:1">
      <c r="A13704" s="346"/>
    </row>
    <row r="13705" spans="1:1">
      <c r="A13705" s="346"/>
    </row>
    <row r="13706" spans="1:1">
      <c r="A13706" s="346"/>
    </row>
    <row r="13707" spans="1:1">
      <c r="A13707" s="346"/>
    </row>
    <row r="13708" spans="1:1">
      <c r="A13708" s="346"/>
    </row>
    <row r="13709" spans="1:1">
      <c r="A13709" s="346"/>
    </row>
    <row r="13710" spans="1:1">
      <c r="A13710" s="346"/>
    </row>
    <row r="13711" spans="1:1">
      <c r="A13711" s="346"/>
    </row>
    <row r="13712" spans="1:1">
      <c r="A13712" s="346"/>
    </row>
    <row r="13713" spans="1:1">
      <c r="A13713" s="346"/>
    </row>
    <row r="13714" spans="1:1">
      <c r="A13714" s="346"/>
    </row>
    <row r="13715" spans="1:1">
      <c r="A13715" s="346"/>
    </row>
    <row r="13716" spans="1:1">
      <c r="A13716" s="346"/>
    </row>
    <row r="13717" spans="1:1">
      <c r="A13717" s="346"/>
    </row>
    <row r="13718" spans="1:1">
      <c r="A13718" s="346"/>
    </row>
    <row r="13719" spans="1:1">
      <c r="A13719" s="346"/>
    </row>
    <row r="13720" spans="1:1">
      <c r="A13720" s="346"/>
    </row>
    <row r="13721" spans="1:1">
      <c r="A13721" s="346"/>
    </row>
    <row r="13722" spans="1:1">
      <c r="A13722" s="346"/>
    </row>
    <row r="13723" spans="1:1">
      <c r="A13723" s="346"/>
    </row>
    <row r="13724" spans="1:1">
      <c r="A13724" s="346"/>
    </row>
    <row r="13725" spans="1:1">
      <c r="A13725" s="346"/>
    </row>
    <row r="13726" spans="1:1">
      <c r="A13726" s="346"/>
    </row>
    <row r="13727" spans="1:1">
      <c r="A13727" s="346"/>
    </row>
    <row r="13728" spans="1:1">
      <c r="A13728" s="346"/>
    </row>
    <row r="13729" spans="1:1">
      <c r="A13729" s="346"/>
    </row>
    <row r="13730" spans="1:1">
      <c r="A13730" s="346"/>
    </row>
    <row r="13731" spans="1:1">
      <c r="A13731" s="346"/>
    </row>
    <row r="13732" spans="1:1">
      <c r="A13732" s="346"/>
    </row>
    <row r="13733" spans="1:1">
      <c r="A13733" s="346"/>
    </row>
    <row r="13734" spans="1:1">
      <c r="A13734" s="346"/>
    </row>
    <row r="13735" spans="1:1">
      <c r="A13735" s="346"/>
    </row>
    <row r="13736" spans="1:1">
      <c r="A13736" s="346"/>
    </row>
    <row r="13737" spans="1:1">
      <c r="A13737" s="346"/>
    </row>
    <row r="13738" spans="1:1">
      <c r="A13738" s="346"/>
    </row>
    <row r="13739" spans="1:1">
      <c r="A13739" s="346"/>
    </row>
    <row r="13740" spans="1:1">
      <c r="A13740" s="346"/>
    </row>
    <row r="13741" spans="1:1">
      <c r="A13741" s="346"/>
    </row>
    <row r="13742" spans="1:1">
      <c r="A13742" s="346"/>
    </row>
    <row r="13743" spans="1:1">
      <c r="A13743" s="346"/>
    </row>
    <row r="13744" spans="1:1">
      <c r="A13744" s="346"/>
    </row>
    <row r="13745" spans="1:1">
      <c r="A13745" s="346"/>
    </row>
    <row r="13746" spans="1:1">
      <c r="A13746" s="346"/>
    </row>
    <row r="13747" spans="1:1">
      <c r="A13747" s="346"/>
    </row>
    <row r="13748" spans="1:1">
      <c r="A13748" s="346"/>
    </row>
    <row r="13749" spans="1:1">
      <c r="A13749" s="346"/>
    </row>
    <row r="13750" spans="1:1">
      <c r="A13750" s="346"/>
    </row>
    <row r="13751" spans="1:1">
      <c r="A13751" s="346"/>
    </row>
    <row r="13752" spans="1:1">
      <c r="A13752" s="346"/>
    </row>
    <row r="13753" spans="1:1">
      <c r="A13753" s="346"/>
    </row>
    <row r="13754" spans="1:1">
      <c r="A13754" s="346"/>
    </row>
    <row r="13755" spans="1:1">
      <c r="A13755" s="346"/>
    </row>
    <row r="13756" spans="1:1">
      <c r="A13756" s="346"/>
    </row>
    <row r="13757" spans="1:1">
      <c r="A13757" s="346"/>
    </row>
    <row r="13758" spans="1:1">
      <c r="A13758" s="346"/>
    </row>
    <row r="13759" spans="1:1">
      <c r="A13759" s="346"/>
    </row>
    <row r="13760" spans="1:1">
      <c r="A13760" s="346"/>
    </row>
    <row r="13761" spans="1:1">
      <c r="A13761" s="346"/>
    </row>
    <row r="13762" spans="1:1">
      <c r="A13762" s="346"/>
    </row>
    <row r="13763" spans="1:1">
      <c r="A13763" s="346"/>
    </row>
    <row r="13764" spans="1:1">
      <c r="A13764" s="346"/>
    </row>
    <row r="13765" spans="1:1">
      <c r="A13765" s="346"/>
    </row>
    <row r="13766" spans="1:1">
      <c r="A13766" s="346"/>
    </row>
    <row r="13767" spans="1:1">
      <c r="A13767" s="346"/>
    </row>
    <row r="13768" spans="1:1">
      <c r="A13768" s="346"/>
    </row>
    <row r="13769" spans="1:1">
      <c r="A13769" s="346"/>
    </row>
    <row r="13770" spans="1:1">
      <c r="A13770" s="346"/>
    </row>
    <row r="13771" spans="1:1">
      <c r="A13771" s="346"/>
    </row>
    <row r="13772" spans="1:1">
      <c r="A13772" s="346"/>
    </row>
    <row r="13773" spans="1:1">
      <c r="A13773" s="346"/>
    </row>
    <row r="13774" spans="1:1">
      <c r="A13774" s="346"/>
    </row>
    <row r="13775" spans="1:1">
      <c r="A13775" s="346"/>
    </row>
    <row r="13776" spans="1:1">
      <c r="A13776" s="346"/>
    </row>
    <row r="13777" spans="1:1">
      <c r="A13777" s="346"/>
    </row>
    <row r="13778" spans="1:1">
      <c r="A13778" s="346"/>
    </row>
    <row r="13779" spans="1:1">
      <c r="A13779" s="346"/>
    </row>
    <row r="13780" spans="1:1">
      <c r="A13780" s="346"/>
    </row>
    <row r="13781" spans="1:1">
      <c r="A13781" s="346"/>
    </row>
    <row r="13782" spans="1:1">
      <c r="A13782" s="346"/>
    </row>
    <row r="13783" spans="1:1">
      <c r="A13783" s="346"/>
    </row>
    <row r="13784" spans="1:1">
      <c r="A13784" s="346"/>
    </row>
    <row r="13785" spans="1:1">
      <c r="A13785" s="346"/>
    </row>
    <row r="13786" spans="1:1">
      <c r="A13786" s="346"/>
    </row>
    <row r="13787" spans="1:1">
      <c r="A13787" s="346"/>
    </row>
    <row r="13788" spans="1:1">
      <c r="A13788" s="346"/>
    </row>
    <row r="13789" spans="1:1">
      <c r="A13789" s="346"/>
    </row>
    <row r="13790" spans="1:1">
      <c r="A13790" s="346"/>
    </row>
    <row r="13791" spans="1:1">
      <c r="A13791" s="346"/>
    </row>
    <row r="13792" spans="1:1">
      <c r="A13792" s="346"/>
    </row>
    <row r="13793" spans="1:1">
      <c r="A13793" s="346"/>
    </row>
    <row r="13794" spans="1:1">
      <c r="A13794" s="346"/>
    </row>
    <row r="13795" spans="1:1">
      <c r="A13795" s="346"/>
    </row>
    <row r="13796" spans="1:1">
      <c r="A13796" s="346"/>
    </row>
    <row r="13797" spans="1:1">
      <c r="A13797" s="346"/>
    </row>
    <row r="13798" spans="1:1">
      <c r="A13798" s="346"/>
    </row>
    <row r="13799" spans="1:1">
      <c r="A13799" s="346"/>
    </row>
    <row r="13800" spans="1:1">
      <c r="A13800" s="346"/>
    </row>
    <row r="13801" spans="1:1">
      <c r="A13801" s="346"/>
    </row>
    <row r="13802" spans="1:1">
      <c r="A13802" s="346"/>
    </row>
    <row r="13803" spans="1:1">
      <c r="A13803" s="346"/>
    </row>
    <row r="13804" spans="1:1">
      <c r="A13804" s="346"/>
    </row>
    <row r="13805" spans="1:1">
      <c r="A13805" s="346"/>
    </row>
    <row r="13806" spans="1:1">
      <c r="A13806" s="346"/>
    </row>
    <row r="13807" spans="1:1">
      <c r="A13807" s="346"/>
    </row>
    <row r="13808" spans="1:1">
      <c r="A13808" s="346"/>
    </row>
    <row r="13809" spans="1:1">
      <c r="A13809" s="346"/>
    </row>
    <row r="13810" spans="1:1">
      <c r="A13810" s="346"/>
    </row>
    <row r="13811" spans="1:1">
      <c r="A13811" s="346"/>
    </row>
    <row r="13812" spans="1:1">
      <c r="A13812" s="346"/>
    </row>
    <row r="13813" spans="1:1">
      <c r="A13813" s="346"/>
    </row>
    <row r="13814" spans="1:1">
      <c r="A13814" s="346"/>
    </row>
    <row r="13815" spans="1:1">
      <c r="A13815" s="346"/>
    </row>
    <row r="13816" spans="1:1">
      <c r="A13816" s="346"/>
    </row>
    <row r="13817" spans="1:1">
      <c r="A13817" s="346"/>
    </row>
    <row r="13818" spans="1:1">
      <c r="A13818" s="346"/>
    </row>
    <row r="13819" spans="1:1">
      <c r="A13819" s="346"/>
    </row>
    <row r="13820" spans="1:1">
      <c r="A13820" s="346"/>
    </row>
    <row r="13821" spans="1:1">
      <c r="A13821" s="346"/>
    </row>
    <row r="13822" spans="1:1">
      <c r="A13822" s="346"/>
    </row>
    <row r="13823" spans="1:1">
      <c r="A13823" s="346"/>
    </row>
    <row r="13824" spans="1:1">
      <c r="A13824" s="346"/>
    </row>
    <row r="13825" spans="1:1">
      <c r="A13825" s="346"/>
    </row>
    <row r="13826" spans="1:1">
      <c r="A13826" s="346"/>
    </row>
    <row r="13827" spans="1:1">
      <c r="A13827" s="346"/>
    </row>
    <row r="13828" spans="1:1">
      <c r="A13828" s="346"/>
    </row>
    <row r="13829" spans="1:1">
      <c r="A13829" s="346"/>
    </row>
    <row r="13830" spans="1:1">
      <c r="A13830" s="346"/>
    </row>
    <row r="13831" spans="1:1">
      <c r="A13831" s="346"/>
    </row>
    <row r="13832" spans="1:1">
      <c r="A13832" s="346"/>
    </row>
    <row r="13833" spans="1:1">
      <c r="A13833" s="346"/>
    </row>
    <row r="13834" spans="1:1">
      <c r="A13834" s="346"/>
    </row>
    <row r="13835" spans="1:1">
      <c r="A13835" s="346"/>
    </row>
    <row r="13836" spans="1:1">
      <c r="A13836" s="346"/>
    </row>
    <row r="13837" spans="1:1">
      <c r="A13837" s="346"/>
    </row>
    <row r="13838" spans="1:1">
      <c r="A13838" s="346"/>
    </row>
    <row r="13839" spans="1:1">
      <c r="A13839" s="346"/>
    </row>
    <row r="13840" spans="1:1">
      <c r="A13840" s="346"/>
    </row>
    <row r="13841" spans="1:1">
      <c r="A13841" s="346"/>
    </row>
    <row r="13842" spans="1:1">
      <c r="A13842" s="346"/>
    </row>
    <row r="13843" spans="1:1">
      <c r="A13843" s="346"/>
    </row>
    <row r="13844" spans="1:1">
      <c r="A13844" s="346"/>
    </row>
    <row r="13845" spans="1:1">
      <c r="A13845" s="346"/>
    </row>
    <row r="13846" spans="1:1">
      <c r="A13846" s="346"/>
    </row>
    <row r="13847" spans="1:1">
      <c r="A13847" s="346"/>
    </row>
    <row r="13848" spans="1:1">
      <c r="A13848" s="346"/>
    </row>
    <row r="13849" spans="1:1">
      <c r="A13849" s="346"/>
    </row>
    <row r="13850" spans="1:1">
      <c r="A13850" s="346"/>
    </row>
    <row r="13851" spans="1:1">
      <c r="A13851" s="346"/>
    </row>
    <row r="13852" spans="1:1">
      <c r="A13852" s="346"/>
    </row>
    <row r="13853" spans="1:1">
      <c r="A13853" s="346"/>
    </row>
    <row r="13854" spans="1:1">
      <c r="A13854" s="346"/>
    </row>
    <row r="13855" spans="1:1">
      <c r="A13855" s="346"/>
    </row>
    <row r="13856" spans="1:1">
      <c r="A13856" s="346"/>
    </row>
    <row r="13857" spans="1:1">
      <c r="A13857" s="346"/>
    </row>
    <row r="13858" spans="1:1">
      <c r="A13858" s="346"/>
    </row>
    <row r="13859" spans="1:1">
      <c r="A13859" s="346"/>
    </row>
    <row r="13860" spans="1:1">
      <c r="A13860" s="346"/>
    </row>
    <row r="13861" spans="1:1">
      <c r="A13861" s="346"/>
    </row>
    <row r="13862" spans="1:1">
      <c r="A13862" s="346"/>
    </row>
    <row r="13863" spans="1:1">
      <c r="A13863" s="346"/>
    </row>
    <row r="13864" spans="1:1">
      <c r="A13864" s="346"/>
    </row>
    <row r="13865" spans="1:1">
      <c r="A13865" s="346"/>
    </row>
    <row r="13866" spans="1:1">
      <c r="A13866" s="346"/>
    </row>
    <row r="13867" spans="1:1">
      <c r="A13867" s="346"/>
    </row>
    <row r="13868" spans="1:1">
      <c r="A13868" s="346"/>
    </row>
    <row r="13869" spans="1:1">
      <c r="A13869" s="346"/>
    </row>
    <row r="13870" spans="1:1">
      <c r="A13870" s="346"/>
    </row>
    <row r="13871" spans="1:1">
      <c r="A13871" s="346"/>
    </row>
    <row r="13872" spans="1:1">
      <c r="A13872" s="346"/>
    </row>
    <row r="13873" spans="1:1">
      <c r="A13873" s="346"/>
    </row>
    <row r="13874" spans="1:1">
      <c r="A13874" s="346"/>
    </row>
    <row r="13875" spans="1:1">
      <c r="A13875" s="346"/>
    </row>
    <row r="13876" spans="1:1">
      <c r="A13876" s="346"/>
    </row>
    <row r="13877" spans="1:1">
      <c r="A13877" s="346"/>
    </row>
    <row r="13878" spans="1:1">
      <c r="A13878" s="346"/>
    </row>
    <row r="13879" spans="1:1">
      <c r="A13879" s="346"/>
    </row>
    <row r="13880" spans="1:1">
      <c r="A13880" s="346"/>
    </row>
    <row r="13881" spans="1:1">
      <c r="A13881" s="346"/>
    </row>
    <row r="13882" spans="1:1">
      <c r="A13882" s="346"/>
    </row>
    <row r="13883" spans="1:1">
      <c r="A13883" s="346"/>
    </row>
    <row r="13884" spans="1:1">
      <c r="A13884" s="346"/>
    </row>
    <row r="13885" spans="1:1">
      <c r="A13885" s="346"/>
    </row>
    <row r="13886" spans="1:1">
      <c r="A13886" s="346"/>
    </row>
    <row r="13887" spans="1:1">
      <c r="A13887" s="346"/>
    </row>
    <row r="13888" spans="1:1">
      <c r="A13888" s="346"/>
    </row>
    <row r="13889" spans="1:1">
      <c r="A13889" s="346"/>
    </row>
    <row r="13890" spans="1:1">
      <c r="A13890" s="346"/>
    </row>
    <row r="13891" spans="1:1">
      <c r="A13891" s="346"/>
    </row>
    <row r="13892" spans="1:1">
      <c r="A13892" s="346"/>
    </row>
    <row r="13893" spans="1:1">
      <c r="A13893" s="346"/>
    </row>
    <row r="13894" spans="1:1">
      <c r="A13894" s="346"/>
    </row>
    <row r="13895" spans="1:1">
      <c r="A13895" s="346"/>
    </row>
    <row r="13896" spans="1:1">
      <c r="A13896" s="346"/>
    </row>
    <row r="13897" spans="1:1">
      <c r="A13897" s="346"/>
    </row>
    <row r="13898" spans="1:1">
      <c r="A13898" s="346"/>
    </row>
    <row r="13899" spans="1:1">
      <c r="A13899" s="346"/>
    </row>
    <row r="13900" spans="1:1">
      <c r="A13900" s="346"/>
    </row>
    <row r="13901" spans="1:1">
      <c r="A13901" s="346"/>
    </row>
    <row r="13902" spans="1:1">
      <c r="A13902" s="346"/>
    </row>
    <row r="13903" spans="1:1">
      <c r="A13903" s="346"/>
    </row>
    <row r="13904" spans="1:1">
      <c r="A13904" s="346"/>
    </row>
    <row r="13905" spans="1:1">
      <c r="A13905" s="346"/>
    </row>
    <row r="13906" spans="1:1">
      <c r="A13906" s="346"/>
    </row>
    <row r="13907" spans="1:1">
      <c r="A13907" s="346"/>
    </row>
    <row r="13908" spans="1:1">
      <c r="A13908" s="346"/>
    </row>
    <row r="13909" spans="1:1">
      <c r="A13909" s="346"/>
    </row>
    <row r="13910" spans="1:1">
      <c r="A13910" s="346"/>
    </row>
    <row r="13911" spans="1:1">
      <c r="A13911" s="346"/>
    </row>
    <row r="13912" spans="1:1">
      <c r="A13912" s="346"/>
    </row>
    <row r="13913" spans="1:1">
      <c r="A13913" s="346"/>
    </row>
    <row r="13914" spans="1:1">
      <c r="A13914" s="346"/>
    </row>
    <row r="13915" spans="1:1">
      <c r="A13915" s="346"/>
    </row>
    <row r="13916" spans="1:1">
      <c r="A13916" s="346"/>
    </row>
    <row r="13917" spans="1:1">
      <c r="A13917" s="346"/>
    </row>
    <row r="13918" spans="1:1">
      <c r="A13918" s="346"/>
    </row>
    <row r="13919" spans="1:1">
      <c r="A13919" s="346"/>
    </row>
    <row r="13920" spans="1:1">
      <c r="A13920" s="346"/>
    </row>
    <row r="13921" spans="1:1">
      <c r="A13921" s="346"/>
    </row>
    <row r="13922" spans="1:1">
      <c r="A13922" s="346"/>
    </row>
    <row r="13923" spans="1:1">
      <c r="A13923" s="346"/>
    </row>
    <row r="13924" spans="1:1">
      <c r="A13924" s="346"/>
    </row>
    <row r="13925" spans="1:1">
      <c r="A13925" s="346"/>
    </row>
    <row r="13926" spans="1:1">
      <c r="A13926" s="346"/>
    </row>
    <row r="13927" spans="1:1">
      <c r="A13927" s="346"/>
    </row>
    <row r="13928" spans="1:1">
      <c r="A13928" s="346"/>
    </row>
    <row r="13929" spans="1:1">
      <c r="A13929" s="346"/>
    </row>
    <row r="13930" spans="1:1">
      <c r="A13930" s="346"/>
    </row>
    <row r="13931" spans="1:1">
      <c r="A13931" s="346"/>
    </row>
    <row r="13932" spans="1:1">
      <c r="A13932" s="346"/>
    </row>
    <row r="13933" spans="1:1">
      <c r="A13933" s="346"/>
    </row>
    <row r="13934" spans="1:1">
      <c r="A13934" s="346"/>
    </row>
    <row r="13935" spans="1:1">
      <c r="A13935" s="346"/>
    </row>
    <row r="13936" spans="1:1">
      <c r="A13936" s="346"/>
    </row>
    <row r="13937" spans="1:1">
      <c r="A13937" s="346"/>
    </row>
    <row r="13938" spans="1:1">
      <c r="A13938" s="346"/>
    </row>
    <row r="13939" spans="1:1">
      <c r="A13939" s="346"/>
    </row>
    <row r="13940" spans="1:1">
      <c r="A13940" s="346"/>
    </row>
    <row r="13941" spans="1:1">
      <c r="A13941" s="346"/>
    </row>
    <row r="13942" spans="1:1">
      <c r="A13942" s="346"/>
    </row>
    <row r="13943" spans="1:1">
      <c r="A13943" s="346"/>
    </row>
    <row r="13944" spans="1:1">
      <c r="A13944" s="346"/>
    </row>
    <row r="13945" spans="1:1">
      <c r="A13945" s="346"/>
    </row>
    <row r="13946" spans="1:1">
      <c r="A13946" s="346"/>
    </row>
    <row r="13947" spans="1:1">
      <c r="A13947" s="346"/>
    </row>
    <row r="13948" spans="1:1">
      <c r="A13948" s="346"/>
    </row>
    <row r="13949" spans="1:1">
      <c r="A13949" s="346"/>
    </row>
    <row r="13950" spans="1:1">
      <c r="A13950" s="346"/>
    </row>
    <row r="13951" spans="1:1">
      <c r="A13951" s="346"/>
    </row>
    <row r="13952" spans="1:1">
      <c r="A13952" s="346"/>
    </row>
    <row r="13953" spans="1:1">
      <c r="A13953" s="346"/>
    </row>
    <row r="13954" spans="1:1">
      <c r="A13954" s="346"/>
    </row>
    <row r="13955" spans="1:1">
      <c r="A13955" s="346"/>
    </row>
    <row r="13956" spans="1:1">
      <c r="A13956" s="346"/>
    </row>
    <row r="13957" spans="1:1">
      <c r="A13957" s="346"/>
    </row>
    <row r="13958" spans="1:1">
      <c r="A13958" s="346"/>
    </row>
    <row r="13959" spans="1:1">
      <c r="A13959" s="346"/>
    </row>
    <row r="13960" spans="1:1">
      <c r="A13960" s="346"/>
    </row>
    <row r="13961" spans="1:1">
      <c r="A13961" s="346"/>
    </row>
    <row r="13962" spans="1:1">
      <c r="A13962" s="346"/>
    </row>
    <row r="13963" spans="1:1">
      <c r="A13963" s="346"/>
    </row>
    <row r="13964" spans="1:1">
      <c r="A13964" s="346"/>
    </row>
    <row r="13965" spans="1:1">
      <c r="A13965" s="346"/>
    </row>
    <row r="13966" spans="1:1">
      <c r="A13966" s="346"/>
    </row>
    <row r="13967" spans="1:1">
      <c r="A13967" s="346"/>
    </row>
    <row r="13968" spans="1:1">
      <c r="A13968" s="346"/>
    </row>
    <row r="13969" spans="1:1">
      <c r="A13969" s="346"/>
    </row>
    <row r="13970" spans="1:1">
      <c r="A13970" s="346"/>
    </row>
    <row r="13971" spans="1:1">
      <c r="A13971" s="346"/>
    </row>
    <row r="13972" spans="1:1">
      <c r="A13972" s="346"/>
    </row>
    <row r="13973" spans="1:1">
      <c r="A13973" s="346"/>
    </row>
    <row r="13974" spans="1:1">
      <c r="A13974" s="346"/>
    </row>
    <row r="13975" spans="1:1">
      <c r="A13975" s="346"/>
    </row>
    <row r="13976" spans="1:1">
      <c r="A13976" s="346"/>
    </row>
    <row r="13977" spans="1:1">
      <c r="A13977" s="346"/>
    </row>
    <row r="13978" spans="1:1">
      <c r="A13978" s="346"/>
    </row>
    <row r="13979" spans="1:1">
      <c r="A13979" s="346"/>
    </row>
    <row r="13980" spans="1:1">
      <c r="A13980" s="346"/>
    </row>
    <row r="13981" spans="1:1">
      <c r="A13981" s="346"/>
    </row>
    <row r="13982" spans="1:1">
      <c r="A13982" s="346"/>
    </row>
    <row r="13983" spans="1:1">
      <c r="A13983" s="346"/>
    </row>
    <row r="13984" spans="1:1">
      <c r="A13984" s="346"/>
    </row>
    <row r="13985" spans="1:1">
      <c r="A13985" s="346"/>
    </row>
    <row r="13986" spans="1:1">
      <c r="A13986" s="346"/>
    </row>
    <row r="13987" spans="1:1">
      <c r="A13987" s="346"/>
    </row>
    <row r="13988" spans="1:1">
      <c r="A13988" s="346"/>
    </row>
    <row r="13989" spans="1:1">
      <c r="A13989" s="346"/>
    </row>
    <row r="13990" spans="1:1">
      <c r="A13990" s="346"/>
    </row>
    <row r="13991" spans="1:1">
      <c r="A13991" s="346"/>
    </row>
    <row r="13992" spans="1:1">
      <c r="A13992" s="346"/>
    </row>
    <row r="13993" spans="1:1">
      <c r="A13993" s="346"/>
    </row>
    <row r="13994" spans="1:1">
      <c r="A13994" s="346"/>
    </row>
    <row r="13995" spans="1:1">
      <c r="A13995" s="346"/>
    </row>
    <row r="13996" spans="1:1">
      <c r="A13996" s="346"/>
    </row>
    <row r="13997" spans="1:1">
      <c r="A13997" s="346"/>
    </row>
    <row r="13998" spans="1:1">
      <c r="A13998" s="346"/>
    </row>
    <row r="13999" spans="1:1">
      <c r="A13999" s="346"/>
    </row>
    <row r="14000" spans="1:1">
      <c r="A14000" s="346"/>
    </row>
    <row r="14001" spans="1:1">
      <c r="A14001" s="346"/>
    </row>
    <row r="14002" spans="1:1">
      <c r="A14002" s="346"/>
    </row>
    <row r="14003" spans="1:1">
      <c r="A14003" s="346"/>
    </row>
    <row r="14004" spans="1:1">
      <c r="A14004" s="346"/>
    </row>
    <row r="14005" spans="1:1">
      <c r="A14005" s="346"/>
    </row>
    <row r="14006" spans="1:1">
      <c r="A14006" s="346"/>
    </row>
    <row r="14007" spans="1:1">
      <c r="A14007" s="346"/>
    </row>
    <row r="14008" spans="1:1">
      <c r="A14008" s="346"/>
    </row>
    <row r="14009" spans="1:1">
      <c r="A14009" s="346"/>
    </row>
    <row r="14010" spans="1:1">
      <c r="A14010" s="346"/>
    </row>
    <row r="14011" spans="1:1">
      <c r="A14011" s="346"/>
    </row>
    <row r="14012" spans="1:1">
      <c r="A14012" s="346"/>
    </row>
    <row r="14013" spans="1:1">
      <c r="A14013" s="346"/>
    </row>
    <row r="14014" spans="1:1">
      <c r="A14014" s="346"/>
    </row>
    <row r="14015" spans="1:1">
      <c r="A14015" s="346"/>
    </row>
    <row r="14016" spans="1:1">
      <c r="A14016" s="346"/>
    </row>
    <row r="14017" spans="1:1">
      <c r="A14017" s="346"/>
    </row>
    <row r="14018" spans="1:1">
      <c r="A14018" s="346"/>
    </row>
    <row r="14019" spans="1:1">
      <c r="A14019" s="346"/>
    </row>
    <row r="14020" spans="1:1">
      <c r="A14020" s="346"/>
    </row>
    <row r="14021" spans="1:1">
      <c r="A14021" s="346"/>
    </row>
    <row r="14022" spans="1:1">
      <c r="A14022" s="346"/>
    </row>
    <row r="14023" spans="1:1">
      <c r="A14023" s="346"/>
    </row>
    <row r="14024" spans="1:1">
      <c r="A14024" s="346"/>
    </row>
    <row r="14025" spans="1:1">
      <c r="A14025" s="346"/>
    </row>
    <row r="14026" spans="1:1">
      <c r="A14026" s="346"/>
    </row>
    <row r="14027" spans="1:1">
      <c r="A14027" s="346"/>
    </row>
    <row r="14028" spans="1:1">
      <c r="A14028" s="346"/>
    </row>
    <row r="14029" spans="1:1">
      <c r="A14029" s="346"/>
    </row>
    <row r="14030" spans="1:1">
      <c r="A14030" s="346"/>
    </row>
    <row r="14031" spans="1:1">
      <c r="A14031" s="346"/>
    </row>
    <row r="14032" spans="1:1">
      <c r="A14032" s="346"/>
    </row>
    <row r="14033" spans="1:1">
      <c r="A14033" s="346"/>
    </row>
    <row r="14034" spans="1:1">
      <c r="A14034" s="346"/>
    </row>
    <row r="14035" spans="1:1">
      <c r="A14035" s="346"/>
    </row>
    <row r="14036" spans="1:1">
      <c r="A14036" s="346"/>
    </row>
    <row r="14037" spans="1:1">
      <c r="A14037" s="346"/>
    </row>
    <row r="14038" spans="1:1">
      <c r="A14038" s="346"/>
    </row>
    <row r="14039" spans="1:1">
      <c r="A14039" s="346"/>
    </row>
    <row r="14040" spans="1:1">
      <c r="A14040" s="346"/>
    </row>
    <row r="14041" spans="1:1">
      <c r="A14041" s="346"/>
    </row>
    <row r="14042" spans="1:1">
      <c r="A14042" s="346"/>
    </row>
    <row r="14043" spans="1:1">
      <c r="A14043" s="346"/>
    </row>
    <row r="14044" spans="1:1">
      <c r="A14044" s="346"/>
    </row>
    <row r="14045" spans="1:1">
      <c r="A14045" s="346"/>
    </row>
    <row r="14046" spans="1:1">
      <c r="A14046" s="346"/>
    </row>
    <row r="14047" spans="1:1">
      <c r="A14047" s="346"/>
    </row>
    <row r="14048" spans="1:1">
      <c r="A14048" s="346"/>
    </row>
    <row r="14049" spans="1:1">
      <c r="A14049" s="346"/>
    </row>
    <row r="14050" spans="1:1">
      <c r="A14050" s="346"/>
    </row>
    <row r="14051" spans="1:1">
      <c r="A14051" s="346"/>
    </row>
    <row r="14052" spans="1:1">
      <c r="A14052" s="346"/>
    </row>
    <row r="14053" spans="1:1">
      <c r="A14053" s="346"/>
    </row>
    <row r="14054" spans="1:1">
      <c r="A14054" s="346"/>
    </row>
    <row r="14055" spans="1:1">
      <c r="A14055" s="346"/>
    </row>
    <row r="14056" spans="1:1">
      <c r="A14056" s="346"/>
    </row>
    <row r="14057" spans="1:1">
      <c r="A14057" s="346"/>
    </row>
    <row r="14058" spans="1:1">
      <c r="A14058" s="346"/>
    </row>
    <row r="14059" spans="1:1">
      <c r="A14059" s="346"/>
    </row>
    <row r="14060" spans="1:1">
      <c r="A14060" s="346"/>
    </row>
    <row r="14061" spans="1:1">
      <c r="A14061" s="346"/>
    </row>
    <row r="14062" spans="1:1">
      <c r="A14062" s="346"/>
    </row>
    <row r="14063" spans="1:1">
      <c r="A14063" s="346"/>
    </row>
    <row r="14064" spans="1:1">
      <c r="A14064" s="346"/>
    </row>
    <row r="14065" spans="1:1">
      <c r="A14065" s="346"/>
    </row>
    <row r="14066" spans="1:1">
      <c r="A14066" s="346"/>
    </row>
    <row r="14067" spans="1:1">
      <c r="A14067" s="346"/>
    </row>
    <row r="14068" spans="1:1">
      <c r="A14068" s="346"/>
    </row>
    <row r="14069" spans="1:1">
      <c r="A14069" s="346"/>
    </row>
    <row r="14070" spans="1:1">
      <c r="A14070" s="346"/>
    </row>
    <row r="14071" spans="1:1">
      <c r="A14071" s="346"/>
    </row>
    <row r="14072" spans="1:1">
      <c r="A14072" s="346"/>
    </row>
    <row r="14073" spans="1:1">
      <c r="A14073" s="346"/>
    </row>
    <row r="14074" spans="1:1">
      <c r="A14074" s="346"/>
    </row>
    <row r="14075" spans="1:1">
      <c r="A14075" s="346"/>
    </row>
    <row r="14076" spans="1:1">
      <c r="A14076" s="346"/>
    </row>
    <row r="14077" spans="1:1">
      <c r="A14077" s="346"/>
    </row>
    <row r="14078" spans="1:1">
      <c r="A14078" s="346"/>
    </row>
    <row r="14079" spans="1:1">
      <c r="A14079" s="346"/>
    </row>
    <row r="14080" spans="1:1">
      <c r="A14080" s="346"/>
    </row>
    <row r="14081" spans="1:1">
      <c r="A14081" s="346"/>
    </row>
    <row r="14082" spans="1:1">
      <c r="A14082" s="346"/>
    </row>
    <row r="14083" spans="1:1">
      <c r="A14083" s="346"/>
    </row>
    <row r="14084" spans="1:1">
      <c r="A14084" s="346"/>
    </row>
    <row r="14085" spans="1:1">
      <c r="A14085" s="346"/>
    </row>
    <row r="14086" spans="1:1">
      <c r="A14086" s="346"/>
    </row>
    <row r="14087" spans="1:1">
      <c r="A14087" s="346"/>
    </row>
    <row r="14088" spans="1:1">
      <c r="A14088" s="346"/>
    </row>
    <row r="14089" spans="1:1">
      <c r="A14089" s="346"/>
    </row>
    <row r="14090" spans="1:1">
      <c r="A14090" s="346"/>
    </row>
    <row r="14091" spans="1:1">
      <c r="A14091" s="346"/>
    </row>
    <row r="14092" spans="1:1">
      <c r="A14092" s="346"/>
    </row>
    <row r="14093" spans="1:1">
      <c r="A14093" s="346"/>
    </row>
    <row r="14094" spans="1:1">
      <c r="A14094" s="346"/>
    </row>
    <row r="14095" spans="1:1">
      <c r="A14095" s="346"/>
    </row>
    <row r="14096" spans="1:1">
      <c r="A14096" s="346"/>
    </row>
    <row r="14097" spans="1:1">
      <c r="A14097" s="346"/>
    </row>
    <row r="14098" spans="1:1">
      <c r="A14098" s="346"/>
    </row>
    <row r="14099" spans="1:1">
      <c r="A14099" s="346"/>
    </row>
    <row r="14100" spans="1:1">
      <c r="A14100" s="346"/>
    </row>
    <row r="14101" spans="1:1">
      <c r="A14101" s="346"/>
    </row>
    <row r="14102" spans="1:1">
      <c r="A14102" s="346"/>
    </row>
    <row r="14103" spans="1:1">
      <c r="A14103" s="346"/>
    </row>
    <row r="14104" spans="1:1">
      <c r="A14104" s="346"/>
    </row>
    <row r="14105" spans="1:1">
      <c r="A14105" s="346"/>
    </row>
    <row r="14106" spans="1:1">
      <c r="A14106" s="346"/>
    </row>
    <row r="14107" spans="1:1">
      <c r="A14107" s="346"/>
    </row>
    <row r="14108" spans="1:1">
      <c r="A14108" s="346"/>
    </row>
    <row r="14109" spans="1:1">
      <c r="A14109" s="346"/>
    </row>
    <row r="14110" spans="1:1">
      <c r="A14110" s="346"/>
    </row>
    <row r="14111" spans="1:1">
      <c r="A14111" s="346"/>
    </row>
    <row r="14112" spans="1:1">
      <c r="A14112" s="346"/>
    </row>
    <row r="14113" spans="1:1">
      <c r="A14113" s="346"/>
    </row>
    <row r="14114" spans="1:1">
      <c r="A14114" s="346"/>
    </row>
    <row r="14115" spans="1:1">
      <c r="A14115" s="346"/>
    </row>
    <row r="14116" spans="1:1">
      <c r="A14116" s="346"/>
    </row>
    <row r="14117" spans="1:1">
      <c r="A14117" s="346"/>
    </row>
    <row r="14118" spans="1:1">
      <c r="A14118" s="346"/>
    </row>
    <row r="14119" spans="1:1">
      <c r="A14119" s="346"/>
    </row>
    <row r="14120" spans="1:1">
      <c r="A14120" s="346"/>
    </row>
    <row r="14121" spans="1:1">
      <c r="A14121" s="346"/>
    </row>
    <row r="14122" spans="1:1">
      <c r="A14122" s="346"/>
    </row>
    <row r="14123" spans="1:1">
      <c r="A14123" s="346"/>
    </row>
    <row r="14124" spans="1:1">
      <c r="A14124" s="346"/>
    </row>
    <row r="14125" spans="1:1">
      <c r="A14125" s="346"/>
    </row>
    <row r="14126" spans="1:1">
      <c r="A14126" s="346"/>
    </row>
    <row r="14127" spans="1:1">
      <c r="A14127" s="346"/>
    </row>
    <row r="14128" spans="1:1">
      <c r="A14128" s="346"/>
    </row>
    <row r="14129" spans="1:1">
      <c r="A14129" s="346"/>
    </row>
    <row r="14130" spans="1:1">
      <c r="A14130" s="346"/>
    </row>
    <row r="14131" spans="1:1">
      <c r="A14131" s="346"/>
    </row>
    <row r="14132" spans="1:1">
      <c r="A14132" s="346"/>
    </row>
    <row r="14133" spans="1:1">
      <c r="A14133" s="346"/>
    </row>
    <row r="14134" spans="1:1">
      <c r="A14134" s="346"/>
    </row>
    <row r="14135" spans="1:1">
      <c r="A14135" s="346"/>
    </row>
    <row r="14136" spans="1:1">
      <c r="A14136" s="346"/>
    </row>
    <row r="14137" spans="1:1">
      <c r="A14137" s="346"/>
    </row>
    <row r="14138" spans="1:1">
      <c r="A14138" s="346"/>
    </row>
    <row r="14139" spans="1:1">
      <c r="A14139" s="346"/>
    </row>
    <row r="14140" spans="1:1">
      <c r="A14140" s="346"/>
    </row>
    <row r="14141" spans="1:1">
      <c r="A14141" s="346"/>
    </row>
    <row r="14142" spans="1:1">
      <c r="A14142" s="346"/>
    </row>
    <row r="14143" spans="1:1">
      <c r="A14143" s="346"/>
    </row>
    <row r="14144" spans="1:1">
      <c r="A14144" s="346"/>
    </row>
    <row r="14145" spans="1:1">
      <c r="A14145" s="346"/>
    </row>
    <row r="14146" spans="1:1">
      <c r="A14146" s="346"/>
    </row>
    <row r="14147" spans="1:1">
      <c r="A14147" s="346"/>
    </row>
    <row r="14148" spans="1:1">
      <c r="A14148" s="346"/>
    </row>
    <row r="14149" spans="1:1">
      <c r="A14149" s="346"/>
    </row>
    <row r="14150" spans="1:1">
      <c r="A14150" s="346"/>
    </row>
    <row r="14151" spans="1:1">
      <c r="A14151" s="346"/>
    </row>
    <row r="14152" spans="1:1">
      <c r="A14152" s="346"/>
    </row>
    <row r="14153" spans="1:1">
      <c r="A14153" s="346"/>
    </row>
    <row r="14154" spans="1:1">
      <c r="A14154" s="346"/>
    </row>
    <row r="14155" spans="1:1">
      <c r="A14155" s="346"/>
    </row>
    <row r="14156" spans="1:1">
      <c r="A14156" s="346"/>
    </row>
    <row r="14157" spans="1:1">
      <c r="A14157" s="346"/>
    </row>
    <row r="14158" spans="1:1">
      <c r="A14158" s="346"/>
    </row>
    <row r="14159" spans="1:1">
      <c r="A14159" s="346"/>
    </row>
    <row r="14160" spans="1:1">
      <c r="A14160" s="346"/>
    </row>
    <row r="14161" spans="1:1">
      <c r="A14161" s="346"/>
    </row>
    <row r="14162" spans="1:1">
      <c r="A14162" s="346"/>
    </row>
    <row r="14163" spans="1:1">
      <c r="A14163" s="346"/>
    </row>
    <row r="14164" spans="1:1">
      <c r="A14164" s="346"/>
    </row>
    <row r="14165" spans="1:1">
      <c r="A14165" s="346"/>
    </row>
    <row r="14166" spans="1:1">
      <c r="A14166" s="346"/>
    </row>
    <row r="14167" spans="1:1">
      <c r="A14167" s="346"/>
    </row>
    <row r="14168" spans="1:1">
      <c r="A14168" s="346"/>
    </row>
    <row r="14169" spans="1:1">
      <c r="A14169" s="346"/>
    </row>
    <row r="14170" spans="1:1">
      <c r="A14170" s="346"/>
    </row>
    <row r="14171" spans="1:1">
      <c r="A14171" s="346"/>
    </row>
    <row r="14172" spans="1:1">
      <c r="A14172" s="346"/>
    </row>
    <row r="14173" spans="1:1">
      <c r="A14173" s="346"/>
    </row>
    <row r="14174" spans="1:1">
      <c r="A14174" s="346"/>
    </row>
    <row r="14175" spans="1:1">
      <c r="A14175" s="346"/>
    </row>
    <row r="14176" spans="1:1">
      <c r="A14176" s="346"/>
    </row>
    <row r="14177" spans="1:1">
      <c r="A14177" s="346"/>
    </row>
    <row r="14178" spans="1:1">
      <c r="A14178" s="346"/>
    </row>
    <row r="14179" spans="1:1">
      <c r="A14179" s="346"/>
    </row>
    <row r="14180" spans="1:1">
      <c r="A14180" s="346"/>
    </row>
    <row r="14181" spans="1:1">
      <c r="A14181" s="346"/>
    </row>
    <row r="14182" spans="1:1">
      <c r="A14182" s="346"/>
    </row>
    <row r="14183" spans="1:1">
      <c r="A14183" s="346"/>
    </row>
    <row r="14184" spans="1:1">
      <c r="A14184" s="346"/>
    </row>
    <row r="14185" spans="1:1">
      <c r="A14185" s="346"/>
    </row>
    <row r="14186" spans="1:1">
      <c r="A14186" s="346"/>
    </row>
    <row r="14187" spans="1:1">
      <c r="A14187" s="346"/>
    </row>
    <row r="14188" spans="1:1">
      <c r="A14188" s="346"/>
    </row>
    <row r="14189" spans="1:1">
      <c r="A14189" s="346"/>
    </row>
    <row r="14190" spans="1:1">
      <c r="A14190" s="346"/>
    </row>
    <row r="14191" spans="1:1">
      <c r="A14191" s="346"/>
    </row>
    <row r="14192" spans="1:1">
      <c r="A14192" s="346"/>
    </row>
    <row r="14193" spans="1:1">
      <c r="A14193" s="346"/>
    </row>
    <row r="14194" spans="1:1">
      <c r="A14194" s="346"/>
    </row>
    <row r="14195" spans="1:1">
      <c r="A14195" s="346"/>
    </row>
    <row r="14196" spans="1:1">
      <c r="A14196" s="346"/>
    </row>
    <row r="14197" spans="1:1">
      <c r="A14197" s="346"/>
    </row>
    <row r="14198" spans="1:1">
      <c r="A14198" s="346"/>
    </row>
    <row r="14199" spans="1:1">
      <c r="A14199" s="346"/>
    </row>
    <row r="14200" spans="1:1">
      <c r="A14200" s="346"/>
    </row>
    <row r="14201" spans="1:1">
      <c r="A14201" s="346"/>
    </row>
    <row r="14202" spans="1:1">
      <c r="A14202" s="346"/>
    </row>
    <row r="14203" spans="1:1">
      <c r="A14203" s="346"/>
    </row>
    <row r="14204" spans="1:1">
      <c r="A14204" s="346"/>
    </row>
    <row r="14205" spans="1:1">
      <c r="A14205" s="346"/>
    </row>
    <row r="14206" spans="1:1">
      <c r="A14206" s="346"/>
    </row>
    <row r="14207" spans="1:1">
      <c r="A14207" s="346"/>
    </row>
    <row r="14208" spans="1:1">
      <c r="A14208" s="346"/>
    </row>
    <row r="14209" spans="1:1">
      <c r="A14209" s="346"/>
    </row>
    <row r="14210" spans="1:1">
      <c r="A14210" s="346"/>
    </row>
    <row r="14211" spans="1:1">
      <c r="A14211" s="346"/>
    </row>
    <row r="14212" spans="1:1">
      <c r="A14212" s="346"/>
    </row>
    <row r="14213" spans="1:1">
      <c r="A14213" s="346"/>
    </row>
    <row r="14214" spans="1:1">
      <c r="A14214" s="346"/>
    </row>
    <row r="14215" spans="1:1">
      <c r="A14215" s="346"/>
    </row>
    <row r="14216" spans="1:1">
      <c r="A14216" s="346"/>
    </row>
    <row r="14217" spans="1:1">
      <c r="A14217" s="346"/>
    </row>
    <row r="14218" spans="1:1">
      <c r="A14218" s="346"/>
    </row>
    <row r="14219" spans="1:1">
      <c r="A14219" s="346"/>
    </row>
    <row r="14220" spans="1:1">
      <c r="A14220" s="346"/>
    </row>
    <row r="14221" spans="1:1">
      <c r="A14221" s="346"/>
    </row>
    <row r="14222" spans="1:1">
      <c r="A14222" s="346"/>
    </row>
    <row r="14223" spans="1:1">
      <c r="A14223" s="346"/>
    </row>
    <row r="14224" spans="1:1">
      <c r="A14224" s="346"/>
    </row>
    <row r="14225" spans="1:1">
      <c r="A14225" s="346"/>
    </row>
    <row r="14226" spans="1:1">
      <c r="A14226" s="346"/>
    </row>
    <row r="14227" spans="1:1">
      <c r="A14227" s="346"/>
    </row>
    <row r="14228" spans="1:1">
      <c r="A14228" s="346"/>
    </row>
    <row r="14229" spans="1:1">
      <c r="A14229" s="346"/>
    </row>
    <row r="14230" spans="1:1">
      <c r="A14230" s="346"/>
    </row>
    <row r="14231" spans="1:1">
      <c r="A14231" s="346"/>
    </row>
    <row r="14232" spans="1:1">
      <c r="A14232" s="346"/>
    </row>
    <row r="14233" spans="1:1">
      <c r="A14233" s="346"/>
    </row>
    <row r="14234" spans="1:1">
      <c r="A14234" s="346"/>
    </row>
    <row r="14235" spans="1:1">
      <c r="A14235" s="346"/>
    </row>
    <row r="14236" spans="1:1">
      <c r="A14236" s="346"/>
    </row>
    <row r="14237" spans="1:1">
      <c r="A14237" s="346"/>
    </row>
    <row r="14238" spans="1:1">
      <c r="A14238" s="346"/>
    </row>
    <row r="14239" spans="1:1">
      <c r="A14239" s="346"/>
    </row>
    <row r="14240" spans="1:1">
      <c r="A14240" s="346"/>
    </row>
    <row r="14241" spans="1:1">
      <c r="A14241" s="346"/>
    </row>
    <row r="14242" spans="1:1">
      <c r="A14242" s="346"/>
    </row>
    <row r="14243" spans="1:1">
      <c r="A14243" s="346"/>
    </row>
    <row r="14244" spans="1:1">
      <c r="A14244" s="346"/>
    </row>
    <row r="14245" spans="1:1">
      <c r="A14245" s="346"/>
    </row>
    <row r="14246" spans="1:1">
      <c r="A14246" s="346"/>
    </row>
    <row r="14247" spans="1:1">
      <c r="A14247" s="346"/>
    </row>
    <row r="14248" spans="1:1">
      <c r="A14248" s="346"/>
    </row>
    <row r="14249" spans="1:1">
      <c r="A14249" s="346"/>
    </row>
    <row r="14250" spans="1:1">
      <c r="A14250" s="346"/>
    </row>
    <row r="14251" spans="1:1">
      <c r="A14251" s="346"/>
    </row>
    <row r="14252" spans="1:1">
      <c r="A14252" s="346"/>
    </row>
    <row r="14253" spans="1:1">
      <c r="A14253" s="346"/>
    </row>
    <row r="14254" spans="1:1">
      <c r="A14254" s="346"/>
    </row>
    <row r="14255" spans="1:1">
      <c r="A14255" s="346"/>
    </row>
    <row r="14256" spans="1:1">
      <c r="A14256" s="346"/>
    </row>
    <row r="14257" spans="1:1">
      <c r="A14257" s="346"/>
    </row>
    <row r="14258" spans="1:1">
      <c r="A14258" s="346"/>
    </row>
    <row r="14259" spans="1:1">
      <c r="A14259" s="346"/>
    </row>
    <row r="14260" spans="1:1">
      <c r="A14260" s="346"/>
    </row>
    <row r="14261" spans="1:1">
      <c r="A14261" s="346"/>
    </row>
    <row r="14262" spans="1:1">
      <c r="A14262" s="346"/>
    </row>
    <row r="14263" spans="1:1">
      <c r="A14263" s="346"/>
    </row>
    <row r="14264" spans="1:1">
      <c r="A14264" s="346"/>
    </row>
    <row r="14265" spans="1:1">
      <c r="A14265" s="346"/>
    </row>
    <row r="14266" spans="1:1">
      <c r="A14266" s="346"/>
    </row>
    <row r="14267" spans="1:1">
      <c r="A14267" s="346"/>
    </row>
    <row r="14268" spans="1:1">
      <c r="A14268" s="346"/>
    </row>
    <row r="14269" spans="1:1">
      <c r="A14269" s="346"/>
    </row>
    <row r="14270" spans="1:1">
      <c r="A14270" s="346"/>
    </row>
    <row r="14271" spans="1:1">
      <c r="A14271" s="346"/>
    </row>
    <row r="14272" spans="1:1">
      <c r="A14272" s="346"/>
    </row>
    <row r="14273" spans="1:1">
      <c r="A14273" s="346"/>
    </row>
    <row r="14274" spans="1:1">
      <c r="A14274" s="346"/>
    </row>
    <row r="14275" spans="1:1">
      <c r="A14275" s="346"/>
    </row>
    <row r="14276" spans="1:1">
      <c r="A14276" s="346"/>
    </row>
    <row r="14277" spans="1:1">
      <c r="A14277" s="346"/>
    </row>
    <row r="14278" spans="1:1">
      <c r="A14278" s="346"/>
    </row>
    <row r="14279" spans="1:1">
      <c r="A14279" s="346"/>
    </row>
    <row r="14280" spans="1:1">
      <c r="A14280" s="346"/>
    </row>
    <row r="14281" spans="1:1">
      <c r="A14281" s="346"/>
    </row>
    <row r="14282" spans="1:1">
      <c r="A14282" s="346"/>
    </row>
    <row r="14283" spans="1:1">
      <c r="A14283" s="346"/>
    </row>
    <row r="14284" spans="1:1">
      <c r="A14284" s="346"/>
    </row>
    <row r="14285" spans="1:1">
      <c r="A14285" s="346"/>
    </row>
    <row r="14286" spans="1:1">
      <c r="A14286" s="346"/>
    </row>
    <row r="14287" spans="1:1">
      <c r="A14287" s="346"/>
    </row>
    <row r="14288" spans="1:1">
      <c r="A14288" s="346"/>
    </row>
    <row r="14289" spans="1:1">
      <c r="A14289" s="346"/>
    </row>
    <row r="14290" spans="1:1">
      <c r="A14290" s="346"/>
    </row>
    <row r="14291" spans="1:1">
      <c r="A14291" s="346"/>
    </row>
    <row r="14292" spans="1:1">
      <c r="A14292" s="346"/>
    </row>
    <row r="14293" spans="1:1">
      <c r="A14293" s="346"/>
    </row>
    <row r="14294" spans="1:1">
      <c r="A14294" s="346"/>
    </row>
    <row r="14295" spans="1:1">
      <c r="A14295" s="346"/>
    </row>
    <row r="14296" spans="1:1">
      <c r="A14296" s="346"/>
    </row>
    <row r="14297" spans="1:1">
      <c r="A14297" s="346"/>
    </row>
    <row r="14298" spans="1:1">
      <c r="A14298" s="346"/>
    </row>
    <row r="14299" spans="1:1">
      <c r="A14299" s="346"/>
    </row>
    <row r="14300" spans="1:1">
      <c r="A14300" s="346"/>
    </row>
    <row r="14301" spans="1:1">
      <c r="A14301" s="346"/>
    </row>
    <row r="14302" spans="1:1">
      <c r="A14302" s="346"/>
    </row>
    <row r="14303" spans="1:1">
      <c r="A14303" s="346"/>
    </row>
    <row r="14304" spans="1:1">
      <c r="A14304" s="346"/>
    </row>
    <row r="14305" spans="1:1">
      <c r="A14305" s="346"/>
    </row>
    <row r="14306" spans="1:1">
      <c r="A14306" s="346"/>
    </row>
    <row r="14307" spans="1:1">
      <c r="A14307" s="346"/>
    </row>
    <row r="14308" spans="1:1">
      <c r="A14308" s="346"/>
    </row>
    <row r="14309" spans="1:1">
      <c r="A14309" s="346"/>
    </row>
    <row r="14310" spans="1:1">
      <c r="A14310" s="346"/>
    </row>
    <row r="14311" spans="1:1">
      <c r="A14311" s="346"/>
    </row>
    <row r="14312" spans="1:1">
      <c r="A14312" s="346"/>
    </row>
    <row r="14313" spans="1:1">
      <c r="A14313" s="346"/>
    </row>
    <row r="14314" spans="1:1">
      <c r="A14314" s="346"/>
    </row>
    <row r="14315" spans="1:1">
      <c r="A14315" s="346"/>
    </row>
    <row r="14316" spans="1:1">
      <c r="A14316" s="346"/>
    </row>
    <row r="14317" spans="1:1">
      <c r="A14317" s="346"/>
    </row>
    <row r="14318" spans="1:1">
      <c r="A14318" s="346"/>
    </row>
    <row r="14319" spans="1:1">
      <c r="A14319" s="346"/>
    </row>
    <row r="14320" spans="1:1">
      <c r="A14320" s="346"/>
    </row>
    <row r="14321" spans="1:1">
      <c r="A14321" s="346"/>
    </row>
    <row r="14322" spans="1:1">
      <c r="A14322" s="346"/>
    </row>
    <row r="14323" spans="1:1">
      <c r="A14323" s="346"/>
    </row>
    <row r="14324" spans="1:1">
      <c r="A14324" s="346"/>
    </row>
    <row r="14325" spans="1:1">
      <c r="A14325" s="346"/>
    </row>
    <row r="14326" spans="1:1">
      <c r="A14326" s="346"/>
    </row>
    <row r="14327" spans="1:1">
      <c r="A14327" s="346"/>
    </row>
    <row r="14328" spans="1:1">
      <c r="A14328" s="346"/>
    </row>
    <row r="14329" spans="1:1">
      <c r="A14329" s="346"/>
    </row>
    <row r="14330" spans="1:1">
      <c r="A14330" s="346"/>
    </row>
    <row r="14331" spans="1:1">
      <c r="A14331" s="346"/>
    </row>
    <row r="14332" spans="1:1">
      <c r="A14332" s="346"/>
    </row>
    <row r="14333" spans="1:1">
      <c r="A14333" s="346"/>
    </row>
    <row r="14334" spans="1:1">
      <c r="A14334" s="346"/>
    </row>
    <row r="14335" spans="1:1">
      <c r="A14335" s="346"/>
    </row>
    <row r="14336" spans="1:1">
      <c r="A14336" s="346"/>
    </row>
    <row r="14337" spans="1:1">
      <c r="A14337" s="346"/>
    </row>
    <row r="14338" spans="1:1">
      <c r="A14338" s="346"/>
    </row>
    <row r="14339" spans="1:1">
      <c r="A14339" s="346"/>
    </row>
    <row r="14340" spans="1:1">
      <c r="A14340" s="346"/>
    </row>
    <row r="14341" spans="1:1">
      <c r="A14341" s="346"/>
    </row>
    <row r="14342" spans="1:1">
      <c r="A14342" s="346"/>
    </row>
    <row r="14343" spans="1:1">
      <c r="A14343" s="346"/>
    </row>
    <row r="14344" spans="1:1">
      <c r="A14344" s="346"/>
    </row>
    <row r="14345" spans="1:1">
      <c r="A14345" s="346"/>
    </row>
    <row r="14346" spans="1:1">
      <c r="A14346" s="346"/>
    </row>
    <row r="14347" spans="1:1">
      <c r="A14347" s="346"/>
    </row>
    <row r="14348" spans="1:1">
      <c r="A14348" s="346"/>
    </row>
    <row r="14349" spans="1:1">
      <c r="A14349" s="346"/>
    </row>
    <row r="14350" spans="1:1">
      <c r="A14350" s="346"/>
    </row>
    <row r="14351" spans="1:1">
      <c r="A14351" s="346"/>
    </row>
    <row r="14352" spans="1:1">
      <c r="A14352" s="346"/>
    </row>
    <row r="14353" spans="1:1">
      <c r="A14353" s="346"/>
    </row>
    <row r="14354" spans="1:1">
      <c r="A14354" s="346"/>
    </row>
    <row r="14355" spans="1:1">
      <c r="A14355" s="346"/>
    </row>
    <row r="14356" spans="1:1">
      <c r="A14356" s="346"/>
    </row>
    <row r="14357" spans="1:1">
      <c r="A14357" s="346"/>
    </row>
    <row r="14358" spans="1:1">
      <c r="A14358" s="346"/>
    </row>
    <row r="14359" spans="1:1">
      <c r="A14359" s="346"/>
    </row>
    <row r="14360" spans="1:1">
      <c r="A14360" s="346"/>
    </row>
    <row r="14361" spans="1:1">
      <c r="A14361" s="346"/>
    </row>
    <row r="14362" spans="1:1">
      <c r="A14362" s="346"/>
    </row>
    <row r="14363" spans="1:1">
      <c r="A14363" s="346"/>
    </row>
    <row r="14364" spans="1:1">
      <c r="A14364" s="346"/>
    </row>
    <row r="14365" spans="1:1">
      <c r="A14365" s="346"/>
    </row>
    <row r="14366" spans="1:1">
      <c r="A14366" s="346"/>
    </row>
    <row r="14367" spans="1:1">
      <c r="A14367" s="346"/>
    </row>
    <row r="14368" spans="1:1">
      <c r="A14368" s="346"/>
    </row>
    <row r="14369" spans="1:1">
      <c r="A14369" s="346"/>
    </row>
    <row r="14370" spans="1:1">
      <c r="A14370" s="346"/>
    </row>
    <row r="14371" spans="1:1">
      <c r="A14371" s="346"/>
    </row>
    <row r="14372" spans="1:1">
      <c r="A14372" s="346"/>
    </row>
    <row r="14373" spans="1:1">
      <c r="A14373" s="346"/>
    </row>
    <row r="14374" spans="1:1">
      <c r="A14374" s="346"/>
    </row>
    <row r="14375" spans="1:1">
      <c r="A14375" s="346"/>
    </row>
    <row r="14376" spans="1:1">
      <c r="A14376" s="346"/>
    </row>
    <row r="14377" spans="1:1">
      <c r="A14377" s="346"/>
    </row>
    <row r="14378" spans="1:1">
      <c r="A14378" s="346"/>
    </row>
    <row r="14379" spans="1:1">
      <c r="A14379" s="346"/>
    </row>
    <row r="14380" spans="1:1">
      <c r="A14380" s="346"/>
    </row>
    <row r="14381" spans="1:1">
      <c r="A14381" s="346"/>
    </row>
    <row r="14382" spans="1:1">
      <c r="A14382" s="346"/>
    </row>
    <row r="14383" spans="1:1">
      <c r="A14383" s="346"/>
    </row>
    <row r="14384" spans="1:1">
      <c r="A14384" s="346"/>
    </row>
    <row r="14385" spans="1:1">
      <c r="A14385" s="346"/>
    </row>
    <row r="14386" spans="1:1">
      <c r="A14386" s="346"/>
    </row>
    <row r="14387" spans="1:1">
      <c r="A14387" s="346"/>
    </row>
    <row r="14388" spans="1:1">
      <c r="A14388" s="346"/>
    </row>
    <row r="14389" spans="1:1">
      <c r="A14389" s="346"/>
    </row>
    <row r="14390" spans="1:1">
      <c r="A14390" s="346"/>
    </row>
    <row r="14391" spans="1:1">
      <c r="A14391" s="346"/>
    </row>
    <row r="14392" spans="1:1">
      <c r="A14392" s="346"/>
    </row>
    <row r="14393" spans="1:1">
      <c r="A14393" s="346"/>
    </row>
    <row r="14394" spans="1:1">
      <c r="A14394" s="346"/>
    </row>
    <row r="14395" spans="1:1">
      <c r="A14395" s="346"/>
    </row>
    <row r="14396" spans="1:1">
      <c r="A14396" s="346"/>
    </row>
    <row r="14397" spans="1:1">
      <c r="A14397" s="346"/>
    </row>
    <row r="14398" spans="1:1">
      <c r="A14398" s="346"/>
    </row>
    <row r="14399" spans="1:1">
      <c r="A14399" s="346"/>
    </row>
    <row r="14400" spans="1:1">
      <c r="A14400" s="346"/>
    </row>
    <row r="14401" spans="1:1">
      <c r="A14401" s="346"/>
    </row>
    <row r="14402" spans="1:1">
      <c r="A14402" s="346"/>
    </row>
    <row r="14403" spans="1:1">
      <c r="A14403" s="346"/>
    </row>
    <row r="14404" spans="1:1">
      <c r="A14404" s="346"/>
    </row>
    <row r="14405" spans="1:1">
      <c r="A14405" s="346"/>
    </row>
    <row r="14406" spans="1:1">
      <c r="A14406" s="346"/>
    </row>
    <row r="14407" spans="1:1">
      <c r="A14407" s="346"/>
    </row>
    <row r="14408" spans="1:1">
      <c r="A14408" s="346"/>
    </row>
    <row r="14409" spans="1:1">
      <c r="A14409" s="346"/>
    </row>
    <row r="14410" spans="1:1">
      <c r="A14410" s="346"/>
    </row>
    <row r="14411" spans="1:1">
      <c r="A14411" s="346"/>
    </row>
    <row r="14412" spans="1:1">
      <c r="A14412" s="346"/>
    </row>
    <row r="14413" spans="1:1">
      <c r="A14413" s="346"/>
    </row>
    <row r="14414" spans="1:1">
      <c r="A14414" s="346"/>
    </row>
    <row r="14415" spans="1:1">
      <c r="A14415" s="346"/>
    </row>
    <row r="14416" spans="1:1">
      <c r="A14416" s="346"/>
    </row>
    <row r="14417" spans="1:1">
      <c r="A14417" s="346"/>
    </row>
    <row r="14418" spans="1:1">
      <c r="A14418" s="346"/>
    </row>
    <row r="14419" spans="1:1">
      <c r="A14419" s="346"/>
    </row>
    <row r="14420" spans="1:1">
      <c r="A14420" s="346"/>
    </row>
    <row r="14421" spans="1:1">
      <c r="A14421" s="346"/>
    </row>
    <row r="14422" spans="1:1">
      <c r="A14422" s="346"/>
    </row>
    <row r="14423" spans="1:1">
      <c r="A14423" s="346"/>
    </row>
    <row r="14424" spans="1:1">
      <c r="A14424" s="346"/>
    </row>
    <row r="14425" spans="1:1">
      <c r="A14425" s="346"/>
    </row>
    <row r="14426" spans="1:1">
      <c r="A14426" s="346"/>
    </row>
    <row r="14427" spans="1:1">
      <c r="A14427" s="346"/>
    </row>
    <row r="14428" spans="1:1">
      <c r="A14428" s="346"/>
    </row>
    <row r="14429" spans="1:1">
      <c r="A14429" s="346"/>
    </row>
    <row r="14430" spans="1:1">
      <c r="A14430" s="346"/>
    </row>
    <row r="14431" spans="1:1">
      <c r="A14431" s="346"/>
    </row>
    <row r="14432" spans="1:1">
      <c r="A14432" s="346"/>
    </row>
    <row r="14433" spans="1:1">
      <c r="A14433" s="346"/>
    </row>
    <row r="14434" spans="1:1">
      <c r="A14434" s="346"/>
    </row>
    <row r="14435" spans="1:1">
      <c r="A14435" s="346"/>
    </row>
    <row r="14436" spans="1:1">
      <c r="A14436" s="346"/>
    </row>
    <row r="14437" spans="1:1">
      <c r="A14437" s="346"/>
    </row>
    <row r="14438" spans="1:1">
      <c r="A14438" s="346"/>
    </row>
    <row r="14439" spans="1:1">
      <c r="A14439" s="346"/>
    </row>
    <row r="14440" spans="1:1">
      <c r="A14440" s="346"/>
    </row>
    <row r="14441" spans="1:1">
      <c r="A14441" s="346"/>
    </row>
    <row r="14442" spans="1:1">
      <c r="A14442" s="346"/>
    </row>
    <row r="14443" spans="1:1">
      <c r="A14443" s="346"/>
    </row>
    <row r="14444" spans="1:1">
      <c r="A14444" s="346"/>
    </row>
    <row r="14445" spans="1:1">
      <c r="A14445" s="346"/>
    </row>
    <row r="14446" spans="1:1">
      <c r="A14446" s="346"/>
    </row>
    <row r="14447" spans="1:1">
      <c r="A14447" s="346"/>
    </row>
    <row r="14448" spans="1:1">
      <c r="A14448" s="346"/>
    </row>
    <row r="14449" spans="1:1">
      <c r="A14449" s="346"/>
    </row>
    <row r="14450" spans="1:1">
      <c r="A14450" s="346"/>
    </row>
    <row r="14451" spans="1:1">
      <c r="A14451" s="346"/>
    </row>
    <row r="14452" spans="1:1">
      <c r="A14452" s="346"/>
    </row>
    <row r="14453" spans="1:1">
      <c r="A14453" s="346"/>
    </row>
    <row r="14454" spans="1:1">
      <c r="A14454" s="346"/>
    </row>
    <row r="14455" spans="1:1">
      <c r="A14455" s="346"/>
    </row>
    <row r="14456" spans="1:1">
      <c r="A14456" s="346"/>
    </row>
    <row r="14457" spans="1:1">
      <c r="A14457" s="346"/>
    </row>
    <row r="14458" spans="1:1">
      <c r="A14458" s="346"/>
    </row>
    <row r="14459" spans="1:1">
      <c r="A14459" s="346"/>
    </row>
    <row r="14460" spans="1:1">
      <c r="A14460" s="346"/>
    </row>
    <row r="14461" spans="1:1">
      <c r="A14461" s="346"/>
    </row>
    <row r="14462" spans="1:1">
      <c r="A14462" s="346"/>
    </row>
    <row r="14463" spans="1:1">
      <c r="A14463" s="346"/>
    </row>
    <row r="14464" spans="1:1">
      <c r="A14464" s="346"/>
    </row>
    <row r="14465" spans="1:1">
      <c r="A14465" s="346"/>
    </row>
    <row r="14466" spans="1:1">
      <c r="A14466" s="346"/>
    </row>
    <row r="14467" spans="1:1">
      <c r="A14467" s="346"/>
    </row>
    <row r="14468" spans="1:1">
      <c r="A14468" s="346"/>
    </row>
    <row r="14469" spans="1:1">
      <c r="A14469" s="346"/>
    </row>
    <row r="14470" spans="1:1">
      <c r="A14470" s="346"/>
    </row>
    <row r="14471" spans="1:1">
      <c r="A14471" s="346"/>
    </row>
    <row r="14472" spans="1:1">
      <c r="A14472" s="346"/>
    </row>
    <row r="14473" spans="1:1">
      <c r="A14473" s="346"/>
    </row>
    <row r="14474" spans="1:1">
      <c r="A14474" s="346"/>
    </row>
    <row r="14475" spans="1:1">
      <c r="A14475" s="346"/>
    </row>
    <row r="14476" spans="1:1">
      <c r="A14476" s="346"/>
    </row>
    <row r="14477" spans="1:1">
      <c r="A14477" s="346"/>
    </row>
    <row r="14478" spans="1:1">
      <c r="A14478" s="346"/>
    </row>
    <row r="14479" spans="1:1">
      <c r="A14479" s="346"/>
    </row>
    <row r="14480" spans="1:1">
      <c r="A14480" s="346"/>
    </row>
    <row r="14481" spans="1:1">
      <c r="A14481" s="346"/>
    </row>
    <row r="14482" spans="1:1">
      <c r="A14482" s="346"/>
    </row>
    <row r="14483" spans="1:1">
      <c r="A14483" s="346"/>
    </row>
    <row r="14484" spans="1:1">
      <c r="A14484" s="346"/>
    </row>
    <row r="14485" spans="1:1">
      <c r="A14485" s="346"/>
    </row>
    <row r="14486" spans="1:1">
      <c r="A14486" s="346"/>
    </row>
    <row r="14487" spans="1:1">
      <c r="A14487" s="346"/>
    </row>
    <row r="14488" spans="1:1">
      <c r="A14488" s="346"/>
    </row>
    <row r="14489" spans="1:1">
      <c r="A14489" s="346"/>
    </row>
    <row r="14490" spans="1:1">
      <c r="A14490" s="346"/>
    </row>
    <row r="14491" spans="1:1">
      <c r="A14491" s="346"/>
    </row>
    <row r="14492" spans="1:1">
      <c r="A14492" s="346"/>
    </row>
    <row r="14493" spans="1:1">
      <c r="A14493" s="346"/>
    </row>
    <row r="14494" spans="1:1">
      <c r="A14494" s="346"/>
    </row>
    <row r="14495" spans="1:1">
      <c r="A14495" s="346"/>
    </row>
    <row r="14496" spans="1:1">
      <c r="A14496" s="346"/>
    </row>
    <row r="14497" spans="1:1">
      <c r="A14497" s="346"/>
    </row>
    <row r="14498" spans="1:1">
      <c r="A14498" s="346"/>
    </row>
    <row r="14499" spans="1:1">
      <c r="A14499" s="346"/>
    </row>
    <row r="14500" spans="1:1">
      <c r="A14500" s="346"/>
    </row>
    <row r="14501" spans="1:1">
      <c r="A14501" s="346"/>
    </row>
    <row r="14502" spans="1:1">
      <c r="A14502" s="346"/>
    </row>
    <row r="14503" spans="1:1">
      <c r="A14503" s="346"/>
    </row>
    <row r="14504" spans="1:1">
      <c r="A14504" s="346"/>
    </row>
    <row r="14505" spans="1:1">
      <c r="A14505" s="346"/>
    </row>
    <row r="14506" spans="1:1">
      <c r="A14506" s="346"/>
    </row>
    <row r="14507" spans="1:1">
      <c r="A14507" s="346"/>
    </row>
    <row r="14508" spans="1:1">
      <c r="A14508" s="346"/>
    </row>
    <row r="14509" spans="1:1">
      <c r="A14509" s="346"/>
    </row>
    <row r="14510" spans="1:1">
      <c r="A14510" s="346"/>
    </row>
    <row r="14511" spans="1:1">
      <c r="A14511" s="346"/>
    </row>
    <row r="14512" spans="1:1">
      <c r="A14512" s="346"/>
    </row>
    <row r="14513" spans="1:1">
      <c r="A14513" s="346"/>
    </row>
    <row r="14514" spans="1:1">
      <c r="A14514" s="346"/>
    </row>
    <row r="14515" spans="1:1">
      <c r="A14515" s="346"/>
    </row>
    <row r="14516" spans="1:1">
      <c r="A14516" s="346"/>
    </row>
    <row r="14517" spans="1:1">
      <c r="A14517" s="346"/>
    </row>
    <row r="14518" spans="1:1">
      <c r="A14518" s="346"/>
    </row>
    <row r="14519" spans="1:1">
      <c r="A14519" s="346"/>
    </row>
    <row r="14520" spans="1:1">
      <c r="A14520" s="346"/>
    </row>
    <row r="14521" spans="1:1">
      <c r="A14521" s="346"/>
    </row>
    <row r="14522" spans="1:1">
      <c r="A14522" s="346"/>
    </row>
    <row r="14523" spans="1:1">
      <c r="A14523" s="346"/>
    </row>
    <row r="14524" spans="1:1">
      <c r="A14524" s="346"/>
    </row>
    <row r="14525" spans="1:1">
      <c r="A14525" s="346"/>
    </row>
    <row r="14526" spans="1:1">
      <c r="A14526" s="346"/>
    </row>
    <row r="14527" spans="1:1">
      <c r="A14527" s="346"/>
    </row>
    <row r="14528" spans="1:1">
      <c r="A14528" s="346"/>
    </row>
    <row r="14529" spans="1:1">
      <c r="A14529" s="346"/>
    </row>
    <row r="14530" spans="1:1">
      <c r="A14530" s="346"/>
    </row>
    <row r="14531" spans="1:1">
      <c r="A14531" s="346"/>
    </row>
    <row r="14532" spans="1:1">
      <c r="A14532" s="346"/>
    </row>
    <row r="14533" spans="1:1">
      <c r="A14533" s="346"/>
    </row>
    <row r="14534" spans="1:1">
      <c r="A14534" s="346"/>
    </row>
    <row r="14535" spans="1:1">
      <c r="A14535" s="346"/>
    </row>
    <row r="14536" spans="1:1">
      <c r="A14536" s="346"/>
    </row>
    <row r="14537" spans="1:1">
      <c r="A14537" s="346"/>
    </row>
    <row r="14538" spans="1:1">
      <c r="A14538" s="346"/>
    </row>
    <row r="14539" spans="1:1">
      <c r="A14539" s="346"/>
    </row>
    <row r="14540" spans="1:1">
      <c r="A14540" s="346"/>
    </row>
    <row r="14541" spans="1:1">
      <c r="A14541" s="346"/>
    </row>
    <row r="14542" spans="1:1">
      <c r="A14542" s="346"/>
    </row>
    <row r="14543" spans="1:1">
      <c r="A14543" s="346"/>
    </row>
    <row r="14544" spans="1:1">
      <c r="A14544" s="346"/>
    </row>
    <row r="14545" spans="1:1">
      <c r="A14545" s="346"/>
    </row>
    <row r="14546" spans="1:1">
      <c r="A14546" s="346"/>
    </row>
    <row r="14547" spans="1:1">
      <c r="A14547" s="346"/>
    </row>
    <row r="14548" spans="1:1">
      <c r="A14548" s="346"/>
    </row>
    <row r="14549" spans="1:1">
      <c r="A14549" s="346"/>
    </row>
    <row r="14550" spans="1:1">
      <c r="A14550" s="346"/>
    </row>
    <row r="14551" spans="1:1">
      <c r="A14551" s="346"/>
    </row>
    <row r="14552" spans="1:1">
      <c r="A14552" s="346"/>
    </row>
    <row r="14553" spans="1:1">
      <c r="A14553" s="346"/>
    </row>
    <row r="14554" spans="1:1">
      <c r="A14554" s="346"/>
    </row>
    <row r="14555" spans="1:1">
      <c r="A14555" s="346"/>
    </row>
    <row r="14556" spans="1:1">
      <c r="A14556" s="346"/>
    </row>
    <row r="14557" spans="1:1">
      <c r="A14557" s="346"/>
    </row>
    <row r="14558" spans="1:1">
      <c r="A14558" s="346"/>
    </row>
    <row r="14559" spans="1:1">
      <c r="A14559" s="346"/>
    </row>
    <row r="14560" spans="1:1">
      <c r="A14560" s="346"/>
    </row>
    <row r="14561" spans="1:1">
      <c r="A14561" s="346"/>
    </row>
    <row r="14562" spans="1:1">
      <c r="A14562" s="346"/>
    </row>
    <row r="14563" spans="1:1">
      <c r="A14563" s="346"/>
    </row>
    <row r="14564" spans="1:1">
      <c r="A14564" s="346"/>
    </row>
    <row r="14565" spans="1:1">
      <c r="A14565" s="346"/>
    </row>
    <row r="14566" spans="1:1">
      <c r="A14566" s="346"/>
    </row>
    <row r="14567" spans="1:1">
      <c r="A14567" s="346"/>
    </row>
    <row r="14568" spans="1:1">
      <c r="A14568" s="346"/>
    </row>
    <row r="14569" spans="1:1">
      <c r="A14569" s="346"/>
    </row>
    <row r="14570" spans="1:1">
      <c r="A14570" s="346"/>
    </row>
    <row r="14571" spans="1:1">
      <c r="A14571" s="346"/>
    </row>
    <row r="14572" spans="1:1">
      <c r="A14572" s="346"/>
    </row>
    <row r="14573" spans="1:1">
      <c r="A14573" s="346"/>
    </row>
    <row r="14574" spans="1:1">
      <c r="A14574" s="346"/>
    </row>
    <row r="14575" spans="1:1">
      <c r="A14575" s="346"/>
    </row>
    <row r="14576" spans="1:1">
      <c r="A14576" s="346"/>
    </row>
    <row r="14577" spans="1:1">
      <c r="A14577" s="346"/>
    </row>
    <row r="14578" spans="1:1">
      <c r="A14578" s="346"/>
    </row>
    <row r="14579" spans="1:1">
      <c r="A14579" s="346"/>
    </row>
    <row r="14580" spans="1:1">
      <c r="A14580" s="346"/>
    </row>
    <row r="14581" spans="1:1">
      <c r="A14581" s="346"/>
    </row>
    <row r="14582" spans="1:1">
      <c r="A14582" s="346"/>
    </row>
    <row r="14583" spans="1:1">
      <c r="A14583" s="346"/>
    </row>
    <row r="14584" spans="1:1">
      <c r="A14584" s="346"/>
    </row>
    <row r="14585" spans="1:1">
      <c r="A14585" s="346"/>
    </row>
    <row r="14586" spans="1:1">
      <c r="A14586" s="346"/>
    </row>
    <row r="14587" spans="1:1">
      <c r="A14587" s="346"/>
    </row>
    <row r="14588" spans="1:1">
      <c r="A14588" s="346"/>
    </row>
    <row r="14589" spans="1:1">
      <c r="A14589" s="346"/>
    </row>
    <row r="14590" spans="1:1">
      <c r="A14590" s="346"/>
    </row>
    <row r="14591" spans="1:1">
      <c r="A14591" s="346"/>
    </row>
    <row r="14592" spans="1:1">
      <c r="A14592" s="346"/>
    </row>
    <row r="14593" spans="1:1">
      <c r="A14593" s="346"/>
    </row>
    <row r="14594" spans="1:1">
      <c r="A14594" s="346"/>
    </row>
    <row r="14595" spans="1:1">
      <c r="A14595" s="346"/>
    </row>
    <row r="14596" spans="1:1">
      <c r="A14596" s="346"/>
    </row>
    <row r="14597" spans="1:1">
      <c r="A14597" s="346"/>
    </row>
    <row r="14598" spans="1:1">
      <c r="A14598" s="346"/>
    </row>
    <row r="14599" spans="1:1">
      <c r="A14599" s="346"/>
    </row>
    <row r="14600" spans="1:1">
      <c r="A14600" s="346"/>
    </row>
    <row r="14601" spans="1:1">
      <c r="A14601" s="346"/>
    </row>
    <row r="14602" spans="1:1">
      <c r="A14602" s="346"/>
    </row>
    <row r="14603" spans="1:1">
      <c r="A14603" s="346"/>
    </row>
    <row r="14604" spans="1:1">
      <c r="A14604" s="346"/>
    </row>
    <row r="14605" spans="1:1">
      <c r="A14605" s="346"/>
    </row>
    <row r="14606" spans="1:1">
      <c r="A14606" s="346"/>
    </row>
    <row r="14607" spans="1:1">
      <c r="A14607" s="346"/>
    </row>
    <row r="14608" spans="1:1">
      <c r="A14608" s="346"/>
    </row>
    <row r="14609" spans="1:1">
      <c r="A14609" s="346"/>
    </row>
    <row r="14610" spans="1:1">
      <c r="A14610" s="346"/>
    </row>
    <row r="14611" spans="1:1">
      <c r="A14611" s="346"/>
    </row>
    <row r="14612" spans="1:1">
      <c r="A14612" s="346"/>
    </row>
    <row r="14613" spans="1:1">
      <c r="A14613" s="346"/>
    </row>
    <row r="14614" spans="1:1">
      <c r="A14614" s="346"/>
    </row>
    <row r="14615" spans="1:1">
      <c r="A14615" s="346"/>
    </row>
    <row r="14616" spans="1:1">
      <c r="A14616" s="346"/>
    </row>
    <row r="14617" spans="1:1">
      <c r="A14617" s="346"/>
    </row>
    <row r="14618" spans="1:1">
      <c r="A14618" s="346"/>
    </row>
    <row r="14619" spans="1:1">
      <c r="A14619" s="346"/>
    </row>
    <row r="14620" spans="1:1">
      <c r="A14620" s="346"/>
    </row>
    <row r="14621" spans="1:1">
      <c r="A14621" s="346"/>
    </row>
    <row r="14622" spans="1:1">
      <c r="A14622" s="346"/>
    </row>
    <row r="14623" spans="1:1">
      <c r="A14623" s="346"/>
    </row>
    <row r="14624" spans="1:1">
      <c r="A14624" s="346"/>
    </row>
    <row r="14625" spans="1:1">
      <c r="A14625" s="346"/>
    </row>
    <row r="14626" spans="1:1">
      <c r="A14626" s="346"/>
    </row>
    <row r="14627" spans="1:1">
      <c r="A14627" s="346"/>
    </row>
    <row r="14628" spans="1:1">
      <c r="A14628" s="346"/>
    </row>
    <row r="14629" spans="1:1">
      <c r="A14629" s="346"/>
    </row>
    <row r="14630" spans="1:1">
      <c r="A14630" s="346"/>
    </row>
    <row r="14631" spans="1:1">
      <c r="A14631" s="346"/>
    </row>
    <row r="14632" spans="1:1">
      <c r="A14632" s="346"/>
    </row>
    <row r="14633" spans="1:1">
      <c r="A14633" s="346"/>
    </row>
    <row r="14634" spans="1:1">
      <c r="A14634" s="346"/>
    </row>
    <row r="14635" spans="1:1">
      <c r="A14635" s="346"/>
    </row>
    <row r="14636" spans="1:1">
      <c r="A14636" s="346"/>
    </row>
    <row r="14637" spans="1:1">
      <c r="A14637" s="346"/>
    </row>
    <row r="14638" spans="1:1">
      <c r="A14638" s="346"/>
    </row>
    <row r="14639" spans="1:1">
      <c r="A14639" s="346"/>
    </row>
    <row r="14640" spans="1:1">
      <c r="A14640" s="346"/>
    </row>
    <row r="14641" spans="1:1">
      <c r="A14641" s="346"/>
    </row>
    <row r="14642" spans="1:1">
      <c r="A14642" s="346"/>
    </row>
    <row r="14643" spans="1:1">
      <c r="A14643" s="346"/>
    </row>
    <row r="14644" spans="1:1">
      <c r="A14644" s="346"/>
    </row>
    <row r="14645" spans="1:1">
      <c r="A14645" s="346"/>
    </row>
    <row r="14646" spans="1:1">
      <c r="A14646" s="346"/>
    </row>
    <row r="14647" spans="1:1">
      <c r="A14647" s="346"/>
    </row>
    <row r="14648" spans="1:1">
      <c r="A14648" s="346"/>
    </row>
    <row r="14649" spans="1:1">
      <c r="A14649" s="346"/>
    </row>
    <row r="14650" spans="1:1">
      <c r="A14650" s="346"/>
    </row>
    <row r="14651" spans="1:1">
      <c r="A14651" s="346"/>
    </row>
    <row r="14652" spans="1:1">
      <c r="A14652" s="346"/>
    </row>
    <row r="14653" spans="1:1">
      <c r="A14653" s="346"/>
    </row>
    <row r="14654" spans="1:1">
      <c r="A14654" s="346"/>
    </row>
    <row r="14655" spans="1:1">
      <c r="A14655" s="346"/>
    </row>
    <row r="14656" spans="1:1">
      <c r="A14656" s="346"/>
    </row>
    <row r="14657" spans="1:1">
      <c r="A14657" s="346"/>
    </row>
    <row r="14658" spans="1:1">
      <c r="A14658" s="346"/>
    </row>
    <row r="14659" spans="1:1">
      <c r="A14659" s="346"/>
    </row>
    <row r="14660" spans="1:1">
      <c r="A14660" s="346"/>
    </row>
    <row r="14661" spans="1:1">
      <c r="A14661" s="346"/>
    </row>
    <row r="14662" spans="1:1">
      <c r="A14662" s="346"/>
    </row>
    <row r="14663" spans="1:1">
      <c r="A14663" s="346"/>
    </row>
    <row r="14664" spans="1:1">
      <c r="A14664" s="346"/>
    </row>
    <row r="14665" spans="1:1">
      <c r="A14665" s="346"/>
    </row>
    <row r="14666" spans="1:1">
      <c r="A14666" s="346"/>
    </row>
    <row r="14667" spans="1:1">
      <c r="A14667" s="346"/>
    </row>
    <row r="14668" spans="1:1">
      <c r="A14668" s="346"/>
    </row>
    <row r="14669" spans="1:1">
      <c r="A14669" s="346"/>
    </row>
    <row r="14670" spans="1:1">
      <c r="A14670" s="346"/>
    </row>
    <row r="14671" spans="1:1">
      <c r="A14671" s="346"/>
    </row>
    <row r="14672" spans="1:1">
      <c r="A14672" s="346"/>
    </row>
    <row r="14673" spans="1:1">
      <c r="A14673" s="346"/>
    </row>
    <row r="14674" spans="1:1">
      <c r="A14674" s="346"/>
    </row>
    <row r="14675" spans="1:1">
      <c r="A14675" s="346"/>
    </row>
    <row r="14676" spans="1:1">
      <c r="A14676" s="346"/>
    </row>
    <row r="14677" spans="1:1">
      <c r="A14677" s="346"/>
    </row>
    <row r="14678" spans="1:1">
      <c r="A14678" s="346"/>
    </row>
    <row r="14679" spans="1:1">
      <c r="A14679" s="346"/>
    </row>
    <row r="14680" spans="1:1">
      <c r="A14680" s="346"/>
    </row>
    <row r="14681" spans="1:1">
      <c r="A14681" s="346"/>
    </row>
    <row r="14682" spans="1:1">
      <c r="A14682" s="346"/>
    </row>
    <row r="14683" spans="1:1">
      <c r="A14683" s="346"/>
    </row>
    <row r="14684" spans="1:1">
      <c r="A14684" s="346"/>
    </row>
    <row r="14685" spans="1:1">
      <c r="A14685" s="346"/>
    </row>
    <row r="14686" spans="1:1">
      <c r="A14686" s="346"/>
    </row>
    <row r="14687" spans="1:1">
      <c r="A14687" s="346"/>
    </row>
    <row r="14688" spans="1:1">
      <c r="A14688" s="346"/>
    </row>
    <row r="14689" spans="1:1">
      <c r="A14689" s="346"/>
    </row>
    <row r="14690" spans="1:1">
      <c r="A14690" s="346"/>
    </row>
    <row r="14691" spans="1:1">
      <c r="A14691" s="346"/>
    </row>
    <row r="14692" spans="1:1">
      <c r="A14692" s="346"/>
    </row>
    <row r="14693" spans="1:1">
      <c r="A14693" s="346"/>
    </row>
    <row r="14694" spans="1:1">
      <c r="A14694" s="346"/>
    </row>
    <row r="14695" spans="1:1">
      <c r="A14695" s="346"/>
    </row>
    <row r="14696" spans="1:1">
      <c r="A14696" s="346"/>
    </row>
    <row r="14697" spans="1:1">
      <c r="A14697" s="346"/>
    </row>
    <row r="14698" spans="1:1">
      <c r="A14698" s="346"/>
    </row>
    <row r="14699" spans="1:1">
      <c r="A14699" s="346"/>
    </row>
    <row r="14700" spans="1:1">
      <c r="A14700" s="346"/>
    </row>
    <row r="14701" spans="1:1">
      <c r="A14701" s="346"/>
    </row>
    <row r="14702" spans="1:1">
      <c r="A14702" s="346"/>
    </row>
    <row r="14703" spans="1:1">
      <c r="A14703" s="346"/>
    </row>
    <row r="14704" spans="1:1">
      <c r="A14704" s="346"/>
    </row>
    <row r="14705" spans="1:1">
      <c r="A14705" s="346"/>
    </row>
    <row r="14706" spans="1:1">
      <c r="A14706" s="346"/>
    </row>
    <row r="14707" spans="1:1">
      <c r="A14707" s="346"/>
    </row>
    <row r="14708" spans="1:1">
      <c r="A14708" s="346"/>
    </row>
    <row r="14709" spans="1:1">
      <c r="A14709" s="346"/>
    </row>
    <row r="14710" spans="1:1">
      <c r="A14710" s="346"/>
    </row>
    <row r="14711" spans="1:1">
      <c r="A14711" s="346"/>
    </row>
    <row r="14712" spans="1:1">
      <c r="A14712" s="346"/>
    </row>
    <row r="14713" spans="1:1">
      <c r="A14713" s="346"/>
    </row>
    <row r="14714" spans="1:1">
      <c r="A14714" s="346"/>
    </row>
    <row r="14715" spans="1:1">
      <c r="A14715" s="346"/>
    </row>
    <row r="14716" spans="1:1">
      <c r="A14716" s="346"/>
    </row>
    <row r="14717" spans="1:1">
      <c r="A14717" s="346"/>
    </row>
    <row r="14718" spans="1:1">
      <c r="A14718" s="346"/>
    </row>
    <row r="14719" spans="1:1">
      <c r="A14719" s="346"/>
    </row>
    <row r="14720" spans="1:1">
      <c r="A14720" s="346"/>
    </row>
    <row r="14721" spans="1:1">
      <c r="A14721" s="346"/>
    </row>
    <row r="14722" spans="1:1">
      <c r="A14722" s="346"/>
    </row>
    <row r="14723" spans="1:1">
      <c r="A14723" s="346"/>
    </row>
    <row r="14724" spans="1:1">
      <c r="A14724" s="346"/>
    </row>
    <row r="14725" spans="1:1">
      <c r="A14725" s="346"/>
    </row>
    <row r="14726" spans="1:1">
      <c r="A14726" s="346"/>
    </row>
    <row r="14727" spans="1:1">
      <c r="A14727" s="346"/>
    </row>
    <row r="14728" spans="1:1">
      <c r="A14728" s="346"/>
    </row>
    <row r="14729" spans="1:1">
      <c r="A14729" s="346"/>
    </row>
    <row r="14730" spans="1:1">
      <c r="A14730" s="346"/>
    </row>
    <row r="14731" spans="1:1">
      <c r="A14731" s="346"/>
    </row>
    <row r="14732" spans="1:1">
      <c r="A14732" s="346"/>
    </row>
    <row r="14733" spans="1:1">
      <c r="A14733" s="346"/>
    </row>
    <row r="14734" spans="1:1">
      <c r="A14734" s="346"/>
    </row>
    <row r="14735" spans="1:1">
      <c r="A14735" s="346"/>
    </row>
    <row r="14736" spans="1:1">
      <c r="A14736" s="346"/>
    </row>
    <row r="14737" spans="1:1">
      <c r="A14737" s="346"/>
    </row>
    <row r="14738" spans="1:1">
      <c r="A14738" s="346"/>
    </row>
    <row r="14739" spans="1:1">
      <c r="A14739" s="346"/>
    </row>
    <row r="14740" spans="1:1">
      <c r="A14740" s="346"/>
    </row>
    <row r="14741" spans="1:1">
      <c r="A14741" s="346"/>
    </row>
    <row r="14742" spans="1:1">
      <c r="A14742" s="346"/>
    </row>
    <row r="14743" spans="1:1">
      <c r="A14743" s="346"/>
    </row>
    <row r="14744" spans="1:1">
      <c r="A14744" s="346"/>
    </row>
    <row r="14745" spans="1:1">
      <c r="A14745" s="346"/>
    </row>
    <row r="14746" spans="1:1">
      <c r="A14746" s="346"/>
    </row>
    <row r="14747" spans="1:1">
      <c r="A14747" s="346"/>
    </row>
    <row r="14748" spans="1:1">
      <c r="A14748" s="346"/>
    </row>
    <row r="14749" spans="1:1">
      <c r="A14749" s="346"/>
    </row>
    <row r="14750" spans="1:1">
      <c r="A14750" s="346"/>
    </row>
    <row r="14751" spans="1:1">
      <c r="A14751" s="346"/>
    </row>
    <row r="14752" spans="1:1">
      <c r="A14752" s="346"/>
    </row>
    <row r="14753" spans="1:1">
      <c r="A14753" s="346"/>
    </row>
    <row r="14754" spans="1:1">
      <c r="A14754" s="346"/>
    </row>
    <row r="14755" spans="1:1">
      <c r="A14755" s="346"/>
    </row>
    <row r="14756" spans="1:1">
      <c r="A14756" s="346"/>
    </row>
    <row r="14757" spans="1:1">
      <c r="A14757" s="346"/>
    </row>
    <row r="14758" spans="1:1">
      <c r="A14758" s="346"/>
    </row>
    <row r="14759" spans="1:1">
      <c r="A14759" s="346"/>
    </row>
    <row r="14760" spans="1:1">
      <c r="A14760" s="346"/>
    </row>
    <row r="14761" spans="1:1">
      <c r="A14761" s="346"/>
    </row>
    <row r="14762" spans="1:1">
      <c r="A14762" s="346"/>
    </row>
    <row r="14763" spans="1:1">
      <c r="A14763" s="346"/>
    </row>
    <row r="14764" spans="1:1">
      <c r="A14764" s="346"/>
    </row>
    <row r="14765" spans="1:1">
      <c r="A14765" s="346"/>
    </row>
    <row r="14766" spans="1:1">
      <c r="A14766" s="346"/>
    </row>
    <row r="14767" spans="1:1">
      <c r="A14767" s="346"/>
    </row>
    <row r="14768" spans="1:1">
      <c r="A14768" s="346"/>
    </row>
    <row r="14769" spans="1:1">
      <c r="A14769" s="346"/>
    </row>
    <row r="14770" spans="1:1">
      <c r="A14770" s="346"/>
    </row>
    <row r="14771" spans="1:1">
      <c r="A14771" s="346"/>
    </row>
    <row r="14772" spans="1:1">
      <c r="A14772" s="346"/>
    </row>
    <row r="14773" spans="1:1">
      <c r="A14773" s="346"/>
    </row>
    <row r="14774" spans="1:1">
      <c r="A14774" s="346"/>
    </row>
    <row r="14775" spans="1:1">
      <c r="A14775" s="346"/>
    </row>
    <row r="14776" spans="1:1">
      <c r="A14776" s="346"/>
    </row>
    <row r="14777" spans="1:1">
      <c r="A14777" s="346"/>
    </row>
    <row r="14778" spans="1:1">
      <c r="A14778" s="346"/>
    </row>
    <row r="14779" spans="1:1">
      <c r="A14779" s="346"/>
    </row>
    <row r="14780" spans="1:1">
      <c r="A14780" s="346"/>
    </row>
    <row r="14781" spans="1:1">
      <c r="A14781" s="346"/>
    </row>
    <row r="14782" spans="1:1">
      <c r="A14782" s="346"/>
    </row>
    <row r="14783" spans="1:1">
      <c r="A14783" s="346"/>
    </row>
    <row r="14784" spans="1:1">
      <c r="A14784" s="346"/>
    </row>
    <row r="14785" spans="1:1">
      <c r="A14785" s="346"/>
    </row>
    <row r="14786" spans="1:1">
      <c r="A14786" s="346"/>
    </row>
    <row r="14787" spans="1:1">
      <c r="A14787" s="346"/>
    </row>
    <row r="14788" spans="1:1">
      <c r="A14788" s="346"/>
    </row>
    <row r="14789" spans="1:1">
      <c r="A14789" s="346"/>
    </row>
    <row r="14790" spans="1:1">
      <c r="A14790" s="346"/>
    </row>
    <row r="14791" spans="1:1">
      <c r="A14791" s="346"/>
    </row>
    <row r="14792" spans="1:1">
      <c r="A14792" s="346"/>
    </row>
    <row r="14793" spans="1:1">
      <c r="A14793" s="346"/>
    </row>
    <row r="14794" spans="1:1">
      <c r="A14794" s="346"/>
    </row>
    <row r="14795" spans="1:1">
      <c r="A14795" s="346"/>
    </row>
    <row r="14796" spans="1:1">
      <c r="A14796" s="346"/>
    </row>
    <row r="14797" spans="1:1">
      <c r="A14797" s="346"/>
    </row>
    <row r="14798" spans="1:1">
      <c r="A14798" s="346"/>
    </row>
    <row r="14799" spans="1:1">
      <c r="A14799" s="346"/>
    </row>
    <row r="14800" spans="1:1">
      <c r="A14800" s="346"/>
    </row>
    <row r="14801" spans="1:1">
      <c r="A14801" s="346"/>
    </row>
    <row r="14802" spans="1:1">
      <c r="A14802" s="346"/>
    </row>
    <row r="14803" spans="1:1">
      <c r="A14803" s="346"/>
    </row>
    <row r="14804" spans="1:1">
      <c r="A14804" s="346"/>
    </row>
    <row r="14805" spans="1:1">
      <c r="A14805" s="346"/>
    </row>
    <row r="14806" spans="1:1">
      <c r="A14806" s="346"/>
    </row>
    <row r="14807" spans="1:1">
      <c r="A14807" s="346"/>
    </row>
    <row r="14808" spans="1:1">
      <c r="A14808" s="346"/>
    </row>
    <row r="14809" spans="1:1">
      <c r="A14809" s="346"/>
    </row>
    <row r="14810" spans="1:1">
      <c r="A14810" s="346"/>
    </row>
    <row r="14811" spans="1:1">
      <c r="A14811" s="346"/>
    </row>
    <row r="14812" spans="1:1">
      <c r="A14812" s="346"/>
    </row>
    <row r="14813" spans="1:1">
      <c r="A14813" s="346"/>
    </row>
    <row r="14814" spans="1:1">
      <c r="A14814" s="346"/>
    </row>
    <row r="14815" spans="1:1">
      <c r="A14815" s="346"/>
    </row>
    <row r="14816" spans="1:1">
      <c r="A14816" s="346"/>
    </row>
    <row r="14817" spans="1:1">
      <c r="A14817" s="346"/>
    </row>
    <row r="14818" spans="1:1">
      <c r="A14818" s="346"/>
    </row>
    <row r="14819" spans="1:1">
      <c r="A14819" s="346"/>
    </row>
    <row r="14820" spans="1:1">
      <c r="A14820" s="346"/>
    </row>
    <row r="14821" spans="1:1">
      <c r="A14821" s="346"/>
    </row>
    <row r="14822" spans="1:1">
      <c r="A14822" s="346"/>
    </row>
    <row r="14823" spans="1:1">
      <c r="A14823" s="346"/>
    </row>
    <row r="14824" spans="1:1">
      <c r="A14824" s="346"/>
    </row>
    <row r="14825" spans="1:1">
      <c r="A14825" s="346"/>
    </row>
    <row r="14826" spans="1:1">
      <c r="A14826" s="346"/>
    </row>
    <row r="14827" spans="1:1">
      <c r="A14827" s="346"/>
    </row>
    <row r="14828" spans="1:1">
      <c r="A14828" s="346"/>
    </row>
    <row r="14829" spans="1:1">
      <c r="A14829" s="346"/>
    </row>
    <row r="14830" spans="1:1">
      <c r="A14830" s="346"/>
    </row>
    <row r="14831" spans="1:1">
      <c r="A14831" s="346"/>
    </row>
    <row r="14832" spans="1:1">
      <c r="A14832" s="346"/>
    </row>
    <row r="14833" spans="1:1">
      <c r="A14833" s="346"/>
    </row>
    <row r="14834" spans="1:1">
      <c r="A14834" s="346"/>
    </row>
    <row r="14835" spans="1:1">
      <c r="A14835" s="346"/>
    </row>
    <row r="14836" spans="1:1">
      <c r="A14836" s="346"/>
    </row>
    <row r="14837" spans="1:1">
      <c r="A14837" s="346"/>
    </row>
    <row r="14838" spans="1:1">
      <c r="A14838" s="346"/>
    </row>
    <row r="14839" spans="1:1">
      <c r="A14839" s="346"/>
    </row>
    <row r="14840" spans="1:1">
      <c r="A14840" s="346"/>
    </row>
    <row r="14841" spans="1:1">
      <c r="A14841" s="346"/>
    </row>
    <row r="14842" spans="1:1">
      <c r="A14842" s="346"/>
    </row>
    <row r="14843" spans="1:1">
      <c r="A14843" s="346"/>
    </row>
    <row r="14844" spans="1:1">
      <c r="A14844" s="346"/>
    </row>
    <row r="14845" spans="1:1">
      <c r="A14845" s="346"/>
    </row>
    <row r="14846" spans="1:1">
      <c r="A14846" s="346"/>
    </row>
    <row r="14847" spans="1:1">
      <c r="A14847" s="346"/>
    </row>
    <row r="14848" spans="1:1">
      <c r="A14848" s="346"/>
    </row>
    <row r="14849" spans="1:1">
      <c r="A14849" s="346"/>
    </row>
    <row r="14850" spans="1:1">
      <c r="A14850" s="346"/>
    </row>
    <row r="14851" spans="1:1">
      <c r="A14851" s="346"/>
    </row>
    <row r="14852" spans="1:1">
      <c r="A14852" s="346"/>
    </row>
    <row r="14853" spans="1:1">
      <c r="A14853" s="346"/>
    </row>
    <row r="14854" spans="1:1">
      <c r="A14854" s="346"/>
    </row>
    <row r="14855" spans="1:1">
      <c r="A14855" s="346"/>
    </row>
    <row r="14856" spans="1:1">
      <c r="A14856" s="346"/>
    </row>
    <row r="14857" spans="1:1">
      <c r="A14857" s="346"/>
    </row>
    <row r="14858" spans="1:1">
      <c r="A14858" s="346"/>
    </row>
    <row r="14859" spans="1:1">
      <c r="A14859" s="346"/>
    </row>
    <row r="14860" spans="1:1">
      <c r="A14860" s="346"/>
    </row>
    <row r="14861" spans="1:1">
      <c r="A14861" s="346"/>
    </row>
    <row r="14862" spans="1:1">
      <c r="A14862" s="346"/>
    </row>
    <row r="14863" spans="1:1">
      <c r="A14863" s="346"/>
    </row>
    <row r="14864" spans="1:1">
      <c r="A14864" s="346"/>
    </row>
    <row r="14865" spans="1:1">
      <c r="A14865" s="346"/>
    </row>
    <row r="14866" spans="1:1">
      <c r="A14866" s="346"/>
    </row>
    <row r="14867" spans="1:1">
      <c r="A14867" s="346"/>
    </row>
    <row r="14868" spans="1:1">
      <c r="A14868" s="346"/>
    </row>
    <row r="14869" spans="1:1">
      <c r="A14869" s="346"/>
    </row>
    <row r="14870" spans="1:1">
      <c r="A14870" s="346"/>
    </row>
    <row r="14871" spans="1:1">
      <c r="A14871" s="346"/>
    </row>
    <row r="14872" spans="1:1">
      <c r="A14872" s="346"/>
    </row>
    <row r="14873" spans="1:1">
      <c r="A14873" s="346"/>
    </row>
    <row r="14874" spans="1:1">
      <c r="A14874" s="346"/>
    </row>
    <row r="14875" spans="1:1">
      <c r="A14875" s="346"/>
    </row>
    <row r="14876" spans="1:1">
      <c r="A14876" s="346"/>
    </row>
    <row r="14877" spans="1:1">
      <c r="A14877" s="346"/>
    </row>
    <row r="14878" spans="1:1">
      <c r="A14878" s="346"/>
    </row>
    <row r="14879" spans="1:1">
      <c r="A14879" s="346"/>
    </row>
    <row r="14880" spans="1:1">
      <c r="A14880" s="346"/>
    </row>
    <row r="14881" spans="1:1">
      <c r="A14881" s="346"/>
    </row>
    <row r="14882" spans="1:1">
      <c r="A14882" s="346"/>
    </row>
    <row r="14883" spans="1:1">
      <c r="A14883" s="346"/>
    </row>
    <row r="14884" spans="1:1">
      <c r="A14884" s="346"/>
    </row>
    <row r="14885" spans="1:1">
      <c r="A14885" s="346"/>
    </row>
    <row r="14886" spans="1:1">
      <c r="A14886" s="346"/>
    </row>
    <row r="14887" spans="1:1">
      <c r="A14887" s="346"/>
    </row>
    <row r="14888" spans="1:1">
      <c r="A14888" s="346"/>
    </row>
    <row r="14889" spans="1:1">
      <c r="A14889" s="346"/>
    </row>
    <row r="14890" spans="1:1">
      <c r="A14890" s="346"/>
    </row>
    <row r="14891" spans="1:1">
      <c r="A14891" s="346"/>
    </row>
    <row r="14892" spans="1:1">
      <c r="A14892" s="346"/>
    </row>
    <row r="14893" spans="1:1">
      <c r="A14893" s="346"/>
    </row>
    <row r="14894" spans="1:1">
      <c r="A14894" s="346"/>
    </row>
    <row r="14895" spans="1:1">
      <c r="A14895" s="346"/>
    </row>
    <row r="14896" spans="1:1">
      <c r="A14896" s="346"/>
    </row>
    <row r="14897" spans="1:1">
      <c r="A14897" s="346"/>
    </row>
    <row r="14898" spans="1:1">
      <c r="A14898" s="346"/>
    </row>
    <row r="14899" spans="1:1">
      <c r="A14899" s="346"/>
    </row>
    <row r="14900" spans="1:1">
      <c r="A14900" s="346"/>
    </row>
    <row r="14901" spans="1:1">
      <c r="A14901" s="346"/>
    </row>
    <row r="14902" spans="1:1">
      <c r="A14902" s="346"/>
    </row>
    <row r="14903" spans="1:1">
      <c r="A14903" s="346"/>
    </row>
    <row r="14904" spans="1:1">
      <c r="A14904" s="346"/>
    </row>
    <row r="14905" spans="1:1">
      <c r="A14905" s="346"/>
    </row>
    <row r="14906" spans="1:1">
      <c r="A14906" s="346"/>
    </row>
    <row r="14907" spans="1:1">
      <c r="A14907" s="346"/>
    </row>
    <row r="14908" spans="1:1">
      <c r="A14908" s="346"/>
    </row>
    <row r="14909" spans="1:1">
      <c r="A14909" s="346"/>
    </row>
    <row r="14910" spans="1:1">
      <c r="A14910" s="346"/>
    </row>
    <row r="14911" spans="1:1">
      <c r="A14911" s="346"/>
    </row>
    <row r="14912" spans="1:1">
      <c r="A14912" s="346"/>
    </row>
    <row r="14913" spans="1:1">
      <c r="A14913" s="346"/>
    </row>
    <row r="14914" spans="1:1">
      <c r="A14914" s="346"/>
    </row>
    <row r="14915" spans="1:1">
      <c r="A14915" s="346"/>
    </row>
    <row r="14916" spans="1:1">
      <c r="A14916" s="346"/>
    </row>
    <row r="14917" spans="1:1">
      <c r="A14917" s="346"/>
    </row>
    <row r="14918" spans="1:1">
      <c r="A14918" s="346"/>
    </row>
    <row r="14919" spans="1:1">
      <c r="A14919" s="346"/>
    </row>
    <row r="14920" spans="1:1">
      <c r="A14920" s="346"/>
    </row>
    <row r="14921" spans="1:1">
      <c r="A14921" s="346"/>
    </row>
    <row r="14922" spans="1:1">
      <c r="A14922" s="346"/>
    </row>
    <row r="14923" spans="1:1">
      <c r="A14923" s="346"/>
    </row>
    <row r="14924" spans="1:1">
      <c r="A14924" s="346"/>
    </row>
    <row r="14925" spans="1:1">
      <c r="A14925" s="346"/>
    </row>
    <row r="14926" spans="1:1">
      <c r="A14926" s="346"/>
    </row>
    <row r="14927" spans="1:1">
      <c r="A14927" s="346"/>
    </row>
    <row r="14928" spans="1:1">
      <c r="A14928" s="346"/>
    </row>
    <row r="14929" spans="1:1">
      <c r="A14929" s="346"/>
    </row>
    <row r="14930" spans="1:1">
      <c r="A14930" s="346"/>
    </row>
    <row r="14931" spans="1:1">
      <c r="A14931" s="346"/>
    </row>
    <row r="14932" spans="1:1">
      <c r="A14932" s="346"/>
    </row>
    <row r="14933" spans="1:1">
      <c r="A14933" s="346"/>
    </row>
    <row r="14934" spans="1:1">
      <c r="A14934" s="346"/>
    </row>
    <row r="14935" spans="1:1">
      <c r="A14935" s="346"/>
    </row>
    <row r="14936" spans="1:1">
      <c r="A14936" s="346"/>
    </row>
    <row r="14937" spans="1:1">
      <c r="A14937" s="346"/>
    </row>
    <row r="14938" spans="1:1">
      <c r="A14938" s="346"/>
    </row>
    <row r="14939" spans="1:1">
      <c r="A14939" s="346"/>
    </row>
    <row r="14940" spans="1:1">
      <c r="A14940" s="346"/>
    </row>
    <row r="14941" spans="1:1">
      <c r="A14941" s="346"/>
    </row>
    <row r="14942" spans="1:1">
      <c r="A14942" s="346"/>
    </row>
    <row r="14943" spans="1:1">
      <c r="A14943" s="346"/>
    </row>
    <row r="14944" spans="1:1">
      <c r="A14944" s="346"/>
    </row>
    <row r="14945" spans="1:1">
      <c r="A14945" s="346"/>
    </row>
    <row r="14946" spans="1:1">
      <c r="A14946" s="346"/>
    </row>
    <row r="14947" spans="1:1">
      <c r="A14947" s="346"/>
    </row>
    <row r="14948" spans="1:1">
      <c r="A14948" s="346"/>
    </row>
    <row r="14949" spans="1:1">
      <c r="A14949" s="346"/>
    </row>
    <row r="14950" spans="1:1">
      <c r="A14950" s="346"/>
    </row>
    <row r="14951" spans="1:1">
      <c r="A14951" s="346"/>
    </row>
    <row r="14952" spans="1:1">
      <c r="A14952" s="346"/>
    </row>
    <row r="14953" spans="1:1">
      <c r="A14953" s="346"/>
    </row>
    <row r="14954" spans="1:1">
      <c r="A14954" s="346"/>
    </row>
    <row r="14955" spans="1:1">
      <c r="A14955" s="346"/>
    </row>
    <row r="14956" spans="1:1">
      <c r="A14956" s="346"/>
    </row>
    <row r="14957" spans="1:1">
      <c r="A14957" s="346"/>
    </row>
    <row r="14958" spans="1:1">
      <c r="A14958" s="346"/>
    </row>
    <row r="14959" spans="1:1">
      <c r="A14959" s="346"/>
    </row>
    <row r="14960" spans="1:1">
      <c r="A14960" s="346"/>
    </row>
    <row r="14961" spans="1:1">
      <c r="A14961" s="346"/>
    </row>
    <row r="14962" spans="1:1">
      <c r="A14962" s="346"/>
    </row>
    <row r="14963" spans="1:1">
      <c r="A14963" s="346"/>
    </row>
    <row r="14964" spans="1:1">
      <c r="A14964" s="346"/>
    </row>
    <row r="14965" spans="1:1">
      <c r="A14965" s="346"/>
    </row>
    <row r="14966" spans="1:1">
      <c r="A14966" s="346"/>
    </row>
    <row r="14967" spans="1:1">
      <c r="A14967" s="346"/>
    </row>
    <row r="14968" spans="1:1">
      <c r="A14968" s="346"/>
    </row>
    <row r="14969" spans="1:1">
      <c r="A14969" s="346"/>
    </row>
    <row r="14970" spans="1:1">
      <c r="A14970" s="346"/>
    </row>
    <row r="14971" spans="1:1">
      <c r="A14971" s="346"/>
    </row>
    <row r="14972" spans="1:1">
      <c r="A14972" s="346"/>
    </row>
    <row r="14973" spans="1:1">
      <c r="A14973" s="346"/>
    </row>
    <row r="14974" spans="1:1">
      <c r="A14974" s="346"/>
    </row>
    <row r="14975" spans="1:1">
      <c r="A14975" s="346"/>
    </row>
    <row r="14976" spans="1:1">
      <c r="A14976" s="346"/>
    </row>
    <row r="14977" spans="1:1">
      <c r="A14977" s="346"/>
    </row>
    <row r="14978" spans="1:1">
      <c r="A14978" s="346"/>
    </row>
    <row r="14979" spans="1:1">
      <c r="A14979" s="346"/>
    </row>
    <row r="14980" spans="1:1">
      <c r="A14980" s="346"/>
    </row>
    <row r="14981" spans="1:1">
      <c r="A14981" s="346"/>
    </row>
    <row r="14982" spans="1:1">
      <c r="A14982" s="346"/>
    </row>
    <row r="14983" spans="1:1">
      <c r="A14983" s="346"/>
    </row>
    <row r="14984" spans="1:1">
      <c r="A14984" s="346"/>
    </row>
    <row r="14985" spans="1:1">
      <c r="A14985" s="346"/>
    </row>
    <row r="14986" spans="1:1">
      <c r="A14986" s="346"/>
    </row>
    <row r="14987" spans="1:1">
      <c r="A14987" s="346"/>
    </row>
    <row r="14988" spans="1:1">
      <c r="A14988" s="346"/>
    </row>
    <row r="14989" spans="1:1">
      <c r="A14989" s="346"/>
    </row>
    <row r="14990" spans="1:1">
      <c r="A14990" s="346"/>
    </row>
    <row r="14991" spans="1:1">
      <c r="A14991" s="346"/>
    </row>
    <row r="14992" spans="1:1">
      <c r="A14992" s="346"/>
    </row>
    <row r="14993" spans="1:1">
      <c r="A14993" s="346"/>
    </row>
    <row r="14994" spans="1:1">
      <c r="A14994" s="346"/>
    </row>
    <row r="14995" spans="1:1">
      <c r="A14995" s="346"/>
    </row>
    <row r="14996" spans="1:1">
      <c r="A14996" s="346"/>
    </row>
    <row r="14997" spans="1:1">
      <c r="A14997" s="346"/>
    </row>
    <row r="14998" spans="1:1">
      <c r="A14998" s="346"/>
    </row>
    <row r="14999" spans="1:1">
      <c r="A14999" s="346"/>
    </row>
    <row r="15000" spans="1:1">
      <c r="A15000" s="346"/>
    </row>
    <row r="15001" spans="1:1">
      <c r="A15001" s="346"/>
    </row>
    <row r="15002" spans="1:1">
      <c r="A15002" s="346"/>
    </row>
    <row r="15003" spans="1:1">
      <c r="A15003" s="346"/>
    </row>
    <row r="15004" spans="1:1">
      <c r="A15004" s="346"/>
    </row>
    <row r="15005" spans="1:1">
      <c r="A15005" s="346"/>
    </row>
    <row r="15006" spans="1:1">
      <c r="A15006" s="346"/>
    </row>
    <row r="15007" spans="1:1">
      <c r="A15007" s="346"/>
    </row>
    <row r="15008" spans="1:1">
      <c r="A15008" s="346"/>
    </row>
    <row r="15009" spans="1:1">
      <c r="A15009" s="346"/>
    </row>
    <row r="15010" spans="1:1">
      <c r="A15010" s="346"/>
    </row>
    <row r="15011" spans="1:1">
      <c r="A15011" s="346"/>
    </row>
    <row r="15012" spans="1:1">
      <c r="A15012" s="346"/>
    </row>
    <row r="15013" spans="1:1">
      <c r="A15013" s="346"/>
    </row>
    <row r="15014" spans="1:1">
      <c r="A15014" s="346"/>
    </row>
    <row r="15015" spans="1:1">
      <c r="A15015" s="346"/>
    </row>
    <row r="15016" spans="1:1">
      <c r="A15016" s="346"/>
    </row>
    <row r="15017" spans="1:1">
      <c r="A15017" s="346"/>
    </row>
    <row r="15018" spans="1:1">
      <c r="A15018" s="346"/>
    </row>
    <row r="15019" spans="1:1">
      <c r="A15019" s="346"/>
    </row>
    <row r="15020" spans="1:1">
      <c r="A15020" s="346"/>
    </row>
    <row r="15021" spans="1:1">
      <c r="A15021" s="346"/>
    </row>
    <row r="15022" spans="1:1">
      <c r="A15022" s="346"/>
    </row>
    <row r="15023" spans="1:1">
      <c r="A15023" s="346"/>
    </row>
    <row r="15024" spans="1:1">
      <c r="A15024" s="346"/>
    </row>
    <row r="15025" spans="1:1">
      <c r="A15025" s="346"/>
    </row>
    <row r="15026" spans="1:1">
      <c r="A15026" s="346"/>
    </row>
    <row r="15027" spans="1:1">
      <c r="A15027" s="346"/>
    </row>
    <row r="15028" spans="1:1">
      <c r="A15028" s="346"/>
    </row>
    <row r="15029" spans="1:1">
      <c r="A15029" s="346"/>
    </row>
    <row r="15030" spans="1:1">
      <c r="A15030" s="346"/>
    </row>
    <row r="15031" spans="1:1">
      <c r="A15031" s="346"/>
    </row>
    <row r="15032" spans="1:1">
      <c r="A15032" s="346"/>
    </row>
    <row r="15033" spans="1:1">
      <c r="A15033" s="346"/>
    </row>
    <row r="15034" spans="1:1">
      <c r="A15034" s="346"/>
    </row>
    <row r="15035" spans="1:1">
      <c r="A15035" s="346"/>
    </row>
    <row r="15036" spans="1:1">
      <c r="A15036" s="346"/>
    </row>
    <row r="15037" spans="1:1">
      <c r="A15037" s="346"/>
    </row>
    <row r="15038" spans="1:1">
      <c r="A15038" s="346"/>
    </row>
    <row r="15039" spans="1:1">
      <c r="A15039" s="346"/>
    </row>
    <row r="15040" spans="1:1">
      <c r="A15040" s="346"/>
    </row>
    <row r="15041" spans="1:1">
      <c r="A15041" s="346"/>
    </row>
    <row r="15042" spans="1:1">
      <c r="A15042" s="346"/>
    </row>
    <row r="15043" spans="1:1">
      <c r="A15043" s="346"/>
    </row>
    <row r="15044" spans="1:1">
      <c r="A15044" s="346"/>
    </row>
    <row r="15045" spans="1:1">
      <c r="A15045" s="346"/>
    </row>
    <row r="15046" spans="1:1">
      <c r="A15046" s="346"/>
    </row>
    <row r="15047" spans="1:1">
      <c r="A15047" s="346"/>
    </row>
    <row r="15048" spans="1:1">
      <c r="A15048" s="346"/>
    </row>
    <row r="15049" spans="1:1">
      <c r="A15049" s="346"/>
    </row>
    <row r="15050" spans="1:1">
      <c r="A15050" s="346"/>
    </row>
    <row r="15051" spans="1:1">
      <c r="A15051" s="346"/>
    </row>
    <row r="15052" spans="1:1">
      <c r="A15052" s="346"/>
    </row>
    <row r="15053" spans="1:1">
      <c r="A15053" s="346"/>
    </row>
    <row r="15054" spans="1:1">
      <c r="A15054" s="346"/>
    </row>
    <row r="15055" spans="1:1">
      <c r="A15055" s="346"/>
    </row>
    <row r="15056" spans="1:1">
      <c r="A15056" s="346"/>
    </row>
    <row r="15057" spans="1:1">
      <c r="A15057" s="346"/>
    </row>
    <row r="15058" spans="1:1">
      <c r="A15058" s="346"/>
    </row>
    <row r="15059" spans="1:1">
      <c r="A15059" s="346"/>
    </row>
    <row r="15060" spans="1:1">
      <c r="A15060" s="346"/>
    </row>
    <row r="15061" spans="1:1">
      <c r="A15061" s="346"/>
    </row>
    <row r="15062" spans="1:1">
      <c r="A15062" s="346"/>
    </row>
    <row r="15063" spans="1:1">
      <c r="A15063" s="346"/>
    </row>
    <row r="15064" spans="1:1">
      <c r="A15064" s="346"/>
    </row>
    <row r="15065" spans="1:1">
      <c r="A15065" s="346"/>
    </row>
    <row r="15066" spans="1:1">
      <c r="A15066" s="346"/>
    </row>
    <row r="15067" spans="1:1">
      <c r="A15067" s="346"/>
    </row>
    <row r="15068" spans="1:1">
      <c r="A15068" s="346"/>
    </row>
    <row r="15069" spans="1:1">
      <c r="A15069" s="346"/>
    </row>
    <row r="15070" spans="1:1">
      <c r="A15070" s="346"/>
    </row>
    <row r="15071" spans="1:1">
      <c r="A15071" s="346"/>
    </row>
    <row r="15072" spans="1:1">
      <c r="A15072" s="346"/>
    </row>
    <row r="15073" spans="1:1">
      <c r="A15073" s="346"/>
    </row>
    <row r="15074" spans="1:1">
      <c r="A15074" s="346"/>
    </row>
    <row r="15075" spans="1:1">
      <c r="A15075" s="346"/>
    </row>
    <row r="15076" spans="1:1">
      <c r="A15076" s="346"/>
    </row>
    <row r="15077" spans="1:1">
      <c r="A15077" s="346"/>
    </row>
    <row r="15078" spans="1:1">
      <c r="A15078" s="346"/>
    </row>
    <row r="15079" spans="1:1">
      <c r="A15079" s="346"/>
    </row>
    <row r="15080" spans="1:1">
      <c r="A15080" s="346"/>
    </row>
    <row r="15081" spans="1:1">
      <c r="A15081" s="346"/>
    </row>
    <row r="15082" spans="1:1">
      <c r="A15082" s="346"/>
    </row>
    <row r="15083" spans="1:1">
      <c r="A15083" s="346"/>
    </row>
    <row r="15084" spans="1:1">
      <c r="A15084" s="346"/>
    </row>
    <row r="15085" spans="1:1">
      <c r="A15085" s="346"/>
    </row>
    <row r="15086" spans="1:1">
      <c r="A15086" s="346"/>
    </row>
    <row r="15087" spans="1:1">
      <c r="A15087" s="346"/>
    </row>
    <row r="15088" spans="1:1">
      <c r="A15088" s="346"/>
    </row>
    <row r="15089" spans="1:1">
      <c r="A15089" s="346"/>
    </row>
    <row r="15090" spans="1:1">
      <c r="A15090" s="346"/>
    </row>
    <row r="15091" spans="1:1">
      <c r="A15091" s="346"/>
    </row>
    <row r="15092" spans="1:1">
      <c r="A15092" s="346"/>
    </row>
    <row r="15093" spans="1:1">
      <c r="A15093" s="346"/>
    </row>
    <row r="15094" spans="1:1">
      <c r="A15094" s="346"/>
    </row>
    <row r="15095" spans="1:1">
      <c r="A15095" s="346"/>
    </row>
    <row r="15096" spans="1:1">
      <c r="A15096" s="346"/>
    </row>
    <row r="15097" spans="1:1">
      <c r="A15097" s="346"/>
    </row>
    <row r="15098" spans="1:1">
      <c r="A15098" s="346"/>
    </row>
    <row r="15099" spans="1:1">
      <c r="A15099" s="346"/>
    </row>
    <row r="15100" spans="1:1">
      <c r="A15100" s="346"/>
    </row>
    <row r="15101" spans="1:1">
      <c r="A15101" s="346"/>
    </row>
    <row r="15102" spans="1:1">
      <c r="A15102" s="346"/>
    </row>
    <row r="15103" spans="1:1">
      <c r="A15103" s="346"/>
    </row>
    <row r="15104" spans="1:1">
      <c r="A15104" s="346"/>
    </row>
    <row r="15105" spans="1:1">
      <c r="A15105" s="346"/>
    </row>
    <row r="15106" spans="1:1">
      <c r="A15106" s="346"/>
    </row>
    <row r="15107" spans="1:1">
      <c r="A15107" s="346"/>
    </row>
    <row r="15108" spans="1:1">
      <c r="A15108" s="346"/>
    </row>
    <row r="15109" spans="1:1">
      <c r="A15109" s="346"/>
    </row>
    <row r="15110" spans="1:1">
      <c r="A15110" s="346"/>
    </row>
    <row r="15111" spans="1:1">
      <c r="A15111" s="346"/>
    </row>
    <row r="15112" spans="1:1">
      <c r="A15112" s="346"/>
    </row>
    <row r="15113" spans="1:1">
      <c r="A15113" s="346"/>
    </row>
    <row r="15114" spans="1:1">
      <c r="A15114" s="346"/>
    </row>
    <row r="15115" spans="1:1">
      <c r="A15115" s="346"/>
    </row>
    <row r="15116" spans="1:1">
      <c r="A15116" s="346"/>
    </row>
    <row r="15117" spans="1:1">
      <c r="A15117" s="346"/>
    </row>
    <row r="15118" spans="1:1">
      <c r="A15118" s="346"/>
    </row>
    <row r="15119" spans="1:1">
      <c r="A15119" s="346"/>
    </row>
    <row r="15120" spans="1:1">
      <c r="A15120" s="346"/>
    </row>
    <row r="15121" spans="1:1">
      <c r="A15121" s="346"/>
    </row>
    <row r="15122" spans="1:1">
      <c r="A15122" s="346"/>
    </row>
    <row r="15123" spans="1:1">
      <c r="A15123" s="346"/>
    </row>
    <row r="15124" spans="1:1">
      <c r="A15124" s="346"/>
    </row>
    <row r="15125" spans="1:1">
      <c r="A15125" s="346"/>
    </row>
    <row r="15126" spans="1:1">
      <c r="A15126" s="346"/>
    </row>
    <row r="15127" spans="1:1">
      <c r="A15127" s="346"/>
    </row>
    <row r="15128" spans="1:1">
      <c r="A15128" s="346"/>
    </row>
    <row r="15129" spans="1:1">
      <c r="A15129" s="346"/>
    </row>
    <row r="15130" spans="1:1">
      <c r="A15130" s="346"/>
    </row>
    <row r="15131" spans="1:1">
      <c r="A15131" s="346"/>
    </row>
    <row r="15132" spans="1:1">
      <c r="A15132" s="346"/>
    </row>
    <row r="15133" spans="1:1">
      <c r="A15133" s="346"/>
    </row>
    <row r="15134" spans="1:1">
      <c r="A15134" s="346"/>
    </row>
    <row r="15135" spans="1:1">
      <c r="A15135" s="346"/>
    </row>
    <row r="15136" spans="1:1">
      <c r="A15136" s="346"/>
    </row>
    <row r="15137" spans="1:1">
      <c r="A15137" s="346"/>
    </row>
    <row r="15138" spans="1:1">
      <c r="A15138" s="346"/>
    </row>
    <row r="15139" spans="1:1">
      <c r="A15139" s="346"/>
    </row>
    <row r="15140" spans="1:1">
      <c r="A15140" s="346"/>
    </row>
    <row r="15141" spans="1:1">
      <c r="A15141" s="346"/>
    </row>
    <row r="15142" spans="1:1">
      <c r="A15142" s="346"/>
    </row>
    <row r="15143" spans="1:1">
      <c r="A15143" s="346"/>
    </row>
    <row r="15144" spans="1:1">
      <c r="A15144" s="346"/>
    </row>
    <row r="15145" spans="1:1">
      <c r="A15145" s="346"/>
    </row>
    <row r="15146" spans="1:1">
      <c r="A15146" s="346"/>
    </row>
    <row r="15147" spans="1:1">
      <c r="A15147" s="346"/>
    </row>
    <row r="15148" spans="1:1">
      <c r="A15148" s="346"/>
    </row>
    <row r="15149" spans="1:1">
      <c r="A15149" s="346"/>
    </row>
    <row r="15150" spans="1:1">
      <c r="A15150" s="346"/>
    </row>
    <row r="15151" spans="1:1">
      <c r="A15151" s="346"/>
    </row>
    <row r="15152" spans="1:1">
      <c r="A15152" s="346"/>
    </row>
    <row r="15153" spans="1:1">
      <c r="A15153" s="346"/>
    </row>
    <row r="15154" spans="1:1">
      <c r="A15154" s="346"/>
    </row>
    <row r="15155" spans="1:1">
      <c r="A15155" s="346"/>
    </row>
    <row r="15156" spans="1:1">
      <c r="A15156" s="346"/>
    </row>
    <row r="15157" spans="1:1">
      <c r="A15157" s="346"/>
    </row>
    <row r="15158" spans="1:1">
      <c r="A15158" s="346"/>
    </row>
    <row r="15159" spans="1:1">
      <c r="A15159" s="346"/>
    </row>
    <row r="15160" spans="1:1">
      <c r="A15160" s="346"/>
    </row>
    <row r="15161" spans="1:1">
      <c r="A15161" s="346"/>
    </row>
    <row r="15162" spans="1:1">
      <c r="A15162" s="346"/>
    </row>
    <row r="15163" spans="1:1">
      <c r="A15163" s="346"/>
    </row>
    <row r="15164" spans="1:1">
      <c r="A15164" s="346"/>
    </row>
    <row r="15165" spans="1:1">
      <c r="A15165" s="346"/>
    </row>
    <row r="15166" spans="1:1">
      <c r="A15166" s="346"/>
    </row>
    <row r="15167" spans="1:1">
      <c r="A15167" s="346"/>
    </row>
    <row r="15168" spans="1:1">
      <c r="A15168" s="346"/>
    </row>
    <row r="15169" spans="1:1">
      <c r="A15169" s="346"/>
    </row>
    <row r="15170" spans="1:1">
      <c r="A15170" s="346"/>
    </row>
    <row r="15171" spans="1:1">
      <c r="A15171" s="346"/>
    </row>
    <row r="15172" spans="1:1">
      <c r="A15172" s="346"/>
    </row>
    <row r="15173" spans="1:1">
      <c r="A15173" s="346"/>
    </row>
    <row r="15174" spans="1:1">
      <c r="A15174" s="346"/>
    </row>
    <row r="15175" spans="1:1">
      <c r="A15175" s="346"/>
    </row>
    <row r="15176" spans="1:1">
      <c r="A15176" s="346"/>
    </row>
    <row r="15177" spans="1:1">
      <c r="A15177" s="346"/>
    </row>
    <row r="15178" spans="1:1">
      <c r="A15178" s="346"/>
    </row>
    <row r="15179" spans="1:1">
      <c r="A15179" s="346"/>
    </row>
    <row r="15180" spans="1:1">
      <c r="A15180" s="346"/>
    </row>
    <row r="15181" spans="1:1">
      <c r="A15181" s="346"/>
    </row>
    <row r="15182" spans="1:1">
      <c r="A15182" s="346"/>
    </row>
    <row r="15183" spans="1:1">
      <c r="A15183" s="346"/>
    </row>
    <row r="15184" spans="1:1">
      <c r="A15184" s="346"/>
    </row>
    <row r="15185" spans="1:1">
      <c r="A15185" s="346"/>
    </row>
    <row r="15186" spans="1:1">
      <c r="A15186" s="346"/>
    </row>
    <row r="15187" spans="1:1">
      <c r="A15187" s="346"/>
    </row>
    <row r="15188" spans="1:1">
      <c r="A15188" s="346"/>
    </row>
    <row r="15189" spans="1:1">
      <c r="A15189" s="346"/>
    </row>
    <row r="15190" spans="1:1">
      <c r="A15190" s="346"/>
    </row>
    <row r="15191" spans="1:1">
      <c r="A15191" s="346"/>
    </row>
    <row r="15192" spans="1:1">
      <c r="A15192" s="346"/>
    </row>
    <row r="15193" spans="1:1">
      <c r="A15193" s="346"/>
    </row>
    <row r="15194" spans="1:1">
      <c r="A15194" s="346"/>
    </row>
    <row r="15195" spans="1:1">
      <c r="A15195" s="346"/>
    </row>
    <row r="15196" spans="1:1">
      <c r="A15196" s="346"/>
    </row>
    <row r="15197" spans="1:1">
      <c r="A15197" s="346"/>
    </row>
    <row r="15198" spans="1:1">
      <c r="A15198" s="346"/>
    </row>
    <row r="15199" spans="1:1">
      <c r="A15199" s="346"/>
    </row>
    <row r="15200" spans="1:1">
      <c r="A15200" s="346"/>
    </row>
    <row r="15201" spans="1:1">
      <c r="A15201" s="346"/>
    </row>
    <row r="15202" spans="1:1">
      <c r="A15202" s="346"/>
    </row>
    <row r="15203" spans="1:1">
      <c r="A15203" s="346"/>
    </row>
    <row r="15204" spans="1:1">
      <c r="A15204" s="346"/>
    </row>
    <row r="15205" spans="1:1">
      <c r="A15205" s="346"/>
    </row>
    <row r="15206" spans="1:1">
      <c r="A15206" s="346"/>
    </row>
    <row r="15207" spans="1:1">
      <c r="A15207" s="346"/>
    </row>
    <row r="15208" spans="1:1">
      <c r="A15208" s="346"/>
    </row>
    <row r="15209" spans="1:1">
      <c r="A15209" s="346"/>
    </row>
    <row r="15210" spans="1:1">
      <c r="A15210" s="346"/>
    </row>
    <row r="15211" spans="1:1">
      <c r="A15211" s="346"/>
    </row>
    <row r="15212" spans="1:1">
      <c r="A15212" s="346"/>
    </row>
    <row r="15213" spans="1:1">
      <c r="A15213" s="346"/>
    </row>
    <row r="15214" spans="1:1">
      <c r="A15214" s="346"/>
    </row>
    <row r="15215" spans="1:1">
      <c r="A15215" s="346"/>
    </row>
    <row r="15216" spans="1:1">
      <c r="A15216" s="346"/>
    </row>
    <row r="15217" spans="1:1">
      <c r="A15217" s="346"/>
    </row>
    <row r="15218" spans="1:1">
      <c r="A15218" s="346"/>
    </row>
    <row r="15219" spans="1:1">
      <c r="A15219" s="346"/>
    </row>
    <row r="15220" spans="1:1">
      <c r="A15220" s="346"/>
    </row>
    <row r="15221" spans="1:1">
      <c r="A15221" s="346"/>
    </row>
    <row r="15222" spans="1:1">
      <c r="A15222" s="346"/>
    </row>
    <row r="15223" spans="1:1">
      <c r="A15223" s="346"/>
    </row>
    <row r="15224" spans="1:1">
      <c r="A15224" s="346"/>
    </row>
    <row r="15225" spans="1:1">
      <c r="A15225" s="346"/>
    </row>
    <row r="15226" spans="1:1">
      <c r="A15226" s="346"/>
    </row>
    <row r="15227" spans="1:1">
      <c r="A15227" s="346"/>
    </row>
    <row r="15228" spans="1:1">
      <c r="A15228" s="346"/>
    </row>
    <row r="15229" spans="1:1">
      <c r="A15229" s="346"/>
    </row>
    <row r="15230" spans="1:1">
      <c r="A15230" s="346"/>
    </row>
    <row r="15231" spans="1:1">
      <c r="A15231" s="346"/>
    </row>
    <row r="15232" spans="1:1">
      <c r="A15232" s="346"/>
    </row>
    <row r="15233" spans="1:1">
      <c r="A15233" s="346"/>
    </row>
    <row r="15234" spans="1:1">
      <c r="A15234" s="346"/>
    </row>
    <row r="15235" spans="1:1">
      <c r="A15235" s="346"/>
    </row>
    <row r="15236" spans="1:1">
      <c r="A15236" s="346"/>
    </row>
    <row r="15237" spans="1:1">
      <c r="A15237" s="346"/>
    </row>
    <row r="15238" spans="1:1">
      <c r="A15238" s="346"/>
    </row>
    <row r="15239" spans="1:1">
      <c r="A15239" s="346"/>
    </row>
    <row r="15240" spans="1:1">
      <c r="A15240" s="346"/>
    </row>
    <row r="15241" spans="1:1">
      <c r="A15241" s="346"/>
    </row>
    <row r="15242" spans="1:1">
      <c r="A15242" s="346"/>
    </row>
    <row r="15243" spans="1:1">
      <c r="A15243" s="346"/>
    </row>
    <row r="15244" spans="1:1">
      <c r="A15244" s="346"/>
    </row>
    <row r="15245" spans="1:1">
      <c r="A15245" s="346"/>
    </row>
    <row r="15246" spans="1:1">
      <c r="A15246" s="346"/>
    </row>
    <row r="15247" spans="1:1">
      <c r="A15247" s="346"/>
    </row>
    <row r="15248" spans="1:1">
      <c r="A15248" s="346"/>
    </row>
    <row r="15249" spans="1:1">
      <c r="A15249" s="346"/>
    </row>
    <row r="15250" spans="1:1">
      <c r="A15250" s="346"/>
    </row>
    <row r="15251" spans="1:1">
      <c r="A15251" s="346"/>
    </row>
    <row r="15252" spans="1:1">
      <c r="A15252" s="346"/>
    </row>
    <row r="15253" spans="1:1">
      <c r="A15253" s="346"/>
    </row>
    <row r="15254" spans="1:1">
      <c r="A15254" s="346"/>
    </row>
    <row r="15255" spans="1:1">
      <c r="A15255" s="346"/>
    </row>
    <row r="15256" spans="1:1">
      <c r="A15256" s="346"/>
    </row>
    <row r="15257" spans="1:1">
      <c r="A15257" s="346"/>
    </row>
    <row r="15258" spans="1:1">
      <c r="A15258" s="346"/>
    </row>
    <row r="15259" spans="1:1">
      <c r="A15259" s="346"/>
    </row>
    <row r="15260" spans="1:1">
      <c r="A15260" s="346"/>
    </row>
    <row r="15261" spans="1:1">
      <c r="A15261" s="346"/>
    </row>
    <row r="15262" spans="1:1">
      <c r="A15262" s="346"/>
    </row>
    <row r="15263" spans="1:1">
      <c r="A15263" s="346"/>
    </row>
    <row r="15264" spans="1:1">
      <c r="A15264" s="346"/>
    </row>
    <row r="15265" spans="1:1">
      <c r="A15265" s="346"/>
    </row>
    <row r="15266" spans="1:1">
      <c r="A15266" s="346"/>
    </row>
    <row r="15267" spans="1:1">
      <c r="A15267" s="346"/>
    </row>
    <row r="15268" spans="1:1">
      <c r="A15268" s="346"/>
    </row>
    <row r="15269" spans="1:1">
      <c r="A15269" s="346"/>
    </row>
    <row r="15270" spans="1:1">
      <c r="A15270" s="346"/>
    </row>
    <row r="15271" spans="1:1">
      <c r="A15271" s="346"/>
    </row>
    <row r="15272" spans="1:1">
      <c r="A15272" s="346"/>
    </row>
    <row r="15273" spans="1:1">
      <c r="A15273" s="346"/>
    </row>
    <row r="15274" spans="1:1">
      <c r="A15274" s="346"/>
    </row>
    <row r="15275" spans="1:1">
      <c r="A15275" s="346"/>
    </row>
    <row r="15276" spans="1:1">
      <c r="A15276" s="346"/>
    </row>
    <row r="15277" spans="1:1">
      <c r="A15277" s="346"/>
    </row>
    <row r="15278" spans="1:1">
      <c r="A15278" s="346"/>
    </row>
    <row r="15279" spans="1:1">
      <c r="A15279" s="346"/>
    </row>
    <row r="15280" spans="1:1">
      <c r="A15280" s="346"/>
    </row>
    <row r="15281" spans="1:1">
      <c r="A15281" s="346"/>
    </row>
    <row r="15282" spans="1:1">
      <c r="A15282" s="346"/>
    </row>
    <row r="15283" spans="1:1">
      <c r="A15283" s="346"/>
    </row>
    <row r="15284" spans="1:1">
      <c r="A15284" s="346"/>
    </row>
    <row r="15285" spans="1:1">
      <c r="A15285" s="346"/>
    </row>
    <row r="15286" spans="1:1">
      <c r="A15286" s="346"/>
    </row>
    <row r="15287" spans="1:1">
      <c r="A15287" s="346"/>
    </row>
    <row r="15288" spans="1:1">
      <c r="A15288" s="346"/>
    </row>
    <row r="15289" spans="1:1">
      <c r="A15289" s="346"/>
    </row>
    <row r="15290" spans="1:1">
      <c r="A15290" s="346"/>
    </row>
    <row r="15291" spans="1:1">
      <c r="A15291" s="346"/>
    </row>
    <row r="15292" spans="1:1">
      <c r="A15292" s="346"/>
    </row>
    <row r="15293" spans="1:1">
      <c r="A15293" s="346"/>
    </row>
    <row r="15294" spans="1:1">
      <c r="A15294" s="346"/>
    </row>
    <row r="15295" spans="1:1">
      <c r="A15295" s="346"/>
    </row>
    <row r="15296" spans="1:1">
      <c r="A15296" s="346"/>
    </row>
    <row r="15297" spans="1:1">
      <c r="A15297" s="346"/>
    </row>
    <row r="15298" spans="1:1">
      <c r="A15298" s="346"/>
    </row>
    <row r="15299" spans="1:1">
      <c r="A15299" s="346"/>
    </row>
    <row r="15300" spans="1:1">
      <c r="A15300" s="346"/>
    </row>
    <row r="15301" spans="1:1">
      <c r="A15301" s="346"/>
    </row>
    <row r="15302" spans="1:1">
      <c r="A15302" s="346"/>
    </row>
    <row r="15303" spans="1:1">
      <c r="A15303" s="346"/>
    </row>
    <row r="15304" spans="1:1">
      <c r="A15304" s="346"/>
    </row>
    <row r="15305" spans="1:1">
      <c r="A15305" s="346"/>
    </row>
    <row r="15306" spans="1:1">
      <c r="A15306" s="346"/>
    </row>
    <row r="15307" spans="1:1">
      <c r="A15307" s="346"/>
    </row>
    <row r="15308" spans="1:1">
      <c r="A15308" s="346"/>
    </row>
    <row r="15309" spans="1:1">
      <c r="A15309" s="346"/>
    </row>
    <row r="15310" spans="1:1">
      <c r="A15310" s="346"/>
    </row>
    <row r="15311" spans="1:1">
      <c r="A15311" s="346"/>
    </row>
    <row r="15312" spans="1:1">
      <c r="A15312" s="346"/>
    </row>
    <row r="15313" spans="1:1">
      <c r="A15313" s="346"/>
    </row>
    <row r="15314" spans="1:1">
      <c r="A15314" s="346"/>
    </row>
    <row r="15315" spans="1:1">
      <c r="A15315" s="346"/>
    </row>
    <row r="15316" spans="1:1">
      <c r="A15316" s="346"/>
    </row>
    <row r="15317" spans="1:1">
      <c r="A15317" s="346"/>
    </row>
    <row r="15318" spans="1:1">
      <c r="A15318" s="346"/>
    </row>
    <row r="15319" spans="1:1">
      <c r="A15319" s="346"/>
    </row>
    <row r="15320" spans="1:1">
      <c r="A15320" s="346"/>
    </row>
    <row r="15321" spans="1:1">
      <c r="A15321" s="346"/>
    </row>
    <row r="15322" spans="1:1">
      <c r="A15322" s="346"/>
    </row>
    <row r="15323" spans="1:1">
      <c r="A15323" s="346"/>
    </row>
    <row r="15324" spans="1:1">
      <c r="A15324" s="346"/>
    </row>
    <row r="15325" spans="1:1">
      <c r="A15325" s="346"/>
    </row>
    <row r="15326" spans="1:1">
      <c r="A15326" s="346"/>
    </row>
    <row r="15327" spans="1:1">
      <c r="A15327" s="346"/>
    </row>
    <row r="15328" spans="1:1">
      <c r="A15328" s="346"/>
    </row>
    <row r="15329" spans="1:1">
      <c r="A15329" s="346"/>
    </row>
    <row r="15330" spans="1:1">
      <c r="A15330" s="346"/>
    </row>
    <row r="15331" spans="1:1">
      <c r="A15331" s="346"/>
    </row>
    <row r="15332" spans="1:1">
      <c r="A15332" s="346"/>
    </row>
    <row r="15333" spans="1:1">
      <c r="A15333" s="346"/>
    </row>
    <row r="15334" spans="1:1">
      <c r="A15334" s="346"/>
    </row>
    <row r="15335" spans="1:1">
      <c r="A15335" s="346"/>
    </row>
    <row r="15336" spans="1:1">
      <c r="A15336" s="346"/>
    </row>
    <row r="15337" spans="1:1">
      <c r="A15337" s="346"/>
    </row>
    <row r="15338" spans="1:1">
      <c r="A15338" s="346"/>
    </row>
    <row r="15339" spans="1:1">
      <c r="A15339" s="346"/>
    </row>
    <row r="15340" spans="1:1">
      <c r="A15340" s="346"/>
    </row>
    <row r="15341" spans="1:1">
      <c r="A15341" s="346"/>
    </row>
    <row r="15342" spans="1:1">
      <c r="A15342" s="346"/>
    </row>
    <row r="15343" spans="1:1">
      <c r="A15343" s="346"/>
    </row>
    <row r="15344" spans="1:1">
      <c r="A15344" s="346"/>
    </row>
    <row r="15345" spans="1:1">
      <c r="A15345" s="346"/>
    </row>
    <row r="15346" spans="1:1">
      <c r="A15346" s="346"/>
    </row>
    <row r="15347" spans="1:1">
      <c r="A15347" s="346"/>
    </row>
    <row r="15348" spans="1:1">
      <c r="A15348" s="346"/>
    </row>
    <row r="15349" spans="1:1">
      <c r="A15349" s="346"/>
    </row>
    <row r="15350" spans="1:1">
      <c r="A15350" s="346"/>
    </row>
    <row r="15351" spans="1:1">
      <c r="A15351" s="346"/>
    </row>
    <row r="15352" spans="1:1">
      <c r="A15352" s="346"/>
    </row>
    <row r="15353" spans="1:1">
      <c r="A15353" s="346"/>
    </row>
    <row r="15354" spans="1:1">
      <c r="A15354" s="346"/>
    </row>
    <row r="15355" spans="1:1">
      <c r="A15355" s="346"/>
    </row>
    <row r="15356" spans="1:1">
      <c r="A15356" s="346"/>
    </row>
    <row r="15357" spans="1:1">
      <c r="A15357" s="346"/>
    </row>
    <row r="15358" spans="1:1">
      <c r="A15358" s="346"/>
    </row>
    <row r="15359" spans="1:1">
      <c r="A15359" s="346"/>
    </row>
    <row r="15360" spans="1:1">
      <c r="A15360" s="346"/>
    </row>
    <row r="15361" spans="1:1">
      <c r="A15361" s="346"/>
    </row>
    <row r="15362" spans="1:1">
      <c r="A15362" s="346"/>
    </row>
    <row r="15363" spans="1:1">
      <c r="A15363" s="346"/>
    </row>
    <row r="15364" spans="1:1">
      <c r="A15364" s="346"/>
    </row>
    <row r="15365" spans="1:1">
      <c r="A15365" s="346"/>
    </row>
    <row r="15366" spans="1:1">
      <c r="A15366" s="346"/>
    </row>
    <row r="15367" spans="1:1">
      <c r="A15367" s="346"/>
    </row>
    <row r="15368" spans="1:1">
      <c r="A15368" s="346"/>
    </row>
    <row r="15369" spans="1:1">
      <c r="A15369" s="346"/>
    </row>
    <row r="15370" spans="1:1">
      <c r="A15370" s="346"/>
    </row>
    <row r="15371" spans="1:1">
      <c r="A15371" s="346"/>
    </row>
    <row r="15372" spans="1:1">
      <c r="A15372" s="346"/>
    </row>
    <row r="15373" spans="1:1">
      <c r="A15373" s="346"/>
    </row>
    <row r="15374" spans="1:1">
      <c r="A15374" s="346"/>
    </row>
    <row r="15375" spans="1:1">
      <c r="A15375" s="346"/>
    </row>
    <row r="15376" spans="1:1">
      <c r="A15376" s="346"/>
    </row>
    <row r="15377" spans="1:1">
      <c r="A15377" s="346"/>
    </row>
    <row r="15378" spans="1:1">
      <c r="A15378" s="346"/>
    </row>
    <row r="15379" spans="1:1">
      <c r="A15379" s="346"/>
    </row>
    <row r="15380" spans="1:1">
      <c r="A15380" s="346"/>
    </row>
    <row r="15381" spans="1:1">
      <c r="A15381" s="346"/>
    </row>
    <row r="15382" spans="1:1">
      <c r="A15382" s="346"/>
    </row>
    <row r="15383" spans="1:1">
      <c r="A15383" s="346"/>
    </row>
    <row r="15384" spans="1:1">
      <c r="A15384" s="346"/>
    </row>
    <row r="15385" spans="1:1">
      <c r="A15385" s="346"/>
    </row>
    <row r="15386" spans="1:1">
      <c r="A15386" s="346"/>
    </row>
    <row r="15387" spans="1:1">
      <c r="A15387" s="346"/>
    </row>
    <row r="15388" spans="1:1">
      <c r="A15388" s="346"/>
    </row>
    <row r="15389" spans="1:1">
      <c r="A15389" s="346"/>
    </row>
    <row r="15390" spans="1:1">
      <c r="A15390" s="346"/>
    </row>
    <row r="15391" spans="1:1">
      <c r="A15391" s="346"/>
    </row>
    <row r="15392" spans="1:1">
      <c r="A15392" s="346"/>
    </row>
    <row r="15393" spans="1:1">
      <c r="A15393" s="346"/>
    </row>
    <row r="15394" spans="1:1">
      <c r="A15394" s="346"/>
    </row>
    <row r="15395" spans="1:1">
      <c r="A15395" s="346"/>
    </row>
    <row r="15396" spans="1:1">
      <c r="A15396" s="346"/>
    </row>
    <row r="15397" spans="1:1">
      <c r="A15397" s="346"/>
    </row>
    <row r="15398" spans="1:1">
      <c r="A15398" s="346"/>
    </row>
    <row r="15399" spans="1:1">
      <c r="A15399" s="346"/>
    </row>
    <row r="15400" spans="1:1">
      <c r="A15400" s="346"/>
    </row>
    <row r="15401" spans="1:1">
      <c r="A15401" s="346"/>
    </row>
    <row r="15402" spans="1:1">
      <c r="A15402" s="346"/>
    </row>
    <row r="15403" spans="1:1">
      <c r="A15403" s="346"/>
    </row>
    <row r="15404" spans="1:1">
      <c r="A15404" s="346"/>
    </row>
    <row r="15405" spans="1:1">
      <c r="A15405" s="346"/>
    </row>
    <row r="15406" spans="1:1">
      <c r="A15406" s="346"/>
    </row>
    <row r="15407" spans="1:1">
      <c r="A15407" s="346"/>
    </row>
    <row r="15408" spans="1:1">
      <c r="A15408" s="346"/>
    </row>
    <row r="15409" spans="1:1">
      <c r="A15409" s="346"/>
    </row>
    <row r="15410" spans="1:1">
      <c r="A15410" s="346"/>
    </row>
    <row r="15411" spans="1:1">
      <c r="A15411" s="346"/>
    </row>
    <row r="15412" spans="1:1">
      <c r="A15412" s="346"/>
    </row>
    <row r="15413" spans="1:1">
      <c r="A15413" s="346"/>
    </row>
    <row r="15414" spans="1:1">
      <c r="A15414" s="346"/>
    </row>
    <row r="15415" spans="1:1">
      <c r="A15415" s="346"/>
    </row>
    <row r="15416" spans="1:1">
      <c r="A15416" s="346"/>
    </row>
    <row r="15417" spans="1:1">
      <c r="A15417" s="346"/>
    </row>
    <row r="15418" spans="1:1">
      <c r="A15418" s="346"/>
    </row>
    <row r="15419" spans="1:1">
      <c r="A15419" s="346"/>
    </row>
    <row r="15420" spans="1:1">
      <c r="A15420" s="346"/>
    </row>
    <row r="15421" spans="1:1">
      <c r="A15421" s="346"/>
    </row>
    <row r="15422" spans="1:1">
      <c r="A15422" s="346"/>
    </row>
    <row r="15423" spans="1:1">
      <c r="A15423" s="346"/>
    </row>
    <row r="15424" spans="1:1">
      <c r="A15424" s="346"/>
    </row>
    <row r="15425" spans="1:1">
      <c r="A15425" s="346"/>
    </row>
    <row r="15426" spans="1:1">
      <c r="A15426" s="346"/>
    </row>
    <row r="15427" spans="1:1">
      <c r="A15427" s="346"/>
    </row>
    <row r="15428" spans="1:1">
      <c r="A15428" s="346"/>
    </row>
    <row r="15429" spans="1:1">
      <c r="A15429" s="346"/>
    </row>
    <row r="15430" spans="1:1">
      <c r="A15430" s="346"/>
    </row>
    <row r="15431" spans="1:1">
      <c r="A15431" s="346"/>
    </row>
    <row r="15432" spans="1:1">
      <c r="A15432" s="346"/>
    </row>
    <row r="15433" spans="1:1">
      <c r="A15433" s="346"/>
    </row>
    <row r="15434" spans="1:1">
      <c r="A15434" s="346"/>
    </row>
    <row r="15435" spans="1:1">
      <c r="A15435" s="346"/>
    </row>
    <row r="15436" spans="1:1">
      <c r="A15436" s="346"/>
    </row>
    <row r="15437" spans="1:1">
      <c r="A15437" s="346"/>
    </row>
    <row r="15438" spans="1:1">
      <c r="A15438" s="346"/>
    </row>
    <row r="15439" spans="1:1">
      <c r="A15439" s="346"/>
    </row>
    <row r="15440" spans="1:1">
      <c r="A15440" s="346"/>
    </row>
    <row r="15441" spans="1:1">
      <c r="A15441" s="346"/>
    </row>
    <row r="15442" spans="1:1">
      <c r="A15442" s="346"/>
    </row>
    <row r="15443" spans="1:1">
      <c r="A15443" s="346"/>
    </row>
    <row r="15444" spans="1:1">
      <c r="A15444" s="346"/>
    </row>
    <row r="15445" spans="1:1">
      <c r="A15445" s="346"/>
    </row>
    <row r="15446" spans="1:1">
      <c r="A15446" s="346"/>
    </row>
    <row r="15447" spans="1:1">
      <c r="A15447" s="346"/>
    </row>
    <row r="15448" spans="1:1">
      <c r="A15448" s="346"/>
    </row>
    <row r="15449" spans="1:1">
      <c r="A15449" s="346"/>
    </row>
    <row r="15450" spans="1:1">
      <c r="A15450" s="346"/>
    </row>
    <row r="15451" spans="1:1">
      <c r="A15451" s="346"/>
    </row>
    <row r="15452" spans="1:1">
      <c r="A15452" s="346"/>
    </row>
    <row r="15453" spans="1:1">
      <c r="A15453" s="346"/>
    </row>
    <row r="15454" spans="1:1">
      <c r="A15454" s="346"/>
    </row>
    <row r="15455" spans="1:1">
      <c r="A15455" s="346"/>
    </row>
    <row r="15456" spans="1:1">
      <c r="A15456" s="346"/>
    </row>
    <row r="15457" spans="1:1">
      <c r="A15457" s="346"/>
    </row>
    <row r="15458" spans="1:1">
      <c r="A15458" s="346"/>
    </row>
    <row r="15459" spans="1:1">
      <c r="A15459" s="346"/>
    </row>
    <row r="15460" spans="1:1">
      <c r="A15460" s="346"/>
    </row>
    <row r="15461" spans="1:1">
      <c r="A15461" s="346"/>
    </row>
    <row r="15462" spans="1:1">
      <c r="A15462" s="346"/>
    </row>
    <row r="15463" spans="1:1">
      <c r="A15463" s="346"/>
    </row>
    <row r="15464" spans="1:1">
      <c r="A15464" s="346"/>
    </row>
    <row r="15465" spans="1:1">
      <c r="A15465" s="346"/>
    </row>
    <row r="15466" spans="1:1">
      <c r="A15466" s="346"/>
    </row>
    <row r="15467" spans="1:1">
      <c r="A15467" s="346"/>
    </row>
    <row r="15468" spans="1:1">
      <c r="A15468" s="346"/>
    </row>
    <row r="15469" spans="1:1">
      <c r="A15469" s="346"/>
    </row>
    <row r="15470" spans="1:1">
      <c r="A15470" s="346"/>
    </row>
    <row r="15471" spans="1:1">
      <c r="A15471" s="346"/>
    </row>
    <row r="15472" spans="1:1">
      <c r="A15472" s="346"/>
    </row>
    <row r="15473" spans="1:1">
      <c r="A15473" s="346"/>
    </row>
    <row r="15474" spans="1:1">
      <c r="A15474" s="346"/>
    </row>
    <row r="15475" spans="1:1">
      <c r="A15475" s="346"/>
    </row>
    <row r="15476" spans="1:1">
      <c r="A15476" s="346"/>
    </row>
    <row r="15477" spans="1:1">
      <c r="A15477" s="346"/>
    </row>
    <row r="15478" spans="1:1">
      <c r="A15478" s="346"/>
    </row>
    <row r="15479" spans="1:1">
      <c r="A15479" s="346"/>
    </row>
    <row r="15480" spans="1:1">
      <c r="A15480" s="346"/>
    </row>
    <row r="15481" spans="1:1">
      <c r="A15481" s="346"/>
    </row>
    <row r="15482" spans="1:1">
      <c r="A15482" s="346"/>
    </row>
    <row r="15483" spans="1:1">
      <c r="A15483" s="346"/>
    </row>
    <row r="15484" spans="1:1">
      <c r="A15484" s="346"/>
    </row>
    <row r="15485" spans="1:1">
      <c r="A15485" s="346"/>
    </row>
    <row r="15486" spans="1:1">
      <c r="A15486" s="346"/>
    </row>
    <row r="15487" spans="1:1">
      <c r="A15487" s="346"/>
    </row>
    <row r="15488" spans="1:1">
      <c r="A15488" s="346"/>
    </row>
    <row r="15489" spans="1:1">
      <c r="A15489" s="346"/>
    </row>
    <row r="15490" spans="1:1">
      <c r="A15490" s="346"/>
    </row>
    <row r="15491" spans="1:1">
      <c r="A15491" s="346"/>
    </row>
    <row r="15492" spans="1:1">
      <c r="A15492" s="346"/>
    </row>
    <row r="15493" spans="1:1">
      <c r="A15493" s="346"/>
    </row>
    <row r="15494" spans="1:1">
      <c r="A15494" s="346"/>
    </row>
    <row r="15495" spans="1:1">
      <c r="A15495" s="346"/>
    </row>
    <row r="15496" spans="1:1">
      <c r="A15496" s="346"/>
    </row>
    <row r="15497" spans="1:1">
      <c r="A15497" s="346"/>
    </row>
    <row r="15498" spans="1:1">
      <c r="A15498" s="346"/>
    </row>
    <row r="15499" spans="1:1">
      <c r="A15499" s="346"/>
    </row>
    <row r="15500" spans="1:1">
      <c r="A15500" s="346"/>
    </row>
    <row r="15501" spans="1:1">
      <c r="A15501" s="346"/>
    </row>
    <row r="15502" spans="1:1">
      <c r="A15502" s="346"/>
    </row>
    <row r="15503" spans="1:1">
      <c r="A15503" s="346"/>
    </row>
    <row r="15504" spans="1:1">
      <c r="A15504" s="346"/>
    </row>
    <row r="15505" spans="1:1">
      <c r="A15505" s="346"/>
    </row>
    <row r="15506" spans="1:1">
      <c r="A15506" s="346"/>
    </row>
    <row r="15507" spans="1:1">
      <c r="A15507" s="346"/>
    </row>
    <row r="15508" spans="1:1">
      <c r="A15508" s="346"/>
    </row>
    <row r="15509" spans="1:1">
      <c r="A15509" s="346"/>
    </row>
    <row r="15510" spans="1:1">
      <c r="A15510" s="346"/>
    </row>
    <row r="15511" spans="1:1">
      <c r="A15511" s="346"/>
    </row>
    <row r="15512" spans="1:1">
      <c r="A15512" s="346"/>
    </row>
    <row r="15513" spans="1:1">
      <c r="A15513" s="346"/>
    </row>
    <row r="15514" spans="1:1">
      <c r="A15514" s="346"/>
    </row>
    <row r="15515" spans="1:1">
      <c r="A15515" s="346"/>
    </row>
    <row r="15516" spans="1:1">
      <c r="A15516" s="346"/>
    </row>
    <row r="15517" spans="1:1">
      <c r="A15517" s="346"/>
    </row>
    <row r="15518" spans="1:1">
      <c r="A15518" s="346"/>
    </row>
    <row r="15519" spans="1:1">
      <c r="A15519" s="346"/>
    </row>
    <row r="15520" spans="1:1">
      <c r="A15520" s="346"/>
    </row>
    <row r="15521" spans="1:1">
      <c r="A15521" s="346"/>
    </row>
    <row r="15522" spans="1:1">
      <c r="A15522" s="346"/>
    </row>
    <row r="15523" spans="1:1">
      <c r="A15523" s="346"/>
    </row>
    <row r="15524" spans="1:1">
      <c r="A15524" s="346"/>
    </row>
    <row r="15525" spans="1:1">
      <c r="A15525" s="346"/>
    </row>
    <row r="15526" spans="1:1">
      <c r="A15526" s="346"/>
    </row>
    <row r="15527" spans="1:1">
      <c r="A15527" s="346"/>
    </row>
    <row r="15528" spans="1:1">
      <c r="A15528" s="346"/>
    </row>
    <row r="15529" spans="1:1">
      <c r="A15529" s="346"/>
    </row>
    <row r="15530" spans="1:1">
      <c r="A15530" s="346"/>
    </row>
    <row r="15531" spans="1:1">
      <c r="A15531" s="346"/>
    </row>
    <row r="15532" spans="1:1">
      <c r="A15532" s="346"/>
    </row>
    <row r="15533" spans="1:1">
      <c r="A15533" s="346"/>
    </row>
    <row r="15534" spans="1:1">
      <c r="A15534" s="346"/>
    </row>
    <row r="15535" spans="1:1">
      <c r="A15535" s="346"/>
    </row>
    <row r="15536" spans="1:1">
      <c r="A15536" s="346"/>
    </row>
    <row r="15537" spans="1:1">
      <c r="A15537" s="346"/>
    </row>
    <row r="15538" spans="1:1">
      <c r="A15538" s="346"/>
    </row>
    <row r="15539" spans="1:1">
      <c r="A15539" s="346"/>
    </row>
    <row r="15540" spans="1:1">
      <c r="A15540" s="346"/>
    </row>
    <row r="15541" spans="1:1">
      <c r="A15541" s="346"/>
    </row>
    <row r="15542" spans="1:1">
      <c r="A15542" s="346"/>
    </row>
    <row r="15543" spans="1:1">
      <c r="A15543" s="346"/>
    </row>
    <row r="15544" spans="1:1">
      <c r="A15544" s="346"/>
    </row>
    <row r="15545" spans="1:1">
      <c r="A15545" s="346"/>
    </row>
    <row r="15546" spans="1:1">
      <c r="A15546" s="346"/>
    </row>
    <row r="15547" spans="1:1">
      <c r="A15547" s="346"/>
    </row>
    <row r="15548" spans="1:1">
      <c r="A15548" s="346"/>
    </row>
    <row r="15549" spans="1:1">
      <c r="A15549" s="346"/>
    </row>
    <row r="15550" spans="1:1">
      <c r="A15550" s="346"/>
    </row>
    <row r="15551" spans="1:1">
      <c r="A15551" s="346"/>
    </row>
    <row r="15552" spans="1:1">
      <c r="A15552" s="346"/>
    </row>
    <row r="15553" spans="1:1">
      <c r="A15553" s="346"/>
    </row>
    <row r="15554" spans="1:1">
      <c r="A15554" s="346"/>
    </row>
    <row r="15555" spans="1:1">
      <c r="A15555" s="346"/>
    </row>
    <row r="15556" spans="1:1">
      <c r="A15556" s="346"/>
    </row>
    <row r="15557" spans="1:1">
      <c r="A15557" s="346"/>
    </row>
    <row r="15558" spans="1:1">
      <c r="A15558" s="346"/>
    </row>
    <row r="15559" spans="1:1">
      <c r="A15559" s="346"/>
    </row>
    <row r="15560" spans="1:1">
      <c r="A15560" s="346"/>
    </row>
    <row r="15561" spans="1:1">
      <c r="A15561" s="346"/>
    </row>
    <row r="15562" spans="1:1">
      <c r="A15562" s="346"/>
    </row>
    <row r="15563" spans="1:1">
      <c r="A15563" s="346"/>
    </row>
    <row r="15564" spans="1:1">
      <c r="A15564" s="346"/>
    </row>
    <row r="15565" spans="1:1">
      <c r="A15565" s="346"/>
    </row>
    <row r="15566" spans="1:1">
      <c r="A15566" s="346"/>
    </row>
    <row r="15567" spans="1:1">
      <c r="A15567" s="346"/>
    </row>
    <row r="15568" spans="1:1">
      <c r="A15568" s="346"/>
    </row>
    <row r="15569" spans="1:1">
      <c r="A15569" s="346"/>
    </row>
    <row r="15570" spans="1:1">
      <c r="A15570" s="346"/>
    </row>
    <row r="15571" spans="1:1">
      <c r="A15571" s="346"/>
    </row>
    <row r="15572" spans="1:1">
      <c r="A15572" s="346"/>
    </row>
    <row r="15573" spans="1:1">
      <c r="A15573" s="346"/>
    </row>
    <row r="15574" spans="1:1">
      <c r="A15574" s="346"/>
    </row>
    <row r="15575" spans="1:1">
      <c r="A15575" s="346"/>
    </row>
    <row r="15576" spans="1:1">
      <c r="A15576" s="346"/>
    </row>
    <row r="15577" spans="1:1">
      <c r="A15577" s="346"/>
    </row>
    <row r="15578" spans="1:1">
      <c r="A15578" s="346"/>
    </row>
    <row r="15579" spans="1:1">
      <c r="A15579" s="346"/>
    </row>
    <row r="15580" spans="1:1">
      <c r="A15580" s="346"/>
    </row>
    <row r="15581" spans="1:1">
      <c r="A15581" s="346"/>
    </row>
    <row r="15582" spans="1:1">
      <c r="A15582" s="346"/>
    </row>
    <row r="15583" spans="1:1">
      <c r="A15583" s="346"/>
    </row>
    <row r="15584" spans="1:1">
      <c r="A15584" s="346"/>
    </row>
    <row r="15585" spans="1:1">
      <c r="A15585" s="346"/>
    </row>
    <row r="15586" spans="1:1">
      <c r="A15586" s="346"/>
    </row>
    <row r="15587" spans="1:1">
      <c r="A15587" s="346"/>
    </row>
    <row r="15588" spans="1:1">
      <c r="A15588" s="346"/>
    </row>
    <row r="15589" spans="1:1">
      <c r="A15589" s="346"/>
    </row>
    <row r="15590" spans="1:1">
      <c r="A15590" s="346"/>
    </row>
    <row r="15591" spans="1:1">
      <c r="A15591" s="346"/>
    </row>
    <row r="15592" spans="1:1">
      <c r="A15592" s="346"/>
    </row>
    <row r="15593" spans="1:1">
      <c r="A15593" s="346"/>
    </row>
    <row r="15594" spans="1:1">
      <c r="A15594" s="346"/>
    </row>
    <row r="15595" spans="1:1">
      <c r="A15595" s="346"/>
    </row>
    <row r="15596" spans="1:1">
      <c r="A15596" s="346"/>
    </row>
    <row r="15597" spans="1:1">
      <c r="A15597" s="346"/>
    </row>
    <row r="15598" spans="1:1">
      <c r="A15598" s="346"/>
    </row>
    <row r="15599" spans="1:1">
      <c r="A15599" s="346"/>
    </row>
    <row r="15600" spans="1:1">
      <c r="A15600" s="346"/>
    </row>
    <row r="15601" spans="1:1">
      <c r="A15601" s="346"/>
    </row>
    <row r="15602" spans="1:1">
      <c r="A15602" s="346"/>
    </row>
    <row r="15603" spans="1:1">
      <c r="A15603" s="346"/>
    </row>
    <row r="15604" spans="1:1">
      <c r="A15604" s="346"/>
    </row>
    <row r="15605" spans="1:1">
      <c r="A15605" s="346"/>
    </row>
    <row r="15606" spans="1:1">
      <c r="A15606" s="346"/>
    </row>
    <row r="15607" spans="1:1">
      <c r="A15607" s="346"/>
    </row>
    <row r="15608" spans="1:1">
      <c r="A15608" s="346"/>
    </row>
    <row r="15609" spans="1:1">
      <c r="A15609" s="346"/>
    </row>
    <row r="15610" spans="1:1">
      <c r="A15610" s="346"/>
    </row>
    <row r="15611" spans="1:1">
      <c r="A15611" s="346"/>
    </row>
    <row r="15612" spans="1:1">
      <c r="A15612" s="346"/>
    </row>
    <row r="15613" spans="1:1">
      <c r="A15613" s="346"/>
    </row>
    <row r="15614" spans="1:1">
      <c r="A15614" s="346"/>
    </row>
    <row r="15615" spans="1:1">
      <c r="A15615" s="346"/>
    </row>
    <row r="15616" spans="1:1">
      <c r="A15616" s="346"/>
    </row>
    <row r="15617" spans="1:1">
      <c r="A15617" s="346"/>
    </row>
    <row r="15618" spans="1:1">
      <c r="A15618" s="346"/>
    </row>
    <row r="15619" spans="1:1">
      <c r="A15619" s="346"/>
    </row>
    <row r="15620" spans="1:1">
      <c r="A15620" s="346"/>
    </row>
    <row r="15621" spans="1:1">
      <c r="A15621" s="346"/>
    </row>
    <row r="15622" spans="1:1">
      <c r="A15622" s="346"/>
    </row>
    <row r="15623" spans="1:1">
      <c r="A15623" s="346"/>
    </row>
    <row r="15624" spans="1:1">
      <c r="A15624" s="346"/>
    </row>
    <row r="15625" spans="1:1">
      <c r="A15625" s="346"/>
    </row>
    <row r="15626" spans="1:1">
      <c r="A15626" s="346"/>
    </row>
    <row r="15627" spans="1:1">
      <c r="A15627" s="346"/>
    </row>
    <row r="15628" spans="1:1">
      <c r="A15628" s="346"/>
    </row>
    <row r="15629" spans="1:1">
      <c r="A15629" s="346"/>
    </row>
    <row r="15630" spans="1:1">
      <c r="A15630" s="346"/>
    </row>
    <row r="15631" spans="1:1">
      <c r="A15631" s="346"/>
    </row>
    <row r="15632" spans="1:1">
      <c r="A15632" s="346"/>
    </row>
    <row r="15633" spans="1:1">
      <c r="A15633" s="346"/>
    </row>
    <row r="15634" spans="1:1">
      <c r="A15634" s="346"/>
    </row>
    <row r="15635" spans="1:1">
      <c r="A15635" s="346"/>
    </row>
    <row r="15636" spans="1:1">
      <c r="A15636" s="346"/>
    </row>
    <row r="15637" spans="1:1">
      <c r="A15637" s="346"/>
    </row>
    <row r="15638" spans="1:1">
      <c r="A15638" s="346"/>
    </row>
    <row r="15639" spans="1:1">
      <c r="A15639" s="346"/>
    </row>
    <row r="15640" spans="1:1">
      <c r="A15640" s="346"/>
    </row>
    <row r="15641" spans="1:1">
      <c r="A15641" s="346"/>
    </row>
    <row r="15642" spans="1:1">
      <c r="A15642" s="346"/>
    </row>
    <row r="15643" spans="1:1">
      <c r="A15643" s="346"/>
    </row>
    <row r="15644" spans="1:1">
      <c r="A15644" s="346"/>
    </row>
    <row r="15645" spans="1:1">
      <c r="A15645" s="346"/>
    </row>
    <row r="15646" spans="1:1">
      <c r="A15646" s="346"/>
    </row>
    <row r="15647" spans="1:1">
      <c r="A15647" s="346"/>
    </row>
    <row r="15648" spans="1:1">
      <c r="A15648" s="346"/>
    </row>
    <row r="15649" spans="1:1">
      <c r="A15649" s="346"/>
    </row>
    <row r="15650" spans="1:1">
      <c r="A15650" s="346"/>
    </row>
    <row r="15651" spans="1:1">
      <c r="A15651" s="346"/>
    </row>
    <row r="15652" spans="1:1">
      <c r="A15652" s="346"/>
    </row>
    <row r="15653" spans="1:1">
      <c r="A15653" s="346"/>
    </row>
    <row r="15654" spans="1:1">
      <c r="A15654" s="346"/>
    </row>
    <row r="15655" spans="1:1">
      <c r="A15655" s="346"/>
    </row>
    <row r="15656" spans="1:1">
      <c r="A15656" s="346"/>
    </row>
    <row r="15657" spans="1:1">
      <c r="A15657" s="346"/>
    </row>
    <row r="15658" spans="1:1">
      <c r="A15658" s="346"/>
    </row>
    <row r="15659" spans="1:1">
      <c r="A15659" s="346"/>
    </row>
    <row r="15660" spans="1:1">
      <c r="A15660" s="346"/>
    </row>
    <row r="15661" spans="1:1">
      <c r="A15661" s="346"/>
    </row>
    <row r="15662" spans="1:1">
      <c r="A15662" s="346"/>
    </row>
    <row r="15663" spans="1:1">
      <c r="A15663" s="346"/>
    </row>
    <row r="15664" spans="1:1">
      <c r="A15664" s="346"/>
    </row>
    <row r="15665" spans="1:1">
      <c r="A15665" s="346"/>
    </row>
    <row r="15666" spans="1:1">
      <c r="A15666" s="346"/>
    </row>
    <row r="15667" spans="1:1">
      <c r="A15667" s="346"/>
    </row>
    <row r="15668" spans="1:1">
      <c r="A15668" s="346"/>
    </row>
    <row r="15669" spans="1:1">
      <c r="A15669" s="346"/>
    </row>
    <row r="15670" spans="1:1">
      <c r="A15670" s="346"/>
    </row>
    <row r="15671" spans="1:1">
      <c r="A15671" s="346"/>
    </row>
    <row r="15672" spans="1:1">
      <c r="A15672" s="346"/>
    </row>
    <row r="15673" spans="1:1">
      <c r="A15673" s="346"/>
    </row>
    <row r="15674" spans="1:1">
      <c r="A15674" s="346"/>
    </row>
    <row r="15675" spans="1:1">
      <c r="A15675" s="346"/>
    </row>
    <row r="15676" spans="1:1">
      <c r="A15676" s="346"/>
    </row>
    <row r="15677" spans="1:1">
      <c r="A15677" s="346"/>
    </row>
    <row r="15678" spans="1:1">
      <c r="A15678" s="346"/>
    </row>
    <row r="15679" spans="1:1">
      <c r="A15679" s="346"/>
    </row>
    <row r="15680" spans="1:1">
      <c r="A15680" s="346"/>
    </row>
    <row r="15681" spans="1:1">
      <c r="A15681" s="346"/>
    </row>
    <row r="15682" spans="1:1">
      <c r="A15682" s="346"/>
    </row>
    <row r="15683" spans="1:1">
      <c r="A15683" s="346"/>
    </row>
    <row r="15684" spans="1:1">
      <c r="A15684" s="346"/>
    </row>
    <row r="15685" spans="1:1">
      <c r="A15685" s="346"/>
    </row>
    <row r="15686" spans="1:1">
      <c r="A15686" s="346"/>
    </row>
    <row r="15687" spans="1:1">
      <c r="A15687" s="346"/>
    </row>
    <row r="15688" spans="1:1">
      <c r="A15688" s="346"/>
    </row>
    <row r="15689" spans="1:1">
      <c r="A15689" s="346"/>
    </row>
    <row r="15690" spans="1:1">
      <c r="A15690" s="346"/>
    </row>
    <row r="15691" spans="1:1">
      <c r="A15691" s="346"/>
    </row>
    <row r="15692" spans="1:1">
      <c r="A15692" s="346"/>
    </row>
    <row r="15693" spans="1:1">
      <c r="A15693" s="346"/>
    </row>
    <row r="15694" spans="1:1">
      <c r="A15694" s="346"/>
    </row>
    <row r="15695" spans="1:1">
      <c r="A15695" s="346"/>
    </row>
    <row r="15696" spans="1:1">
      <c r="A15696" s="346"/>
    </row>
    <row r="15697" spans="1:1">
      <c r="A15697" s="346"/>
    </row>
    <row r="15698" spans="1:1">
      <c r="A15698" s="346"/>
    </row>
    <row r="15699" spans="1:1">
      <c r="A15699" s="346"/>
    </row>
    <row r="15700" spans="1:1">
      <c r="A15700" s="346"/>
    </row>
    <row r="15701" spans="1:1">
      <c r="A15701" s="346"/>
    </row>
    <row r="15702" spans="1:1">
      <c r="A15702" s="346"/>
    </row>
    <row r="15703" spans="1:1">
      <c r="A15703" s="346"/>
    </row>
    <row r="15704" spans="1:1">
      <c r="A15704" s="346"/>
    </row>
    <row r="15705" spans="1:1">
      <c r="A15705" s="346"/>
    </row>
    <row r="15706" spans="1:1">
      <c r="A15706" s="346"/>
    </row>
    <row r="15707" spans="1:1">
      <c r="A15707" s="346"/>
    </row>
    <row r="15708" spans="1:1">
      <c r="A15708" s="346"/>
    </row>
    <row r="15709" spans="1:1">
      <c r="A15709" s="346"/>
    </row>
    <row r="15710" spans="1:1">
      <c r="A15710" s="346"/>
    </row>
    <row r="15711" spans="1:1">
      <c r="A15711" s="346"/>
    </row>
    <row r="15712" spans="1:1">
      <c r="A15712" s="346"/>
    </row>
    <row r="15713" spans="1:1">
      <c r="A15713" s="346"/>
    </row>
    <row r="15714" spans="1:1">
      <c r="A15714" s="346"/>
    </row>
    <row r="15715" spans="1:1">
      <c r="A15715" s="346"/>
    </row>
    <row r="15716" spans="1:1">
      <c r="A15716" s="346"/>
    </row>
    <row r="15717" spans="1:1">
      <c r="A15717" s="346"/>
    </row>
    <row r="15718" spans="1:1">
      <c r="A15718" s="346"/>
    </row>
    <row r="15719" spans="1:1">
      <c r="A15719" s="346"/>
    </row>
    <row r="15720" spans="1:1">
      <c r="A15720" s="346"/>
    </row>
    <row r="15721" spans="1:1">
      <c r="A15721" s="346"/>
    </row>
    <row r="15722" spans="1:1">
      <c r="A15722" s="346"/>
    </row>
    <row r="15723" spans="1:1">
      <c r="A15723" s="346"/>
    </row>
    <row r="15724" spans="1:1">
      <c r="A15724" s="346"/>
    </row>
    <row r="15725" spans="1:1">
      <c r="A15725" s="346"/>
    </row>
    <row r="15726" spans="1:1">
      <c r="A15726" s="346"/>
    </row>
    <row r="15727" spans="1:1">
      <c r="A15727" s="346"/>
    </row>
    <row r="15728" spans="1:1">
      <c r="A15728" s="346"/>
    </row>
    <row r="15729" spans="1:1">
      <c r="A15729" s="346"/>
    </row>
    <row r="15730" spans="1:1">
      <c r="A15730" s="346"/>
    </row>
    <row r="15731" spans="1:1">
      <c r="A15731" s="346"/>
    </row>
    <row r="15732" spans="1:1">
      <c r="A15732" s="346"/>
    </row>
    <row r="15733" spans="1:1">
      <c r="A15733" s="346"/>
    </row>
    <row r="15734" spans="1:1">
      <c r="A15734" s="346"/>
    </row>
    <row r="15735" spans="1:1">
      <c r="A15735" s="346"/>
    </row>
    <row r="15736" spans="1:1">
      <c r="A15736" s="346"/>
    </row>
    <row r="15737" spans="1:1">
      <c r="A15737" s="346"/>
    </row>
    <row r="15738" spans="1:1">
      <c r="A15738" s="346"/>
    </row>
    <row r="15739" spans="1:1">
      <c r="A15739" s="346"/>
    </row>
    <row r="15740" spans="1:1">
      <c r="A15740" s="346"/>
    </row>
    <row r="15741" spans="1:1">
      <c r="A15741" s="346"/>
    </row>
    <row r="15742" spans="1:1">
      <c r="A15742" s="346"/>
    </row>
    <row r="15743" spans="1:1">
      <c r="A15743" s="346"/>
    </row>
    <row r="15744" spans="1:1">
      <c r="A15744" s="346"/>
    </row>
    <row r="15745" spans="1:1">
      <c r="A15745" s="346"/>
    </row>
    <row r="15746" spans="1:1">
      <c r="A15746" s="346"/>
    </row>
    <row r="15747" spans="1:1">
      <c r="A15747" s="346"/>
    </row>
    <row r="15748" spans="1:1">
      <c r="A15748" s="346"/>
    </row>
    <row r="15749" spans="1:1">
      <c r="A15749" s="346"/>
    </row>
    <row r="15750" spans="1:1">
      <c r="A15750" s="346"/>
    </row>
    <row r="15751" spans="1:1">
      <c r="A15751" s="346"/>
    </row>
    <row r="15752" spans="1:1">
      <c r="A15752" s="346"/>
    </row>
    <row r="15753" spans="1:1">
      <c r="A15753" s="346"/>
    </row>
    <row r="15754" spans="1:1">
      <c r="A15754" s="346"/>
    </row>
    <row r="15755" spans="1:1">
      <c r="A15755" s="346"/>
    </row>
    <row r="15756" spans="1:1">
      <c r="A15756" s="346"/>
    </row>
    <row r="15757" spans="1:1">
      <c r="A15757" s="346"/>
    </row>
    <row r="15758" spans="1:1">
      <c r="A15758" s="346"/>
    </row>
    <row r="15759" spans="1:1">
      <c r="A15759" s="346"/>
    </row>
    <row r="15760" spans="1:1">
      <c r="A15760" s="346"/>
    </row>
    <row r="15761" spans="1:1">
      <c r="A15761" s="346"/>
    </row>
    <row r="15762" spans="1:1">
      <c r="A15762" s="346"/>
    </row>
    <row r="15763" spans="1:1">
      <c r="A15763" s="346"/>
    </row>
    <row r="15764" spans="1:1">
      <c r="A15764" s="346"/>
    </row>
    <row r="15765" spans="1:1">
      <c r="A15765" s="346"/>
    </row>
    <row r="15766" spans="1:1">
      <c r="A15766" s="346"/>
    </row>
    <row r="15767" spans="1:1">
      <c r="A15767" s="346"/>
    </row>
    <row r="15768" spans="1:1">
      <c r="A15768" s="346"/>
    </row>
    <row r="15769" spans="1:1">
      <c r="A15769" s="346"/>
    </row>
    <row r="15770" spans="1:1">
      <c r="A15770" s="346"/>
    </row>
    <row r="15771" spans="1:1">
      <c r="A15771" s="346"/>
    </row>
    <row r="15772" spans="1:1">
      <c r="A15772" s="346"/>
    </row>
    <row r="15773" spans="1:1">
      <c r="A15773" s="346"/>
    </row>
    <row r="15774" spans="1:1">
      <c r="A15774" s="346"/>
    </row>
    <row r="15775" spans="1:1">
      <c r="A15775" s="346"/>
    </row>
    <row r="15776" spans="1:1">
      <c r="A15776" s="346"/>
    </row>
    <row r="15777" spans="1:1">
      <c r="A15777" s="346"/>
    </row>
    <row r="15778" spans="1:1">
      <c r="A15778" s="346"/>
    </row>
    <row r="15779" spans="1:1">
      <c r="A15779" s="346"/>
    </row>
    <row r="15780" spans="1:1">
      <c r="A15780" s="346"/>
    </row>
    <row r="15781" spans="1:1">
      <c r="A15781" s="346"/>
    </row>
    <row r="15782" spans="1:1">
      <c r="A15782" s="346"/>
    </row>
    <row r="15783" spans="1:1">
      <c r="A15783" s="346"/>
    </row>
    <row r="15784" spans="1:1">
      <c r="A15784" s="346"/>
    </row>
    <row r="15785" spans="1:1">
      <c r="A15785" s="346"/>
    </row>
    <row r="15786" spans="1:1">
      <c r="A15786" s="346"/>
    </row>
    <row r="15787" spans="1:1">
      <c r="A15787" s="346"/>
    </row>
    <row r="15788" spans="1:1">
      <c r="A15788" s="346"/>
    </row>
    <row r="15789" spans="1:1">
      <c r="A15789" s="346"/>
    </row>
    <row r="15790" spans="1:1">
      <c r="A15790" s="346"/>
    </row>
    <row r="15791" spans="1:1">
      <c r="A15791" s="346"/>
    </row>
    <row r="15792" spans="1:1">
      <c r="A15792" s="346"/>
    </row>
    <row r="15793" spans="1:1">
      <c r="A15793" s="346"/>
    </row>
    <row r="15794" spans="1:1">
      <c r="A15794" s="346"/>
    </row>
    <row r="15795" spans="1:1">
      <c r="A15795" s="346"/>
    </row>
    <row r="15796" spans="1:1">
      <c r="A15796" s="346"/>
    </row>
    <row r="15797" spans="1:1">
      <c r="A15797" s="346"/>
    </row>
    <row r="15798" spans="1:1">
      <c r="A15798" s="346"/>
    </row>
    <row r="15799" spans="1:1">
      <c r="A15799" s="346"/>
    </row>
    <row r="15800" spans="1:1">
      <c r="A15800" s="346"/>
    </row>
    <row r="15801" spans="1:1">
      <c r="A15801" s="346"/>
    </row>
    <row r="15802" spans="1:1">
      <c r="A15802" s="346"/>
    </row>
    <row r="15803" spans="1:1">
      <c r="A15803" s="346"/>
    </row>
    <row r="15804" spans="1:1">
      <c r="A15804" s="346"/>
    </row>
    <row r="15805" spans="1:1">
      <c r="A15805" s="346"/>
    </row>
    <row r="15806" spans="1:1">
      <c r="A15806" s="346"/>
    </row>
    <row r="15807" spans="1:1">
      <c r="A15807" s="346"/>
    </row>
    <row r="15808" spans="1:1">
      <c r="A15808" s="346"/>
    </row>
    <row r="15809" spans="1:1">
      <c r="A15809" s="346"/>
    </row>
    <row r="15810" spans="1:1">
      <c r="A15810" s="346"/>
    </row>
    <row r="15811" spans="1:1">
      <c r="A15811" s="346"/>
    </row>
    <row r="15812" spans="1:1">
      <c r="A15812" s="346"/>
    </row>
    <row r="15813" spans="1:1">
      <c r="A15813" s="346"/>
    </row>
    <row r="15814" spans="1:1">
      <c r="A15814" s="346"/>
    </row>
    <row r="15815" spans="1:1">
      <c r="A15815" s="346"/>
    </row>
    <row r="15816" spans="1:1">
      <c r="A15816" s="346"/>
    </row>
    <row r="15817" spans="1:1">
      <c r="A15817" s="346"/>
    </row>
    <row r="15818" spans="1:1">
      <c r="A15818" s="346"/>
    </row>
    <row r="15819" spans="1:1">
      <c r="A15819" s="346"/>
    </row>
    <row r="15820" spans="1:1">
      <c r="A15820" s="346"/>
    </row>
    <row r="15821" spans="1:1">
      <c r="A15821" s="346"/>
    </row>
    <row r="15822" spans="1:1">
      <c r="A15822" s="346"/>
    </row>
    <row r="15823" spans="1:1">
      <c r="A15823" s="346"/>
    </row>
    <row r="15824" spans="1:1">
      <c r="A15824" s="346"/>
    </row>
    <row r="15825" spans="1:1">
      <c r="A15825" s="346"/>
    </row>
    <row r="15826" spans="1:1">
      <c r="A15826" s="346"/>
    </row>
    <row r="15827" spans="1:1">
      <c r="A15827" s="346"/>
    </row>
    <row r="15828" spans="1:1">
      <c r="A15828" s="346"/>
    </row>
    <row r="15829" spans="1:1">
      <c r="A15829" s="346"/>
    </row>
    <row r="15830" spans="1:1">
      <c r="A15830" s="346"/>
    </row>
    <row r="15831" spans="1:1">
      <c r="A15831" s="346"/>
    </row>
    <row r="15832" spans="1:1">
      <c r="A15832" s="346"/>
    </row>
    <row r="15833" spans="1:1">
      <c r="A15833" s="346"/>
    </row>
    <row r="15834" spans="1:1">
      <c r="A15834" s="346"/>
    </row>
    <row r="15835" spans="1:1">
      <c r="A15835" s="346"/>
    </row>
    <row r="15836" spans="1:1">
      <c r="A15836" s="346"/>
    </row>
    <row r="15837" spans="1:1">
      <c r="A15837" s="346"/>
    </row>
    <row r="15838" spans="1:1">
      <c r="A15838" s="346"/>
    </row>
    <row r="15839" spans="1:1">
      <c r="A15839" s="346"/>
    </row>
    <row r="15840" spans="1:1">
      <c r="A15840" s="346"/>
    </row>
    <row r="15841" spans="1:1">
      <c r="A15841" s="346"/>
    </row>
    <row r="15842" spans="1:1">
      <c r="A15842" s="346"/>
    </row>
    <row r="15843" spans="1:1">
      <c r="A15843" s="346"/>
    </row>
    <row r="15844" spans="1:1">
      <c r="A15844" s="346"/>
    </row>
    <row r="15845" spans="1:1">
      <c r="A15845" s="346"/>
    </row>
    <row r="15846" spans="1:1">
      <c r="A15846" s="346"/>
    </row>
    <row r="15847" spans="1:1">
      <c r="A15847" s="346"/>
    </row>
    <row r="15848" spans="1:1">
      <c r="A15848" s="346"/>
    </row>
    <row r="15849" spans="1:1">
      <c r="A15849" s="346"/>
    </row>
    <row r="15850" spans="1:1">
      <c r="A15850" s="346"/>
    </row>
    <row r="15851" spans="1:1">
      <c r="A15851" s="346"/>
    </row>
    <row r="15852" spans="1:1">
      <c r="A15852" s="346"/>
    </row>
    <row r="15853" spans="1:1">
      <c r="A15853" s="346"/>
    </row>
    <row r="15854" spans="1:1">
      <c r="A15854" s="346"/>
    </row>
    <row r="15855" spans="1:1">
      <c r="A15855" s="346"/>
    </row>
    <row r="15856" spans="1:1">
      <c r="A15856" s="346"/>
    </row>
    <row r="15857" spans="1:1">
      <c r="A15857" s="346"/>
    </row>
    <row r="15858" spans="1:1">
      <c r="A15858" s="346"/>
    </row>
    <row r="15859" spans="1:1">
      <c r="A15859" s="346"/>
    </row>
    <row r="15860" spans="1:1">
      <c r="A15860" s="346"/>
    </row>
    <row r="15861" spans="1:1">
      <c r="A15861" s="346"/>
    </row>
    <row r="15862" spans="1:1">
      <c r="A15862" s="346"/>
    </row>
    <row r="15863" spans="1:1">
      <c r="A15863" s="346"/>
    </row>
    <row r="15864" spans="1:1">
      <c r="A15864" s="346"/>
    </row>
    <row r="15865" spans="1:1">
      <c r="A15865" s="346"/>
    </row>
    <row r="15866" spans="1:1">
      <c r="A15866" s="346"/>
    </row>
    <row r="15867" spans="1:1">
      <c r="A15867" s="346"/>
    </row>
    <row r="15868" spans="1:1">
      <c r="A15868" s="346"/>
    </row>
    <row r="15869" spans="1:1">
      <c r="A15869" s="346"/>
    </row>
    <row r="15870" spans="1:1">
      <c r="A15870" s="346"/>
    </row>
    <row r="15871" spans="1:1">
      <c r="A15871" s="346"/>
    </row>
    <row r="15872" spans="1:1">
      <c r="A15872" s="346"/>
    </row>
    <row r="15873" spans="1:1">
      <c r="A15873" s="346"/>
    </row>
    <row r="15874" spans="1:1">
      <c r="A15874" s="346"/>
    </row>
    <row r="15875" spans="1:1">
      <c r="A15875" s="346"/>
    </row>
    <row r="15876" spans="1:1">
      <c r="A15876" s="346"/>
    </row>
    <row r="15877" spans="1:1">
      <c r="A15877" s="346"/>
    </row>
    <row r="15878" spans="1:1">
      <c r="A15878" s="346"/>
    </row>
    <row r="15879" spans="1:1">
      <c r="A15879" s="346"/>
    </row>
    <row r="15880" spans="1:1">
      <c r="A15880" s="346"/>
    </row>
    <row r="15881" spans="1:1">
      <c r="A15881" s="346"/>
    </row>
    <row r="15882" spans="1:1">
      <c r="A15882" s="346"/>
    </row>
    <row r="15883" spans="1:1">
      <c r="A15883" s="346"/>
    </row>
    <row r="15884" spans="1:1">
      <c r="A15884" s="346"/>
    </row>
    <row r="15885" spans="1:1">
      <c r="A15885" s="346"/>
    </row>
    <row r="15886" spans="1:1">
      <c r="A15886" s="346"/>
    </row>
    <row r="15887" spans="1:1">
      <c r="A15887" s="346"/>
    </row>
    <row r="15888" spans="1:1">
      <c r="A15888" s="346"/>
    </row>
    <row r="15889" spans="1:1">
      <c r="A15889" s="346"/>
    </row>
    <row r="15890" spans="1:1">
      <c r="A15890" s="346"/>
    </row>
    <row r="15891" spans="1:1">
      <c r="A15891" s="346"/>
    </row>
    <row r="15892" spans="1:1">
      <c r="A15892" s="346"/>
    </row>
    <row r="15893" spans="1:1">
      <c r="A15893" s="346"/>
    </row>
    <row r="15894" spans="1:1">
      <c r="A15894" s="346"/>
    </row>
    <row r="15895" spans="1:1">
      <c r="A15895" s="346"/>
    </row>
    <row r="15896" spans="1:1">
      <c r="A15896" s="346"/>
    </row>
    <row r="15897" spans="1:1">
      <c r="A15897" s="346"/>
    </row>
    <row r="15898" spans="1:1">
      <c r="A15898" s="346"/>
    </row>
    <row r="15899" spans="1:1">
      <c r="A15899" s="346"/>
    </row>
    <row r="15900" spans="1:1">
      <c r="A15900" s="346"/>
    </row>
    <row r="15901" spans="1:1">
      <c r="A15901" s="346"/>
    </row>
    <row r="15902" spans="1:1">
      <c r="A15902" s="346"/>
    </row>
    <row r="15903" spans="1:1">
      <c r="A15903" s="346"/>
    </row>
    <row r="15904" spans="1:1">
      <c r="A15904" s="346"/>
    </row>
    <row r="15905" spans="1:1">
      <c r="A15905" s="346"/>
    </row>
    <row r="15906" spans="1:1">
      <c r="A15906" s="346"/>
    </row>
    <row r="15907" spans="1:1">
      <c r="A15907" s="346"/>
    </row>
    <row r="15908" spans="1:1">
      <c r="A15908" s="346"/>
    </row>
    <row r="15909" spans="1:1">
      <c r="A15909" s="346"/>
    </row>
    <row r="15910" spans="1:1">
      <c r="A15910" s="346"/>
    </row>
    <row r="15911" spans="1:1">
      <c r="A15911" s="346"/>
    </row>
    <row r="15912" spans="1:1">
      <c r="A15912" s="346"/>
    </row>
    <row r="15913" spans="1:1">
      <c r="A15913" s="346"/>
    </row>
    <row r="15914" spans="1:1">
      <c r="A15914" s="346"/>
    </row>
    <row r="15915" spans="1:1">
      <c r="A15915" s="346"/>
    </row>
    <row r="15916" spans="1:1">
      <c r="A15916" s="346"/>
    </row>
    <row r="15917" spans="1:1">
      <c r="A15917" s="346"/>
    </row>
    <row r="15918" spans="1:1">
      <c r="A15918" s="346"/>
    </row>
    <row r="15919" spans="1:1">
      <c r="A15919" s="346"/>
    </row>
    <row r="15920" spans="1:1">
      <c r="A15920" s="346"/>
    </row>
    <row r="15921" spans="1:1">
      <c r="A15921" s="346"/>
    </row>
    <row r="15922" spans="1:1">
      <c r="A15922" s="346"/>
    </row>
    <row r="15923" spans="1:1">
      <c r="A15923" s="346"/>
    </row>
    <row r="15924" spans="1:1">
      <c r="A15924" s="346"/>
    </row>
    <row r="15925" spans="1:1">
      <c r="A15925" s="346"/>
    </row>
    <row r="15926" spans="1:1">
      <c r="A15926" s="346"/>
    </row>
    <row r="15927" spans="1:1">
      <c r="A15927" s="346"/>
    </row>
    <row r="15928" spans="1:1">
      <c r="A15928" s="346"/>
    </row>
    <row r="15929" spans="1:1">
      <c r="A15929" s="346"/>
    </row>
    <row r="15930" spans="1:1">
      <c r="A15930" s="346"/>
    </row>
    <row r="15931" spans="1:1">
      <c r="A15931" s="346"/>
    </row>
    <row r="15932" spans="1:1">
      <c r="A15932" s="346"/>
    </row>
    <row r="15933" spans="1:1">
      <c r="A15933" s="346"/>
    </row>
    <row r="15934" spans="1:1">
      <c r="A15934" s="346"/>
    </row>
    <row r="15935" spans="1:1">
      <c r="A15935" s="346"/>
    </row>
    <row r="15936" spans="1:1">
      <c r="A15936" s="346"/>
    </row>
    <row r="15937" spans="1:1">
      <c r="A15937" s="346"/>
    </row>
    <row r="15938" spans="1:1">
      <c r="A15938" s="346"/>
    </row>
    <row r="15939" spans="1:1">
      <c r="A15939" s="346"/>
    </row>
    <row r="15940" spans="1:1">
      <c r="A15940" s="346"/>
    </row>
    <row r="15941" spans="1:1">
      <c r="A15941" s="346"/>
    </row>
    <row r="15942" spans="1:1">
      <c r="A15942" s="346"/>
    </row>
    <row r="15943" spans="1:1">
      <c r="A15943" s="346"/>
    </row>
    <row r="15944" spans="1:1">
      <c r="A15944" s="346"/>
    </row>
    <row r="15945" spans="1:1">
      <c r="A15945" s="346"/>
    </row>
    <row r="15946" spans="1:1">
      <c r="A15946" s="346"/>
    </row>
    <row r="15947" spans="1:1">
      <c r="A15947" s="346"/>
    </row>
    <row r="15948" spans="1:1">
      <c r="A15948" s="346"/>
    </row>
    <row r="15949" spans="1:1">
      <c r="A15949" s="346"/>
    </row>
    <row r="15950" spans="1:1">
      <c r="A15950" s="346"/>
    </row>
    <row r="15951" spans="1:1">
      <c r="A15951" s="346"/>
    </row>
    <row r="15952" spans="1:1">
      <c r="A15952" s="346"/>
    </row>
    <row r="15953" spans="1:1">
      <c r="A15953" s="346"/>
    </row>
    <row r="15954" spans="1:1">
      <c r="A15954" s="346"/>
    </row>
    <row r="15955" spans="1:1">
      <c r="A15955" s="346"/>
    </row>
    <row r="15956" spans="1:1">
      <c r="A15956" s="346"/>
    </row>
    <row r="15957" spans="1:1">
      <c r="A15957" s="346"/>
    </row>
    <row r="15958" spans="1:1">
      <c r="A15958" s="346"/>
    </row>
    <row r="15959" spans="1:1">
      <c r="A15959" s="346"/>
    </row>
    <row r="15960" spans="1:1">
      <c r="A15960" s="346"/>
    </row>
    <row r="15961" spans="1:1">
      <c r="A15961" s="346"/>
    </row>
    <row r="15962" spans="1:1">
      <c r="A15962" s="346"/>
    </row>
    <row r="15963" spans="1:1">
      <c r="A15963" s="346"/>
    </row>
    <row r="15964" spans="1:1">
      <c r="A15964" s="346"/>
    </row>
    <row r="15965" spans="1:1">
      <c r="A15965" s="346"/>
    </row>
    <row r="15966" spans="1:1">
      <c r="A15966" s="346"/>
    </row>
    <row r="15967" spans="1:1">
      <c r="A15967" s="346"/>
    </row>
    <row r="15968" spans="1:1">
      <c r="A15968" s="346"/>
    </row>
    <row r="15969" spans="1:1">
      <c r="A15969" s="346"/>
    </row>
    <row r="15970" spans="1:1">
      <c r="A15970" s="346"/>
    </row>
    <row r="15971" spans="1:1">
      <c r="A15971" s="346"/>
    </row>
    <row r="15972" spans="1:1">
      <c r="A15972" s="346"/>
    </row>
    <row r="15973" spans="1:1">
      <c r="A15973" s="346"/>
    </row>
    <row r="15974" spans="1:1">
      <c r="A15974" s="346"/>
    </row>
    <row r="15975" spans="1:1">
      <c r="A15975" s="346"/>
    </row>
    <row r="15976" spans="1:1">
      <c r="A15976" s="346"/>
    </row>
    <row r="15977" spans="1:1">
      <c r="A15977" s="346"/>
    </row>
    <row r="15978" spans="1:1">
      <c r="A15978" s="346"/>
    </row>
    <row r="15979" spans="1:1">
      <c r="A15979" s="346"/>
    </row>
    <row r="15980" spans="1:1">
      <c r="A15980" s="346"/>
    </row>
    <row r="15981" spans="1:1">
      <c r="A15981" s="346"/>
    </row>
    <row r="15982" spans="1:1">
      <c r="A15982" s="346"/>
    </row>
    <row r="15983" spans="1:1">
      <c r="A15983" s="346"/>
    </row>
    <row r="15984" spans="1:1">
      <c r="A15984" s="346"/>
    </row>
    <row r="15985" spans="1:1">
      <c r="A15985" s="346"/>
    </row>
    <row r="15986" spans="1:1">
      <c r="A15986" s="346"/>
    </row>
    <row r="15987" spans="1:1">
      <c r="A15987" s="346"/>
    </row>
    <row r="15988" spans="1:1">
      <c r="A15988" s="346"/>
    </row>
    <row r="15989" spans="1:1">
      <c r="A15989" s="346"/>
    </row>
    <row r="15990" spans="1:1">
      <c r="A15990" s="346"/>
    </row>
    <row r="15991" spans="1:1">
      <c r="A15991" s="346"/>
    </row>
    <row r="15992" spans="1:1">
      <c r="A15992" s="346"/>
    </row>
    <row r="15993" spans="1:1">
      <c r="A15993" s="346"/>
    </row>
    <row r="15994" spans="1:1">
      <c r="A15994" s="346"/>
    </row>
    <row r="15995" spans="1:1">
      <c r="A15995" s="346"/>
    </row>
    <row r="15996" spans="1:1">
      <c r="A15996" s="346"/>
    </row>
    <row r="15997" spans="1:1">
      <c r="A15997" s="346"/>
    </row>
    <row r="15998" spans="1:1">
      <c r="A15998" s="346"/>
    </row>
    <row r="15999" spans="1:1">
      <c r="A15999" s="346"/>
    </row>
    <row r="16000" spans="1:1">
      <c r="A16000" s="346"/>
    </row>
    <row r="16001" spans="1:1">
      <c r="A16001" s="346"/>
    </row>
    <row r="16002" spans="1:1">
      <c r="A16002" s="346"/>
    </row>
    <row r="16003" spans="1:1">
      <c r="A16003" s="346"/>
    </row>
    <row r="16004" spans="1:1">
      <c r="A16004" s="346"/>
    </row>
    <row r="16005" spans="1:1">
      <c r="A16005" s="346"/>
    </row>
    <row r="16006" spans="1:1">
      <c r="A16006" s="346"/>
    </row>
    <row r="16007" spans="1:1">
      <c r="A16007" s="346"/>
    </row>
    <row r="16008" spans="1:1">
      <c r="A16008" s="346"/>
    </row>
    <row r="16009" spans="1:1">
      <c r="A16009" s="346"/>
    </row>
    <row r="16010" spans="1:1">
      <c r="A16010" s="346"/>
    </row>
    <row r="16011" spans="1:1">
      <c r="A16011" s="346"/>
    </row>
    <row r="16012" spans="1:1">
      <c r="A16012" s="346"/>
    </row>
    <row r="16013" spans="1:1">
      <c r="A16013" s="346"/>
    </row>
    <row r="16014" spans="1:1">
      <c r="A16014" s="346"/>
    </row>
    <row r="16015" spans="1:1">
      <c r="A16015" s="346"/>
    </row>
    <row r="16016" spans="1:1">
      <c r="A16016" s="346"/>
    </row>
    <row r="16017" spans="1:1">
      <c r="A16017" s="346"/>
    </row>
    <row r="16018" spans="1:1">
      <c r="A16018" s="346"/>
    </row>
    <row r="16019" spans="1:1">
      <c r="A16019" s="346"/>
    </row>
    <row r="16020" spans="1:1">
      <c r="A16020" s="346"/>
    </row>
    <row r="16021" spans="1:1">
      <c r="A16021" s="346"/>
    </row>
    <row r="16022" spans="1:1">
      <c r="A16022" s="346"/>
    </row>
    <row r="16023" spans="1:1">
      <c r="A16023" s="346"/>
    </row>
    <row r="16024" spans="1:1">
      <c r="A16024" s="346"/>
    </row>
    <row r="16025" spans="1:1">
      <c r="A16025" s="346"/>
    </row>
    <row r="16026" spans="1:1">
      <c r="A16026" s="346"/>
    </row>
    <row r="16027" spans="1:1">
      <c r="A16027" s="346"/>
    </row>
    <row r="16028" spans="1:1">
      <c r="A16028" s="346"/>
    </row>
    <row r="16029" spans="1:1">
      <c r="A16029" s="346"/>
    </row>
    <row r="16030" spans="1:1">
      <c r="A16030" s="346"/>
    </row>
    <row r="16031" spans="1:1">
      <c r="A16031" s="346"/>
    </row>
    <row r="16032" spans="1:1">
      <c r="A16032" s="346"/>
    </row>
    <row r="16033" spans="1:1">
      <c r="A16033" s="346"/>
    </row>
    <row r="16034" spans="1:1">
      <c r="A16034" s="346"/>
    </row>
    <row r="16035" spans="1:1">
      <c r="A16035" s="346"/>
    </row>
    <row r="16036" spans="1:1">
      <c r="A16036" s="346"/>
    </row>
    <row r="16037" spans="1:1">
      <c r="A16037" s="346"/>
    </row>
    <row r="16038" spans="1:1">
      <c r="A16038" s="346"/>
    </row>
    <row r="16039" spans="1:1">
      <c r="A16039" s="346"/>
    </row>
    <row r="16040" spans="1:1">
      <c r="A16040" s="346"/>
    </row>
    <row r="16041" spans="1:1">
      <c r="A16041" s="346"/>
    </row>
    <row r="16042" spans="1:1">
      <c r="A16042" s="346"/>
    </row>
    <row r="16043" spans="1:1">
      <c r="A16043" s="346"/>
    </row>
    <row r="16044" spans="1:1">
      <c r="A16044" s="346"/>
    </row>
    <row r="16045" spans="1:1">
      <c r="A16045" s="346"/>
    </row>
    <row r="16046" spans="1:1">
      <c r="A16046" s="346"/>
    </row>
    <row r="16047" spans="1:1">
      <c r="A16047" s="346"/>
    </row>
    <row r="16048" spans="1:1">
      <c r="A16048" s="346"/>
    </row>
    <row r="16049" spans="1:1">
      <c r="A16049" s="346"/>
    </row>
    <row r="16050" spans="1:1">
      <c r="A16050" s="346"/>
    </row>
    <row r="16051" spans="1:1">
      <c r="A16051" s="346"/>
    </row>
    <row r="16052" spans="1:1">
      <c r="A16052" s="346"/>
    </row>
    <row r="16053" spans="1:1">
      <c r="A16053" s="346"/>
    </row>
    <row r="16054" spans="1:1">
      <c r="A16054" s="346"/>
    </row>
    <row r="16055" spans="1:1">
      <c r="A16055" s="346"/>
    </row>
    <row r="16056" spans="1:1">
      <c r="A16056" s="346"/>
    </row>
    <row r="16057" spans="1:1">
      <c r="A16057" s="346"/>
    </row>
    <row r="16058" spans="1:1">
      <c r="A16058" s="346"/>
    </row>
    <row r="16059" spans="1:1">
      <c r="A16059" s="346"/>
    </row>
    <row r="16060" spans="1:1">
      <c r="A16060" s="346"/>
    </row>
    <row r="16061" spans="1:1">
      <c r="A16061" s="346"/>
    </row>
    <row r="16062" spans="1:1">
      <c r="A16062" s="346"/>
    </row>
    <row r="16063" spans="1:1">
      <c r="A16063" s="346"/>
    </row>
    <row r="16064" spans="1:1">
      <c r="A16064" s="346"/>
    </row>
    <row r="16065" spans="1:1">
      <c r="A16065" s="346"/>
    </row>
    <row r="16066" spans="1:1">
      <c r="A16066" s="346"/>
    </row>
    <row r="16067" spans="1:1">
      <c r="A16067" s="346"/>
    </row>
    <row r="16068" spans="1:1">
      <c r="A16068" s="346"/>
    </row>
    <row r="16069" spans="1:1">
      <c r="A16069" s="346"/>
    </row>
    <row r="16070" spans="1:1">
      <c r="A16070" s="346"/>
    </row>
    <row r="16071" spans="1:1">
      <c r="A16071" s="346"/>
    </row>
    <row r="16072" spans="1:1">
      <c r="A16072" s="346"/>
    </row>
    <row r="16073" spans="1:1">
      <c r="A16073" s="346"/>
    </row>
    <row r="16074" spans="1:1">
      <c r="A16074" s="346"/>
    </row>
    <row r="16075" spans="1:1">
      <c r="A16075" s="346"/>
    </row>
    <row r="16076" spans="1:1">
      <c r="A16076" s="346"/>
    </row>
    <row r="16077" spans="1:1">
      <c r="A16077" s="346"/>
    </row>
    <row r="16078" spans="1:1">
      <c r="A16078" s="346"/>
    </row>
    <row r="16079" spans="1:1">
      <c r="A16079" s="346"/>
    </row>
    <row r="16080" spans="1:1">
      <c r="A16080" s="346"/>
    </row>
    <row r="16081" spans="1:1">
      <c r="A16081" s="346"/>
    </row>
    <row r="16082" spans="1:1">
      <c r="A16082" s="346"/>
    </row>
    <row r="16083" spans="1:1">
      <c r="A16083" s="346"/>
    </row>
    <row r="16084" spans="1:1">
      <c r="A16084" s="346"/>
    </row>
    <row r="16085" spans="1:1">
      <c r="A16085" s="346"/>
    </row>
    <row r="16086" spans="1:1">
      <c r="A16086" s="346"/>
    </row>
    <row r="16087" spans="1:1">
      <c r="A16087" s="346"/>
    </row>
    <row r="16088" spans="1:1">
      <c r="A16088" s="346"/>
    </row>
    <row r="16089" spans="1:1">
      <c r="A16089" s="346"/>
    </row>
    <row r="16090" spans="1:1">
      <c r="A16090" s="346"/>
    </row>
    <row r="16091" spans="1:1">
      <c r="A16091" s="346"/>
    </row>
    <row r="16092" spans="1:1">
      <c r="A16092" s="346"/>
    </row>
    <row r="16093" spans="1:1">
      <c r="A16093" s="346"/>
    </row>
    <row r="16094" spans="1:1">
      <c r="A16094" s="346"/>
    </row>
    <row r="16095" spans="1:1">
      <c r="A16095" s="346"/>
    </row>
    <row r="16096" spans="1:1">
      <c r="A16096" s="346"/>
    </row>
    <row r="16097" spans="1:1">
      <c r="A16097" s="346"/>
    </row>
    <row r="16098" spans="1:1">
      <c r="A16098" s="346"/>
    </row>
    <row r="16099" spans="1:1">
      <c r="A16099" s="346"/>
    </row>
    <row r="16100" spans="1:1">
      <c r="A16100" s="346"/>
    </row>
    <row r="16101" spans="1:1">
      <c r="A16101" s="346"/>
    </row>
    <row r="16102" spans="1:1">
      <c r="A16102" s="346"/>
    </row>
    <row r="16103" spans="1:1">
      <c r="A16103" s="346"/>
    </row>
    <row r="16104" spans="1:1">
      <c r="A16104" s="346"/>
    </row>
    <row r="16105" spans="1:1">
      <c r="A16105" s="346"/>
    </row>
    <row r="16106" spans="1:1">
      <c r="A16106" s="346"/>
    </row>
    <row r="16107" spans="1:1">
      <c r="A16107" s="346"/>
    </row>
    <row r="16108" spans="1:1">
      <c r="A16108" s="346"/>
    </row>
    <row r="16109" spans="1:1">
      <c r="A16109" s="346"/>
    </row>
    <row r="16110" spans="1:1">
      <c r="A16110" s="346"/>
    </row>
    <row r="16111" spans="1:1">
      <c r="A16111" s="346"/>
    </row>
    <row r="16112" spans="1:1">
      <c r="A16112" s="346"/>
    </row>
    <row r="16113" spans="1:1">
      <c r="A16113" s="346"/>
    </row>
    <row r="16114" spans="1:1">
      <c r="A16114" s="346"/>
    </row>
    <row r="16115" spans="1:1">
      <c r="A16115" s="346"/>
    </row>
    <row r="16116" spans="1:1">
      <c r="A16116" s="346"/>
    </row>
    <row r="16117" spans="1:1">
      <c r="A16117" s="346"/>
    </row>
    <row r="16118" spans="1:1">
      <c r="A16118" s="346"/>
    </row>
    <row r="16119" spans="1:1">
      <c r="A16119" s="346"/>
    </row>
    <row r="16120" spans="1:1">
      <c r="A16120" s="346"/>
    </row>
    <row r="16121" spans="1:1">
      <c r="A16121" s="346"/>
    </row>
    <row r="16122" spans="1:1">
      <c r="A16122" s="346"/>
    </row>
    <row r="16123" spans="1:1">
      <c r="A16123" s="346"/>
    </row>
    <row r="16124" spans="1:1">
      <c r="A16124" s="346"/>
    </row>
    <row r="16125" spans="1:1">
      <c r="A16125" s="346"/>
    </row>
    <row r="16126" spans="1:1">
      <c r="A16126" s="346"/>
    </row>
    <row r="16127" spans="1:1">
      <c r="A16127" s="346"/>
    </row>
    <row r="16128" spans="1:1">
      <c r="A16128" s="346"/>
    </row>
    <row r="16129" spans="1:1">
      <c r="A16129" s="346"/>
    </row>
    <row r="16130" spans="1:1">
      <c r="A16130" s="346"/>
    </row>
    <row r="16131" spans="1:1">
      <c r="A16131" s="346"/>
    </row>
    <row r="16132" spans="1:1">
      <c r="A16132" s="346"/>
    </row>
    <row r="16133" spans="1:1">
      <c r="A16133" s="346"/>
    </row>
    <row r="16134" spans="1:1">
      <c r="A16134" s="346"/>
    </row>
    <row r="16135" spans="1:1">
      <c r="A16135" s="346"/>
    </row>
    <row r="16136" spans="1:1">
      <c r="A16136" s="346"/>
    </row>
    <row r="16137" spans="1:1">
      <c r="A16137" s="346"/>
    </row>
    <row r="16138" spans="1:1">
      <c r="A16138" s="346"/>
    </row>
    <row r="16139" spans="1:1">
      <c r="A16139" s="346"/>
    </row>
    <row r="16140" spans="1:1">
      <c r="A16140" s="346"/>
    </row>
    <row r="16141" spans="1:1">
      <c r="A16141" s="346"/>
    </row>
    <row r="16142" spans="1:1">
      <c r="A16142" s="346"/>
    </row>
    <row r="16143" spans="1:1">
      <c r="A16143" s="346"/>
    </row>
    <row r="16144" spans="1:1">
      <c r="A16144" s="346"/>
    </row>
    <row r="16145" spans="1:1">
      <c r="A16145" s="346"/>
    </row>
    <row r="16146" spans="1:1">
      <c r="A16146" s="346"/>
    </row>
    <row r="16147" spans="1:1">
      <c r="A16147" s="346"/>
    </row>
    <row r="16148" spans="1:1">
      <c r="A16148" s="346"/>
    </row>
    <row r="16149" spans="1:1">
      <c r="A16149" s="346"/>
    </row>
    <row r="16150" spans="1:1">
      <c r="A16150" s="346"/>
    </row>
    <row r="16151" spans="1:1">
      <c r="A16151" s="346"/>
    </row>
    <row r="16152" spans="1:1">
      <c r="A16152" s="346"/>
    </row>
    <row r="16153" spans="1:1">
      <c r="A16153" s="346"/>
    </row>
    <row r="16154" spans="1:1">
      <c r="A16154" s="346"/>
    </row>
    <row r="16155" spans="1:1">
      <c r="A16155" s="346"/>
    </row>
    <row r="16156" spans="1:1">
      <c r="A16156" s="346"/>
    </row>
    <row r="16157" spans="1:1">
      <c r="A16157" s="346"/>
    </row>
    <row r="16158" spans="1:1">
      <c r="A16158" s="346"/>
    </row>
    <row r="16159" spans="1:1">
      <c r="A16159" s="346"/>
    </row>
    <row r="16160" spans="1:1">
      <c r="A16160" s="346"/>
    </row>
    <row r="16161" spans="1:1">
      <c r="A16161" s="346"/>
    </row>
    <row r="16162" spans="1:1">
      <c r="A16162" s="346"/>
    </row>
    <row r="16163" spans="1:1">
      <c r="A16163" s="346"/>
    </row>
    <row r="16164" spans="1:1">
      <c r="A16164" s="346"/>
    </row>
    <row r="16165" spans="1:1">
      <c r="A16165" s="346"/>
    </row>
    <row r="16166" spans="1:1">
      <c r="A16166" s="346"/>
    </row>
    <row r="16167" spans="1:1">
      <c r="A16167" s="346"/>
    </row>
    <row r="16168" spans="1:1">
      <c r="A16168" s="346"/>
    </row>
    <row r="16169" spans="1:1">
      <c r="A16169" s="346"/>
    </row>
    <row r="16170" spans="1:1">
      <c r="A16170" s="346"/>
    </row>
    <row r="16171" spans="1:1">
      <c r="A16171" s="346"/>
    </row>
    <row r="16172" spans="1:1">
      <c r="A16172" s="346"/>
    </row>
    <row r="16173" spans="1:1">
      <c r="A16173" s="346"/>
    </row>
    <row r="16174" spans="1:1">
      <c r="A16174" s="346"/>
    </row>
    <row r="16175" spans="1:1">
      <c r="A16175" s="346"/>
    </row>
    <row r="16176" spans="1:1">
      <c r="A16176" s="346"/>
    </row>
    <row r="16177" spans="1:1">
      <c r="A16177" s="346"/>
    </row>
    <row r="16178" spans="1:1">
      <c r="A16178" s="346"/>
    </row>
    <row r="16179" spans="1:1">
      <c r="A16179" s="346"/>
    </row>
    <row r="16180" spans="1:1">
      <c r="A16180" s="346"/>
    </row>
    <row r="16181" spans="1:1">
      <c r="A16181" s="346"/>
    </row>
    <row r="16182" spans="1:1">
      <c r="A16182" s="346"/>
    </row>
    <row r="16183" spans="1:1">
      <c r="A16183" s="346"/>
    </row>
    <row r="16184" spans="1:1">
      <c r="A16184" s="346"/>
    </row>
    <row r="16185" spans="1:1">
      <c r="A16185" s="346"/>
    </row>
    <row r="16186" spans="1:1">
      <c r="A16186" s="346"/>
    </row>
    <row r="16187" spans="1:1">
      <c r="A16187" s="346"/>
    </row>
    <row r="16188" spans="1:1">
      <c r="A16188" s="346"/>
    </row>
    <row r="16189" spans="1:1">
      <c r="A16189" s="346"/>
    </row>
    <row r="16190" spans="1:1">
      <c r="A16190" s="346"/>
    </row>
    <row r="16191" spans="1:1">
      <c r="A16191" s="346"/>
    </row>
    <row r="16192" spans="1:1">
      <c r="A16192" s="346"/>
    </row>
    <row r="16193" spans="1:1">
      <c r="A16193" s="346"/>
    </row>
    <row r="16194" spans="1:1">
      <c r="A16194" s="346"/>
    </row>
    <row r="16195" spans="1:1">
      <c r="A16195" s="346"/>
    </row>
    <row r="16196" spans="1:1">
      <c r="A16196" s="346"/>
    </row>
    <row r="16197" spans="1:1">
      <c r="A16197" s="346"/>
    </row>
    <row r="16198" spans="1:1">
      <c r="A16198" s="346"/>
    </row>
    <row r="16199" spans="1:1">
      <c r="A16199" s="346"/>
    </row>
    <row r="16200" spans="1:1">
      <c r="A16200" s="346"/>
    </row>
    <row r="16201" spans="1:1">
      <c r="A16201" s="346"/>
    </row>
    <row r="16202" spans="1:1">
      <c r="A16202" s="346"/>
    </row>
    <row r="16203" spans="1:1">
      <c r="A16203" s="346"/>
    </row>
    <row r="16204" spans="1:1">
      <c r="A16204" s="346"/>
    </row>
    <row r="16205" spans="1:1">
      <c r="A16205" s="346"/>
    </row>
    <row r="16206" spans="1:1">
      <c r="A16206" s="346"/>
    </row>
    <row r="16207" spans="1:1">
      <c r="A16207" s="346"/>
    </row>
    <row r="16208" spans="1:1">
      <c r="A16208" s="346"/>
    </row>
    <row r="16209" spans="1:1">
      <c r="A16209" s="346"/>
    </row>
    <row r="16210" spans="1:1">
      <c r="A16210" s="346"/>
    </row>
    <row r="16211" spans="1:1">
      <c r="A16211" s="346"/>
    </row>
    <row r="16212" spans="1:1">
      <c r="A16212" s="346"/>
    </row>
    <row r="16213" spans="1:1">
      <c r="A16213" s="346"/>
    </row>
    <row r="16214" spans="1:1">
      <c r="A16214" s="346"/>
    </row>
    <row r="16215" spans="1:1">
      <c r="A16215" s="346"/>
    </row>
    <row r="16216" spans="1:1">
      <c r="A16216" s="346"/>
    </row>
    <row r="16217" spans="1:1">
      <c r="A16217" s="346"/>
    </row>
    <row r="16218" spans="1:1">
      <c r="A16218" s="346"/>
    </row>
    <row r="16219" spans="1:1">
      <c r="A16219" s="346"/>
    </row>
    <row r="16220" spans="1:1">
      <c r="A16220" s="346"/>
    </row>
    <row r="16221" spans="1:1">
      <c r="A16221" s="346"/>
    </row>
    <row r="16222" spans="1:1">
      <c r="A16222" s="346"/>
    </row>
    <row r="16223" spans="1:1">
      <c r="A16223" s="346"/>
    </row>
    <row r="16224" spans="1:1">
      <c r="A16224" s="346"/>
    </row>
    <row r="16225" spans="1:1">
      <c r="A16225" s="346"/>
    </row>
    <row r="16226" spans="1:1">
      <c r="A16226" s="346"/>
    </row>
    <row r="16227" spans="1:1">
      <c r="A16227" s="346"/>
    </row>
    <row r="16228" spans="1:1">
      <c r="A16228" s="346"/>
    </row>
    <row r="16229" spans="1:1">
      <c r="A16229" s="346"/>
    </row>
    <row r="16230" spans="1:1">
      <c r="A16230" s="346"/>
    </row>
    <row r="16231" spans="1:1">
      <c r="A16231" s="346"/>
    </row>
    <row r="16232" spans="1:1">
      <c r="A16232" s="346"/>
    </row>
    <row r="16233" spans="1:1">
      <c r="A16233" s="346"/>
    </row>
    <row r="16234" spans="1:1">
      <c r="A16234" s="346"/>
    </row>
    <row r="16235" spans="1:1">
      <c r="A16235" s="346"/>
    </row>
    <row r="16236" spans="1:1">
      <c r="A16236" s="346"/>
    </row>
    <row r="16237" spans="1:1">
      <c r="A16237" s="346"/>
    </row>
    <row r="16238" spans="1:1">
      <c r="A16238" s="346"/>
    </row>
    <row r="16239" spans="1:1">
      <c r="A16239" s="346"/>
    </row>
    <row r="16240" spans="1:1">
      <c r="A16240" s="346"/>
    </row>
    <row r="16241" spans="1:1">
      <c r="A16241" s="346"/>
    </row>
    <row r="16242" spans="1:1">
      <c r="A16242" s="346"/>
    </row>
    <row r="16243" spans="1:1">
      <c r="A16243" s="346"/>
    </row>
    <row r="16244" spans="1:1">
      <c r="A16244" s="346"/>
    </row>
    <row r="16245" spans="1:1">
      <c r="A16245" s="346"/>
    </row>
    <row r="16246" spans="1:1">
      <c r="A16246" s="346"/>
    </row>
    <row r="16247" spans="1:1">
      <c r="A16247" s="346"/>
    </row>
    <row r="16248" spans="1:1">
      <c r="A16248" s="346"/>
    </row>
    <row r="16249" spans="1:1">
      <c r="A16249" s="346"/>
    </row>
    <row r="16250" spans="1:1">
      <c r="A16250" s="346"/>
    </row>
    <row r="16251" spans="1:1">
      <c r="A16251" s="346"/>
    </row>
    <row r="16252" spans="1:1">
      <c r="A16252" s="346"/>
    </row>
    <row r="16253" spans="1:1">
      <c r="A16253" s="346"/>
    </row>
    <row r="16254" spans="1:1">
      <c r="A16254" s="346"/>
    </row>
    <row r="16255" spans="1:1">
      <c r="A16255" s="346"/>
    </row>
    <row r="16256" spans="1:1">
      <c r="A16256" s="346"/>
    </row>
    <row r="16257" spans="1:1">
      <c r="A16257" s="346"/>
    </row>
    <row r="16258" spans="1:1">
      <c r="A16258" s="346"/>
    </row>
    <row r="16259" spans="1:1">
      <c r="A16259" s="346"/>
    </row>
    <row r="16260" spans="1:1">
      <c r="A16260" s="346"/>
    </row>
    <row r="16261" spans="1:1">
      <c r="A16261" s="346"/>
    </row>
    <row r="16262" spans="1:1">
      <c r="A16262" s="346"/>
    </row>
    <row r="16263" spans="1:1">
      <c r="A16263" s="346"/>
    </row>
    <row r="16264" spans="1:1">
      <c r="A16264" s="346"/>
    </row>
    <row r="16265" spans="1:1">
      <c r="A16265" s="346"/>
    </row>
    <row r="16266" spans="1:1">
      <c r="A16266" s="346"/>
    </row>
    <row r="16267" spans="1:1">
      <c r="A16267" s="346"/>
    </row>
    <row r="16268" spans="1:1">
      <c r="A16268" s="346"/>
    </row>
    <row r="16269" spans="1:1">
      <c r="A16269" s="346"/>
    </row>
    <row r="16270" spans="1:1">
      <c r="A16270" s="346"/>
    </row>
    <row r="16271" spans="1:1">
      <c r="A16271" s="346"/>
    </row>
    <row r="16272" spans="1:1">
      <c r="A16272" s="346"/>
    </row>
    <row r="16273" spans="1:1">
      <c r="A16273" s="346"/>
    </row>
    <row r="16274" spans="1:1">
      <c r="A16274" s="346"/>
    </row>
    <row r="16275" spans="1:1">
      <c r="A16275" s="346"/>
    </row>
    <row r="16276" spans="1:1">
      <c r="A16276" s="346"/>
    </row>
    <row r="16277" spans="1:1">
      <c r="A16277" s="346"/>
    </row>
    <row r="16278" spans="1:1">
      <c r="A16278" s="346"/>
    </row>
    <row r="16279" spans="1:1">
      <c r="A16279" s="346"/>
    </row>
    <row r="16280" spans="1:1">
      <c r="A16280" s="346"/>
    </row>
    <row r="16281" spans="1:1">
      <c r="A16281" s="346"/>
    </row>
    <row r="16282" spans="1:1">
      <c r="A16282" s="346"/>
    </row>
    <row r="16283" spans="1:1">
      <c r="A16283" s="346"/>
    </row>
    <row r="16284" spans="1:1">
      <c r="A16284" s="346"/>
    </row>
    <row r="16285" spans="1:1">
      <c r="A16285" s="346"/>
    </row>
    <row r="16286" spans="1:1">
      <c r="A16286" s="346"/>
    </row>
    <row r="16287" spans="1:1">
      <c r="A16287" s="346"/>
    </row>
    <row r="16288" spans="1:1">
      <c r="A16288" s="346"/>
    </row>
    <row r="16289" spans="1:1">
      <c r="A16289" s="346"/>
    </row>
    <row r="16290" spans="1:1">
      <c r="A16290" s="346"/>
    </row>
    <row r="16291" spans="1:1">
      <c r="A16291" s="346"/>
    </row>
    <row r="16292" spans="1:1">
      <c r="A16292" s="346"/>
    </row>
    <row r="16293" spans="1:1">
      <c r="A16293" s="346"/>
    </row>
    <row r="16294" spans="1:1">
      <c r="A16294" s="346"/>
    </row>
    <row r="16295" spans="1:1">
      <c r="A16295" s="346"/>
    </row>
    <row r="16296" spans="1:1">
      <c r="A16296" s="346"/>
    </row>
    <row r="16297" spans="1:1">
      <c r="A16297" s="346"/>
    </row>
    <row r="16298" spans="1:1">
      <c r="A16298" s="346"/>
    </row>
    <row r="16299" spans="1:1">
      <c r="A16299" s="346"/>
    </row>
    <row r="16300" spans="1:1">
      <c r="A16300" s="346"/>
    </row>
    <row r="16301" spans="1:1">
      <c r="A16301" s="346"/>
    </row>
    <row r="16302" spans="1:1">
      <c r="A16302" s="346"/>
    </row>
    <row r="16303" spans="1:1">
      <c r="A16303" s="346"/>
    </row>
    <row r="16304" spans="1:1">
      <c r="A16304" s="346"/>
    </row>
    <row r="16305" spans="1:1">
      <c r="A16305" s="346"/>
    </row>
    <row r="16306" spans="1:1">
      <c r="A16306" s="346"/>
    </row>
    <row r="16307" spans="1:1">
      <c r="A16307" s="346"/>
    </row>
    <row r="16308" spans="1:1">
      <c r="A16308" s="346"/>
    </row>
    <row r="16309" spans="1:1">
      <c r="A16309" s="346"/>
    </row>
    <row r="16310" spans="1:1">
      <c r="A16310" s="346"/>
    </row>
    <row r="16311" spans="1:1">
      <c r="A16311" s="346"/>
    </row>
    <row r="16312" spans="1:1">
      <c r="A16312" s="346"/>
    </row>
    <row r="16313" spans="1:1">
      <c r="A16313" s="346"/>
    </row>
    <row r="16314" spans="1:1">
      <c r="A16314" s="346"/>
    </row>
    <row r="16315" spans="1:1">
      <c r="A16315" s="346"/>
    </row>
    <row r="16316" spans="1:1">
      <c r="A16316" s="346"/>
    </row>
    <row r="16317" spans="1:1">
      <c r="A16317" s="346"/>
    </row>
    <row r="16318" spans="1:1">
      <c r="A16318" s="346"/>
    </row>
    <row r="16319" spans="1:1">
      <c r="A16319" s="346"/>
    </row>
    <row r="16320" spans="1:1">
      <c r="A16320" s="346"/>
    </row>
    <row r="16321" spans="1:1">
      <c r="A16321" s="346"/>
    </row>
    <row r="16322" spans="1:1">
      <c r="A16322" s="346"/>
    </row>
    <row r="16323" spans="1:1">
      <c r="A16323" s="346"/>
    </row>
    <row r="16324" spans="1:1">
      <c r="A16324" s="346"/>
    </row>
    <row r="16325" spans="1:1">
      <c r="A16325" s="346"/>
    </row>
    <row r="16326" spans="1:1">
      <c r="A16326" s="346"/>
    </row>
    <row r="16327" spans="1:1">
      <c r="A16327" s="346"/>
    </row>
    <row r="16328" spans="1:1">
      <c r="A16328" s="346"/>
    </row>
    <row r="16329" spans="1:1">
      <c r="A16329" s="346"/>
    </row>
    <row r="16330" spans="1:1">
      <c r="A16330" s="346"/>
    </row>
    <row r="16331" spans="1:1">
      <c r="A16331" s="346"/>
    </row>
    <row r="16332" spans="1:1">
      <c r="A16332" s="346"/>
    </row>
    <row r="16333" spans="1:1">
      <c r="A16333" s="346"/>
    </row>
    <row r="16334" spans="1:1">
      <c r="A16334" s="346"/>
    </row>
    <row r="16335" spans="1:1">
      <c r="A16335" s="346"/>
    </row>
    <row r="16336" spans="1:1">
      <c r="A16336" s="346"/>
    </row>
    <row r="16337" spans="1:1">
      <c r="A16337" s="346"/>
    </row>
    <row r="16338" spans="1:1">
      <c r="A16338" s="346"/>
    </row>
    <row r="16339" spans="1:1">
      <c r="A16339" s="346"/>
    </row>
    <row r="16340" spans="1:1">
      <c r="A16340" s="346"/>
    </row>
    <row r="16341" spans="1:1">
      <c r="A16341" s="346"/>
    </row>
    <row r="16342" spans="1:1">
      <c r="A16342" s="346"/>
    </row>
    <row r="16343" spans="1:1">
      <c r="A16343" s="346"/>
    </row>
    <row r="16344" spans="1:1">
      <c r="A16344" s="346"/>
    </row>
    <row r="16345" spans="1:1">
      <c r="A16345" s="346"/>
    </row>
    <row r="16346" spans="1:1">
      <c r="A16346" s="346"/>
    </row>
    <row r="16347" spans="1:1">
      <c r="A16347" s="346"/>
    </row>
    <row r="16348" spans="1:1">
      <c r="A16348" s="346"/>
    </row>
    <row r="16349" spans="1:1">
      <c r="A16349" s="346"/>
    </row>
    <row r="16350" spans="1:1">
      <c r="A16350" s="346"/>
    </row>
    <row r="16351" spans="1:1">
      <c r="A16351" s="346"/>
    </row>
    <row r="16352" spans="1:1">
      <c r="A16352" s="346"/>
    </row>
    <row r="16353" spans="1:1">
      <c r="A16353" s="346"/>
    </row>
    <row r="16354" spans="1:1">
      <c r="A16354" s="346"/>
    </row>
    <row r="16355" spans="1:1">
      <c r="A16355" s="346"/>
    </row>
    <row r="16356" spans="1:1">
      <c r="A16356" s="346"/>
    </row>
    <row r="16357" spans="1:1">
      <c r="A16357" s="346"/>
    </row>
    <row r="16358" spans="1:1">
      <c r="A16358" s="346"/>
    </row>
    <row r="16359" spans="1:1">
      <c r="A16359" s="346"/>
    </row>
    <row r="16360" spans="1:1">
      <c r="A16360" s="346"/>
    </row>
    <row r="16361" spans="1:1">
      <c r="A16361" s="346"/>
    </row>
    <row r="16362" spans="1:1">
      <c r="A16362" s="346"/>
    </row>
    <row r="16363" spans="1:1">
      <c r="A16363" s="346"/>
    </row>
    <row r="16364" spans="1:1">
      <c r="A16364" s="346"/>
    </row>
    <row r="16365" spans="1:1">
      <c r="A16365" s="346"/>
    </row>
    <row r="16366" spans="1:1">
      <c r="A16366" s="346"/>
    </row>
    <row r="16367" spans="1:1">
      <c r="A16367" s="346"/>
    </row>
    <row r="16368" spans="1:1">
      <c r="A16368" s="346"/>
    </row>
    <row r="16369" spans="1:1">
      <c r="A16369" s="346"/>
    </row>
    <row r="16370" spans="1:1">
      <c r="A16370" s="346"/>
    </row>
    <row r="16371" spans="1:1">
      <c r="A16371" s="346"/>
    </row>
    <row r="16372" spans="1:1">
      <c r="A16372" s="346"/>
    </row>
    <row r="16373" spans="1:1">
      <c r="A16373" s="346"/>
    </row>
  </sheetData>
  <sheetProtection deleteRows="0"/>
  <phoneticPr fontId="3"/>
  <hyperlinks>
    <hyperlink ref="A6" location="'2_入力シート【用途面積】'!Z1" display="2_入力シート【用途面積】" xr:uid="{39A5AC67-5FA8-4026-AC69-41EF0E6E097F}"/>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8D0F0-D7AB-45EA-970B-ED9A7DC23D97}">
  <sheetPr codeName="Sheet13"/>
  <dimension ref="A1:O165"/>
  <sheetViews>
    <sheetView zoomScale="70" zoomScaleNormal="70" workbookViewId="0"/>
  </sheetViews>
  <sheetFormatPr defaultColWidth="8.7265625" defaultRowHeight="13"/>
  <cols>
    <col min="1" max="1" width="11.6328125" style="380" bestFit="1" customWidth="1"/>
    <col min="2" max="5" width="8.7265625" style="380"/>
    <col min="6" max="6" width="17.36328125" style="380" customWidth="1"/>
    <col min="7" max="7" width="8.7265625" style="380"/>
    <col min="8" max="8" width="17.36328125" style="380" customWidth="1"/>
    <col min="9" max="9" width="8.7265625" style="380"/>
    <col min="10" max="10" width="17.453125" style="380" customWidth="1"/>
    <col min="11" max="16384" width="8.7265625" style="380"/>
  </cols>
  <sheetData>
    <row r="1" spans="1:15">
      <c r="B1" s="380" t="s">
        <v>2432</v>
      </c>
      <c r="E1" s="4"/>
      <c r="F1" s="4"/>
      <c r="G1" s="4"/>
    </row>
    <row r="2" spans="1:15">
      <c r="A2" s="380" t="s">
        <v>1702</v>
      </c>
      <c r="E2" s="380" t="s">
        <v>1392</v>
      </c>
      <c r="F2" s="4"/>
      <c r="G2" s="4"/>
      <c r="O2" s="380" t="s">
        <v>1405</v>
      </c>
    </row>
    <row r="3" spans="1:15">
      <c r="C3" s="380" t="s">
        <v>5611</v>
      </c>
    </row>
    <row r="4" spans="1:15">
      <c r="B4" s="853" t="str">
        <f>'1_入力シート【基本情報】'!$J$4</f>
        <v>令和</v>
      </c>
      <c r="C4" s="296" t="str">
        <f>SUBSTITUTE(B4,CHAR(10),"")</f>
        <v>令和</v>
      </c>
      <c r="E4" s="851">
        <v>0</v>
      </c>
      <c r="F4" s="842" t="s">
        <v>2405</v>
      </c>
      <c r="G4" s="824" t="s">
        <v>1407</v>
      </c>
      <c r="H4" s="825" t="s">
        <v>2406</v>
      </c>
      <c r="I4" s="296"/>
      <c r="J4" s="296"/>
      <c r="K4" s="296"/>
      <c r="L4" s="296"/>
      <c r="O4" s="380" t="str">
        <f>CONCATENATE(E4,F4,G4,H4,I4,J4,K4,L4)</f>
        <v>0報告-和暦</v>
      </c>
    </row>
    <row r="5" spans="1:15">
      <c r="B5" s="845">
        <f>'1_入力シート【基本情報】'!$M$4</f>
        <v>0</v>
      </c>
      <c r="C5" s="296" t="str">
        <f t="shared" ref="C5:C68" si="0">SUBSTITUTE(B5,CHAR(10),"")</f>
        <v>0</v>
      </c>
      <c r="E5" s="851">
        <v>0</v>
      </c>
      <c r="F5" s="842" t="s">
        <v>2405</v>
      </c>
      <c r="G5" s="824" t="s">
        <v>1407</v>
      </c>
      <c r="H5" s="825" t="s">
        <v>12</v>
      </c>
      <c r="I5" s="296"/>
      <c r="J5" s="296"/>
      <c r="K5" s="296"/>
      <c r="L5" s="296"/>
      <c r="O5" s="380" t="str">
        <f t="shared" ref="O5:O29" si="1">CONCATENATE(E5,F5,G5,H5,I5,J5,K5,L5)</f>
        <v>0報告-年</v>
      </c>
    </row>
    <row r="6" spans="1:15">
      <c r="A6" s="865" t="str">
        <f>TEXT('1_入力シート【基本情報】'!$DN$5,"yyyy/mm/dd")</f>
        <v>2017/11/30</v>
      </c>
      <c r="B6" s="854" t="str">
        <f>A6</f>
        <v>2017/11/30</v>
      </c>
      <c r="C6" s="296" t="str">
        <f t="shared" si="0"/>
        <v>2017/11/30</v>
      </c>
      <c r="E6" s="851">
        <v>0</v>
      </c>
      <c r="F6" s="842" t="s">
        <v>1707</v>
      </c>
      <c r="G6" s="296"/>
      <c r="H6" s="296"/>
      <c r="I6" s="296"/>
      <c r="J6" s="296"/>
      <c r="K6" s="296"/>
      <c r="L6" s="296"/>
      <c r="O6" s="380" t="str">
        <f t="shared" si="1"/>
        <v>0報告日</v>
      </c>
    </row>
    <row r="7" spans="1:15">
      <c r="B7" s="853">
        <f>'1_入力シート【基本情報】'!$AB$7</f>
        <v>0</v>
      </c>
      <c r="C7" s="296" t="str">
        <f t="shared" si="0"/>
        <v>0</v>
      </c>
      <c r="E7" s="851">
        <v>1</v>
      </c>
      <c r="F7" s="842" t="s">
        <v>1709</v>
      </c>
      <c r="G7" s="824" t="s">
        <v>1407</v>
      </c>
      <c r="H7" s="825" t="s">
        <v>1710</v>
      </c>
      <c r="I7" s="826" t="s">
        <v>1407</v>
      </c>
      <c r="J7" s="827">
        <v>1</v>
      </c>
      <c r="K7" s="296"/>
      <c r="L7" s="296"/>
      <c r="O7" s="380" t="str">
        <f t="shared" si="1"/>
        <v>1報告対象建築物-ID-1</v>
      </c>
    </row>
    <row r="8" spans="1:15">
      <c r="B8" s="853">
        <f>'1_入力シート【基本情報】'!$AK$7</f>
        <v>0</v>
      </c>
      <c r="C8" s="296" t="str">
        <f t="shared" si="0"/>
        <v>0</v>
      </c>
      <c r="E8" s="851">
        <v>1</v>
      </c>
      <c r="F8" s="842" t="s">
        <v>1709</v>
      </c>
      <c r="G8" s="824" t="s">
        <v>1407</v>
      </c>
      <c r="H8" s="825" t="s">
        <v>1710</v>
      </c>
      <c r="I8" s="826" t="s">
        <v>1407</v>
      </c>
      <c r="J8" s="827">
        <v>2</v>
      </c>
      <c r="K8" s="296"/>
      <c r="L8" s="296"/>
      <c r="O8" s="380" t="str">
        <f t="shared" si="1"/>
        <v>1報告対象建築物-ID-2</v>
      </c>
    </row>
    <row r="9" spans="1:15">
      <c r="A9" s="863" t="str">
        <f>TEXT('1_入力シート【基本情報】'!$AT$7,"0000")</f>
        <v>0000</v>
      </c>
      <c r="B9" s="853" t="str">
        <f>A9</f>
        <v>0000</v>
      </c>
      <c r="C9" s="296" t="str">
        <f t="shared" si="0"/>
        <v>0000</v>
      </c>
      <c r="E9" s="851">
        <v>1</v>
      </c>
      <c r="F9" s="842" t="s">
        <v>1709</v>
      </c>
      <c r="G9" s="824" t="s">
        <v>1407</v>
      </c>
      <c r="H9" s="825" t="s">
        <v>1710</v>
      </c>
      <c r="I9" s="826" t="s">
        <v>1407</v>
      </c>
      <c r="J9" s="827">
        <v>3</v>
      </c>
      <c r="K9" s="296"/>
      <c r="L9" s="296"/>
      <c r="O9" s="380" t="str">
        <f t="shared" si="1"/>
        <v>1報告対象建築物-ID-3</v>
      </c>
    </row>
    <row r="10" spans="1:15">
      <c r="B10" s="853">
        <f>'1_入力シート【基本情報】'!$AB$9</f>
        <v>0</v>
      </c>
      <c r="C10" s="296" t="str">
        <f t="shared" si="0"/>
        <v>0</v>
      </c>
      <c r="E10" s="851">
        <v>1</v>
      </c>
      <c r="F10" s="842" t="s">
        <v>1709</v>
      </c>
      <c r="G10" s="824" t="s">
        <v>1407</v>
      </c>
      <c r="H10" s="825" t="s">
        <v>1714</v>
      </c>
      <c r="I10" s="826" t="s">
        <v>1407</v>
      </c>
      <c r="J10" s="827" t="s">
        <v>1714</v>
      </c>
      <c r="K10" s="296"/>
      <c r="L10" s="296"/>
      <c r="O10" s="380" t="str">
        <f t="shared" si="1"/>
        <v>1報告対象建築物-建築名称-建築名称</v>
      </c>
    </row>
    <row r="11" spans="1:15">
      <c r="B11" s="853">
        <f>'1_入力シート【基本情報】'!$AB$12</f>
        <v>0</v>
      </c>
      <c r="C11" s="296" t="str">
        <f t="shared" si="0"/>
        <v>0</v>
      </c>
      <c r="E11" s="851">
        <v>1</v>
      </c>
      <c r="F11" s="842" t="s">
        <v>1709</v>
      </c>
      <c r="G11" s="824" t="s">
        <v>1407</v>
      </c>
      <c r="H11" s="825" t="s">
        <v>1717</v>
      </c>
      <c r="I11" s="826" t="s">
        <v>1407</v>
      </c>
      <c r="J11" s="827" t="s">
        <v>1720</v>
      </c>
      <c r="K11" s="296"/>
      <c r="L11" s="296"/>
      <c r="O11" s="380" t="str">
        <f t="shared" si="1"/>
        <v>1報告対象建築物-建物所在地-区町村</v>
      </c>
    </row>
    <row r="12" spans="1:15">
      <c r="B12" s="853">
        <f>'1_入力シート【基本情報】'!$AB$13</f>
        <v>0</v>
      </c>
      <c r="C12" s="296" t="str">
        <f t="shared" si="0"/>
        <v>0</v>
      </c>
      <c r="E12" s="851">
        <v>1</v>
      </c>
      <c r="F12" s="842" t="s">
        <v>1709</v>
      </c>
      <c r="G12" s="824" t="s">
        <v>1407</v>
      </c>
      <c r="H12" s="825" t="s">
        <v>1717</v>
      </c>
      <c r="I12" s="826" t="s">
        <v>1407</v>
      </c>
      <c r="J12" s="827" t="s">
        <v>335</v>
      </c>
      <c r="K12" s="296"/>
      <c r="L12" s="296"/>
      <c r="O12" s="380" t="str">
        <f t="shared" si="1"/>
        <v>1報告対象建築物-建物所在地-大字・町名</v>
      </c>
    </row>
    <row r="13" spans="1:15">
      <c r="B13" s="853">
        <f>'1_入力シート【基本情報】'!$AB$14</f>
        <v>0</v>
      </c>
      <c r="C13" s="296" t="str">
        <f t="shared" si="0"/>
        <v>0</v>
      </c>
      <c r="E13" s="851">
        <v>1</v>
      </c>
      <c r="F13" s="842" t="s">
        <v>1709</v>
      </c>
      <c r="G13" s="824" t="s">
        <v>1407</v>
      </c>
      <c r="H13" s="825" t="s">
        <v>1717</v>
      </c>
      <c r="I13" s="826" t="s">
        <v>1407</v>
      </c>
      <c r="J13" s="827" t="s">
        <v>698</v>
      </c>
      <c r="K13" s="296"/>
      <c r="L13" s="296"/>
      <c r="O13" s="380" t="str">
        <f t="shared" si="1"/>
        <v>1報告対象建築物-建物所在地-番地など</v>
      </c>
    </row>
    <row r="14" spans="1:15">
      <c r="A14" s="863" t="str">
        <f>TRIM('1_入力シート【基本情報】'!DW18&amp;" "&amp;'1_入力シート【基本情報】'!DW22)</f>
        <v/>
      </c>
      <c r="B14" s="853" t="str">
        <f>A14</f>
        <v/>
      </c>
      <c r="C14" s="296" t="str">
        <f t="shared" si="0"/>
        <v/>
      </c>
      <c r="E14" s="851">
        <v>2</v>
      </c>
      <c r="F14" s="842" t="s">
        <v>1724</v>
      </c>
      <c r="G14" s="824" t="s">
        <v>1407</v>
      </c>
      <c r="H14" s="825" t="s">
        <v>4625</v>
      </c>
      <c r="I14" s="826" t="s">
        <v>1407</v>
      </c>
      <c r="J14" s="843" t="s">
        <v>337</v>
      </c>
      <c r="K14" s="296"/>
      <c r="L14" s="296"/>
      <c r="O14" s="380" t="str">
        <f t="shared" si="1"/>
        <v>2報告内容に関する問合せ先-法人名＋氏名-法人名</v>
      </c>
    </row>
    <row r="15" spans="1:15">
      <c r="B15" s="853" t="str">
        <f>'1_入力シート【基本情報】'!DW25</f>
        <v/>
      </c>
      <c r="C15" s="296" t="str">
        <f t="shared" si="0"/>
        <v/>
      </c>
      <c r="E15" s="851">
        <v>2</v>
      </c>
      <c r="F15" s="842" t="s">
        <v>1724</v>
      </c>
      <c r="G15" s="824" t="s">
        <v>1407</v>
      </c>
      <c r="H15" s="844" t="s">
        <v>1737</v>
      </c>
      <c r="I15" s="826"/>
      <c r="J15" s="843"/>
      <c r="K15" s="296"/>
      <c r="L15" s="296"/>
      <c r="O15" s="380" t="str">
        <f t="shared" si="1"/>
        <v>2報告内容に関する問合せ先-電話番号</v>
      </c>
    </row>
    <row r="16" spans="1:15">
      <c r="B16" s="853" t="str">
        <f>TEXT('1_入力シート【基本情報】'!$AB$27,"")</f>
        <v/>
      </c>
      <c r="C16" s="296" t="str">
        <f t="shared" si="0"/>
        <v/>
      </c>
      <c r="E16" s="851">
        <v>2</v>
      </c>
      <c r="F16" s="842" t="s">
        <v>1724</v>
      </c>
      <c r="G16" s="824" t="s">
        <v>1407</v>
      </c>
      <c r="H16" s="844" t="s">
        <v>1026</v>
      </c>
      <c r="I16" s="826"/>
      <c r="J16" s="843"/>
      <c r="K16" s="296"/>
      <c r="L16" s="296"/>
      <c r="O16" s="380" t="str">
        <f t="shared" si="1"/>
        <v>2報告内容に関する問合せ先-メールアドレス（半角）</v>
      </c>
    </row>
    <row r="17" spans="1:15">
      <c r="B17" s="845" t="str">
        <f>'1_入力シート【基本情報】'!$DW$34</f>
        <v/>
      </c>
      <c r="C17" s="296" t="str">
        <f t="shared" si="0"/>
        <v/>
      </c>
      <c r="E17" s="851">
        <v>3</v>
      </c>
      <c r="F17" s="842" t="s">
        <v>1741</v>
      </c>
      <c r="G17" s="824" t="s">
        <v>1407</v>
      </c>
      <c r="H17" s="844" t="s">
        <v>715</v>
      </c>
      <c r="I17" s="826" t="s">
        <v>1407</v>
      </c>
      <c r="J17" s="845" t="s">
        <v>1725</v>
      </c>
      <c r="K17" s="296"/>
      <c r="L17" s="296"/>
      <c r="O17" s="380" t="str">
        <f t="shared" si="1"/>
        <v>3所有者-所有者氏名-法人名</v>
      </c>
    </row>
    <row r="18" spans="1:15">
      <c r="B18" s="845" t="str">
        <f>'1_入力シート【基本情報】'!$DW$36</f>
        <v/>
      </c>
      <c r="C18" s="296" t="str">
        <f t="shared" si="0"/>
        <v/>
      </c>
      <c r="E18" s="851">
        <v>3</v>
      </c>
      <c r="F18" s="842" t="s">
        <v>1741</v>
      </c>
      <c r="G18" s="824" t="s">
        <v>1407</v>
      </c>
      <c r="H18" s="844" t="s">
        <v>715</v>
      </c>
      <c r="I18" s="826" t="s">
        <v>1407</v>
      </c>
      <c r="J18" s="827" t="s">
        <v>1728</v>
      </c>
      <c r="K18" s="296"/>
      <c r="L18" s="296"/>
      <c r="O18" s="380" t="str">
        <f t="shared" si="1"/>
        <v>3所有者-所有者氏名-肩書</v>
      </c>
    </row>
    <row r="19" spans="1:15">
      <c r="B19" s="845" t="str">
        <f>'1_入力シート【基本情報】'!$DW$38</f>
        <v/>
      </c>
      <c r="C19" s="296" t="str">
        <f t="shared" si="0"/>
        <v/>
      </c>
      <c r="E19" s="851">
        <v>3</v>
      </c>
      <c r="F19" s="842" t="s">
        <v>1741</v>
      </c>
      <c r="G19" s="824" t="s">
        <v>1407</v>
      </c>
      <c r="H19" s="844" t="s">
        <v>715</v>
      </c>
      <c r="I19" s="826" t="s">
        <v>1407</v>
      </c>
      <c r="J19" s="843" t="s">
        <v>1731</v>
      </c>
      <c r="K19" s="296"/>
      <c r="L19" s="296"/>
      <c r="O19" s="380" t="str">
        <f t="shared" si="1"/>
        <v>3所有者-所有者氏名-氏名</v>
      </c>
    </row>
    <row r="20" spans="1:15">
      <c r="B20" s="853" t="str">
        <f>'1_入力シート【基本情報】'!$DN$39</f>
        <v>-</v>
      </c>
      <c r="C20" s="296" t="str">
        <f t="shared" si="0"/>
        <v>-</v>
      </c>
      <c r="E20" s="851">
        <v>3</v>
      </c>
      <c r="F20" s="842" t="s">
        <v>1741</v>
      </c>
      <c r="G20" s="824" t="s">
        <v>1407</v>
      </c>
      <c r="H20" s="844" t="s">
        <v>1734</v>
      </c>
      <c r="I20" s="826"/>
      <c r="J20" s="843"/>
      <c r="K20" s="296"/>
      <c r="L20" s="296"/>
      <c r="O20" s="380" t="str">
        <f t="shared" si="1"/>
        <v>3所有者-郵便番号</v>
      </c>
    </row>
    <row r="21" spans="1:15">
      <c r="B21" s="853">
        <f>'1_入力シート【基本情報】'!$AB$40</f>
        <v>0</v>
      </c>
      <c r="C21" s="296" t="str">
        <f t="shared" si="0"/>
        <v>0</v>
      </c>
      <c r="E21" s="851">
        <v>3</v>
      </c>
      <c r="F21" s="842" t="s">
        <v>1741</v>
      </c>
      <c r="G21" s="824" t="s">
        <v>1407</v>
      </c>
      <c r="H21" s="844" t="s">
        <v>243</v>
      </c>
      <c r="I21" s="826"/>
      <c r="J21" s="843"/>
      <c r="K21" s="296"/>
      <c r="L21" s="296"/>
      <c r="O21" s="380" t="str">
        <f t="shared" si="1"/>
        <v>3所有者-住所</v>
      </c>
    </row>
    <row r="22" spans="1:15">
      <c r="B22" s="853" t="str">
        <f>'1_入力シート【基本情報】'!$DN$41</f>
        <v>--</v>
      </c>
      <c r="C22" s="296" t="str">
        <f t="shared" si="0"/>
        <v>--</v>
      </c>
      <c r="E22" s="851">
        <v>3</v>
      </c>
      <c r="F22" s="842" t="s">
        <v>1741</v>
      </c>
      <c r="G22" s="824" t="s">
        <v>1407</v>
      </c>
      <c r="H22" s="825" t="s">
        <v>1737</v>
      </c>
      <c r="I22" s="826"/>
      <c r="J22" s="843"/>
      <c r="K22" s="296"/>
      <c r="L22" s="296"/>
      <c r="O22" s="380" t="str">
        <f t="shared" si="1"/>
        <v>3所有者-電話番号</v>
      </c>
    </row>
    <row r="23" spans="1:15">
      <c r="A23" s="864" t="str">
        <f>IF('1_入力シート【基本情報】'!$DS$46,'1_入力シート【基本情報】'!$DW$34,'1_入力シート【基本情報】'!$DW$48)</f>
        <v/>
      </c>
      <c r="B23" s="853" t="str">
        <f t="shared" ref="B23:B28" si="2">A23</f>
        <v/>
      </c>
      <c r="C23" s="296" t="str">
        <f t="shared" si="0"/>
        <v/>
      </c>
      <c r="E23" s="851">
        <v>4</v>
      </c>
      <c r="F23" s="842" t="s">
        <v>1748</v>
      </c>
      <c r="G23" s="824" t="s">
        <v>1407</v>
      </c>
      <c r="H23" s="844" t="s">
        <v>345</v>
      </c>
      <c r="I23" s="314" t="s">
        <v>1407</v>
      </c>
      <c r="J23" s="843" t="s">
        <v>1725</v>
      </c>
      <c r="K23" s="296"/>
      <c r="L23" s="296"/>
      <c r="O23" s="380" t="str">
        <f t="shared" si="1"/>
        <v>4管理者-管理者氏名-法人名</v>
      </c>
    </row>
    <row r="24" spans="1:15">
      <c r="A24" s="864" t="str">
        <f>IF('1_入力シート【基本情報】'!$DS$46,'1_入力シート【基本情報】'!$DW$36,'1_入力シート【基本情報】'!$DW$50)</f>
        <v/>
      </c>
      <c r="B24" s="853" t="str">
        <f t="shared" si="2"/>
        <v/>
      </c>
      <c r="C24" s="296" t="str">
        <f t="shared" si="0"/>
        <v/>
      </c>
      <c r="E24" s="851">
        <v>4</v>
      </c>
      <c r="F24" s="842" t="s">
        <v>1748</v>
      </c>
      <c r="G24" s="824" t="s">
        <v>1407</v>
      </c>
      <c r="H24" s="844" t="s">
        <v>345</v>
      </c>
      <c r="I24" s="314" t="s">
        <v>1407</v>
      </c>
      <c r="J24" s="827" t="s">
        <v>1728</v>
      </c>
      <c r="K24" s="296"/>
      <c r="L24" s="296"/>
      <c r="O24" s="380" t="str">
        <f t="shared" si="1"/>
        <v>4管理者-管理者氏名-肩書</v>
      </c>
    </row>
    <row r="25" spans="1:15">
      <c r="A25" s="864" t="str">
        <f>IF('1_入力シート【基本情報】'!$DS$46,'1_入力シート【基本情報】'!$DW$38,'1_入力シート【基本情報】'!$DW$52)</f>
        <v/>
      </c>
      <c r="B25" s="853" t="str">
        <f t="shared" si="2"/>
        <v/>
      </c>
      <c r="C25" s="296" t="str">
        <f t="shared" si="0"/>
        <v/>
      </c>
      <c r="E25" s="851">
        <v>4</v>
      </c>
      <c r="F25" s="842" t="s">
        <v>1748</v>
      </c>
      <c r="G25" s="824" t="s">
        <v>1407</v>
      </c>
      <c r="H25" s="844" t="s">
        <v>345</v>
      </c>
      <c r="I25" s="314" t="s">
        <v>1407</v>
      </c>
      <c r="J25" s="827" t="s">
        <v>1731</v>
      </c>
      <c r="K25" s="296"/>
      <c r="L25" s="296"/>
      <c r="O25" s="380" t="str">
        <f t="shared" si="1"/>
        <v>4管理者-管理者氏名-氏名</v>
      </c>
    </row>
    <row r="26" spans="1:15">
      <c r="A26" s="864" t="str">
        <f>IF('1_入力シート【基本情報】'!$DS$46,'1_入力シート【基本情報】'!$DN$39,'1_入力シート【基本情報】'!$DN$53)</f>
        <v>-</v>
      </c>
      <c r="B26" s="853" t="str">
        <f t="shared" si="2"/>
        <v>-</v>
      </c>
      <c r="C26" s="296" t="str">
        <f t="shared" si="0"/>
        <v>-</v>
      </c>
      <c r="E26" s="851">
        <v>4</v>
      </c>
      <c r="F26" s="842" t="s">
        <v>1748</v>
      </c>
      <c r="G26" s="824" t="s">
        <v>1407</v>
      </c>
      <c r="H26" s="825" t="s">
        <v>1734</v>
      </c>
      <c r="I26" s="826"/>
      <c r="J26" s="827"/>
      <c r="K26" s="296"/>
      <c r="L26" s="296"/>
      <c r="O26" s="380" t="str">
        <f t="shared" si="1"/>
        <v>4管理者-郵便番号</v>
      </c>
    </row>
    <row r="27" spans="1:15">
      <c r="A27" s="864">
        <f>IF('1_入力シート【基本情報】'!$DS$46,'1_入力シート【基本情報】'!$AB$40,'1_入力シート【基本情報】'!$AB$54)</f>
        <v>0</v>
      </c>
      <c r="B27" s="853">
        <f t="shared" si="2"/>
        <v>0</v>
      </c>
      <c r="C27" s="296" t="str">
        <f t="shared" si="0"/>
        <v>0</v>
      </c>
      <c r="E27" s="851">
        <v>4</v>
      </c>
      <c r="F27" s="842" t="s">
        <v>1748</v>
      </c>
      <c r="G27" s="824" t="s">
        <v>1407</v>
      </c>
      <c r="H27" s="825" t="s">
        <v>243</v>
      </c>
      <c r="I27" s="826"/>
      <c r="J27" s="827"/>
      <c r="K27" s="296"/>
      <c r="L27" s="296"/>
      <c r="O27" s="380" t="str">
        <f t="shared" si="1"/>
        <v>4管理者-住所</v>
      </c>
    </row>
    <row r="28" spans="1:15">
      <c r="A28" s="864" t="str">
        <f>IF('1_入力シート【基本情報】'!$DS$46,'1_入力シート【基本情報】'!$DN$41,'1_入力シート【基本情報】'!$DN$55)</f>
        <v>--</v>
      </c>
      <c r="B28" s="853" t="str">
        <f t="shared" si="2"/>
        <v>--</v>
      </c>
      <c r="C28" s="296" t="str">
        <f t="shared" si="0"/>
        <v>--</v>
      </c>
      <c r="E28" s="851">
        <v>4</v>
      </c>
      <c r="F28" s="842" t="s">
        <v>1748</v>
      </c>
      <c r="G28" s="824" t="s">
        <v>1407</v>
      </c>
      <c r="H28" s="825" t="s">
        <v>1737</v>
      </c>
      <c r="I28" s="826"/>
      <c r="J28" s="827"/>
      <c r="K28" s="296"/>
      <c r="L28" s="296"/>
      <c r="O28" s="380" t="str">
        <f t="shared" si="1"/>
        <v>4管理者-電話番号</v>
      </c>
    </row>
    <row r="29" spans="1:15">
      <c r="B29" s="853">
        <f>'1_入力シート【基本情報】'!$AB$56</f>
        <v>0</v>
      </c>
      <c r="C29" s="296" t="str">
        <f t="shared" si="0"/>
        <v>0</v>
      </c>
      <c r="E29" s="851">
        <v>4</v>
      </c>
      <c r="F29" s="842" t="s">
        <v>1748</v>
      </c>
      <c r="G29" s="824" t="s">
        <v>1879</v>
      </c>
      <c r="H29" s="825" t="s">
        <v>3370</v>
      </c>
      <c r="I29" s="826"/>
      <c r="J29" s="827"/>
      <c r="K29" s="296"/>
      <c r="L29" s="296"/>
      <c r="O29" s="380" t="str">
        <f t="shared" si="1"/>
        <v>4管理者-メールアドレス（半角）</v>
      </c>
    </row>
    <row r="30" spans="1:15">
      <c r="A30" s="863" t="e">
        <f>TEXT('1_入力シート【基本情報】'!$EB$186,"yyyy/mm/dd")</f>
        <v>#N/A</v>
      </c>
      <c r="B30" s="854" t="e">
        <f>A30</f>
        <v>#N/A</v>
      </c>
      <c r="C30" s="296" t="e">
        <f t="shared" si="0"/>
        <v>#N/A</v>
      </c>
      <c r="E30" s="851">
        <v>12</v>
      </c>
      <c r="F30" s="847" t="s">
        <v>1849</v>
      </c>
      <c r="G30" s="824" t="s">
        <v>1407</v>
      </c>
      <c r="H30" s="825" t="s">
        <v>1873</v>
      </c>
      <c r="I30" s="826" t="s">
        <v>1407</v>
      </c>
      <c r="J30" s="850" t="s">
        <v>1031</v>
      </c>
      <c r="K30" s="826" t="s">
        <v>1407</v>
      </c>
      <c r="L30" s="842" t="s">
        <v>1399</v>
      </c>
      <c r="O30" s="380" t="str">
        <f t="shared" ref="O30:O118" si="3">CONCATENATE(E30,F30,G30,H30,I30,J30,K30,L30)</f>
        <v>12関連図書の整備-新築時の確認申請-確認-交付年月日</v>
      </c>
    </row>
    <row r="31" spans="1:15">
      <c r="B31" s="854">
        <f>'1_入力シート【基本情報】'!EB187</f>
        <v>0</v>
      </c>
      <c r="C31" s="296" t="str">
        <f t="shared" si="0"/>
        <v>0</v>
      </c>
      <c r="E31" s="851">
        <v>12</v>
      </c>
      <c r="F31" s="847" t="s">
        <v>1849</v>
      </c>
      <c r="G31" s="824" t="s">
        <v>1407</v>
      </c>
      <c r="H31" s="825" t="s">
        <v>1873</v>
      </c>
      <c r="I31" s="826" t="s">
        <v>1407</v>
      </c>
      <c r="J31" s="850" t="s">
        <v>1031</v>
      </c>
      <c r="K31" s="826" t="s">
        <v>1407</v>
      </c>
      <c r="L31" s="842" t="s">
        <v>250</v>
      </c>
      <c r="O31" s="380" t="str">
        <f t="shared" si="3"/>
        <v>12関連図書の整備-新築時の確認申請-確認-交付番号</v>
      </c>
    </row>
    <row r="32" spans="1:15">
      <c r="A32" s="863" t="e">
        <f>TEXT('1_入力シート【基本情報】'!$EB$192,"yyyy/mm/dd")</f>
        <v>#N/A</v>
      </c>
      <c r="B32" s="854" t="e">
        <f>A32</f>
        <v>#N/A</v>
      </c>
      <c r="C32" s="296" t="e">
        <f t="shared" si="0"/>
        <v>#N/A</v>
      </c>
      <c r="E32" s="851">
        <v>12</v>
      </c>
      <c r="F32" s="847" t="s">
        <v>1849</v>
      </c>
      <c r="G32" s="824" t="s">
        <v>1407</v>
      </c>
      <c r="H32" s="825" t="s">
        <v>1873</v>
      </c>
      <c r="I32" s="826" t="s">
        <v>1407</v>
      </c>
      <c r="J32" s="850" t="s">
        <v>1034</v>
      </c>
      <c r="K32" s="826" t="s">
        <v>1879</v>
      </c>
      <c r="L32" s="842" t="s">
        <v>1399</v>
      </c>
      <c r="O32" s="380" t="str">
        <f t="shared" si="3"/>
        <v>12関連図書の整備-新築時の確認申請-完了-交付年月日</v>
      </c>
    </row>
    <row r="33" spans="2:15">
      <c r="B33" s="854">
        <f>'1_入力シート【基本情報】'!EB193</f>
        <v>0</v>
      </c>
      <c r="C33" s="296" t="str">
        <f t="shared" si="0"/>
        <v>0</v>
      </c>
      <c r="E33" s="851">
        <v>12</v>
      </c>
      <c r="F33" s="847" t="s">
        <v>1849</v>
      </c>
      <c r="G33" s="824" t="s">
        <v>1407</v>
      </c>
      <c r="H33" s="825" t="s">
        <v>1873</v>
      </c>
      <c r="I33" s="826" t="s">
        <v>1407</v>
      </c>
      <c r="J33" s="827" t="s">
        <v>1034</v>
      </c>
      <c r="K33" s="826" t="s">
        <v>1879</v>
      </c>
      <c r="L33" s="848" t="s">
        <v>250</v>
      </c>
      <c r="O33" s="380" t="str">
        <f t="shared" si="3"/>
        <v>12関連図書の整備-新築時の確認申請-完了-交付番号</v>
      </c>
    </row>
    <row r="34" spans="2:15">
      <c r="B34" s="845">
        <f>'2_入力シート【用途面積】'!$G$4</f>
        <v>0</v>
      </c>
      <c r="C34" s="296" t="str">
        <f t="shared" si="0"/>
        <v>0</v>
      </c>
      <c r="E34" s="852"/>
      <c r="F34" s="296" t="s">
        <v>4919</v>
      </c>
      <c r="G34" s="824" t="s">
        <v>1407</v>
      </c>
      <c r="H34" s="296">
        <v>1</v>
      </c>
      <c r="I34" s="826" t="s">
        <v>1407</v>
      </c>
      <c r="J34" s="296" t="s">
        <v>2238</v>
      </c>
      <c r="K34" s="296"/>
      <c r="L34" s="296"/>
      <c r="O34" s="380" t="str">
        <f t="shared" si="3"/>
        <v>用途-1-大分類</v>
      </c>
    </row>
    <row r="35" spans="2:15">
      <c r="B35" s="845">
        <f>'2_入力シート【用途面積】'!$G$7</f>
        <v>0</v>
      </c>
      <c r="C35" s="296" t="str">
        <f t="shared" si="0"/>
        <v>0</v>
      </c>
      <c r="E35" s="852"/>
      <c r="F35" s="296" t="s">
        <v>4919</v>
      </c>
      <c r="G35" s="824" t="s">
        <v>1407</v>
      </c>
      <c r="H35" s="296">
        <v>1</v>
      </c>
      <c r="I35" s="826" t="s">
        <v>1407</v>
      </c>
      <c r="J35" s="296" t="s">
        <v>2715</v>
      </c>
      <c r="K35" s="296"/>
      <c r="L35" s="296"/>
      <c r="O35" s="380" t="str">
        <f t="shared" si="3"/>
        <v>用途-1-小分類</v>
      </c>
    </row>
    <row r="36" spans="2:15">
      <c r="B36" s="845">
        <f>'2_入力シート【用途面積】'!$G$12</f>
        <v>0</v>
      </c>
      <c r="C36" s="296" t="str">
        <f t="shared" si="0"/>
        <v>0</v>
      </c>
      <c r="E36" s="852"/>
      <c r="F36" s="296" t="s">
        <v>4919</v>
      </c>
      <c r="G36" s="824" t="s">
        <v>1407</v>
      </c>
      <c r="H36" s="296">
        <v>1</v>
      </c>
      <c r="I36" s="826" t="s">
        <v>1407</v>
      </c>
      <c r="J36" s="296" t="s">
        <v>3137</v>
      </c>
      <c r="K36" s="296"/>
      <c r="L36" s="296"/>
      <c r="O36" s="380" t="str">
        <f t="shared" si="3"/>
        <v>用途-1-特記</v>
      </c>
    </row>
    <row r="37" spans="2:15">
      <c r="B37" s="845">
        <f>'2_入力シート【用途面積】'!$I$4</f>
        <v>0</v>
      </c>
      <c r="C37" s="296" t="str">
        <f t="shared" si="0"/>
        <v>0</v>
      </c>
      <c r="E37" s="852"/>
      <c r="F37" s="296" t="s">
        <v>4919</v>
      </c>
      <c r="G37" s="824" t="s">
        <v>1407</v>
      </c>
      <c r="H37" s="296">
        <v>2</v>
      </c>
      <c r="I37" s="826" t="s">
        <v>1407</v>
      </c>
      <c r="J37" s="296" t="s">
        <v>2238</v>
      </c>
      <c r="K37" s="296"/>
      <c r="L37" s="296"/>
      <c r="O37" s="380" t="str">
        <f t="shared" si="3"/>
        <v>用途-2-大分類</v>
      </c>
    </row>
    <row r="38" spans="2:15">
      <c r="B38" s="845">
        <f>'2_入力シート【用途面積】'!$I$7</f>
        <v>0</v>
      </c>
      <c r="C38" s="296" t="str">
        <f t="shared" si="0"/>
        <v>0</v>
      </c>
      <c r="E38" s="852"/>
      <c r="F38" s="296" t="s">
        <v>4919</v>
      </c>
      <c r="G38" s="824" t="s">
        <v>1407</v>
      </c>
      <c r="H38" s="296">
        <v>2</v>
      </c>
      <c r="I38" s="826" t="s">
        <v>1407</v>
      </c>
      <c r="J38" s="296" t="s">
        <v>2715</v>
      </c>
      <c r="K38" s="296"/>
      <c r="L38" s="296"/>
      <c r="O38" s="380" t="str">
        <f t="shared" si="3"/>
        <v>用途-2-小分類</v>
      </c>
    </row>
    <row r="39" spans="2:15">
      <c r="B39" s="845">
        <f>'2_入力シート【用途面積】'!$I$12</f>
        <v>0</v>
      </c>
      <c r="C39" s="296" t="str">
        <f t="shared" si="0"/>
        <v>0</v>
      </c>
      <c r="E39" s="852"/>
      <c r="F39" s="296" t="s">
        <v>4919</v>
      </c>
      <c r="G39" s="824" t="s">
        <v>1407</v>
      </c>
      <c r="H39" s="296">
        <v>2</v>
      </c>
      <c r="I39" s="826" t="s">
        <v>1407</v>
      </c>
      <c r="J39" s="296" t="s">
        <v>3137</v>
      </c>
      <c r="K39" s="296"/>
      <c r="L39" s="296"/>
      <c r="O39" s="380" t="str">
        <f t="shared" si="3"/>
        <v>用途-2-特記</v>
      </c>
    </row>
    <row r="40" spans="2:15">
      <c r="B40" s="845">
        <f>'2_入力シート【用途面積】'!$K$4</f>
        <v>0</v>
      </c>
      <c r="C40" s="296" t="str">
        <f t="shared" si="0"/>
        <v>0</v>
      </c>
      <c r="E40" s="852"/>
      <c r="F40" s="296" t="s">
        <v>4919</v>
      </c>
      <c r="G40" s="824" t="s">
        <v>1407</v>
      </c>
      <c r="H40" s="296">
        <v>3</v>
      </c>
      <c r="I40" s="826" t="s">
        <v>1407</v>
      </c>
      <c r="J40" s="296" t="s">
        <v>2238</v>
      </c>
      <c r="K40" s="296"/>
      <c r="L40" s="296"/>
      <c r="O40" s="380" t="str">
        <f t="shared" si="3"/>
        <v>用途-3-大分類</v>
      </c>
    </row>
    <row r="41" spans="2:15">
      <c r="B41" s="845">
        <f>'2_入力シート【用途面積】'!$K$7</f>
        <v>0</v>
      </c>
      <c r="C41" s="296" t="str">
        <f t="shared" si="0"/>
        <v>0</v>
      </c>
      <c r="E41" s="852"/>
      <c r="F41" s="296" t="s">
        <v>4919</v>
      </c>
      <c r="G41" s="824" t="s">
        <v>1407</v>
      </c>
      <c r="H41" s="296">
        <v>3</v>
      </c>
      <c r="I41" s="826" t="s">
        <v>1407</v>
      </c>
      <c r="J41" s="296" t="s">
        <v>2715</v>
      </c>
      <c r="K41" s="296"/>
      <c r="L41" s="296"/>
      <c r="O41" s="380" t="str">
        <f t="shared" si="3"/>
        <v>用途-3-小分類</v>
      </c>
    </row>
    <row r="42" spans="2:15">
      <c r="B42" s="845">
        <f>'2_入力シート【用途面積】'!$K$12</f>
        <v>0</v>
      </c>
      <c r="C42" s="296" t="str">
        <f t="shared" si="0"/>
        <v>0</v>
      </c>
      <c r="E42" s="852"/>
      <c r="F42" s="296" t="s">
        <v>4919</v>
      </c>
      <c r="G42" s="824" t="s">
        <v>1407</v>
      </c>
      <c r="H42" s="296">
        <v>3</v>
      </c>
      <c r="I42" s="826" t="s">
        <v>1407</v>
      </c>
      <c r="J42" s="296" t="s">
        <v>3137</v>
      </c>
      <c r="K42" s="296"/>
      <c r="L42" s="296"/>
      <c r="O42" s="380" t="str">
        <f t="shared" si="3"/>
        <v>用途-3-特記</v>
      </c>
    </row>
    <row r="43" spans="2:15">
      <c r="B43" s="845">
        <f>'2_入力シート【用途面積】'!$M$4</f>
        <v>0</v>
      </c>
      <c r="C43" s="296" t="str">
        <f t="shared" si="0"/>
        <v>0</v>
      </c>
      <c r="E43" s="852"/>
      <c r="F43" s="296" t="s">
        <v>4919</v>
      </c>
      <c r="G43" s="824" t="s">
        <v>1407</v>
      </c>
      <c r="H43" s="296">
        <v>4</v>
      </c>
      <c r="I43" s="826" t="s">
        <v>1407</v>
      </c>
      <c r="J43" s="296" t="s">
        <v>2238</v>
      </c>
      <c r="K43" s="296"/>
      <c r="L43" s="296"/>
      <c r="O43" s="380" t="str">
        <f t="shared" si="3"/>
        <v>用途-4-大分類</v>
      </c>
    </row>
    <row r="44" spans="2:15">
      <c r="B44" s="845">
        <f>'2_入力シート【用途面積】'!$M$7</f>
        <v>0</v>
      </c>
      <c r="C44" s="296" t="str">
        <f t="shared" si="0"/>
        <v>0</v>
      </c>
      <c r="E44" s="852"/>
      <c r="F44" s="296" t="s">
        <v>4919</v>
      </c>
      <c r="G44" s="824" t="s">
        <v>1407</v>
      </c>
      <c r="H44" s="296">
        <v>4</v>
      </c>
      <c r="I44" s="826" t="s">
        <v>1407</v>
      </c>
      <c r="J44" s="296" t="s">
        <v>2715</v>
      </c>
      <c r="K44" s="296"/>
      <c r="L44" s="296"/>
      <c r="O44" s="380" t="str">
        <f t="shared" si="3"/>
        <v>用途-4-小分類</v>
      </c>
    </row>
    <row r="45" spans="2:15">
      <c r="B45" s="845">
        <f>'2_入力シート【用途面積】'!$M$12</f>
        <v>0</v>
      </c>
      <c r="C45" s="296" t="str">
        <f t="shared" si="0"/>
        <v>0</v>
      </c>
      <c r="E45" s="852"/>
      <c r="F45" s="296" t="s">
        <v>4919</v>
      </c>
      <c r="G45" s="824" t="s">
        <v>1407</v>
      </c>
      <c r="H45" s="296">
        <v>4</v>
      </c>
      <c r="I45" s="826" t="s">
        <v>1407</v>
      </c>
      <c r="J45" s="296" t="s">
        <v>3137</v>
      </c>
      <c r="K45" s="296"/>
      <c r="L45" s="296"/>
      <c r="O45" s="380" t="str">
        <f t="shared" si="3"/>
        <v>用途-4-特記</v>
      </c>
    </row>
    <row r="46" spans="2:15">
      <c r="B46" s="845">
        <f>'2_入力シート【用途面積】'!$O$4</f>
        <v>0</v>
      </c>
      <c r="C46" s="296" t="str">
        <f t="shared" si="0"/>
        <v>0</v>
      </c>
      <c r="E46" s="852"/>
      <c r="F46" s="296" t="s">
        <v>4919</v>
      </c>
      <c r="G46" s="824" t="s">
        <v>1407</v>
      </c>
      <c r="H46" s="296">
        <v>5</v>
      </c>
      <c r="I46" s="826" t="s">
        <v>1407</v>
      </c>
      <c r="J46" s="296" t="s">
        <v>2238</v>
      </c>
      <c r="K46" s="296"/>
      <c r="L46" s="296"/>
      <c r="O46" s="380" t="str">
        <f t="shared" si="3"/>
        <v>用途-5-大分類</v>
      </c>
    </row>
    <row r="47" spans="2:15">
      <c r="B47" s="845">
        <f>'2_入力シート【用途面積】'!$O$7</f>
        <v>0</v>
      </c>
      <c r="C47" s="296" t="str">
        <f t="shared" si="0"/>
        <v>0</v>
      </c>
      <c r="E47" s="852"/>
      <c r="F47" s="296" t="s">
        <v>4919</v>
      </c>
      <c r="G47" s="824" t="s">
        <v>1407</v>
      </c>
      <c r="H47" s="296">
        <v>5</v>
      </c>
      <c r="I47" s="826" t="s">
        <v>1407</v>
      </c>
      <c r="J47" s="296" t="s">
        <v>2715</v>
      </c>
      <c r="K47" s="296"/>
      <c r="L47" s="296"/>
      <c r="O47" s="380" t="str">
        <f t="shared" si="3"/>
        <v>用途-5-小分類</v>
      </c>
    </row>
    <row r="48" spans="2:15">
      <c r="B48" s="845">
        <f>'2_入力シート【用途面積】'!$O$12</f>
        <v>0</v>
      </c>
      <c r="C48" s="296" t="str">
        <f t="shared" si="0"/>
        <v>0</v>
      </c>
      <c r="E48" s="852"/>
      <c r="F48" s="296" t="s">
        <v>4919</v>
      </c>
      <c r="G48" s="824" t="s">
        <v>1407</v>
      </c>
      <c r="H48" s="296">
        <v>5</v>
      </c>
      <c r="I48" s="826" t="s">
        <v>1407</v>
      </c>
      <c r="J48" s="296" t="s">
        <v>3137</v>
      </c>
      <c r="K48" s="296"/>
      <c r="L48" s="296"/>
      <c r="O48" s="380" t="str">
        <f t="shared" si="3"/>
        <v>用途-5-特記</v>
      </c>
    </row>
    <row r="49" spans="2:15">
      <c r="B49" s="845">
        <f>'2_入力シート【用途面積】'!$Q$4</f>
        <v>0</v>
      </c>
      <c r="C49" s="296" t="str">
        <f t="shared" si="0"/>
        <v>0</v>
      </c>
      <c r="E49" s="852"/>
      <c r="F49" s="296" t="s">
        <v>4919</v>
      </c>
      <c r="G49" s="824" t="s">
        <v>1407</v>
      </c>
      <c r="H49" s="296">
        <v>6</v>
      </c>
      <c r="I49" s="826" t="s">
        <v>1407</v>
      </c>
      <c r="J49" s="296" t="s">
        <v>2238</v>
      </c>
      <c r="K49" s="296"/>
      <c r="L49" s="296"/>
      <c r="O49" s="380" t="str">
        <f t="shared" si="3"/>
        <v>用途-6-大分類</v>
      </c>
    </row>
    <row r="50" spans="2:15">
      <c r="B50" s="845">
        <f>'2_入力シート【用途面積】'!$Q$7</f>
        <v>0</v>
      </c>
      <c r="C50" s="296" t="str">
        <f t="shared" si="0"/>
        <v>0</v>
      </c>
      <c r="E50" s="852"/>
      <c r="F50" s="296" t="s">
        <v>4919</v>
      </c>
      <c r="G50" s="824" t="s">
        <v>1407</v>
      </c>
      <c r="H50" s="296">
        <v>6</v>
      </c>
      <c r="I50" s="826" t="s">
        <v>1407</v>
      </c>
      <c r="J50" s="296" t="s">
        <v>2715</v>
      </c>
      <c r="K50" s="296"/>
      <c r="L50" s="296"/>
      <c r="O50" s="380" t="str">
        <f t="shared" si="3"/>
        <v>用途-6-小分類</v>
      </c>
    </row>
    <row r="51" spans="2:15">
      <c r="B51" s="845">
        <f>'2_入力シート【用途面積】'!$Q$12</f>
        <v>0</v>
      </c>
      <c r="C51" s="296" t="str">
        <f t="shared" si="0"/>
        <v>0</v>
      </c>
      <c r="E51" s="852"/>
      <c r="F51" s="296" t="s">
        <v>4919</v>
      </c>
      <c r="G51" s="824" t="s">
        <v>1407</v>
      </c>
      <c r="H51" s="296">
        <v>6</v>
      </c>
      <c r="I51" s="826" t="s">
        <v>1407</v>
      </c>
      <c r="J51" s="296" t="s">
        <v>3137</v>
      </c>
      <c r="K51" s="296"/>
      <c r="L51" s="296"/>
      <c r="O51" s="380" t="str">
        <f t="shared" si="3"/>
        <v>用途-6-特記</v>
      </c>
    </row>
    <row r="52" spans="2:15">
      <c r="B52" s="845">
        <f>'2_入力シート【用途面積】'!$S$4</f>
        <v>0</v>
      </c>
      <c r="C52" s="296" t="str">
        <f t="shared" si="0"/>
        <v>0</v>
      </c>
      <c r="E52" s="852"/>
      <c r="F52" s="296" t="s">
        <v>4919</v>
      </c>
      <c r="G52" s="824" t="s">
        <v>1407</v>
      </c>
      <c r="H52" s="296">
        <v>7</v>
      </c>
      <c r="I52" s="826" t="s">
        <v>1407</v>
      </c>
      <c r="J52" s="296" t="s">
        <v>2238</v>
      </c>
      <c r="K52" s="296"/>
      <c r="L52" s="296"/>
      <c r="O52" s="380" t="str">
        <f t="shared" si="3"/>
        <v>用途-7-大分類</v>
      </c>
    </row>
    <row r="53" spans="2:15">
      <c r="B53" s="845">
        <f>'2_入力シート【用途面積】'!$S$7</f>
        <v>0</v>
      </c>
      <c r="C53" s="296" t="str">
        <f t="shared" si="0"/>
        <v>0</v>
      </c>
      <c r="E53" s="852"/>
      <c r="F53" s="296" t="s">
        <v>4919</v>
      </c>
      <c r="G53" s="824" t="s">
        <v>1407</v>
      </c>
      <c r="H53" s="296">
        <v>7</v>
      </c>
      <c r="I53" s="826" t="s">
        <v>1407</v>
      </c>
      <c r="J53" s="296" t="s">
        <v>2715</v>
      </c>
      <c r="K53" s="296"/>
      <c r="L53" s="296"/>
      <c r="O53" s="380" t="str">
        <f t="shared" si="3"/>
        <v>用途-7-小分類</v>
      </c>
    </row>
    <row r="54" spans="2:15">
      <c r="B54" s="845">
        <f>'2_入力シート【用途面積】'!$S$12</f>
        <v>0</v>
      </c>
      <c r="C54" s="296" t="str">
        <f t="shared" si="0"/>
        <v>0</v>
      </c>
      <c r="E54" s="852"/>
      <c r="F54" s="296" t="s">
        <v>4919</v>
      </c>
      <c r="G54" s="824" t="s">
        <v>1407</v>
      </c>
      <c r="H54" s="296">
        <v>7</v>
      </c>
      <c r="I54" s="826" t="s">
        <v>1407</v>
      </c>
      <c r="J54" s="296" t="s">
        <v>3137</v>
      </c>
      <c r="K54" s="296"/>
      <c r="L54" s="296"/>
      <c r="O54" s="380" t="str">
        <f t="shared" si="3"/>
        <v>用途-7-特記</v>
      </c>
    </row>
    <row r="55" spans="2:15">
      <c r="B55" s="845" t="str">
        <f>'2_入力シート【用途面積】'!$CJ$62</f>
        <v/>
      </c>
      <c r="C55" s="296" t="str">
        <f t="shared" si="0"/>
        <v/>
      </c>
      <c r="E55" s="852"/>
      <c r="F55" s="296" t="s">
        <v>4919</v>
      </c>
      <c r="G55" s="824" t="s">
        <v>1407</v>
      </c>
      <c r="H55" s="296" t="s">
        <v>4905</v>
      </c>
      <c r="I55" s="296"/>
      <c r="J55" s="296"/>
      <c r="K55" s="296"/>
      <c r="L55" s="296"/>
      <c r="O55" s="380" t="str">
        <f t="shared" si="3"/>
        <v>用途-存在用途</v>
      </c>
    </row>
    <row r="56" spans="2:15">
      <c r="B56" s="845" t="str">
        <f>'2_入力シート【用途面積】'!$CJ$132</f>
        <v/>
      </c>
      <c r="C56" s="296" t="str">
        <f t="shared" si="0"/>
        <v/>
      </c>
      <c r="E56" s="852"/>
      <c r="F56" s="296" t="s">
        <v>4919</v>
      </c>
      <c r="G56" s="824" t="s">
        <v>1407</v>
      </c>
      <c r="H56" s="296" t="s">
        <v>4906</v>
      </c>
      <c r="I56" s="296"/>
      <c r="J56" s="296"/>
      <c r="K56" s="296"/>
      <c r="L56" s="296"/>
      <c r="O56" s="380" t="str">
        <f t="shared" si="3"/>
        <v>用途-対象用途ID記号（面積最大）</v>
      </c>
    </row>
    <row r="57" spans="2:15">
      <c r="B57" s="845" t="str">
        <f>'2_入力シート【用途面積】'!$BR$177</f>
        <v/>
      </c>
      <c r="C57" s="296" t="str">
        <f t="shared" si="0"/>
        <v/>
      </c>
      <c r="E57" s="852"/>
      <c r="F57" s="296" t="s">
        <v>4919</v>
      </c>
      <c r="G57" s="824" t="s">
        <v>1407</v>
      </c>
      <c r="H57" s="296" t="s">
        <v>4908</v>
      </c>
      <c r="I57" s="296"/>
      <c r="J57" s="296"/>
      <c r="K57" s="296"/>
      <c r="L57" s="296"/>
      <c r="O57" s="380" t="str">
        <f t="shared" si="3"/>
        <v>用途-対象種別ID分類番号</v>
      </c>
    </row>
    <row r="58" spans="2:15">
      <c r="B58" s="845" t="str">
        <f>'2_入力シート【用途面積】'!$CJ$123</f>
        <v/>
      </c>
      <c r="C58" s="296" t="str">
        <f t="shared" si="0"/>
        <v/>
      </c>
      <c r="E58" s="852"/>
      <c r="F58" s="296" t="s">
        <v>4919</v>
      </c>
      <c r="G58" s="824" t="s">
        <v>1407</v>
      </c>
      <c r="H58" s="296" t="s">
        <v>4913</v>
      </c>
      <c r="I58" s="296"/>
      <c r="J58" s="296"/>
      <c r="K58" s="296"/>
      <c r="L58" s="296"/>
      <c r="O58" s="380" t="str">
        <f t="shared" si="3"/>
        <v>用途-対象用途（建築物）</v>
      </c>
    </row>
    <row r="59" spans="2:15">
      <c r="B59" s="845">
        <f>'2_入力シート【用途面積】'!$BS$184</f>
        <v>0</v>
      </c>
      <c r="C59" s="296" t="str">
        <f t="shared" si="0"/>
        <v>0</v>
      </c>
      <c r="E59" s="852"/>
      <c r="F59" s="296" t="s">
        <v>4919</v>
      </c>
      <c r="G59" s="824" t="s">
        <v>1407</v>
      </c>
      <c r="H59" s="296" t="s">
        <v>4878</v>
      </c>
      <c r="I59" s="296"/>
      <c r="J59" s="296"/>
      <c r="K59" s="296"/>
      <c r="L59" s="296"/>
      <c r="O59" s="380" t="str">
        <f t="shared" si="3"/>
        <v>用途-ID用途面積</v>
      </c>
    </row>
    <row r="60" spans="2:15">
      <c r="B60" s="845">
        <f>'2_入力シート【用途面積】'!$BS$185</f>
        <v>0</v>
      </c>
      <c r="C60" s="296" t="str">
        <f t="shared" si="0"/>
        <v>0</v>
      </c>
      <c r="E60" s="852"/>
      <c r="F60" s="296" t="s">
        <v>4919</v>
      </c>
      <c r="G60" s="824" t="s">
        <v>1407</v>
      </c>
      <c r="H60" s="296" t="s">
        <v>4880</v>
      </c>
      <c r="I60" s="296"/>
      <c r="J60" s="296"/>
      <c r="K60" s="296"/>
      <c r="L60" s="296"/>
      <c r="O60" s="380" t="str">
        <f t="shared" si="3"/>
        <v>用途-建築設備対象面積</v>
      </c>
    </row>
    <row r="61" spans="2:15">
      <c r="B61" s="845" t="str">
        <f>'2_入力シート【用途面積】'!$BS$186</f>
        <v/>
      </c>
      <c r="C61" s="296" t="str">
        <f t="shared" si="0"/>
        <v/>
      </c>
      <c r="E61" s="852"/>
      <c r="F61" s="296" t="s">
        <v>4919</v>
      </c>
      <c r="G61" s="824" t="s">
        <v>1407</v>
      </c>
      <c r="H61" s="296" t="s">
        <v>4918</v>
      </c>
      <c r="I61" s="296"/>
      <c r="J61" s="296"/>
      <c r="K61" s="296"/>
      <c r="L61" s="296"/>
      <c r="O61" s="380" t="str">
        <f t="shared" si="3"/>
        <v>用途-建築設備対象用途ID記号</v>
      </c>
    </row>
    <row r="62" spans="2:15">
      <c r="B62" s="845">
        <f>'2_入力シート【用途面積】'!$BS$187</f>
        <v>0</v>
      </c>
      <c r="C62" s="296" t="str">
        <f t="shared" si="0"/>
        <v>0</v>
      </c>
      <c r="E62" s="852"/>
      <c r="F62" s="296" t="s">
        <v>4919</v>
      </c>
      <c r="G62" s="824" t="s">
        <v>1407</v>
      </c>
      <c r="H62" s="296" t="s">
        <v>4882</v>
      </c>
      <c r="I62" s="296"/>
      <c r="J62" s="296"/>
      <c r="K62" s="296"/>
      <c r="L62" s="296"/>
      <c r="O62" s="380" t="str">
        <f t="shared" si="3"/>
        <v>用途-特殊建築物面積</v>
      </c>
    </row>
    <row r="63" spans="2:15">
      <c r="B63" s="845" t="str">
        <f>'2_入力シート【用途面積】'!$BS$189</f>
        <v/>
      </c>
      <c r="C63" s="296" t="str">
        <f t="shared" si="0"/>
        <v/>
      </c>
      <c r="E63" s="852"/>
      <c r="F63" s="296" t="s">
        <v>4919</v>
      </c>
      <c r="G63" s="824" t="s">
        <v>1407</v>
      </c>
      <c r="H63" s="296" t="s">
        <v>4884</v>
      </c>
      <c r="I63" s="296"/>
      <c r="J63" s="296"/>
      <c r="K63" s="296"/>
      <c r="L63" s="296"/>
      <c r="O63" s="380" t="str">
        <f t="shared" si="3"/>
        <v>用途-指定根拠分類</v>
      </c>
    </row>
    <row r="64" spans="2:15">
      <c r="B64" s="845">
        <f>'2_入力シート【用途面積】'!$E$13</f>
        <v>0</v>
      </c>
      <c r="C64" s="296" t="str">
        <f t="shared" si="0"/>
        <v>0</v>
      </c>
      <c r="E64" s="852"/>
      <c r="F64" s="296" t="s">
        <v>463</v>
      </c>
      <c r="G64" s="824" t="s">
        <v>1407</v>
      </c>
      <c r="H64" s="296" t="s">
        <v>4922</v>
      </c>
      <c r="I64" s="296"/>
      <c r="J64" s="296"/>
      <c r="K64" s="296"/>
      <c r="L64" s="296"/>
      <c r="O64" s="380" t="str">
        <f t="shared" si="3"/>
        <v>床面積-延床面積</v>
      </c>
    </row>
    <row r="65" spans="1:15">
      <c r="B65" s="845">
        <f>'2_入力シート【用途面積】'!$G$13</f>
        <v>0</v>
      </c>
      <c r="C65" s="296" t="str">
        <f t="shared" si="0"/>
        <v>0</v>
      </c>
      <c r="E65" s="852"/>
      <c r="F65" s="296" t="s">
        <v>463</v>
      </c>
      <c r="G65" s="824" t="s">
        <v>1407</v>
      </c>
      <c r="H65" s="296" t="s">
        <v>4919</v>
      </c>
      <c r="I65" s="824" t="s">
        <v>1407</v>
      </c>
      <c r="J65" s="296">
        <v>1</v>
      </c>
      <c r="K65" s="296"/>
      <c r="L65" s="296"/>
      <c r="O65" s="380" t="str">
        <f t="shared" si="3"/>
        <v>床面積-用途-1</v>
      </c>
    </row>
    <row r="66" spans="1:15">
      <c r="B66" s="845">
        <f>'2_入力シート【用途面積】'!$I$13</f>
        <v>0</v>
      </c>
      <c r="C66" s="296" t="str">
        <f t="shared" si="0"/>
        <v>0</v>
      </c>
      <c r="E66" s="852"/>
      <c r="F66" s="296" t="s">
        <v>463</v>
      </c>
      <c r="G66" s="824" t="s">
        <v>1407</v>
      </c>
      <c r="H66" s="296" t="s">
        <v>4919</v>
      </c>
      <c r="I66" s="824" t="s">
        <v>1407</v>
      </c>
      <c r="J66" s="296">
        <v>2</v>
      </c>
      <c r="K66" s="296"/>
      <c r="L66" s="296"/>
      <c r="O66" s="380" t="str">
        <f t="shared" si="3"/>
        <v>床面積-用途-2</v>
      </c>
    </row>
    <row r="67" spans="1:15">
      <c r="B67" s="845">
        <f>'2_入力シート【用途面積】'!$K$13</f>
        <v>0</v>
      </c>
      <c r="C67" s="296" t="str">
        <f t="shared" si="0"/>
        <v>0</v>
      </c>
      <c r="E67" s="852"/>
      <c r="F67" s="296" t="s">
        <v>463</v>
      </c>
      <c r="G67" s="824" t="s">
        <v>1407</v>
      </c>
      <c r="H67" s="296" t="s">
        <v>4919</v>
      </c>
      <c r="I67" s="824" t="s">
        <v>1407</v>
      </c>
      <c r="J67" s="296">
        <v>3</v>
      </c>
      <c r="K67" s="296"/>
      <c r="L67" s="296"/>
      <c r="O67" s="380" t="str">
        <f t="shared" si="3"/>
        <v>床面積-用途-3</v>
      </c>
    </row>
    <row r="68" spans="1:15">
      <c r="B68" s="845">
        <f>'2_入力シート【用途面積】'!$M$13</f>
        <v>0</v>
      </c>
      <c r="C68" s="296" t="str">
        <f t="shared" si="0"/>
        <v>0</v>
      </c>
      <c r="E68" s="852"/>
      <c r="F68" s="296" t="s">
        <v>463</v>
      </c>
      <c r="G68" s="824" t="s">
        <v>1407</v>
      </c>
      <c r="H68" s="296" t="s">
        <v>4919</v>
      </c>
      <c r="I68" s="824" t="s">
        <v>1407</v>
      </c>
      <c r="J68" s="296">
        <v>4</v>
      </c>
      <c r="K68" s="296"/>
      <c r="L68" s="296"/>
      <c r="O68" s="380" t="str">
        <f t="shared" si="3"/>
        <v>床面積-用途-4</v>
      </c>
    </row>
    <row r="69" spans="1:15">
      <c r="B69" s="845">
        <f>'2_入力シート【用途面積】'!$O$13</f>
        <v>0</v>
      </c>
      <c r="C69" s="296" t="str">
        <f t="shared" ref="C69:C132" si="4">SUBSTITUTE(B69,CHAR(10),"")</f>
        <v>0</v>
      </c>
      <c r="E69" s="852"/>
      <c r="F69" s="296" t="s">
        <v>463</v>
      </c>
      <c r="G69" s="824" t="s">
        <v>1407</v>
      </c>
      <c r="H69" s="296" t="s">
        <v>4919</v>
      </c>
      <c r="I69" s="824" t="s">
        <v>1407</v>
      </c>
      <c r="J69" s="296">
        <v>5</v>
      </c>
      <c r="K69" s="296"/>
      <c r="L69" s="296"/>
      <c r="O69" s="380" t="str">
        <f t="shared" si="3"/>
        <v>床面積-用途-5</v>
      </c>
    </row>
    <row r="70" spans="1:15">
      <c r="B70" s="845">
        <f>'2_入力シート【用途面積】'!$Q$13</f>
        <v>0</v>
      </c>
      <c r="C70" s="296" t="str">
        <f t="shared" si="4"/>
        <v>0</v>
      </c>
      <c r="E70" s="852"/>
      <c r="F70" s="296" t="s">
        <v>463</v>
      </c>
      <c r="G70" s="824" t="s">
        <v>1407</v>
      </c>
      <c r="H70" s="296" t="s">
        <v>4919</v>
      </c>
      <c r="I70" s="824" t="s">
        <v>1407</v>
      </c>
      <c r="J70" s="296">
        <v>6</v>
      </c>
      <c r="K70" s="296"/>
      <c r="L70" s="296"/>
      <c r="O70" s="380" t="str">
        <f t="shared" si="3"/>
        <v>床面積-用途-6</v>
      </c>
    </row>
    <row r="71" spans="1:15">
      <c r="B71" s="845">
        <f>'2_入力シート【用途面積】'!$S$13</f>
        <v>0</v>
      </c>
      <c r="C71" s="296" t="str">
        <f t="shared" si="4"/>
        <v>0</v>
      </c>
      <c r="E71" s="852"/>
      <c r="F71" s="296" t="s">
        <v>463</v>
      </c>
      <c r="G71" s="824" t="s">
        <v>1407</v>
      </c>
      <c r="H71" s="296" t="s">
        <v>4919</v>
      </c>
      <c r="I71" s="824" t="s">
        <v>1407</v>
      </c>
      <c r="J71" s="296">
        <v>7</v>
      </c>
      <c r="K71" s="296"/>
      <c r="L71" s="296"/>
      <c r="O71" s="380" t="str">
        <f t="shared" si="3"/>
        <v>床面積-用途-7</v>
      </c>
    </row>
    <row r="72" spans="1:15">
      <c r="B72" s="845" t="str">
        <f>'2_入力シート【用途面積】'!AU77</f>
        <v/>
      </c>
      <c r="C72" s="296" t="str">
        <f t="shared" si="4"/>
        <v/>
      </c>
      <c r="E72" s="852"/>
      <c r="F72" s="296" t="s">
        <v>463</v>
      </c>
      <c r="G72" s="824" t="s">
        <v>1407</v>
      </c>
      <c r="H72" s="296" t="s">
        <v>4926</v>
      </c>
      <c r="I72" s="824" t="s">
        <v>1407</v>
      </c>
      <c r="J72" s="296" t="s">
        <v>4919</v>
      </c>
      <c r="K72" s="824" t="s">
        <v>1407</v>
      </c>
      <c r="L72" s="296">
        <v>1</v>
      </c>
      <c r="O72" s="380" t="str">
        <f t="shared" si="3"/>
        <v>床面積-存する階-用途-1</v>
      </c>
    </row>
    <row r="73" spans="1:15">
      <c r="B73" s="845" t="str">
        <f>'2_入力シート【用途面積】'!AV77</f>
        <v/>
      </c>
      <c r="C73" s="296" t="str">
        <f t="shared" si="4"/>
        <v/>
      </c>
      <c r="E73" s="852"/>
      <c r="F73" s="296" t="s">
        <v>463</v>
      </c>
      <c r="G73" s="824" t="s">
        <v>1407</v>
      </c>
      <c r="H73" s="296" t="s">
        <v>4926</v>
      </c>
      <c r="I73" s="824" t="s">
        <v>1407</v>
      </c>
      <c r="J73" s="296" t="s">
        <v>4919</v>
      </c>
      <c r="K73" s="824" t="s">
        <v>1407</v>
      </c>
      <c r="L73" s="296">
        <v>2</v>
      </c>
      <c r="O73" s="380" t="str">
        <f t="shared" si="3"/>
        <v>床面積-存する階-用途-2</v>
      </c>
    </row>
    <row r="74" spans="1:15">
      <c r="B74" s="845" t="str">
        <f>'2_入力シート【用途面積】'!AW77</f>
        <v/>
      </c>
      <c r="C74" s="296" t="str">
        <f t="shared" si="4"/>
        <v/>
      </c>
      <c r="E74" s="852"/>
      <c r="F74" s="296" t="s">
        <v>463</v>
      </c>
      <c r="G74" s="824" t="s">
        <v>1407</v>
      </c>
      <c r="H74" s="296" t="s">
        <v>4926</v>
      </c>
      <c r="I74" s="824" t="s">
        <v>1407</v>
      </c>
      <c r="J74" s="296" t="s">
        <v>4919</v>
      </c>
      <c r="K74" s="824" t="s">
        <v>1407</v>
      </c>
      <c r="L74" s="296">
        <v>3</v>
      </c>
      <c r="O74" s="380" t="str">
        <f t="shared" si="3"/>
        <v>床面積-存する階-用途-3</v>
      </c>
    </row>
    <row r="75" spans="1:15">
      <c r="B75" s="845" t="str">
        <f>'2_入力シート【用途面積】'!AX77</f>
        <v/>
      </c>
      <c r="C75" s="296" t="str">
        <f t="shared" si="4"/>
        <v/>
      </c>
      <c r="E75" s="852"/>
      <c r="F75" s="296" t="s">
        <v>463</v>
      </c>
      <c r="G75" s="824" t="s">
        <v>1407</v>
      </c>
      <c r="H75" s="296" t="s">
        <v>4926</v>
      </c>
      <c r="I75" s="824" t="s">
        <v>1407</v>
      </c>
      <c r="J75" s="296" t="s">
        <v>4919</v>
      </c>
      <c r="K75" s="824" t="s">
        <v>1407</v>
      </c>
      <c r="L75" s="296">
        <v>4</v>
      </c>
      <c r="O75" s="380" t="str">
        <f t="shared" si="3"/>
        <v>床面積-存する階-用途-4</v>
      </c>
    </row>
    <row r="76" spans="1:15">
      <c r="B76" s="845" t="str">
        <f>'2_入力シート【用途面積】'!AY77</f>
        <v/>
      </c>
      <c r="C76" s="296" t="str">
        <f t="shared" si="4"/>
        <v/>
      </c>
      <c r="E76" s="852"/>
      <c r="F76" s="296" t="s">
        <v>463</v>
      </c>
      <c r="G76" s="824" t="s">
        <v>1407</v>
      </c>
      <c r="H76" s="296" t="s">
        <v>4926</v>
      </c>
      <c r="I76" s="824" t="s">
        <v>1407</v>
      </c>
      <c r="J76" s="296" t="s">
        <v>4919</v>
      </c>
      <c r="K76" s="824" t="s">
        <v>1407</v>
      </c>
      <c r="L76" s="296">
        <v>5</v>
      </c>
      <c r="O76" s="380" t="str">
        <f t="shared" si="3"/>
        <v>床面積-存する階-用途-5</v>
      </c>
    </row>
    <row r="77" spans="1:15">
      <c r="B77" s="845" t="str">
        <f>'2_入力シート【用途面積】'!AZ77</f>
        <v/>
      </c>
      <c r="C77" s="296" t="str">
        <f t="shared" si="4"/>
        <v/>
      </c>
      <c r="E77" s="852"/>
      <c r="F77" s="296" t="s">
        <v>463</v>
      </c>
      <c r="G77" s="824" t="s">
        <v>1407</v>
      </c>
      <c r="H77" s="296" t="s">
        <v>4926</v>
      </c>
      <c r="I77" s="824" t="s">
        <v>1407</v>
      </c>
      <c r="J77" s="296" t="s">
        <v>4919</v>
      </c>
      <c r="K77" s="824" t="s">
        <v>1407</v>
      </c>
      <c r="L77" s="296">
        <v>6</v>
      </c>
      <c r="O77" s="380" t="str">
        <f t="shared" si="3"/>
        <v>床面積-存する階-用途-6</v>
      </c>
    </row>
    <row r="78" spans="1:15">
      <c r="B78" s="845" t="str">
        <f>'2_入力シート【用途面積】'!BA77</f>
        <v/>
      </c>
      <c r="C78" s="296" t="str">
        <f t="shared" si="4"/>
        <v/>
      </c>
      <c r="E78" s="852"/>
      <c r="F78" s="296" t="s">
        <v>463</v>
      </c>
      <c r="G78" s="824" t="s">
        <v>1407</v>
      </c>
      <c r="H78" s="296" t="s">
        <v>4926</v>
      </c>
      <c r="I78" s="824" t="s">
        <v>1407</v>
      </c>
      <c r="J78" s="296" t="s">
        <v>4919</v>
      </c>
      <c r="K78" s="824" t="s">
        <v>1407</v>
      </c>
      <c r="L78" s="296">
        <v>7</v>
      </c>
      <c r="O78" s="380" t="str">
        <f t="shared" si="3"/>
        <v>床面積-存する階-用途-7</v>
      </c>
    </row>
    <row r="79" spans="1:15">
      <c r="A79" s="107"/>
      <c r="B79" s="853">
        <f>'1_入力シート【基本情報】'!$AB$223</f>
        <v>0</v>
      </c>
      <c r="C79" s="296" t="str">
        <f t="shared" si="4"/>
        <v>0</v>
      </c>
      <c r="E79" s="851">
        <v>15</v>
      </c>
      <c r="F79" s="842" t="s">
        <v>1933</v>
      </c>
      <c r="G79" s="824" t="s">
        <v>1407</v>
      </c>
      <c r="H79" s="842" t="s">
        <v>739</v>
      </c>
      <c r="I79" s="826" t="s">
        <v>1407</v>
      </c>
      <c r="J79" s="827" t="s">
        <v>720</v>
      </c>
      <c r="K79" s="826"/>
      <c r="L79" s="842"/>
      <c r="O79" s="380" t="str">
        <f t="shared" si="3"/>
        <v>15石綿を添加した建築材料の調査状況-該当建築材料-有無</v>
      </c>
    </row>
    <row r="80" spans="1:15">
      <c r="A80" s="107"/>
      <c r="B80" s="853">
        <f>'1_入力シート【基本情報】'!$AB$224</f>
        <v>0</v>
      </c>
      <c r="C80" s="296" t="str">
        <f t="shared" si="4"/>
        <v>0</v>
      </c>
      <c r="E80" s="851">
        <v>15</v>
      </c>
      <c r="F80" s="842" t="s">
        <v>1933</v>
      </c>
      <c r="G80" s="824" t="s">
        <v>1407</v>
      </c>
      <c r="H80" s="842" t="s">
        <v>739</v>
      </c>
      <c r="I80" s="826" t="s">
        <v>1407</v>
      </c>
      <c r="J80" s="827" t="s">
        <v>298</v>
      </c>
      <c r="K80" s="826"/>
      <c r="L80" s="842"/>
      <c r="O80" s="380" t="str">
        <f t="shared" si="3"/>
        <v>15石綿を添加した建築材料の調査状況-該当建築材料-該当する室</v>
      </c>
    </row>
    <row r="81" spans="1:15">
      <c r="A81" s="107"/>
      <c r="B81" s="853">
        <f>'1_入力シート【基本情報】'!$AB$225</f>
        <v>0</v>
      </c>
      <c r="C81" s="296" t="str">
        <f t="shared" si="4"/>
        <v>0</v>
      </c>
      <c r="E81" s="851">
        <v>15</v>
      </c>
      <c r="F81" s="842" t="s">
        <v>1933</v>
      </c>
      <c r="G81" s="824" t="s">
        <v>1407</v>
      </c>
      <c r="H81" s="842" t="s">
        <v>741</v>
      </c>
      <c r="I81" s="826" t="s">
        <v>1407</v>
      </c>
      <c r="J81" s="827" t="s">
        <v>720</v>
      </c>
      <c r="K81" s="826"/>
      <c r="L81" s="842"/>
      <c r="O81" s="380" t="str">
        <f t="shared" si="3"/>
        <v>15石綿を添加した建築材料の調査状況-措置予定-有無</v>
      </c>
    </row>
    <row r="82" spans="1:15">
      <c r="A82" s="862" t="str">
        <f>IF('1_入力シート【基本情報】'!$AE$226="","",ASC('1_入力シート【基本情報】'!$AB$226&amp;'1_入力シート【基本情報】'!$AE$226&amp;"年"&amp;'1_入力シート【基本情報】'!$AJ$226&amp;"月"))</f>
        <v/>
      </c>
      <c r="B82" s="853" t="str">
        <f>A82</f>
        <v/>
      </c>
      <c r="C82" s="296" t="str">
        <f t="shared" si="4"/>
        <v/>
      </c>
      <c r="E82" s="851">
        <v>15</v>
      </c>
      <c r="F82" s="842" t="s">
        <v>1933</v>
      </c>
      <c r="G82" s="824" t="s">
        <v>1407</v>
      </c>
      <c r="H82" s="842" t="s">
        <v>741</v>
      </c>
      <c r="I82" s="826" t="s">
        <v>1407</v>
      </c>
      <c r="J82" s="827" t="s">
        <v>1937</v>
      </c>
      <c r="K82" s="826" t="s">
        <v>1407</v>
      </c>
      <c r="L82" s="842" t="s">
        <v>4639</v>
      </c>
      <c r="O82" s="380" t="str">
        <f t="shared" si="3"/>
        <v>15石綿を添加した建築材料の調査状況-措置予定-改善予定年月-実施年月</v>
      </c>
    </row>
    <row r="83" spans="1:15">
      <c r="A83" s="107"/>
      <c r="B83" s="853">
        <f>'1_入力シート【基本情報】'!$AB$232</f>
        <v>0</v>
      </c>
      <c r="C83" s="296" t="str">
        <f t="shared" si="4"/>
        <v>0</v>
      </c>
      <c r="E83" s="851">
        <v>16</v>
      </c>
      <c r="F83" s="842" t="s">
        <v>1943</v>
      </c>
      <c r="G83" s="824" t="s">
        <v>1407</v>
      </c>
      <c r="H83" s="842" t="s">
        <v>299</v>
      </c>
      <c r="I83" s="826" t="s">
        <v>1407</v>
      </c>
      <c r="J83" s="827" t="s">
        <v>720</v>
      </c>
      <c r="K83" s="826"/>
      <c r="L83" s="842"/>
      <c r="O83" s="380" t="str">
        <f t="shared" si="3"/>
        <v>16耐震診断及び耐震改修の調査状況-耐震診断-有無</v>
      </c>
    </row>
    <row r="84" spans="1:15">
      <c r="A84" s="862" t="str">
        <f>IF('1_入力シート【基本情報】'!$AE$233="","",ASC('1_入力シート【基本情報】'!$AB$233&amp;'1_入力シート【基本情報】'!$AE$233&amp;"年"&amp;'1_入力シート【基本情報】'!$AJ$233&amp;"月"))</f>
        <v/>
      </c>
      <c r="B84" s="853" t="str">
        <f>A84</f>
        <v/>
      </c>
      <c r="C84" s="296" t="str">
        <f t="shared" si="4"/>
        <v/>
      </c>
      <c r="E84" s="851">
        <v>16</v>
      </c>
      <c r="F84" s="842" t="s">
        <v>1943</v>
      </c>
      <c r="G84" s="824" t="s">
        <v>1407</v>
      </c>
      <c r="H84" s="842" t="s">
        <v>299</v>
      </c>
      <c r="I84" s="826" t="s">
        <v>1407</v>
      </c>
      <c r="J84" s="827" t="s">
        <v>1945</v>
      </c>
      <c r="K84" s="597" t="s">
        <v>1407</v>
      </c>
      <c r="L84" s="842" t="s">
        <v>4639</v>
      </c>
      <c r="O84" s="380" t="str">
        <f t="shared" si="3"/>
        <v>16耐震診断及び耐震改修の調査状況-耐震診断-実施予定年月-実施年月</v>
      </c>
    </row>
    <row r="85" spans="1:15">
      <c r="A85" s="107"/>
      <c r="B85" s="853">
        <f>'1_入力シート【基本情報】'!$AB$234</f>
        <v>0</v>
      </c>
      <c r="C85" s="296" t="str">
        <f t="shared" si="4"/>
        <v>0</v>
      </c>
      <c r="E85" s="851">
        <v>16</v>
      </c>
      <c r="F85" s="842" t="s">
        <v>1943</v>
      </c>
      <c r="G85" s="824" t="s">
        <v>1407</v>
      </c>
      <c r="H85" s="842" t="s">
        <v>300</v>
      </c>
      <c r="I85" s="826" t="s">
        <v>1407</v>
      </c>
      <c r="J85" s="827" t="s">
        <v>720</v>
      </c>
      <c r="K85" s="826"/>
      <c r="L85" s="842"/>
      <c r="O85" s="380" t="str">
        <f t="shared" si="3"/>
        <v>16耐震診断及び耐震改修の調査状況-耐震改修-有無</v>
      </c>
    </row>
    <row r="86" spans="1:15">
      <c r="A86" s="862" t="str">
        <f>IF('1_入力シート【基本情報】'!$AE$235="","",ASC('1_入力シート【基本情報】'!$AB$235&amp;'1_入力シート【基本情報】'!$AE$235&amp;"年"&amp;'1_入力シート【基本情報】'!$AJ$235&amp;"月"))</f>
        <v/>
      </c>
      <c r="B86" s="853" t="str">
        <f>A86</f>
        <v/>
      </c>
      <c r="C86" s="296" t="str">
        <f t="shared" si="4"/>
        <v/>
      </c>
      <c r="E86" s="851">
        <v>16</v>
      </c>
      <c r="F86" s="842" t="s">
        <v>1943</v>
      </c>
      <c r="G86" s="824" t="s">
        <v>1407</v>
      </c>
      <c r="H86" s="842" t="s">
        <v>300</v>
      </c>
      <c r="I86" s="826" t="s">
        <v>1407</v>
      </c>
      <c r="J86" s="827" t="s">
        <v>1945</v>
      </c>
      <c r="K86" s="597" t="s">
        <v>1407</v>
      </c>
      <c r="L86" s="842" t="s">
        <v>4639</v>
      </c>
      <c r="O86" s="380" t="str">
        <f t="shared" si="3"/>
        <v>16耐震診断及び耐震改修の調査状況-耐震改修-実施予定年月-実施年月</v>
      </c>
    </row>
    <row r="87" spans="1:15">
      <c r="A87" s="862"/>
      <c r="B87" s="853">
        <f>'1_入力シート【基本情報】'!$AB$261</f>
        <v>0</v>
      </c>
      <c r="C87" s="296" t="str">
        <f t="shared" si="4"/>
        <v>0</v>
      </c>
      <c r="E87" s="851">
        <v>19</v>
      </c>
      <c r="F87" s="847" t="s">
        <v>2011</v>
      </c>
      <c r="G87" s="824" t="s">
        <v>1407</v>
      </c>
      <c r="H87" s="825" t="s">
        <v>4636</v>
      </c>
      <c r="I87" s="826"/>
      <c r="J87" s="827"/>
      <c r="K87" s="597"/>
      <c r="L87" s="842"/>
      <c r="O87" s="380" t="str">
        <f t="shared" si="3"/>
        <v>19外装仕上げ材等について-外装仕上材のタイル・石貼り等、モルタル塗り等の使用</v>
      </c>
    </row>
    <row r="88" spans="1:15">
      <c r="B88" s="853">
        <f>'1_入力シート【基本情報】'!$AB$262</f>
        <v>0</v>
      </c>
      <c r="C88" s="296" t="str">
        <f t="shared" si="4"/>
        <v>0</v>
      </c>
      <c r="E88" s="851">
        <v>19</v>
      </c>
      <c r="F88" s="847" t="s">
        <v>2011</v>
      </c>
      <c r="G88" s="824"/>
      <c r="H88" s="825" t="s">
        <v>2012</v>
      </c>
      <c r="I88" s="826"/>
      <c r="J88" s="827"/>
      <c r="K88" s="826"/>
      <c r="L88" s="842"/>
      <c r="O88" s="380" t="str">
        <f t="shared" si="3"/>
        <v>19外装仕上げ材等について前面打診等の実施状況</v>
      </c>
    </row>
    <row r="89" spans="1:15">
      <c r="A89" s="862" t="str">
        <f>IF('1_入力シート【基本情報】'!$AK$263="","",ASC('1_入力シート【基本情報】'!$AH$263&amp;'1_入力シート【基本情報】'!$AK$263&amp;"年"&amp;'1_入力シート【基本情報】'!$AP$263&amp;"月"))</f>
        <v/>
      </c>
      <c r="B89" s="853" t="str">
        <f>A89</f>
        <v/>
      </c>
      <c r="C89" s="296" t="str">
        <f t="shared" si="4"/>
        <v/>
      </c>
      <c r="E89" s="851">
        <v>19</v>
      </c>
      <c r="F89" s="847" t="s">
        <v>2011</v>
      </c>
      <c r="G89" s="824" t="s">
        <v>1407</v>
      </c>
      <c r="H89" s="825" t="s">
        <v>2012</v>
      </c>
      <c r="I89" s="826" t="s">
        <v>1407</v>
      </c>
      <c r="J89" s="827" t="s">
        <v>2013</v>
      </c>
      <c r="K89" s="826" t="s">
        <v>1407</v>
      </c>
      <c r="L89" s="842" t="s">
        <v>4639</v>
      </c>
      <c r="O89" s="380" t="str">
        <f t="shared" si="3"/>
        <v>19外装仕上げ材等について-前面打診等の実施状況-時期：-実施年月</v>
      </c>
    </row>
    <row r="90" spans="1:15">
      <c r="B90" s="853">
        <f>'1_入力シート【基本情報】'!$AH$264</f>
        <v>0</v>
      </c>
      <c r="C90" s="296" t="str">
        <f t="shared" si="4"/>
        <v>0</v>
      </c>
      <c r="E90" s="851">
        <v>19</v>
      </c>
      <c r="F90" s="847" t="s">
        <v>2011</v>
      </c>
      <c r="G90" s="824" t="s">
        <v>1407</v>
      </c>
      <c r="H90" s="825" t="s">
        <v>1403</v>
      </c>
      <c r="I90" s="826" t="s">
        <v>1407</v>
      </c>
      <c r="J90" s="827" t="s">
        <v>2015</v>
      </c>
      <c r="K90" s="597"/>
      <c r="L90" s="842"/>
      <c r="O90" s="380" t="str">
        <f t="shared" si="3"/>
        <v>19外装仕上げ材等について-防火設備の検査-理由：</v>
      </c>
    </row>
    <row r="91" spans="1:15">
      <c r="B91" s="853">
        <f>'1_入力シート【基本情報】'!$AB$267</f>
        <v>0</v>
      </c>
      <c r="C91" s="296" t="str">
        <f t="shared" si="4"/>
        <v>0</v>
      </c>
      <c r="E91" s="851">
        <v>20</v>
      </c>
      <c r="F91" s="847" t="s">
        <v>3367</v>
      </c>
      <c r="G91" s="824" t="s">
        <v>1879</v>
      </c>
      <c r="H91" s="825" t="s">
        <v>3368</v>
      </c>
      <c r="I91" s="826"/>
      <c r="J91" s="827"/>
      <c r="K91" s="597"/>
      <c r="L91" s="842"/>
      <c r="O91" s="380" t="str">
        <f t="shared" si="3"/>
        <v>20直通階段の数について-直通階段の数</v>
      </c>
    </row>
    <row r="92" spans="1:15">
      <c r="B92" s="853">
        <f>'1_入力シート【基本情報】'!$AB$274</f>
        <v>0</v>
      </c>
      <c r="C92" s="296" t="str">
        <f t="shared" si="4"/>
        <v>0</v>
      </c>
      <c r="E92" s="851">
        <v>21</v>
      </c>
      <c r="F92" s="847" t="s">
        <v>2016</v>
      </c>
      <c r="G92" s="824" t="s">
        <v>1407</v>
      </c>
      <c r="H92" s="825" t="s">
        <v>2017</v>
      </c>
      <c r="I92" s="826" t="s">
        <v>1407</v>
      </c>
      <c r="J92" s="827" t="s">
        <v>735</v>
      </c>
      <c r="K92" s="826"/>
      <c r="L92" s="842"/>
      <c r="O92" s="380" t="str">
        <f t="shared" si="3"/>
        <v>21設備（法第12条第三項関係など）-建築設備-定期報告対象</v>
      </c>
    </row>
    <row r="93" spans="1:15">
      <c r="B93" s="853">
        <f>'1_入力シート【基本情報】'!$AB$275</f>
        <v>0</v>
      </c>
      <c r="C93" s="296" t="str">
        <f t="shared" si="4"/>
        <v>0</v>
      </c>
      <c r="E93" s="851">
        <v>21</v>
      </c>
      <c r="F93" s="847" t="s">
        <v>2016</v>
      </c>
      <c r="G93" s="824" t="s">
        <v>1407</v>
      </c>
      <c r="H93" s="842" t="s">
        <v>732</v>
      </c>
      <c r="I93" s="826" t="s">
        <v>1407</v>
      </c>
      <c r="J93" s="827" t="s">
        <v>720</v>
      </c>
      <c r="K93" s="826"/>
      <c r="L93" s="842"/>
      <c r="O93" s="380" t="str">
        <f t="shared" si="3"/>
        <v>21設備（法第12条第三項関係など）-防火設備-有無</v>
      </c>
    </row>
    <row r="94" spans="1:15">
      <c r="B94" s="853">
        <f>'1_入力シート【基本情報】'!$AB$277</f>
        <v>0</v>
      </c>
      <c r="C94" s="296" t="str">
        <f t="shared" si="4"/>
        <v>0</v>
      </c>
      <c r="E94" s="851">
        <v>21</v>
      </c>
      <c r="F94" s="847" t="s">
        <v>2016</v>
      </c>
      <c r="G94" s="824" t="s">
        <v>1407</v>
      </c>
      <c r="H94" s="842" t="s">
        <v>732</v>
      </c>
      <c r="I94" s="826" t="s">
        <v>1407</v>
      </c>
      <c r="J94" s="827" t="s">
        <v>735</v>
      </c>
      <c r="K94" s="597"/>
      <c r="L94" s="842"/>
      <c r="O94" s="380" t="str">
        <f t="shared" si="3"/>
        <v>21設備（法第12条第三項関係など）-防火設備-定期報告対象</v>
      </c>
    </row>
    <row r="95" spans="1:15">
      <c r="B95" s="853">
        <f>'1_入力シート【基本情報】'!$AB$278</f>
        <v>0</v>
      </c>
      <c r="C95" s="296" t="str">
        <f t="shared" si="4"/>
        <v>0</v>
      </c>
      <c r="E95" s="851">
        <v>21</v>
      </c>
      <c r="F95" s="847" t="s">
        <v>2016</v>
      </c>
      <c r="G95" s="824" t="s">
        <v>1407</v>
      </c>
      <c r="H95" s="842" t="s">
        <v>2023</v>
      </c>
      <c r="I95" s="826" t="s">
        <v>1407</v>
      </c>
      <c r="J95" s="827" t="s">
        <v>720</v>
      </c>
      <c r="K95" s="597"/>
      <c r="L95" s="842"/>
      <c r="O95" s="380" t="str">
        <f t="shared" si="3"/>
        <v>21設備（法第12条第三項関係など）-小荷物専用昇降機の有無-有無</v>
      </c>
    </row>
    <row r="96" spans="1:15">
      <c r="B96" s="853">
        <f>'1_入力シート【基本情報】'!$AB$279</f>
        <v>0</v>
      </c>
      <c r="C96" s="296" t="str">
        <f t="shared" si="4"/>
        <v>0</v>
      </c>
      <c r="E96" s="851">
        <v>21</v>
      </c>
      <c r="F96" s="847" t="s">
        <v>2016</v>
      </c>
      <c r="G96" s="824" t="s">
        <v>1407</v>
      </c>
      <c r="H96" s="842" t="s">
        <v>2023</v>
      </c>
      <c r="I96" s="826" t="s">
        <v>1407</v>
      </c>
      <c r="J96" s="827" t="s">
        <v>735</v>
      </c>
      <c r="K96" s="826"/>
      <c r="L96" s="842"/>
      <c r="O96" s="380" t="str">
        <f t="shared" si="3"/>
        <v>21設備（法第12条第三項関係など）-小荷物専用昇降機の有無-定期報告対象</v>
      </c>
    </row>
    <row r="97" spans="2:15">
      <c r="B97" s="853" t="str">
        <f>'＜入力不要＞報告書'!$J$135</f>
        <v/>
      </c>
      <c r="C97" s="296" t="str">
        <f t="shared" si="4"/>
        <v/>
      </c>
      <c r="E97" s="851">
        <v>23</v>
      </c>
      <c r="F97" s="847" t="s">
        <v>33</v>
      </c>
      <c r="G97" s="824" t="s">
        <v>1407</v>
      </c>
      <c r="H97" s="842" t="s">
        <v>4929</v>
      </c>
      <c r="I97" s="826"/>
      <c r="J97" s="827"/>
      <c r="K97" s="826"/>
      <c r="L97" s="842"/>
      <c r="O97" s="380" t="str">
        <f t="shared" si="3"/>
        <v>23調査結果-調査による指摘の概要</v>
      </c>
    </row>
    <row r="98" spans="2:15">
      <c r="B98" s="860" t="str">
        <f>IF('1_入力シート【基本情報】'!DP304="レ","△",IF('1_入力シート【基本情報】'!DO304="レ","×",IF('1_入力シート【基本情報】'!DN304="レ","○",IF('1_入力シート【基本情報】'!DM304="レ","―",""))))</f>
        <v/>
      </c>
      <c r="C98" s="296" t="str">
        <f t="shared" si="4"/>
        <v/>
      </c>
      <c r="E98" s="851">
        <v>23</v>
      </c>
      <c r="F98" s="847" t="s">
        <v>33</v>
      </c>
      <c r="G98" s="824" t="s">
        <v>1407</v>
      </c>
      <c r="H98" s="842" t="s">
        <v>33</v>
      </c>
      <c r="I98" s="826" t="s">
        <v>1407</v>
      </c>
      <c r="J98" s="296">
        <v>1</v>
      </c>
      <c r="K98" s="296"/>
      <c r="L98" s="296"/>
      <c r="O98" s="380" t="str">
        <f t="shared" si="3"/>
        <v>23調査結果-調査結果-1</v>
      </c>
    </row>
    <row r="99" spans="2:15">
      <c r="B99" s="861" t="str">
        <f>IF('1_入力シート【基本情報】'!DP322="レ","△",IF('1_入力シート【基本情報】'!DO322="レ","×",IF('1_入力シート【基本情報】'!DN322="レ","○",IF('1_入力シート【基本情報】'!DM322="レ","―",""))))</f>
        <v/>
      </c>
      <c r="C99" s="296" t="str">
        <f t="shared" si="4"/>
        <v/>
      </c>
      <c r="E99" s="851">
        <v>23</v>
      </c>
      <c r="F99" s="847" t="s">
        <v>33</v>
      </c>
      <c r="G99" s="824" t="s">
        <v>1407</v>
      </c>
      <c r="H99" s="842" t="s">
        <v>33</v>
      </c>
      <c r="I99" s="826" t="s">
        <v>1407</v>
      </c>
      <c r="J99" s="296">
        <v>2</v>
      </c>
      <c r="K99" s="296"/>
      <c r="L99" s="296"/>
      <c r="O99" s="380" t="str">
        <f t="shared" si="3"/>
        <v>23調査結果-調査結果-2</v>
      </c>
    </row>
    <row r="100" spans="2:15">
      <c r="B100" s="861" t="str">
        <f>IF('1_入力シート【基本情報】'!DP349="レ","△",IF('1_入力シート【基本情報】'!DO349="レ","×",IF('1_入力シート【基本情報】'!DN349="レ","○",IF('1_入力シート【基本情報】'!DM349="レ","―",""))))</f>
        <v/>
      </c>
      <c r="C100" s="296" t="str">
        <f t="shared" si="4"/>
        <v/>
      </c>
      <c r="E100" s="851">
        <v>23</v>
      </c>
      <c r="F100" s="847" t="s">
        <v>33</v>
      </c>
      <c r="G100" s="824" t="s">
        <v>1407</v>
      </c>
      <c r="H100" s="842" t="s">
        <v>33</v>
      </c>
      <c r="I100" s="826" t="s">
        <v>1407</v>
      </c>
      <c r="J100" s="296">
        <v>3</v>
      </c>
      <c r="K100" s="296"/>
      <c r="L100" s="296"/>
      <c r="O100" s="380" t="str">
        <f t="shared" si="3"/>
        <v>23調査結果-調査結果-3</v>
      </c>
    </row>
    <row r="101" spans="2:15">
      <c r="B101" s="861" t="str">
        <f>IF('1_入力シート【基本情報】'!DP367="レ","△",IF('1_入力シート【基本情報】'!DO367="レ","×",IF('1_入力シート【基本情報】'!DN367="レ","○",IF('1_入力シート【基本情報】'!DM367="レ","―",""))))</f>
        <v/>
      </c>
      <c r="C101" s="296" t="str">
        <f t="shared" si="4"/>
        <v/>
      </c>
      <c r="E101" s="851">
        <v>23</v>
      </c>
      <c r="F101" s="847" t="s">
        <v>33</v>
      </c>
      <c r="G101" s="824" t="s">
        <v>1407</v>
      </c>
      <c r="H101" s="842" t="s">
        <v>33</v>
      </c>
      <c r="I101" s="826" t="s">
        <v>1407</v>
      </c>
      <c r="J101" s="296">
        <v>4</v>
      </c>
      <c r="K101" s="296"/>
      <c r="L101" s="296"/>
      <c r="O101" s="380" t="str">
        <f t="shared" si="3"/>
        <v>23調査結果-調査結果-4</v>
      </c>
    </row>
    <row r="102" spans="2:15">
      <c r="B102" s="861" t="str">
        <f>IF('1_入力シート【基本情報】'!DP423="レ","△",IF('1_入力シート【基本情報】'!DO423="レ","×",IF('1_入力シート【基本情報】'!DN423="レ","○",IF('1_入力シート【基本情報】'!DM423="レ","―",""))))</f>
        <v/>
      </c>
      <c r="C102" s="296" t="str">
        <f t="shared" si="4"/>
        <v/>
      </c>
      <c r="E102" s="851">
        <v>23</v>
      </c>
      <c r="F102" s="847" t="s">
        <v>33</v>
      </c>
      <c r="G102" s="824" t="s">
        <v>1407</v>
      </c>
      <c r="H102" s="842" t="s">
        <v>33</v>
      </c>
      <c r="I102" s="826" t="s">
        <v>1407</v>
      </c>
      <c r="J102" s="296">
        <v>5</v>
      </c>
      <c r="K102" s="296"/>
      <c r="L102" s="296"/>
      <c r="O102" s="380" t="str">
        <f t="shared" si="3"/>
        <v>23調査結果-調査結果-5</v>
      </c>
    </row>
    <row r="103" spans="2:15">
      <c r="B103" s="861" t="str">
        <f>IF('1_入力シート【基本情報】'!DP472="レ","△",IF('1_入力シート【基本情報】'!DO472="レ","×",IF('1_入力シート【基本情報】'!DN472="レ","○",IF('1_入力シート【基本情報】'!DM472="レ","―",""))))</f>
        <v/>
      </c>
      <c r="C103" s="296" t="str">
        <f t="shared" si="4"/>
        <v/>
      </c>
      <c r="E103" s="851">
        <v>23</v>
      </c>
      <c r="F103" s="847" t="s">
        <v>33</v>
      </c>
      <c r="G103" s="824" t="s">
        <v>1407</v>
      </c>
      <c r="H103" s="842" t="s">
        <v>33</v>
      </c>
      <c r="I103" s="826" t="s">
        <v>1407</v>
      </c>
      <c r="J103" s="296">
        <v>6</v>
      </c>
      <c r="K103" s="296"/>
      <c r="L103" s="296"/>
      <c r="O103" s="380" t="str">
        <f t="shared" si="3"/>
        <v>23調査結果-調査結果-6</v>
      </c>
    </row>
    <row r="104" spans="2:15">
      <c r="B104" s="861" t="str">
        <f>IF('1_入力シート【基本情報】'!DP490="レ","△",IF('1_入力シート【基本情報】'!DO490="レ","×",IF('1_入力シート【基本情報】'!DN490="レ","○",IF('1_入力シート【基本情報】'!DM490="レ","―",""))))</f>
        <v/>
      </c>
      <c r="C104" s="296" t="str">
        <f t="shared" si="4"/>
        <v/>
      </c>
      <c r="E104" s="851">
        <v>23</v>
      </c>
      <c r="F104" s="847" t="s">
        <v>33</v>
      </c>
      <c r="G104" s="824" t="s">
        <v>1407</v>
      </c>
      <c r="H104" s="842" t="s">
        <v>33</v>
      </c>
      <c r="I104" s="826" t="s">
        <v>1407</v>
      </c>
      <c r="J104" s="296">
        <v>7</v>
      </c>
      <c r="K104" s="296"/>
      <c r="L104" s="296"/>
      <c r="O104" s="380" t="str">
        <f t="shared" si="3"/>
        <v>23調査結果-調査結果-7</v>
      </c>
    </row>
    <row r="105" spans="2:15">
      <c r="B105" s="1670" t="str">
        <f>'1_入力シート【基本情報】'!$DY$304</f>
        <v/>
      </c>
      <c r="C105" s="296" t="str">
        <f t="shared" si="4"/>
        <v/>
      </c>
      <c r="E105" s="851">
        <v>23</v>
      </c>
      <c r="F105" s="847" t="s">
        <v>33</v>
      </c>
      <c r="G105" s="824" t="s">
        <v>1407</v>
      </c>
      <c r="H105" s="842" t="s">
        <v>5422</v>
      </c>
      <c r="I105" s="826" t="s">
        <v>1407</v>
      </c>
      <c r="J105" s="296">
        <v>1</v>
      </c>
      <c r="K105" s="296"/>
      <c r="L105" s="296"/>
      <c r="O105" s="380" t="str">
        <f t="shared" si="3"/>
        <v>23調査結果-指摘内容-1</v>
      </c>
    </row>
    <row r="106" spans="2:15">
      <c r="B106" s="1670" t="str">
        <f>'1_入力シート【基本情報】'!$DY$322</f>
        <v/>
      </c>
      <c r="C106" s="296" t="str">
        <f t="shared" si="4"/>
        <v/>
      </c>
      <c r="E106" s="851">
        <v>23</v>
      </c>
      <c r="F106" s="847" t="s">
        <v>33</v>
      </c>
      <c r="G106" s="824" t="s">
        <v>1407</v>
      </c>
      <c r="H106" s="842" t="s">
        <v>5422</v>
      </c>
      <c r="I106" s="826" t="s">
        <v>1407</v>
      </c>
      <c r="J106" s="296">
        <v>2</v>
      </c>
      <c r="K106" s="296"/>
      <c r="L106" s="296"/>
      <c r="O106" s="380" t="str">
        <f t="shared" si="3"/>
        <v>23調査結果-指摘内容-2</v>
      </c>
    </row>
    <row r="107" spans="2:15">
      <c r="B107" s="1670" t="str">
        <f>'1_入力シート【基本情報】'!$DY$349</f>
        <v/>
      </c>
      <c r="C107" s="296" t="str">
        <f t="shared" si="4"/>
        <v/>
      </c>
      <c r="E107" s="851">
        <v>23</v>
      </c>
      <c r="F107" s="847" t="s">
        <v>33</v>
      </c>
      <c r="G107" s="824" t="s">
        <v>1407</v>
      </c>
      <c r="H107" s="842" t="s">
        <v>5422</v>
      </c>
      <c r="I107" s="826" t="s">
        <v>1407</v>
      </c>
      <c r="J107" s="296">
        <v>3</v>
      </c>
      <c r="K107" s="296"/>
      <c r="L107" s="296"/>
      <c r="O107" s="380" t="str">
        <f t="shared" si="3"/>
        <v>23調査結果-指摘内容-3</v>
      </c>
    </row>
    <row r="108" spans="2:15">
      <c r="B108" s="1670" t="str">
        <f>'1_入力シート【基本情報】'!$DY$367</f>
        <v/>
      </c>
      <c r="C108" s="296" t="str">
        <f t="shared" si="4"/>
        <v/>
      </c>
      <c r="E108" s="851">
        <v>23</v>
      </c>
      <c r="F108" s="847" t="s">
        <v>33</v>
      </c>
      <c r="G108" s="824" t="s">
        <v>1407</v>
      </c>
      <c r="H108" s="842" t="s">
        <v>5422</v>
      </c>
      <c r="I108" s="826" t="s">
        <v>1407</v>
      </c>
      <c r="J108" s="296">
        <v>4</v>
      </c>
      <c r="K108" s="296"/>
      <c r="L108" s="296"/>
      <c r="O108" s="380" t="str">
        <f t="shared" si="3"/>
        <v>23調査結果-指摘内容-4</v>
      </c>
    </row>
    <row r="109" spans="2:15">
      <c r="B109" s="1670" t="str">
        <f>'1_入力シート【基本情報】'!$DY$423</f>
        <v/>
      </c>
      <c r="C109" s="296" t="str">
        <f t="shared" si="4"/>
        <v/>
      </c>
      <c r="E109" s="851">
        <v>23</v>
      </c>
      <c r="F109" s="847" t="s">
        <v>33</v>
      </c>
      <c r="G109" s="824" t="s">
        <v>1407</v>
      </c>
      <c r="H109" s="842" t="s">
        <v>5422</v>
      </c>
      <c r="I109" s="826" t="s">
        <v>1407</v>
      </c>
      <c r="J109" s="296">
        <v>5</v>
      </c>
      <c r="K109" s="296"/>
      <c r="L109" s="296"/>
      <c r="O109" s="380" t="str">
        <f t="shared" si="3"/>
        <v>23調査結果-指摘内容-5</v>
      </c>
    </row>
    <row r="110" spans="2:15">
      <c r="B110" s="1670" t="str">
        <f>'1_入力シート【基本情報】'!$DY$472</f>
        <v/>
      </c>
      <c r="C110" s="296" t="str">
        <f t="shared" si="4"/>
        <v/>
      </c>
      <c r="E110" s="851">
        <v>23</v>
      </c>
      <c r="F110" s="847" t="s">
        <v>33</v>
      </c>
      <c r="G110" s="824" t="s">
        <v>1407</v>
      </c>
      <c r="H110" s="842" t="s">
        <v>5422</v>
      </c>
      <c r="I110" s="826" t="s">
        <v>1407</v>
      </c>
      <c r="J110" s="296">
        <v>6</v>
      </c>
      <c r="K110" s="296"/>
      <c r="L110" s="296"/>
      <c r="O110" s="380" t="str">
        <f t="shared" si="3"/>
        <v>23調査結果-指摘内容-6</v>
      </c>
    </row>
    <row r="111" spans="2:15">
      <c r="B111" s="1670" t="str">
        <f>'1_入力シート【基本情報】'!$DY$490</f>
        <v/>
      </c>
      <c r="C111" s="296" t="str">
        <f t="shared" si="4"/>
        <v/>
      </c>
      <c r="E111" s="851">
        <v>23</v>
      </c>
      <c r="F111" s="847" t="s">
        <v>33</v>
      </c>
      <c r="G111" s="824" t="s">
        <v>1407</v>
      </c>
      <c r="H111" s="842" t="s">
        <v>5422</v>
      </c>
      <c r="I111" s="826" t="s">
        <v>1407</v>
      </c>
      <c r="J111" s="296">
        <v>7</v>
      </c>
      <c r="K111" s="296"/>
      <c r="L111" s="296"/>
      <c r="O111" s="380" t="str">
        <f t="shared" si="3"/>
        <v>23調査結果-指摘内容-7</v>
      </c>
    </row>
    <row r="112" spans="2:15">
      <c r="B112" s="1670" t="str">
        <f>'1_入力シート【基本情報】'!$GZ$321</f>
        <v/>
      </c>
      <c r="C112" s="296" t="str">
        <f t="shared" si="4"/>
        <v/>
      </c>
      <c r="E112" s="851">
        <v>23</v>
      </c>
      <c r="F112" s="847" t="s">
        <v>33</v>
      </c>
      <c r="G112" s="824" t="s">
        <v>1407</v>
      </c>
      <c r="H112" s="296" t="s">
        <v>536</v>
      </c>
      <c r="I112" s="826" t="s">
        <v>1407</v>
      </c>
      <c r="J112" s="296">
        <v>1</v>
      </c>
      <c r="K112" s="296"/>
      <c r="L112" s="296"/>
      <c r="O112" s="380" t="str">
        <f t="shared" si="3"/>
        <v>23調査結果-改善予定-1</v>
      </c>
    </row>
    <row r="113" spans="2:15">
      <c r="B113" s="1670" t="str">
        <f>'1_入力シート【基本情報】'!$GZ$348</f>
        <v/>
      </c>
      <c r="C113" s="296" t="str">
        <f t="shared" si="4"/>
        <v/>
      </c>
      <c r="E113" s="851">
        <v>23</v>
      </c>
      <c r="F113" s="847" t="s">
        <v>33</v>
      </c>
      <c r="G113" s="824" t="s">
        <v>1407</v>
      </c>
      <c r="H113" s="296" t="s">
        <v>536</v>
      </c>
      <c r="I113" s="826" t="s">
        <v>1407</v>
      </c>
      <c r="J113" s="296">
        <v>2</v>
      </c>
      <c r="K113" s="296"/>
      <c r="L113" s="296"/>
      <c r="O113" s="380" t="str">
        <f t="shared" si="3"/>
        <v>23調査結果-改善予定-2</v>
      </c>
    </row>
    <row r="114" spans="2:15">
      <c r="B114" s="1670" t="str">
        <f>'1_入力シート【基本情報】'!$GZ$366</f>
        <v/>
      </c>
      <c r="C114" s="296" t="str">
        <f t="shared" si="4"/>
        <v/>
      </c>
      <c r="E114" s="851">
        <v>23</v>
      </c>
      <c r="F114" s="847" t="s">
        <v>33</v>
      </c>
      <c r="G114" s="824" t="s">
        <v>1407</v>
      </c>
      <c r="H114" s="296" t="s">
        <v>536</v>
      </c>
      <c r="I114" s="826" t="s">
        <v>1407</v>
      </c>
      <c r="J114" s="296">
        <v>3</v>
      </c>
      <c r="K114" s="296"/>
      <c r="L114" s="296"/>
      <c r="O114" s="380" t="str">
        <f t="shared" si="3"/>
        <v>23調査結果-改善予定-3</v>
      </c>
    </row>
    <row r="115" spans="2:15">
      <c r="B115" s="1670" t="str">
        <f>'1_入力シート【基本情報】'!$GZ$422</f>
        <v/>
      </c>
      <c r="C115" s="296" t="str">
        <f t="shared" si="4"/>
        <v/>
      </c>
      <c r="E115" s="851">
        <v>23</v>
      </c>
      <c r="F115" s="847" t="s">
        <v>33</v>
      </c>
      <c r="G115" s="824" t="s">
        <v>1407</v>
      </c>
      <c r="H115" s="296" t="s">
        <v>536</v>
      </c>
      <c r="I115" s="826" t="s">
        <v>1407</v>
      </c>
      <c r="J115" s="296">
        <v>4</v>
      </c>
      <c r="K115" s="296"/>
      <c r="L115" s="296"/>
      <c r="O115" s="380" t="str">
        <f t="shared" si="3"/>
        <v>23調査結果-改善予定-4</v>
      </c>
    </row>
    <row r="116" spans="2:15">
      <c r="B116" s="1670" t="str">
        <f>'1_入力シート【基本情報】'!$GZ$471</f>
        <v/>
      </c>
      <c r="C116" s="296" t="str">
        <f t="shared" si="4"/>
        <v/>
      </c>
      <c r="E116" s="851">
        <v>23</v>
      </c>
      <c r="F116" s="847" t="s">
        <v>33</v>
      </c>
      <c r="G116" s="824" t="s">
        <v>1407</v>
      </c>
      <c r="H116" s="296" t="s">
        <v>536</v>
      </c>
      <c r="I116" s="826" t="s">
        <v>1407</v>
      </c>
      <c r="J116" s="296">
        <v>5</v>
      </c>
      <c r="K116" s="296"/>
      <c r="L116" s="296"/>
      <c r="O116" s="380" t="str">
        <f t="shared" si="3"/>
        <v>23調査結果-改善予定-5</v>
      </c>
    </row>
    <row r="117" spans="2:15">
      <c r="B117" s="1670" t="str">
        <f>'1_入力シート【基本情報】'!$GZ$489</f>
        <v/>
      </c>
      <c r="C117" s="296" t="str">
        <f t="shared" si="4"/>
        <v/>
      </c>
      <c r="E117" s="851">
        <v>23</v>
      </c>
      <c r="F117" s="847" t="s">
        <v>33</v>
      </c>
      <c r="G117" s="824" t="s">
        <v>1407</v>
      </c>
      <c r="H117" s="296" t="s">
        <v>536</v>
      </c>
      <c r="I117" s="826" t="s">
        <v>1407</v>
      </c>
      <c r="J117" s="296">
        <v>6</v>
      </c>
      <c r="K117" s="296"/>
      <c r="L117" s="296"/>
      <c r="O117" s="380" t="str">
        <f t="shared" si="3"/>
        <v>23調査結果-改善予定-6</v>
      </c>
    </row>
    <row r="118" spans="2:15">
      <c r="B118" s="1670" t="str">
        <f>'1_入力シート【基本情報】'!$GZ$508</f>
        <v/>
      </c>
      <c r="C118" s="296" t="str">
        <f t="shared" si="4"/>
        <v/>
      </c>
      <c r="E118" s="851">
        <v>23</v>
      </c>
      <c r="F118" s="847" t="s">
        <v>33</v>
      </c>
      <c r="G118" s="824" t="s">
        <v>1407</v>
      </c>
      <c r="H118" s="296" t="s">
        <v>536</v>
      </c>
      <c r="I118" s="826" t="s">
        <v>1407</v>
      </c>
      <c r="J118" s="296">
        <v>7</v>
      </c>
      <c r="K118" s="296"/>
      <c r="L118" s="296"/>
      <c r="O118" s="380" t="str">
        <f t="shared" si="3"/>
        <v>23調査結果-改善予定-7</v>
      </c>
    </row>
    <row r="119" spans="2:15">
      <c r="B119" s="861" t="str">
        <f>LEFT('1_入力シート【基本情報】'!$AF$335,1)</f>
        <v/>
      </c>
      <c r="C119" s="296" t="str">
        <f t="shared" si="4"/>
        <v/>
      </c>
      <c r="E119" s="851">
        <v>23</v>
      </c>
      <c r="F119" s="847" t="s">
        <v>33</v>
      </c>
      <c r="G119" s="824" t="s">
        <v>1407</v>
      </c>
      <c r="H119" s="842" t="s">
        <v>33</v>
      </c>
      <c r="I119" s="826" t="s">
        <v>1407</v>
      </c>
      <c r="J119" s="839" t="s">
        <v>261</v>
      </c>
      <c r="K119" s="296"/>
      <c r="L119" s="296"/>
      <c r="O119" s="380" t="str">
        <f t="shared" ref="O119:O122" si="5">CONCATENATE(E119,F119,G119,H119,I119,J119,K119,L119)</f>
        <v>23調査結果-調査結果-2(11)</v>
      </c>
    </row>
    <row r="120" spans="2:15">
      <c r="B120" s="861" t="str">
        <f>LEFT('1_入力シート【基本情報】'!$AF$370,1)</f>
        <v/>
      </c>
      <c r="C120" s="296" t="str">
        <f t="shared" si="4"/>
        <v/>
      </c>
      <c r="E120" s="851">
        <v>23</v>
      </c>
      <c r="F120" s="847" t="s">
        <v>33</v>
      </c>
      <c r="G120" s="824" t="s">
        <v>1407</v>
      </c>
      <c r="H120" s="842" t="s">
        <v>33</v>
      </c>
      <c r="I120" s="826" t="s">
        <v>1407</v>
      </c>
      <c r="J120" s="840" t="s">
        <v>1222</v>
      </c>
      <c r="K120" s="296"/>
      <c r="L120" s="296"/>
      <c r="O120" s="380" t="str">
        <f t="shared" si="5"/>
        <v>23調査結果-調査結果-4(1)</v>
      </c>
    </row>
    <row r="121" spans="2:15">
      <c r="B121" s="861" t="str">
        <f>LEFT('1_入力シート【基本情報】'!$AF$371,1)</f>
        <v/>
      </c>
      <c r="C121" s="296" t="str">
        <f t="shared" si="4"/>
        <v/>
      </c>
      <c r="E121" s="851">
        <v>23</v>
      </c>
      <c r="F121" s="847" t="s">
        <v>33</v>
      </c>
      <c r="G121" s="824" t="s">
        <v>1407</v>
      </c>
      <c r="H121" s="842" t="s">
        <v>33</v>
      </c>
      <c r="I121" s="826" t="s">
        <v>1407</v>
      </c>
      <c r="J121" s="840" t="s">
        <v>1223</v>
      </c>
      <c r="K121" s="296"/>
      <c r="L121" s="296"/>
      <c r="O121" s="380" t="str">
        <f t="shared" si="5"/>
        <v>23調査結果-調査結果-4(2)</v>
      </c>
    </row>
    <row r="122" spans="2:15">
      <c r="B122" s="861" t="str">
        <f>LEFT('1_入力シート【基本情報】'!$AF$372,1)</f>
        <v/>
      </c>
      <c r="C122" s="296" t="str">
        <f t="shared" si="4"/>
        <v/>
      </c>
      <c r="E122" s="851">
        <v>23</v>
      </c>
      <c r="F122" s="847" t="s">
        <v>33</v>
      </c>
      <c r="G122" s="824" t="s">
        <v>1407</v>
      </c>
      <c r="H122" s="842" t="s">
        <v>33</v>
      </c>
      <c r="I122" s="826" t="s">
        <v>1407</v>
      </c>
      <c r="J122" s="840" t="s">
        <v>1224</v>
      </c>
      <c r="K122" s="296"/>
      <c r="L122" s="296"/>
      <c r="O122" s="380" t="str">
        <f t="shared" si="5"/>
        <v>23調査結果-調査結果-4(3)</v>
      </c>
    </row>
    <row r="123" spans="2:15">
      <c r="B123" s="861" t="str">
        <f>LEFT('1_入力シート【基本情報】'!$AF$395,1)</f>
        <v/>
      </c>
      <c r="C123" s="296" t="str">
        <f t="shared" si="4"/>
        <v/>
      </c>
      <c r="E123" s="851">
        <v>23</v>
      </c>
      <c r="F123" s="847" t="s">
        <v>33</v>
      </c>
      <c r="G123" s="824" t="s">
        <v>1407</v>
      </c>
      <c r="H123" s="842" t="s">
        <v>33</v>
      </c>
      <c r="I123" s="826" t="s">
        <v>1407</v>
      </c>
      <c r="J123" s="840" t="s">
        <v>1247</v>
      </c>
      <c r="K123" s="296"/>
      <c r="L123" s="296"/>
      <c r="O123" s="380" t="str">
        <f t="shared" ref="O123:O129" si="6">CONCATENATE(E123,F123,G123,H123,I123,J123,K123,L123)</f>
        <v>23調査結果-調査結果-4(26)</v>
      </c>
    </row>
    <row r="124" spans="2:15">
      <c r="B124" s="861" t="str">
        <f>LEFT('1_入力シート【基本情報】'!$AF$400,1)</f>
        <v/>
      </c>
      <c r="C124" s="296" t="str">
        <f t="shared" si="4"/>
        <v/>
      </c>
      <c r="E124" s="851">
        <v>23</v>
      </c>
      <c r="F124" s="847" t="s">
        <v>33</v>
      </c>
      <c r="G124" s="824" t="s">
        <v>1407</v>
      </c>
      <c r="H124" s="842" t="s">
        <v>33</v>
      </c>
      <c r="I124" s="826" t="s">
        <v>1407</v>
      </c>
      <c r="J124" s="840" t="s">
        <v>1252</v>
      </c>
      <c r="K124" s="296"/>
      <c r="L124" s="296"/>
      <c r="O124" s="380" t="str">
        <f t="shared" si="6"/>
        <v>23調査結果-調査結果-4(31)</v>
      </c>
    </row>
    <row r="125" spans="2:15">
      <c r="B125" s="861" t="str">
        <f>LEFT('1_入力シート【基本情報】'!$AF$401,1)</f>
        <v/>
      </c>
      <c r="C125" s="296" t="str">
        <f t="shared" si="4"/>
        <v/>
      </c>
      <c r="E125" s="851">
        <v>23</v>
      </c>
      <c r="F125" s="847" t="s">
        <v>33</v>
      </c>
      <c r="G125" s="824" t="s">
        <v>1407</v>
      </c>
      <c r="H125" s="842" t="s">
        <v>33</v>
      </c>
      <c r="I125" s="826" t="s">
        <v>1407</v>
      </c>
      <c r="J125" s="840" t="s">
        <v>1253</v>
      </c>
      <c r="K125" s="296"/>
      <c r="L125" s="296"/>
      <c r="O125" s="380" t="str">
        <f t="shared" si="6"/>
        <v>23調査結果-調査結果-4(32)</v>
      </c>
    </row>
    <row r="126" spans="2:15">
      <c r="B126" s="861" t="str">
        <f>LEFT('1_入力シート【基本情報】'!$AF$402,1)</f>
        <v/>
      </c>
      <c r="C126" s="296" t="str">
        <f t="shared" si="4"/>
        <v/>
      </c>
      <c r="E126" s="851">
        <v>23</v>
      </c>
      <c r="F126" s="847" t="s">
        <v>33</v>
      </c>
      <c r="G126" s="824" t="s">
        <v>1407</v>
      </c>
      <c r="H126" s="842" t="s">
        <v>33</v>
      </c>
      <c r="I126" s="826" t="s">
        <v>1407</v>
      </c>
      <c r="J126" s="840" t="s">
        <v>1254</v>
      </c>
      <c r="K126" s="296"/>
      <c r="L126" s="296"/>
      <c r="O126" s="380" t="str">
        <f t="shared" si="6"/>
        <v>23調査結果-調査結果-4(33)</v>
      </c>
    </row>
    <row r="127" spans="2:15">
      <c r="B127" s="861" t="str">
        <f>LEFT('1_入力シート【基本情報】'!$AF$413,1)</f>
        <v/>
      </c>
      <c r="C127" s="296" t="str">
        <f t="shared" si="4"/>
        <v/>
      </c>
      <c r="E127" s="851">
        <v>23</v>
      </c>
      <c r="F127" s="847" t="s">
        <v>33</v>
      </c>
      <c r="G127" s="824" t="s">
        <v>1407</v>
      </c>
      <c r="H127" s="842" t="s">
        <v>33</v>
      </c>
      <c r="I127" s="826" t="s">
        <v>1407</v>
      </c>
      <c r="J127" s="840" t="s">
        <v>1265</v>
      </c>
      <c r="K127" s="296"/>
      <c r="L127" s="296"/>
      <c r="O127" s="380" t="str">
        <f t="shared" si="6"/>
        <v>23調査結果-調査結果-4(44)</v>
      </c>
    </row>
    <row r="128" spans="2:15">
      <c r="B128" s="861" t="str">
        <f>LEFT('1_入力シート【基本情報】'!$AF$452,1)</f>
        <v/>
      </c>
      <c r="C128" s="296" t="str">
        <f t="shared" si="4"/>
        <v/>
      </c>
      <c r="E128" s="851">
        <v>23</v>
      </c>
      <c r="F128" s="847" t="s">
        <v>33</v>
      </c>
      <c r="G128" s="824" t="s">
        <v>1407</v>
      </c>
      <c r="H128" s="842" t="s">
        <v>33</v>
      </c>
      <c r="I128" s="826" t="s">
        <v>1407</v>
      </c>
      <c r="J128" s="841" t="s">
        <v>1295</v>
      </c>
      <c r="K128" s="296"/>
      <c r="L128" s="296"/>
      <c r="O128" s="380" t="str">
        <f t="shared" si="6"/>
        <v>23調査結果-調査結果-5(27)</v>
      </c>
    </row>
    <row r="129" spans="2:15">
      <c r="B129" s="861" t="str">
        <f>LEFT('1_入力シート【基本情報】'!$AF$453,1)</f>
        <v/>
      </c>
      <c r="C129" s="296" t="str">
        <f t="shared" si="4"/>
        <v/>
      </c>
      <c r="E129" s="851">
        <v>23</v>
      </c>
      <c r="F129" s="847" t="s">
        <v>33</v>
      </c>
      <c r="G129" s="824" t="s">
        <v>1407</v>
      </c>
      <c r="H129" s="842" t="s">
        <v>33</v>
      </c>
      <c r="I129" s="826" t="s">
        <v>1407</v>
      </c>
      <c r="J129" s="841" t="s">
        <v>1296</v>
      </c>
      <c r="K129" s="296"/>
      <c r="L129" s="296"/>
      <c r="O129" s="380" t="str">
        <f t="shared" si="6"/>
        <v>23調査結果-調査結果-5(28)</v>
      </c>
    </row>
    <row r="130" spans="2:15">
      <c r="B130" s="861" t="str">
        <f>LEFT('1_入力シート【基本情報】'!$AF$493,1)</f>
        <v/>
      </c>
      <c r="C130" s="296" t="str">
        <f t="shared" si="4"/>
        <v/>
      </c>
      <c r="E130" s="851">
        <v>23</v>
      </c>
      <c r="F130" s="847" t="s">
        <v>33</v>
      </c>
      <c r="G130" s="824" t="s">
        <v>1407</v>
      </c>
      <c r="H130" s="842" t="s">
        <v>33</v>
      </c>
      <c r="I130" s="826" t="s">
        <v>1407</v>
      </c>
      <c r="J130" s="839" t="s">
        <v>1318</v>
      </c>
      <c r="K130" s="296"/>
      <c r="L130" s="296"/>
      <c r="O130" s="380" t="str">
        <f t="shared" ref="O130:O136" si="7">CONCATENATE(E130,F130,G130,H130,I130,J130,K130,L130)</f>
        <v>23調査結果-調査結果-7(1)</v>
      </c>
    </row>
    <row r="131" spans="2:15">
      <c r="B131" s="861" t="str">
        <f>LEFT('1_入力シート【基本情報】'!$AF$496,1)</f>
        <v/>
      </c>
      <c r="C131" s="296" t="str">
        <f t="shared" si="4"/>
        <v/>
      </c>
      <c r="E131" s="851">
        <v>23</v>
      </c>
      <c r="F131" s="847" t="s">
        <v>33</v>
      </c>
      <c r="G131" s="824" t="s">
        <v>1407</v>
      </c>
      <c r="H131" s="842" t="s">
        <v>33</v>
      </c>
      <c r="I131" s="826" t="s">
        <v>1407</v>
      </c>
      <c r="J131" s="839" t="s">
        <v>1321</v>
      </c>
      <c r="K131" s="296"/>
      <c r="L131" s="296"/>
      <c r="O131" s="380" t="str">
        <f t="shared" si="7"/>
        <v>23調査結果-調査結果-7(4)</v>
      </c>
    </row>
    <row r="132" spans="2:15">
      <c r="B132" s="861" t="str">
        <f>LEFT('1_入力シート【基本情報】'!$AF$497,1)</f>
        <v/>
      </c>
      <c r="C132" s="296" t="str">
        <f t="shared" si="4"/>
        <v/>
      </c>
      <c r="E132" s="851">
        <v>23</v>
      </c>
      <c r="F132" s="847" t="s">
        <v>33</v>
      </c>
      <c r="G132" s="824" t="s">
        <v>1407</v>
      </c>
      <c r="H132" s="842" t="s">
        <v>33</v>
      </c>
      <c r="I132" s="826" t="s">
        <v>1407</v>
      </c>
      <c r="J132" s="839" t="s">
        <v>1322</v>
      </c>
      <c r="K132" s="296"/>
      <c r="L132" s="296"/>
      <c r="O132" s="380" t="str">
        <f t="shared" si="7"/>
        <v>23調査結果-調査結果-7(5)</v>
      </c>
    </row>
    <row r="133" spans="2:15">
      <c r="B133" s="1670" t="str">
        <f>'1_入力シート【基本情報】'!$HR$335</f>
        <v/>
      </c>
      <c r="C133" s="296" t="str">
        <f t="shared" ref="C133:C165" si="8">SUBSTITUTE(B133,CHAR(10),"")</f>
        <v/>
      </c>
      <c r="E133" s="851">
        <v>23</v>
      </c>
      <c r="F133" s="847" t="s">
        <v>33</v>
      </c>
      <c r="G133" s="824" t="s">
        <v>1407</v>
      </c>
      <c r="H133" s="842" t="s">
        <v>5422</v>
      </c>
      <c r="I133" s="826" t="s">
        <v>1407</v>
      </c>
      <c r="J133" s="839" t="s">
        <v>261</v>
      </c>
      <c r="K133" s="296"/>
      <c r="L133" s="296"/>
      <c r="O133" s="380" t="str">
        <f t="shared" si="7"/>
        <v>23調査結果-指摘内容-2(11)</v>
      </c>
    </row>
    <row r="134" spans="2:15">
      <c r="B134" s="1670" t="str">
        <f>'1_入力シート【基本情報】'!$HR$370</f>
        <v/>
      </c>
      <c r="C134" s="296" t="str">
        <f t="shared" si="8"/>
        <v/>
      </c>
      <c r="E134" s="851">
        <v>23</v>
      </c>
      <c r="F134" s="847" t="s">
        <v>33</v>
      </c>
      <c r="G134" s="824" t="s">
        <v>1407</v>
      </c>
      <c r="H134" s="842" t="s">
        <v>5422</v>
      </c>
      <c r="I134" s="826" t="s">
        <v>1407</v>
      </c>
      <c r="J134" s="840" t="s">
        <v>1222</v>
      </c>
      <c r="K134" s="296"/>
      <c r="L134" s="296"/>
      <c r="O134" s="380" t="str">
        <f t="shared" si="7"/>
        <v>23調査結果-指摘内容-4(1)</v>
      </c>
    </row>
    <row r="135" spans="2:15">
      <c r="B135" s="1670" t="str">
        <f>'1_入力シート【基本情報】'!$HR$371</f>
        <v/>
      </c>
      <c r="C135" s="296" t="str">
        <f t="shared" si="8"/>
        <v/>
      </c>
      <c r="E135" s="851">
        <v>23</v>
      </c>
      <c r="F135" s="847" t="s">
        <v>33</v>
      </c>
      <c r="G135" s="824" t="s">
        <v>1407</v>
      </c>
      <c r="H135" s="842" t="s">
        <v>5422</v>
      </c>
      <c r="I135" s="826" t="s">
        <v>1407</v>
      </c>
      <c r="J135" s="840" t="s">
        <v>1223</v>
      </c>
      <c r="K135" s="296"/>
      <c r="L135" s="296"/>
      <c r="O135" s="380" t="str">
        <f t="shared" si="7"/>
        <v>23調査結果-指摘内容-4(2)</v>
      </c>
    </row>
    <row r="136" spans="2:15">
      <c r="B136" s="1670" t="str">
        <f>'1_入力シート【基本情報】'!$HR$372</f>
        <v/>
      </c>
      <c r="C136" s="296" t="str">
        <f t="shared" si="8"/>
        <v/>
      </c>
      <c r="E136" s="851">
        <v>23</v>
      </c>
      <c r="F136" s="847" t="s">
        <v>33</v>
      </c>
      <c r="G136" s="824" t="s">
        <v>1407</v>
      </c>
      <c r="H136" s="842" t="s">
        <v>5422</v>
      </c>
      <c r="I136" s="826" t="s">
        <v>1407</v>
      </c>
      <c r="J136" s="840" t="s">
        <v>1224</v>
      </c>
      <c r="K136" s="296"/>
      <c r="L136" s="296"/>
      <c r="O136" s="380" t="str">
        <f t="shared" si="7"/>
        <v>23調査結果-指摘内容-4(3)</v>
      </c>
    </row>
    <row r="137" spans="2:15">
      <c r="B137" s="1670" t="str">
        <f>'1_入力シート【基本情報】'!$HR$395</f>
        <v/>
      </c>
      <c r="C137" s="296" t="str">
        <f t="shared" si="8"/>
        <v/>
      </c>
      <c r="E137" s="851">
        <v>23</v>
      </c>
      <c r="F137" s="847" t="s">
        <v>33</v>
      </c>
      <c r="G137" s="824" t="s">
        <v>1407</v>
      </c>
      <c r="H137" s="842" t="s">
        <v>5422</v>
      </c>
      <c r="I137" s="826" t="s">
        <v>1407</v>
      </c>
      <c r="J137" s="840" t="s">
        <v>1247</v>
      </c>
      <c r="K137" s="296"/>
      <c r="L137" s="296"/>
      <c r="O137" s="380" t="str">
        <f t="shared" ref="O137:O141" si="9">CONCATENATE(E137,F137,G137,H137,I137,J137,K137,L137)</f>
        <v>23調査結果-指摘内容-4(26)</v>
      </c>
    </row>
    <row r="138" spans="2:15">
      <c r="B138" s="1670" t="str">
        <f>'1_入力シート【基本情報】'!$HR$400</f>
        <v/>
      </c>
      <c r="C138" s="296" t="str">
        <f t="shared" si="8"/>
        <v/>
      </c>
      <c r="E138" s="851">
        <v>23</v>
      </c>
      <c r="F138" s="847" t="s">
        <v>33</v>
      </c>
      <c r="G138" s="824" t="s">
        <v>1407</v>
      </c>
      <c r="H138" s="842" t="s">
        <v>5422</v>
      </c>
      <c r="I138" s="826" t="s">
        <v>1407</v>
      </c>
      <c r="J138" s="840" t="s">
        <v>1252</v>
      </c>
      <c r="K138" s="296"/>
      <c r="L138" s="296"/>
      <c r="O138" s="380" t="str">
        <f t="shared" si="9"/>
        <v>23調査結果-指摘内容-4(31)</v>
      </c>
    </row>
    <row r="139" spans="2:15">
      <c r="B139" s="1670" t="str">
        <f>'1_入力シート【基本情報】'!$HR$401</f>
        <v/>
      </c>
      <c r="C139" s="296" t="str">
        <f t="shared" si="8"/>
        <v/>
      </c>
      <c r="E139" s="851">
        <v>23</v>
      </c>
      <c r="F139" s="847" t="s">
        <v>33</v>
      </c>
      <c r="G139" s="824" t="s">
        <v>1407</v>
      </c>
      <c r="H139" s="842" t="s">
        <v>5422</v>
      </c>
      <c r="I139" s="826" t="s">
        <v>1407</v>
      </c>
      <c r="J139" s="840" t="s">
        <v>1253</v>
      </c>
      <c r="K139" s="296"/>
      <c r="L139" s="296"/>
      <c r="O139" s="380" t="str">
        <f t="shared" si="9"/>
        <v>23調査結果-指摘内容-4(32)</v>
      </c>
    </row>
    <row r="140" spans="2:15">
      <c r="B140" s="1670" t="str">
        <f>'1_入力シート【基本情報】'!$HR$402</f>
        <v/>
      </c>
      <c r="C140" s="296" t="str">
        <f t="shared" si="8"/>
        <v/>
      </c>
      <c r="E140" s="851">
        <v>23</v>
      </c>
      <c r="F140" s="847" t="s">
        <v>33</v>
      </c>
      <c r="G140" s="824" t="s">
        <v>1407</v>
      </c>
      <c r="H140" s="842" t="s">
        <v>5422</v>
      </c>
      <c r="I140" s="826" t="s">
        <v>1407</v>
      </c>
      <c r="J140" s="840" t="s">
        <v>1254</v>
      </c>
      <c r="K140" s="296"/>
      <c r="L140" s="296"/>
      <c r="O140" s="380" t="str">
        <f t="shared" si="9"/>
        <v>23調査結果-指摘内容-4(33)</v>
      </c>
    </row>
    <row r="141" spans="2:15">
      <c r="B141" s="1670" t="str">
        <f>'1_入力シート【基本情報】'!$HR$413</f>
        <v/>
      </c>
      <c r="C141" s="296" t="str">
        <f t="shared" si="8"/>
        <v/>
      </c>
      <c r="E141" s="851">
        <v>23</v>
      </c>
      <c r="F141" s="847" t="s">
        <v>33</v>
      </c>
      <c r="G141" s="824" t="s">
        <v>1407</v>
      </c>
      <c r="H141" s="842" t="s">
        <v>5422</v>
      </c>
      <c r="I141" s="826" t="s">
        <v>1407</v>
      </c>
      <c r="J141" s="840" t="s">
        <v>1265</v>
      </c>
      <c r="K141" s="296"/>
      <c r="L141" s="296"/>
      <c r="O141" s="380" t="str">
        <f t="shared" si="9"/>
        <v>23調査結果-指摘内容-4(44)</v>
      </c>
    </row>
    <row r="142" spans="2:15">
      <c r="B142" s="1670" t="str">
        <f>'1_入力シート【基本情報】'!$HR$452</f>
        <v/>
      </c>
      <c r="C142" s="296" t="str">
        <f t="shared" si="8"/>
        <v/>
      </c>
      <c r="E142" s="851">
        <v>23</v>
      </c>
      <c r="F142" s="847" t="s">
        <v>33</v>
      </c>
      <c r="G142" s="824" t="s">
        <v>1407</v>
      </c>
      <c r="H142" s="842" t="s">
        <v>5422</v>
      </c>
      <c r="I142" s="826" t="s">
        <v>1407</v>
      </c>
      <c r="J142" s="841" t="s">
        <v>1295</v>
      </c>
      <c r="K142" s="296"/>
      <c r="L142" s="296"/>
      <c r="O142" s="380" t="str">
        <f t="shared" ref="O142:O146" si="10">CONCATENATE(E142,F142,G142,H142,I142,J142,K142,L142)</f>
        <v>23調査結果-指摘内容-5(27)</v>
      </c>
    </row>
    <row r="143" spans="2:15">
      <c r="B143" s="1670" t="str">
        <f>'1_入力シート【基本情報】'!$HR$453</f>
        <v/>
      </c>
      <c r="C143" s="296" t="str">
        <f t="shared" si="8"/>
        <v/>
      </c>
      <c r="E143" s="851">
        <v>23</v>
      </c>
      <c r="F143" s="847" t="s">
        <v>33</v>
      </c>
      <c r="G143" s="824" t="s">
        <v>1407</v>
      </c>
      <c r="H143" s="842" t="s">
        <v>5422</v>
      </c>
      <c r="I143" s="826" t="s">
        <v>1407</v>
      </c>
      <c r="J143" s="841" t="s">
        <v>1296</v>
      </c>
      <c r="K143" s="296"/>
      <c r="L143" s="296"/>
      <c r="O143" s="380" t="str">
        <f t="shared" si="10"/>
        <v>23調査結果-指摘内容-5(28)</v>
      </c>
    </row>
    <row r="144" spans="2:15">
      <c r="B144" s="1670" t="str">
        <f>'1_入力シート【基本情報】'!$HR$493</f>
        <v/>
      </c>
      <c r="C144" s="296" t="str">
        <f t="shared" si="8"/>
        <v/>
      </c>
      <c r="E144" s="851">
        <v>23</v>
      </c>
      <c r="F144" s="847" t="s">
        <v>33</v>
      </c>
      <c r="G144" s="824" t="s">
        <v>1407</v>
      </c>
      <c r="H144" s="842" t="s">
        <v>5422</v>
      </c>
      <c r="I144" s="826" t="s">
        <v>1407</v>
      </c>
      <c r="J144" s="839" t="s">
        <v>1318</v>
      </c>
      <c r="K144" s="296"/>
      <c r="L144" s="296"/>
      <c r="O144" s="380" t="str">
        <f t="shared" si="10"/>
        <v>23調査結果-指摘内容-7(1)</v>
      </c>
    </row>
    <row r="145" spans="2:15">
      <c r="B145" s="1670" t="str">
        <f>'1_入力シート【基本情報】'!$HR$496</f>
        <v/>
      </c>
      <c r="C145" s="296" t="str">
        <f t="shared" si="8"/>
        <v/>
      </c>
      <c r="E145" s="851">
        <v>23</v>
      </c>
      <c r="F145" s="847" t="s">
        <v>33</v>
      </c>
      <c r="G145" s="824" t="s">
        <v>1407</v>
      </c>
      <c r="H145" s="842" t="s">
        <v>5422</v>
      </c>
      <c r="I145" s="826" t="s">
        <v>1407</v>
      </c>
      <c r="J145" s="839" t="s">
        <v>1321</v>
      </c>
      <c r="K145" s="296"/>
      <c r="L145" s="296"/>
      <c r="O145" s="380" t="str">
        <f t="shared" si="10"/>
        <v>23調査結果-指摘内容-7(4)</v>
      </c>
    </row>
    <row r="146" spans="2:15">
      <c r="B146" s="1670" t="str">
        <f>'1_入力シート【基本情報】'!$HR$497</f>
        <v/>
      </c>
      <c r="C146" s="296" t="str">
        <f t="shared" si="8"/>
        <v/>
      </c>
      <c r="E146" s="851">
        <v>23</v>
      </c>
      <c r="F146" s="847" t="s">
        <v>33</v>
      </c>
      <c r="G146" s="824" t="s">
        <v>1407</v>
      </c>
      <c r="H146" s="842" t="s">
        <v>5422</v>
      </c>
      <c r="I146" s="826" t="s">
        <v>1407</v>
      </c>
      <c r="J146" s="839" t="s">
        <v>1322</v>
      </c>
      <c r="K146" s="296"/>
      <c r="L146" s="296"/>
      <c r="O146" s="380" t="str">
        <f t="shared" si="10"/>
        <v>23調査結果-指摘内容-7(5)</v>
      </c>
    </row>
    <row r="147" spans="2:15">
      <c r="B147" s="1670" t="str">
        <f>'1_入力シート【基本情報】'!$GZ$335</f>
        <v/>
      </c>
      <c r="C147" s="296" t="str">
        <f t="shared" si="8"/>
        <v/>
      </c>
      <c r="E147" s="851">
        <v>23</v>
      </c>
      <c r="F147" s="847" t="s">
        <v>33</v>
      </c>
      <c r="G147" s="824" t="s">
        <v>1407</v>
      </c>
      <c r="H147" s="296" t="s">
        <v>536</v>
      </c>
      <c r="I147" s="826" t="s">
        <v>1407</v>
      </c>
      <c r="J147" s="839" t="s">
        <v>261</v>
      </c>
      <c r="K147" s="296"/>
      <c r="L147" s="296"/>
      <c r="O147" s="380" t="str">
        <f t="shared" ref="O147:O153" si="11">CONCATENATE(E147,F147,G147,H147,I147,J147,K147,L147)</f>
        <v>23調査結果-改善予定-2(11)</v>
      </c>
    </row>
    <row r="148" spans="2:15">
      <c r="B148" s="1670" t="str">
        <f>'1_入力シート【基本情報】'!$GZ$370</f>
        <v/>
      </c>
      <c r="C148" s="296" t="str">
        <f t="shared" si="8"/>
        <v/>
      </c>
      <c r="E148" s="851">
        <v>23</v>
      </c>
      <c r="F148" s="847" t="s">
        <v>33</v>
      </c>
      <c r="G148" s="824" t="s">
        <v>1407</v>
      </c>
      <c r="H148" s="296" t="s">
        <v>536</v>
      </c>
      <c r="I148" s="826" t="s">
        <v>1407</v>
      </c>
      <c r="J148" s="840" t="s">
        <v>1222</v>
      </c>
      <c r="K148" s="296"/>
      <c r="L148" s="296"/>
      <c r="O148" s="380" t="str">
        <f t="shared" si="11"/>
        <v>23調査結果-改善予定-4(1)</v>
      </c>
    </row>
    <row r="149" spans="2:15">
      <c r="B149" s="1670" t="str">
        <f>'1_入力シート【基本情報】'!$GZ$371</f>
        <v/>
      </c>
      <c r="C149" s="296" t="str">
        <f t="shared" si="8"/>
        <v/>
      </c>
      <c r="E149" s="851">
        <v>23</v>
      </c>
      <c r="F149" s="847" t="s">
        <v>33</v>
      </c>
      <c r="G149" s="824" t="s">
        <v>1407</v>
      </c>
      <c r="H149" s="296" t="s">
        <v>536</v>
      </c>
      <c r="I149" s="826" t="s">
        <v>1407</v>
      </c>
      <c r="J149" s="840" t="s">
        <v>1223</v>
      </c>
      <c r="K149" s="296"/>
      <c r="L149" s="296"/>
      <c r="O149" s="380" t="str">
        <f t="shared" si="11"/>
        <v>23調査結果-改善予定-4(2)</v>
      </c>
    </row>
    <row r="150" spans="2:15">
      <c r="B150" s="1670" t="str">
        <f>'1_入力シート【基本情報】'!$GZ$372</f>
        <v/>
      </c>
      <c r="C150" s="296" t="str">
        <f t="shared" si="8"/>
        <v/>
      </c>
      <c r="E150" s="851">
        <v>23</v>
      </c>
      <c r="F150" s="847" t="s">
        <v>33</v>
      </c>
      <c r="G150" s="824" t="s">
        <v>1407</v>
      </c>
      <c r="H150" s="296" t="s">
        <v>536</v>
      </c>
      <c r="I150" s="826" t="s">
        <v>1407</v>
      </c>
      <c r="J150" s="840" t="s">
        <v>1224</v>
      </c>
      <c r="K150" s="296"/>
      <c r="L150" s="296"/>
      <c r="O150" s="380" t="str">
        <f t="shared" si="11"/>
        <v>23調査結果-改善予定-4(3)</v>
      </c>
    </row>
    <row r="151" spans="2:15">
      <c r="B151" s="1670" t="str">
        <f>'1_入力シート【基本情報】'!$GZ$395</f>
        <v/>
      </c>
      <c r="C151" s="296" t="str">
        <f t="shared" si="8"/>
        <v/>
      </c>
      <c r="E151" s="851">
        <v>23</v>
      </c>
      <c r="F151" s="847" t="s">
        <v>33</v>
      </c>
      <c r="G151" s="824" t="s">
        <v>1407</v>
      </c>
      <c r="H151" s="296" t="s">
        <v>536</v>
      </c>
      <c r="I151" s="826" t="s">
        <v>1407</v>
      </c>
      <c r="J151" s="840" t="s">
        <v>1247</v>
      </c>
      <c r="K151" s="296"/>
      <c r="L151" s="296"/>
      <c r="O151" s="380" t="str">
        <f t="shared" si="11"/>
        <v>23調査結果-改善予定-4(26)</v>
      </c>
    </row>
    <row r="152" spans="2:15">
      <c r="B152" s="1670" t="str">
        <f>'1_入力シート【基本情報】'!$GZ$400</f>
        <v/>
      </c>
      <c r="C152" s="296" t="str">
        <f t="shared" si="8"/>
        <v/>
      </c>
      <c r="E152" s="851">
        <v>23</v>
      </c>
      <c r="F152" s="847" t="s">
        <v>33</v>
      </c>
      <c r="G152" s="824" t="s">
        <v>1407</v>
      </c>
      <c r="H152" s="296" t="s">
        <v>536</v>
      </c>
      <c r="I152" s="826" t="s">
        <v>1407</v>
      </c>
      <c r="J152" s="840" t="s">
        <v>1252</v>
      </c>
      <c r="K152" s="296"/>
      <c r="L152" s="296"/>
      <c r="O152" s="380" t="str">
        <f t="shared" si="11"/>
        <v>23調査結果-改善予定-4(31)</v>
      </c>
    </row>
    <row r="153" spans="2:15">
      <c r="B153" s="1670" t="str">
        <f>'1_入力シート【基本情報】'!$GZ$401</f>
        <v/>
      </c>
      <c r="C153" s="296" t="str">
        <f t="shared" si="8"/>
        <v/>
      </c>
      <c r="E153" s="851">
        <v>23</v>
      </c>
      <c r="F153" s="847" t="s">
        <v>33</v>
      </c>
      <c r="G153" s="824" t="s">
        <v>1407</v>
      </c>
      <c r="H153" s="296" t="s">
        <v>536</v>
      </c>
      <c r="I153" s="826" t="s">
        <v>1407</v>
      </c>
      <c r="J153" s="840" t="s">
        <v>1253</v>
      </c>
      <c r="K153" s="296"/>
      <c r="L153" s="296"/>
      <c r="O153" s="380" t="str">
        <f t="shared" si="11"/>
        <v>23調査結果-改善予定-4(32)</v>
      </c>
    </row>
    <row r="154" spans="2:15">
      <c r="B154" s="1670" t="str">
        <f>'1_入力シート【基本情報】'!$GZ$402</f>
        <v/>
      </c>
      <c r="C154" s="296" t="str">
        <f t="shared" si="8"/>
        <v/>
      </c>
      <c r="E154" s="851">
        <v>23</v>
      </c>
      <c r="F154" s="847" t="s">
        <v>33</v>
      </c>
      <c r="G154" s="824" t="s">
        <v>1407</v>
      </c>
      <c r="H154" s="296" t="s">
        <v>536</v>
      </c>
      <c r="I154" s="826" t="s">
        <v>1407</v>
      </c>
      <c r="J154" s="840" t="s">
        <v>1254</v>
      </c>
      <c r="K154" s="296"/>
      <c r="L154" s="296"/>
      <c r="O154" s="380" t="str">
        <f t="shared" ref="O154:O157" si="12">CONCATENATE(E154,F154,G154,H154,I154,J154,K154,L154)</f>
        <v>23調査結果-改善予定-4(33)</v>
      </c>
    </row>
    <row r="155" spans="2:15">
      <c r="B155" s="1670" t="str">
        <f>'1_入力シート【基本情報】'!$GZ$413</f>
        <v/>
      </c>
      <c r="C155" s="296" t="str">
        <f t="shared" si="8"/>
        <v/>
      </c>
      <c r="E155" s="851">
        <v>23</v>
      </c>
      <c r="F155" s="847" t="s">
        <v>33</v>
      </c>
      <c r="G155" s="824" t="s">
        <v>1407</v>
      </c>
      <c r="H155" s="296" t="s">
        <v>536</v>
      </c>
      <c r="I155" s="826" t="s">
        <v>1407</v>
      </c>
      <c r="J155" s="840" t="s">
        <v>1265</v>
      </c>
      <c r="K155" s="296"/>
      <c r="L155" s="296"/>
      <c r="O155" s="380" t="str">
        <f t="shared" si="12"/>
        <v>23調査結果-改善予定-4(44)</v>
      </c>
    </row>
    <row r="156" spans="2:15">
      <c r="B156" s="1670" t="str">
        <f>'1_入力シート【基本情報】'!$GZ$452</f>
        <v/>
      </c>
      <c r="C156" s="296" t="str">
        <f t="shared" si="8"/>
        <v/>
      </c>
      <c r="E156" s="851">
        <v>23</v>
      </c>
      <c r="F156" s="847" t="s">
        <v>33</v>
      </c>
      <c r="G156" s="824" t="s">
        <v>1407</v>
      </c>
      <c r="H156" s="296" t="s">
        <v>536</v>
      </c>
      <c r="I156" s="826" t="s">
        <v>1407</v>
      </c>
      <c r="J156" s="841" t="s">
        <v>1295</v>
      </c>
      <c r="K156" s="296"/>
      <c r="L156" s="296"/>
      <c r="O156" s="380" t="str">
        <f t="shared" si="12"/>
        <v>23調査結果-改善予定-5(27)</v>
      </c>
    </row>
    <row r="157" spans="2:15">
      <c r="B157" s="1670" t="str">
        <f>'1_入力シート【基本情報】'!$GZ$453</f>
        <v/>
      </c>
      <c r="C157" s="296" t="str">
        <f t="shared" si="8"/>
        <v/>
      </c>
      <c r="E157" s="851">
        <v>23</v>
      </c>
      <c r="F157" s="847" t="s">
        <v>33</v>
      </c>
      <c r="G157" s="824" t="s">
        <v>1407</v>
      </c>
      <c r="H157" s="296" t="s">
        <v>536</v>
      </c>
      <c r="I157" s="826" t="s">
        <v>1407</v>
      </c>
      <c r="J157" s="841" t="s">
        <v>1296</v>
      </c>
      <c r="K157" s="296"/>
      <c r="L157" s="296"/>
      <c r="O157" s="380" t="str">
        <f t="shared" si="12"/>
        <v>23調査結果-改善予定-5(28)</v>
      </c>
    </row>
    <row r="158" spans="2:15">
      <c r="B158" s="1670" t="str">
        <f>'1_入力シート【基本情報】'!$GZ$493</f>
        <v/>
      </c>
      <c r="C158" s="296" t="str">
        <f t="shared" si="8"/>
        <v/>
      </c>
      <c r="E158" s="851">
        <v>23</v>
      </c>
      <c r="F158" s="847" t="s">
        <v>33</v>
      </c>
      <c r="G158" s="824" t="s">
        <v>1407</v>
      </c>
      <c r="H158" s="296" t="s">
        <v>536</v>
      </c>
      <c r="I158" s="826" t="s">
        <v>1407</v>
      </c>
      <c r="J158" s="839" t="s">
        <v>1318</v>
      </c>
      <c r="K158" s="296"/>
      <c r="L158" s="296"/>
      <c r="O158" s="380" t="str">
        <f t="shared" ref="O158:O165" si="13">CONCATENATE(E158,F158,G158,H158,I158,J158,K158,L158)</f>
        <v>23調査結果-改善予定-7(1)</v>
      </c>
    </row>
    <row r="159" spans="2:15">
      <c r="B159" s="1670" t="str">
        <f>'1_入力シート【基本情報】'!$GZ$496</f>
        <v/>
      </c>
      <c r="C159" s="296" t="str">
        <f t="shared" si="8"/>
        <v/>
      </c>
      <c r="E159" s="851">
        <v>23</v>
      </c>
      <c r="F159" s="847" t="s">
        <v>33</v>
      </c>
      <c r="G159" s="824" t="s">
        <v>1407</v>
      </c>
      <c r="H159" s="296" t="s">
        <v>536</v>
      </c>
      <c r="I159" s="826" t="s">
        <v>1407</v>
      </c>
      <c r="J159" s="839" t="s">
        <v>1321</v>
      </c>
      <c r="K159" s="296"/>
      <c r="L159" s="296"/>
      <c r="O159" s="380" t="str">
        <f t="shared" si="13"/>
        <v>23調査結果-改善予定-7(4)</v>
      </c>
    </row>
    <row r="160" spans="2:15">
      <c r="B160" s="1670" t="str">
        <f>'1_入力シート【基本情報】'!$GZ$497</f>
        <v/>
      </c>
      <c r="C160" s="296" t="str">
        <f t="shared" si="8"/>
        <v/>
      </c>
      <c r="E160" s="851">
        <v>23</v>
      </c>
      <c r="F160" s="847" t="s">
        <v>33</v>
      </c>
      <c r="G160" s="824" t="s">
        <v>1407</v>
      </c>
      <c r="H160" s="296" t="s">
        <v>536</v>
      </c>
      <c r="I160" s="826" t="s">
        <v>1407</v>
      </c>
      <c r="J160" s="839" t="s">
        <v>1322</v>
      </c>
      <c r="K160" s="296"/>
      <c r="L160" s="296"/>
      <c r="O160" s="380" t="str">
        <f t="shared" si="13"/>
        <v>23調査結果-改善予定-7(5)</v>
      </c>
    </row>
    <row r="161" spans="2:15">
      <c r="B161" s="861" t="str">
        <f ca="1">INFO("SYSTEM")</f>
        <v>pcdos</v>
      </c>
      <c r="C161" s="296" t="str">
        <f t="shared" ca="1" si="8"/>
        <v>pcdos</v>
      </c>
      <c r="D161" s="3"/>
      <c r="E161" s="296"/>
      <c r="F161" s="2" t="s">
        <v>4671</v>
      </c>
      <c r="G161" s="824" t="s">
        <v>1407</v>
      </c>
      <c r="H161" s="2" t="s">
        <v>4672</v>
      </c>
      <c r="I161" s="296"/>
      <c r="J161" s="296"/>
      <c r="K161" s="296"/>
      <c r="L161" s="296"/>
      <c r="O161" s="380" t="str">
        <f t="shared" si="13"/>
        <v>info関数-操作環境の名前</v>
      </c>
    </row>
    <row r="162" spans="2:15">
      <c r="B162" s="861" t="str">
        <f ca="1">INFO("osversion")</f>
        <v>Windows (32-bit) NT 10.00</v>
      </c>
      <c r="C162" s="296" t="str">
        <f t="shared" ca="1" si="8"/>
        <v>Windows (32-bit) NT 10.00</v>
      </c>
      <c r="D162" s="3"/>
      <c r="E162" s="296"/>
      <c r="F162" s="2" t="s">
        <v>4671</v>
      </c>
      <c r="G162" s="824" t="s">
        <v>1407</v>
      </c>
      <c r="H162" s="2" t="s">
        <v>4673</v>
      </c>
      <c r="I162" s="296"/>
      <c r="J162" s="296"/>
      <c r="K162" s="296"/>
      <c r="L162" s="296"/>
      <c r="O162" s="380" t="str">
        <f t="shared" si="13"/>
        <v>info関数-OSのバージョン</v>
      </c>
    </row>
    <row r="163" spans="2:15">
      <c r="B163" s="861" t="str">
        <f ca="1">INFO("RELEASE")</f>
        <v>16.0</v>
      </c>
      <c r="C163" s="296" t="str">
        <f t="shared" ca="1" si="8"/>
        <v>16.0</v>
      </c>
      <c r="D163" s="3"/>
      <c r="E163" s="296"/>
      <c r="F163" s="2" t="s">
        <v>4671</v>
      </c>
      <c r="G163" s="824" t="s">
        <v>1407</v>
      </c>
      <c r="H163" s="2" t="s">
        <v>4674</v>
      </c>
      <c r="I163" s="296"/>
      <c r="J163" s="296"/>
      <c r="K163" s="296"/>
      <c r="L163" s="296"/>
      <c r="O163" s="380" t="str">
        <f t="shared" si="13"/>
        <v>info関数-Excel のバージョン</v>
      </c>
    </row>
    <row r="164" spans="2:15">
      <c r="B164" s="861" t="e">
        <f ca="1">isemail("aa@city.kyoto.lg.jp")</f>
        <v>#NAME?</v>
      </c>
      <c r="C164" s="296" t="e">
        <f t="shared" ca="1" si="8"/>
        <v>#NAME?</v>
      </c>
      <c r="D164" s="3"/>
      <c r="E164" s="296"/>
      <c r="F164" s="2" t="s">
        <v>4675</v>
      </c>
      <c r="G164" s="824" t="s">
        <v>1407</v>
      </c>
      <c r="H164" s="2" t="s">
        <v>4676</v>
      </c>
      <c r="I164" s="296"/>
      <c r="J164" s="296"/>
      <c r="K164" s="296"/>
      <c r="L164" s="296"/>
      <c r="O164" s="380" t="str">
        <f t="shared" si="13"/>
        <v>isemail関数-isemail関数が使用できる環境か</v>
      </c>
    </row>
    <row r="165" spans="2:15">
      <c r="B165" s="296" t="str">
        <f>チェックシート!$O$3</f>
        <v>ver112</v>
      </c>
      <c r="C165" s="296" t="str">
        <f t="shared" si="8"/>
        <v>ver112</v>
      </c>
      <c r="E165" s="296"/>
      <c r="F165" s="296" t="s">
        <v>5610</v>
      </c>
      <c r="G165" s="296"/>
      <c r="H165" s="296"/>
      <c r="I165" s="296"/>
      <c r="J165" s="296"/>
      <c r="K165" s="296"/>
      <c r="L165" s="296"/>
      <c r="O165" s="380" t="str">
        <f t="shared" si="13"/>
        <v>入力支援ファイルのバージョン</v>
      </c>
    </row>
  </sheetData>
  <phoneticPr fontId="3"/>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3DF54-0548-4B84-8DB4-7A8CD13A8379}">
  <sheetPr codeName="Sheet15"/>
  <dimension ref="A1:FF2"/>
  <sheetViews>
    <sheetView zoomScale="70" zoomScaleNormal="70" workbookViewId="0"/>
  </sheetViews>
  <sheetFormatPr defaultRowHeight="13"/>
  <cols>
    <col min="1" max="162" width="50.6328125" customWidth="1"/>
  </cols>
  <sheetData>
    <row r="1" spans="1:162" ht="26">
      <c r="A1" s="592" t="s">
        <v>2409</v>
      </c>
      <c r="B1" s="592" t="s">
        <v>2410</v>
      </c>
      <c r="C1" s="592" t="s">
        <v>4930</v>
      </c>
      <c r="D1" s="592" t="s">
        <v>1711</v>
      </c>
      <c r="E1" s="592" t="s">
        <v>1712</v>
      </c>
      <c r="F1" s="592" t="s">
        <v>1713</v>
      </c>
      <c r="G1" s="592" t="s">
        <v>1716</v>
      </c>
      <c r="H1" s="592" t="s">
        <v>1721</v>
      </c>
      <c r="I1" s="592" t="s">
        <v>1722</v>
      </c>
      <c r="J1" s="592" t="s">
        <v>1723</v>
      </c>
      <c r="K1" s="592" t="s">
        <v>4931</v>
      </c>
      <c r="L1" s="592" t="s">
        <v>1738</v>
      </c>
      <c r="M1" s="592" t="s">
        <v>1740</v>
      </c>
      <c r="N1" s="592" t="s">
        <v>1742</v>
      </c>
      <c r="O1" s="592" t="s">
        <v>1743</v>
      </c>
      <c r="P1" s="592" t="s">
        <v>1744</v>
      </c>
      <c r="Q1" s="592" t="s">
        <v>1745</v>
      </c>
      <c r="R1" s="592" t="s">
        <v>1746</v>
      </c>
      <c r="S1" s="592" t="s">
        <v>1747</v>
      </c>
      <c r="T1" s="592" t="s">
        <v>1750</v>
      </c>
      <c r="U1" s="592" t="s">
        <v>1751</v>
      </c>
      <c r="V1" s="592" t="s">
        <v>1752</v>
      </c>
      <c r="W1" s="592" t="s">
        <v>1753</v>
      </c>
      <c r="X1" s="592" t="s">
        <v>1754</v>
      </c>
      <c r="Y1" s="592" t="s">
        <v>1755</v>
      </c>
      <c r="Z1" s="592" t="s">
        <v>3405</v>
      </c>
      <c r="AA1" s="592" t="s">
        <v>4938</v>
      </c>
      <c r="AB1" s="592" t="s">
        <v>4939</v>
      </c>
      <c r="AC1" s="592" t="s">
        <v>4940</v>
      </c>
      <c r="AD1" s="592" t="s">
        <v>4941</v>
      </c>
      <c r="AE1" s="592" t="s">
        <v>4942</v>
      </c>
      <c r="AF1" s="592" t="s">
        <v>4943</v>
      </c>
      <c r="AG1" s="592" t="s">
        <v>4944</v>
      </c>
      <c r="AH1" s="592" t="s">
        <v>4945</v>
      </c>
      <c r="AI1" s="592" t="s">
        <v>4946</v>
      </c>
      <c r="AJ1" s="592" t="s">
        <v>4947</v>
      </c>
      <c r="AK1" s="592" t="s">
        <v>4948</v>
      </c>
      <c r="AL1" s="592" t="s">
        <v>4949</v>
      </c>
      <c r="AM1" s="592" t="s">
        <v>4950</v>
      </c>
      <c r="AN1" s="592" t="s">
        <v>4951</v>
      </c>
      <c r="AO1" s="592" t="s">
        <v>4952</v>
      </c>
      <c r="AP1" s="592" t="s">
        <v>4953</v>
      </c>
      <c r="AQ1" s="592" t="s">
        <v>4954</v>
      </c>
      <c r="AR1" s="592" t="s">
        <v>4955</v>
      </c>
      <c r="AS1" s="592" t="s">
        <v>4956</v>
      </c>
      <c r="AT1" s="592" t="s">
        <v>4957</v>
      </c>
      <c r="AU1" s="592" t="s">
        <v>4958</v>
      </c>
      <c r="AV1" s="592" t="s">
        <v>4959</v>
      </c>
      <c r="AW1" s="592" t="s">
        <v>4960</v>
      </c>
      <c r="AX1" s="592" t="s">
        <v>4961</v>
      </c>
      <c r="AY1" s="592" t="s">
        <v>4962</v>
      </c>
      <c r="AZ1" s="592" t="s">
        <v>4963</v>
      </c>
      <c r="BA1" s="592" t="s">
        <v>4964</v>
      </c>
      <c r="BB1" s="592" t="s">
        <v>4966</v>
      </c>
      <c r="BC1" s="592" t="s">
        <v>4971</v>
      </c>
      <c r="BD1" s="592" t="s">
        <v>4976</v>
      </c>
      <c r="BE1" s="592" t="s">
        <v>4977</v>
      </c>
      <c r="BF1" s="592" t="s">
        <v>4978</v>
      </c>
      <c r="BG1" s="592" t="s">
        <v>4979</v>
      </c>
      <c r="BH1" s="592" t="s">
        <v>4980</v>
      </c>
      <c r="BI1" s="592" t="s">
        <v>4981</v>
      </c>
      <c r="BJ1" s="592" t="s">
        <v>4982</v>
      </c>
      <c r="BK1" s="592" t="s">
        <v>4983</v>
      </c>
      <c r="BL1" s="592" t="s">
        <v>4984</v>
      </c>
      <c r="BM1" s="592" t="s">
        <v>4985</v>
      </c>
      <c r="BN1" s="592" t="s">
        <v>4986</v>
      </c>
      <c r="BO1" s="592" t="s">
        <v>4987</v>
      </c>
      <c r="BP1" s="592" t="s">
        <v>4988</v>
      </c>
      <c r="BQ1" s="592" t="s">
        <v>4994</v>
      </c>
      <c r="BR1" s="592" t="s">
        <v>5000</v>
      </c>
      <c r="BS1" s="592" t="s">
        <v>5006</v>
      </c>
      <c r="BT1" s="592" t="s">
        <v>5012</v>
      </c>
      <c r="BU1" s="592" t="s">
        <v>5018</v>
      </c>
      <c r="BV1" s="592" t="s">
        <v>5024</v>
      </c>
      <c r="BW1" s="592" t="s">
        <v>5030</v>
      </c>
      <c r="BX1" s="592" t="s">
        <v>1934</v>
      </c>
      <c r="BY1" s="592" t="s">
        <v>1935</v>
      </c>
      <c r="BZ1" s="592" t="s">
        <v>1936</v>
      </c>
      <c r="CA1" s="592" t="s">
        <v>5031</v>
      </c>
      <c r="CB1" s="592" t="s">
        <v>1944</v>
      </c>
      <c r="CC1" s="592" t="s">
        <v>5032</v>
      </c>
      <c r="CD1" s="592" t="s">
        <v>1949</v>
      </c>
      <c r="CE1" s="592" t="s">
        <v>5033</v>
      </c>
      <c r="CF1" s="592" t="s">
        <v>4638</v>
      </c>
      <c r="CG1" s="592" t="s">
        <v>5034</v>
      </c>
      <c r="CH1" s="592" t="s">
        <v>5035</v>
      </c>
      <c r="CI1" s="592" t="s">
        <v>5036</v>
      </c>
      <c r="CJ1" s="592" t="s">
        <v>5037</v>
      </c>
      <c r="CK1" s="592" t="s">
        <v>3410</v>
      </c>
      <c r="CL1" s="592" t="s">
        <v>3411</v>
      </c>
      <c r="CM1" s="592" t="s">
        <v>3413</v>
      </c>
      <c r="CN1" s="592" t="s">
        <v>3414</v>
      </c>
      <c r="CO1" s="592" t="s">
        <v>3415</v>
      </c>
      <c r="CP1" s="592" t="s">
        <v>5038</v>
      </c>
      <c r="CQ1" s="592" t="s">
        <v>5039</v>
      </c>
      <c r="CR1" s="592" t="s">
        <v>5040</v>
      </c>
      <c r="CS1" s="592" t="s">
        <v>5041</v>
      </c>
      <c r="CT1" s="592" t="s">
        <v>5042</v>
      </c>
      <c r="CU1" s="592" t="s">
        <v>5043</v>
      </c>
      <c r="CV1" s="592" t="s">
        <v>5044</v>
      </c>
      <c r="CW1" s="592" t="s">
        <v>5045</v>
      </c>
      <c r="CX1" s="592" t="s">
        <v>5423</v>
      </c>
      <c r="CY1" s="592" t="s">
        <v>5424</v>
      </c>
      <c r="CZ1" s="592" t="s">
        <v>5425</v>
      </c>
      <c r="DA1" s="592" t="s">
        <v>5426</v>
      </c>
      <c r="DB1" s="592" t="s">
        <v>5427</v>
      </c>
      <c r="DC1" s="592" t="s">
        <v>5428</v>
      </c>
      <c r="DD1" s="592" t="s">
        <v>5429</v>
      </c>
      <c r="DE1" s="592" t="s">
        <v>5046</v>
      </c>
      <c r="DF1" s="592" t="s">
        <v>5047</v>
      </c>
      <c r="DG1" s="592" t="s">
        <v>5048</v>
      </c>
      <c r="DH1" s="592" t="s">
        <v>5049</v>
      </c>
      <c r="DI1" s="592" t="s">
        <v>5050</v>
      </c>
      <c r="DJ1" s="592" t="s">
        <v>5051</v>
      </c>
      <c r="DK1" s="592" t="s">
        <v>5052</v>
      </c>
      <c r="DL1" s="592" t="s">
        <v>5077</v>
      </c>
      <c r="DM1" s="592" t="s">
        <v>5104</v>
      </c>
      <c r="DN1" s="592" t="s">
        <v>5105</v>
      </c>
      <c r="DO1" s="592" t="s">
        <v>5106</v>
      </c>
      <c r="DP1" s="592" t="s">
        <v>5129</v>
      </c>
      <c r="DQ1" s="592" t="s">
        <v>5134</v>
      </c>
      <c r="DR1" s="592" t="s">
        <v>5135</v>
      </c>
      <c r="DS1" s="592" t="s">
        <v>5136</v>
      </c>
      <c r="DT1" s="592" t="s">
        <v>5147</v>
      </c>
      <c r="DU1" s="592" t="s">
        <v>5182</v>
      </c>
      <c r="DV1" s="592" t="s">
        <v>5183</v>
      </c>
      <c r="DW1" s="592" t="s">
        <v>5215</v>
      </c>
      <c r="DX1" s="592" t="s">
        <v>5218</v>
      </c>
      <c r="DY1" s="592" t="s">
        <v>5219</v>
      </c>
      <c r="DZ1" s="592" t="s">
        <v>5430</v>
      </c>
      <c r="EA1" s="592" t="s">
        <v>5431</v>
      </c>
      <c r="EB1" s="592" t="s">
        <v>5432</v>
      </c>
      <c r="EC1" s="592" t="s">
        <v>5433</v>
      </c>
      <c r="ED1" s="592" t="s">
        <v>5434</v>
      </c>
      <c r="EE1" s="592" t="s">
        <v>5435</v>
      </c>
      <c r="EF1" s="592" t="s">
        <v>5436</v>
      </c>
      <c r="EG1" s="592" t="s">
        <v>5437</v>
      </c>
      <c r="EH1" s="592" t="s">
        <v>5438</v>
      </c>
      <c r="EI1" s="592" t="s">
        <v>5439</v>
      </c>
      <c r="EJ1" s="592" t="s">
        <v>5440</v>
      </c>
      <c r="EK1" s="2" t="s">
        <v>5441</v>
      </c>
      <c r="EL1" s="2" t="s">
        <v>5442</v>
      </c>
      <c r="EM1" s="2" t="s">
        <v>5443</v>
      </c>
      <c r="EN1" s="2" t="s">
        <v>5254</v>
      </c>
      <c r="EO1" s="2" t="s">
        <v>5281</v>
      </c>
      <c r="EP1" s="2" t="s">
        <v>5282</v>
      </c>
      <c r="EQ1" s="2" t="s">
        <v>5283</v>
      </c>
      <c r="ER1" s="2" t="s">
        <v>5306</v>
      </c>
      <c r="ES1" s="2" t="s">
        <v>5311</v>
      </c>
      <c r="ET1" s="2" t="s">
        <v>5312</v>
      </c>
      <c r="EU1" s="2" t="s">
        <v>5313</v>
      </c>
      <c r="EV1" s="2" t="s">
        <v>5324</v>
      </c>
      <c r="EW1" s="2" t="s">
        <v>5359</v>
      </c>
      <c r="EX1" s="2" t="s">
        <v>5360</v>
      </c>
      <c r="EY1" s="2" t="s">
        <v>5392</v>
      </c>
      <c r="EZ1" s="2" t="s">
        <v>5395</v>
      </c>
      <c r="FA1" s="2" t="s">
        <v>5396</v>
      </c>
      <c r="FB1" s="2" t="s">
        <v>5407</v>
      </c>
      <c r="FC1" s="2" t="s">
        <v>5408</v>
      </c>
      <c r="FD1" s="2" t="s">
        <v>5409</v>
      </c>
      <c r="FE1" s="2" t="s">
        <v>5410</v>
      </c>
      <c r="FF1" s="2" t="s">
        <v>5609</v>
      </c>
    </row>
    <row r="2" spans="1:162">
      <c r="A2" t="str">
        <f t="array" ref="A2:FF2">TRANSPOSE(リンクシート_概要1!C4:C165)</f>
        <v>令和</v>
      </c>
      <c r="B2" t="str">
        <v>0</v>
      </c>
      <c r="C2" t="str">
        <v>2017/11/30</v>
      </c>
      <c r="D2" t="str">
        <v>0</v>
      </c>
      <c r="E2" t="str">
        <v>0</v>
      </c>
      <c r="F2" t="str">
        <v>0000</v>
      </c>
      <c r="G2" t="str">
        <v>0</v>
      </c>
      <c r="H2" t="str">
        <v>0</v>
      </c>
      <c r="I2" t="str">
        <v>0</v>
      </c>
      <c r="J2" t="str">
        <v>0</v>
      </c>
      <c r="K2" t="str">
        <v/>
      </c>
      <c r="L2" t="str">
        <v/>
      </c>
      <c r="M2" t="str">
        <v/>
      </c>
      <c r="N2" t="str">
        <v/>
      </c>
      <c r="O2" t="str">
        <v/>
      </c>
      <c r="P2" t="str">
        <v/>
      </c>
      <c r="Q2" t="str">
        <v>-</v>
      </c>
      <c r="R2" t="str">
        <v>0</v>
      </c>
      <c r="S2" t="str">
        <v>--</v>
      </c>
      <c r="T2" t="str">
        <v/>
      </c>
      <c r="U2" t="str">
        <v/>
      </c>
      <c r="V2" t="str">
        <v/>
      </c>
      <c r="W2" t="str">
        <v>-</v>
      </c>
      <c r="X2" t="str">
        <v>0</v>
      </c>
      <c r="Y2" t="str">
        <v>--</v>
      </c>
      <c r="Z2" t="str">
        <v>0</v>
      </c>
      <c r="AA2" t="e">
        <v>#N/A</v>
      </c>
      <c r="AB2" t="str">
        <v>0</v>
      </c>
      <c r="AC2" t="e">
        <v>#N/A</v>
      </c>
      <c r="AD2" t="str">
        <v>0</v>
      </c>
      <c r="AE2" t="str">
        <v>0</v>
      </c>
      <c r="AF2" t="str">
        <v>0</v>
      </c>
      <c r="AG2" t="str">
        <v>0</v>
      </c>
      <c r="AH2" t="str">
        <v>0</v>
      </c>
      <c r="AI2" t="str">
        <v>0</v>
      </c>
      <c r="AJ2" t="str">
        <v>0</v>
      </c>
      <c r="AK2" t="str">
        <v>0</v>
      </c>
      <c r="AL2" t="str">
        <v>0</v>
      </c>
      <c r="AM2" t="str">
        <v>0</v>
      </c>
      <c r="AN2" t="str">
        <v>0</v>
      </c>
      <c r="AO2" t="str">
        <v>0</v>
      </c>
      <c r="AP2" t="str">
        <v>0</v>
      </c>
      <c r="AQ2" t="str">
        <v>0</v>
      </c>
      <c r="AR2" t="str">
        <v>0</v>
      </c>
      <c r="AS2" t="str">
        <v>0</v>
      </c>
      <c r="AT2" t="str">
        <v>0</v>
      </c>
      <c r="AU2" t="str">
        <v>0</v>
      </c>
      <c r="AV2" t="str">
        <v>0</v>
      </c>
      <c r="AW2" t="str">
        <v>0</v>
      </c>
      <c r="AX2" t="str">
        <v>0</v>
      </c>
      <c r="AY2" t="str">
        <v>0</v>
      </c>
      <c r="AZ2" t="str">
        <v/>
      </c>
      <c r="BA2" t="str">
        <v/>
      </c>
      <c r="BB2" t="str">
        <v/>
      </c>
      <c r="BC2" t="str">
        <v/>
      </c>
      <c r="BD2" t="str">
        <v>0</v>
      </c>
      <c r="BE2" t="str">
        <v>0</v>
      </c>
      <c r="BF2" t="str">
        <v/>
      </c>
      <c r="BG2" t="str">
        <v>0</v>
      </c>
      <c r="BH2" t="str">
        <v/>
      </c>
      <c r="BI2" t="str">
        <v>0</v>
      </c>
      <c r="BJ2" t="str">
        <v>0</v>
      </c>
      <c r="BK2" t="str">
        <v>0</v>
      </c>
      <c r="BL2" t="str">
        <v>0</v>
      </c>
      <c r="BM2" t="str">
        <v>0</v>
      </c>
      <c r="BN2" t="str">
        <v>0</v>
      </c>
      <c r="BO2" t="str">
        <v>0</v>
      </c>
      <c r="BP2" t="str">
        <v>0</v>
      </c>
      <c r="BQ2" t="str">
        <v/>
      </c>
      <c r="BR2" t="str">
        <v/>
      </c>
      <c r="BS2" t="str">
        <v/>
      </c>
      <c r="BT2" t="str">
        <v/>
      </c>
      <c r="BU2" t="str">
        <v/>
      </c>
      <c r="BV2" t="str">
        <v/>
      </c>
      <c r="BW2" t="str">
        <v/>
      </c>
      <c r="BX2" t="str">
        <v>0</v>
      </c>
      <c r="BY2" t="str">
        <v>0</v>
      </c>
      <c r="BZ2" t="str">
        <v>0</v>
      </c>
      <c r="CA2" t="str">
        <v/>
      </c>
      <c r="CB2" t="str">
        <v>0</v>
      </c>
      <c r="CC2" t="str">
        <v/>
      </c>
      <c r="CD2" t="str">
        <v>0</v>
      </c>
      <c r="CE2" t="str">
        <v/>
      </c>
      <c r="CF2" t="str">
        <v>0</v>
      </c>
      <c r="CG2" t="str">
        <v>0</v>
      </c>
      <c r="CH2" t="str">
        <v/>
      </c>
      <c r="CI2" t="str">
        <v>0</v>
      </c>
      <c r="CJ2" t="str">
        <v>0</v>
      </c>
      <c r="CK2" t="str">
        <v>0</v>
      </c>
      <c r="CL2" t="str">
        <v>0</v>
      </c>
      <c r="CM2" t="str">
        <v>0</v>
      </c>
      <c r="CN2" t="str">
        <v>0</v>
      </c>
      <c r="CO2" t="str">
        <v>0</v>
      </c>
      <c r="CP2" t="str">
        <v/>
      </c>
      <c r="CQ2" t="str">
        <v/>
      </c>
      <c r="CR2" t="str">
        <v/>
      </c>
      <c r="CS2" t="str">
        <v/>
      </c>
      <c r="CT2" t="str">
        <v/>
      </c>
      <c r="CU2" t="str">
        <v/>
      </c>
      <c r="CV2" t="str">
        <v/>
      </c>
      <c r="CW2" t="str">
        <v/>
      </c>
      <c r="CX2" t="str">
        <v/>
      </c>
      <c r="CY2" t="str">
        <v/>
      </c>
      <c r="CZ2" t="str">
        <v/>
      </c>
      <c r="DA2" t="str">
        <v/>
      </c>
      <c r="DB2" t="str">
        <v/>
      </c>
      <c r="DC2" t="str">
        <v/>
      </c>
      <c r="DD2" t="str">
        <v/>
      </c>
      <c r="DE2" t="str">
        <v/>
      </c>
      <c r="DF2" t="str">
        <v/>
      </c>
      <c r="DG2" t="str">
        <v/>
      </c>
      <c r="DH2" t="str">
        <v/>
      </c>
      <c r="DI2" t="str">
        <v/>
      </c>
      <c r="DJ2" t="str">
        <v/>
      </c>
      <c r="DK2" t="str">
        <v/>
      </c>
      <c r="DL2" t="str">
        <v/>
      </c>
      <c r="DM2" t="str">
        <v/>
      </c>
      <c r="DN2" t="str">
        <v/>
      </c>
      <c r="DO2" t="str">
        <v/>
      </c>
      <c r="DP2" t="str">
        <v/>
      </c>
      <c r="DQ2" t="str">
        <v/>
      </c>
      <c r="DR2" t="str">
        <v/>
      </c>
      <c r="DS2" t="str">
        <v/>
      </c>
      <c r="DT2" t="str">
        <v/>
      </c>
      <c r="DU2" t="str">
        <v/>
      </c>
      <c r="DV2" t="str">
        <v/>
      </c>
      <c r="DW2" t="str">
        <v/>
      </c>
      <c r="DX2" t="str">
        <v/>
      </c>
      <c r="DY2" t="str">
        <v/>
      </c>
      <c r="DZ2" t="str">
        <v/>
      </c>
      <c r="EA2" t="str">
        <v/>
      </c>
      <c r="EB2" t="str">
        <v/>
      </c>
      <c r="EC2" t="str">
        <v/>
      </c>
      <c r="ED2" t="str">
        <v/>
      </c>
      <c r="EE2" t="str">
        <v/>
      </c>
      <c r="EF2" t="str">
        <v/>
      </c>
      <c r="EG2" t="str">
        <v/>
      </c>
      <c r="EH2" t="str">
        <v/>
      </c>
      <c r="EI2" t="str">
        <v/>
      </c>
      <c r="EJ2" t="str">
        <v/>
      </c>
      <c r="EK2" t="str">
        <v/>
      </c>
      <c r="EL2" t="str">
        <v/>
      </c>
      <c r="EM2" t="str">
        <v/>
      </c>
      <c r="EN2" t="str">
        <v/>
      </c>
      <c r="EO2" t="str">
        <v/>
      </c>
      <c r="EP2" t="str">
        <v/>
      </c>
      <c r="EQ2" t="str">
        <v/>
      </c>
      <c r="ER2" t="str">
        <v/>
      </c>
      <c r="ES2" t="str">
        <v/>
      </c>
      <c r="ET2" t="str">
        <v/>
      </c>
      <c r="EU2" t="str">
        <v/>
      </c>
      <c r="EV2" t="str">
        <v/>
      </c>
      <c r="EW2" t="str">
        <v/>
      </c>
      <c r="EX2" t="str">
        <v/>
      </c>
      <c r="EY2" t="str">
        <v/>
      </c>
      <c r="EZ2" t="str">
        <v/>
      </c>
      <c r="FA2" t="str">
        <v/>
      </c>
      <c r="FB2" t="str">
        <f ca="1"/>
        <v>pcdos</v>
      </c>
      <c r="FC2" t="str">
        <f ca="1"/>
        <v>Windows (32-bit) NT 10.00</v>
      </c>
      <c r="FD2" t="str">
        <f ca="1"/>
        <v>16.0</v>
      </c>
      <c r="FE2" t="e">
        <f ca="1"/>
        <v>#NAME?</v>
      </c>
      <c r="FF2" t="str">
        <v>ver112</v>
      </c>
    </row>
  </sheetData>
  <phoneticPr fontId="3"/>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FDE29-295B-47B3-8E54-3D61C44A8356}">
  <sheetPr codeName="Sheet12"/>
  <dimension ref="A1:O740"/>
  <sheetViews>
    <sheetView topLeftCell="A34" zoomScale="70" zoomScaleNormal="70" workbookViewId="0"/>
  </sheetViews>
  <sheetFormatPr defaultColWidth="8.7265625" defaultRowHeight="13"/>
  <cols>
    <col min="1" max="1" width="11.6328125" style="380" bestFit="1" customWidth="1"/>
    <col min="2" max="5" width="8.7265625" style="380"/>
    <col min="6" max="6" width="17.36328125" style="380" customWidth="1"/>
    <col min="7" max="7" width="8.7265625" style="380"/>
    <col min="8" max="8" width="17.36328125" style="380" customWidth="1"/>
    <col min="9" max="9" width="8.7265625" style="380"/>
    <col min="10" max="10" width="17.453125" style="380" customWidth="1"/>
    <col min="11" max="16384" width="8.7265625" style="380"/>
  </cols>
  <sheetData>
    <row r="1" spans="1:15">
      <c r="B1" s="380" t="s">
        <v>2432</v>
      </c>
      <c r="E1" s="4"/>
      <c r="F1" s="4"/>
      <c r="G1" s="4"/>
    </row>
    <row r="2" spans="1:15">
      <c r="A2" s="380" t="s">
        <v>1702</v>
      </c>
      <c r="E2" s="380" t="s">
        <v>1392</v>
      </c>
      <c r="F2" s="4"/>
      <c r="G2" s="4"/>
      <c r="O2" s="380" t="s">
        <v>1405</v>
      </c>
    </row>
    <row r="3" spans="1:15">
      <c r="B3" s="380" t="s">
        <v>1703</v>
      </c>
      <c r="C3" s="380" t="s">
        <v>5611</v>
      </c>
    </row>
    <row r="4" spans="1:15">
      <c r="B4" s="853" t="str">
        <f>'1_入力シート【基本情報】'!$J$4</f>
        <v>令和</v>
      </c>
      <c r="C4" s="296" t="str">
        <f>SUBSTITUTE(B4,CHAR(10),"")</f>
        <v>令和</v>
      </c>
      <c r="E4" s="851">
        <v>0</v>
      </c>
      <c r="F4" s="842" t="s">
        <v>2405</v>
      </c>
      <c r="G4" s="824" t="s">
        <v>1407</v>
      </c>
      <c r="H4" s="825" t="s">
        <v>2406</v>
      </c>
      <c r="I4" s="296"/>
      <c r="J4" s="296"/>
      <c r="K4" s="296"/>
      <c r="L4" s="296"/>
      <c r="O4" s="380" t="str">
        <f>CONCATENATE(E4,F4,G4,H4,I4,J4,K4,L4)</f>
        <v>0報告-和暦</v>
      </c>
    </row>
    <row r="5" spans="1:15">
      <c r="B5" s="845">
        <f>'1_入力シート【基本情報】'!$M$4</f>
        <v>0</v>
      </c>
      <c r="C5" s="845" t="str">
        <f t="shared" ref="C5:C68" si="0">SUBSTITUTE(B5,CHAR(10),"")</f>
        <v>0</v>
      </c>
      <c r="E5" s="851">
        <v>0</v>
      </c>
      <c r="F5" s="842" t="s">
        <v>2405</v>
      </c>
      <c r="G5" s="824" t="s">
        <v>1407</v>
      </c>
      <c r="H5" s="825" t="s">
        <v>12</v>
      </c>
      <c r="I5" s="296"/>
      <c r="J5" s="296"/>
      <c r="K5" s="296"/>
      <c r="L5" s="296"/>
      <c r="O5" s="380" t="str">
        <f t="shared" ref="O5:O68" si="1">CONCATENATE(E5,F5,G5,H5,I5,J5,K5,L5)</f>
        <v>0報告-年</v>
      </c>
    </row>
    <row r="6" spans="1:15">
      <c r="A6" s="865" t="str">
        <f>TEXT('1_入力シート【基本情報】'!$DN$5,"yyyy/mm/dd")</f>
        <v>2017/11/30</v>
      </c>
      <c r="B6" s="854" t="str">
        <f>A6</f>
        <v>2017/11/30</v>
      </c>
      <c r="C6" s="854" t="str">
        <f t="shared" si="0"/>
        <v>2017/11/30</v>
      </c>
      <c r="E6" s="851">
        <v>0</v>
      </c>
      <c r="F6" s="842" t="s">
        <v>1707</v>
      </c>
      <c r="G6" s="296"/>
      <c r="H6" s="296"/>
      <c r="I6" s="296"/>
      <c r="J6" s="296"/>
      <c r="K6" s="296"/>
      <c r="L6" s="296"/>
      <c r="O6" s="380" t="str">
        <f t="shared" si="1"/>
        <v>0報告日</v>
      </c>
    </row>
    <row r="7" spans="1:15">
      <c r="B7" s="853">
        <f>'1_入力シート【基本情報】'!$AB$7</f>
        <v>0</v>
      </c>
      <c r="C7" s="853" t="str">
        <f t="shared" si="0"/>
        <v>0</v>
      </c>
      <c r="E7" s="851">
        <v>1</v>
      </c>
      <c r="F7" s="842" t="s">
        <v>1709</v>
      </c>
      <c r="G7" s="824" t="s">
        <v>1407</v>
      </c>
      <c r="H7" s="825" t="s">
        <v>1710</v>
      </c>
      <c r="I7" s="826" t="s">
        <v>1407</v>
      </c>
      <c r="J7" s="827">
        <v>1</v>
      </c>
      <c r="K7" s="296"/>
      <c r="L7" s="296"/>
      <c r="O7" s="380" t="str">
        <f t="shared" si="1"/>
        <v>1報告対象建築物-ID-1</v>
      </c>
    </row>
    <row r="8" spans="1:15">
      <c r="B8" s="853">
        <f>'1_入力シート【基本情報】'!$AK$7</f>
        <v>0</v>
      </c>
      <c r="C8" s="853" t="str">
        <f t="shared" si="0"/>
        <v>0</v>
      </c>
      <c r="E8" s="851">
        <v>1</v>
      </c>
      <c r="F8" s="842" t="s">
        <v>1709</v>
      </c>
      <c r="G8" s="824" t="s">
        <v>1407</v>
      </c>
      <c r="H8" s="825" t="s">
        <v>1710</v>
      </c>
      <c r="I8" s="826" t="s">
        <v>1407</v>
      </c>
      <c r="J8" s="827">
        <v>2</v>
      </c>
      <c r="K8" s="296"/>
      <c r="L8" s="296"/>
      <c r="O8" s="380" t="str">
        <f t="shared" si="1"/>
        <v>1報告対象建築物-ID-2</v>
      </c>
    </row>
    <row r="9" spans="1:15">
      <c r="A9" s="863" t="str">
        <f>TEXT('1_入力シート【基本情報】'!$AT$7,"0000")</f>
        <v>0000</v>
      </c>
      <c r="B9" s="853" t="str">
        <f>A9</f>
        <v>0000</v>
      </c>
      <c r="C9" s="853" t="str">
        <f t="shared" si="0"/>
        <v>0000</v>
      </c>
      <c r="E9" s="851">
        <v>1</v>
      </c>
      <c r="F9" s="842" t="s">
        <v>1709</v>
      </c>
      <c r="G9" s="824" t="s">
        <v>1407</v>
      </c>
      <c r="H9" s="825" t="s">
        <v>1710</v>
      </c>
      <c r="I9" s="826" t="s">
        <v>1407</v>
      </c>
      <c r="J9" s="827">
        <v>3</v>
      </c>
      <c r="K9" s="296"/>
      <c r="L9" s="296"/>
      <c r="O9" s="380" t="str">
        <f t="shared" si="1"/>
        <v>1報告対象建築物-ID-3</v>
      </c>
    </row>
    <row r="10" spans="1:15">
      <c r="B10" s="853">
        <f>'1_入力シート【基本情報】'!$AB$9</f>
        <v>0</v>
      </c>
      <c r="C10" s="853" t="str">
        <f t="shared" si="0"/>
        <v>0</v>
      </c>
      <c r="E10" s="851">
        <v>1</v>
      </c>
      <c r="F10" s="842" t="s">
        <v>1709</v>
      </c>
      <c r="G10" s="824" t="s">
        <v>1407</v>
      </c>
      <c r="H10" s="825" t="s">
        <v>1714</v>
      </c>
      <c r="I10" s="826" t="s">
        <v>1407</v>
      </c>
      <c r="J10" s="827" t="s">
        <v>1714</v>
      </c>
      <c r="K10" s="296"/>
      <c r="L10" s="296"/>
      <c r="O10" s="380" t="str">
        <f t="shared" si="1"/>
        <v>1報告対象建築物-建築名称-建築名称</v>
      </c>
    </row>
    <row r="11" spans="1:15">
      <c r="B11" s="853">
        <f>'1_入力シート【基本情報】'!$AB$12</f>
        <v>0</v>
      </c>
      <c r="C11" s="853" t="str">
        <f t="shared" si="0"/>
        <v>0</v>
      </c>
      <c r="E11" s="851">
        <v>1</v>
      </c>
      <c r="F11" s="842" t="s">
        <v>1709</v>
      </c>
      <c r="G11" s="824" t="s">
        <v>1407</v>
      </c>
      <c r="H11" s="825" t="s">
        <v>1717</v>
      </c>
      <c r="I11" s="826" t="s">
        <v>1407</v>
      </c>
      <c r="J11" s="827" t="s">
        <v>1720</v>
      </c>
      <c r="K11" s="296"/>
      <c r="L11" s="296"/>
      <c r="O11" s="380" t="str">
        <f t="shared" si="1"/>
        <v>1報告対象建築物-建物所在地-区町村</v>
      </c>
    </row>
    <row r="12" spans="1:15">
      <c r="B12" s="853">
        <f>'1_入力シート【基本情報】'!$AB$13</f>
        <v>0</v>
      </c>
      <c r="C12" s="853" t="str">
        <f t="shared" si="0"/>
        <v>0</v>
      </c>
      <c r="E12" s="851">
        <v>1</v>
      </c>
      <c r="F12" s="842" t="s">
        <v>1709</v>
      </c>
      <c r="G12" s="824" t="s">
        <v>1407</v>
      </c>
      <c r="H12" s="825" t="s">
        <v>1717</v>
      </c>
      <c r="I12" s="826" t="s">
        <v>1407</v>
      </c>
      <c r="J12" s="827" t="s">
        <v>335</v>
      </c>
      <c r="K12" s="296"/>
      <c r="L12" s="296"/>
      <c r="O12" s="380" t="str">
        <f t="shared" si="1"/>
        <v>1報告対象建築物-建物所在地-大字・町名</v>
      </c>
    </row>
    <row r="13" spans="1:15">
      <c r="B13" s="853">
        <f>'1_入力シート【基本情報】'!$AB$14</f>
        <v>0</v>
      </c>
      <c r="C13" s="853" t="str">
        <f t="shared" si="0"/>
        <v>0</v>
      </c>
      <c r="E13" s="851">
        <v>1</v>
      </c>
      <c r="F13" s="842" t="s">
        <v>1709</v>
      </c>
      <c r="G13" s="824" t="s">
        <v>1407</v>
      </c>
      <c r="H13" s="825" t="s">
        <v>1717</v>
      </c>
      <c r="I13" s="826" t="s">
        <v>1407</v>
      </c>
      <c r="J13" s="827" t="s">
        <v>698</v>
      </c>
      <c r="K13" s="296"/>
      <c r="L13" s="296"/>
      <c r="O13" s="380" t="str">
        <f t="shared" si="1"/>
        <v>1報告対象建築物-建物所在地-番地など</v>
      </c>
    </row>
    <row r="14" spans="1:15">
      <c r="A14" s="863" t="str">
        <f>TRIM('1_入力シート【基本情報】'!DW18&amp;" "&amp;'1_入力シート【基本情報】'!DW22)</f>
        <v/>
      </c>
      <c r="B14" s="853" t="str">
        <f>A14</f>
        <v/>
      </c>
      <c r="C14" s="853" t="str">
        <f t="shared" si="0"/>
        <v/>
      </c>
      <c r="E14" s="851">
        <v>2</v>
      </c>
      <c r="F14" s="842" t="s">
        <v>1724</v>
      </c>
      <c r="G14" s="824" t="s">
        <v>1407</v>
      </c>
      <c r="H14" s="825" t="s">
        <v>4625</v>
      </c>
      <c r="I14" s="826" t="s">
        <v>1407</v>
      </c>
      <c r="J14" s="843" t="s">
        <v>337</v>
      </c>
      <c r="K14" s="296"/>
      <c r="L14" s="296"/>
      <c r="O14" s="380" t="str">
        <f t="shared" si="1"/>
        <v>2報告内容に関する問合せ先-法人名＋氏名-法人名</v>
      </c>
    </row>
    <row r="15" spans="1:15">
      <c r="B15" s="853" t="str">
        <f>'1_入力シート【基本情報】'!DW25</f>
        <v/>
      </c>
      <c r="C15" s="853" t="str">
        <f t="shared" si="0"/>
        <v/>
      </c>
      <c r="E15" s="851">
        <v>2</v>
      </c>
      <c r="F15" s="842" t="s">
        <v>1724</v>
      </c>
      <c r="G15" s="824" t="s">
        <v>1407</v>
      </c>
      <c r="H15" s="844" t="s">
        <v>1737</v>
      </c>
      <c r="I15" s="826"/>
      <c r="J15" s="843"/>
      <c r="K15" s="296"/>
      <c r="L15" s="296"/>
      <c r="O15" s="380" t="str">
        <f t="shared" si="1"/>
        <v>2報告内容に関する問合せ先-電話番号</v>
      </c>
    </row>
    <row r="16" spans="1:15">
      <c r="B16" s="853" t="str">
        <f>TEXT('1_入力シート【基本情報】'!$AB$27,"")</f>
        <v/>
      </c>
      <c r="C16" s="853" t="str">
        <f t="shared" si="0"/>
        <v/>
      </c>
      <c r="E16" s="851">
        <v>2</v>
      </c>
      <c r="F16" s="842" t="s">
        <v>1724</v>
      </c>
      <c r="G16" s="824" t="s">
        <v>1407</v>
      </c>
      <c r="H16" s="844" t="s">
        <v>1026</v>
      </c>
      <c r="I16" s="826"/>
      <c r="J16" s="843"/>
      <c r="K16" s="296"/>
      <c r="L16" s="296"/>
      <c r="O16" s="380" t="str">
        <f t="shared" si="1"/>
        <v>2報告内容に関する問合せ先-メールアドレス（半角）</v>
      </c>
    </row>
    <row r="17" spans="1:15">
      <c r="B17" s="845" t="str">
        <f>'1_入力シート【基本情報】'!$DW$34</f>
        <v/>
      </c>
      <c r="C17" s="845" t="str">
        <f t="shared" si="0"/>
        <v/>
      </c>
      <c r="E17" s="851">
        <v>3</v>
      </c>
      <c r="F17" s="842" t="s">
        <v>1741</v>
      </c>
      <c r="G17" s="824" t="s">
        <v>1407</v>
      </c>
      <c r="H17" s="844" t="s">
        <v>715</v>
      </c>
      <c r="I17" s="826" t="s">
        <v>1407</v>
      </c>
      <c r="J17" s="845" t="s">
        <v>1725</v>
      </c>
      <c r="K17" s="296"/>
      <c r="L17" s="296"/>
      <c r="O17" s="380" t="str">
        <f t="shared" si="1"/>
        <v>3所有者-所有者氏名-法人名</v>
      </c>
    </row>
    <row r="18" spans="1:15">
      <c r="B18" s="845" t="str">
        <f>'1_入力シート【基本情報】'!$DW$36</f>
        <v/>
      </c>
      <c r="C18" s="845" t="str">
        <f t="shared" si="0"/>
        <v/>
      </c>
      <c r="E18" s="851">
        <v>3</v>
      </c>
      <c r="F18" s="842" t="s">
        <v>1741</v>
      </c>
      <c r="G18" s="824" t="s">
        <v>1407</v>
      </c>
      <c r="H18" s="844" t="s">
        <v>715</v>
      </c>
      <c r="I18" s="826" t="s">
        <v>1407</v>
      </c>
      <c r="J18" s="827" t="s">
        <v>1728</v>
      </c>
      <c r="K18" s="296"/>
      <c r="L18" s="296"/>
      <c r="O18" s="380" t="str">
        <f t="shared" si="1"/>
        <v>3所有者-所有者氏名-肩書</v>
      </c>
    </row>
    <row r="19" spans="1:15">
      <c r="B19" s="845" t="str">
        <f>'1_入力シート【基本情報】'!$DW$38</f>
        <v/>
      </c>
      <c r="C19" s="845" t="str">
        <f t="shared" si="0"/>
        <v/>
      </c>
      <c r="E19" s="851">
        <v>3</v>
      </c>
      <c r="F19" s="842" t="s">
        <v>1741</v>
      </c>
      <c r="G19" s="824" t="s">
        <v>1407</v>
      </c>
      <c r="H19" s="844" t="s">
        <v>715</v>
      </c>
      <c r="I19" s="826" t="s">
        <v>1407</v>
      </c>
      <c r="J19" s="843" t="s">
        <v>1731</v>
      </c>
      <c r="K19" s="296"/>
      <c r="L19" s="296"/>
      <c r="O19" s="380" t="str">
        <f t="shared" si="1"/>
        <v>3所有者-所有者氏名-氏名</v>
      </c>
    </row>
    <row r="20" spans="1:15">
      <c r="B20" s="853" t="str">
        <f>'1_入力シート【基本情報】'!$DN$39</f>
        <v>-</v>
      </c>
      <c r="C20" s="853" t="str">
        <f t="shared" si="0"/>
        <v>-</v>
      </c>
      <c r="E20" s="851">
        <v>3</v>
      </c>
      <c r="F20" s="842" t="s">
        <v>1741</v>
      </c>
      <c r="G20" s="824" t="s">
        <v>1407</v>
      </c>
      <c r="H20" s="844" t="s">
        <v>1734</v>
      </c>
      <c r="I20" s="826"/>
      <c r="J20" s="843"/>
      <c r="K20" s="296"/>
      <c r="L20" s="296"/>
      <c r="O20" s="380" t="str">
        <f t="shared" si="1"/>
        <v>3所有者-郵便番号</v>
      </c>
    </row>
    <row r="21" spans="1:15">
      <c r="B21" s="853">
        <f>'1_入力シート【基本情報】'!$AB$40</f>
        <v>0</v>
      </c>
      <c r="C21" s="853" t="str">
        <f t="shared" si="0"/>
        <v>0</v>
      </c>
      <c r="E21" s="851">
        <v>3</v>
      </c>
      <c r="F21" s="842" t="s">
        <v>1741</v>
      </c>
      <c r="G21" s="824" t="s">
        <v>1407</v>
      </c>
      <c r="H21" s="844" t="s">
        <v>243</v>
      </c>
      <c r="I21" s="826"/>
      <c r="J21" s="843"/>
      <c r="K21" s="296"/>
      <c r="L21" s="296"/>
      <c r="O21" s="380" t="str">
        <f t="shared" si="1"/>
        <v>3所有者-住所</v>
      </c>
    </row>
    <row r="22" spans="1:15">
      <c r="B22" s="853" t="str">
        <f>'1_入力シート【基本情報】'!$DN$41</f>
        <v>--</v>
      </c>
      <c r="C22" s="853" t="str">
        <f t="shared" si="0"/>
        <v>--</v>
      </c>
      <c r="E22" s="851">
        <v>3</v>
      </c>
      <c r="F22" s="842" t="s">
        <v>1741</v>
      </c>
      <c r="G22" s="824" t="s">
        <v>1407</v>
      </c>
      <c r="H22" s="825" t="s">
        <v>1737</v>
      </c>
      <c r="I22" s="826"/>
      <c r="J22" s="843"/>
      <c r="K22" s="296"/>
      <c r="L22" s="296"/>
      <c r="O22" s="380" t="str">
        <f t="shared" si="1"/>
        <v>3所有者-電話番号</v>
      </c>
    </row>
    <row r="23" spans="1:15">
      <c r="A23" s="864" t="str">
        <f>IF('1_入力シート【基本情報】'!$DS$46,'1_入力シート【基本情報】'!$DW$34,'1_入力シート【基本情報】'!$DW$48)</f>
        <v/>
      </c>
      <c r="B23" s="853" t="str">
        <f t="shared" ref="B23:B28" si="2">A23</f>
        <v/>
      </c>
      <c r="C23" s="853" t="str">
        <f t="shared" si="0"/>
        <v/>
      </c>
      <c r="E23" s="851">
        <v>4</v>
      </c>
      <c r="F23" s="842" t="s">
        <v>1748</v>
      </c>
      <c r="G23" s="824" t="s">
        <v>1407</v>
      </c>
      <c r="H23" s="844" t="s">
        <v>345</v>
      </c>
      <c r="I23" s="314" t="s">
        <v>1407</v>
      </c>
      <c r="J23" s="843" t="s">
        <v>1725</v>
      </c>
      <c r="K23" s="296"/>
      <c r="L23" s="296"/>
      <c r="O23" s="380" t="str">
        <f t="shared" si="1"/>
        <v>4管理者-管理者氏名-法人名</v>
      </c>
    </row>
    <row r="24" spans="1:15">
      <c r="A24" s="864" t="str">
        <f>IF('1_入力シート【基本情報】'!$DS$46,'1_入力シート【基本情報】'!$DW$36,'1_入力シート【基本情報】'!$DW$50)</f>
        <v/>
      </c>
      <c r="B24" s="853" t="str">
        <f t="shared" si="2"/>
        <v/>
      </c>
      <c r="C24" s="853" t="str">
        <f t="shared" si="0"/>
        <v/>
      </c>
      <c r="E24" s="851">
        <v>4</v>
      </c>
      <c r="F24" s="842" t="s">
        <v>1748</v>
      </c>
      <c r="G24" s="824" t="s">
        <v>1407</v>
      </c>
      <c r="H24" s="844" t="s">
        <v>345</v>
      </c>
      <c r="I24" s="314" t="s">
        <v>1407</v>
      </c>
      <c r="J24" s="827" t="s">
        <v>1728</v>
      </c>
      <c r="K24" s="296"/>
      <c r="L24" s="296"/>
      <c r="O24" s="380" t="str">
        <f t="shared" si="1"/>
        <v>4管理者-管理者氏名-肩書</v>
      </c>
    </row>
    <row r="25" spans="1:15">
      <c r="A25" s="864" t="str">
        <f>IF('1_入力シート【基本情報】'!$DS$46,'1_入力シート【基本情報】'!$DW$38,'1_入力シート【基本情報】'!$DW$52)</f>
        <v/>
      </c>
      <c r="B25" s="853" t="str">
        <f t="shared" si="2"/>
        <v/>
      </c>
      <c r="C25" s="853" t="str">
        <f t="shared" si="0"/>
        <v/>
      </c>
      <c r="E25" s="851">
        <v>4</v>
      </c>
      <c r="F25" s="842" t="s">
        <v>1748</v>
      </c>
      <c r="G25" s="824" t="s">
        <v>1407</v>
      </c>
      <c r="H25" s="844" t="s">
        <v>345</v>
      </c>
      <c r="I25" s="314" t="s">
        <v>1407</v>
      </c>
      <c r="J25" s="827" t="s">
        <v>1731</v>
      </c>
      <c r="K25" s="296"/>
      <c r="L25" s="296"/>
      <c r="O25" s="380" t="str">
        <f t="shared" si="1"/>
        <v>4管理者-管理者氏名-氏名</v>
      </c>
    </row>
    <row r="26" spans="1:15">
      <c r="A26" s="864" t="str">
        <f>IF('1_入力シート【基本情報】'!$DS$46,'1_入力シート【基本情報】'!$DN$39,'1_入力シート【基本情報】'!$DN$53)</f>
        <v>-</v>
      </c>
      <c r="B26" s="853" t="str">
        <f t="shared" si="2"/>
        <v>-</v>
      </c>
      <c r="C26" s="853" t="str">
        <f t="shared" si="0"/>
        <v>-</v>
      </c>
      <c r="E26" s="851">
        <v>4</v>
      </c>
      <c r="F26" s="842" t="s">
        <v>1748</v>
      </c>
      <c r="G26" s="824" t="s">
        <v>1407</v>
      </c>
      <c r="H26" s="825" t="s">
        <v>1734</v>
      </c>
      <c r="I26" s="826"/>
      <c r="J26" s="827"/>
      <c r="K26" s="296"/>
      <c r="L26" s="296"/>
      <c r="O26" s="380" t="str">
        <f t="shared" si="1"/>
        <v>4管理者-郵便番号</v>
      </c>
    </row>
    <row r="27" spans="1:15">
      <c r="A27" s="864">
        <f>IF('1_入力シート【基本情報】'!$DS$46,'1_入力シート【基本情報】'!$AB$40,'1_入力シート【基本情報】'!$AB$54)</f>
        <v>0</v>
      </c>
      <c r="B27" s="853">
        <f t="shared" si="2"/>
        <v>0</v>
      </c>
      <c r="C27" s="853" t="str">
        <f t="shared" si="0"/>
        <v>0</v>
      </c>
      <c r="E27" s="851">
        <v>4</v>
      </c>
      <c r="F27" s="842" t="s">
        <v>1748</v>
      </c>
      <c r="G27" s="824" t="s">
        <v>1407</v>
      </c>
      <c r="H27" s="825" t="s">
        <v>243</v>
      </c>
      <c r="I27" s="826"/>
      <c r="J27" s="827"/>
      <c r="K27" s="296"/>
      <c r="L27" s="296"/>
      <c r="O27" s="380" t="str">
        <f t="shared" si="1"/>
        <v>4管理者-住所</v>
      </c>
    </row>
    <row r="28" spans="1:15">
      <c r="A28" s="864" t="str">
        <f>IF('1_入力シート【基本情報】'!$DS$46,'1_入力シート【基本情報】'!$DN$41,'1_入力シート【基本情報】'!$DN$55)</f>
        <v>--</v>
      </c>
      <c r="B28" s="853" t="str">
        <f t="shared" si="2"/>
        <v>--</v>
      </c>
      <c r="C28" s="853" t="str">
        <f t="shared" si="0"/>
        <v>--</v>
      </c>
      <c r="E28" s="851">
        <v>4</v>
      </c>
      <c r="F28" s="842" t="s">
        <v>1748</v>
      </c>
      <c r="G28" s="824" t="s">
        <v>1407</v>
      </c>
      <c r="H28" s="825" t="s">
        <v>1737</v>
      </c>
      <c r="I28" s="826"/>
      <c r="J28" s="827"/>
      <c r="K28" s="296"/>
      <c r="L28" s="296"/>
      <c r="O28" s="380" t="str">
        <f t="shared" si="1"/>
        <v>4管理者-電話番号</v>
      </c>
    </row>
    <row r="29" spans="1:15">
      <c r="B29" s="853">
        <f>'1_入力シート【基本情報】'!$AB$56</f>
        <v>0</v>
      </c>
      <c r="C29" s="853" t="str">
        <f t="shared" si="0"/>
        <v>0</v>
      </c>
      <c r="E29" s="851">
        <v>4</v>
      </c>
      <c r="F29" s="842" t="s">
        <v>1748</v>
      </c>
      <c r="G29" s="824" t="s">
        <v>1879</v>
      </c>
      <c r="H29" s="825" t="s">
        <v>3370</v>
      </c>
      <c r="I29" s="826"/>
      <c r="J29" s="827"/>
      <c r="K29" s="296"/>
      <c r="L29" s="296"/>
      <c r="O29" s="380" t="str">
        <f t="shared" si="1"/>
        <v>4管理者-メールアドレス（半角）</v>
      </c>
    </row>
    <row r="30" spans="1:15">
      <c r="B30" s="853">
        <f>'1_入力シート【基本情報】'!$AB$61</f>
        <v>0</v>
      </c>
      <c r="C30" s="853" t="str">
        <f t="shared" si="0"/>
        <v>0</v>
      </c>
      <c r="E30" s="851">
        <v>5</v>
      </c>
      <c r="F30" s="842" t="s">
        <v>1757</v>
      </c>
      <c r="G30" s="824" t="s">
        <v>1407</v>
      </c>
      <c r="H30" s="825" t="s">
        <v>926</v>
      </c>
      <c r="I30" s="826" t="s">
        <v>1407</v>
      </c>
      <c r="J30" s="827" t="s">
        <v>1087</v>
      </c>
      <c r="K30" s="826"/>
      <c r="L30" s="842"/>
      <c r="O30" s="380" t="str">
        <f t="shared" si="1"/>
        <v>5代表となる調査者-資格-資格名称</v>
      </c>
    </row>
    <row r="31" spans="1:15">
      <c r="A31" s="863" t="str">
        <f>IF(COUNTIF('1_入力シート【基本情報】'!$AB$61,"*建築士")&gt;0,'1_入力シート【基本情報】'!$AB$62,"")</f>
        <v/>
      </c>
      <c r="B31" s="853" t="str">
        <f>A31</f>
        <v/>
      </c>
      <c r="C31" s="853" t="str">
        <f t="shared" si="0"/>
        <v/>
      </c>
      <c r="E31" s="851">
        <v>5</v>
      </c>
      <c r="F31" s="842" t="s">
        <v>1757</v>
      </c>
      <c r="G31" s="824" t="s">
        <v>1407</v>
      </c>
      <c r="H31" s="825" t="s">
        <v>926</v>
      </c>
      <c r="I31" s="826" t="s">
        <v>1407</v>
      </c>
      <c r="J31" s="827" t="s">
        <v>1397</v>
      </c>
      <c r="K31" s="826"/>
      <c r="L31" s="842"/>
      <c r="O31" s="380" t="str">
        <f t="shared" si="1"/>
        <v>5代表となる調査者-資格-登録</v>
      </c>
    </row>
    <row r="32" spans="1:15">
      <c r="A32" s="863">
        <f>IF(COUNTIF('1_入力シート【基本情報】'!$AB$61,"*建築士")&gt;0,'1_入力シート【基本情報】'!$AB$63,'1_入力シート【基本情報】'!$AB$64)</f>
        <v>0</v>
      </c>
      <c r="B32" s="853">
        <f>A32</f>
        <v>0</v>
      </c>
      <c r="C32" s="853" t="str">
        <f t="shared" si="0"/>
        <v>0</v>
      </c>
      <c r="E32" s="851">
        <v>5</v>
      </c>
      <c r="F32" s="842" t="s">
        <v>1757</v>
      </c>
      <c r="G32" s="824" t="s">
        <v>1407</v>
      </c>
      <c r="H32" s="825" t="s">
        <v>926</v>
      </c>
      <c r="I32" s="826" t="s">
        <v>1407</v>
      </c>
      <c r="J32" s="827" t="s">
        <v>31</v>
      </c>
      <c r="K32" s="826"/>
      <c r="L32" s="842"/>
      <c r="O32" s="380" t="str">
        <f t="shared" si="1"/>
        <v>5代表となる調査者-資格-番号</v>
      </c>
    </row>
    <row r="33" spans="1:15">
      <c r="B33" s="853">
        <f>'1_入力シート【基本情報】'!$AB$66</f>
        <v>0</v>
      </c>
      <c r="C33" s="853" t="str">
        <f t="shared" si="0"/>
        <v>0</v>
      </c>
      <c r="E33" s="851">
        <v>5</v>
      </c>
      <c r="F33" s="842" t="s">
        <v>1757</v>
      </c>
      <c r="G33" s="824" t="s">
        <v>1407</v>
      </c>
      <c r="H33" s="825" t="s">
        <v>1731</v>
      </c>
      <c r="I33" s="314" t="s">
        <v>1407</v>
      </c>
      <c r="J33" s="827" t="s">
        <v>1731</v>
      </c>
      <c r="K33" s="826"/>
      <c r="L33" s="842"/>
      <c r="O33" s="380" t="str">
        <f t="shared" si="1"/>
        <v>5代表となる調査者-氏名-氏名</v>
      </c>
    </row>
    <row r="34" spans="1:15">
      <c r="B34" s="853">
        <f>'1_入力シート【基本情報】'!$AB$67</f>
        <v>0</v>
      </c>
      <c r="C34" s="853" t="str">
        <f t="shared" si="0"/>
        <v>0</v>
      </c>
      <c r="E34" s="851">
        <v>5</v>
      </c>
      <c r="F34" s="842" t="s">
        <v>1757</v>
      </c>
      <c r="G34" s="824" t="s">
        <v>1407</v>
      </c>
      <c r="H34" s="844" t="s">
        <v>244</v>
      </c>
      <c r="I34" s="314" t="s">
        <v>1407</v>
      </c>
      <c r="J34" s="827" t="s">
        <v>702</v>
      </c>
      <c r="K34" s="826"/>
      <c r="L34" s="842"/>
      <c r="O34" s="380" t="str">
        <f t="shared" si="1"/>
        <v>5代表となる調査者-勤務先-名称</v>
      </c>
    </row>
    <row r="35" spans="1:15">
      <c r="B35" s="853">
        <f>'1_入力シート【基本情報】'!$AB$68</f>
        <v>0</v>
      </c>
      <c r="C35" s="853" t="str">
        <f t="shared" si="0"/>
        <v>0</v>
      </c>
      <c r="E35" s="851">
        <v>5</v>
      </c>
      <c r="F35" s="842" t="s">
        <v>1757</v>
      </c>
      <c r="G35" s="824" t="s">
        <v>1407</v>
      </c>
      <c r="H35" s="844" t="s">
        <v>244</v>
      </c>
      <c r="I35" s="314" t="s">
        <v>1407</v>
      </c>
      <c r="J35" s="827" t="s">
        <v>1765</v>
      </c>
      <c r="K35" s="826" t="s">
        <v>1407</v>
      </c>
      <c r="L35" s="842" t="s">
        <v>1766</v>
      </c>
      <c r="O35" s="380" t="str">
        <f t="shared" si="1"/>
        <v>5代表となる調査者-勤務先-事務所登録-建築士事務所</v>
      </c>
    </row>
    <row r="36" spans="1:15">
      <c r="B36" s="853">
        <f>'1_入力シート【基本情報】'!$AB$69</f>
        <v>0</v>
      </c>
      <c r="C36" s="853" t="str">
        <f t="shared" si="0"/>
        <v>0</v>
      </c>
      <c r="E36" s="851">
        <v>5</v>
      </c>
      <c r="F36" s="842" t="s">
        <v>1757</v>
      </c>
      <c r="G36" s="824" t="s">
        <v>1407</v>
      </c>
      <c r="H36" s="844" t="s">
        <v>244</v>
      </c>
      <c r="I36" s="314" t="s">
        <v>1407</v>
      </c>
      <c r="J36" s="827" t="s">
        <v>1765</v>
      </c>
      <c r="K36" s="826" t="s">
        <v>1407</v>
      </c>
      <c r="L36" s="842" t="s">
        <v>686</v>
      </c>
      <c r="O36" s="380" t="str">
        <f t="shared" si="1"/>
        <v>5代表となる調査者-勤務先-事務所登録-知事登録</v>
      </c>
    </row>
    <row r="37" spans="1:15">
      <c r="B37" s="853">
        <f>'1_入力シート【基本情報】'!$AB$70</f>
        <v>0</v>
      </c>
      <c r="C37" s="853" t="str">
        <f t="shared" si="0"/>
        <v>0</v>
      </c>
      <c r="E37" s="851">
        <v>5</v>
      </c>
      <c r="F37" s="842" t="s">
        <v>1757</v>
      </c>
      <c r="G37" s="824" t="s">
        <v>1407</v>
      </c>
      <c r="H37" s="844" t="s">
        <v>244</v>
      </c>
      <c r="I37" s="314" t="s">
        <v>1407</v>
      </c>
      <c r="J37" s="827" t="s">
        <v>1765</v>
      </c>
      <c r="K37" s="826" t="s">
        <v>1407</v>
      </c>
      <c r="L37" s="842" t="s">
        <v>4</v>
      </c>
      <c r="O37" s="380" t="str">
        <f t="shared" si="1"/>
        <v>5代表となる調査者-勤務先-事務所登録-号</v>
      </c>
    </row>
    <row r="38" spans="1:15">
      <c r="B38" s="853">
        <f>'1_入力シート【基本情報】'!$AB$79</f>
        <v>0</v>
      </c>
      <c r="C38" s="853" t="str">
        <f t="shared" si="0"/>
        <v>0</v>
      </c>
      <c r="E38" s="851">
        <v>6</v>
      </c>
      <c r="F38" s="842" t="s">
        <v>1775</v>
      </c>
      <c r="G38" s="824" t="s">
        <v>1407</v>
      </c>
      <c r="H38" s="825" t="s">
        <v>926</v>
      </c>
      <c r="I38" s="826" t="s">
        <v>1407</v>
      </c>
      <c r="J38" s="827" t="s">
        <v>1087</v>
      </c>
      <c r="K38" s="846"/>
      <c r="L38" s="842"/>
      <c r="O38" s="380" t="str">
        <f t="shared" si="1"/>
        <v>6その他の調査者1-資格-資格名称</v>
      </c>
    </row>
    <row r="39" spans="1:15">
      <c r="A39" s="863" t="str">
        <f>IF(COUNTIF('1_入力シート【基本情報】'!$AB$79,"*建築士")&gt;0,'1_入力シート【基本情報】'!$AB$80,"")</f>
        <v/>
      </c>
      <c r="B39" s="853" t="str">
        <f>A39</f>
        <v/>
      </c>
      <c r="C39" s="853" t="str">
        <f t="shared" si="0"/>
        <v/>
      </c>
      <c r="E39" s="851">
        <v>6</v>
      </c>
      <c r="F39" s="842" t="s">
        <v>1775</v>
      </c>
      <c r="G39" s="824" t="s">
        <v>1407</v>
      </c>
      <c r="H39" s="825" t="s">
        <v>926</v>
      </c>
      <c r="I39" s="826" t="s">
        <v>1407</v>
      </c>
      <c r="J39" s="827" t="s">
        <v>1397</v>
      </c>
      <c r="K39" s="846"/>
      <c r="L39" s="847"/>
      <c r="O39" s="380" t="str">
        <f t="shared" si="1"/>
        <v>6その他の調査者1-資格-登録</v>
      </c>
    </row>
    <row r="40" spans="1:15">
      <c r="A40" s="863">
        <f>IF(COUNTIF('1_入力シート【基本情報】'!$AB$79,"*建築士")&gt;0,'1_入力シート【基本情報】'!$AB$81,'1_入力シート【基本情報】'!$AB$82)</f>
        <v>0</v>
      </c>
      <c r="B40" s="853">
        <f>A40</f>
        <v>0</v>
      </c>
      <c r="C40" s="853" t="str">
        <f t="shared" si="0"/>
        <v>0</v>
      </c>
      <c r="E40" s="851">
        <v>6</v>
      </c>
      <c r="F40" s="842" t="s">
        <v>1775</v>
      </c>
      <c r="G40" s="824" t="s">
        <v>1407</v>
      </c>
      <c r="H40" s="825" t="s">
        <v>926</v>
      </c>
      <c r="I40" s="826" t="s">
        <v>1407</v>
      </c>
      <c r="J40" s="827" t="s">
        <v>31</v>
      </c>
      <c r="K40" s="846"/>
      <c r="L40" s="847"/>
      <c r="O40" s="380" t="str">
        <f t="shared" si="1"/>
        <v>6その他の調査者1-資格-番号</v>
      </c>
    </row>
    <row r="41" spans="1:15">
      <c r="B41" s="853">
        <f>'1_入力シート【基本情報】'!$AB$84</f>
        <v>0</v>
      </c>
      <c r="C41" s="853" t="str">
        <f t="shared" si="0"/>
        <v>0</v>
      </c>
      <c r="E41" s="851">
        <v>6</v>
      </c>
      <c r="F41" s="842" t="s">
        <v>1775</v>
      </c>
      <c r="G41" s="824" t="s">
        <v>1407</v>
      </c>
      <c r="H41" s="825" t="s">
        <v>1731</v>
      </c>
      <c r="I41" s="826" t="s">
        <v>1407</v>
      </c>
      <c r="J41" s="827" t="s">
        <v>1731</v>
      </c>
      <c r="K41" s="846"/>
      <c r="L41" s="848"/>
      <c r="O41" s="380" t="str">
        <f t="shared" si="1"/>
        <v>6その他の調査者1-氏名-氏名</v>
      </c>
    </row>
    <row r="42" spans="1:15">
      <c r="A42" s="863">
        <f>IF('1_入力シート【基本情報】'!$DS$78,'1_入力シート【基本情報】'!$AB$67,'1_入力シート【基本情報】'!$AB$85)</f>
        <v>0</v>
      </c>
      <c r="B42" s="853">
        <f>A42</f>
        <v>0</v>
      </c>
      <c r="C42" s="853" t="str">
        <f t="shared" si="0"/>
        <v>0</v>
      </c>
      <c r="E42" s="851">
        <v>6</v>
      </c>
      <c r="F42" s="842" t="s">
        <v>1775</v>
      </c>
      <c r="G42" s="824" t="s">
        <v>1407</v>
      </c>
      <c r="H42" s="825" t="s">
        <v>244</v>
      </c>
      <c r="I42" s="826" t="s">
        <v>1407</v>
      </c>
      <c r="J42" s="827" t="s">
        <v>702</v>
      </c>
      <c r="K42" s="846"/>
      <c r="L42" s="848"/>
      <c r="O42" s="380" t="str">
        <f t="shared" si="1"/>
        <v>6その他の調査者1-勤務先-名称</v>
      </c>
    </row>
    <row r="43" spans="1:15">
      <c r="A43" s="863">
        <f>IF('1_入力シート【基本情報】'!$DS$78,'1_入力シート【基本情報】'!$AB$68,'1_入力シート【基本情報】'!$AB$86)</f>
        <v>0</v>
      </c>
      <c r="B43" s="853">
        <f>A43</f>
        <v>0</v>
      </c>
      <c r="C43" s="853" t="str">
        <f t="shared" si="0"/>
        <v>0</v>
      </c>
      <c r="E43" s="851">
        <v>6</v>
      </c>
      <c r="F43" s="842" t="s">
        <v>1775</v>
      </c>
      <c r="G43" s="824" t="s">
        <v>1407</v>
      </c>
      <c r="H43" s="844" t="s">
        <v>244</v>
      </c>
      <c r="I43" s="314" t="s">
        <v>1407</v>
      </c>
      <c r="J43" s="827" t="s">
        <v>1765</v>
      </c>
      <c r="K43" s="826" t="s">
        <v>1407</v>
      </c>
      <c r="L43" s="842" t="s">
        <v>1766</v>
      </c>
      <c r="O43" s="380" t="str">
        <f t="shared" si="1"/>
        <v>6その他の調査者1-勤務先-事務所登録-建築士事務所</v>
      </c>
    </row>
    <row r="44" spans="1:15">
      <c r="A44" s="863">
        <f>IF('1_入力シート【基本情報】'!$DS$78,'1_入力シート【基本情報】'!$AB$69,'1_入力シート【基本情報】'!$AB$87)</f>
        <v>0</v>
      </c>
      <c r="B44" s="853">
        <f>A44</f>
        <v>0</v>
      </c>
      <c r="C44" s="853" t="str">
        <f t="shared" si="0"/>
        <v>0</v>
      </c>
      <c r="E44" s="851">
        <v>6</v>
      </c>
      <c r="F44" s="842" t="s">
        <v>1775</v>
      </c>
      <c r="G44" s="824" t="s">
        <v>1407</v>
      </c>
      <c r="H44" s="844" t="s">
        <v>244</v>
      </c>
      <c r="I44" s="314" t="s">
        <v>1407</v>
      </c>
      <c r="J44" s="827" t="s">
        <v>1765</v>
      </c>
      <c r="K44" s="826" t="s">
        <v>1407</v>
      </c>
      <c r="L44" s="842" t="s">
        <v>686</v>
      </c>
      <c r="O44" s="380" t="str">
        <f t="shared" si="1"/>
        <v>6その他の調査者1-勤務先-事務所登録-知事登録</v>
      </c>
    </row>
    <row r="45" spans="1:15">
      <c r="A45" s="863">
        <f>IF('1_入力シート【基本情報】'!$DS$78,'1_入力シート【基本情報】'!$AB$70,'1_入力シート【基本情報】'!$AB$88)</f>
        <v>0</v>
      </c>
      <c r="B45" s="853">
        <f>A45</f>
        <v>0</v>
      </c>
      <c r="C45" s="853" t="str">
        <f t="shared" si="0"/>
        <v>0</v>
      </c>
      <c r="E45" s="851">
        <v>6</v>
      </c>
      <c r="F45" s="842" t="s">
        <v>1775</v>
      </c>
      <c r="G45" s="824" t="s">
        <v>1407</v>
      </c>
      <c r="H45" s="844" t="s">
        <v>244</v>
      </c>
      <c r="I45" s="314" t="s">
        <v>1407</v>
      </c>
      <c r="J45" s="827" t="s">
        <v>1765</v>
      </c>
      <c r="K45" s="826" t="s">
        <v>1407</v>
      </c>
      <c r="L45" s="842" t="s">
        <v>4</v>
      </c>
      <c r="O45" s="380" t="str">
        <f t="shared" si="1"/>
        <v>6その他の調査者1-勤務先-事務所登録-号</v>
      </c>
    </row>
    <row r="46" spans="1:15">
      <c r="B46" s="853">
        <f>'1_入力シート【基本情報】'!$AB$97</f>
        <v>0</v>
      </c>
      <c r="C46" s="853" t="str">
        <f t="shared" si="0"/>
        <v>0</v>
      </c>
      <c r="E46" s="851">
        <v>7</v>
      </c>
      <c r="F46" s="842" t="s">
        <v>1793</v>
      </c>
      <c r="G46" s="824" t="s">
        <v>1407</v>
      </c>
      <c r="H46" s="825" t="s">
        <v>926</v>
      </c>
      <c r="I46" s="826" t="s">
        <v>1407</v>
      </c>
      <c r="J46" s="827" t="s">
        <v>1087</v>
      </c>
      <c r="K46" s="826"/>
      <c r="L46" s="842"/>
      <c r="O46" s="380" t="str">
        <f t="shared" si="1"/>
        <v>7その他の調査者2-資格-資格名称</v>
      </c>
    </row>
    <row r="47" spans="1:15">
      <c r="A47" s="863" t="str">
        <f>IF(COUNTIF('1_入力シート【基本情報】'!$AB$97,"*建築士")&gt;0,'1_入力シート【基本情報】'!$AB$98,"")</f>
        <v/>
      </c>
      <c r="B47" s="853" t="str">
        <f>A47</f>
        <v/>
      </c>
      <c r="C47" s="853" t="str">
        <f t="shared" si="0"/>
        <v/>
      </c>
      <c r="E47" s="851">
        <v>7</v>
      </c>
      <c r="F47" s="842" t="s">
        <v>1793</v>
      </c>
      <c r="G47" s="824" t="s">
        <v>1407</v>
      </c>
      <c r="H47" s="825" t="s">
        <v>926</v>
      </c>
      <c r="I47" s="826" t="s">
        <v>1407</v>
      </c>
      <c r="J47" s="827" t="s">
        <v>1397</v>
      </c>
      <c r="K47" s="846"/>
      <c r="L47" s="847"/>
      <c r="O47" s="380" t="str">
        <f t="shared" si="1"/>
        <v>7その他の調査者2-資格-登録</v>
      </c>
    </row>
    <row r="48" spans="1:15">
      <c r="A48" s="863">
        <f>IF(COUNTIF('1_入力シート【基本情報】'!$AB$97,"*建築士")&gt;0,'1_入力シート【基本情報】'!$AB$99,'1_入力シート【基本情報】'!$AB$100)</f>
        <v>0</v>
      </c>
      <c r="B48" s="853">
        <f>A48</f>
        <v>0</v>
      </c>
      <c r="C48" s="853" t="str">
        <f t="shared" si="0"/>
        <v>0</v>
      </c>
      <c r="E48" s="851">
        <v>7</v>
      </c>
      <c r="F48" s="842" t="s">
        <v>1793</v>
      </c>
      <c r="G48" s="824" t="s">
        <v>1407</v>
      </c>
      <c r="H48" s="825" t="s">
        <v>926</v>
      </c>
      <c r="I48" s="826" t="s">
        <v>1407</v>
      </c>
      <c r="J48" s="827" t="s">
        <v>31</v>
      </c>
      <c r="K48" s="846"/>
      <c r="L48" s="847"/>
      <c r="O48" s="380" t="str">
        <f t="shared" si="1"/>
        <v>7その他の調査者2-資格-番号</v>
      </c>
    </row>
    <row r="49" spans="1:15">
      <c r="B49" s="853">
        <f>'1_入力シート【基本情報】'!$AB$102</f>
        <v>0</v>
      </c>
      <c r="C49" s="853" t="str">
        <f t="shared" si="0"/>
        <v>0</v>
      </c>
      <c r="E49" s="851">
        <v>7</v>
      </c>
      <c r="F49" s="842" t="s">
        <v>1793</v>
      </c>
      <c r="G49" s="824" t="s">
        <v>1407</v>
      </c>
      <c r="H49" s="825" t="s">
        <v>1731</v>
      </c>
      <c r="I49" s="826" t="s">
        <v>1407</v>
      </c>
      <c r="J49" s="827" t="s">
        <v>1731</v>
      </c>
      <c r="K49" s="826"/>
      <c r="L49" s="842"/>
      <c r="O49" s="380" t="str">
        <f t="shared" si="1"/>
        <v>7その他の調査者2-氏名-氏名</v>
      </c>
    </row>
    <row r="50" spans="1:15">
      <c r="A50" s="863">
        <f>IF('1_入力シート【基本情報】'!$DS$96,'1_入力シート【基本情報】'!$AB$67,'1_入力シート【基本情報】'!$AB$103)</f>
        <v>0</v>
      </c>
      <c r="B50" s="853">
        <f>A50</f>
        <v>0</v>
      </c>
      <c r="C50" s="853" t="str">
        <f t="shared" si="0"/>
        <v>0</v>
      </c>
      <c r="E50" s="851">
        <v>7</v>
      </c>
      <c r="F50" s="842" t="s">
        <v>1793</v>
      </c>
      <c r="G50" s="824" t="s">
        <v>1407</v>
      </c>
      <c r="H50" s="825" t="s">
        <v>244</v>
      </c>
      <c r="I50" s="826" t="s">
        <v>1407</v>
      </c>
      <c r="J50" s="827" t="s">
        <v>702</v>
      </c>
      <c r="K50" s="314"/>
      <c r="L50" s="847"/>
      <c r="O50" s="380" t="str">
        <f t="shared" si="1"/>
        <v>7その他の調査者2-勤務先-名称</v>
      </c>
    </row>
    <row r="51" spans="1:15">
      <c r="A51" s="863">
        <f>IF('1_入力シート【基本情報】'!$DS$96,'1_入力シート【基本情報】'!$AB$68,'1_入力シート【基本情報】'!$AB$104)</f>
        <v>0</v>
      </c>
      <c r="B51" s="853">
        <f>A51</f>
        <v>0</v>
      </c>
      <c r="C51" s="853" t="str">
        <f t="shared" si="0"/>
        <v>0</v>
      </c>
      <c r="E51" s="851">
        <v>7</v>
      </c>
      <c r="F51" s="842" t="s">
        <v>1793</v>
      </c>
      <c r="G51" s="824" t="s">
        <v>1407</v>
      </c>
      <c r="H51" s="844" t="s">
        <v>244</v>
      </c>
      <c r="I51" s="314" t="s">
        <v>1407</v>
      </c>
      <c r="J51" s="827" t="s">
        <v>1765</v>
      </c>
      <c r="K51" s="826" t="s">
        <v>1407</v>
      </c>
      <c r="L51" s="842" t="s">
        <v>1766</v>
      </c>
      <c r="O51" s="380" t="str">
        <f t="shared" si="1"/>
        <v>7その他の調査者2-勤務先-事務所登録-建築士事務所</v>
      </c>
    </row>
    <row r="52" spans="1:15">
      <c r="A52" s="863">
        <f>IF('1_入力シート【基本情報】'!$DS$96,'1_入力シート【基本情報】'!$AB$69,'1_入力シート【基本情報】'!$AB$105)</f>
        <v>0</v>
      </c>
      <c r="B52" s="853">
        <f>A52</f>
        <v>0</v>
      </c>
      <c r="C52" s="853" t="str">
        <f t="shared" si="0"/>
        <v>0</v>
      </c>
      <c r="E52" s="851">
        <v>7</v>
      </c>
      <c r="F52" s="842" t="s">
        <v>1793</v>
      </c>
      <c r="G52" s="824" t="s">
        <v>1407</v>
      </c>
      <c r="H52" s="844" t="s">
        <v>244</v>
      </c>
      <c r="I52" s="314" t="s">
        <v>1407</v>
      </c>
      <c r="J52" s="827" t="s">
        <v>1765</v>
      </c>
      <c r="K52" s="826" t="s">
        <v>1407</v>
      </c>
      <c r="L52" s="842" t="s">
        <v>686</v>
      </c>
      <c r="O52" s="380" t="str">
        <f t="shared" si="1"/>
        <v>7その他の調査者2-勤務先-事務所登録-知事登録</v>
      </c>
    </row>
    <row r="53" spans="1:15">
      <c r="A53" s="863">
        <f>IF('1_入力シート【基本情報】'!$DS$96,'1_入力シート【基本情報】'!$AB$70,'1_入力シート【基本情報】'!$AB$106)</f>
        <v>0</v>
      </c>
      <c r="B53" s="853">
        <f>A53</f>
        <v>0</v>
      </c>
      <c r="C53" s="853" t="str">
        <f t="shared" si="0"/>
        <v>0</v>
      </c>
      <c r="E53" s="851">
        <v>7</v>
      </c>
      <c r="F53" s="842" t="s">
        <v>1793</v>
      </c>
      <c r="G53" s="824" t="s">
        <v>1407</v>
      </c>
      <c r="H53" s="844" t="s">
        <v>244</v>
      </c>
      <c r="I53" s="314" t="s">
        <v>1407</v>
      </c>
      <c r="J53" s="827" t="s">
        <v>1765</v>
      </c>
      <c r="K53" s="826" t="s">
        <v>1407</v>
      </c>
      <c r="L53" s="842" t="s">
        <v>4</v>
      </c>
      <c r="O53" s="380" t="str">
        <f t="shared" si="1"/>
        <v>7その他の調査者2-勤務先-事務所登録-号</v>
      </c>
    </row>
    <row r="54" spans="1:15">
      <c r="B54" s="853">
        <f>'1_入力シート【基本情報】'!$AB$115</f>
        <v>0</v>
      </c>
      <c r="C54" s="853" t="str">
        <f t="shared" si="0"/>
        <v>0</v>
      </c>
      <c r="E54" s="851">
        <v>8</v>
      </c>
      <c r="F54" s="842" t="s">
        <v>266</v>
      </c>
      <c r="G54" s="824" t="s">
        <v>1407</v>
      </c>
      <c r="H54" s="825" t="s">
        <v>1802</v>
      </c>
      <c r="I54" s="826" t="s">
        <v>1407</v>
      </c>
      <c r="J54" s="827" t="s">
        <v>1803</v>
      </c>
      <c r="K54" s="826"/>
      <c r="L54" s="842"/>
      <c r="O54" s="380" t="str">
        <f t="shared" si="1"/>
        <v>8敷地の位置-防火地域等-防火地域等 1</v>
      </c>
    </row>
    <row r="55" spans="1:15">
      <c r="B55" s="853">
        <f>'1_入力シート【基本情報】'!$AB$116</f>
        <v>0</v>
      </c>
      <c r="C55" s="853" t="str">
        <f t="shared" si="0"/>
        <v>0</v>
      </c>
      <c r="E55" s="851">
        <v>8</v>
      </c>
      <c r="F55" s="842" t="s">
        <v>266</v>
      </c>
      <c r="G55" s="824" t="s">
        <v>1407</v>
      </c>
      <c r="H55" s="825" t="s">
        <v>1802</v>
      </c>
      <c r="I55" s="826" t="s">
        <v>1407</v>
      </c>
      <c r="J55" s="827" t="s">
        <v>1805</v>
      </c>
      <c r="K55" s="826"/>
      <c r="L55" s="842"/>
      <c r="O55" s="380" t="str">
        <f t="shared" si="1"/>
        <v>8敷地の位置-防火地域等-防火地域等 2</v>
      </c>
    </row>
    <row r="56" spans="1:15">
      <c r="B56" s="853">
        <f>'1_入力シート【基本情報】'!$AB$117</f>
        <v>0</v>
      </c>
      <c r="C56" s="853" t="str">
        <f t="shared" si="0"/>
        <v>0</v>
      </c>
      <c r="E56" s="851">
        <v>8</v>
      </c>
      <c r="F56" s="842" t="s">
        <v>266</v>
      </c>
      <c r="G56" s="824" t="s">
        <v>1407</v>
      </c>
      <c r="H56" s="825" t="s">
        <v>1802</v>
      </c>
      <c r="I56" s="826" t="s">
        <v>1407</v>
      </c>
      <c r="J56" s="827" t="s">
        <v>1807</v>
      </c>
      <c r="K56" s="826"/>
      <c r="L56" s="842"/>
      <c r="O56" s="380" t="str">
        <f t="shared" si="1"/>
        <v>8敷地の位置-防火地域等-防火地域等 3</v>
      </c>
    </row>
    <row r="57" spans="1:15">
      <c r="B57" s="853">
        <f>'1_入力シート【基本情報】'!$AB$118</f>
        <v>0</v>
      </c>
      <c r="C57" s="853" t="str">
        <f t="shared" si="0"/>
        <v>0</v>
      </c>
      <c r="E57" s="851">
        <v>8</v>
      </c>
      <c r="F57" s="842" t="s">
        <v>266</v>
      </c>
      <c r="G57" s="824" t="s">
        <v>1407</v>
      </c>
      <c r="H57" s="825" t="s">
        <v>1802</v>
      </c>
      <c r="I57" s="826" t="s">
        <v>1407</v>
      </c>
      <c r="J57" s="848" t="s">
        <v>144</v>
      </c>
      <c r="K57" s="849"/>
      <c r="L57" s="847"/>
      <c r="O57" s="380" t="str">
        <f t="shared" si="1"/>
        <v>8敷地の位置-防火地域等-その他</v>
      </c>
    </row>
    <row r="58" spans="1:15">
      <c r="B58" s="853">
        <f>'1_入力シート【基本情報】'!$AB$119</f>
        <v>0</v>
      </c>
      <c r="C58" s="853" t="str">
        <f t="shared" si="0"/>
        <v>0</v>
      </c>
      <c r="E58" s="851">
        <v>8</v>
      </c>
      <c r="F58" s="842" t="s">
        <v>266</v>
      </c>
      <c r="G58" s="824" t="s">
        <v>1407</v>
      </c>
      <c r="H58" s="825" t="s">
        <v>710</v>
      </c>
      <c r="I58" s="826" t="s">
        <v>1407</v>
      </c>
      <c r="J58" s="825" t="s">
        <v>1810</v>
      </c>
      <c r="K58" s="826"/>
      <c r="L58" s="842"/>
      <c r="O58" s="380" t="str">
        <f t="shared" si="1"/>
        <v>8敷地の位置-用途地域-用途地域 1</v>
      </c>
    </row>
    <row r="59" spans="1:15">
      <c r="B59" s="853">
        <f>'1_入力シート【基本情報】'!$AB$120</f>
        <v>0</v>
      </c>
      <c r="C59" s="853" t="str">
        <f t="shared" si="0"/>
        <v>0</v>
      </c>
      <c r="E59" s="851">
        <v>8</v>
      </c>
      <c r="F59" s="842" t="s">
        <v>266</v>
      </c>
      <c r="G59" s="824" t="s">
        <v>1407</v>
      </c>
      <c r="H59" s="825" t="s">
        <v>710</v>
      </c>
      <c r="I59" s="826" t="s">
        <v>1407</v>
      </c>
      <c r="J59" s="825" t="s">
        <v>1812</v>
      </c>
      <c r="K59" s="826"/>
      <c r="L59" s="842"/>
      <c r="O59" s="380" t="str">
        <f t="shared" si="1"/>
        <v>8敷地の位置-用途地域-用途地域 2</v>
      </c>
    </row>
    <row r="60" spans="1:15">
      <c r="B60" s="853">
        <f>'1_入力シート【基本情報】'!$AB$121</f>
        <v>0</v>
      </c>
      <c r="C60" s="853" t="str">
        <f t="shared" si="0"/>
        <v>0</v>
      </c>
      <c r="E60" s="851">
        <v>8</v>
      </c>
      <c r="F60" s="842" t="s">
        <v>266</v>
      </c>
      <c r="G60" s="824" t="s">
        <v>1407</v>
      </c>
      <c r="H60" s="825" t="s">
        <v>710</v>
      </c>
      <c r="I60" s="826" t="s">
        <v>1407</v>
      </c>
      <c r="J60" s="825" t="s">
        <v>1814</v>
      </c>
      <c r="K60" s="826"/>
      <c r="L60" s="842"/>
      <c r="O60" s="380" t="str">
        <f t="shared" si="1"/>
        <v>8敷地の位置-用途地域-用途地域 3</v>
      </c>
    </row>
    <row r="61" spans="1:15">
      <c r="B61" s="853">
        <f>'1_入力シート【基本情報】'!$AB$127</f>
        <v>0</v>
      </c>
      <c r="C61" s="853" t="str">
        <f t="shared" si="0"/>
        <v>0</v>
      </c>
      <c r="E61" s="851">
        <v>9</v>
      </c>
      <c r="F61" s="842" t="s">
        <v>1817</v>
      </c>
      <c r="G61" s="824" t="s">
        <v>1407</v>
      </c>
      <c r="H61" s="825" t="s">
        <v>247</v>
      </c>
      <c r="I61" s="826" t="s">
        <v>1407</v>
      </c>
      <c r="J61" s="827" t="s">
        <v>1818</v>
      </c>
      <c r="K61" s="826"/>
      <c r="L61" s="842"/>
      <c r="O61" s="380" t="str">
        <f t="shared" si="1"/>
        <v>9建物及びその敷地の概要-構造-構造 1</v>
      </c>
    </row>
    <row r="62" spans="1:15">
      <c r="B62" s="853">
        <f>'1_入力シート【基本情報】'!$AB$128</f>
        <v>0</v>
      </c>
      <c r="C62" s="853" t="str">
        <f t="shared" si="0"/>
        <v>0</v>
      </c>
      <c r="E62" s="851">
        <v>9</v>
      </c>
      <c r="F62" s="842" t="s">
        <v>1817</v>
      </c>
      <c r="G62" s="824" t="s">
        <v>1407</v>
      </c>
      <c r="H62" s="825" t="s">
        <v>247</v>
      </c>
      <c r="I62" s="826" t="s">
        <v>1407</v>
      </c>
      <c r="J62" s="827" t="s">
        <v>1820</v>
      </c>
      <c r="K62" s="846"/>
      <c r="L62" s="842"/>
      <c r="O62" s="380" t="str">
        <f t="shared" si="1"/>
        <v>9建物及びその敷地の概要-構造-構造 2</v>
      </c>
    </row>
    <row r="63" spans="1:15">
      <c r="B63" s="853">
        <f>'1_入力シート【基本情報】'!$AB$129</f>
        <v>0</v>
      </c>
      <c r="C63" s="853" t="str">
        <f t="shared" si="0"/>
        <v>0</v>
      </c>
      <c r="E63" s="851">
        <v>9</v>
      </c>
      <c r="F63" s="842" t="s">
        <v>1817</v>
      </c>
      <c r="G63" s="824" t="s">
        <v>1407</v>
      </c>
      <c r="H63" s="825" t="s">
        <v>247</v>
      </c>
      <c r="I63" s="826" t="s">
        <v>1407</v>
      </c>
      <c r="J63" s="827" t="s">
        <v>1822</v>
      </c>
      <c r="K63" s="846"/>
      <c r="L63" s="842"/>
      <c r="O63" s="380" t="str">
        <f t="shared" si="1"/>
        <v>9建物及びその敷地の概要-構造-構造 3</v>
      </c>
    </row>
    <row r="64" spans="1:15">
      <c r="B64" s="853">
        <f>'1_入力シート【基本情報】'!$AB$130</f>
        <v>0</v>
      </c>
      <c r="C64" s="853" t="str">
        <f t="shared" si="0"/>
        <v>0</v>
      </c>
      <c r="E64" s="851">
        <v>9</v>
      </c>
      <c r="F64" s="842" t="s">
        <v>1817</v>
      </c>
      <c r="G64" s="824" t="s">
        <v>1407</v>
      </c>
      <c r="H64" s="825" t="s">
        <v>247</v>
      </c>
      <c r="I64" s="826" t="s">
        <v>1407</v>
      </c>
      <c r="J64" s="827" t="s">
        <v>144</v>
      </c>
      <c r="K64" s="846"/>
      <c r="L64" s="842"/>
      <c r="O64" s="380" t="str">
        <f t="shared" si="1"/>
        <v>9建物及びその敷地の概要-構造-その他</v>
      </c>
    </row>
    <row r="65" spans="1:15">
      <c r="B65" s="853">
        <f>'1_入力シート【基本情報】'!$AB$131</f>
        <v>0</v>
      </c>
      <c r="C65" s="853" t="str">
        <f t="shared" si="0"/>
        <v>0</v>
      </c>
      <c r="E65" s="851">
        <v>9</v>
      </c>
      <c r="F65" s="842" t="s">
        <v>1817</v>
      </c>
      <c r="G65" s="824" t="s">
        <v>1407</v>
      </c>
      <c r="H65" s="825" t="s">
        <v>248</v>
      </c>
      <c r="I65" s="826" t="s">
        <v>1407</v>
      </c>
      <c r="J65" s="843" t="s">
        <v>283</v>
      </c>
      <c r="K65" s="314" t="s">
        <v>1407</v>
      </c>
      <c r="L65" s="847" t="s">
        <v>17</v>
      </c>
      <c r="O65" s="380" t="str">
        <f t="shared" si="1"/>
        <v>9建物及びその敷地の概要-階数-地上-階</v>
      </c>
    </row>
    <row r="66" spans="1:15">
      <c r="B66" s="853">
        <f>'1_入力シート【基本情報】'!$AB$132</f>
        <v>0</v>
      </c>
      <c r="C66" s="853" t="str">
        <f t="shared" si="0"/>
        <v>0</v>
      </c>
      <c r="E66" s="851">
        <v>9</v>
      </c>
      <c r="F66" s="842" t="s">
        <v>1817</v>
      </c>
      <c r="G66" s="824" t="s">
        <v>1407</v>
      </c>
      <c r="H66" s="825" t="s">
        <v>1826</v>
      </c>
      <c r="I66" s="826" t="s">
        <v>1407</v>
      </c>
      <c r="J66" s="843" t="s">
        <v>284</v>
      </c>
      <c r="K66" s="314" t="s">
        <v>1407</v>
      </c>
      <c r="L66" s="847" t="s">
        <v>17</v>
      </c>
      <c r="O66" s="380" t="str">
        <f t="shared" si="1"/>
        <v>9建物及びその敷地の概要-階数-地下-階</v>
      </c>
    </row>
    <row r="67" spans="1:15">
      <c r="B67" s="853">
        <f>'1_入力シート【基本情報】'!$AB$140</f>
        <v>0</v>
      </c>
      <c r="C67" s="853" t="str">
        <f t="shared" si="0"/>
        <v>0</v>
      </c>
      <c r="E67" s="851">
        <v>10</v>
      </c>
      <c r="F67" s="842" t="s">
        <v>1832</v>
      </c>
      <c r="G67" s="824" t="s">
        <v>1407</v>
      </c>
      <c r="H67" s="825" t="s">
        <v>285</v>
      </c>
      <c r="I67" s="826"/>
      <c r="J67" s="827"/>
      <c r="K67" s="314"/>
      <c r="L67" s="847"/>
      <c r="O67" s="380" t="str">
        <f t="shared" si="1"/>
        <v>10性能検証法等の適用-耐火性能検証法</v>
      </c>
    </row>
    <row r="68" spans="1:15">
      <c r="B68" s="853">
        <f>'1_入力シート【基本情報】'!$AB$141</f>
        <v>0</v>
      </c>
      <c r="C68" s="853" t="str">
        <f t="shared" si="0"/>
        <v>0</v>
      </c>
      <c r="E68" s="851">
        <v>10</v>
      </c>
      <c r="F68" s="842" t="s">
        <v>1832</v>
      </c>
      <c r="G68" s="824" t="s">
        <v>1407</v>
      </c>
      <c r="H68" s="825" t="s">
        <v>286</v>
      </c>
      <c r="I68" s="826"/>
      <c r="J68" s="827"/>
      <c r="K68" s="314"/>
      <c r="L68" s="847"/>
      <c r="O68" s="380" t="str">
        <f t="shared" si="1"/>
        <v>10性能検証法等の適用-防火区画検証法</v>
      </c>
    </row>
    <row r="69" spans="1:15">
      <c r="B69" s="853">
        <f>'1_入力シート【基本情報】'!$AB$142</f>
        <v>0</v>
      </c>
      <c r="C69" s="853" t="str">
        <f t="shared" ref="C69:C132" si="3">SUBSTITUTE(B69,CHAR(10),"")</f>
        <v>0</v>
      </c>
      <c r="E69" s="851">
        <v>10</v>
      </c>
      <c r="F69" s="842" t="s">
        <v>1832</v>
      </c>
      <c r="G69" s="824" t="s">
        <v>1407</v>
      </c>
      <c r="H69" s="825" t="s">
        <v>287</v>
      </c>
      <c r="I69" s="826"/>
      <c r="J69" s="843"/>
      <c r="K69" s="314"/>
      <c r="L69" s="847"/>
      <c r="O69" s="380" t="str">
        <f t="shared" ref="O69:O208" si="4">CONCATENATE(E69,F69,G69,H69,I69,J69,K69,L69)</f>
        <v>10性能検証法等の適用-区画避難安全検証法</v>
      </c>
    </row>
    <row r="70" spans="1:15">
      <c r="B70" s="853">
        <f>'1_入力シート【基本情報】'!$AB$143</f>
        <v>0</v>
      </c>
      <c r="C70" s="853" t="str">
        <f t="shared" si="3"/>
        <v>0</v>
      </c>
      <c r="E70" s="851">
        <v>10</v>
      </c>
      <c r="F70" s="842" t="s">
        <v>1832</v>
      </c>
      <c r="G70" s="824" t="s">
        <v>1407</v>
      </c>
      <c r="H70" s="825" t="s">
        <v>288</v>
      </c>
      <c r="I70" s="826"/>
      <c r="J70" s="827"/>
      <c r="K70" s="314"/>
      <c r="L70" s="847"/>
      <c r="O70" s="380" t="str">
        <f t="shared" si="4"/>
        <v>10性能検証法等の適用-階避難安全検証法</v>
      </c>
    </row>
    <row r="71" spans="1:15">
      <c r="B71" s="853">
        <f>'1_入力シート【基本情報】'!$AB$144</f>
        <v>0</v>
      </c>
      <c r="C71" s="853" t="str">
        <f t="shared" si="3"/>
        <v>0</v>
      </c>
      <c r="E71" s="851">
        <v>10</v>
      </c>
      <c r="F71" s="842" t="s">
        <v>1832</v>
      </c>
      <c r="G71" s="824" t="s">
        <v>1407</v>
      </c>
      <c r="H71" s="825" t="s">
        <v>1839</v>
      </c>
      <c r="I71" s="826"/>
      <c r="J71" s="848"/>
      <c r="K71" s="314"/>
      <c r="L71" s="847"/>
      <c r="O71" s="380" t="str">
        <f t="shared" si="4"/>
        <v>10性能検証法等の適用-全館避難安全検証法</v>
      </c>
    </row>
    <row r="72" spans="1:15">
      <c r="A72" s="863" t="e">
        <f>TEXT('1_入力シート【基本情報】'!$EB$186,"yyyy/mm/dd")</f>
        <v>#N/A</v>
      </c>
      <c r="B72" s="854" t="e">
        <f>A72</f>
        <v>#N/A</v>
      </c>
      <c r="C72" s="854" t="e">
        <f t="shared" si="3"/>
        <v>#N/A</v>
      </c>
      <c r="E72" s="851">
        <v>12</v>
      </c>
      <c r="F72" s="847" t="s">
        <v>1849</v>
      </c>
      <c r="G72" s="824" t="s">
        <v>1407</v>
      </c>
      <c r="H72" s="825" t="s">
        <v>1873</v>
      </c>
      <c r="I72" s="826" t="s">
        <v>1407</v>
      </c>
      <c r="J72" s="850" t="s">
        <v>1031</v>
      </c>
      <c r="K72" s="826" t="s">
        <v>1407</v>
      </c>
      <c r="L72" s="842" t="s">
        <v>1399</v>
      </c>
      <c r="O72" s="380" t="str">
        <f t="shared" si="4"/>
        <v>12関連図書の整備-新築時の確認申請-確認-交付年月日</v>
      </c>
    </row>
    <row r="73" spans="1:15">
      <c r="B73" s="854">
        <f>'1_入力シート【基本情報】'!EB187</f>
        <v>0</v>
      </c>
      <c r="C73" s="854" t="str">
        <f t="shared" si="3"/>
        <v>0</v>
      </c>
      <c r="E73" s="851">
        <v>12</v>
      </c>
      <c r="F73" s="847" t="s">
        <v>1849</v>
      </c>
      <c r="G73" s="824" t="s">
        <v>1407</v>
      </c>
      <c r="H73" s="825" t="s">
        <v>1873</v>
      </c>
      <c r="I73" s="826" t="s">
        <v>1407</v>
      </c>
      <c r="J73" s="850" t="s">
        <v>1031</v>
      </c>
      <c r="K73" s="826" t="s">
        <v>1407</v>
      </c>
      <c r="L73" s="842" t="s">
        <v>250</v>
      </c>
      <c r="O73" s="380" t="str">
        <f t="shared" si="4"/>
        <v>12関連図書の整備-新築時の確認申請-確認-交付番号</v>
      </c>
    </row>
    <row r="74" spans="1:15">
      <c r="A74" s="863" t="e">
        <f>TEXT('1_入力シート【基本情報】'!$EB$192,"yyyy/mm/dd")</f>
        <v>#N/A</v>
      </c>
      <c r="B74" s="854" t="e">
        <f>A74</f>
        <v>#N/A</v>
      </c>
      <c r="C74" s="854" t="e">
        <f t="shared" si="3"/>
        <v>#N/A</v>
      </c>
      <c r="E74" s="851">
        <v>12</v>
      </c>
      <c r="F74" s="847" t="s">
        <v>1849</v>
      </c>
      <c r="G74" s="824" t="s">
        <v>1407</v>
      </c>
      <c r="H74" s="825" t="s">
        <v>1873</v>
      </c>
      <c r="I74" s="826" t="s">
        <v>1407</v>
      </c>
      <c r="J74" s="850" t="s">
        <v>1034</v>
      </c>
      <c r="K74" s="826" t="s">
        <v>1879</v>
      </c>
      <c r="L74" s="842" t="s">
        <v>1399</v>
      </c>
      <c r="O74" s="380" t="str">
        <f t="shared" si="4"/>
        <v>12関連図書の整備-新築時の確認申請-完了-交付年月日</v>
      </c>
    </row>
    <row r="75" spans="1:15">
      <c r="B75" s="854">
        <f>'1_入力シート【基本情報】'!EB193</f>
        <v>0</v>
      </c>
      <c r="C75" s="854" t="str">
        <f t="shared" si="3"/>
        <v>0</v>
      </c>
      <c r="E75" s="851">
        <v>12</v>
      </c>
      <c r="F75" s="847" t="s">
        <v>1849</v>
      </c>
      <c r="G75" s="824" t="s">
        <v>1407</v>
      </c>
      <c r="H75" s="825" t="s">
        <v>1873</v>
      </c>
      <c r="I75" s="826" t="s">
        <v>1407</v>
      </c>
      <c r="J75" s="827" t="s">
        <v>1034</v>
      </c>
      <c r="K75" s="826" t="s">
        <v>1879</v>
      </c>
      <c r="L75" s="848" t="s">
        <v>250</v>
      </c>
      <c r="O75" s="380" t="str">
        <f t="shared" si="4"/>
        <v>12関連図書の整備-新築時の確認申請-完了-交付番号</v>
      </c>
    </row>
    <row r="76" spans="1:15">
      <c r="B76" s="845">
        <f>'2_入力シート【用途面積】'!$G$4</f>
        <v>0</v>
      </c>
      <c r="C76" s="845" t="str">
        <f t="shared" si="3"/>
        <v>0</v>
      </c>
      <c r="E76" s="852"/>
      <c r="F76" s="296" t="s">
        <v>4919</v>
      </c>
      <c r="G76" s="824" t="s">
        <v>1407</v>
      </c>
      <c r="H76" s="296">
        <v>1</v>
      </c>
      <c r="I76" s="826" t="s">
        <v>1407</v>
      </c>
      <c r="J76" s="296" t="s">
        <v>2238</v>
      </c>
      <c r="K76" s="296"/>
      <c r="L76" s="296"/>
      <c r="O76" s="380" t="str">
        <f t="shared" si="4"/>
        <v>用途-1-大分類</v>
      </c>
    </row>
    <row r="77" spans="1:15">
      <c r="B77" s="845">
        <f>'2_入力シート【用途面積】'!$G$7</f>
        <v>0</v>
      </c>
      <c r="C77" s="845" t="str">
        <f t="shared" si="3"/>
        <v>0</v>
      </c>
      <c r="E77" s="852"/>
      <c r="F77" s="296" t="s">
        <v>4919</v>
      </c>
      <c r="G77" s="824" t="s">
        <v>1407</v>
      </c>
      <c r="H77" s="296">
        <v>1</v>
      </c>
      <c r="I77" s="826" t="s">
        <v>1407</v>
      </c>
      <c r="J77" s="296" t="s">
        <v>2715</v>
      </c>
      <c r="K77" s="296"/>
      <c r="L77" s="296"/>
      <c r="O77" s="380" t="str">
        <f t="shared" si="4"/>
        <v>用途-1-小分類</v>
      </c>
    </row>
    <row r="78" spans="1:15">
      <c r="B78" s="845">
        <f>'2_入力シート【用途面積】'!$G$12</f>
        <v>0</v>
      </c>
      <c r="C78" s="845" t="str">
        <f t="shared" si="3"/>
        <v>0</v>
      </c>
      <c r="E78" s="852"/>
      <c r="F78" s="296" t="s">
        <v>4919</v>
      </c>
      <c r="G78" s="824" t="s">
        <v>1407</v>
      </c>
      <c r="H78" s="296">
        <v>1</v>
      </c>
      <c r="I78" s="826" t="s">
        <v>1407</v>
      </c>
      <c r="J78" s="296" t="s">
        <v>3137</v>
      </c>
      <c r="K78" s="296"/>
      <c r="L78" s="296"/>
      <c r="O78" s="380" t="str">
        <f t="shared" si="4"/>
        <v>用途-1-特記</v>
      </c>
    </row>
    <row r="79" spans="1:15">
      <c r="B79" s="845">
        <f>'2_入力シート【用途面積】'!$I$4</f>
        <v>0</v>
      </c>
      <c r="C79" s="845" t="str">
        <f t="shared" si="3"/>
        <v>0</v>
      </c>
      <c r="E79" s="852"/>
      <c r="F79" s="296" t="s">
        <v>4919</v>
      </c>
      <c r="G79" s="824" t="s">
        <v>1407</v>
      </c>
      <c r="H79" s="296">
        <v>2</v>
      </c>
      <c r="I79" s="826" t="s">
        <v>1407</v>
      </c>
      <c r="J79" s="296" t="s">
        <v>2238</v>
      </c>
      <c r="K79" s="296"/>
      <c r="L79" s="296"/>
      <c r="O79" s="380" t="str">
        <f t="shared" si="4"/>
        <v>用途-2-大分類</v>
      </c>
    </row>
    <row r="80" spans="1:15">
      <c r="B80" s="845">
        <f>'2_入力シート【用途面積】'!$I$7</f>
        <v>0</v>
      </c>
      <c r="C80" s="845" t="str">
        <f t="shared" si="3"/>
        <v>0</v>
      </c>
      <c r="E80" s="852"/>
      <c r="F80" s="296" t="s">
        <v>4919</v>
      </c>
      <c r="G80" s="824" t="s">
        <v>1407</v>
      </c>
      <c r="H80" s="296">
        <v>2</v>
      </c>
      <c r="I80" s="826" t="s">
        <v>1407</v>
      </c>
      <c r="J80" s="296" t="s">
        <v>2715</v>
      </c>
      <c r="K80" s="296"/>
      <c r="L80" s="296"/>
      <c r="O80" s="380" t="str">
        <f t="shared" si="4"/>
        <v>用途-2-小分類</v>
      </c>
    </row>
    <row r="81" spans="2:15">
      <c r="B81" s="845">
        <f>'2_入力シート【用途面積】'!$I$12</f>
        <v>0</v>
      </c>
      <c r="C81" s="845" t="str">
        <f t="shared" si="3"/>
        <v>0</v>
      </c>
      <c r="E81" s="852"/>
      <c r="F81" s="296" t="s">
        <v>4919</v>
      </c>
      <c r="G81" s="824" t="s">
        <v>1407</v>
      </c>
      <c r="H81" s="296">
        <v>2</v>
      </c>
      <c r="I81" s="826" t="s">
        <v>1407</v>
      </c>
      <c r="J81" s="296" t="s">
        <v>3137</v>
      </c>
      <c r="K81" s="296"/>
      <c r="L81" s="296"/>
      <c r="O81" s="380" t="str">
        <f t="shared" si="4"/>
        <v>用途-2-特記</v>
      </c>
    </row>
    <row r="82" spans="2:15">
      <c r="B82" s="845">
        <f>'2_入力シート【用途面積】'!$K$4</f>
        <v>0</v>
      </c>
      <c r="C82" s="845" t="str">
        <f t="shared" si="3"/>
        <v>0</v>
      </c>
      <c r="E82" s="852"/>
      <c r="F82" s="296" t="s">
        <v>4919</v>
      </c>
      <c r="G82" s="824" t="s">
        <v>1407</v>
      </c>
      <c r="H82" s="296">
        <v>3</v>
      </c>
      <c r="I82" s="826" t="s">
        <v>1407</v>
      </c>
      <c r="J82" s="296" t="s">
        <v>2238</v>
      </c>
      <c r="K82" s="296"/>
      <c r="L82" s="296"/>
      <c r="O82" s="380" t="str">
        <f t="shared" si="4"/>
        <v>用途-3-大分類</v>
      </c>
    </row>
    <row r="83" spans="2:15">
      <c r="B83" s="845">
        <f>'2_入力シート【用途面積】'!$K$7</f>
        <v>0</v>
      </c>
      <c r="C83" s="845" t="str">
        <f t="shared" si="3"/>
        <v>0</v>
      </c>
      <c r="E83" s="852"/>
      <c r="F83" s="296" t="s">
        <v>4919</v>
      </c>
      <c r="G83" s="824" t="s">
        <v>1407</v>
      </c>
      <c r="H83" s="296">
        <v>3</v>
      </c>
      <c r="I83" s="826" t="s">
        <v>1407</v>
      </c>
      <c r="J83" s="296" t="s">
        <v>2715</v>
      </c>
      <c r="K83" s="296"/>
      <c r="L83" s="296"/>
      <c r="O83" s="380" t="str">
        <f t="shared" si="4"/>
        <v>用途-3-小分類</v>
      </c>
    </row>
    <row r="84" spans="2:15">
      <c r="B84" s="845">
        <f>'2_入力シート【用途面積】'!$K$12</f>
        <v>0</v>
      </c>
      <c r="C84" s="845" t="str">
        <f t="shared" si="3"/>
        <v>0</v>
      </c>
      <c r="E84" s="852"/>
      <c r="F84" s="296" t="s">
        <v>4919</v>
      </c>
      <c r="G84" s="824" t="s">
        <v>1407</v>
      </c>
      <c r="H84" s="296">
        <v>3</v>
      </c>
      <c r="I84" s="826" t="s">
        <v>1407</v>
      </c>
      <c r="J84" s="296" t="s">
        <v>3137</v>
      </c>
      <c r="K84" s="296"/>
      <c r="L84" s="296"/>
      <c r="O84" s="380" t="str">
        <f t="shared" si="4"/>
        <v>用途-3-特記</v>
      </c>
    </row>
    <row r="85" spans="2:15">
      <c r="B85" s="845">
        <f>'2_入力シート【用途面積】'!$M$4</f>
        <v>0</v>
      </c>
      <c r="C85" s="845" t="str">
        <f t="shared" si="3"/>
        <v>0</v>
      </c>
      <c r="E85" s="852"/>
      <c r="F85" s="296" t="s">
        <v>4919</v>
      </c>
      <c r="G85" s="824" t="s">
        <v>1407</v>
      </c>
      <c r="H85" s="296">
        <v>4</v>
      </c>
      <c r="I85" s="826" t="s">
        <v>1407</v>
      </c>
      <c r="J85" s="296" t="s">
        <v>2238</v>
      </c>
      <c r="K85" s="296"/>
      <c r="L85" s="296"/>
      <c r="O85" s="380" t="str">
        <f t="shared" si="4"/>
        <v>用途-4-大分類</v>
      </c>
    </row>
    <row r="86" spans="2:15">
      <c r="B86" s="845">
        <f>'2_入力シート【用途面積】'!$M$7</f>
        <v>0</v>
      </c>
      <c r="C86" s="845" t="str">
        <f t="shared" si="3"/>
        <v>0</v>
      </c>
      <c r="E86" s="852"/>
      <c r="F86" s="296" t="s">
        <v>4919</v>
      </c>
      <c r="G86" s="824" t="s">
        <v>1407</v>
      </c>
      <c r="H86" s="296">
        <v>4</v>
      </c>
      <c r="I86" s="826" t="s">
        <v>1407</v>
      </c>
      <c r="J86" s="296" t="s">
        <v>2715</v>
      </c>
      <c r="K86" s="296"/>
      <c r="L86" s="296"/>
      <c r="O86" s="380" t="str">
        <f t="shared" si="4"/>
        <v>用途-4-小分類</v>
      </c>
    </row>
    <row r="87" spans="2:15">
      <c r="B87" s="845">
        <f>'2_入力シート【用途面積】'!$M$12</f>
        <v>0</v>
      </c>
      <c r="C87" s="845" t="str">
        <f t="shared" si="3"/>
        <v>0</v>
      </c>
      <c r="E87" s="852"/>
      <c r="F87" s="296" t="s">
        <v>4919</v>
      </c>
      <c r="G87" s="824" t="s">
        <v>1407</v>
      </c>
      <c r="H87" s="296">
        <v>4</v>
      </c>
      <c r="I87" s="826" t="s">
        <v>1407</v>
      </c>
      <c r="J87" s="296" t="s">
        <v>3137</v>
      </c>
      <c r="K87" s="296"/>
      <c r="L87" s="296"/>
      <c r="O87" s="380" t="str">
        <f t="shared" si="4"/>
        <v>用途-4-特記</v>
      </c>
    </row>
    <row r="88" spans="2:15">
      <c r="B88" s="845">
        <f>'2_入力シート【用途面積】'!$O$4</f>
        <v>0</v>
      </c>
      <c r="C88" s="845" t="str">
        <f t="shared" si="3"/>
        <v>0</v>
      </c>
      <c r="E88" s="852"/>
      <c r="F88" s="296" t="s">
        <v>4919</v>
      </c>
      <c r="G88" s="824" t="s">
        <v>1407</v>
      </c>
      <c r="H88" s="296">
        <v>5</v>
      </c>
      <c r="I88" s="826" t="s">
        <v>1407</v>
      </c>
      <c r="J88" s="296" t="s">
        <v>2238</v>
      </c>
      <c r="K88" s="296"/>
      <c r="L88" s="296"/>
      <c r="O88" s="380" t="str">
        <f t="shared" si="4"/>
        <v>用途-5-大分類</v>
      </c>
    </row>
    <row r="89" spans="2:15">
      <c r="B89" s="845">
        <f>'2_入力シート【用途面積】'!$O$7</f>
        <v>0</v>
      </c>
      <c r="C89" s="845" t="str">
        <f t="shared" si="3"/>
        <v>0</v>
      </c>
      <c r="E89" s="852"/>
      <c r="F89" s="296" t="s">
        <v>4919</v>
      </c>
      <c r="G89" s="824" t="s">
        <v>1407</v>
      </c>
      <c r="H89" s="296">
        <v>5</v>
      </c>
      <c r="I89" s="826" t="s">
        <v>1407</v>
      </c>
      <c r="J89" s="296" t="s">
        <v>2715</v>
      </c>
      <c r="K89" s="296"/>
      <c r="L89" s="296"/>
      <c r="O89" s="380" t="str">
        <f t="shared" si="4"/>
        <v>用途-5-小分類</v>
      </c>
    </row>
    <row r="90" spans="2:15">
      <c r="B90" s="845">
        <f>'2_入力シート【用途面積】'!$O$12</f>
        <v>0</v>
      </c>
      <c r="C90" s="845" t="str">
        <f t="shared" si="3"/>
        <v>0</v>
      </c>
      <c r="E90" s="852"/>
      <c r="F90" s="296" t="s">
        <v>4919</v>
      </c>
      <c r="G90" s="824" t="s">
        <v>1407</v>
      </c>
      <c r="H90" s="296">
        <v>5</v>
      </c>
      <c r="I90" s="826" t="s">
        <v>1407</v>
      </c>
      <c r="J90" s="296" t="s">
        <v>3137</v>
      </c>
      <c r="K90" s="296"/>
      <c r="L90" s="296"/>
      <c r="O90" s="380" t="str">
        <f t="shared" si="4"/>
        <v>用途-5-特記</v>
      </c>
    </row>
    <row r="91" spans="2:15">
      <c r="B91" s="845">
        <f>'2_入力シート【用途面積】'!$Q$4</f>
        <v>0</v>
      </c>
      <c r="C91" s="845" t="str">
        <f t="shared" si="3"/>
        <v>0</v>
      </c>
      <c r="E91" s="852"/>
      <c r="F91" s="296" t="s">
        <v>4919</v>
      </c>
      <c r="G91" s="824" t="s">
        <v>1407</v>
      </c>
      <c r="H91" s="296">
        <v>6</v>
      </c>
      <c r="I91" s="826" t="s">
        <v>1407</v>
      </c>
      <c r="J91" s="296" t="s">
        <v>2238</v>
      </c>
      <c r="K91" s="296"/>
      <c r="L91" s="296"/>
      <c r="O91" s="380" t="str">
        <f t="shared" si="4"/>
        <v>用途-6-大分類</v>
      </c>
    </row>
    <row r="92" spans="2:15">
      <c r="B92" s="845">
        <f>'2_入力シート【用途面積】'!$Q$7</f>
        <v>0</v>
      </c>
      <c r="C92" s="845" t="str">
        <f t="shared" si="3"/>
        <v>0</v>
      </c>
      <c r="E92" s="852"/>
      <c r="F92" s="296" t="s">
        <v>4919</v>
      </c>
      <c r="G92" s="824" t="s">
        <v>1407</v>
      </c>
      <c r="H92" s="296">
        <v>6</v>
      </c>
      <c r="I92" s="826" t="s">
        <v>1407</v>
      </c>
      <c r="J92" s="296" t="s">
        <v>2715</v>
      </c>
      <c r="K92" s="296"/>
      <c r="L92" s="296"/>
      <c r="O92" s="380" t="str">
        <f t="shared" si="4"/>
        <v>用途-6-小分類</v>
      </c>
    </row>
    <row r="93" spans="2:15">
      <c r="B93" s="845">
        <f>'2_入力シート【用途面積】'!$Q$12</f>
        <v>0</v>
      </c>
      <c r="C93" s="845" t="str">
        <f t="shared" si="3"/>
        <v>0</v>
      </c>
      <c r="E93" s="852"/>
      <c r="F93" s="296" t="s">
        <v>4919</v>
      </c>
      <c r="G93" s="824" t="s">
        <v>1407</v>
      </c>
      <c r="H93" s="296">
        <v>6</v>
      </c>
      <c r="I93" s="826" t="s">
        <v>1407</v>
      </c>
      <c r="J93" s="296" t="s">
        <v>3137</v>
      </c>
      <c r="K93" s="296"/>
      <c r="L93" s="296"/>
      <c r="O93" s="380" t="str">
        <f t="shared" si="4"/>
        <v>用途-6-特記</v>
      </c>
    </row>
    <row r="94" spans="2:15">
      <c r="B94" s="845">
        <f>'2_入力シート【用途面積】'!$S$4</f>
        <v>0</v>
      </c>
      <c r="C94" s="845" t="str">
        <f t="shared" si="3"/>
        <v>0</v>
      </c>
      <c r="E94" s="852"/>
      <c r="F94" s="296" t="s">
        <v>4919</v>
      </c>
      <c r="G94" s="824" t="s">
        <v>1407</v>
      </c>
      <c r="H94" s="296">
        <v>7</v>
      </c>
      <c r="I94" s="826" t="s">
        <v>1407</v>
      </c>
      <c r="J94" s="296" t="s">
        <v>2238</v>
      </c>
      <c r="K94" s="296"/>
      <c r="L94" s="296"/>
      <c r="O94" s="380" t="str">
        <f t="shared" si="4"/>
        <v>用途-7-大分類</v>
      </c>
    </row>
    <row r="95" spans="2:15">
      <c r="B95" s="845">
        <f>'2_入力シート【用途面積】'!$S$7</f>
        <v>0</v>
      </c>
      <c r="C95" s="845" t="str">
        <f t="shared" si="3"/>
        <v>0</v>
      </c>
      <c r="E95" s="852"/>
      <c r="F95" s="296" t="s">
        <v>4919</v>
      </c>
      <c r="G95" s="824" t="s">
        <v>1407</v>
      </c>
      <c r="H95" s="296">
        <v>7</v>
      </c>
      <c r="I95" s="826" t="s">
        <v>1407</v>
      </c>
      <c r="J95" s="296" t="s">
        <v>2715</v>
      </c>
      <c r="K95" s="296"/>
      <c r="L95" s="296"/>
      <c r="O95" s="380" t="str">
        <f t="shared" si="4"/>
        <v>用途-7-小分類</v>
      </c>
    </row>
    <row r="96" spans="2:15">
      <c r="B96" s="845">
        <f>'2_入力シート【用途面積】'!$S$12</f>
        <v>0</v>
      </c>
      <c r="C96" s="845" t="str">
        <f t="shared" si="3"/>
        <v>0</v>
      </c>
      <c r="E96" s="852"/>
      <c r="F96" s="296" t="s">
        <v>4919</v>
      </c>
      <c r="G96" s="824" t="s">
        <v>1407</v>
      </c>
      <c r="H96" s="296">
        <v>7</v>
      </c>
      <c r="I96" s="826" t="s">
        <v>1407</v>
      </c>
      <c r="J96" s="296" t="s">
        <v>3137</v>
      </c>
      <c r="K96" s="296"/>
      <c r="L96" s="296"/>
      <c r="O96" s="380" t="str">
        <f t="shared" si="4"/>
        <v>用途-7-特記</v>
      </c>
    </row>
    <row r="97" spans="2:15">
      <c r="B97" s="845" t="str">
        <f>'2_入力シート【用途面積】'!$CJ$62</f>
        <v/>
      </c>
      <c r="C97" s="845" t="str">
        <f t="shared" si="3"/>
        <v/>
      </c>
      <c r="E97" s="852"/>
      <c r="F97" s="296" t="s">
        <v>4919</v>
      </c>
      <c r="G97" s="824" t="s">
        <v>1407</v>
      </c>
      <c r="H97" s="296" t="s">
        <v>4905</v>
      </c>
      <c r="I97" s="296"/>
      <c r="J97" s="296"/>
      <c r="K97" s="296"/>
      <c r="L97" s="296"/>
      <c r="O97" s="380" t="str">
        <f t="shared" si="4"/>
        <v>用途-存在用途</v>
      </c>
    </row>
    <row r="98" spans="2:15">
      <c r="B98" s="845" t="str">
        <f>'2_入力シート【用途面積】'!$CJ$132</f>
        <v/>
      </c>
      <c r="C98" s="845" t="str">
        <f t="shared" si="3"/>
        <v/>
      </c>
      <c r="E98" s="852"/>
      <c r="F98" s="296" t="s">
        <v>4919</v>
      </c>
      <c r="G98" s="824" t="s">
        <v>1407</v>
      </c>
      <c r="H98" s="296" t="s">
        <v>4906</v>
      </c>
      <c r="I98" s="296"/>
      <c r="J98" s="296"/>
      <c r="K98" s="296"/>
      <c r="L98" s="296"/>
      <c r="O98" s="380" t="str">
        <f t="shared" si="4"/>
        <v>用途-対象用途ID記号（面積最大）</v>
      </c>
    </row>
    <row r="99" spans="2:15">
      <c r="B99" s="845" t="str">
        <f>'2_入力シート【用途面積】'!$CJ$126</f>
        <v/>
      </c>
      <c r="C99" s="845" t="str">
        <f t="shared" si="3"/>
        <v/>
      </c>
      <c r="E99" s="852"/>
      <c r="F99" s="296" t="s">
        <v>4919</v>
      </c>
      <c r="G99" s="824" t="s">
        <v>1407</v>
      </c>
      <c r="H99" s="296" t="s">
        <v>4907</v>
      </c>
      <c r="I99" s="296"/>
      <c r="J99" s="296"/>
      <c r="K99" s="296"/>
      <c r="L99" s="296"/>
      <c r="O99" s="380" t="str">
        <f t="shared" si="4"/>
        <v>用途-対象用途ID記号（全て）</v>
      </c>
    </row>
    <row r="100" spans="2:15">
      <c r="B100" s="845" t="str">
        <f>'2_入力シート【用途面積】'!$BR$177</f>
        <v/>
      </c>
      <c r="C100" s="845" t="str">
        <f t="shared" si="3"/>
        <v/>
      </c>
      <c r="E100" s="852"/>
      <c r="F100" s="296" t="s">
        <v>4919</v>
      </c>
      <c r="G100" s="824" t="s">
        <v>1407</v>
      </c>
      <c r="H100" s="296" t="s">
        <v>4908</v>
      </c>
      <c r="I100" s="296"/>
      <c r="J100" s="296"/>
      <c r="K100" s="296"/>
      <c r="L100" s="296"/>
      <c r="O100" s="380" t="str">
        <f t="shared" si="4"/>
        <v>用途-対象種別ID分類番号</v>
      </c>
    </row>
    <row r="101" spans="2:15">
      <c r="B101" s="845" t="str">
        <f>'2_入力シート【用途面積】'!$CJ$111</f>
        <v/>
      </c>
      <c r="C101" s="845" t="str">
        <f t="shared" si="3"/>
        <v/>
      </c>
      <c r="E101" s="852"/>
      <c r="F101" s="296" t="s">
        <v>4919</v>
      </c>
      <c r="G101" s="824" t="s">
        <v>1407</v>
      </c>
      <c r="H101" s="296" t="s">
        <v>4909</v>
      </c>
      <c r="I101" s="296"/>
      <c r="J101" s="296"/>
      <c r="K101" s="296"/>
      <c r="L101" s="296"/>
      <c r="O101" s="380" t="str">
        <f t="shared" si="4"/>
        <v>用途-対象用途（国建）</v>
      </c>
    </row>
    <row r="102" spans="2:15">
      <c r="B102" s="845" t="str">
        <f>'2_入力シート【用途面積】'!$CJ$114</f>
        <v/>
      </c>
      <c r="C102" s="845" t="str">
        <f t="shared" si="3"/>
        <v/>
      </c>
      <c r="E102" s="852"/>
      <c r="F102" s="296" t="s">
        <v>4919</v>
      </c>
      <c r="G102" s="824" t="s">
        <v>1407</v>
      </c>
      <c r="H102" s="296" t="s">
        <v>4910</v>
      </c>
      <c r="I102" s="296"/>
      <c r="J102" s="296"/>
      <c r="K102" s="296"/>
      <c r="L102" s="296"/>
      <c r="O102" s="380" t="str">
        <f t="shared" si="4"/>
        <v>用途-対象用途（市新建）</v>
      </c>
    </row>
    <row r="103" spans="2:15">
      <c r="B103" s="845" t="str">
        <f>'2_入力シート【用途面積】'!$CJ$117</f>
        <v/>
      </c>
      <c r="C103" s="845" t="str">
        <f t="shared" si="3"/>
        <v/>
      </c>
      <c r="E103" s="852"/>
      <c r="F103" s="296" t="s">
        <v>4919</v>
      </c>
      <c r="G103" s="824" t="s">
        <v>1407</v>
      </c>
      <c r="H103" s="296" t="s">
        <v>4911</v>
      </c>
      <c r="I103" s="296"/>
      <c r="J103" s="296"/>
      <c r="K103" s="296"/>
      <c r="L103" s="296"/>
      <c r="O103" s="380" t="str">
        <f t="shared" si="4"/>
        <v>用途-対象用途（市従建）</v>
      </c>
    </row>
    <row r="104" spans="2:15">
      <c r="B104" s="845" t="str">
        <f>'2_入力シート【用途面積】'!$CJ$120</f>
        <v/>
      </c>
      <c r="C104" s="845" t="str">
        <f t="shared" si="3"/>
        <v/>
      </c>
      <c r="E104" s="852"/>
      <c r="F104" s="296" t="s">
        <v>4919</v>
      </c>
      <c r="G104" s="824" t="s">
        <v>1407</v>
      </c>
      <c r="H104" s="296" t="s">
        <v>4912</v>
      </c>
      <c r="I104" s="296"/>
      <c r="J104" s="296"/>
      <c r="K104" s="296"/>
      <c r="L104" s="296"/>
      <c r="O104" s="380" t="str">
        <f t="shared" si="4"/>
        <v>用途-対象用途（市建）</v>
      </c>
    </row>
    <row r="105" spans="2:15">
      <c r="B105" s="845" t="str">
        <f>'2_入力シート【用途面積】'!$CJ$123</f>
        <v/>
      </c>
      <c r="C105" s="845" t="str">
        <f t="shared" si="3"/>
        <v/>
      </c>
      <c r="E105" s="852"/>
      <c r="F105" s="296" t="s">
        <v>4919</v>
      </c>
      <c r="G105" s="824" t="s">
        <v>1407</v>
      </c>
      <c r="H105" s="296" t="s">
        <v>4913</v>
      </c>
      <c r="I105" s="296"/>
      <c r="J105" s="296"/>
      <c r="K105" s="296"/>
      <c r="L105" s="296"/>
      <c r="O105" s="380" t="str">
        <f t="shared" si="4"/>
        <v>用途-対象用途（建築物）</v>
      </c>
    </row>
    <row r="106" spans="2:15">
      <c r="B106" s="845" t="str">
        <f>'2_入力シート【用途面積】'!$CJ$146</f>
        <v/>
      </c>
      <c r="C106" s="845" t="str">
        <f t="shared" si="3"/>
        <v/>
      </c>
      <c r="E106" s="852"/>
      <c r="F106" s="296" t="s">
        <v>4919</v>
      </c>
      <c r="G106" s="824" t="s">
        <v>1407</v>
      </c>
      <c r="H106" s="296" t="s">
        <v>4914</v>
      </c>
      <c r="I106" s="296"/>
      <c r="J106" s="296"/>
      <c r="K106" s="296"/>
      <c r="L106" s="296"/>
      <c r="O106" s="380" t="str">
        <f t="shared" si="4"/>
        <v>用途-対象用途（市設）</v>
      </c>
    </row>
    <row r="107" spans="2:15">
      <c r="B107" s="845" t="str">
        <f>'2_入力シート【用途面積】'!$CJ$159</f>
        <v/>
      </c>
      <c r="C107" s="845" t="str">
        <f t="shared" si="3"/>
        <v/>
      </c>
      <c r="E107" s="852"/>
      <c r="F107" s="296" t="s">
        <v>4919</v>
      </c>
      <c r="G107" s="824" t="s">
        <v>1407</v>
      </c>
      <c r="H107" s="296" t="s">
        <v>4915</v>
      </c>
      <c r="I107" s="296"/>
      <c r="J107" s="296"/>
      <c r="K107" s="296"/>
      <c r="L107" s="296"/>
      <c r="O107" s="380" t="str">
        <f t="shared" si="4"/>
        <v>用途-対象用途（国防）</v>
      </c>
    </row>
    <row r="108" spans="2:15">
      <c r="B108" s="845" t="str">
        <f>'2_入力シート【用途面積】'!$CJ$162</f>
        <v/>
      </c>
      <c r="C108" s="845" t="str">
        <f t="shared" si="3"/>
        <v/>
      </c>
      <c r="E108" s="852"/>
      <c r="F108" s="296" t="s">
        <v>4919</v>
      </c>
      <c r="G108" s="824" t="s">
        <v>1407</v>
      </c>
      <c r="H108" s="296" t="s">
        <v>4916</v>
      </c>
      <c r="I108" s="296"/>
      <c r="J108" s="296"/>
      <c r="K108" s="296"/>
      <c r="L108" s="296"/>
      <c r="O108" s="380" t="str">
        <f t="shared" si="4"/>
        <v>用途-対象用途（市新防）</v>
      </c>
    </row>
    <row r="109" spans="2:15">
      <c r="B109" s="845" t="str">
        <f>'2_入力シート【用途面積】'!$CJ$165</f>
        <v/>
      </c>
      <c r="C109" s="845" t="str">
        <f t="shared" si="3"/>
        <v/>
      </c>
      <c r="E109" s="852"/>
      <c r="F109" s="296" t="s">
        <v>4919</v>
      </c>
      <c r="G109" s="824" t="s">
        <v>1407</v>
      </c>
      <c r="H109" s="296" t="s">
        <v>4917</v>
      </c>
      <c r="I109" s="296"/>
      <c r="J109" s="296"/>
      <c r="K109" s="296"/>
      <c r="L109" s="296"/>
      <c r="O109" s="380" t="str">
        <f t="shared" si="4"/>
        <v>用途-対象用途（防火設備）</v>
      </c>
    </row>
    <row r="110" spans="2:15">
      <c r="B110" s="845">
        <f>'2_入力シート【用途面積】'!$BS$184</f>
        <v>0</v>
      </c>
      <c r="C110" s="845" t="str">
        <f t="shared" si="3"/>
        <v>0</v>
      </c>
      <c r="E110" s="852"/>
      <c r="F110" s="296" t="s">
        <v>4919</v>
      </c>
      <c r="G110" s="824" t="s">
        <v>1407</v>
      </c>
      <c r="H110" s="296" t="s">
        <v>4878</v>
      </c>
      <c r="I110" s="296"/>
      <c r="J110" s="296"/>
      <c r="K110" s="296"/>
      <c r="L110" s="296"/>
      <c r="O110" s="380" t="str">
        <f t="shared" si="4"/>
        <v>用途-ID用途面積</v>
      </c>
    </row>
    <row r="111" spans="2:15">
      <c r="B111" s="845">
        <f>'2_入力シート【用途面積】'!$BS$185</f>
        <v>0</v>
      </c>
      <c r="C111" s="845" t="str">
        <f t="shared" si="3"/>
        <v>0</v>
      </c>
      <c r="E111" s="852"/>
      <c r="F111" s="296" t="s">
        <v>4919</v>
      </c>
      <c r="G111" s="824" t="s">
        <v>1407</v>
      </c>
      <c r="H111" s="296" t="s">
        <v>4880</v>
      </c>
      <c r="I111" s="296"/>
      <c r="J111" s="296"/>
      <c r="K111" s="296"/>
      <c r="L111" s="296"/>
      <c r="O111" s="380" t="str">
        <f t="shared" si="4"/>
        <v>用途-建築設備対象面積</v>
      </c>
    </row>
    <row r="112" spans="2:15">
      <c r="B112" s="845" t="str">
        <f>'2_入力シート【用途面積】'!$BS$186</f>
        <v/>
      </c>
      <c r="C112" s="845" t="str">
        <f t="shared" si="3"/>
        <v/>
      </c>
      <c r="E112" s="852"/>
      <c r="F112" s="296" t="s">
        <v>4919</v>
      </c>
      <c r="G112" s="824" t="s">
        <v>1407</v>
      </c>
      <c r="H112" s="296" t="s">
        <v>4918</v>
      </c>
      <c r="I112" s="296"/>
      <c r="J112" s="296"/>
      <c r="K112" s="296"/>
      <c r="L112" s="296"/>
      <c r="O112" s="380" t="str">
        <f t="shared" si="4"/>
        <v>用途-建築設備対象用途ID記号</v>
      </c>
    </row>
    <row r="113" spans="2:15">
      <c r="B113" s="845">
        <f>'2_入力シート【用途面積】'!$BS$187</f>
        <v>0</v>
      </c>
      <c r="C113" s="845" t="str">
        <f t="shared" si="3"/>
        <v>0</v>
      </c>
      <c r="E113" s="852"/>
      <c r="F113" s="296" t="s">
        <v>4919</v>
      </c>
      <c r="G113" s="824" t="s">
        <v>1407</v>
      </c>
      <c r="H113" s="296" t="s">
        <v>4882</v>
      </c>
      <c r="I113" s="296"/>
      <c r="J113" s="296"/>
      <c r="K113" s="296"/>
      <c r="L113" s="296"/>
      <c r="O113" s="380" t="str">
        <f t="shared" si="4"/>
        <v>用途-特殊建築物面積</v>
      </c>
    </row>
    <row r="114" spans="2:15">
      <c r="B114" s="845" t="str">
        <f>'2_入力シート【用途面積】'!$BS$189</f>
        <v/>
      </c>
      <c r="C114" s="845" t="str">
        <f t="shared" si="3"/>
        <v/>
      </c>
      <c r="E114" s="852"/>
      <c r="F114" s="296" t="s">
        <v>4919</v>
      </c>
      <c r="G114" s="824" t="s">
        <v>1407</v>
      </c>
      <c r="H114" s="296" t="s">
        <v>4884</v>
      </c>
      <c r="I114" s="296"/>
      <c r="J114" s="296"/>
      <c r="K114" s="296"/>
      <c r="L114" s="296"/>
      <c r="O114" s="380" t="str">
        <f t="shared" si="4"/>
        <v>用途-指定根拠分類</v>
      </c>
    </row>
    <row r="115" spans="2:15">
      <c r="B115" s="845">
        <f>'2_入力シート【用途面積】'!$E$13</f>
        <v>0</v>
      </c>
      <c r="C115" s="845" t="str">
        <f t="shared" si="3"/>
        <v>0</v>
      </c>
      <c r="E115" s="852"/>
      <c r="F115" s="296" t="s">
        <v>4921</v>
      </c>
      <c r="G115" s="824" t="s">
        <v>1407</v>
      </c>
      <c r="H115" s="296" t="s">
        <v>4922</v>
      </c>
      <c r="I115" s="296"/>
      <c r="J115" s="296"/>
      <c r="K115" s="296"/>
      <c r="L115" s="296"/>
      <c r="O115" s="380" t="str">
        <f t="shared" si="4"/>
        <v>床面積-延床面積</v>
      </c>
    </row>
    <row r="116" spans="2:15">
      <c r="B116" s="845">
        <f>'2_入力シート【用途面積】'!$G$13</f>
        <v>0</v>
      </c>
      <c r="C116" s="845" t="str">
        <f t="shared" si="3"/>
        <v>0</v>
      </c>
      <c r="E116" s="852"/>
      <c r="F116" s="296" t="s">
        <v>4921</v>
      </c>
      <c r="G116" s="824" t="s">
        <v>1407</v>
      </c>
      <c r="H116" s="296" t="s">
        <v>4919</v>
      </c>
      <c r="I116" s="824" t="s">
        <v>1407</v>
      </c>
      <c r="J116" s="296">
        <v>1</v>
      </c>
      <c r="K116" s="296"/>
      <c r="L116" s="296"/>
      <c r="O116" s="380" t="str">
        <f t="shared" si="4"/>
        <v>床面積-用途-1</v>
      </c>
    </row>
    <row r="117" spans="2:15">
      <c r="B117" s="845">
        <f>'2_入力シート【用途面積】'!$I$13</f>
        <v>0</v>
      </c>
      <c r="C117" s="845" t="str">
        <f t="shared" si="3"/>
        <v>0</v>
      </c>
      <c r="E117" s="852"/>
      <c r="F117" s="296" t="s">
        <v>4921</v>
      </c>
      <c r="G117" s="824" t="s">
        <v>1407</v>
      </c>
      <c r="H117" s="296" t="s">
        <v>4919</v>
      </c>
      <c r="I117" s="824" t="s">
        <v>1407</v>
      </c>
      <c r="J117" s="296">
        <v>2</v>
      </c>
      <c r="K117" s="296"/>
      <c r="L117" s="296"/>
      <c r="O117" s="380" t="str">
        <f t="shared" si="4"/>
        <v>床面積-用途-2</v>
      </c>
    </row>
    <row r="118" spans="2:15">
      <c r="B118" s="845">
        <f>'2_入力シート【用途面積】'!$K$13</f>
        <v>0</v>
      </c>
      <c r="C118" s="845" t="str">
        <f t="shared" si="3"/>
        <v>0</v>
      </c>
      <c r="E118" s="852"/>
      <c r="F118" s="296" t="s">
        <v>4921</v>
      </c>
      <c r="G118" s="824" t="s">
        <v>1407</v>
      </c>
      <c r="H118" s="296" t="s">
        <v>4919</v>
      </c>
      <c r="I118" s="824" t="s">
        <v>1407</v>
      </c>
      <c r="J118" s="296">
        <v>3</v>
      </c>
      <c r="K118" s="296"/>
      <c r="L118" s="296"/>
      <c r="O118" s="380" t="str">
        <f t="shared" si="4"/>
        <v>床面積-用途-3</v>
      </c>
    </row>
    <row r="119" spans="2:15">
      <c r="B119" s="845">
        <f>'2_入力シート【用途面積】'!$M$13</f>
        <v>0</v>
      </c>
      <c r="C119" s="845" t="str">
        <f t="shared" si="3"/>
        <v>0</v>
      </c>
      <c r="E119" s="852"/>
      <c r="F119" s="296" t="s">
        <v>4921</v>
      </c>
      <c r="G119" s="824" t="s">
        <v>1407</v>
      </c>
      <c r="H119" s="296" t="s">
        <v>4919</v>
      </c>
      <c r="I119" s="824" t="s">
        <v>1407</v>
      </c>
      <c r="J119" s="296">
        <v>4</v>
      </c>
      <c r="K119" s="296"/>
      <c r="L119" s="296"/>
      <c r="O119" s="380" t="str">
        <f t="shared" si="4"/>
        <v>床面積-用途-4</v>
      </c>
    </row>
    <row r="120" spans="2:15">
      <c r="B120" s="845">
        <f>'2_入力シート【用途面積】'!$O$13</f>
        <v>0</v>
      </c>
      <c r="C120" s="845" t="str">
        <f t="shared" si="3"/>
        <v>0</v>
      </c>
      <c r="E120" s="852"/>
      <c r="F120" s="296" t="s">
        <v>4921</v>
      </c>
      <c r="G120" s="824" t="s">
        <v>1407</v>
      </c>
      <c r="H120" s="296" t="s">
        <v>4919</v>
      </c>
      <c r="I120" s="824" t="s">
        <v>1407</v>
      </c>
      <c r="J120" s="296">
        <v>5</v>
      </c>
      <c r="K120" s="296"/>
      <c r="L120" s="296"/>
      <c r="O120" s="380" t="str">
        <f t="shared" si="4"/>
        <v>床面積-用途-5</v>
      </c>
    </row>
    <row r="121" spans="2:15">
      <c r="B121" s="845">
        <f>'2_入力シート【用途面積】'!$Q$13</f>
        <v>0</v>
      </c>
      <c r="C121" s="845" t="str">
        <f t="shared" si="3"/>
        <v>0</v>
      </c>
      <c r="E121" s="852"/>
      <c r="F121" s="296" t="s">
        <v>4921</v>
      </c>
      <c r="G121" s="824" t="s">
        <v>1407</v>
      </c>
      <c r="H121" s="296" t="s">
        <v>4919</v>
      </c>
      <c r="I121" s="824" t="s">
        <v>1407</v>
      </c>
      <c r="J121" s="296">
        <v>6</v>
      </c>
      <c r="K121" s="296"/>
      <c r="L121" s="296"/>
      <c r="O121" s="380" t="str">
        <f t="shared" si="4"/>
        <v>床面積-用途-6</v>
      </c>
    </row>
    <row r="122" spans="2:15">
      <c r="B122" s="845">
        <f>'2_入力シート【用途面積】'!$S$13</f>
        <v>0</v>
      </c>
      <c r="C122" s="845" t="str">
        <f t="shared" si="3"/>
        <v>0</v>
      </c>
      <c r="E122" s="852"/>
      <c r="F122" s="296" t="s">
        <v>4921</v>
      </c>
      <c r="G122" s="824" t="s">
        <v>1407</v>
      </c>
      <c r="H122" s="296" t="s">
        <v>4919</v>
      </c>
      <c r="I122" s="824" t="s">
        <v>1407</v>
      </c>
      <c r="J122" s="296">
        <v>7</v>
      </c>
      <c r="K122" s="296"/>
      <c r="L122" s="296"/>
      <c r="O122" s="380" t="str">
        <f t="shared" si="4"/>
        <v>床面積-用途-7</v>
      </c>
    </row>
    <row r="123" spans="2:15">
      <c r="B123" s="845">
        <f>'2_入力シート【用途面積】'!AF75</f>
        <v>0</v>
      </c>
      <c r="C123" s="845" t="str">
        <f t="shared" si="3"/>
        <v>0</v>
      </c>
      <c r="E123" s="852"/>
      <c r="F123" s="296" t="s">
        <v>4921</v>
      </c>
      <c r="G123" s="824" t="s">
        <v>1407</v>
      </c>
      <c r="H123" s="296" t="s">
        <v>4923</v>
      </c>
      <c r="I123" s="824" t="s">
        <v>1407</v>
      </c>
      <c r="J123" s="296" t="s">
        <v>4919</v>
      </c>
      <c r="K123" s="824" t="s">
        <v>1407</v>
      </c>
      <c r="L123" s="296">
        <v>1</v>
      </c>
      <c r="O123" s="380" t="str">
        <f t="shared" si="4"/>
        <v>床面積-～B2F-用途-1</v>
      </c>
    </row>
    <row r="124" spans="2:15">
      <c r="B124" s="845">
        <f>'2_入力シート【用途面積】'!AF76</f>
        <v>0</v>
      </c>
      <c r="C124" s="845" t="str">
        <f t="shared" si="3"/>
        <v>0</v>
      </c>
      <c r="E124" s="852"/>
      <c r="F124" s="296" t="s">
        <v>4921</v>
      </c>
      <c r="G124" s="824" t="s">
        <v>1407</v>
      </c>
      <c r="H124" s="296" t="s">
        <v>4924</v>
      </c>
      <c r="I124" s="824" t="s">
        <v>1407</v>
      </c>
      <c r="J124" s="296" t="s">
        <v>4919</v>
      </c>
      <c r="K124" s="824" t="s">
        <v>1407</v>
      </c>
      <c r="L124" s="296">
        <v>1</v>
      </c>
      <c r="O124" s="380" t="str">
        <f t="shared" si="4"/>
        <v>床面積-B1F-用途-1</v>
      </c>
    </row>
    <row r="125" spans="2:15">
      <c r="B125" s="845">
        <f>'2_入力シート【用途面積】'!AF77</f>
        <v>0</v>
      </c>
      <c r="C125" s="845" t="str">
        <f t="shared" si="3"/>
        <v>0</v>
      </c>
      <c r="E125" s="852"/>
      <c r="F125" s="296" t="s">
        <v>4921</v>
      </c>
      <c r="G125" s="824" t="s">
        <v>1407</v>
      </c>
      <c r="H125" s="296" t="s">
        <v>4925</v>
      </c>
      <c r="I125" s="824" t="s">
        <v>1407</v>
      </c>
      <c r="J125" s="296" t="s">
        <v>4919</v>
      </c>
      <c r="K125" s="824" t="s">
        <v>1407</v>
      </c>
      <c r="L125" s="296">
        <v>1</v>
      </c>
      <c r="O125" s="380" t="str">
        <f t="shared" si="4"/>
        <v>床面積-1F-用途-1</v>
      </c>
    </row>
    <row r="126" spans="2:15">
      <c r="B126" s="845">
        <f>'2_入力シート【用途面積】'!AF78</f>
        <v>0</v>
      </c>
      <c r="C126" s="845" t="str">
        <f t="shared" si="3"/>
        <v>0</v>
      </c>
      <c r="E126" s="852"/>
      <c r="F126" s="296" t="s">
        <v>4921</v>
      </c>
      <c r="G126" s="824" t="s">
        <v>1407</v>
      </c>
      <c r="H126" s="296" t="s">
        <v>4715</v>
      </c>
      <c r="I126" s="824" t="s">
        <v>1407</v>
      </c>
      <c r="J126" s="296" t="s">
        <v>4919</v>
      </c>
      <c r="K126" s="824" t="s">
        <v>1407</v>
      </c>
      <c r="L126" s="296">
        <v>1</v>
      </c>
      <c r="O126" s="380" t="str">
        <f t="shared" si="4"/>
        <v>床面積-2F-用途-1</v>
      </c>
    </row>
    <row r="127" spans="2:15">
      <c r="B127" s="845">
        <f>'2_入力シート【用途面積】'!AF79</f>
        <v>0</v>
      </c>
      <c r="C127" s="845" t="str">
        <f t="shared" si="3"/>
        <v>0</v>
      </c>
      <c r="E127" s="852"/>
      <c r="F127" s="296" t="s">
        <v>4921</v>
      </c>
      <c r="G127" s="824" t="s">
        <v>1407</v>
      </c>
      <c r="H127" s="296" t="s">
        <v>4738</v>
      </c>
      <c r="I127" s="824" t="s">
        <v>1407</v>
      </c>
      <c r="J127" s="296" t="s">
        <v>4919</v>
      </c>
      <c r="K127" s="824" t="s">
        <v>1407</v>
      </c>
      <c r="L127" s="296">
        <v>1</v>
      </c>
      <c r="O127" s="380" t="str">
        <f t="shared" si="4"/>
        <v>床面積-3F～-用途-1</v>
      </c>
    </row>
    <row r="128" spans="2:15">
      <c r="B128" s="845" t="str">
        <f>'2_入力シート【用途面積】'!AU77</f>
        <v/>
      </c>
      <c r="C128" s="845" t="str">
        <f t="shared" si="3"/>
        <v/>
      </c>
      <c r="E128" s="852"/>
      <c r="F128" s="296" t="s">
        <v>4921</v>
      </c>
      <c r="G128" s="824" t="s">
        <v>1407</v>
      </c>
      <c r="H128" s="296" t="s">
        <v>4926</v>
      </c>
      <c r="I128" s="824" t="s">
        <v>1407</v>
      </c>
      <c r="J128" s="296" t="s">
        <v>4919</v>
      </c>
      <c r="K128" s="824" t="s">
        <v>1407</v>
      </c>
      <c r="L128" s="296">
        <v>1</v>
      </c>
      <c r="O128" s="380" t="str">
        <f t="shared" si="4"/>
        <v>床面積-存する階-用途-1</v>
      </c>
    </row>
    <row r="129" spans="2:15">
      <c r="B129" s="845">
        <f>'2_入力シート【用途面積】'!AG75</f>
        <v>0</v>
      </c>
      <c r="C129" s="845" t="str">
        <f t="shared" si="3"/>
        <v>0</v>
      </c>
      <c r="E129" s="852"/>
      <c r="F129" s="296" t="s">
        <v>4921</v>
      </c>
      <c r="G129" s="824" t="s">
        <v>1407</v>
      </c>
      <c r="H129" s="296" t="s">
        <v>4923</v>
      </c>
      <c r="I129" s="824" t="s">
        <v>1407</v>
      </c>
      <c r="J129" s="296" t="s">
        <v>4919</v>
      </c>
      <c r="K129" s="824" t="s">
        <v>1407</v>
      </c>
      <c r="L129" s="296">
        <v>2</v>
      </c>
      <c r="O129" s="380" t="str">
        <f t="shared" si="4"/>
        <v>床面積-～B2F-用途-2</v>
      </c>
    </row>
    <row r="130" spans="2:15">
      <c r="B130" s="845">
        <f>'2_入力シート【用途面積】'!AG76</f>
        <v>0</v>
      </c>
      <c r="C130" s="845" t="str">
        <f t="shared" si="3"/>
        <v>0</v>
      </c>
      <c r="E130" s="852"/>
      <c r="F130" s="296" t="s">
        <v>4921</v>
      </c>
      <c r="G130" s="824" t="s">
        <v>1407</v>
      </c>
      <c r="H130" s="296" t="s">
        <v>4924</v>
      </c>
      <c r="I130" s="824" t="s">
        <v>1407</v>
      </c>
      <c r="J130" s="296" t="s">
        <v>4919</v>
      </c>
      <c r="K130" s="824" t="s">
        <v>1407</v>
      </c>
      <c r="L130" s="296">
        <v>2</v>
      </c>
      <c r="O130" s="380" t="str">
        <f t="shared" si="4"/>
        <v>床面積-B1F-用途-2</v>
      </c>
    </row>
    <row r="131" spans="2:15">
      <c r="B131" s="845">
        <f>'2_入力シート【用途面積】'!AG77</f>
        <v>0</v>
      </c>
      <c r="C131" s="845" t="str">
        <f t="shared" si="3"/>
        <v>0</v>
      </c>
      <c r="E131" s="852"/>
      <c r="F131" s="296" t="s">
        <v>4921</v>
      </c>
      <c r="G131" s="824" t="s">
        <v>1407</v>
      </c>
      <c r="H131" s="296" t="s">
        <v>4925</v>
      </c>
      <c r="I131" s="824" t="s">
        <v>1407</v>
      </c>
      <c r="J131" s="296" t="s">
        <v>4919</v>
      </c>
      <c r="K131" s="824" t="s">
        <v>1407</v>
      </c>
      <c r="L131" s="296">
        <v>2</v>
      </c>
      <c r="O131" s="380" t="str">
        <f t="shared" si="4"/>
        <v>床面積-1F-用途-2</v>
      </c>
    </row>
    <row r="132" spans="2:15">
      <c r="B132" s="845">
        <f>'2_入力シート【用途面積】'!AG78</f>
        <v>0</v>
      </c>
      <c r="C132" s="845" t="str">
        <f t="shared" si="3"/>
        <v>0</v>
      </c>
      <c r="E132" s="852"/>
      <c r="F132" s="296" t="s">
        <v>4921</v>
      </c>
      <c r="G132" s="824" t="s">
        <v>1407</v>
      </c>
      <c r="H132" s="296" t="s">
        <v>4715</v>
      </c>
      <c r="I132" s="824" t="s">
        <v>1407</v>
      </c>
      <c r="J132" s="296" t="s">
        <v>4919</v>
      </c>
      <c r="K132" s="824" t="s">
        <v>1407</v>
      </c>
      <c r="L132" s="296">
        <v>2</v>
      </c>
      <c r="O132" s="380" t="str">
        <f t="shared" si="4"/>
        <v>床面積-2F-用途-2</v>
      </c>
    </row>
    <row r="133" spans="2:15">
      <c r="B133" s="845">
        <f>'2_入力シート【用途面積】'!AG79</f>
        <v>0</v>
      </c>
      <c r="C133" s="845" t="str">
        <f t="shared" ref="C133:C196" si="5">SUBSTITUTE(B133,CHAR(10),"")</f>
        <v>0</v>
      </c>
      <c r="E133" s="852"/>
      <c r="F133" s="296" t="s">
        <v>4921</v>
      </c>
      <c r="G133" s="824" t="s">
        <v>1407</v>
      </c>
      <c r="H133" s="296" t="s">
        <v>4738</v>
      </c>
      <c r="I133" s="824" t="s">
        <v>1407</v>
      </c>
      <c r="J133" s="296" t="s">
        <v>4919</v>
      </c>
      <c r="K133" s="824" t="s">
        <v>1407</v>
      </c>
      <c r="L133" s="296">
        <v>2</v>
      </c>
      <c r="O133" s="380" t="str">
        <f t="shared" si="4"/>
        <v>床面積-3F～-用途-2</v>
      </c>
    </row>
    <row r="134" spans="2:15">
      <c r="B134" s="845" t="str">
        <f>'2_入力シート【用途面積】'!AV77</f>
        <v/>
      </c>
      <c r="C134" s="845" t="str">
        <f t="shared" si="5"/>
        <v/>
      </c>
      <c r="E134" s="852"/>
      <c r="F134" s="296" t="s">
        <v>4921</v>
      </c>
      <c r="G134" s="824" t="s">
        <v>1407</v>
      </c>
      <c r="H134" s="296" t="s">
        <v>4926</v>
      </c>
      <c r="I134" s="824" t="s">
        <v>1407</v>
      </c>
      <c r="J134" s="296" t="s">
        <v>4919</v>
      </c>
      <c r="K134" s="824" t="s">
        <v>1407</v>
      </c>
      <c r="L134" s="296">
        <v>2</v>
      </c>
      <c r="O134" s="380" t="str">
        <f t="shared" si="4"/>
        <v>床面積-存する階-用途-2</v>
      </c>
    </row>
    <row r="135" spans="2:15">
      <c r="B135" s="845">
        <f>'2_入力シート【用途面積】'!AH75</f>
        <v>0</v>
      </c>
      <c r="C135" s="845" t="str">
        <f t="shared" si="5"/>
        <v>0</v>
      </c>
      <c r="E135" s="852"/>
      <c r="F135" s="296" t="s">
        <v>4921</v>
      </c>
      <c r="G135" s="824" t="s">
        <v>1407</v>
      </c>
      <c r="H135" s="296" t="s">
        <v>4923</v>
      </c>
      <c r="I135" s="824" t="s">
        <v>1407</v>
      </c>
      <c r="J135" s="296" t="s">
        <v>4919</v>
      </c>
      <c r="K135" s="824" t="s">
        <v>1407</v>
      </c>
      <c r="L135" s="296">
        <v>3</v>
      </c>
      <c r="O135" s="380" t="str">
        <f t="shared" si="4"/>
        <v>床面積-～B2F-用途-3</v>
      </c>
    </row>
    <row r="136" spans="2:15">
      <c r="B136" s="845">
        <f>'2_入力シート【用途面積】'!AH76</f>
        <v>0</v>
      </c>
      <c r="C136" s="845" t="str">
        <f t="shared" si="5"/>
        <v>0</v>
      </c>
      <c r="E136" s="852"/>
      <c r="F136" s="296" t="s">
        <v>4921</v>
      </c>
      <c r="G136" s="824" t="s">
        <v>1407</v>
      </c>
      <c r="H136" s="296" t="s">
        <v>4924</v>
      </c>
      <c r="I136" s="824" t="s">
        <v>1407</v>
      </c>
      <c r="J136" s="296" t="s">
        <v>4919</v>
      </c>
      <c r="K136" s="824" t="s">
        <v>1407</v>
      </c>
      <c r="L136" s="296">
        <v>3</v>
      </c>
      <c r="O136" s="380" t="str">
        <f t="shared" si="4"/>
        <v>床面積-B1F-用途-3</v>
      </c>
    </row>
    <row r="137" spans="2:15">
      <c r="B137" s="845">
        <f>'2_入力シート【用途面積】'!AH77</f>
        <v>0</v>
      </c>
      <c r="C137" s="845" t="str">
        <f t="shared" si="5"/>
        <v>0</v>
      </c>
      <c r="E137" s="852"/>
      <c r="F137" s="296" t="s">
        <v>4921</v>
      </c>
      <c r="G137" s="824" t="s">
        <v>1407</v>
      </c>
      <c r="H137" s="296" t="s">
        <v>4925</v>
      </c>
      <c r="I137" s="824" t="s">
        <v>1407</v>
      </c>
      <c r="J137" s="296" t="s">
        <v>4919</v>
      </c>
      <c r="K137" s="824" t="s">
        <v>1407</v>
      </c>
      <c r="L137" s="296">
        <v>3</v>
      </c>
      <c r="O137" s="380" t="str">
        <f t="shared" si="4"/>
        <v>床面積-1F-用途-3</v>
      </c>
    </row>
    <row r="138" spans="2:15">
      <c r="B138" s="845">
        <f>'2_入力シート【用途面積】'!AH78</f>
        <v>0</v>
      </c>
      <c r="C138" s="845" t="str">
        <f t="shared" si="5"/>
        <v>0</v>
      </c>
      <c r="E138" s="852"/>
      <c r="F138" s="296" t="s">
        <v>4921</v>
      </c>
      <c r="G138" s="824" t="s">
        <v>1407</v>
      </c>
      <c r="H138" s="296" t="s">
        <v>4715</v>
      </c>
      <c r="I138" s="824" t="s">
        <v>1407</v>
      </c>
      <c r="J138" s="296" t="s">
        <v>4919</v>
      </c>
      <c r="K138" s="824" t="s">
        <v>1407</v>
      </c>
      <c r="L138" s="296">
        <v>3</v>
      </c>
      <c r="O138" s="380" t="str">
        <f t="shared" si="4"/>
        <v>床面積-2F-用途-3</v>
      </c>
    </row>
    <row r="139" spans="2:15">
      <c r="B139" s="845">
        <f>'2_入力シート【用途面積】'!AH79</f>
        <v>0</v>
      </c>
      <c r="C139" s="845" t="str">
        <f t="shared" si="5"/>
        <v>0</v>
      </c>
      <c r="E139" s="852"/>
      <c r="F139" s="296" t="s">
        <v>4921</v>
      </c>
      <c r="G139" s="824" t="s">
        <v>1407</v>
      </c>
      <c r="H139" s="296" t="s">
        <v>4738</v>
      </c>
      <c r="I139" s="824" t="s">
        <v>1407</v>
      </c>
      <c r="J139" s="296" t="s">
        <v>4919</v>
      </c>
      <c r="K139" s="824" t="s">
        <v>1407</v>
      </c>
      <c r="L139" s="296">
        <v>3</v>
      </c>
      <c r="O139" s="380" t="str">
        <f t="shared" si="4"/>
        <v>床面積-3F～-用途-3</v>
      </c>
    </row>
    <row r="140" spans="2:15">
      <c r="B140" s="845" t="str">
        <f>'2_入力シート【用途面積】'!AW77</f>
        <v/>
      </c>
      <c r="C140" s="845" t="str">
        <f t="shared" si="5"/>
        <v/>
      </c>
      <c r="E140" s="852"/>
      <c r="F140" s="296" t="s">
        <v>4921</v>
      </c>
      <c r="G140" s="824" t="s">
        <v>1407</v>
      </c>
      <c r="H140" s="296" t="s">
        <v>4926</v>
      </c>
      <c r="I140" s="824" t="s">
        <v>1407</v>
      </c>
      <c r="J140" s="296" t="s">
        <v>4919</v>
      </c>
      <c r="K140" s="824" t="s">
        <v>1407</v>
      </c>
      <c r="L140" s="296">
        <v>3</v>
      </c>
      <c r="O140" s="380" t="str">
        <f t="shared" si="4"/>
        <v>床面積-存する階-用途-3</v>
      </c>
    </row>
    <row r="141" spans="2:15">
      <c r="B141" s="845">
        <f>'2_入力シート【用途面積】'!AI75</f>
        <v>0</v>
      </c>
      <c r="C141" s="845" t="str">
        <f t="shared" si="5"/>
        <v>0</v>
      </c>
      <c r="E141" s="852"/>
      <c r="F141" s="296" t="s">
        <v>4921</v>
      </c>
      <c r="G141" s="824" t="s">
        <v>1407</v>
      </c>
      <c r="H141" s="296" t="s">
        <v>4923</v>
      </c>
      <c r="I141" s="824" t="s">
        <v>1407</v>
      </c>
      <c r="J141" s="296" t="s">
        <v>4919</v>
      </c>
      <c r="K141" s="824" t="s">
        <v>1407</v>
      </c>
      <c r="L141" s="296">
        <v>4</v>
      </c>
      <c r="O141" s="380" t="str">
        <f t="shared" si="4"/>
        <v>床面積-～B2F-用途-4</v>
      </c>
    </row>
    <row r="142" spans="2:15">
      <c r="B142" s="845">
        <f>'2_入力シート【用途面積】'!AI76</f>
        <v>0</v>
      </c>
      <c r="C142" s="845" t="str">
        <f t="shared" si="5"/>
        <v>0</v>
      </c>
      <c r="E142" s="852"/>
      <c r="F142" s="296" t="s">
        <v>4921</v>
      </c>
      <c r="G142" s="824" t="s">
        <v>1407</v>
      </c>
      <c r="H142" s="296" t="s">
        <v>4924</v>
      </c>
      <c r="I142" s="824" t="s">
        <v>1407</v>
      </c>
      <c r="J142" s="296" t="s">
        <v>4919</v>
      </c>
      <c r="K142" s="824" t="s">
        <v>1407</v>
      </c>
      <c r="L142" s="296">
        <v>4</v>
      </c>
      <c r="O142" s="380" t="str">
        <f t="shared" si="4"/>
        <v>床面積-B1F-用途-4</v>
      </c>
    </row>
    <row r="143" spans="2:15">
      <c r="B143" s="845">
        <f>'2_入力シート【用途面積】'!AI77</f>
        <v>0</v>
      </c>
      <c r="C143" s="845" t="str">
        <f t="shared" si="5"/>
        <v>0</v>
      </c>
      <c r="E143" s="852"/>
      <c r="F143" s="296" t="s">
        <v>4921</v>
      </c>
      <c r="G143" s="824" t="s">
        <v>1407</v>
      </c>
      <c r="H143" s="296" t="s">
        <v>4925</v>
      </c>
      <c r="I143" s="824" t="s">
        <v>1407</v>
      </c>
      <c r="J143" s="296" t="s">
        <v>4919</v>
      </c>
      <c r="K143" s="824" t="s">
        <v>1407</v>
      </c>
      <c r="L143" s="296">
        <v>4</v>
      </c>
      <c r="O143" s="380" t="str">
        <f t="shared" si="4"/>
        <v>床面積-1F-用途-4</v>
      </c>
    </row>
    <row r="144" spans="2:15">
      <c r="B144" s="845">
        <f>'2_入力シート【用途面積】'!AI78</f>
        <v>0</v>
      </c>
      <c r="C144" s="845" t="str">
        <f t="shared" si="5"/>
        <v>0</v>
      </c>
      <c r="E144" s="852"/>
      <c r="F144" s="296" t="s">
        <v>4921</v>
      </c>
      <c r="G144" s="824" t="s">
        <v>1407</v>
      </c>
      <c r="H144" s="296" t="s">
        <v>4715</v>
      </c>
      <c r="I144" s="824" t="s">
        <v>1407</v>
      </c>
      <c r="J144" s="296" t="s">
        <v>4919</v>
      </c>
      <c r="K144" s="824" t="s">
        <v>1407</v>
      </c>
      <c r="L144" s="296">
        <v>4</v>
      </c>
      <c r="O144" s="380" t="str">
        <f t="shared" si="4"/>
        <v>床面積-2F-用途-4</v>
      </c>
    </row>
    <row r="145" spans="2:15">
      <c r="B145" s="845">
        <f>'2_入力シート【用途面積】'!AI79</f>
        <v>0</v>
      </c>
      <c r="C145" s="845" t="str">
        <f t="shared" si="5"/>
        <v>0</v>
      </c>
      <c r="E145" s="852"/>
      <c r="F145" s="296" t="s">
        <v>4921</v>
      </c>
      <c r="G145" s="824" t="s">
        <v>1407</v>
      </c>
      <c r="H145" s="296" t="s">
        <v>4738</v>
      </c>
      <c r="I145" s="824" t="s">
        <v>1407</v>
      </c>
      <c r="J145" s="296" t="s">
        <v>4919</v>
      </c>
      <c r="K145" s="824" t="s">
        <v>1407</v>
      </c>
      <c r="L145" s="296">
        <v>4</v>
      </c>
      <c r="O145" s="380" t="str">
        <f t="shared" si="4"/>
        <v>床面積-3F～-用途-4</v>
      </c>
    </row>
    <row r="146" spans="2:15">
      <c r="B146" s="845" t="str">
        <f>'2_入力シート【用途面積】'!AX77</f>
        <v/>
      </c>
      <c r="C146" s="845" t="str">
        <f t="shared" si="5"/>
        <v/>
      </c>
      <c r="E146" s="852"/>
      <c r="F146" s="296" t="s">
        <v>4921</v>
      </c>
      <c r="G146" s="824" t="s">
        <v>1407</v>
      </c>
      <c r="H146" s="296" t="s">
        <v>4926</v>
      </c>
      <c r="I146" s="824" t="s">
        <v>1407</v>
      </c>
      <c r="J146" s="296" t="s">
        <v>4919</v>
      </c>
      <c r="K146" s="824" t="s">
        <v>1407</v>
      </c>
      <c r="L146" s="296">
        <v>4</v>
      </c>
      <c r="O146" s="380" t="str">
        <f t="shared" si="4"/>
        <v>床面積-存する階-用途-4</v>
      </c>
    </row>
    <row r="147" spans="2:15">
      <c r="B147" s="845">
        <f>'2_入力シート【用途面積】'!AJ75</f>
        <v>0</v>
      </c>
      <c r="C147" s="845" t="str">
        <f t="shared" si="5"/>
        <v>0</v>
      </c>
      <c r="E147" s="852"/>
      <c r="F147" s="296" t="s">
        <v>4921</v>
      </c>
      <c r="G147" s="824" t="s">
        <v>1407</v>
      </c>
      <c r="H147" s="296" t="s">
        <v>4923</v>
      </c>
      <c r="I147" s="824" t="s">
        <v>1407</v>
      </c>
      <c r="J147" s="296" t="s">
        <v>4919</v>
      </c>
      <c r="K147" s="824" t="s">
        <v>1407</v>
      </c>
      <c r="L147" s="296">
        <v>5</v>
      </c>
      <c r="O147" s="380" t="str">
        <f t="shared" si="4"/>
        <v>床面積-～B2F-用途-5</v>
      </c>
    </row>
    <row r="148" spans="2:15">
      <c r="B148" s="845">
        <f>'2_入力シート【用途面積】'!AJ76</f>
        <v>0</v>
      </c>
      <c r="C148" s="845" t="str">
        <f t="shared" si="5"/>
        <v>0</v>
      </c>
      <c r="E148" s="852"/>
      <c r="F148" s="296" t="s">
        <v>4921</v>
      </c>
      <c r="G148" s="824" t="s">
        <v>1407</v>
      </c>
      <c r="H148" s="296" t="s">
        <v>4924</v>
      </c>
      <c r="I148" s="824" t="s">
        <v>1407</v>
      </c>
      <c r="J148" s="296" t="s">
        <v>4919</v>
      </c>
      <c r="K148" s="824" t="s">
        <v>1407</v>
      </c>
      <c r="L148" s="296">
        <v>5</v>
      </c>
      <c r="O148" s="380" t="str">
        <f t="shared" si="4"/>
        <v>床面積-B1F-用途-5</v>
      </c>
    </row>
    <row r="149" spans="2:15">
      <c r="B149" s="845">
        <f>'2_入力シート【用途面積】'!AJ77</f>
        <v>0</v>
      </c>
      <c r="C149" s="845" t="str">
        <f t="shared" si="5"/>
        <v>0</v>
      </c>
      <c r="E149" s="852"/>
      <c r="F149" s="296" t="s">
        <v>4921</v>
      </c>
      <c r="G149" s="824" t="s">
        <v>1407</v>
      </c>
      <c r="H149" s="296" t="s">
        <v>4925</v>
      </c>
      <c r="I149" s="824" t="s">
        <v>1407</v>
      </c>
      <c r="J149" s="296" t="s">
        <v>4919</v>
      </c>
      <c r="K149" s="824" t="s">
        <v>1407</v>
      </c>
      <c r="L149" s="296">
        <v>5</v>
      </c>
      <c r="O149" s="380" t="str">
        <f t="shared" si="4"/>
        <v>床面積-1F-用途-5</v>
      </c>
    </row>
    <row r="150" spans="2:15">
      <c r="B150" s="845">
        <f>'2_入力シート【用途面積】'!AJ78</f>
        <v>0</v>
      </c>
      <c r="C150" s="845" t="str">
        <f t="shared" si="5"/>
        <v>0</v>
      </c>
      <c r="E150" s="852"/>
      <c r="F150" s="296" t="s">
        <v>4921</v>
      </c>
      <c r="G150" s="824" t="s">
        <v>1407</v>
      </c>
      <c r="H150" s="296" t="s">
        <v>4715</v>
      </c>
      <c r="I150" s="824" t="s">
        <v>1407</v>
      </c>
      <c r="J150" s="296" t="s">
        <v>4919</v>
      </c>
      <c r="K150" s="824" t="s">
        <v>1407</v>
      </c>
      <c r="L150" s="296">
        <v>5</v>
      </c>
      <c r="O150" s="380" t="str">
        <f t="shared" si="4"/>
        <v>床面積-2F-用途-5</v>
      </c>
    </row>
    <row r="151" spans="2:15">
      <c r="B151" s="845">
        <f>'2_入力シート【用途面積】'!AJ79</f>
        <v>0</v>
      </c>
      <c r="C151" s="845" t="str">
        <f t="shared" si="5"/>
        <v>0</v>
      </c>
      <c r="E151" s="852"/>
      <c r="F151" s="296" t="s">
        <v>4921</v>
      </c>
      <c r="G151" s="824" t="s">
        <v>1407</v>
      </c>
      <c r="H151" s="296" t="s">
        <v>4738</v>
      </c>
      <c r="I151" s="824" t="s">
        <v>1407</v>
      </c>
      <c r="J151" s="296" t="s">
        <v>4919</v>
      </c>
      <c r="K151" s="824" t="s">
        <v>1407</v>
      </c>
      <c r="L151" s="296">
        <v>5</v>
      </c>
      <c r="O151" s="380" t="str">
        <f t="shared" si="4"/>
        <v>床面積-3F～-用途-5</v>
      </c>
    </row>
    <row r="152" spans="2:15">
      <c r="B152" s="845" t="str">
        <f>'2_入力シート【用途面積】'!AY77</f>
        <v/>
      </c>
      <c r="C152" s="845" t="str">
        <f t="shared" si="5"/>
        <v/>
      </c>
      <c r="E152" s="852"/>
      <c r="F152" s="296" t="s">
        <v>4921</v>
      </c>
      <c r="G152" s="824" t="s">
        <v>1407</v>
      </c>
      <c r="H152" s="296" t="s">
        <v>4926</v>
      </c>
      <c r="I152" s="824" t="s">
        <v>1407</v>
      </c>
      <c r="J152" s="296" t="s">
        <v>4919</v>
      </c>
      <c r="K152" s="824" t="s">
        <v>1407</v>
      </c>
      <c r="L152" s="296">
        <v>5</v>
      </c>
      <c r="O152" s="380" t="str">
        <f t="shared" si="4"/>
        <v>床面積-存する階-用途-5</v>
      </c>
    </row>
    <row r="153" spans="2:15">
      <c r="B153" s="845">
        <f>'2_入力シート【用途面積】'!AK75</f>
        <v>0</v>
      </c>
      <c r="C153" s="845" t="str">
        <f t="shared" si="5"/>
        <v>0</v>
      </c>
      <c r="E153" s="852"/>
      <c r="F153" s="296" t="s">
        <v>4921</v>
      </c>
      <c r="G153" s="824" t="s">
        <v>1407</v>
      </c>
      <c r="H153" s="296" t="s">
        <v>4923</v>
      </c>
      <c r="I153" s="824" t="s">
        <v>1407</v>
      </c>
      <c r="J153" s="296" t="s">
        <v>4919</v>
      </c>
      <c r="K153" s="824" t="s">
        <v>1407</v>
      </c>
      <c r="L153" s="296">
        <v>6</v>
      </c>
      <c r="O153" s="380" t="str">
        <f t="shared" si="4"/>
        <v>床面積-～B2F-用途-6</v>
      </c>
    </row>
    <row r="154" spans="2:15">
      <c r="B154" s="845">
        <f>'2_入力シート【用途面積】'!AK76</f>
        <v>0</v>
      </c>
      <c r="C154" s="845" t="str">
        <f t="shared" si="5"/>
        <v>0</v>
      </c>
      <c r="E154" s="852"/>
      <c r="F154" s="296" t="s">
        <v>4921</v>
      </c>
      <c r="G154" s="824" t="s">
        <v>1407</v>
      </c>
      <c r="H154" s="296" t="s">
        <v>4924</v>
      </c>
      <c r="I154" s="824" t="s">
        <v>1407</v>
      </c>
      <c r="J154" s="296" t="s">
        <v>4919</v>
      </c>
      <c r="K154" s="824" t="s">
        <v>1407</v>
      </c>
      <c r="L154" s="296">
        <v>6</v>
      </c>
      <c r="O154" s="380" t="str">
        <f t="shared" si="4"/>
        <v>床面積-B1F-用途-6</v>
      </c>
    </row>
    <row r="155" spans="2:15">
      <c r="B155" s="845">
        <f>'2_入力シート【用途面積】'!AK77</f>
        <v>0</v>
      </c>
      <c r="C155" s="845" t="str">
        <f t="shared" si="5"/>
        <v>0</v>
      </c>
      <c r="E155" s="852"/>
      <c r="F155" s="296" t="s">
        <v>4921</v>
      </c>
      <c r="G155" s="824" t="s">
        <v>1407</v>
      </c>
      <c r="H155" s="296" t="s">
        <v>4925</v>
      </c>
      <c r="I155" s="824" t="s">
        <v>1407</v>
      </c>
      <c r="J155" s="296" t="s">
        <v>4919</v>
      </c>
      <c r="K155" s="824" t="s">
        <v>1407</v>
      </c>
      <c r="L155" s="296">
        <v>6</v>
      </c>
      <c r="O155" s="380" t="str">
        <f t="shared" si="4"/>
        <v>床面積-1F-用途-6</v>
      </c>
    </row>
    <row r="156" spans="2:15">
      <c r="B156" s="845">
        <f>'2_入力シート【用途面積】'!AK78</f>
        <v>0</v>
      </c>
      <c r="C156" s="845" t="str">
        <f t="shared" si="5"/>
        <v>0</v>
      </c>
      <c r="E156" s="852"/>
      <c r="F156" s="296" t="s">
        <v>4921</v>
      </c>
      <c r="G156" s="824" t="s">
        <v>1407</v>
      </c>
      <c r="H156" s="296" t="s">
        <v>4715</v>
      </c>
      <c r="I156" s="824" t="s">
        <v>1407</v>
      </c>
      <c r="J156" s="296" t="s">
        <v>4919</v>
      </c>
      <c r="K156" s="824" t="s">
        <v>1407</v>
      </c>
      <c r="L156" s="296">
        <v>6</v>
      </c>
      <c r="O156" s="380" t="str">
        <f t="shared" si="4"/>
        <v>床面積-2F-用途-6</v>
      </c>
    </row>
    <row r="157" spans="2:15">
      <c r="B157" s="845">
        <f>'2_入力シート【用途面積】'!AK79</f>
        <v>0</v>
      </c>
      <c r="C157" s="845" t="str">
        <f t="shared" si="5"/>
        <v>0</v>
      </c>
      <c r="E157" s="852"/>
      <c r="F157" s="296" t="s">
        <v>4921</v>
      </c>
      <c r="G157" s="824" t="s">
        <v>1407</v>
      </c>
      <c r="H157" s="296" t="s">
        <v>4738</v>
      </c>
      <c r="I157" s="824" t="s">
        <v>1407</v>
      </c>
      <c r="J157" s="296" t="s">
        <v>4919</v>
      </c>
      <c r="K157" s="824" t="s">
        <v>1407</v>
      </c>
      <c r="L157" s="296">
        <v>6</v>
      </c>
      <c r="O157" s="380" t="str">
        <f t="shared" si="4"/>
        <v>床面積-3F～-用途-6</v>
      </c>
    </row>
    <row r="158" spans="2:15">
      <c r="B158" s="845" t="str">
        <f>'2_入力シート【用途面積】'!AZ77</f>
        <v/>
      </c>
      <c r="C158" s="845" t="str">
        <f t="shared" si="5"/>
        <v/>
      </c>
      <c r="E158" s="852"/>
      <c r="F158" s="296" t="s">
        <v>4921</v>
      </c>
      <c r="G158" s="824" t="s">
        <v>1407</v>
      </c>
      <c r="H158" s="296" t="s">
        <v>4926</v>
      </c>
      <c r="I158" s="824" t="s">
        <v>1407</v>
      </c>
      <c r="J158" s="296" t="s">
        <v>4919</v>
      </c>
      <c r="K158" s="824" t="s">
        <v>1407</v>
      </c>
      <c r="L158" s="296">
        <v>6</v>
      </c>
      <c r="O158" s="380" t="str">
        <f t="shared" si="4"/>
        <v>床面積-存する階-用途-6</v>
      </c>
    </row>
    <row r="159" spans="2:15">
      <c r="B159" s="845">
        <f>'2_入力シート【用途面積】'!AL75</f>
        <v>0</v>
      </c>
      <c r="C159" s="845" t="str">
        <f t="shared" si="5"/>
        <v>0</v>
      </c>
      <c r="E159" s="852"/>
      <c r="F159" s="296" t="s">
        <v>4921</v>
      </c>
      <c r="G159" s="824" t="s">
        <v>1407</v>
      </c>
      <c r="H159" s="296" t="s">
        <v>4923</v>
      </c>
      <c r="I159" s="824" t="s">
        <v>1407</v>
      </c>
      <c r="J159" s="296" t="s">
        <v>4919</v>
      </c>
      <c r="K159" s="824" t="s">
        <v>1407</v>
      </c>
      <c r="L159" s="296">
        <v>7</v>
      </c>
      <c r="O159" s="380" t="str">
        <f t="shared" si="4"/>
        <v>床面積-～B2F-用途-7</v>
      </c>
    </row>
    <row r="160" spans="2:15">
      <c r="B160" s="845">
        <f>'2_入力シート【用途面積】'!AL76</f>
        <v>0</v>
      </c>
      <c r="C160" s="845" t="str">
        <f t="shared" si="5"/>
        <v>0</v>
      </c>
      <c r="E160" s="852"/>
      <c r="F160" s="296" t="s">
        <v>4921</v>
      </c>
      <c r="G160" s="824" t="s">
        <v>1407</v>
      </c>
      <c r="H160" s="296" t="s">
        <v>4924</v>
      </c>
      <c r="I160" s="824" t="s">
        <v>1407</v>
      </c>
      <c r="J160" s="296" t="s">
        <v>4919</v>
      </c>
      <c r="K160" s="824" t="s">
        <v>1407</v>
      </c>
      <c r="L160" s="296">
        <v>7</v>
      </c>
      <c r="O160" s="380" t="str">
        <f t="shared" si="4"/>
        <v>床面積-B1F-用途-7</v>
      </c>
    </row>
    <row r="161" spans="1:15">
      <c r="B161" s="845">
        <f>'2_入力シート【用途面積】'!AL77</f>
        <v>0</v>
      </c>
      <c r="C161" s="845" t="str">
        <f t="shared" si="5"/>
        <v>0</v>
      </c>
      <c r="E161" s="852"/>
      <c r="F161" s="296" t="s">
        <v>4921</v>
      </c>
      <c r="G161" s="824" t="s">
        <v>1407</v>
      </c>
      <c r="H161" s="296" t="s">
        <v>4925</v>
      </c>
      <c r="I161" s="824" t="s">
        <v>1407</v>
      </c>
      <c r="J161" s="296" t="s">
        <v>4919</v>
      </c>
      <c r="K161" s="824" t="s">
        <v>1407</v>
      </c>
      <c r="L161" s="296">
        <v>7</v>
      </c>
      <c r="O161" s="380" t="str">
        <f t="shared" si="4"/>
        <v>床面積-1F-用途-7</v>
      </c>
    </row>
    <row r="162" spans="1:15">
      <c r="B162" s="845">
        <f>'2_入力シート【用途面積】'!AL78</f>
        <v>0</v>
      </c>
      <c r="C162" s="845" t="str">
        <f t="shared" si="5"/>
        <v>0</v>
      </c>
      <c r="E162" s="852"/>
      <c r="F162" s="296" t="s">
        <v>4921</v>
      </c>
      <c r="G162" s="824" t="s">
        <v>1407</v>
      </c>
      <c r="H162" s="296" t="s">
        <v>4715</v>
      </c>
      <c r="I162" s="824" t="s">
        <v>1407</v>
      </c>
      <c r="J162" s="296" t="s">
        <v>4919</v>
      </c>
      <c r="K162" s="824" t="s">
        <v>1407</v>
      </c>
      <c r="L162" s="296">
        <v>7</v>
      </c>
      <c r="O162" s="380" t="str">
        <f t="shared" si="4"/>
        <v>床面積-2F-用途-7</v>
      </c>
    </row>
    <row r="163" spans="1:15">
      <c r="B163" s="845">
        <f>'2_入力シート【用途面積】'!AL79</f>
        <v>0</v>
      </c>
      <c r="C163" s="845" t="str">
        <f t="shared" si="5"/>
        <v>0</v>
      </c>
      <c r="E163" s="852"/>
      <c r="F163" s="296" t="s">
        <v>4921</v>
      </c>
      <c r="G163" s="824" t="s">
        <v>1407</v>
      </c>
      <c r="H163" s="296" t="s">
        <v>4738</v>
      </c>
      <c r="I163" s="824" t="s">
        <v>1407</v>
      </c>
      <c r="J163" s="296" t="s">
        <v>4919</v>
      </c>
      <c r="K163" s="824" t="s">
        <v>1407</v>
      </c>
      <c r="L163" s="296">
        <v>7</v>
      </c>
      <c r="O163" s="380" t="str">
        <f t="shared" si="4"/>
        <v>床面積-3F～-用途-7</v>
      </c>
    </row>
    <row r="164" spans="1:15">
      <c r="B164" s="845" t="str">
        <f>'2_入力シート【用途面積】'!BA77</f>
        <v/>
      </c>
      <c r="C164" s="845" t="str">
        <f t="shared" si="5"/>
        <v/>
      </c>
      <c r="E164" s="852"/>
      <c r="F164" s="296" t="s">
        <v>4921</v>
      </c>
      <c r="G164" s="824" t="s">
        <v>1407</v>
      </c>
      <c r="H164" s="296" t="s">
        <v>4926</v>
      </c>
      <c r="I164" s="824" t="s">
        <v>1407</v>
      </c>
      <c r="J164" s="296" t="s">
        <v>4919</v>
      </c>
      <c r="K164" s="824" t="s">
        <v>1407</v>
      </c>
      <c r="L164" s="296">
        <v>7</v>
      </c>
      <c r="O164" s="380" t="str">
        <f t="shared" si="4"/>
        <v>床面積-存する階-用途-7</v>
      </c>
    </row>
    <row r="165" spans="1:15">
      <c r="A165" s="107"/>
      <c r="B165" s="853">
        <f>'1_入力シート【基本情報】'!$AB$223</f>
        <v>0</v>
      </c>
      <c r="C165" s="853" t="str">
        <f t="shared" si="5"/>
        <v>0</v>
      </c>
      <c r="E165" s="851">
        <v>15</v>
      </c>
      <c r="F165" s="842" t="s">
        <v>1933</v>
      </c>
      <c r="G165" s="824" t="s">
        <v>1407</v>
      </c>
      <c r="H165" s="842" t="s">
        <v>739</v>
      </c>
      <c r="I165" s="826" t="s">
        <v>1407</v>
      </c>
      <c r="J165" s="827" t="s">
        <v>720</v>
      </c>
      <c r="K165" s="826"/>
      <c r="L165" s="842"/>
      <c r="O165" s="380" t="str">
        <f t="shared" si="4"/>
        <v>15石綿を添加した建築材料の調査状況-該当建築材料-有無</v>
      </c>
    </row>
    <row r="166" spans="1:15">
      <c r="A166" s="107"/>
      <c r="B166" s="853">
        <f>'1_入力シート【基本情報】'!$AB$224</f>
        <v>0</v>
      </c>
      <c r="C166" s="853" t="str">
        <f t="shared" si="5"/>
        <v>0</v>
      </c>
      <c r="E166" s="851">
        <v>15</v>
      </c>
      <c r="F166" s="842" t="s">
        <v>1933</v>
      </c>
      <c r="G166" s="824" t="s">
        <v>1407</v>
      </c>
      <c r="H166" s="842" t="s">
        <v>739</v>
      </c>
      <c r="I166" s="826" t="s">
        <v>1407</v>
      </c>
      <c r="J166" s="827" t="s">
        <v>298</v>
      </c>
      <c r="K166" s="826"/>
      <c r="L166" s="842"/>
      <c r="O166" s="380" t="str">
        <f t="shared" si="4"/>
        <v>15石綿を添加した建築材料の調査状況-該当建築材料-該当する室</v>
      </c>
    </row>
    <row r="167" spans="1:15">
      <c r="A167" s="107"/>
      <c r="B167" s="853">
        <f>'1_入力シート【基本情報】'!$AB$225</f>
        <v>0</v>
      </c>
      <c r="C167" s="853" t="str">
        <f t="shared" si="5"/>
        <v>0</v>
      </c>
      <c r="E167" s="851">
        <v>15</v>
      </c>
      <c r="F167" s="842" t="s">
        <v>1933</v>
      </c>
      <c r="G167" s="824" t="s">
        <v>1407</v>
      </c>
      <c r="H167" s="842" t="s">
        <v>741</v>
      </c>
      <c r="I167" s="826" t="s">
        <v>1407</v>
      </c>
      <c r="J167" s="827" t="s">
        <v>720</v>
      </c>
      <c r="K167" s="826"/>
      <c r="L167" s="842"/>
      <c r="O167" s="380" t="str">
        <f t="shared" si="4"/>
        <v>15石綿を添加した建築材料の調査状況-措置予定-有無</v>
      </c>
    </row>
    <row r="168" spans="1:15">
      <c r="A168" s="862" t="str">
        <f>IF('1_入力シート【基本情報】'!$AE$226="","",ASC('1_入力シート【基本情報】'!$AB$226&amp;'1_入力シート【基本情報】'!$AE$226&amp;"年"&amp;'1_入力シート【基本情報】'!$AJ$226&amp;"月"))</f>
        <v/>
      </c>
      <c r="B168" s="853" t="str">
        <f>A168</f>
        <v/>
      </c>
      <c r="C168" s="853" t="str">
        <f t="shared" si="5"/>
        <v/>
      </c>
      <c r="E168" s="851">
        <v>15</v>
      </c>
      <c r="F168" s="842" t="s">
        <v>1933</v>
      </c>
      <c r="G168" s="824" t="s">
        <v>1407</v>
      </c>
      <c r="H168" s="842" t="s">
        <v>741</v>
      </c>
      <c r="I168" s="826" t="s">
        <v>1407</v>
      </c>
      <c r="J168" s="827" t="s">
        <v>1937</v>
      </c>
      <c r="K168" s="826" t="s">
        <v>1407</v>
      </c>
      <c r="L168" s="842" t="s">
        <v>4639</v>
      </c>
      <c r="O168" s="380" t="str">
        <f t="shared" si="4"/>
        <v>15石綿を添加した建築材料の調査状況-措置予定-改善予定年月-実施年月</v>
      </c>
    </row>
    <row r="169" spans="1:15">
      <c r="A169" s="107"/>
      <c r="B169" s="853">
        <f>'1_入力シート【基本情報】'!$AB$232</f>
        <v>0</v>
      </c>
      <c r="C169" s="853" t="str">
        <f t="shared" si="5"/>
        <v>0</v>
      </c>
      <c r="E169" s="851">
        <v>16</v>
      </c>
      <c r="F169" s="842" t="s">
        <v>1943</v>
      </c>
      <c r="G169" s="824" t="s">
        <v>1407</v>
      </c>
      <c r="H169" s="842" t="s">
        <v>299</v>
      </c>
      <c r="I169" s="826" t="s">
        <v>1407</v>
      </c>
      <c r="J169" s="827" t="s">
        <v>720</v>
      </c>
      <c r="K169" s="826"/>
      <c r="L169" s="842"/>
      <c r="O169" s="380" t="str">
        <f t="shared" si="4"/>
        <v>16耐震診断及び耐震改修の調査状況-耐震診断-有無</v>
      </c>
    </row>
    <row r="170" spans="1:15">
      <c r="A170" s="862" t="str">
        <f>IF('1_入力シート【基本情報】'!$AE$233="","",ASC('1_入力シート【基本情報】'!$AB$233&amp;'1_入力シート【基本情報】'!$AE$233&amp;"年"&amp;'1_入力シート【基本情報】'!$AJ$233&amp;"月"))</f>
        <v/>
      </c>
      <c r="B170" s="853" t="str">
        <f>A170</f>
        <v/>
      </c>
      <c r="C170" s="853" t="str">
        <f t="shared" si="5"/>
        <v/>
      </c>
      <c r="E170" s="851">
        <v>16</v>
      </c>
      <c r="F170" s="842" t="s">
        <v>1943</v>
      </c>
      <c r="G170" s="824" t="s">
        <v>1407</v>
      </c>
      <c r="H170" s="842" t="s">
        <v>299</v>
      </c>
      <c r="I170" s="826" t="s">
        <v>1407</v>
      </c>
      <c r="J170" s="827" t="s">
        <v>1945</v>
      </c>
      <c r="K170" s="597" t="s">
        <v>1407</v>
      </c>
      <c r="L170" s="842" t="s">
        <v>4639</v>
      </c>
      <c r="O170" s="380" t="str">
        <f t="shared" si="4"/>
        <v>16耐震診断及び耐震改修の調査状況-耐震診断-実施予定年月-実施年月</v>
      </c>
    </row>
    <row r="171" spans="1:15">
      <c r="A171" s="107"/>
      <c r="B171" s="853">
        <f>'1_入力シート【基本情報】'!$AB$234</f>
        <v>0</v>
      </c>
      <c r="C171" s="853" t="str">
        <f t="shared" si="5"/>
        <v>0</v>
      </c>
      <c r="E171" s="851">
        <v>16</v>
      </c>
      <c r="F171" s="842" t="s">
        <v>1943</v>
      </c>
      <c r="G171" s="824" t="s">
        <v>1407</v>
      </c>
      <c r="H171" s="842" t="s">
        <v>300</v>
      </c>
      <c r="I171" s="826" t="s">
        <v>1407</v>
      </c>
      <c r="J171" s="827" t="s">
        <v>720</v>
      </c>
      <c r="K171" s="826"/>
      <c r="L171" s="842"/>
      <c r="O171" s="380" t="str">
        <f t="shared" si="4"/>
        <v>16耐震診断及び耐震改修の調査状況-耐震改修-有無</v>
      </c>
    </row>
    <row r="172" spans="1:15">
      <c r="A172" s="862" t="str">
        <f>IF('1_入力シート【基本情報】'!$AE$235="","",ASC('1_入力シート【基本情報】'!$AB$235&amp;'1_入力シート【基本情報】'!$AE$235&amp;"年"&amp;'1_入力シート【基本情報】'!$AJ$235&amp;"月"))</f>
        <v/>
      </c>
      <c r="B172" s="853" t="str">
        <f>A172</f>
        <v/>
      </c>
      <c r="C172" s="853" t="str">
        <f t="shared" si="5"/>
        <v/>
      </c>
      <c r="E172" s="851">
        <v>16</v>
      </c>
      <c r="F172" s="842" t="s">
        <v>1943</v>
      </c>
      <c r="G172" s="824" t="s">
        <v>1407</v>
      </c>
      <c r="H172" s="842" t="s">
        <v>300</v>
      </c>
      <c r="I172" s="826" t="s">
        <v>1407</v>
      </c>
      <c r="J172" s="827" t="s">
        <v>1945</v>
      </c>
      <c r="K172" s="597" t="s">
        <v>1407</v>
      </c>
      <c r="L172" s="842" t="s">
        <v>4639</v>
      </c>
      <c r="O172" s="380" t="str">
        <f t="shared" si="4"/>
        <v>16耐震診断及び耐震改修の調査状況-耐震改修-実施予定年月-実施年月</v>
      </c>
    </row>
    <row r="173" spans="1:15">
      <c r="A173" s="862"/>
      <c r="B173" s="853">
        <f>'1_入力シート【基本情報】'!$AB$261</f>
        <v>0</v>
      </c>
      <c r="C173" s="853" t="str">
        <f t="shared" si="5"/>
        <v>0</v>
      </c>
      <c r="E173" s="851">
        <v>19</v>
      </c>
      <c r="F173" s="847" t="s">
        <v>2011</v>
      </c>
      <c r="G173" s="824" t="s">
        <v>1407</v>
      </c>
      <c r="H173" s="825" t="s">
        <v>4636</v>
      </c>
      <c r="I173" s="826"/>
      <c r="J173" s="827"/>
      <c r="K173" s="597"/>
      <c r="L173" s="842"/>
      <c r="O173" s="380" t="str">
        <f t="shared" si="4"/>
        <v>19外装仕上げ材等について-外装仕上材のタイル・石貼り等、モルタル塗り等の使用</v>
      </c>
    </row>
    <row r="174" spans="1:15">
      <c r="B174" s="853">
        <f>'1_入力シート【基本情報】'!$AB$262</f>
        <v>0</v>
      </c>
      <c r="C174" s="853" t="str">
        <f t="shared" si="5"/>
        <v>0</v>
      </c>
      <c r="E174" s="851">
        <v>19</v>
      </c>
      <c r="F174" s="847" t="s">
        <v>2011</v>
      </c>
      <c r="G174" s="824"/>
      <c r="H174" s="825" t="s">
        <v>2012</v>
      </c>
      <c r="I174" s="826"/>
      <c r="J174" s="827"/>
      <c r="K174" s="826"/>
      <c r="L174" s="842"/>
      <c r="O174" s="380" t="str">
        <f t="shared" si="4"/>
        <v>19外装仕上げ材等について前面打診等の実施状況</v>
      </c>
    </row>
    <row r="175" spans="1:15">
      <c r="A175" s="862" t="str">
        <f>IF('1_入力シート【基本情報】'!$AK$263="","",ASC('1_入力シート【基本情報】'!$AH$263&amp;'1_入力シート【基本情報】'!$AK$263&amp;"年"&amp;'1_入力シート【基本情報】'!$AP$263&amp;"月"))</f>
        <v/>
      </c>
      <c r="B175" s="853" t="str">
        <f>A175</f>
        <v/>
      </c>
      <c r="C175" s="853" t="str">
        <f t="shared" si="5"/>
        <v/>
      </c>
      <c r="E175" s="851">
        <v>19</v>
      </c>
      <c r="F175" s="847" t="s">
        <v>2011</v>
      </c>
      <c r="G175" s="824" t="s">
        <v>1407</v>
      </c>
      <c r="H175" s="825" t="s">
        <v>2012</v>
      </c>
      <c r="I175" s="826" t="s">
        <v>1407</v>
      </c>
      <c r="J175" s="827" t="s">
        <v>2013</v>
      </c>
      <c r="K175" s="826" t="s">
        <v>1407</v>
      </c>
      <c r="L175" s="842" t="s">
        <v>4639</v>
      </c>
      <c r="O175" s="380" t="str">
        <f t="shared" si="4"/>
        <v>19外装仕上げ材等について-前面打診等の実施状況-時期：-実施年月</v>
      </c>
    </row>
    <row r="176" spans="1:15">
      <c r="B176" s="853">
        <f>'1_入力シート【基本情報】'!$AH$264</f>
        <v>0</v>
      </c>
      <c r="C176" s="853" t="str">
        <f t="shared" si="5"/>
        <v>0</v>
      </c>
      <c r="E176" s="851">
        <v>19</v>
      </c>
      <c r="F176" s="847" t="s">
        <v>2011</v>
      </c>
      <c r="G176" s="824" t="s">
        <v>1407</v>
      </c>
      <c r="H176" s="825" t="s">
        <v>1403</v>
      </c>
      <c r="I176" s="826" t="s">
        <v>1407</v>
      </c>
      <c r="J176" s="827" t="s">
        <v>2015</v>
      </c>
      <c r="K176" s="597"/>
      <c r="L176" s="842"/>
      <c r="O176" s="380" t="str">
        <f t="shared" si="4"/>
        <v>19外装仕上げ材等について-防火設備の検査-理由：</v>
      </c>
    </row>
    <row r="177" spans="2:15">
      <c r="B177" s="853">
        <f>'1_入力シート【基本情報】'!$AB$267</f>
        <v>0</v>
      </c>
      <c r="C177" s="853" t="str">
        <f t="shared" si="5"/>
        <v>0</v>
      </c>
      <c r="E177" s="851">
        <v>20</v>
      </c>
      <c r="F177" s="847" t="s">
        <v>3367</v>
      </c>
      <c r="G177" s="824" t="s">
        <v>1879</v>
      </c>
      <c r="H177" s="825" t="s">
        <v>3368</v>
      </c>
      <c r="I177" s="826"/>
      <c r="J177" s="827"/>
      <c r="K177" s="597"/>
      <c r="L177" s="842"/>
      <c r="O177" s="380" t="str">
        <f t="shared" si="4"/>
        <v>20直通階段の数について-直通階段の数</v>
      </c>
    </row>
    <row r="178" spans="2:15">
      <c r="B178" s="853">
        <f>'1_入力シート【基本情報】'!$AB$274</f>
        <v>0</v>
      </c>
      <c r="C178" s="853" t="str">
        <f t="shared" si="5"/>
        <v>0</v>
      </c>
      <c r="E178" s="851">
        <v>21</v>
      </c>
      <c r="F178" s="847" t="s">
        <v>2016</v>
      </c>
      <c r="G178" s="824" t="s">
        <v>1407</v>
      </c>
      <c r="H178" s="825" t="s">
        <v>2017</v>
      </c>
      <c r="I178" s="826" t="s">
        <v>1407</v>
      </c>
      <c r="J178" s="827" t="s">
        <v>735</v>
      </c>
      <c r="K178" s="826"/>
      <c r="L178" s="842"/>
      <c r="O178" s="380" t="str">
        <f t="shared" si="4"/>
        <v>21設備（法第12条第三項関係など）-建築設備-定期報告対象</v>
      </c>
    </row>
    <row r="179" spans="2:15">
      <c r="B179" s="853">
        <f>'1_入力シート【基本情報】'!$AB$275</f>
        <v>0</v>
      </c>
      <c r="C179" s="853" t="str">
        <f t="shared" si="5"/>
        <v>0</v>
      </c>
      <c r="E179" s="851">
        <v>21</v>
      </c>
      <c r="F179" s="847" t="s">
        <v>2016</v>
      </c>
      <c r="G179" s="824" t="s">
        <v>1407</v>
      </c>
      <c r="H179" s="842" t="s">
        <v>732</v>
      </c>
      <c r="I179" s="826" t="s">
        <v>1407</v>
      </c>
      <c r="J179" s="827" t="s">
        <v>720</v>
      </c>
      <c r="K179" s="826"/>
      <c r="L179" s="842"/>
      <c r="O179" s="380" t="str">
        <f t="shared" si="4"/>
        <v>21設備（法第12条第三項関係など）-防火設備-有無</v>
      </c>
    </row>
    <row r="180" spans="2:15">
      <c r="B180" s="853">
        <f>'1_入力シート【基本情報】'!$AB$277</f>
        <v>0</v>
      </c>
      <c r="C180" s="853" t="str">
        <f t="shared" si="5"/>
        <v>0</v>
      </c>
      <c r="E180" s="851">
        <v>21</v>
      </c>
      <c r="F180" s="847" t="s">
        <v>2016</v>
      </c>
      <c r="G180" s="824" t="s">
        <v>1407</v>
      </c>
      <c r="H180" s="842" t="s">
        <v>732</v>
      </c>
      <c r="I180" s="826" t="s">
        <v>1407</v>
      </c>
      <c r="J180" s="827" t="s">
        <v>735</v>
      </c>
      <c r="K180" s="597"/>
      <c r="L180" s="842"/>
      <c r="O180" s="380" t="str">
        <f t="shared" si="4"/>
        <v>21設備（法第12条第三項関係など）-防火設備-定期報告対象</v>
      </c>
    </row>
    <row r="181" spans="2:15">
      <c r="B181" s="853">
        <f>'1_入力シート【基本情報】'!$AB$278</f>
        <v>0</v>
      </c>
      <c r="C181" s="853" t="str">
        <f t="shared" si="5"/>
        <v>0</v>
      </c>
      <c r="E181" s="851">
        <v>21</v>
      </c>
      <c r="F181" s="847" t="s">
        <v>2016</v>
      </c>
      <c r="G181" s="824" t="s">
        <v>1407</v>
      </c>
      <c r="H181" s="842" t="s">
        <v>2023</v>
      </c>
      <c r="I181" s="826" t="s">
        <v>1407</v>
      </c>
      <c r="J181" s="827" t="s">
        <v>720</v>
      </c>
      <c r="K181" s="597"/>
      <c r="L181" s="842"/>
      <c r="O181" s="380" t="str">
        <f t="shared" si="4"/>
        <v>21設備（法第12条第三項関係など）-小荷物専用昇降機の有無-有無</v>
      </c>
    </row>
    <row r="182" spans="2:15">
      <c r="B182" s="853">
        <f>'1_入力シート【基本情報】'!$AB$279</f>
        <v>0</v>
      </c>
      <c r="C182" s="853" t="str">
        <f t="shared" si="5"/>
        <v>0</v>
      </c>
      <c r="E182" s="851">
        <v>21</v>
      </c>
      <c r="F182" s="847" t="s">
        <v>2016</v>
      </c>
      <c r="G182" s="824" t="s">
        <v>1407</v>
      </c>
      <c r="H182" s="842" t="s">
        <v>2023</v>
      </c>
      <c r="I182" s="826" t="s">
        <v>1407</v>
      </c>
      <c r="J182" s="827" t="s">
        <v>735</v>
      </c>
      <c r="K182" s="826"/>
      <c r="L182" s="842"/>
      <c r="O182" s="380" t="str">
        <f t="shared" si="4"/>
        <v>21設備（法第12条第三項関係など）-小荷物専用昇降機の有無-定期報告対象</v>
      </c>
    </row>
    <row r="183" spans="2:15">
      <c r="B183" s="853" t="str">
        <f>'＜入力不要＞報告書'!$J$135</f>
        <v/>
      </c>
      <c r="C183" s="853" t="str">
        <f t="shared" si="5"/>
        <v/>
      </c>
      <c r="E183" s="851">
        <v>23</v>
      </c>
      <c r="F183" s="847" t="s">
        <v>33</v>
      </c>
      <c r="G183" s="824" t="s">
        <v>1407</v>
      </c>
      <c r="H183" s="842" t="s">
        <v>4929</v>
      </c>
      <c r="I183" s="826"/>
      <c r="J183" s="827"/>
      <c r="K183" s="826"/>
      <c r="L183" s="842"/>
      <c r="O183" s="380" t="str">
        <f t="shared" si="4"/>
        <v>23調査結果-調査による指摘の概要</v>
      </c>
    </row>
    <row r="184" spans="2:15">
      <c r="B184" s="860" t="str">
        <f>IF('1_入力シート【基本情報】'!DP304="レ","△",IF('1_入力シート【基本情報】'!DO304="レ","×",IF('1_入力シート【基本情報】'!DN304="レ","○",IF('1_入力シート【基本情報】'!DM304="レ","―",""))))</f>
        <v/>
      </c>
      <c r="C184" s="860" t="str">
        <f t="shared" si="5"/>
        <v/>
      </c>
      <c r="E184" s="851">
        <v>23</v>
      </c>
      <c r="F184" s="847" t="s">
        <v>33</v>
      </c>
      <c r="G184" s="824" t="s">
        <v>1407</v>
      </c>
      <c r="H184" s="842" t="s">
        <v>33</v>
      </c>
      <c r="I184" s="826" t="s">
        <v>1407</v>
      </c>
      <c r="J184" s="296">
        <v>1</v>
      </c>
      <c r="K184" s="296"/>
      <c r="L184" s="296"/>
      <c r="O184" s="380" t="str">
        <f t="shared" si="4"/>
        <v>23調査結果-調査結果-1</v>
      </c>
    </row>
    <row r="185" spans="2:15">
      <c r="B185" s="861" t="str">
        <f>IF('1_入力シート【基本情報】'!DP322="レ","△",IF('1_入力シート【基本情報】'!DO322="レ","×",IF('1_入力シート【基本情報】'!DN322="レ","○",IF('1_入力シート【基本情報】'!DM322="レ","―",""))))</f>
        <v/>
      </c>
      <c r="C185" s="861" t="str">
        <f t="shared" si="5"/>
        <v/>
      </c>
      <c r="E185" s="851">
        <v>23</v>
      </c>
      <c r="F185" s="847" t="s">
        <v>33</v>
      </c>
      <c r="G185" s="824" t="s">
        <v>1407</v>
      </c>
      <c r="H185" s="842" t="s">
        <v>33</v>
      </c>
      <c r="I185" s="826" t="s">
        <v>1407</v>
      </c>
      <c r="J185" s="296">
        <v>2</v>
      </c>
      <c r="K185" s="296"/>
      <c r="L185" s="296"/>
      <c r="O185" s="380" t="str">
        <f t="shared" si="4"/>
        <v>23調査結果-調査結果-2</v>
      </c>
    </row>
    <row r="186" spans="2:15">
      <c r="B186" s="861" t="str">
        <f>IF('1_入力シート【基本情報】'!DP349="レ","△",IF('1_入力シート【基本情報】'!DO349="レ","×",IF('1_入力シート【基本情報】'!DN349="レ","○",IF('1_入力シート【基本情報】'!DM349="レ","―",""))))</f>
        <v/>
      </c>
      <c r="C186" s="861" t="str">
        <f t="shared" si="5"/>
        <v/>
      </c>
      <c r="E186" s="851">
        <v>23</v>
      </c>
      <c r="F186" s="847" t="s">
        <v>33</v>
      </c>
      <c r="G186" s="824" t="s">
        <v>1407</v>
      </c>
      <c r="H186" s="842" t="s">
        <v>33</v>
      </c>
      <c r="I186" s="826" t="s">
        <v>1407</v>
      </c>
      <c r="J186" s="296">
        <v>3</v>
      </c>
      <c r="K186" s="296"/>
      <c r="L186" s="296"/>
      <c r="O186" s="380" t="str">
        <f t="shared" si="4"/>
        <v>23調査結果-調査結果-3</v>
      </c>
    </row>
    <row r="187" spans="2:15">
      <c r="B187" s="861" t="str">
        <f>IF('1_入力シート【基本情報】'!DP367="レ","△",IF('1_入力シート【基本情報】'!DO367="レ","×",IF('1_入力シート【基本情報】'!DN367="レ","○",IF('1_入力シート【基本情報】'!DM367="レ","―",""))))</f>
        <v/>
      </c>
      <c r="C187" s="861" t="str">
        <f t="shared" si="5"/>
        <v/>
      </c>
      <c r="E187" s="851">
        <v>23</v>
      </c>
      <c r="F187" s="847" t="s">
        <v>33</v>
      </c>
      <c r="G187" s="824" t="s">
        <v>1407</v>
      </c>
      <c r="H187" s="842" t="s">
        <v>33</v>
      </c>
      <c r="I187" s="826" t="s">
        <v>1407</v>
      </c>
      <c r="J187" s="296">
        <v>4</v>
      </c>
      <c r="K187" s="296"/>
      <c r="L187" s="296"/>
      <c r="O187" s="380" t="str">
        <f t="shared" si="4"/>
        <v>23調査結果-調査結果-4</v>
      </c>
    </row>
    <row r="188" spans="2:15">
      <c r="B188" s="861" t="str">
        <f>IF('1_入力シート【基本情報】'!DP423="レ","△",IF('1_入力シート【基本情報】'!DO423="レ","×",IF('1_入力シート【基本情報】'!DN423="レ","○",IF('1_入力シート【基本情報】'!DM423="レ","―",""))))</f>
        <v/>
      </c>
      <c r="C188" s="861" t="str">
        <f t="shared" si="5"/>
        <v/>
      </c>
      <c r="E188" s="851">
        <v>23</v>
      </c>
      <c r="F188" s="847" t="s">
        <v>33</v>
      </c>
      <c r="G188" s="824" t="s">
        <v>1407</v>
      </c>
      <c r="H188" s="842" t="s">
        <v>33</v>
      </c>
      <c r="I188" s="826" t="s">
        <v>1407</v>
      </c>
      <c r="J188" s="296">
        <v>5</v>
      </c>
      <c r="K188" s="296"/>
      <c r="L188" s="296"/>
      <c r="O188" s="380" t="str">
        <f t="shared" si="4"/>
        <v>23調査結果-調査結果-5</v>
      </c>
    </row>
    <row r="189" spans="2:15">
      <c r="B189" s="861" t="str">
        <f>IF('1_入力シート【基本情報】'!DP472="レ","△",IF('1_入力シート【基本情報】'!DO472="レ","×",IF('1_入力シート【基本情報】'!DN472="レ","○",IF('1_入力シート【基本情報】'!DM472="レ","―",""))))</f>
        <v/>
      </c>
      <c r="C189" s="861" t="str">
        <f t="shared" si="5"/>
        <v/>
      </c>
      <c r="E189" s="851">
        <v>23</v>
      </c>
      <c r="F189" s="847" t="s">
        <v>33</v>
      </c>
      <c r="G189" s="824" t="s">
        <v>1407</v>
      </c>
      <c r="H189" s="842" t="s">
        <v>33</v>
      </c>
      <c r="I189" s="826" t="s">
        <v>1407</v>
      </c>
      <c r="J189" s="296">
        <v>6</v>
      </c>
      <c r="K189" s="296"/>
      <c r="L189" s="296"/>
      <c r="O189" s="380" t="str">
        <f t="shared" si="4"/>
        <v>23調査結果-調査結果-6</v>
      </c>
    </row>
    <row r="190" spans="2:15">
      <c r="B190" s="861" t="str">
        <f>IF('1_入力シート【基本情報】'!DP490="レ","△",IF('1_入力シート【基本情報】'!DO490="レ","×",IF('1_入力シート【基本情報】'!DN490="レ","○",IF('1_入力シート【基本情報】'!DM490="レ","―",""))))</f>
        <v/>
      </c>
      <c r="C190" s="861" t="str">
        <f t="shared" si="5"/>
        <v/>
      </c>
      <c r="E190" s="851">
        <v>23</v>
      </c>
      <c r="F190" s="847" t="s">
        <v>33</v>
      </c>
      <c r="G190" s="824" t="s">
        <v>1407</v>
      </c>
      <c r="H190" s="842" t="s">
        <v>33</v>
      </c>
      <c r="I190" s="826" t="s">
        <v>1407</v>
      </c>
      <c r="J190" s="296">
        <v>7</v>
      </c>
      <c r="K190" s="296"/>
      <c r="L190" s="296"/>
      <c r="O190" s="380" t="str">
        <f t="shared" si="4"/>
        <v>23調査結果-調査結果-7</v>
      </c>
    </row>
    <row r="191" spans="2:15">
      <c r="B191" s="1670" t="str">
        <f>'1_入力シート【基本情報】'!$DY$304</f>
        <v/>
      </c>
      <c r="C191" s="1670" t="str">
        <f t="shared" si="5"/>
        <v/>
      </c>
      <c r="E191" s="851">
        <v>23</v>
      </c>
      <c r="F191" s="847" t="s">
        <v>33</v>
      </c>
      <c r="G191" s="824" t="s">
        <v>1407</v>
      </c>
      <c r="H191" s="842" t="s">
        <v>5422</v>
      </c>
      <c r="I191" s="826" t="s">
        <v>1407</v>
      </c>
      <c r="J191" s="296">
        <v>1</v>
      </c>
      <c r="K191" s="296"/>
      <c r="L191" s="296"/>
      <c r="O191" s="380" t="str">
        <f t="shared" si="4"/>
        <v>23調査結果-指摘内容-1</v>
      </c>
    </row>
    <row r="192" spans="2:15">
      <c r="B192" s="1670" t="str">
        <f>'1_入力シート【基本情報】'!$DY$322</f>
        <v/>
      </c>
      <c r="C192" s="1670" t="str">
        <f t="shared" si="5"/>
        <v/>
      </c>
      <c r="E192" s="851">
        <v>23</v>
      </c>
      <c r="F192" s="847" t="s">
        <v>33</v>
      </c>
      <c r="G192" s="824" t="s">
        <v>1407</v>
      </c>
      <c r="H192" s="842" t="s">
        <v>5422</v>
      </c>
      <c r="I192" s="826" t="s">
        <v>1407</v>
      </c>
      <c r="J192" s="296">
        <v>2</v>
      </c>
      <c r="K192" s="296"/>
      <c r="L192" s="296"/>
      <c r="O192" s="380" t="str">
        <f t="shared" si="4"/>
        <v>23調査結果-指摘内容-2</v>
      </c>
    </row>
    <row r="193" spans="2:15">
      <c r="B193" s="1670" t="str">
        <f>'1_入力シート【基本情報】'!$DY$349</f>
        <v/>
      </c>
      <c r="C193" s="1670" t="str">
        <f t="shared" si="5"/>
        <v/>
      </c>
      <c r="E193" s="851">
        <v>23</v>
      </c>
      <c r="F193" s="847" t="s">
        <v>33</v>
      </c>
      <c r="G193" s="824" t="s">
        <v>1407</v>
      </c>
      <c r="H193" s="842" t="s">
        <v>5422</v>
      </c>
      <c r="I193" s="826" t="s">
        <v>1407</v>
      </c>
      <c r="J193" s="296">
        <v>3</v>
      </c>
      <c r="K193" s="296"/>
      <c r="L193" s="296"/>
      <c r="O193" s="380" t="str">
        <f t="shared" si="4"/>
        <v>23調査結果-指摘内容-3</v>
      </c>
    </row>
    <row r="194" spans="2:15">
      <c r="B194" s="1670" t="str">
        <f>'1_入力シート【基本情報】'!$DY$367</f>
        <v/>
      </c>
      <c r="C194" s="1670" t="str">
        <f t="shared" si="5"/>
        <v/>
      </c>
      <c r="E194" s="851">
        <v>23</v>
      </c>
      <c r="F194" s="847" t="s">
        <v>33</v>
      </c>
      <c r="G194" s="824" t="s">
        <v>1407</v>
      </c>
      <c r="H194" s="842" t="s">
        <v>5422</v>
      </c>
      <c r="I194" s="826" t="s">
        <v>1407</v>
      </c>
      <c r="J194" s="296">
        <v>4</v>
      </c>
      <c r="K194" s="296"/>
      <c r="L194" s="296"/>
      <c r="O194" s="380" t="str">
        <f t="shared" si="4"/>
        <v>23調査結果-指摘内容-4</v>
      </c>
    </row>
    <row r="195" spans="2:15">
      <c r="B195" s="1670" t="str">
        <f>'1_入力シート【基本情報】'!$DY$423</f>
        <v/>
      </c>
      <c r="C195" s="1670" t="str">
        <f t="shared" si="5"/>
        <v/>
      </c>
      <c r="E195" s="851">
        <v>23</v>
      </c>
      <c r="F195" s="847" t="s">
        <v>33</v>
      </c>
      <c r="G195" s="824" t="s">
        <v>1407</v>
      </c>
      <c r="H195" s="842" t="s">
        <v>5422</v>
      </c>
      <c r="I195" s="826" t="s">
        <v>1407</v>
      </c>
      <c r="J195" s="296">
        <v>5</v>
      </c>
      <c r="K195" s="296"/>
      <c r="L195" s="296"/>
      <c r="O195" s="380" t="str">
        <f t="shared" si="4"/>
        <v>23調査結果-指摘内容-5</v>
      </c>
    </row>
    <row r="196" spans="2:15">
      <c r="B196" s="1670" t="str">
        <f>'1_入力シート【基本情報】'!$DY$472</f>
        <v/>
      </c>
      <c r="C196" s="1670" t="str">
        <f t="shared" si="5"/>
        <v/>
      </c>
      <c r="E196" s="851">
        <v>23</v>
      </c>
      <c r="F196" s="847" t="s">
        <v>33</v>
      </c>
      <c r="G196" s="824" t="s">
        <v>1407</v>
      </c>
      <c r="H196" s="842" t="s">
        <v>5422</v>
      </c>
      <c r="I196" s="826" t="s">
        <v>1407</v>
      </c>
      <c r="J196" s="296">
        <v>6</v>
      </c>
      <c r="K196" s="296"/>
      <c r="L196" s="296"/>
      <c r="O196" s="380" t="str">
        <f t="shared" si="4"/>
        <v>23調査結果-指摘内容-6</v>
      </c>
    </row>
    <row r="197" spans="2:15">
      <c r="B197" s="1670" t="str">
        <f>'1_入力シート【基本情報】'!$DY$490</f>
        <v/>
      </c>
      <c r="C197" s="1670" t="str">
        <f t="shared" ref="C197:C260" si="6">SUBSTITUTE(B197,CHAR(10),"")</f>
        <v/>
      </c>
      <c r="E197" s="851">
        <v>23</v>
      </c>
      <c r="F197" s="847" t="s">
        <v>33</v>
      </c>
      <c r="G197" s="824" t="s">
        <v>1407</v>
      </c>
      <c r="H197" s="842" t="s">
        <v>5422</v>
      </c>
      <c r="I197" s="826" t="s">
        <v>1407</v>
      </c>
      <c r="J197" s="296">
        <v>7</v>
      </c>
      <c r="K197" s="296"/>
      <c r="L197" s="296"/>
      <c r="O197" s="380" t="str">
        <f t="shared" si="4"/>
        <v>23調査結果-指摘内容-7</v>
      </c>
    </row>
    <row r="198" spans="2:15">
      <c r="B198" s="1670" t="str">
        <f>'1_入力シート【基本情報】'!$GZ$321</f>
        <v/>
      </c>
      <c r="C198" s="1670" t="str">
        <f t="shared" si="6"/>
        <v/>
      </c>
      <c r="E198" s="851">
        <v>23</v>
      </c>
      <c r="F198" s="847" t="s">
        <v>33</v>
      </c>
      <c r="G198" s="824" t="s">
        <v>1407</v>
      </c>
      <c r="H198" s="296" t="s">
        <v>536</v>
      </c>
      <c r="I198" s="826" t="s">
        <v>1407</v>
      </c>
      <c r="J198" s="296">
        <v>1</v>
      </c>
      <c r="K198" s="296"/>
      <c r="L198" s="296"/>
      <c r="O198" s="380" t="str">
        <f t="shared" si="4"/>
        <v>23調査結果-改善予定-1</v>
      </c>
    </row>
    <row r="199" spans="2:15">
      <c r="B199" s="1670" t="str">
        <f>'1_入力シート【基本情報】'!$GZ$348</f>
        <v/>
      </c>
      <c r="C199" s="1670" t="str">
        <f t="shared" si="6"/>
        <v/>
      </c>
      <c r="E199" s="851">
        <v>23</v>
      </c>
      <c r="F199" s="847" t="s">
        <v>33</v>
      </c>
      <c r="G199" s="824" t="s">
        <v>1407</v>
      </c>
      <c r="H199" s="296" t="s">
        <v>536</v>
      </c>
      <c r="I199" s="826" t="s">
        <v>1407</v>
      </c>
      <c r="J199" s="296">
        <v>2</v>
      </c>
      <c r="K199" s="296"/>
      <c r="L199" s="296"/>
      <c r="O199" s="380" t="str">
        <f t="shared" si="4"/>
        <v>23調査結果-改善予定-2</v>
      </c>
    </row>
    <row r="200" spans="2:15">
      <c r="B200" s="1670" t="str">
        <f>'1_入力シート【基本情報】'!$GZ$366</f>
        <v/>
      </c>
      <c r="C200" s="1670" t="str">
        <f t="shared" si="6"/>
        <v/>
      </c>
      <c r="E200" s="851">
        <v>23</v>
      </c>
      <c r="F200" s="847" t="s">
        <v>33</v>
      </c>
      <c r="G200" s="824" t="s">
        <v>1407</v>
      </c>
      <c r="H200" s="296" t="s">
        <v>536</v>
      </c>
      <c r="I200" s="826" t="s">
        <v>1407</v>
      </c>
      <c r="J200" s="296">
        <v>3</v>
      </c>
      <c r="K200" s="296"/>
      <c r="L200" s="296"/>
      <c r="O200" s="380" t="str">
        <f t="shared" si="4"/>
        <v>23調査結果-改善予定-3</v>
      </c>
    </row>
    <row r="201" spans="2:15">
      <c r="B201" s="1670" t="str">
        <f>'1_入力シート【基本情報】'!$GZ$422</f>
        <v/>
      </c>
      <c r="C201" s="1670" t="str">
        <f t="shared" si="6"/>
        <v/>
      </c>
      <c r="E201" s="851">
        <v>23</v>
      </c>
      <c r="F201" s="847" t="s">
        <v>33</v>
      </c>
      <c r="G201" s="824" t="s">
        <v>1407</v>
      </c>
      <c r="H201" s="296" t="s">
        <v>536</v>
      </c>
      <c r="I201" s="826" t="s">
        <v>1407</v>
      </c>
      <c r="J201" s="296">
        <v>4</v>
      </c>
      <c r="K201" s="296"/>
      <c r="L201" s="296"/>
      <c r="O201" s="380" t="str">
        <f t="shared" si="4"/>
        <v>23調査結果-改善予定-4</v>
      </c>
    </row>
    <row r="202" spans="2:15">
      <c r="B202" s="1670" t="str">
        <f>'1_入力シート【基本情報】'!$GZ$471</f>
        <v/>
      </c>
      <c r="C202" s="1670" t="str">
        <f t="shared" si="6"/>
        <v/>
      </c>
      <c r="E202" s="851">
        <v>23</v>
      </c>
      <c r="F202" s="847" t="s">
        <v>33</v>
      </c>
      <c r="G202" s="824" t="s">
        <v>1407</v>
      </c>
      <c r="H202" s="296" t="s">
        <v>536</v>
      </c>
      <c r="I202" s="826" t="s">
        <v>1407</v>
      </c>
      <c r="J202" s="296">
        <v>5</v>
      </c>
      <c r="K202" s="296"/>
      <c r="L202" s="296"/>
      <c r="O202" s="380" t="str">
        <f t="shared" si="4"/>
        <v>23調査結果-改善予定-5</v>
      </c>
    </row>
    <row r="203" spans="2:15">
      <c r="B203" s="1670" t="str">
        <f>'1_入力シート【基本情報】'!$GZ$489</f>
        <v/>
      </c>
      <c r="C203" s="1670" t="str">
        <f t="shared" si="6"/>
        <v/>
      </c>
      <c r="E203" s="851">
        <v>23</v>
      </c>
      <c r="F203" s="847" t="s">
        <v>33</v>
      </c>
      <c r="G203" s="824" t="s">
        <v>1407</v>
      </c>
      <c r="H203" s="296" t="s">
        <v>536</v>
      </c>
      <c r="I203" s="826" t="s">
        <v>1407</v>
      </c>
      <c r="J203" s="296">
        <v>6</v>
      </c>
      <c r="K203" s="296"/>
      <c r="L203" s="296"/>
      <c r="O203" s="380" t="str">
        <f t="shared" si="4"/>
        <v>23調査結果-改善予定-6</v>
      </c>
    </row>
    <row r="204" spans="2:15">
      <c r="B204" s="1670" t="str">
        <f>'1_入力シート【基本情報】'!$GZ$508</f>
        <v/>
      </c>
      <c r="C204" s="1670" t="str">
        <f t="shared" si="6"/>
        <v/>
      </c>
      <c r="E204" s="851">
        <v>23</v>
      </c>
      <c r="F204" s="847" t="s">
        <v>33</v>
      </c>
      <c r="G204" s="824" t="s">
        <v>1407</v>
      </c>
      <c r="H204" s="296" t="s">
        <v>536</v>
      </c>
      <c r="I204" s="826" t="s">
        <v>1407</v>
      </c>
      <c r="J204" s="296">
        <v>7</v>
      </c>
      <c r="K204" s="296"/>
      <c r="L204" s="296"/>
      <c r="O204" s="380" t="str">
        <f t="shared" si="4"/>
        <v>23調査結果-改善予定-7</v>
      </c>
    </row>
    <row r="205" spans="2:15">
      <c r="B205" s="861" t="str">
        <f>LEFT('1_入力シート【基本情報】'!$AF$307,1)</f>
        <v/>
      </c>
      <c r="C205" s="861" t="str">
        <f t="shared" si="6"/>
        <v/>
      </c>
      <c r="E205" s="851">
        <v>23</v>
      </c>
      <c r="F205" s="847" t="s">
        <v>33</v>
      </c>
      <c r="G205" s="824" t="s">
        <v>1407</v>
      </c>
      <c r="H205" s="842" t="s">
        <v>33</v>
      </c>
      <c r="I205" s="826" t="s">
        <v>1407</v>
      </c>
      <c r="J205" s="839" t="s">
        <v>1325</v>
      </c>
      <c r="K205" s="296"/>
      <c r="L205" s="296"/>
      <c r="O205" s="380" t="str">
        <f t="shared" si="4"/>
        <v>23調査結果-調査結果-1(1)</v>
      </c>
    </row>
    <row r="206" spans="2:15">
      <c r="B206" s="861" t="str">
        <f>LEFT('1_入力シート【基本情報】'!$AF$308,1)</f>
        <v/>
      </c>
      <c r="C206" s="861" t="str">
        <f t="shared" si="6"/>
        <v/>
      </c>
      <c r="E206" s="851">
        <v>23</v>
      </c>
      <c r="F206" s="847" t="s">
        <v>33</v>
      </c>
      <c r="G206" s="824" t="s">
        <v>1407</v>
      </c>
      <c r="H206" s="842" t="s">
        <v>33</v>
      </c>
      <c r="I206" s="826" t="s">
        <v>1407</v>
      </c>
      <c r="J206" s="839" t="s">
        <v>1184</v>
      </c>
      <c r="K206" s="296"/>
      <c r="L206" s="296"/>
      <c r="O206" s="380" t="str">
        <f t="shared" si="4"/>
        <v>23調査結果-調査結果-1(2)</v>
      </c>
    </row>
    <row r="207" spans="2:15">
      <c r="B207" s="861" t="str">
        <f>LEFT('1_入力シート【基本情報】'!$AF$309,1)</f>
        <v/>
      </c>
      <c r="C207" s="861" t="str">
        <f t="shared" si="6"/>
        <v/>
      </c>
      <c r="E207" s="851">
        <v>23</v>
      </c>
      <c r="F207" s="847" t="s">
        <v>33</v>
      </c>
      <c r="G207" s="824" t="s">
        <v>1407</v>
      </c>
      <c r="H207" s="842" t="s">
        <v>33</v>
      </c>
      <c r="I207" s="826" t="s">
        <v>1407</v>
      </c>
      <c r="J207" s="839" t="s">
        <v>1190</v>
      </c>
      <c r="K207" s="296"/>
      <c r="L207" s="296"/>
      <c r="O207" s="380" t="str">
        <f t="shared" si="4"/>
        <v>23調査結果-調査結果-1(3)</v>
      </c>
    </row>
    <row r="208" spans="2:15">
      <c r="B208" s="861" t="str">
        <f>LEFT('1_入力シート【基本情報】'!$AF$310,1)</f>
        <v/>
      </c>
      <c r="C208" s="861" t="str">
        <f t="shared" si="6"/>
        <v/>
      </c>
      <c r="E208" s="851">
        <v>23</v>
      </c>
      <c r="F208" s="847" t="s">
        <v>33</v>
      </c>
      <c r="G208" s="824" t="s">
        <v>1407</v>
      </c>
      <c r="H208" s="842" t="s">
        <v>33</v>
      </c>
      <c r="I208" s="826" t="s">
        <v>1407</v>
      </c>
      <c r="J208" s="839" t="s">
        <v>1191</v>
      </c>
      <c r="K208" s="296"/>
      <c r="L208" s="296"/>
      <c r="O208" s="380" t="str">
        <f t="shared" si="4"/>
        <v>23調査結果-調査結果-1(4)</v>
      </c>
    </row>
    <row r="209" spans="2:15">
      <c r="B209" s="861" t="str">
        <f>LEFT('1_入力シート【基本情報】'!$AF$311,1)</f>
        <v/>
      </c>
      <c r="C209" s="861" t="str">
        <f t="shared" si="6"/>
        <v/>
      </c>
      <c r="E209" s="851">
        <v>23</v>
      </c>
      <c r="F209" s="847" t="s">
        <v>33</v>
      </c>
      <c r="G209" s="824" t="s">
        <v>1407</v>
      </c>
      <c r="H209" s="842" t="s">
        <v>33</v>
      </c>
      <c r="I209" s="826" t="s">
        <v>1407</v>
      </c>
      <c r="J209" s="839" t="s">
        <v>1192</v>
      </c>
      <c r="K209" s="296"/>
      <c r="L209" s="296"/>
      <c r="O209" s="380" t="str">
        <f t="shared" ref="O209:O252" si="7">CONCATENATE(E209,F209,G209,H209,I209,J209,K209,L209)</f>
        <v>23調査結果-調査結果-1(5)</v>
      </c>
    </row>
    <row r="210" spans="2:15">
      <c r="B210" s="861" t="str">
        <f>LEFT('1_入力シート【基本情報】'!$AF$312,1)</f>
        <v/>
      </c>
      <c r="C210" s="861" t="str">
        <f t="shared" si="6"/>
        <v/>
      </c>
      <c r="E210" s="851">
        <v>23</v>
      </c>
      <c r="F210" s="847" t="s">
        <v>33</v>
      </c>
      <c r="G210" s="824" t="s">
        <v>1407</v>
      </c>
      <c r="H210" s="842" t="s">
        <v>33</v>
      </c>
      <c r="I210" s="826" t="s">
        <v>1407</v>
      </c>
      <c r="J210" s="839" t="s">
        <v>1193</v>
      </c>
      <c r="K210" s="296"/>
      <c r="L210" s="296"/>
      <c r="O210" s="380" t="str">
        <f t="shared" si="7"/>
        <v>23調査結果-調査結果-1(6)</v>
      </c>
    </row>
    <row r="211" spans="2:15">
      <c r="B211" s="861" t="str">
        <f>LEFT('1_入力シート【基本情報】'!$AF$313,1)</f>
        <v/>
      </c>
      <c r="C211" s="861" t="str">
        <f t="shared" si="6"/>
        <v/>
      </c>
      <c r="E211" s="851">
        <v>23</v>
      </c>
      <c r="F211" s="847" t="s">
        <v>33</v>
      </c>
      <c r="G211" s="824" t="s">
        <v>1407</v>
      </c>
      <c r="H211" s="842" t="s">
        <v>33</v>
      </c>
      <c r="I211" s="826" t="s">
        <v>1407</v>
      </c>
      <c r="J211" s="839" t="s">
        <v>1194</v>
      </c>
      <c r="K211" s="296"/>
      <c r="L211" s="296"/>
      <c r="O211" s="380" t="str">
        <f t="shared" si="7"/>
        <v>23調査結果-調査結果-1(7)</v>
      </c>
    </row>
    <row r="212" spans="2:15">
      <c r="B212" s="861" t="str">
        <f>LEFT('1_入力シート【基本情報】'!$AF$314,1)</f>
        <v/>
      </c>
      <c r="C212" s="861" t="str">
        <f t="shared" si="6"/>
        <v/>
      </c>
      <c r="E212" s="851">
        <v>23</v>
      </c>
      <c r="F212" s="847" t="s">
        <v>33</v>
      </c>
      <c r="G212" s="824" t="s">
        <v>1407</v>
      </c>
      <c r="H212" s="842" t="s">
        <v>33</v>
      </c>
      <c r="I212" s="826" t="s">
        <v>1407</v>
      </c>
      <c r="J212" s="839" t="s">
        <v>1195</v>
      </c>
      <c r="K212" s="296"/>
      <c r="L212" s="296"/>
      <c r="O212" s="380" t="str">
        <f t="shared" si="7"/>
        <v>23調査結果-調査結果-1(8)</v>
      </c>
    </row>
    <row r="213" spans="2:15">
      <c r="B213" s="861" t="str">
        <f>LEFT('1_入力シート【基本情報】'!$AF$315,1)</f>
        <v/>
      </c>
      <c r="C213" s="861" t="str">
        <f t="shared" si="6"/>
        <v/>
      </c>
      <c r="E213" s="851">
        <v>23</v>
      </c>
      <c r="F213" s="847" t="s">
        <v>33</v>
      </c>
      <c r="G213" s="824" t="s">
        <v>1407</v>
      </c>
      <c r="H213" s="842" t="s">
        <v>33</v>
      </c>
      <c r="I213" s="826" t="s">
        <v>1407</v>
      </c>
      <c r="J213" s="839" t="s">
        <v>1196</v>
      </c>
      <c r="K213" s="296"/>
      <c r="L213" s="296"/>
      <c r="O213" s="380" t="str">
        <f t="shared" si="7"/>
        <v>23調査結果-調査結果-1(9)</v>
      </c>
    </row>
    <row r="214" spans="2:15">
      <c r="B214" s="861" t="str">
        <f>LEFT('1_入力シート【基本情報】'!$AF$316,1)</f>
        <v/>
      </c>
      <c r="C214" s="861" t="str">
        <f t="shared" si="6"/>
        <v/>
      </c>
      <c r="E214" s="851">
        <v>23</v>
      </c>
      <c r="F214" s="847" t="s">
        <v>33</v>
      </c>
      <c r="G214" s="824" t="s">
        <v>1407</v>
      </c>
      <c r="H214" s="842" t="s">
        <v>33</v>
      </c>
      <c r="I214" s="826" t="s">
        <v>1407</v>
      </c>
      <c r="J214" s="839" t="s">
        <v>2561</v>
      </c>
      <c r="K214" s="296"/>
      <c r="L214" s="296"/>
      <c r="O214" s="380" t="str">
        <f t="shared" si="7"/>
        <v>23調査結果-調査結果-1(10)</v>
      </c>
    </row>
    <row r="215" spans="2:15">
      <c r="B215" s="861" t="str">
        <f>LEFT('1_入力シート【基本情報】'!$AF$317,1)</f>
        <v/>
      </c>
      <c r="C215" s="861" t="str">
        <f t="shared" si="6"/>
        <v/>
      </c>
      <c r="E215" s="851">
        <v>23</v>
      </c>
      <c r="F215" s="847" t="s">
        <v>33</v>
      </c>
      <c r="G215" s="824" t="s">
        <v>1407</v>
      </c>
      <c r="H215" s="842" t="s">
        <v>33</v>
      </c>
      <c r="I215" s="826" t="s">
        <v>1407</v>
      </c>
      <c r="J215" s="839" t="s">
        <v>2562</v>
      </c>
      <c r="K215" s="296"/>
      <c r="L215" s="296"/>
      <c r="O215" s="380" t="str">
        <f t="shared" si="7"/>
        <v>23調査結果-調査結果-1(11)</v>
      </c>
    </row>
    <row r="216" spans="2:15">
      <c r="B216" s="861" t="str">
        <f>LEFT('1_入力シート【基本情報】'!$AF$318,1)</f>
        <v/>
      </c>
      <c r="C216" s="861" t="str">
        <f t="shared" si="6"/>
        <v/>
      </c>
      <c r="E216" s="851">
        <v>23</v>
      </c>
      <c r="F216" s="847" t="s">
        <v>33</v>
      </c>
      <c r="G216" s="824" t="s">
        <v>1407</v>
      </c>
      <c r="H216" s="842" t="s">
        <v>33</v>
      </c>
      <c r="I216" s="826" t="s">
        <v>1407</v>
      </c>
      <c r="J216" s="839" t="s">
        <v>2563</v>
      </c>
      <c r="K216" s="296"/>
      <c r="L216" s="296"/>
      <c r="O216" s="380" t="str">
        <f t="shared" si="7"/>
        <v>23調査結果-調査結果-1(12)</v>
      </c>
    </row>
    <row r="217" spans="2:15">
      <c r="B217" s="861" t="str">
        <f>LEFT('1_入力シート【基本情報】'!$AF$319,1)</f>
        <v/>
      </c>
      <c r="C217" s="861" t="str">
        <f t="shared" si="6"/>
        <v/>
      </c>
      <c r="E217" s="851">
        <v>23</v>
      </c>
      <c r="F217" s="847" t="s">
        <v>33</v>
      </c>
      <c r="G217" s="824" t="s">
        <v>1407</v>
      </c>
      <c r="H217" s="842" t="s">
        <v>33</v>
      </c>
      <c r="I217" s="826" t="s">
        <v>1407</v>
      </c>
      <c r="J217" s="839" t="s">
        <v>2564</v>
      </c>
      <c r="K217" s="296"/>
      <c r="L217" s="296"/>
      <c r="O217" s="380" t="str">
        <f t="shared" si="7"/>
        <v>23調査結果-調査結果-1(13)</v>
      </c>
    </row>
    <row r="218" spans="2:15">
      <c r="B218" s="861" t="str">
        <f>LEFT('1_入力シート【基本情報】'!$AF$320,1)</f>
        <v/>
      </c>
      <c r="C218" s="861" t="str">
        <f t="shared" si="6"/>
        <v/>
      </c>
      <c r="E218" s="851">
        <v>23</v>
      </c>
      <c r="F218" s="847" t="s">
        <v>33</v>
      </c>
      <c r="G218" s="824" t="s">
        <v>1407</v>
      </c>
      <c r="H218" s="842" t="s">
        <v>33</v>
      </c>
      <c r="I218" s="826" t="s">
        <v>1407</v>
      </c>
      <c r="J218" s="839" t="s">
        <v>2565</v>
      </c>
      <c r="K218" s="296"/>
      <c r="L218" s="296"/>
      <c r="O218" s="380" t="str">
        <f t="shared" si="7"/>
        <v>23調査結果-調査結果-1(14)</v>
      </c>
    </row>
    <row r="219" spans="2:15">
      <c r="B219" s="861" t="str">
        <f>LEFT('1_入力シート【基本情報】'!$AF$325,1)</f>
        <v/>
      </c>
      <c r="C219" s="861" t="str">
        <f t="shared" si="6"/>
        <v/>
      </c>
      <c r="E219" s="851">
        <v>23</v>
      </c>
      <c r="F219" s="847" t="s">
        <v>33</v>
      </c>
      <c r="G219" s="824" t="s">
        <v>1407</v>
      </c>
      <c r="H219" s="842" t="s">
        <v>33</v>
      </c>
      <c r="I219" s="826" t="s">
        <v>1407</v>
      </c>
      <c r="J219" s="839" t="s">
        <v>251</v>
      </c>
      <c r="K219" s="296"/>
      <c r="L219" s="296"/>
      <c r="O219" s="380" t="str">
        <f t="shared" si="7"/>
        <v>23調査結果-調査結果-2(1)</v>
      </c>
    </row>
    <row r="220" spans="2:15">
      <c r="B220" s="861" t="str">
        <f>LEFT('1_入力シート【基本情報】'!$AF$326,1)</f>
        <v/>
      </c>
      <c r="C220" s="861" t="str">
        <f t="shared" si="6"/>
        <v/>
      </c>
      <c r="E220" s="851">
        <v>23</v>
      </c>
      <c r="F220" s="847" t="s">
        <v>33</v>
      </c>
      <c r="G220" s="824" t="s">
        <v>1407</v>
      </c>
      <c r="H220" s="842" t="s">
        <v>33</v>
      </c>
      <c r="I220" s="826" t="s">
        <v>1407</v>
      </c>
      <c r="J220" s="839" t="s">
        <v>252</v>
      </c>
      <c r="K220" s="296"/>
      <c r="L220" s="296"/>
      <c r="O220" s="380" t="str">
        <f t="shared" si="7"/>
        <v>23調査結果-調査結果-2(2)</v>
      </c>
    </row>
    <row r="221" spans="2:15">
      <c r="B221" s="861" t="str">
        <f>LEFT('1_入力シート【基本情報】'!$AF$327,1)</f>
        <v/>
      </c>
      <c r="C221" s="861" t="str">
        <f t="shared" si="6"/>
        <v/>
      </c>
      <c r="E221" s="851">
        <v>23</v>
      </c>
      <c r="F221" s="847" t="s">
        <v>33</v>
      </c>
      <c r="G221" s="824" t="s">
        <v>1407</v>
      </c>
      <c r="H221" s="842" t="s">
        <v>33</v>
      </c>
      <c r="I221" s="826" t="s">
        <v>1407</v>
      </c>
      <c r="J221" s="839" t="s">
        <v>253</v>
      </c>
      <c r="K221" s="296"/>
      <c r="L221" s="296"/>
      <c r="O221" s="380" t="str">
        <f t="shared" si="7"/>
        <v>23調査結果-調査結果-2(3)</v>
      </c>
    </row>
    <row r="222" spans="2:15">
      <c r="B222" s="861" t="str">
        <f>LEFT('1_入力シート【基本情報】'!$AF$328,1)</f>
        <v/>
      </c>
      <c r="C222" s="861" t="str">
        <f t="shared" si="6"/>
        <v/>
      </c>
      <c r="E222" s="851">
        <v>23</v>
      </c>
      <c r="F222" s="847" t="s">
        <v>33</v>
      </c>
      <c r="G222" s="824" t="s">
        <v>1407</v>
      </c>
      <c r="H222" s="842" t="s">
        <v>33</v>
      </c>
      <c r="I222" s="826" t="s">
        <v>1407</v>
      </c>
      <c r="J222" s="839" t="s">
        <v>254</v>
      </c>
      <c r="K222" s="296"/>
      <c r="L222" s="296"/>
      <c r="O222" s="380" t="str">
        <f t="shared" si="7"/>
        <v>23調査結果-調査結果-2(4)</v>
      </c>
    </row>
    <row r="223" spans="2:15">
      <c r="B223" s="861" t="str">
        <f>LEFT('1_入力シート【基本情報】'!$AF$329,1)</f>
        <v/>
      </c>
      <c r="C223" s="861" t="str">
        <f t="shared" si="6"/>
        <v/>
      </c>
      <c r="E223" s="851">
        <v>23</v>
      </c>
      <c r="F223" s="847" t="s">
        <v>33</v>
      </c>
      <c r="G223" s="824" t="s">
        <v>1407</v>
      </c>
      <c r="H223" s="842" t="s">
        <v>33</v>
      </c>
      <c r="I223" s="826" t="s">
        <v>1407</v>
      </c>
      <c r="J223" s="839" t="s">
        <v>255</v>
      </c>
      <c r="K223" s="296"/>
      <c r="L223" s="296"/>
      <c r="O223" s="380" t="str">
        <f t="shared" si="7"/>
        <v>23調査結果-調査結果-2(5)</v>
      </c>
    </row>
    <row r="224" spans="2:15">
      <c r="B224" s="861" t="str">
        <f>LEFT('1_入力シート【基本情報】'!$AF$330,1)</f>
        <v/>
      </c>
      <c r="C224" s="861" t="str">
        <f t="shared" si="6"/>
        <v/>
      </c>
      <c r="E224" s="851">
        <v>23</v>
      </c>
      <c r="F224" s="847" t="s">
        <v>33</v>
      </c>
      <c r="G224" s="824" t="s">
        <v>1407</v>
      </c>
      <c r="H224" s="842" t="s">
        <v>33</v>
      </c>
      <c r="I224" s="826" t="s">
        <v>1407</v>
      </c>
      <c r="J224" s="839" t="s">
        <v>256</v>
      </c>
      <c r="K224" s="296"/>
      <c r="L224" s="296"/>
      <c r="O224" s="380" t="str">
        <f t="shared" si="7"/>
        <v>23調査結果-調査結果-2(6)</v>
      </c>
    </row>
    <row r="225" spans="2:15">
      <c r="B225" s="861" t="str">
        <f>LEFT('1_入力シート【基本情報】'!$AF$331,1)</f>
        <v/>
      </c>
      <c r="C225" s="861" t="str">
        <f t="shared" si="6"/>
        <v/>
      </c>
      <c r="E225" s="851">
        <v>23</v>
      </c>
      <c r="F225" s="847" t="s">
        <v>33</v>
      </c>
      <c r="G225" s="824" t="s">
        <v>1407</v>
      </c>
      <c r="H225" s="842" t="s">
        <v>33</v>
      </c>
      <c r="I225" s="826" t="s">
        <v>1407</v>
      </c>
      <c r="J225" s="839" t="s">
        <v>257</v>
      </c>
      <c r="K225" s="296"/>
      <c r="L225" s="296"/>
      <c r="O225" s="380" t="str">
        <f t="shared" si="7"/>
        <v>23調査結果-調査結果-2(7)</v>
      </c>
    </row>
    <row r="226" spans="2:15">
      <c r="B226" s="861" t="str">
        <f>LEFT('1_入力シート【基本情報】'!$AF$332,1)</f>
        <v/>
      </c>
      <c r="C226" s="861" t="str">
        <f t="shared" si="6"/>
        <v/>
      </c>
      <c r="E226" s="851">
        <v>23</v>
      </c>
      <c r="F226" s="847" t="s">
        <v>33</v>
      </c>
      <c r="G226" s="824" t="s">
        <v>1407</v>
      </c>
      <c r="H226" s="842" t="s">
        <v>33</v>
      </c>
      <c r="I226" s="826" t="s">
        <v>1407</v>
      </c>
      <c r="J226" s="839" t="s">
        <v>258</v>
      </c>
      <c r="K226" s="296"/>
      <c r="L226" s="296"/>
      <c r="O226" s="380" t="str">
        <f t="shared" si="7"/>
        <v>23調査結果-調査結果-2(8)</v>
      </c>
    </row>
    <row r="227" spans="2:15">
      <c r="B227" s="861" t="str">
        <f>LEFT('1_入力シート【基本情報】'!$AF$333,1)</f>
        <v/>
      </c>
      <c r="C227" s="861" t="str">
        <f t="shared" si="6"/>
        <v/>
      </c>
      <c r="E227" s="851">
        <v>23</v>
      </c>
      <c r="F227" s="847" t="s">
        <v>33</v>
      </c>
      <c r="G227" s="824" t="s">
        <v>1407</v>
      </c>
      <c r="H227" s="842" t="s">
        <v>33</v>
      </c>
      <c r="I227" s="826" t="s">
        <v>1407</v>
      </c>
      <c r="J227" s="839" t="s">
        <v>259</v>
      </c>
      <c r="K227" s="296"/>
      <c r="L227" s="296"/>
      <c r="O227" s="380" t="str">
        <f t="shared" si="7"/>
        <v>23調査結果-調査結果-2(9)</v>
      </c>
    </row>
    <row r="228" spans="2:15">
      <c r="B228" s="861" t="str">
        <f>LEFT('1_入力シート【基本情報】'!$AF$334,1)</f>
        <v/>
      </c>
      <c r="C228" s="861" t="str">
        <f t="shared" si="6"/>
        <v/>
      </c>
      <c r="E228" s="851">
        <v>23</v>
      </c>
      <c r="F228" s="847" t="s">
        <v>33</v>
      </c>
      <c r="G228" s="824" t="s">
        <v>1407</v>
      </c>
      <c r="H228" s="842" t="s">
        <v>33</v>
      </c>
      <c r="I228" s="826" t="s">
        <v>1407</v>
      </c>
      <c r="J228" s="839" t="s">
        <v>260</v>
      </c>
      <c r="K228" s="296"/>
      <c r="L228" s="296"/>
      <c r="O228" s="380" t="str">
        <f t="shared" si="7"/>
        <v>23調査結果-調査結果-2(10)</v>
      </c>
    </row>
    <row r="229" spans="2:15">
      <c r="B229" s="861" t="str">
        <f>LEFT('1_入力シート【基本情報】'!$AF$335,1)</f>
        <v/>
      </c>
      <c r="C229" s="861" t="str">
        <f t="shared" si="6"/>
        <v/>
      </c>
      <c r="E229" s="851">
        <v>23</v>
      </c>
      <c r="F229" s="847" t="s">
        <v>33</v>
      </c>
      <c r="G229" s="824" t="s">
        <v>1407</v>
      </c>
      <c r="H229" s="842" t="s">
        <v>33</v>
      </c>
      <c r="I229" s="826" t="s">
        <v>1407</v>
      </c>
      <c r="J229" s="839" t="s">
        <v>261</v>
      </c>
      <c r="K229" s="296"/>
      <c r="L229" s="296"/>
      <c r="O229" s="380" t="str">
        <f t="shared" si="7"/>
        <v>23調査結果-調査結果-2(11)</v>
      </c>
    </row>
    <row r="230" spans="2:15">
      <c r="B230" s="861" t="str">
        <f>LEFT('1_入力シート【基本情報】'!$AF$336,1)</f>
        <v/>
      </c>
      <c r="C230" s="861" t="str">
        <f t="shared" si="6"/>
        <v/>
      </c>
      <c r="E230" s="851">
        <v>23</v>
      </c>
      <c r="F230" s="847" t="s">
        <v>33</v>
      </c>
      <c r="G230" s="824" t="s">
        <v>1407</v>
      </c>
      <c r="H230" s="842" t="s">
        <v>33</v>
      </c>
      <c r="I230" s="826" t="s">
        <v>1407</v>
      </c>
      <c r="J230" s="839" t="s">
        <v>262</v>
      </c>
      <c r="K230" s="296"/>
      <c r="L230" s="296"/>
      <c r="O230" s="380" t="str">
        <f t="shared" si="7"/>
        <v>23調査結果-調査結果-2(12)</v>
      </c>
    </row>
    <row r="231" spans="2:15">
      <c r="B231" s="861" t="str">
        <f>LEFT('1_入力シート【基本情報】'!$AF$337,1)</f>
        <v/>
      </c>
      <c r="C231" s="861" t="str">
        <f t="shared" si="6"/>
        <v/>
      </c>
      <c r="E231" s="851">
        <v>23</v>
      </c>
      <c r="F231" s="847" t="s">
        <v>33</v>
      </c>
      <c r="G231" s="824" t="s">
        <v>1407</v>
      </c>
      <c r="H231" s="842" t="s">
        <v>33</v>
      </c>
      <c r="I231" s="826" t="s">
        <v>1407</v>
      </c>
      <c r="J231" s="839" t="s">
        <v>301</v>
      </c>
      <c r="K231" s="296"/>
      <c r="L231" s="296"/>
      <c r="O231" s="380" t="str">
        <f t="shared" si="7"/>
        <v>23調査結果-調査結果-2(13)</v>
      </c>
    </row>
    <row r="232" spans="2:15">
      <c r="B232" s="861" t="str">
        <f>LEFT('1_入力シート【基本情報】'!$AF$338,1)</f>
        <v/>
      </c>
      <c r="C232" s="861" t="str">
        <f t="shared" si="6"/>
        <v/>
      </c>
      <c r="E232" s="851">
        <v>23</v>
      </c>
      <c r="F232" s="847" t="s">
        <v>33</v>
      </c>
      <c r="G232" s="824" t="s">
        <v>1407</v>
      </c>
      <c r="H232" s="842" t="s">
        <v>33</v>
      </c>
      <c r="I232" s="826" t="s">
        <v>1407</v>
      </c>
      <c r="J232" s="839" t="s">
        <v>302</v>
      </c>
      <c r="K232" s="296"/>
      <c r="L232" s="296"/>
      <c r="O232" s="380" t="str">
        <f t="shared" si="7"/>
        <v>23調査結果-調査結果-2(14)</v>
      </c>
    </row>
    <row r="233" spans="2:15">
      <c r="B233" s="861" t="str">
        <f>LEFT('1_入力シート【基本情報】'!$AF$339,1)</f>
        <v/>
      </c>
      <c r="C233" s="861" t="str">
        <f t="shared" si="6"/>
        <v/>
      </c>
      <c r="E233" s="851">
        <v>23</v>
      </c>
      <c r="F233" s="847" t="s">
        <v>33</v>
      </c>
      <c r="G233" s="824" t="s">
        <v>1407</v>
      </c>
      <c r="H233" s="842" t="s">
        <v>33</v>
      </c>
      <c r="I233" s="826" t="s">
        <v>1407</v>
      </c>
      <c r="J233" s="839" t="s">
        <v>303</v>
      </c>
      <c r="K233" s="296"/>
      <c r="L233" s="296"/>
      <c r="O233" s="380" t="str">
        <f t="shared" si="7"/>
        <v>23調査結果-調査結果-2(15)</v>
      </c>
    </row>
    <row r="234" spans="2:15">
      <c r="B234" s="861" t="str">
        <f>LEFT('1_入力シート【基本情報】'!$AF$340,1)</f>
        <v/>
      </c>
      <c r="C234" s="861" t="str">
        <f t="shared" si="6"/>
        <v/>
      </c>
      <c r="E234" s="851">
        <v>23</v>
      </c>
      <c r="F234" s="847" t="s">
        <v>33</v>
      </c>
      <c r="G234" s="824" t="s">
        <v>1407</v>
      </c>
      <c r="H234" s="842" t="s">
        <v>33</v>
      </c>
      <c r="I234" s="826" t="s">
        <v>1407</v>
      </c>
      <c r="J234" s="839" t="s">
        <v>304</v>
      </c>
      <c r="K234" s="296"/>
      <c r="L234" s="296"/>
      <c r="O234" s="380" t="str">
        <f t="shared" si="7"/>
        <v>23調査結果-調査結果-2(16)</v>
      </c>
    </row>
    <row r="235" spans="2:15">
      <c r="B235" s="861" t="str">
        <f>LEFT('1_入力シート【基本情報】'!$AF$341,1)</f>
        <v/>
      </c>
      <c r="C235" s="861" t="str">
        <f t="shared" si="6"/>
        <v/>
      </c>
      <c r="E235" s="851">
        <v>23</v>
      </c>
      <c r="F235" s="847" t="s">
        <v>33</v>
      </c>
      <c r="G235" s="824" t="s">
        <v>1407</v>
      </c>
      <c r="H235" s="842" t="s">
        <v>33</v>
      </c>
      <c r="I235" s="826" t="s">
        <v>1407</v>
      </c>
      <c r="J235" s="839" t="s">
        <v>305</v>
      </c>
      <c r="K235" s="296"/>
      <c r="L235" s="296"/>
      <c r="O235" s="380" t="str">
        <f t="shared" si="7"/>
        <v>23調査結果-調査結果-2(17)</v>
      </c>
    </row>
    <row r="236" spans="2:15">
      <c r="B236" s="861" t="str">
        <f>LEFT('1_入力シート【基本情報】'!$AF$342,1)</f>
        <v/>
      </c>
      <c r="C236" s="861" t="str">
        <f t="shared" si="6"/>
        <v/>
      </c>
      <c r="E236" s="851">
        <v>23</v>
      </c>
      <c r="F236" s="847" t="s">
        <v>33</v>
      </c>
      <c r="G236" s="824" t="s">
        <v>1407</v>
      </c>
      <c r="H236" s="842" t="s">
        <v>33</v>
      </c>
      <c r="I236" s="826" t="s">
        <v>1407</v>
      </c>
      <c r="J236" s="839" t="s">
        <v>306</v>
      </c>
      <c r="K236" s="296"/>
      <c r="L236" s="296"/>
      <c r="O236" s="380" t="str">
        <f t="shared" si="7"/>
        <v>23調査結果-調査結果-2(18)</v>
      </c>
    </row>
    <row r="237" spans="2:15">
      <c r="B237" s="861" t="str">
        <f>LEFT('1_入力シート【基本情報】'!$AF$343,1)</f>
        <v/>
      </c>
      <c r="C237" s="861" t="str">
        <f t="shared" si="6"/>
        <v/>
      </c>
      <c r="E237" s="851">
        <v>23</v>
      </c>
      <c r="F237" s="847" t="s">
        <v>33</v>
      </c>
      <c r="G237" s="824" t="s">
        <v>1407</v>
      </c>
      <c r="H237" s="842" t="s">
        <v>33</v>
      </c>
      <c r="I237" s="826" t="s">
        <v>1407</v>
      </c>
      <c r="J237" s="839" t="s">
        <v>2566</v>
      </c>
      <c r="K237" s="296"/>
      <c r="L237" s="296"/>
      <c r="O237" s="380" t="str">
        <f t="shared" si="7"/>
        <v>23調査結果-調査結果-2(19)</v>
      </c>
    </row>
    <row r="238" spans="2:15">
      <c r="B238" s="861" t="str">
        <f>LEFT('1_入力シート【基本情報】'!$AF$344,1)</f>
        <v/>
      </c>
      <c r="C238" s="861" t="str">
        <f t="shared" si="6"/>
        <v/>
      </c>
      <c r="E238" s="851">
        <v>23</v>
      </c>
      <c r="F238" s="847" t="s">
        <v>33</v>
      </c>
      <c r="G238" s="824" t="s">
        <v>1407</v>
      </c>
      <c r="H238" s="842" t="s">
        <v>33</v>
      </c>
      <c r="I238" s="826" t="s">
        <v>1407</v>
      </c>
      <c r="J238" s="839" t="s">
        <v>2567</v>
      </c>
      <c r="K238" s="296"/>
      <c r="L238" s="296"/>
      <c r="O238" s="380" t="str">
        <f t="shared" si="7"/>
        <v>23調査結果-調査結果-220)</v>
      </c>
    </row>
    <row r="239" spans="2:15">
      <c r="B239" s="861" t="str">
        <f>LEFT('1_入力シート【基本情報】'!$AF$345,1)</f>
        <v/>
      </c>
      <c r="C239" s="861" t="str">
        <f t="shared" si="6"/>
        <v/>
      </c>
      <c r="E239" s="851">
        <v>23</v>
      </c>
      <c r="F239" s="847" t="s">
        <v>33</v>
      </c>
      <c r="G239" s="824" t="s">
        <v>1407</v>
      </c>
      <c r="H239" s="842" t="s">
        <v>33</v>
      </c>
      <c r="I239" s="826" t="s">
        <v>1407</v>
      </c>
      <c r="J239" s="839" t="s">
        <v>2568</v>
      </c>
      <c r="K239" s="296"/>
      <c r="L239" s="296"/>
      <c r="O239" s="380" t="str">
        <f t="shared" si="7"/>
        <v>23調査結果-調査結果-2(21)</v>
      </c>
    </row>
    <row r="240" spans="2:15">
      <c r="B240" s="861" t="str">
        <f>LEFT('1_入力シート【基本情報】'!$AF$346,1)</f>
        <v/>
      </c>
      <c r="C240" s="861" t="str">
        <f t="shared" si="6"/>
        <v/>
      </c>
      <c r="E240" s="851">
        <v>23</v>
      </c>
      <c r="F240" s="847" t="s">
        <v>33</v>
      </c>
      <c r="G240" s="824" t="s">
        <v>1407</v>
      </c>
      <c r="H240" s="842" t="s">
        <v>33</v>
      </c>
      <c r="I240" s="826" t="s">
        <v>1407</v>
      </c>
      <c r="J240" s="839" t="s">
        <v>2569</v>
      </c>
      <c r="K240" s="296"/>
      <c r="L240" s="296"/>
      <c r="O240" s="380" t="str">
        <f t="shared" si="7"/>
        <v>23調査結果-調査結果-2(22)</v>
      </c>
    </row>
    <row r="241" spans="2:15">
      <c r="B241" s="861" t="str">
        <f>LEFT('1_入力シート【基本情報】'!$AF$347,1)</f>
        <v/>
      </c>
      <c r="C241" s="861" t="str">
        <f t="shared" si="6"/>
        <v/>
      </c>
      <c r="E241" s="851">
        <v>23</v>
      </c>
      <c r="F241" s="847" t="s">
        <v>33</v>
      </c>
      <c r="G241" s="824" t="s">
        <v>1407</v>
      </c>
      <c r="H241" s="842" t="s">
        <v>33</v>
      </c>
      <c r="I241" s="826" t="s">
        <v>1407</v>
      </c>
      <c r="J241" s="839" t="s">
        <v>2570</v>
      </c>
      <c r="K241" s="296"/>
      <c r="L241" s="296"/>
      <c r="O241" s="380" t="str">
        <f t="shared" si="7"/>
        <v>23調査結果-調査結果-2(23)</v>
      </c>
    </row>
    <row r="242" spans="2:15">
      <c r="B242" s="861" t="str">
        <f>LEFT('1_入力シート【基本情報】'!$AF$352,1)</f>
        <v/>
      </c>
      <c r="C242" s="861" t="str">
        <f t="shared" si="6"/>
        <v/>
      </c>
      <c r="E242" s="851">
        <v>23</v>
      </c>
      <c r="F242" s="847" t="s">
        <v>33</v>
      </c>
      <c r="G242" s="824" t="s">
        <v>1407</v>
      </c>
      <c r="H242" s="842" t="s">
        <v>33</v>
      </c>
      <c r="I242" s="826" t="s">
        <v>1407</v>
      </c>
      <c r="J242" s="840" t="s">
        <v>307</v>
      </c>
      <c r="K242" s="296"/>
      <c r="L242" s="296"/>
      <c r="O242" s="380" t="str">
        <f t="shared" si="7"/>
        <v>23調査結果-調査結果-3(1)</v>
      </c>
    </row>
    <row r="243" spans="2:15">
      <c r="B243" s="861" t="str">
        <f>LEFT('1_入力シート【基本情報】'!$AF$353,1)</f>
        <v/>
      </c>
      <c r="C243" s="861" t="str">
        <f t="shared" si="6"/>
        <v/>
      </c>
      <c r="E243" s="851">
        <v>23</v>
      </c>
      <c r="F243" s="847" t="s">
        <v>33</v>
      </c>
      <c r="G243" s="824" t="s">
        <v>1407</v>
      </c>
      <c r="H243" s="842" t="s">
        <v>33</v>
      </c>
      <c r="I243" s="826" t="s">
        <v>1407</v>
      </c>
      <c r="J243" s="840" t="s">
        <v>308</v>
      </c>
      <c r="K243" s="296"/>
      <c r="L243" s="296"/>
      <c r="O243" s="380" t="str">
        <f t="shared" si="7"/>
        <v>23調査結果-調査結果-3(2)</v>
      </c>
    </row>
    <row r="244" spans="2:15">
      <c r="B244" s="861" t="str">
        <f>LEFT('1_入力シート【基本情報】'!$AF$354,1)</f>
        <v/>
      </c>
      <c r="C244" s="861" t="str">
        <f t="shared" si="6"/>
        <v/>
      </c>
      <c r="E244" s="851">
        <v>23</v>
      </c>
      <c r="F244" s="847" t="s">
        <v>33</v>
      </c>
      <c r="G244" s="824" t="s">
        <v>1407</v>
      </c>
      <c r="H244" s="842" t="s">
        <v>33</v>
      </c>
      <c r="I244" s="826" t="s">
        <v>1407</v>
      </c>
      <c r="J244" s="840" t="s">
        <v>309</v>
      </c>
      <c r="K244" s="296"/>
      <c r="L244" s="296"/>
      <c r="O244" s="380" t="str">
        <f t="shared" si="7"/>
        <v>23調査結果-調査結果-3(3)</v>
      </c>
    </row>
    <row r="245" spans="2:15">
      <c r="B245" s="861" t="str">
        <f>LEFT('1_入力シート【基本情報】'!$AF$355,1)</f>
        <v/>
      </c>
      <c r="C245" s="861" t="str">
        <f t="shared" si="6"/>
        <v/>
      </c>
      <c r="E245" s="851">
        <v>23</v>
      </c>
      <c r="F245" s="847" t="s">
        <v>33</v>
      </c>
      <c r="G245" s="824" t="s">
        <v>1407</v>
      </c>
      <c r="H245" s="842" t="s">
        <v>33</v>
      </c>
      <c r="I245" s="826" t="s">
        <v>1407</v>
      </c>
      <c r="J245" s="840" t="s">
        <v>310</v>
      </c>
      <c r="K245" s="296"/>
      <c r="L245" s="296"/>
      <c r="O245" s="380" t="str">
        <f t="shared" si="7"/>
        <v>23調査結果-調査結果-3(4)</v>
      </c>
    </row>
    <row r="246" spans="2:15">
      <c r="B246" s="861" t="str">
        <f>LEFT('1_入力シート【基本情報】'!$AF$356,1)</f>
        <v/>
      </c>
      <c r="C246" s="861" t="str">
        <f t="shared" si="6"/>
        <v/>
      </c>
      <c r="E246" s="851">
        <v>23</v>
      </c>
      <c r="F246" s="847" t="s">
        <v>33</v>
      </c>
      <c r="G246" s="824" t="s">
        <v>1407</v>
      </c>
      <c r="H246" s="842" t="s">
        <v>33</v>
      </c>
      <c r="I246" s="826" t="s">
        <v>1407</v>
      </c>
      <c r="J246" s="840" t="s">
        <v>311</v>
      </c>
      <c r="K246" s="296"/>
      <c r="L246" s="296"/>
      <c r="O246" s="380" t="str">
        <f t="shared" si="7"/>
        <v>23調査結果-調査結果-3(5)</v>
      </c>
    </row>
    <row r="247" spans="2:15">
      <c r="B247" s="861" t="str">
        <f>LEFT('1_入力シート【基本情報】'!$AF$357,1)</f>
        <v/>
      </c>
      <c r="C247" s="861" t="str">
        <f t="shared" si="6"/>
        <v/>
      </c>
      <c r="E247" s="851">
        <v>23</v>
      </c>
      <c r="F247" s="847" t="s">
        <v>33</v>
      </c>
      <c r="G247" s="824" t="s">
        <v>1407</v>
      </c>
      <c r="H247" s="842" t="s">
        <v>33</v>
      </c>
      <c r="I247" s="826" t="s">
        <v>1407</v>
      </c>
      <c r="J247" s="840" t="s">
        <v>312</v>
      </c>
      <c r="K247" s="296"/>
      <c r="L247" s="296"/>
      <c r="O247" s="380" t="str">
        <f t="shared" si="7"/>
        <v>23調査結果-調査結果-3(6)</v>
      </c>
    </row>
    <row r="248" spans="2:15">
      <c r="B248" s="861" t="str">
        <f>LEFT('1_入力シート【基本情報】'!$AF$358,1)</f>
        <v/>
      </c>
      <c r="C248" s="861" t="str">
        <f t="shared" si="6"/>
        <v/>
      </c>
      <c r="E248" s="851">
        <v>23</v>
      </c>
      <c r="F248" s="847" t="s">
        <v>33</v>
      </c>
      <c r="G248" s="824" t="s">
        <v>1407</v>
      </c>
      <c r="H248" s="842" t="s">
        <v>33</v>
      </c>
      <c r="I248" s="826" t="s">
        <v>1407</v>
      </c>
      <c r="J248" s="840" t="s">
        <v>313</v>
      </c>
      <c r="K248" s="296"/>
      <c r="L248" s="296"/>
      <c r="O248" s="380" t="str">
        <f t="shared" si="7"/>
        <v>23調査結果-調査結果-3(7)</v>
      </c>
    </row>
    <row r="249" spans="2:15">
      <c r="B249" s="861" t="str">
        <f>LEFT('1_入力シート【基本情報】'!$AF$359,1)</f>
        <v/>
      </c>
      <c r="C249" s="861" t="str">
        <f t="shared" si="6"/>
        <v/>
      </c>
      <c r="E249" s="851">
        <v>23</v>
      </c>
      <c r="F249" s="847" t="s">
        <v>33</v>
      </c>
      <c r="G249" s="824" t="s">
        <v>1407</v>
      </c>
      <c r="H249" s="842" t="s">
        <v>33</v>
      </c>
      <c r="I249" s="826" t="s">
        <v>1407</v>
      </c>
      <c r="J249" s="840" t="s">
        <v>314</v>
      </c>
      <c r="K249" s="296"/>
      <c r="L249" s="296"/>
      <c r="O249" s="380" t="str">
        <f t="shared" si="7"/>
        <v>23調査結果-調査結果-3(8)</v>
      </c>
    </row>
    <row r="250" spans="2:15">
      <c r="B250" s="861" t="str">
        <f>LEFT('1_入力シート【基本情報】'!$AF$360,1)</f>
        <v/>
      </c>
      <c r="C250" s="861" t="str">
        <f t="shared" si="6"/>
        <v/>
      </c>
      <c r="E250" s="851">
        <v>23</v>
      </c>
      <c r="F250" s="847" t="s">
        <v>33</v>
      </c>
      <c r="G250" s="824" t="s">
        <v>1407</v>
      </c>
      <c r="H250" s="842" t="s">
        <v>33</v>
      </c>
      <c r="I250" s="826" t="s">
        <v>1407</v>
      </c>
      <c r="J250" s="840" t="s">
        <v>315</v>
      </c>
      <c r="K250" s="296"/>
      <c r="L250" s="296"/>
      <c r="O250" s="380" t="str">
        <f t="shared" si="7"/>
        <v>23調査結果-調査結果-3(9)</v>
      </c>
    </row>
    <row r="251" spans="2:15">
      <c r="B251" s="861" t="str">
        <f>LEFT('1_入力シート【基本情報】'!$AF$361,1)</f>
        <v/>
      </c>
      <c r="C251" s="861" t="str">
        <f t="shared" si="6"/>
        <v/>
      </c>
      <c r="E251" s="851">
        <v>23</v>
      </c>
      <c r="F251" s="847" t="s">
        <v>33</v>
      </c>
      <c r="G251" s="824" t="s">
        <v>1407</v>
      </c>
      <c r="H251" s="842" t="s">
        <v>33</v>
      </c>
      <c r="I251" s="826" t="s">
        <v>1407</v>
      </c>
      <c r="J251" s="840" t="s">
        <v>2571</v>
      </c>
      <c r="K251" s="296"/>
      <c r="L251" s="296"/>
      <c r="O251" s="380" t="str">
        <f t="shared" si="7"/>
        <v>23調査結果-調査結果-3(10)</v>
      </c>
    </row>
    <row r="252" spans="2:15">
      <c r="B252" s="861" t="str">
        <f>LEFT('1_入力シート【基本情報】'!$AF$362,1)</f>
        <v/>
      </c>
      <c r="C252" s="861" t="str">
        <f t="shared" si="6"/>
        <v/>
      </c>
      <c r="E252" s="851">
        <v>23</v>
      </c>
      <c r="F252" s="847" t="s">
        <v>33</v>
      </c>
      <c r="G252" s="824" t="s">
        <v>1407</v>
      </c>
      <c r="H252" s="842" t="s">
        <v>33</v>
      </c>
      <c r="I252" s="826" t="s">
        <v>1407</v>
      </c>
      <c r="J252" s="840" t="s">
        <v>2572</v>
      </c>
      <c r="K252" s="296"/>
      <c r="L252" s="296"/>
      <c r="O252" s="380" t="str">
        <f t="shared" si="7"/>
        <v>23調査結果-調査結果-3(11)</v>
      </c>
    </row>
    <row r="253" spans="2:15">
      <c r="B253" s="861" t="str">
        <f>LEFT('1_入力シート【基本情報】'!$AF$363,1)</f>
        <v/>
      </c>
      <c r="C253" s="861" t="str">
        <f t="shared" si="6"/>
        <v/>
      </c>
      <c r="E253" s="851">
        <v>23</v>
      </c>
      <c r="F253" s="847" t="s">
        <v>33</v>
      </c>
      <c r="G253" s="824" t="s">
        <v>1407</v>
      </c>
      <c r="H253" s="842" t="s">
        <v>33</v>
      </c>
      <c r="I253" s="826" t="s">
        <v>1407</v>
      </c>
      <c r="J253" s="840" t="s">
        <v>2573</v>
      </c>
      <c r="K253" s="296"/>
      <c r="L253" s="296"/>
      <c r="O253" s="380" t="str">
        <f t="shared" ref="O253:O272" si="8">CONCATENATE(E253,F253,G253,H253,I253,J253,K253,L253)</f>
        <v>23調査結果-調査結果-3(12)</v>
      </c>
    </row>
    <row r="254" spans="2:15">
      <c r="B254" s="861" t="str">
        <f>LEFT('1_入力シート【基本情報】'!$AF$364,1)</f>
        <v/>
      </c>
      <c r="C254" s="861" t="str">
        <f t="shared" si="6"/>
        <v/>
      </c>
      <c r="E254" s="851">
        <v>23</v>
      </c>
      <c r="F254" s="847" t="s">
        <v>33</v>
      </c>
      <c r="G254" s="824" t="s">
        <v>1407</v>
      </c>
      <c r="H254" s="842" t="s">
        <v>33</v>
      </c>
      <c r="I254" s="826" t="s">
        <v>1407</v>
      </c>
      <c r="J254" s="840" t="s">
        <v>2574</v>
      </c>
      <c r="K254" s="296"/>
      <c r="L254" s="296"/>
      <c r="O254" s="380" t="str">
        <f t="shared" si="8"/>
        <v>23調査結果-調査結果-3(13)</v>
      </c>
    </row>
    <row r="255" spans="2:15">
      <c r="B255" s="861" t="str">
        <f>LEFT('1_入力シート【基本情報】'!$AF$365,1)</f>
        <v/>
      </c>
      <c r="C255" s="861" t="str">
        <f t="shared" si="6"/>
        <v/>
      </c>
      <c r="E255" s="851">
        <v>23</v>
      </c>
      <c r="F255" s="847" t="s">
        <v>33</v>
      </c>
      <c r="G255" s="824" t="s">
        <v>1407</v>
      </c>
      <c r="H255" s="842" t="s">
        <v>33</v>
      </c>
      <c r="I255" s="826" t="s">
        <v>1407</v>
      </c>
      <c r="J255" s="840" t="s">
        <v>2575</v>
      </c>
      <c r="K255" s="296"/>
      <c r="L255" s="296"/>
      <c r="O255" s="380" t="str">
        <f t="shared" si="8"/>
        <v>23調査結果-調査結果-3(14)</v>
      </c>
    </row>
    <row r="256" spans="2:15">
      <c r="B256" s="861" t="str">
        <f>LEFT('1_入力シート【基本情報】'!$AF$370,1)</f>
        <v/>
      </c>
      <c r="C256" s="861" t="str">
        <f t="shared" si="6"/>
        <v/>
      </c>
      <c r="E256" s="851">
        <v>23</v>
      </c>
      <c r="F256" s="847" t="s">
        <v>33</v>
      </c>
      <c r="G256" s="824" t="s">
        <v>1407</v>
      </c>
      <c r="H256" s="842" t="s">
        <v>33</v>
      </c>
      <c r="I256" s="826" t="s">
        <v>1407</v>
      </c>
      <c r="J256" s="840" t="s">
        <v>1222</v>
      </c>
      <c r="K256" s="296"/>
      <c r="L256" s="296"/>
      <c r="O256" s="380" t="str">
        <f t="shared" si="8"/>
        <v>23調査結果-調査結果-4(1)</v>
      </c>
    </row>
    <row r="257" spans="2:15">
      <c r="B257" s="861" t="str">
        <f>LEFT('1_入力シート【基本情報】'!$AF$371,1)</f>
        <v/>
      </c>
      <c r="C257" s="861" t="str">
        <f t="shared" si="6"/>
        <v/>
      </c>
      <c r="E257" s="851">
        <v>23</v>
      </c>
      <c r="F257" s="847" t="s">
        <v>33</v>
      </c>
      <c r="G257" s="824" t="s">
        <v>1407</v>
      </c>
      <c r="H257" s="842" t="s">
        <v>33</v>
      </c>
      <c r="I257" s="826" t="s">
        <v>1407</v>
      </c>
      <c r="J257" s="840" t="s">
        <v>1223</v>
      </c>
      <c r="K257" s="296"/>
      <c r="L257" s="296"/>
      <c r="O257" s="380" t="str">
        <f t="shared" si="8"/>
        <v>23調査結果-調査結果-4(2)</v>
      </c>
    </row>
    <row r="258" spans="2:15">
      <c r="B258" s="861" t="str">
        <f>LEFT('1_入力シート【基本情報】'!$AF$372,1)</f>
        <v/>
      </c>
      <c r="C258" s="861" t="str">
        <f t="shared" si="6"/>
        <v/>
      </c>
      <c r="E258" s="851">
        <v>23</v>
      </c>
      <c r="F258" s="847" t="s">
        <v>33</v>
      </c>
      <c r="G258" s="824" t="s">
        <v>1407</v>
      </c>
      <c r="H258" s="842" t="s">
        <v>33</v>
      </c>
      <c r="I258" s="826" t="s">
        <v>1407</v>
      </c>
      <c r="J258" s="840" t="s">
        <v>1224</v>
      </c>
      <c r="K258" s="296"/>
      <c r="L258" s="296"/>
      <c r="O258" s="380" t="str">
        <f t="shared" si="8"/>
        <v>23調査結果-調査結果-4(3)</v>
      </c>
    </row>
    <row r="259" spans="2:15">
      <c r="B259" s="861" t="str">
        <f>LEFT('1_入力シート【基本情報】'!$AF$373,1)</f>
        <v/>
      </c>
      <c r="C259" s="861" t="str">
        <f t="shared" si="6"/>
        <v/>
      </c>
      <c r="E259" s="851">
        <v>23</v>
      </c>
      <c r="F259" s="847" t="s">
        <v>33</v>
      </c>
      <c r="G259" s="824" t="s">
        <v>1407</v>
      </c>
      <c r="H259" s="842" t="s">
        <v>33</v>
      </c>
      <c r="I259" s="826" t="s">
        <v>1407</v>
      </c>
      <c r="J259" s="840" t="s">
        <v>1225</v>
      </c>
      <c r="K259" s="296"/>
      <c r="L259" s="296"/>
      <c r="O259" s="380" t="str">
        <f t="shared" si="8"/>
        <v>23調査結果-調査結果-4(4)</v>
      </c>
    </row>
    <row r="260" spans="2:15">
      <c r="B260" s="861" t="str">
        <f>LEFT('1_入力シート【基本情報】'!$AF$374,1)</f>
        <v/>
      </c>
      <c r="C260" s="861" t="str">
        <f t="shared" si="6"/>
        <v/>
      </c>
      <c r="E260" s="851">
        <v>23</v>
      </c>
      <c r="F260" s="847" t="s">
        <v>33</v>
      </c>
      <c r="G260" s="824" t="s">
        <v>1407</v>
      </c>
      <c r="H260" s="842" t="s">
        <v>33</v>
      </c>
      <c r="I260" s="826" t="s">
        <v>1407</v>
      </c>
      <c r="J260" s="840" t="s">
        <v>1226</v>
      </c>
      <c r="K260" s="296"/>
      <c r="L260" s="296"/>
      <c r="O260" s="380" t="str">
        <f t="shared" si="8"/>
        <v>23調査結果-調査結果-4(5)</v>
      </c>
    </row>
    <row r="261" spans="2:15">
      <c r="B261" s="861" t="str">
        <f>LEFT('1_入力シート【基本情報】'!$AF$375,1)</f>
        <v/>
      </c>
      <c r="C261" s="861" t="str">
        <f t="shared" ref="C261:C324" si="9">SUBSTITUTE(B261,CHAR(10),"")</f>
        <v/>
      </c>
      <c r="E261" s="851">
        <v>23</v>
      </c>
      <c r="F261" s="847" t="s">
        <v>33</v>
      </c>
      <c r="G261" s="824" t="s">
        <v>1407</v>
      </c>
      <c r="H261" s="842" t="s">
        <v>33</v>
      </c>
      <c r="I261" s="826" t="s">
        <v>1407</v>
      </c>
      <c r="J261" s="840" t="s">
        <v>1227</v>
      </c>
      <c r="K261" s="296"/>
      <c r="L261" s="296"/>
      <c r="O261" s="380" t="str">
        <f t="shared" si="8"/>
        <v>23調査結果-調査結果-4(6)</v>
      </c>
    </row>
    <row r="262" spans="2:15">
      <c r="B262" s="861" t="str">
        <f>LEFT('1_入力シート【基本情報】'!$AF$376,1)</f>
        <v/>
      </c>
      <c r="C262" s="861" t="str">
        <f t="shared" si="9"/>
        <v/>
      </c>
      <c r="E262" s="851">
        <v>23</v>
      </c>
      <c r="F262" s="847" t="s">
        <v>33</v>
      </c>
      <c r="G262" s="824" t="s">
        <v>1407</v>
      </c>
      <c r="H262" s="842" t="s">
        <v>33</v>
      </c>
      <c r="I262" s="826" t="s">
        <v>1407</v>
      </c>
      <c r="J262" s="840" t="s">
        <v>1228</v>
      </c>
      <c r="K262" s="296"/>
      <c r="L262" s="296"/>
      <c r="O262" s="380" t="str">
        <f t="shared" si="8"/>
        <v>23調査結果-調査結果-4(7)</v>
      </c>
    </row>
    <row r="263" spans="2:15">
      <c r="B263" s="861" t="str">
        <f>LEFT('1_入力シート【基本情報】'!$AF$377,1)</f>
        <v/>
      </c>
      <c r="C263" s="861" t="str">
        <f t="shared" si="9"/>
        <v/>
      </c>
      <c r="E263" s="851">
        <v>23</v>
      </c>
      <c r="F263" s="847" t="s">
        <v>33</v>
      </c>
      <c r="G263" s="824" t="s">
        <v>1407</v>
      </c>
      <c r="H263" s="842" t="s">
        <v>33</v>
      </c>
      <c r="I263" s="826" t="s">
        <v>1407</v>
      </c>
      <c r="J263" s="840" t="s">
        <v>1229</v>
      </c>
      <c r="K263" s="296"/>
      <c r="L263" s="296"/>
      <c r="O263" s="380" t="str">
        <f t="shared" si="8"/>
        <v>23調査結果-調査結果-4(8)</v>
      </c>
    </row>
    <row r="264" spans="2:15">
      <c r="B264" s="861" t="str">
        <f>LEFT('1_入力シート【基本情報】'!$AF$378,1)</f>
        <v/>
      </c>
      <c r="C264" s="861" t="str">
        <f t="shared" si="9"/>
        <v/>
      </c>
      <c r="E264" s="851">
        <v>23</v>
      </c>
      <c r="F264" s="847" t="s">
        <v>33</v>
      </c>
      <c r="G264" s="824" t="s">
        <v>1407</v>
      </c>
      <c r="H264" s="842" t="s">
        <v>33</v>
      </c>
      <c r="I264" s="826" t="s">
        <v>1407</v>
      </c>
      <c r="J264" s="840" t="s">
        <v>1230</v>
      </c>
      <c r="K264" s="296"/>
      <c r="L264" s="296"/>
      <c r="O264" s="380" t="str">
        <f t="shared" si="8"/>
        <v>23調査結果-調査結果-4(9)</v>
      </c>
    </row>
    <row r="265" spans="2:15">
      <c r="B265" s="861" t="str">
        <f>LEFT('1_入力シート【基本情報】'!$AF$379,1)</f>
        <v/>
      </c>
      <c r="C265" s="861" t="str">
        <f t="shared" si="9"/>
        <v/>
      </c>
      <c r="E265" s="851">
        <v>23</v>
      </c>
      <c r="F265" s="847" t="s">
        <v>33</v>
      </c>
      <c r="G265" s="824" t="s">
        <v>1407</v>
      </c>
      <c r="H265" s="842" t="s">
        <v>33</v>
      </c>
      <c r="I265" s="826" t="s">
        <v>1407</v>
      </c>
      <c r="J265" s="840" t="s">
        <v>1231</v>
      </c>
      <c r="K265" s="296"/>
      <c r="L265" s="296"/>
      <c r="O265" s="380" t="str">
        <f t="shared" si="8"/>
        <v>23調査結果-調査結果-4(10)</v>
      </c>
    </row>
    <row r="266" spans="2:15">
      <c r="B266" s="861" t="str">
        <f>LEFT('1_入力シート【基本情報】'!$AF$380,1)</f>
        <v/>
      </c>
      <c r="C266" s="861" t="str">
        <f t="shared" si="9"/>
        <v/>
      </c>
      <c r="E266" s="851">
        <v>23</v>
      </c>
      <c r="F266" s="847" t="s">
        <v>33</v>
      </c>
      <c r="G266" s="824" t="s">
        <v>1407</v>
      </c>
      <c r="H266" s="842" t="s">
        <v>33</v>
      </c>
      <c r="I266" s="826" t="s">
        <v>1407</v>
      </c>
      <c r="J266" s="840" t="s">
        <v>1232</v>
      </c>
      <c r="K266" s="296"/>
      <c r="L266" s="296"/>
      <c r="O266" s="380" t="str">
        <f t="shared" si="8"/>
        <v>23調査結果-調査結果-4(11)</v>
      </c>
    </row>
    <row r="267" spans="2:15">
      <c r="B267" s="861" t="str">
        <f>LEFT('1_入力シート【基本情報】'!$AF$381,1)</f>
        <v/>
      </c>
      <c r="C267" s="861" t="str">
        <f t="shared" si="9"/>
        <v/>
      </c>
      <c r="E267" s="851">
        <v>23</v>
      </c>
      <c r="F267" s="847" t="s">
        <v>33</v>
      </c>
      <c r="G267" s="824" t="s">
        <v>1407</v>
      </c>
      <c r="H267" s="842" t="s">
        <v>33</v>
      </c>
      <c r="I267" s="826" t="s">
        <v>1407</v>
      </c>
      <c r="J267" s="840" t="s">
        <v>1233</v>
      </c>
      <c r="K267" s="296"/>
      <c r="L267" s="296"/>
      <c r="O267" s="380" t="str">
        <f t="shared" si="8"/>
        <v>23調査結果-調査結果-4(12)</v>
      </c>
    </row>
    <row r="268" spans="2:15">
      <c r="B268" s="861" t="str">
        <f>LEFT('1_入力シート【基本情報】'!$AF$382,1)</f>
        <v/>
      </c>
      <c r="C268" s="861" t="str">
        <f t="shared" si="9"/>
        <v/>
      </c>
      <c r="E268" s="851">
        <v>23</v>
      </c>
      <c r="F268" s="847" t="s">
        <v>33</v>
      </c>
      <c r="G268" s="824" t="s">
        <v>1407</v>
      </c>
      <c r="H268" s="842" t="s">
        <v>33</v>
      </c>
      <c r="I268" s="826" t="s">
        <v>1407</v>
      </c>
      <c r="J268" s="840" t="s">
        <v>1234</v>
      </c>
      <c r="K268" s="296"/>
      <c r="L268" s="296"/>
      <c r="O268" s="380" t="str">
        <f t="shared" si="8"/>
        <v>23調査結果-調査結果-4(13)</v>
      </c>
    </row>
    <row r="269" spans="2:15">
      <c r="B269" s="861" t="str">
        <f>LEFT('1_入力シート【基本情報】'!$AF$383,1)</f>
        <v/>
      </c>
      <c r="C269" s="861" t="str">
        <f t="shared" si="9"/>
        <v/>
      </c>
      <c r="E269" s="851">
        <v>23</v>
      </c>
      <c r="F269" s="847" t="s">
        <v>33</v>
      </c>
      <c r="G269" s="824" t="s">
        <v>1407</v>
      </c>
      <c r="H269" s="842" t="s">
        <v>33</v>
      </c>
      <c r="I269" s="826" t="s">
        <v>1407</v>
      </c>
      <c r="J269" s="840" t="s">
        <v>1235</v>
      </c>
      <c r="K269" s="296"/>
      <c r="L269" s="296"/>
      <c r="O269" s="380" t="str">
        <f t="shared" si="8"/>
        <v>23調査結果-調査結果-4(14)</v>
      </c>
    </row>
    <row r="270" spans="2:15">
      <c r="B270" s="861" t="str">
        <f>LEFT('1_入力シート【基本情報】'!$AF$384,1)</f>
        <v/>
      </c>
      <c r="C270" s="861" t="str">
        <f t="shared" si="9"/>
        <v/>
      </c>
      <c r="E270" s="851">
        <v>23</v>
      </c>
      <c r="F270" s="847" t="s">
        <v>33</v>
      </c>
      <c r="G270" s="824" t="s">
        <v>1407</v>
      </c>
      <c r="H270" s="842" t="s">
        <v>33</v>
      </c>
      <c r="I270" s="826" t="s">
        <v>1407</v>
      </c>
      <c r="J270" s="840" t="s">
        <v>1236</v>
      </c>
      <c r="K270" s="296"/>
      <c r="L270" s="296"/>
      <c r="O270" s="380" t="str">
        <f t="shared" si="8"/>
        <v>23調査結果-調査結果-4(15)</v>
      </c>
    </row>
    <row r="271" spans="2:15">
      <c r="B271" s="861" t="str">
        <f>LEFT('1_入力シート【基本情報】'!$AF$385,1)</f>
        <v/>
      </c>
      <c r="C271" s="861" t="str">
        <f t="shared" si="9"/>
        <v/>
      </c>
      <c r="E271" s="851">
        <v>23</v>
      </c>
      <c r="F271" s="847" t="s">
        <v>33</v>
      </c>
      <c r="G271" s="824" t="s">
        <v>1407</v>
      </c>
      <c r="H271" s="842" t="s">
        <v>33</v>
      </c>
      <c r="I271" s="826" t="s">
        <v>1407</v>
      </c>
      <c r="J271" s="840" t="s">
        <v>1237</v>
      </c>
      <c r="K271" s="296"/>
      <c r="L271" s="296"/>
      <c r="O271" s="380" t="str">
        <f t="shared" si="8"/>
        <v>23調査結果-調査結果-4(16)</v>
      </c>
    </row>
    <row r="272" spans="2:15">
      <c r="B272" s="861" t="str">
        <f>LEFT('1_入力シート【基本情報】'!$AF$386,1)</f>
        <v/>
      </c>
      <c r="C272" s="861" t="str">
        <f t="shared" si="9"/>
        <v/>
      </c>
      <c r="E272" s="851">
        <v>23</v>
      </c>
      <c r="F272" s="847" t="s">
        <v>33</v>
      </c>
      <c r="G272" s="824" t="s">
        <v>1407</v>
      </c>
      <c r="H272" s="842" t="s">
        <v>33</v>
      </c>
      <c r="I272" s="826" t="s">
        <v>1407</v>
      </c>
      <c r="J272" s="840" t="s">
        <v>1238</v>
      </c>
      <c r="K272" s="296"/>
      <c r="L272" s="296"/>
      <c r="O272" s="380" t="str">
        <f t="shared" si="8"/>
        <v>23調査結果-調査結果-4(17)</v>
      </c>
    </row>
    <row r="273" spans="2:15">
      <c r="B273" s="861" t="str">
        <f>LEFT('1_入力シート【基本情報】'!$AF$387,1)</f>
        <v/>
      </c>
      <c r="C273" s="861" t="str">
        <f t="shared" si="9"/>
        <v/>
      </c>
      <c r="E273" s="851">
        <v>23</v>
      </c>
      <c r="F273" s="847" t="s">
        <v>33</v>
      </c>
      <c r="G273" s="824" t="s">
        <v>1407</v>
      </c>
      <c r="H273" s="842" t="s">
        <v>33</v>
      </c>
      <c r="I273" s="826" t="s">
        <v>1407</v>
      </c>
      <c r="J273" s="840" t="s">
        <v>1239</v>
      </c>
      <c r="K273" s="296"/>
      <c r="L273" s="296"/>
      <c r="O273" s="380" t="str">
        <f t="shared" ref="O273:O336" si="10">CONCATENATE(E273,F273,G273,H273,I273,J273,K273,L273)</f>
        <v>23調査結果-調査結果-4(18)</v>
      </c>
    </row>
    <row r="274" spans="2:15">
      <c r="B274" s="861" t="str">
        <f>LEFT('1_入力シート【基本情報】'!$AF$388,1)</f>
        <v/>
      </c>
      <c r="C274" s="861" t="str">
        <f t="shared" si="9"/>
        <v/>
      </c>
      <c r="E274" s="851">
        <v>23</v>
      </c>
      <c r="F274" s="847" t="s">
        <v>33</v>
      </c>
      <c r="G274" s="824" t="s">
        <v>1407</v>
      </c>
      <c r="H274" s="842" t="s">
        <v>33</v>
      </c>
      <c r="I274" s="826" t="s">
        <v>1407</v>
      </c>
      <c r="J274" s="840" t="s">
        <v>1240</v>
      </c>
      <c r="K274" s="296"/>
      <c r="L274" s="296"/>
      <c r="O274" s="380" t="str">
        <f t="shared" si="10"/>
        <v>23調査結果-調査結果-4(19)</v>
      </c>
    </row>
    <row r="275" spans="2:15">
      <c r="B275" s="861" t="str">
        <f>LEFT('1_入力シート【基本情報】'!$AF$389,1)</f>
        <v/>
      </c>
      <c r="C275" s="861" t="str">
        <f t="shared" si="9"/>
        <v/>
      </c>
      <c r="E275" s="851">
        <v>23</v>
      </c>
      <c r="F275" s="847" t="s">
        <v>33</v>
      </c>
      <c r="G275" s="824" t="s">
        <v>1407</v>
      </c>
      <c r="H275" s="842" t="s">
        <v>33</v>
      </c>
      <c r="I275" s="826" t="s">
        <v>1407</v>
      </c>
      <c r="J275" s="840" t="s">
        <v>1241</v>
      </c>
      <c r="K275" s="296"/>
      <c r="L275" s="296"/>
      <c r="O275" s="380" t="str">
        <f t="shared" si="10"/>
        <v>23調査結果-調査結果-4(20)</v>
      </c>
    </row>
    <row r="276" spans="2:15">
      <c r="B276" s="861" t="str">
        <f>LEFT('1_入力シート【基本情報】'!$AF$390,1)</f>
        <v/>
      </c>
      <c r="C276" s="861" t="str">
        <f t="shared" si="9"/>
        <v/>
      </c>
      <c r="E276" s="851">
        <v>23</v>
      </c>
      <c r="F276" s="847" t="s">
        <v>33</v>
      </c>
      <c r="G276" s="824" t="s">
        <v>1407</v>
      </c>
      <c r="H276" s="842" t="s">
        <v>33</v>
      </c>
      <c r="I276" s="826" t="s">
        <v>1407</v>
      </c>
      <c r="J276" s="840" t="s">
        <v>1242</v>
      </c>
      <c r="K276" s="296"/>
      <c r="L276" s="296"/>
      <c r="O276" s="380" t="str">
        <f t="shared" si="10"/>
        <v>23調査結果-調査結果-4(21)</v>
      </c>
    </row>
    <row r="277" spans="2:15">
      <c r="B277" s="861" t="str">
        <f>LEFT('1_入力シート【基本情報】'!$AF$391,1)</f>
        <v/>
      </c>
      <c r="C277" s="861" t="str">
        <f t="shared" si="9"/>
        <v/>
      </c>
      <c r="E277" s="851">
        <v>23</v>
      </c>
      <c r="F277" s="847" t="s">
        <v>33</v>
      </c>
      <c r="G277" s="824" t="s">
        <v>1407</v>
      </c>
      <c r="H277" s="842" t="s">
        <v>33</v>
      </c>
      <c r="I277" s="826" t="s">
        <v>1407</v>
      </c>
      <c r="J277" s="840" t="s">
        <v>1243</v>
      </c>
      <c r="K277" s="296"/>
      <c r="L277" s="296"/>
      <c r="O277" s="380" t="str">
        <f t="shared" si="10"/>
        <v>23調査結果-調査結果-4(22)</v>
      </c>
    </row>
    <row r="278" spans="2:15">
      <c r="B278" s="861" t="str">
        <f>LEFT('1_入力シート【基本情報】'!$AF$392,1)</f>
        <v/>
      </c>
      <c r="C278" s="861" t="str">
        <f t="shared" si="9"/>
        <v/>
      </c>
      <c r="E278" s="851">
        <v>23</v>
      </c>
      <c r="F278" s="847" t="s">
        <v>33</v>
      </c>
      <c r="G278" s="824" t="s">
        <v>1407</v>
      </c>
      <c r="H278" s="842" t="s">
        <v>33</v>
      </c>
      <c r="I278" s="826" t="s">
        <v>1407</v>
      </c>
      <c r="J278" s="840" t="s">
        <v>1244</v>
      </c>
      <c r="K278" s="296"/>
      <c r="L278" s="296"/>
      <c r="O278" s="380" t="str">
        <f t="shared" si="10"/>
        <v>23調査結果-調査結果-4(23)</v>
      </c>
    </row>
    <row r="279" spans="2:15">
      <c r="B279" s="861" t="str">
        <f>LEFT('1_入力シート【基本情報】'!$AF$393,1)</f>
        <v/>
      </c>
      <c r="C279" s="861" t="str">
        <f t="shared" si="9"/>
        <v/>
      </c>
      <c r="E279" s="851">
        <v>23</v>
      </c>
      <c r="F279" s="847" t="s">
        <v>33</v>
      </c>
      <c r="G279" s="824" t="s">
        <v>1407</v>
      </c>
      <c r="H279" s="842" t="s">
        <v>33</v>
      </c>
      <c r="I279" s="826" t="s">
        <v>1407</v>
      </c>
      <c r="J279" s="840" t="s">
        <v>1245</v>
      </c>
      <c r="K279" s="296"/>
      <c r="L279" s="296"/>
      <c r="O279" s="380" t="str">
        <f t="shared" si="10"/>
        <v>23調査結果-調査結果-4(24)</v>
      </c>
    </row>
    <row r="280" spans="2:15">
      <c r="B280" s="861" t="str">
        <f>LEFT('1_入力シート【基本情報】'!$AF$394,1)</f>
        <v/>
      </c>
      <c r="C280" s="861" t="str">
        <f t="shared" si="9"/>
        <v/>
      </c>
      <c r="E280" s="851">
        <v>23</v>
      </c>
      <c r="F280" s="847" t="s">
        <v>33</v>
      </c>
      <c r="G280" s="824" t="s">
        <v>1407</v>
      </c>
      <c r="H280" s="842" t="s">
        <v>33</v>
      </c>
      <c r="I280" s="826" t="s">
        <v>1407</v>
      </c>
      <c r="J280" s="840" t="s">
        <v>1246</v>
      </c>
      <c r="K280" s="296"/>
      <c r="L280" s="296"/>
      <c r="O280" s="380" t="str">
        <f t="shared" si="10"/>
        <v>23調査結果-調査結果-4(25)</v>
      </c>
    </row>
    <row r="281" spans="2:15">
      <c r="B281" s="861" t="str">
        <f>LEFT('1_入力シート【基本情報】'!$AF$395,1)</f>
        <v/>
      </c>
      <c r="C281" s="861" t="str">
        <f t="shared" si="9"/>
        <v/>
      </c>
      <c r="E281" s="851">
        <v>23</v>
      </c>
      <c r="F281" s="847" t="s">
        <v>33</v>
      </c>
      <c r="G281" s="824" t="s">
        <v>1407</v>
      </c>
      <c r="H281" s="842" t="s">
        <v>33</v>
      </c>
      <c r="I281" s="826" t="s">
        <v>1407</v>
      </c>
      <c r="J281" s="840" t="s">
        <v>1247</v>
      </c>
      <c r="K281" s="296"/>
      <c r="L281" s="296"/>
      <c r="O281" s="380" t="str">
        <f t="shared" si="10"/>
        <v>23調査結果-調査結果-4(26)</v>
      </c>
    </row>
    <row r="282" spans="2:15">
      <c r="B282" s="861" t="str">
        <f>LEFT('1_入力シート【基本情報】'!$AF$396,1)</f>
        <v/>
      </c>
      <c r="C282" s="861" t="str">
        <f t="shared" si="9"/>
        <v/>
      </c>
      <c r="E282" s="851">
        <v>23</v>
      </c>
      <c r="F282" s="847" t="s">
        <v>33</v>
      </c>
      <c r="G282" s="824" t="s">
        <v>1407</v>
      </c>
      <c r="H282" s="842" t="s">
        <v>33</v>
      </c>
      <c r="I282" s="826" t="s">
        <v>1407</v>
      </c>
      <c r="J282" s="840" t="s">
        <v>1248</v>
      </c>
      <c r="K282" s="296"/>
      <c r="L282" s="296"/>
      <c r="O282" s="380" t="str">
        <f t="shared" si="10"/>
        <v>23調査結果-調査結果-4(27)</v>
      </c>
    </row>
    <row r="283" spans="2:15">
      <c r="B283" s="861" t="str">
        <f>LEFT('1_入力シート【基本情報】'!$AF$397,1)</f>
        <v/>
      </c>
      <c r="C283" s="861" t="str">
        <f t="shared" si="9"/>
        <v/>
      </c>
      <c r="E283" s="851">
        <v>23</v>
      </c>
      <c r="F283" s="847" t="s">
        <v>33</v>
      </c>
      <c r="G283" s="824" t="s">
        <v>1407</v>
      </c>
      <c r="H283" s="842" t="s">
        <v>33</v>
      </c>
      <c r="I283" s="826" t="s">
        <v>1407</v>
      </c>
      <c r="J283" s="840" t="s">
        <v>1249</v>
      </c>
      <c r="K283" s="296"/>
      <c r="L283" s="296"/>
      <c r="O283" s="380" t="str">
        <f t="shared" si="10"/>
        <v>23調査結果-調査結果-4(28)</v>
      </c>
    </row>
    <row r="284" spans="2:15">
      <c r="B284" s="861" t="str">
        <f>LEFT('1_入力シート【基本情報】'!$AF$398,1)</f>
        <v/>
      </c>
      <c r="C284" s="861" t="str">
        <f t="shared" si="9"/>
        <v/>
      </c>
      <c r="E284" s="851">
        <v>23</v>
      </c>
      <c r="F284" s="847" t="s">
        <v>33</v>
      </c>
      <c r="G284" s="824" t="s">
        <v>1407</v>
      </c>
      <c r="H284" s="842" t="s">
        <v>33</v>
      </c>
      <c r="I284" s="826" t="s">
        <v>1407</v>
      </c>
      <c r="J284" s="840" t="s">
        <v>1250</v>
      </c>
      <c r="K284" s="296"/>
      <c r="L284" s="296"/>
      <c r="O284" s="380" t="str">
        <f t="shared" si="10"/>
        <v>23調査結果-調査結果-4(29)</v>
      </c>
    </row>
    <row r="285" spans="2:15">
      <c r="B285" s="861" t="str">
        <f>LEFT('1_入力シート【基本情報】'!$AF$399,1)</f>
        <v/>
      </c>
      <c r="C285" s="861" t="str">
        <f t="shared" si="9"/>
        <v/>
      </c>
      <c r="E285" s="851">
        <v>23</v>
      </c>
      <c r="F285" s="847" t="s">
        <v>33</v>
      </c>
      <c r="G285" s="824" t="s">
        <v>1407</v>
      </c>
      <c r="H285" s="842" t="s">
        <v>33</v>
      </c>
      <c r="I285" s="826" t="s">
        <v>1407</v>
      </c>
      <c r="J285" s="840" t="s">
        <v>1251</v>
      </c>
      <c r="K285" s="296"/>
      <c r="L285" s="296"/>
      <c r="O285" s="380" t="str">
        <f t="shared" si="10"/>
        <v>23調査結果-調査結果-4(30)</v>
      </c>
    </row>
    <row r="286" spans="2:15">
      <c r="B286" s="861" t="str">
        <f>LEFT('1_入力シート【基本情報】'!$AF$400,1)</f>
        <v/>
      </c>
      <c r="C286" s="861" t="str">
        <f t="shared" si="9"/>
        <v/>
      </c>
      <c r="E286" s="851">
        <v>23</v>
      </c>
      <c r="F286" s="847" t="s">
        <v>33</v>
      </c>
      <c r="G286" s="824" t="s">
        <v>1407</v>
      </c>
      <c r="H286" s="842" t="s">
        <v>33</v>
      </c>
      <c r="I286" s="826" t="s">
        <v>1407</v>
      </c>
      <c r="J286" s="840" t="s">
        <v>1252</v>
      </c>
      <c r="K286" s="296"/>
      <c r="L286" s="296"/>
      <c r="O286" s="380" t="str">
        <f t="shared" si="10"/>
        <v>23調査結果-調査結果-4(31)</v>
      </c>
    </row>
    <row r="287" spans="2:15">
      <c r="B287" s="861" t="str">
        <f>LEFT('1_入力シート【基本情報】'!$AF$401,1)</f>
        <v/>
      </c>
      <c r="C287" s="861" t="str">
        <f t="shared" si="9"/>
        <v/>
      </c>
      <c r="E287" s="851">
        <v>23</v>
      </c>
      <c r="F287" s="847" t="s">
        <v>33</v>
      </c>
      <c r="G287" s="824" t="s">
        <v>1407</v>
      </c>
      <c r="H287" s="842" t="s">
        <v>33</v>
      </c>
      <c r="I287" s="826" t="s">
        <v>1407</v>
      </c>
      <c r="J287" s="840" t="s">
        <v>1253</v>
      </c>
      <c r="K287" s="296"/>
      <c r="L287" s="296"/>
      <c r="O287" s="380" t="str">
        <f t="shared" si="10"/>
        <v>23調査結果-調査結果-4(32)</v>
      </c>
    </row>
    <row r="288" spans="2:15">
      <c r="B288" s="861" t="str">
        <f>LEFT('1_入力シート【基本情報】'!$AF$402,1)</f>
        <v/>
      </c>
      <c r="C288" s="861" t="str">
        <f t="shared" si="9"/>
        <v/>
      </c>
      <c r="E288" s="851">
        <v>23</v>
      </c>
      <c r="F288" s="847" t="s">
        <v>33</v>
      </c>
      <c r="G288" s="824" t="s">
        <v>1407</v>
      </c>
      <c r="H288" s="842" t="s">
        <v>33</v>
      </c>
      <c r="I288" s="826" t="s">
        <v>1407</v>
      </c>
      <c r="J288" s="840" t="s">
        <v>1254</v>
      </c>
      <c r="K288" s="296"/>
      <c r="L288" s="296"/>
      <c r="O288" s="380" t="str">
        <f t="shared" si="10"/>
        <v>23調査結果-調査結果-4(33)</v>
      </c>
    </row>
    <row r="289" spans="2:15">
      <c r="B289" s="861" t="str">
        <f>LEFT('1_入力シート【基本情報】'!$AF$403,1)</f>
        <v/>
      </c>
      <c r="C289" s="861" t="str">
        <f t="shared" si="9"/>
        <v/>
      </c>
      <c r="E289" s="851">
        <v>23</v>
      </c>
      <c r="F289" s="847" t="s">
        <v>33</v>
      </c>
      <c r="G289" s="824" t="s">
        <v>1407</v>
      </c>
      <c r="H289" s="842" t="s">
        <v>33</v>
      </c>
      <c r="I289" s="826" t="s">
        <v>1407</v>
      </c>
      <c r="J289" s="840" t="s">
        <v>1255</v>
      </c>
      <c r="K289" s="296"/>
      <c r="L289" s="296"/>
      <c r="O289" s="380" t="str">
        <f t="shared" si="10"/>
        <v>23調査結果-調査結果-4(34)</v>
      </c>
    </row>
    <row r="290" spans="2:15">
      <c r="B290" s="861" t="str">
        <f>LEFT('1_入力シート【基本情報】'!$AF$404,1)</f>
        <v/>
      </c>
      <c r="C290" s="861" t="str">
        <f t="shared" si="9"/>
        <v/>
      </c>
      <c r="E290" s="851">
        <v>23</v>
      </c>
      <c r="F290" s="847" t="s">
        <v>33</v>
      </c>
      <c r="G290" s="824" t="s">
        <v>1407</v>
      </c>
      <c r="H290" s="842" t="s">
        <v>33</v>
      </c>
      <c r="I290" s="826" t="s">
        <v>1407</v>
      </c>
      <c r="J290" s="840" t="s">
        <v>1256</v>
      </c>
      <c r="K290" s="296"/>
      <c r="L290" s="296"/>
      <c r="O290" s="380" t="str">
        <f t="shared" si="10"/>
        <v>23調査結果-調査結果-4(35)</v>
      </c>
    </row>
    <row r="291" spans="2:15">
      <c r="B291" s="861" t="str">
        <f>LEFT('1_入力シート【基本情報】'!$AF$405,1)</f>
        <v/>
      </c>
      <c r="C291" s="861" t="str">
        <f t="shared" si="9"/>
        <v/>
      </c>
      <c r="E291" s="851">
        <v>23</v>
      </c>
      <c r="F291" s="847" t="s">
        <v>33</v>
      </c>
      <c r="G291" s="824" t="s">
        <v>1407</v>
      </c>
      <c r="H291" s="842" t="s">
        <v>33</v>
      </c>
      <c r="I291" s="826" t="s">
        <v>1407</v>
      </c>
      <c r="J291" s="840" t="s">
        <v>1257</v>
      </c>
      <c r="K291" s="296"/>
      <c r="L291" s="296"/>
      <c r="O291" s="380" t="str">
        <f t="shared" si="10"/>
        <v>23調査結果-調査結果-4(36)</v>
      </c>
    </row>
    <row r="292" spans="2:15">
      <c r="B292" s="861" t="str">
        <f>LEFT('1_入力シート【基本情報】'!$AF$406,1)</f>
        <v/>
      </c>
      <c r="C292" s="861" t="str">
        <f t="shared" si="9"/>
        <v/>
      </c>
      <c r="E292" s="851">
        <v>23</v>
      </c>
      <c r="F292" s="847" t="s">
        <v>33</v>
      </c>
      <c r="G292" s="824" t="s">
        <v>1407</v>
      </c>
      <c r="H292" s="842" t="s">
        <v>33</v>
      </c>
      <c r="I292" s="826" t="s">
        <v>1407</v>
      </c>
      <c r="J292" s="840" t="s">
        <v>1258</v>
      </c>
      <c r="K292" s="296"/>
      <c r="L292" s="296"/>
      <c r="O292" s="380" t="str">
        <f t="shared" si="10"/>
        <v>23調査結果-調査結果-4(37)</v>
      </c>
    </row>
    <row r="293" spans="2:15">
      <c r="B293" s="861" t="str">
        <f>LEFT('1_入力シート【基本情報】'!$AF$407,1)</f>
        <v/>
      </c>
      <c r="C293" s="861" t="str">
        <f t="shared" si="9"/>
        <v/>
      </c>
      <c r="E293" s="851">
        <v>23</v>
      </c>
      <c r="F293" s="847" t="s">
        <v>33</v>
      </c>
      <c r="G293" s="824" t="s">
        <v>1407</v>
      </c>
      <c r="H293" s="842" t="s">
        <v>33</v>
      </c>
      <c r="I293" s="826" t="s">
        <v>1407</v>
      </c>
      <c r="J293" s="840" t="s">
        <v>1259</v>
      </c>
      <c r="K293" s="296"/>
      <c r="L293" s="296"/>
      <c r="O293" s="380" t="str">
        <f t="shared" si="10"/>
        <v>23調査結果-調査結果-4(38)</v>
      </c>
    </row>
    <row r="294" spans="2:15">
      <c r="B294" s="861" t="str">
        <f>LEFT('1_入力シート【基本情報】'!$AF$408,1)</f>
        <v/>
      </c>
      <c r="C294" s="861" t="str">
        <f t="shared" si="9"/>
        <v/>
      </c>
      <c r="E294" s="851">
        <v>23</v>
      </c>
      <c r="F294" s="847" t="s">
        <v>33</v>
      </c>
      <c r="G294" s="824" t="s">
        <v>1407</v>
      </c>
      <c r="H294" s="842" t="s">
        <v>33</v>
      </c>
      <c r="I294" s="826" t="s">
        <v>1407</v>
      </c>
      <c r="J294" s="840" t="s">
        <v>1260</v>
      </c>
      <c r="K294" s="296"/>
      <c r="L294" s="296"/>
      <c r="O294" s="380" t="str">
        <f t="shared" si="10"/>
        <v>23調査結果-調査結果-4(39)</v>
      </c>
    </row>
    <row r="295" spans="2:15">
      <c r="B295" s="861" t="str">
        <f>LEFT('1_入力シート【基本情報】'!$AF$409,1)</f>
        <v/>
      </c>
      <c r="C295" s="861" t="str">
        <f t="shared" si="9"/>
        <v/>
      </c>
      <c r="E295" s="851">
        <v>23</v>
      </c>
      <c r="F295" s="847" t="s">
        <v>33</v>
      </c>
      <c r="G295" s="824" t="s">
        <v>1407</v>
      </c>
      <c r="H295" s="842" t="s">
        <v>33</v>
      </c>
      <c r="I295" s="826" t="s">
        <v>1407</v>
      </c>
      <c r="J295" s="840" t="s">
        <v>1261</v>
      </c>
      <c r="K295" s="296"/>
      <c r="L295" s="296"/>
      <c r="O295" s="380" t="str">
        <f t="shared" si="10"/>
        <v>23調査結果-調査結果-4(40)</v>
      </c>
    </row>
    <row r="296" spans="2:15">
      <c r="B296" s="861" t="str">
        <f>LEFT('1_入力シート【基本情報】'!$AF$410,1)</f>
        <v/>
      </c>
      <c r="C296" s="861" t="str">
        <f t="shared" si="9"/>
        <v/>
      </c>
      <c r="E296" s="851">
        <v>23</v>
      </c>
      <c r="F296" s="847" t="s">
        <v>33</v>
      </c>
      <c r="G296" s="824" t="s">
        <v>1407</v>
      </c>
      <c r="H296" s="842" t="s">
        <v>33</v>
      </c>
      <c r="I296" s="826" t="s">
        <v>1407</v>
      </c>
      <c r="J296" s="840" t="s">
        <v>1262</v>
      </c>
      <c r="K296" s="296"/>
      <c r="L296" s="296"/>
      <c r="O296" s="380" t="str">
        <f t="shared" si="10"/>
        <v>23調査結果-調査結果-4(41)</v>
      </c>
    </row>
    <row r="297" spans="2:15">
      <c r="B297" s="861" t="str">
        <f>LEFT('1_入力シート【基本情報】'!$AF$411,1)</f>
        <v/>
      </c>
      <c r="C297" s="861" t="str">
        <f t="shared" si="9"/>
        <v/>
      </c>
      <c r="E297" s="851">
        <v>23</v>
      </c>
      <c r="F297" s="847" t="s">
        <v>33</v>
      </c>
      <c r="G297" s="824" t="s">
        <v>1407</v>
      </c>
      <c r="H297" s="842" t="s">
        <v>33</v>
      </c>
      <c r="I297" s="826" t="s">
        <v>1407</v>
      </c>
      <c r="J297" s="840" t="s">
        <v>1263</v>
      </c>
      <c r="K297" s="296"/>
      <c r="L297" s="296"/>
      <c r="O297" s="380" t="str">
        <f t="shared" si="10"/>
        <v>23調査結果-調査結果-4(42)</v>
      </c>
    </row>
    <row r="298" spans="2:15">
      <c r="B298" s="861" t="str">
        <f>LEFT('1_入力シート【基本情報】'!$AF$412,1)</f>
        <v/>
      </c>
      <c r="C298" s="861" t="str">
        <f t="shared" si="9"/>
        <v/>
      </c>
      <c r="E298" s="851">
        <v>23</v>
      </c>
      <c r="F298" s="847" t="s">
        <v>33</v>
      </c>
      <c r="G298" s="824" t="s">
        <v>1407</v>
      </c>
      <c r="H298" s="842" t="s">
        <v>33</v>
      </c>
      <c r="I298" s="826" t="s">
        <v>1407</v>
      </c>
      <c r="J298" s="840" t="s">
        <v>1264</v>
      </c>
      <c r="K298" s="296"/>
      <c r="L298" s="296"/>
      <c r="O298" s="380" t="str">
        <f t="shared" si="10"/>
        <v>23調査結果-調査結果-4(43)</v>
      </c>
    </row>
    <row r="299" spans="2:15">
      <c r="B299" s="861" t="str">
        <f>LEFT('1_入力シート【基本情報】'!$AF$413,1)</f>
        <v/>
      </c>
      <c r="C299" s="861" t="str">
        <f t="shared" si="9"/>
        <v/>
      </c>
      <c r="E299" s="851">
        <v>23</v>
      </c>
      <c r="F299" s="847" t="s">
        <v>33</v>
      </c>
      <c r="G299" s="824" t="s">
        <v>1407</v>
      </c>
      <c r="H299" s="842" t="s">
        <v>33</v>
      </c>
      <c r="I299" s="826" t="s">
        <v>1407</v>
      </c>
      <c r="J299" s="840" t="s">
        <v>1265</v>
      </c>
      <c r="K299" s="296"/>
      <c r="L299" s="296"/>
      <c r="O299" s="380" t="str">
        <f t="shared" si="10"/>
        <v>23調査結果-調査結果-4(44)</v>
      </c>
    </row>
    <row r="300" spans="2:15">
      <c r="B300" s="861" t="str">
        <f>LEFT('1_入力シート【基本情報】'!$AF$414,1)</f>
        <v/>
      </c>
      <c r="C300" s="861" t="str">
        <f t="shared" si="9"/>
        <v/>
      </c>
      <c r="E300" s="851">
        <v>23</v>
      </c>
      <c r="F300" s="847" t="s">
        <v>33</v>
      </c>
      <c r="G300" s="824" t="s">
        <v>1407</v>
      </c>
      <c r="H300" s="842" t="s">
        <v>33</v>
      </c>
      <c r="I300" s="826" t="s">
        <v>1407</v>
      </c>
      <c r="J300" s="840" t="s">
        <v>1266</v>
      </c>
      <c r="K300" s="296"/>
      <c r="L300" s="296"/>
      <c r="O300" s="380" t="str">
        <f t="shared" si="10"/>
        <v>23調査結果-調査結果-4(45)</v>
      </c>
    </row>
    <row r="301" spans="2:15">
      <c r="B301" s="861" t="str">
        <f>LEFT('1_入力シート【基本情報】'!$AF$415,1)</f>
        <v/>
      </c>
      <c r="C301" s="861" t="str">
        <f t="shared" si="9"/>
        <v/>
      </c>
      <c r="E301" s="851">
        <v>23</v>
      </c>
      <c r="F301" s="847" t="s">
        <v>33</v>
      </c>
      <c r="G301" s="824" t="s">
        <v>1407</v>
      </c>
      <c r="H301" s="842" t="s">
        <v>33</v>
      </c>
      <c r="I301" s="826" t="s">
        <v>1407</v>
      </c>
      <c r="J301" s="840" t="s">
        <v>1267</v>
      </c>
      <c r="K301" s="296"/>
      <c r="L301" s="296"/>
      <c r="O301" s="380" t="str">
        <f t="shared" si="10"/>
        <v>23調査結果-調査結果-4(46)</v>
      </c>
    </row>
    <row r="302" spans="2:15">
      <c r="B302" s="861" t="str">
        <f>LEFT('1_入力シート【基本情報】'!$AF$416,1)</f>
        <v/>
      </c>
      <c r="C302" s="861" t="str">
        <f t="shared" si="9"/>
        <v/>
      </c>
      <c r="E302" s="851">
        <v>23</v>
      </c>
      <c r="F302" s="847" t="s">
        <v>33</v>
      </c>
      <c r="G302" s="824" t="s">
        <v>1407</v>
      </c>
      <c r="H302" s="842" t="s">
        <v>33</v>
      </c>
      <c r="I302" s="826" t="s">
        <v>1407</v>
      </c>
      <c r="J302" s="840" t="s">
        <v>1268</v>
      </c>
      <c r="K302" s="296"/>
      <c r="L302" s="296"/>
      <c r="O302" s="380" t="str">
        <f t="shared" si="10"/>
        <v>23調査結果-調査結果-4(47)</v>
      </c>
    </row>
    <row r="303" spans="2:15">
      <c r="B303" s="861" t="str">
        <f>LEFT('1_入力シート【基本情報】'!$AF$417,1)</f>
        <v/>
      </c>
      <c r="C303" s="861" t="str">
        <f t="shared" si="9"/>
        <v/>
      </c>
      <c r="E303" s="851">
        <v>23</v>
      </c>
      <c r="F303" s="847" t="s">
        <v>33</v>
      </c>
      <c r="G303" s="824" t="s">
        <v>1407</v>
      </c>
      <c r="H303" s="842" t="s">
        <v>33</v>
      </c>
      <c r="I303" s="826" t="s">
        <v>1407</v>
      </c>
      <c r="J303" s="840" t="s">
        <v>2576</v>
      </c>
      <c r="K303" s="296"/>
      <c r="L303" s="296"/>
      <c r="O303" s="380" t="str">
        <f t="shared" si="10"/>
        <v>23調査結果-調査結果-4(48)</v>
      </c>
    </row>
    <row r="304" spans="2:15">
      <c r="B304" s="861" t="str">
        <f>LEFT('1_入力シート【基本情報】'!$AF$418,1)</f>
        <v/>
      </c>
      <c r="C304" s="861" t="str">
        <f t="shared" si="9"/>
        <v/>
      </c>
      <c r="E304" s="851">
        <v>23</v>
      </c>
      <c r="F304" s="847" t="s">
        <v>33</v>
      </c>
      <c r="G304" s="824" t="s">
        <v>1407</v>
      </c>
      <c r="H304" s="842" t="s">
        <v>33</v>
      </c>
      <c r="I304" s="826" t="s">
        <v>1407</v>
      </c>
      <c r="J304" s="840" t="s">
        <v>2577</v>
      </c>
      <c r="K304" s="296"/>
      <c r="L304" s="296"/>
      <c r="O304" s="380" t="str">
        <f t="shared" si="10"/>
        <v>23調査結果-調査結果-4(49)</v>
      </c>
    </row>
    <row r="305" spans="2:15">
      <c r="B305" s="861" t="str">
        <f>LEFT('1_入力シート【基本情報】'!$AF$419,1)</f>
        <v/>
      </c>
      <c r="C305" s="861" t="str">
        <f t="shared" si="9"/>
        <v/>
      </c>
      <c r="E305" s="851">
        <v>23</v>
      </c>
      <c r="F305" s="847" t="s">
        <v>33</v>
      </c>
      <c r="G305" s="824" t="s">
        <v>1407</v>
      </c>
      <c r="H305" s="842" t="s">
        <v>33</v>
      </c>
      <c r="I305" s="826" t="s">
        <v>1407</v>
      </c>
      <c r="J305" s="840" t="s">
        <v>2578</v>
      </c>
      <c r="K305" s="296"/>
      <c r="L305" s="296"/>
      <c r="O305" s="380" t="str">
        <f t="shared" si="10"/>
        <v>23調査結果-調査結果-4(50)</v>
      </c>
    </row>
    <row r="306" spans="2:15">
      <c r="B306" s="861" t="str">
        <f>LEFT('1_入力シート【基本情報】'!$AF$420,1)</f>
        <v/>
      </c>
      <c r="C306" s="861" t="str">
        <f t="shared" si="9"/>
        <v/>
      </c>
      <c r="E306" s="851">
        <v>23</v>
      </c>
      <c r="F306" s="847" t="s">
        <v>33</v>
      </c>
      <c r="G306" s="824" t="s">
        <v>1407</v>
      </c>
      <c r="H306" s="842" t="s">
        <v>33</v>
      </c>
      <c r="I306" s="826" t="s">
        <v>1407</v>
      </c>
      <c r="J306" s="840" t="s">
        <v>2579</v>
      </c>
      <c r="K306" s="296"/>
      <c r="L306" s="296"/>
      <c r="O306" s="380" t="str">
        <f t="shared" si="10"/>
        <v>23調査結果-調査結果-4(51)</v>
      </c>
    </row>
    <row r="307" spans="2:15">
      <c r="B307" s="861" t="str">
        <f>LEFT('1_入力シート【基本情報】'!$AF$421,1)</f>
        <v/>
      </c>
      <c r="C307" s="861" t="str">
        <f t="shared" si="9"/>
        <v/>
      </c>
      <c r="E307" s="851">
        <v>23</v>
      </c>
      <c r="F307" s="847" t="s">
        <v>33</v>
      </c>
      <c r="G307" s="824" t="s">
        <v>1407</v>
      </c>
      <c r="H307" s="842" t="s">
        <v>33</v>
      </c>
      <c r="I307" s="826" t="s">
        <v>1407</v>
      </c>
      <c r="J307" s="840" t="s">
        <v>2580</v>
      </c>
      <c r="K307" s="296"/>
      <c r="L307" s="296"/>
      <c r="O307" s="380" t="str">
        <f t="shared" si="10"/>
        <v>23調査結果-調査結果-4(52)</v>
      </c>
    </row>
    <row r="308" spans="2:15">
      <c r="B308" s="861" t="str">
        <f>LEFT('1_入力シート【基本情報】'!$AF$426,1)</f>
        <v/>
      </c>
      <c r="C308" s="861" t="str">
        <f t="shared" si="9"/>
        <v/>
      </c>
      <c r="E308" s="851">
        <v>23</v>
      </c>
      <c r="F308" s="847" t="s">
        <v>33</v>
      </c>
      <c r="G308" s="824" t="s">
        <v>1407</v>
      </c>
      <c r="H308" s="842" t="s">
        <v>33</v>
      </c>
      <c r="I308" s="826" t="s">
        <v>1407</v>
      </c>
      <c r="J308" s="841" t="s">
        <v>1269</v>
      </c>
      <c r="K308" s="296"/>
      <c r="L308" s="296"/>
      <c r="O308" s="380" t="str">
        <f t="shared" si="10"/>
        <v>23調査結果-調査結果-5(1)</v>
      </c>
    </row>
    <row r="309" spans="2:15">
      <c r="B309" s="861" t="str">
        <f>LEFT('1_入力シート【基本情報】'!$AF$427,1)</f>
        <v/>
      </c>
      <c r="C309" s="861" t="str">
        <f t="shared" si="9"/>
        <v/>
      </c>
      <c r="E309" s="851">
        <v>23</v>
      </c>
      <c r="F309" s="847" t="s">
        <v>33</v>
      </c>
      <c r="G309" s="824" t="s">
        <v>1407</v>
      </c>
      <c r="H309" s="842" t="s">
        <v>33</v>
      </c>
      <c r="I309" s="826" t="s">
        <v>1407</v>
      </c>
      <c r="J309" s="841" t="s">
        <v>1270</v>
      </c>
      <c r="K309" s="296"/>
      <c r="L309" s="296"/>
      <c r="O309" s="380" t="str">
        <f t="shared" si="10"/>
        <v>23調査結果-調査結果-5(2)</v>
      </c>
    </row>
    <row r="310" spans="2:15">
      <c r="B310" s="861" t="str">
        <f>LEFT('1_入力シート【基本情報】'!$AF$428,1)</f>
        <v/>
      </c>
      <c r="C310" s="861" t="str">
        <f t="shared" si="9"/>
        <v/>
      </c>
      <c r="E310" s="851">
        <v>23</v>
      </c>
      <c r="F310" s="847" t="s">
        <v>33</v>
      </c>
      <c r="G310" s="824" t="s">
        <v>1407</v>
      </c>
      <c r="H310" s="842" t="s">
        <v>33</v>
      </c>
      <c r="I310" s="826" t="s">
        <v>1407</v>
      </c>
      <c r="J310" s="841" t="s">
        <v>1271</v>
      </c>
      <c r="K310" s="296"/>
      <c r="L310" s="296"/>
      <c r="O310" s="380" t="str">
        <f t="shared" si="10"/>
        <v>23調査結果-調査結果-5(3)</v>
      </c>
    </row>
    <row r="311" spans="2:15">
      <c r="B311" s="861" t="str">
        <f>LEFT('1_入力シート【基本情報】'!$AF$429,1)</f>
        <v/>
      </c>
      <c r="C311" s="861" t="str">
        <f t="shared" si="9"/>
        <v/>
      </c>
      <c r="E311" s="851">
        <v>23</v>
      </c>
      <c r="F311" s="847" t="s">
        <v>33</v>
      </c>
      <c r="G311" s="824" t="s">
        <v>1407</v>
      </c>
      <c r="H311" s="842" t="s">
        <v>33</v>
      </c>
      <c r="I311" s="826" t="s">
        <v>1407</v>
      </c>
      <c r="J311" s="841" t="s">
        <v>1272</v>
      </c>
      <c r="K311" s="296"/>
      <c r="L311" s="296"/>
      <c r="O311" s="380" t="str">
        <f t="shared" si="10"/>
        <v>23調査結果-調査結果-5(4)</v>
      </c>
    </row>
    <row r="312" spans="2:15">
      <c r="B312" s="861" t="str">
        <f>LEFT('1_入力シート【基本情報】'!$AF$430,1)</f>
        <v/>
      </c>
      <c r="C312" s="861" t="str">
        <f t="shared" si="9"/>
        <v/>
      </c>
      <c r="E312" s="851">
        <v>23</v>
      </c>
      <c r="F312" s="847" t="s">
        <v>33</v>
      </c>
      <c r="G312" s="824" t="s">
        <v>1407</v>
      </c>
      <c r="H312" s="842" t="s">
        <v>33</v>
      </c>
      <c r="I312" s="826" t="s">
        <v>1407</v>
      </c>
      <c r="J312" s="841" t="s">
        <v>1273</v>
      </c>
      <c r="K312" s="296"/>
      <c r="L312" s="296"/>
      <c r="O312" s="380" t="str">
        <f t="shared" si="10"/>
        <v>23調査結果-調査結果-5(5)</v>
      </c>
    </row>
    <row r="313" spans="2:15">
      <c r="B313" s="861" t="str">
        <f>LEFT('1_入力シート【基本情報】'!$AF$431,1)</f>
        <v/>
      </c>
      <c r="C313" s="861" t="str">
        <f t="shared" si="9"/>
        <v/>
      </c>
      <c r="E313" s="851">
        <v>23</v>
      </c>
      <c r="F313" s="847" t="s">
        <v>33</v>
      </c>
      <c r="G313" s="824" t="s">
        <v>1407</v>
      </c>
      <c r="H313" s="842" t="s">
        <v>33</v>
      </c>
      <c r="I313" s="826" t="s">
        <v>1407</v>
      </c>
      <c r="J313" s="841" t="s">
        <v>1274</v>
      </c>
      <c r="K313" s="296"/>
      <c r="L313" s="296"/>
      <c r="O313" s="380" t="str">
        <f t="shared" si="10"/>
        <v>23調査結果-調査結果-5(6)</v>
      </c>
    </row>
    <row r="314" spans="2:15">
      <c r="B314" s="861" t="str">
        <f>LEFT('1_入力シート【基本情報】'!$AF$432,1)</f>
        <v/>
      </c>
      <c r="C314" s="861" t="str">
        <f t="shared" si="9"/>
        <v/>
      </c>
      <c r="E314" s="851">
        <v>23</v>
      </c>
      <c r="F314" s="847" t="s">
        <v>33</v>
      </c>
      <c r="G314" s="824" t="s">
        <v>1407</v>
      </c>
      <c r="H314" s="842" t="s">
        <v>33</v>
      </c>
      <c r="I314" s="826" t="s">
        <v>1407</v>
      </c>
      <c r="J314" s="841" t="s">
        <v>1275</v>
      </c>
      <c r="K314" s="296"/>
      <c r="L314" s="296"/>
      <c r="O314" s="380" t="str">
        <f t="shared" si="10"/>
        <v>23調査結果-調査結果-5(7)</v>
      </c>
    </row>
    <row r="315" spans="2:15">
      <c r="B315" s="861" t="str">
        <f>LEFT('1_入力シート【基本情報】'!$AF$433,1)</f>
        <v/>
      </c>
      <c r="C315" s="861" t="str">
        <f t="shared" si="9"/>
        <v/>
      </c>
      <c r="E315" s="851">
        <v>23</v>
      </c>
      <c r="F315" s="847" t="s">
        <v>33</v>
      </c>
      <c r="G315" s="824" t="s">
        <v>1407</v>
      </c>
      <c r="H315" s="842" t="s">
        <v>33</v>
      </c>
      <c r="I315" s="826" t="s">
        <v>1407</v>
      </c>
      <c r="J315" s="841" t="s">
        <v>1276</v>
      </c>
      <c r="K315" s="296"/>
      <c r="L315" s="296"/>
      <c r="O315" s="380" t="str">
        <f t="shared" si="10"/>
        <v>23調査結果-調査結果-5(8)</v>
      </c>
    </row>
    <row r="316" spans="2:15">
      <c r="B316" s="861" t="str">
        <f>LEFT('1_入力シート【基本情報】'!$AF$434,1)</f>
        <v/>
      </c>
      <c r="C316" s="861" t="str">
        <f t="shared" si="9"/>
        <v/>
      </c>
      <c r="E316" s="851">
        <v>23</v>
      </c>
      <c r="F316" s="847" t="s">
        <v>33</v>
      </c>
      <c r="G316" s="824" t="s">
        <v>1407</v>
      </c>
      <c r="H316" s="842" t="s">
        <v>33</v>
      </c>
      <c r="I316" s="826" t="s">
        <v>1407</v>
      </c>
      <c r="J316" s="841" t="s">
        <v>1277</v>
      </c>
      <c r="K316" s="296"/>
      <c r="L316" s="296"/>
      <c r="O316" s="380" t="str">
        <f t="shared" si="10"/>
        <v>23調査結果-調査結果-5(9)</v>
      </c>
    </row>
    <row r="317" spans="2:15">
      <c r="B317" s="861" t="str">
        <f>LEFT('1_入力シート【基本情報】'!$AF$435,1)</f>
        <v/>
      </c>
      <c r="C317" s="861" t="str">
        <f t="shared" si="9"/>
        <v/>
      </c>
      <c r="E317" s="851">
        <v>23</v>
      </c>
      <c r="F317" s="847" t="s">
        <v>33</v>
      </c>
      <c r="G317" s="824" t="s">
        <v>1407</v>
      </c>
      <c r="H317" s="842" t="s">
        <v>33</v>
      </c>
      <c r="I317" s="826" t="s">
        <v>1407</v>
      </c>
      <c r="J317" s="841" t="s">
        <v>1278</v>
      </c>
      <c r="K317" s="296"/>
      <c r="L317" s="296"/>
      <c r="O317" s="380" t="str">
        <f t="shared" si="10"/>
        <v>23調査結果-調査結果-5(10)</v>
      </c>
    </row>
    <row r="318" spans="2:15">
      <c r="B318" s="861" t="str">
        <f>LEFT('1_入力シート【基本情報】'!$AF$436,1)</f>
        <v/>
      </c>
      <c r="C318" s="861" t="str">
        <f t="shared" si="9"/>
        <v/>
      </c>
      <c r="E318" s="851">
        <v>23</v>
      </c>
      <c r="F318" s="847" t="s">
        <v>33</v>
      </c>
      <c r="G318" s="824" t="s">
        <v>1407</v>
      </c>
      <c r="H318" s="842" t="s">
        <v>33</v>
      </c>
      <c r="I318" s="826" t="s">
        <v>1407</v>
      </c>
      <c r="J318" s="841" t="s">
        <v>1279</v>
      </c>
      <c r="K318" s="296"/>
      <c r="L318" s="296"/>
      <c r="O318" s="380" t="str">
        <f t="shared" si="10"/>
        <v>23調査結果-調査結果-5(11)</v>
      </c>
    </row>
    <row r="319" spans="2:15">
      <c r="B319" s="861" t="str">
        <f>LEFT('1_入力シート【基本情報】'!$AF$437,1)</f>
        <v/>
      </c>
      <c r="C319" s="861" t="str">
        <f t="shared" si="9"/>
        <v/>
      </c>
      <c r="E319" s="851">
        <v>23</v>
      </c>
      <c r="F319" s="847" t="s">
        <v>33</v>
      </c>
      <c r="G319" s="824" t="s">
        <v>1407</v>
      </c>
      <c r="H319" s="842" t="s">
        <v>33</v>
      </c>
      <c r="I319" s="826" t="s">
        <v>1407</v>
      </c>
      <c r="J319" s="841" t="s">
        <v>1280</v>
      </c>
      <c r="K319" s="296"/>
      <c r="L319" s="296"/>
      <c r="O319" s="380" t="str">
        <f t="shared" si="10"/>
        <v>23調査結果-調査結果-5(12)</v>
      </c>
    </row>
    <row r="320" spans="2:15">
      <c r="B320" s="861" t="str">
        <f>LEFT('1_入力シート【基本情報】'!$AF$438,1)</f>
        <v/>
      </c>
      <c r="C320" s="861" t="str">
        <f t="shared" si="9"/>
        <v/>
      </c>
      <c r="E320" s="851">
        <v>23</v>
      </c>
      <c r="F320" s="847" t="s">
        <v>33</v>
      </c>
      <c r="G320" s="824" t="s">
        <v>1407</v>
      </c>
      <c r="H320" s="842" t="s">
        <v>33</v>
      </c>
      <c r="I320" s="826" t="s">
        <v>1407</v>
      </c>
      <c r="J320" s="841" t="s">
        <v>1281</v>
      </c>
      <c r="K320" s="296"/>
      <c r="L320" s="296"/>
      <c r="O320" s="380" t="str">
        <f t="shared" si="10"/>
        <v>23調査結果-調査結果-5(13)</v>
      </c>
    </row>
    <row r="321" spans="2:15">
      <c r="B321" s="861" t="str">
        <f>LEFT('1_入力シート【基本情報】'!$AF$439,1)</f>
        <v/>
      </c>
      <c r="C321" s="861" t="str">
        <f t="shared" si="9"/>
        <v/>
      </c>
      <c r="E321" s="851">
        <v>23</v>
      </c>
      <c r="F321" s="847" t="s">
        <v>33</v>
      </c>
      <c r="G321" s="824" t="s">
        <v>1407</v>
      </c>
      <c r="H321" s="842" t="s">
        <v>33</v>
      </c>
      <c r="I321" s="826" t="s">
        <v>1407</v>
      </c>
      <c r="J321" s="841" t="s">
        <v>1282</v>
      </c>
      <c r="K321" s="296"/>
      <c r="L321" s="296"/>
      <c r="O321" s="380" t="str">
        <f t="shared" si="10"/>
        <v>23調査結果-調査結果-5(14)</v>
      </c>
    </row>
    <row r="322" spans="2:15">
      <c r="B322" s="861" t="str">
        <f>LEFT('1_入力シート【基本情報】'!$AF$440,1)</f>
        <v/>
      </c>
      <c r="C322" s="861" t="str">
        <f t="shared" si="9"/>
        <v/>
      </c>
      <c r="E322" s="851">
        <v>23</v>
      </c>
      <c r="F322" s="847" t="s">
        <v>33</v>
      </c>
      <c r="G322" s="824" t="s">
        <v>1407</v>
      </c>
      <c r="H322" s="842" t="s">
        <v>33</v>
      </c>
      <c r="I322" s="826" t="s">
        <v>1407</v>
      </c>
      <c r="J322" s="841" t="s">
        <v>1283</v>
      </c>
      <c r="K322" s="296"/>
      <c r="L322" s="296"/>
      <c r="O322" s="380" t="str">
        <f t="shared" si="10"/>
        <v>23調査結果-調査結果-5(15)</v>
      </c>
    </row>
    <row r="323" spans="2:15">
      <c r="B323" s="861" t="str">
        <f>LEFT('1_入力シート【基本情報】'!$AF$441,1)</f>
        <v/>
      </c>
      <c r="C323" s="861" t="str">
        <f t="shared" si="9"/>
        <v/>
      </c>
      <c r="E323" s="851">
        <v>23</v>
      </c>
      <c r="F323" s="847" t="s">
        <v>33</v>
      </c>
      <c r="G323" s="824" t="s">
        <v>1407</v>
      </c>
      <c r="H323" s="842" t="s">
        <v>33</v>
      </c>
      <c r="I323" s="826" t="s">
        <v>1407</v>
      </c>
      <c r="J323" s="841" t="s">
        <v>1284</v>
      </c>
      <c r="K323" s="296"/>
      <c r="L323" s="296"/>
      <c r="O323" s="380" t="str">
        <f t="shared" si="10"/>
        <v>23調査結果-調査結果-5(16)</v>
      </c>
    </row>
    <row r="324" spans="2:15">
      <c r="B324" s="861" t="str">
        <f>LEFT('1_入力シート【基本情報】'!$AF$442,1)</f>
        <v/>
      </c>
      <c r="C324" s="861" t="str">
        <f t="shared" si="9"/>
        <v/>
      </c>
      <c r="E324" s="851">
        <v>23</v>
      </c>
      <c r="F324" s="847" t="s">
        <v>33</v>
      </c>
      <c r="G324" s="824" t="s">
        <v>1407</v>
      </c>
      <c r="H324" s="842" t="s">
        <v>33</v>
      </c>
      <c r="I324" s="826" t="s">
        <v>1407</v>
      </c>
      <c r="J324" s="841" t="s">
        <v>1285</v>
      </c>
      <c r="K324" s="296"/>
      <c r="L324" s="296"/>
      <c r="O324" s="380" t="str">
        <f t="shared" si="10"/>
        <v>23調査結果-調査結果-5(17)</v>
      </c>
    </row>
    <row r="325" spans="2:15">
      <c r="B325" s="861" t="str">
        <f>LEFT('1_入力シート【基本情報】'!$AF$443,1)</f>
        <v/>
      </c>
      <c r="C325" s="861" t="str">
        <f t="shared" ref="C325:C388" si="11">SUBSTITUTE(B325,CHAR(10),"")</f>
        <v/>
      </c>
      <c r="E325" s="851">
        <v>23</v>
      </c>
      <c r="F325" s="847" t="s">
        <v>33</v>
      </c>
      <c r="G325" s="824" t="s">
        <v>1407</v>
      </c>
      <c r="H325" s="842" t="s">
        <v>33</v>
      </c>
      <c r="I325" s="826" t="s">
        <v>1407</v>
      </c>
      <c r="J325" s="841" t="s">
        <v>1286</v>
      </c>
      <c r="K325" s="296"/>
      <c r="L325" s="296"/>
      <c r="O325" s="380" t="str">
        <f t="shared" si="10"/>
        <v>23調査結果-調査結果-5(18)</v>
      </c>
    </row>
    <row r="326" spans="2:15">
      <c r="B326" s="861" t="str">
        <f>LEFT('1_入力シート【基本情報】'!$AF$444,1)</f>
        <v/>
      </c>
      <c r="C326" s="861" t="str">
        <f t="shared" si="11"/>
        <v/>
      </c>
      <c r="E326" s="851">
        <v>23</v>
      </c>
      <c r="F326" s="847" t="s">
        <v>33</v>
      </c>
      <c r="G326" s="824" t="s">
        <v>1407</v>
      </c>
      <c r="H326" s="842" t="s">
        <v>33</v>
      </c>
      <c r="I326" s="826" t="s">
        <v>1407</v>
      </c>
      <c r="J326" s="841" t="s">
        <v>1287</v>
      </c>
      <c r="K326" s="296"/>
      <c r="L326" s="296"/>
      <c r="O326" s="380" t="str">
        <f t="shared" si="10"/>
        <v>23調査結果-調査結果-5(19)</v>
      </c>
    </row>
    <row r="327" spans="2:15">
      <c r="B327" s="861" t="str">
        <f>LEFT('1_入力シート【基本情報】'!$AF$445,1)</f>
        <v/>
      </c>
      <c r="C327" s="861" t="str">
        <f t="shared" si="11"/>
        <v/>
      </c>
      <c r="E327" s="851">
        <v>23</v>
      </c>
      <c r="F327" s="847" t="s">
        <v>33</v>
      </c>
      <c r="G327" s="824" t="s">
        <v>1407</v>
      </c>
      <c r="H327" s="842" t="s">
        <v>33</v>
      </c>
      <c r="I327" s="826" t="s">
        <v>1407</v>
      </c>
      <c r="J327" s="841" t="s">
        <v>1288</v>
      </c>
      <c r="K327" s="296"/>
      <c r="L327" s="296"/>
      <c r="O327" s="380" t="str">
        <f t="shared" si="10"/>
        <v>23調査結果-調査結果-5(20)</v>
      </c>
    </row>
    <row r="328" spans="2:15">
      <c r="B328" s="861" t="str">
        <f>LEFT('1_入力シート【基本情報】'!$AF$446,1)</f>
        <v/>
      </c>
      <c r="C328" s="861" t="str">
        <f t="shared" si="11"/>
        <v/>
      </c>
      <c r="E328" s="851">
        <v>23</v>
      </c>
      <c r="F328" s="847" t="s">
        <v>33</v>
      </c>
      <c r="G328" s="824" t="s">
        <v>1407</v>
      </c>
      <c r="H328" s="842" t="s">
        <v>33</v>
      </c>
      <c r="I328" s="826" t="s">
        <v>1407</v>
      </c>
      <c r="J328" s="841" t="s">
        <v>1289</v>
      </c>
      <c r="K328" s="296"/>
      <c r="L328" s="296"/>
      <c r="O328" s="380" t="str">
        <f t="shared" si="10"/>
        <v>23調査結果-調査結果-5(21)</v>
      </c>
    </row>
    <row r="329" spans="2:15">
      <c r="B329" s="861" t="str">
        <f>LEFT('1_入力シート【基本情報】'!$AF$447,1)</f>
        <v/>
      </c>
      <c r="C329" s="861" t="str">
        <f t="shared" si="11"/>
        <v/>
      </c>
      <c r="E329" s="851">
        <v>23</v>
      </c>
      <c r="F329" s="847" t="s">
        <v>33</v>
      </c>
      <c r="G329" s="824" t="s">
        <v>1407</v>
      </c>
      <c r="H329" s="842" t="s">
        <v>33</v>
      </c>
      <c r="I329" s="826" t="s">
        <v>1407</v>
      </c>
      <c r="J329" s="841" t="s">
        <v>1290</v>
      </c>
      <c r="K329" s="296"/>
      <c r="L329" s="296"/>
      <c r="O329" s="380" t="str">
        <f t="shared" si="10"/>
        <v>23調査結果-調査結果-5(22)</v>
      </c>
    </row>
    <row r="330" spans="2:15">
      <c r="B330" s="861" t="str">
        <f>LEFT('1_入力シート【基本情報】'!$AF$448,1)</f>
        <v/>
      </c>
      <c r="C330" s="861" t="str">
        <f t="shared" si="11"/>
        <v/>
      </c>
      <c r="E330" s="851">
        <v>23</v>
      </c>
      <c r="F330" s="847" t="s">
        <v>33</v>
      </c>
      <c r="G330" s="824" t="s">
        <v>1407</v>
      </c>
      <c r="H330" s="842" t="s">
        <v>33</v>
      </c>
      <c r="I330" s="826" t="s">
        <v>1407</v>
      </c>
      <c r="J330" s="841" t="s">
        <v>1291</v>
      </c>
      <c r="K330" s="296"/>
      <c r="L330" s="296"/>
      <c r="O330" s="380" t="str">
        <f t="shared" si="10"/>
        <v>23調査結果-調査結果-5(23)</v>
      </c>
    </row>
    <row r="331" spans="2:15">
      <c r="B331" s="861" t="str">
        <f>LEFT('1_入力シート【基本情報】'!$AF$449,1)</f>
        <v/>
      </c>
      <c r="C331" s="861" t="str">
        <f t="shared" si="11"/>
        <v/>
      </c>
      <c r="E331" s="851">
        <v>23</v>
      </c>
      <c r="F331" s="847" t="s">
        <v>33</v>
      </c>
      <c r="G331" s="824" t="s">
        <v>1407</v>
      </c>
      <c r="H331" s="842" t="s">
        <v>33</v>
      </c>
      <c r="I331" s="826" t="s">
        <v>1407</v>
      </c>
      <c r="J331" s="841" t="s">
        <v>1292</v>
      </c>
      <c r="K331" s="296"/>
      <c r="L331" s="296"/>
      <c r="O331" s="380" t="str">
        <f t="shared" si="10"/>
        <v>23調査結果-調査結果-5(24)</v>
      </c>
    </row>
    <row r="332" spans="2:15">
      <c r="B332" s="861" t="str">
        <f>LEFT('1_入力シート【基本情報】'!$AF$450,1)</f>
        <v/>
      </c>
      <c r="C332" s="861" t="str">
        <f t="shared" si="11"/>
        <v/>
      </c>
      <c r="E332" s="851">
        <v>23</v>
      </c>
      <c r="F332" s="847" t="s">
        <v>33</v>
      </c>
      <c r="G332" s="824" t="s">
        <v>1407</v>
      </c>
      <c r="H332" s="842" t="s">
        <v>33</v>
      </c>
      <c r="I332" s="826" t="s">
        <v>1407</v>
      </c>
      <c r="J332" s="841" t="s">
        <v>1293</v>
      </c>
      <c r="K332" s="296"/>
      <c r="L332" s="296"/>
      <c r="O332" s="380" t="str">
        <f t="shared" si="10"/>
        <v>23調査結果-調査結果-5(25)</v>
      </c>
    </row>
    <row r="333" spans="2:15">
      <c r="B333" s="861" t="str">
        <f>LEFT('1_入力シート【基本情報】'!$AF$451,1)</f>
        <v/>
      </c>
      <c r="C333" s="861" t="str">
        <f t="shared" si="11"/>
        <v/>
      </c>
      <c r="E333" s="851">
        <v>23</v>
      </c>
      <c r="F333" s="847" t="s">
        <v>33</v>
      </c>
      <c r="G333" s="824" t="s">
        <v>1407</v>
      </c>
      <c r="H333" s="842" t="s">
        <v>33</v>
      </c>
      <c r="I333" s="826" t="s">
        <v>1407</v>
      </c>
      <c r="J333" s="841" t="s">
        <v>1294</v>
      </c>
      <c r="K333" s="296"/>
      <c r="L333" s="296"/>
      <c r="O333" s="380" t="str">
        <f t="shared" si="10"/>
        <v>23調査結果-調査結果-5(26)</v>
      </c>
    </row>
    <row r="334" spans="2:15">
      <c r="B334" s="861" t="str">
        <f>LEFT('1_入力シート【基本情報】'!$AF$452,1)</f>
        <v/>
      </c>
      <c r="C334" s="861" t="str">
        <f t="shared" si="11"/>
        <v/>
      </c>
      <c r="E334" s="851">
        <v>23</v>
      </c>
      <c r="F334" s="847" t="s">
        <v>33</v>
      </c>
      <c r="G334" s="824" t="s">
        <v>1407</v>
      </c>
      <c r="H334" s="842" t="s">
        <v>33</v>
      </c>
      <c r="I334" s="826" t="s">
        <v>1407</v>
      </c>
      <c r="J334" s="841" t="s">
        <v>1295</v>
      </c>
      <c r="K334" s="296"/>
      <c r="L334" s="296"/>
      <c r="O334" s="380" t="str">
        <f t="shared" si="10"/>
        <v>23調査結果-調査結果-5(27)</v>
      </c>
    </row>
    <row r="335" spans="2:15">
      <c r="B335" s="861" t="str">
        <f>LEFT('1_入力シート【基本情報】'!$AF$453,1)</f>
        <v/>
      </c>
      <c r="C335" s="861" t="str">
        <f t="shared" si="11"/>
        <v/>
      </c>
      <c r="E335" s="851">
        <v>23</v>
      </c>
      <c r="F335" s="847" t="s">
        <v>33</v>
      </c>
      <c r="G335" s="824" t="s">
        <v>1407</v>
      </c>
      <c r="H335" s="842" t="s">
        <v>33</v>
      </c>
      <c r="I335" s="826" t="s">
        <v>1407</v>
      </c>
      <c r="J335" s="841" t="s">
        <v>1296</v>
      </c>
      <c r="K335" s="296"/>
      <c r="L335" s="296"/>
      <c r="O335" s="380" t="str">
        <f t="shared" si="10"/>
        <v>23調査結果-調査結果-5(28)</v>
      </c>
    </row>
    <row r="336" spans="2:15">
      <c r="B336" s="861" t="str">
        <f>LEFT('1_入力シート【基本情報】'!$AF$454,1)</f>
        <v/>
      </c>
      <c r="C336" s="861" t="str">
        <f t="shared" si="11"/>
        <v/>
      </c>
      <c r="E336" s="851">
        <v>23</v>
      </c>
      <c r="F336" s="847" t="s">
        <v>33</v>
      </c>
      <c r="G336" s="824" t="s">
        <v>1407</v>
      </c>
      <c r="H336" s="842" t="s">
        <v>33</v>
      </c>
      <c r="I336" s="826" t="s">
        <v>1407</v>
      </c>
      <c r="J336" s="841" t="s">
        <v>1297</v>
      </c>
      <c r="K336" s="296"/>
      <c r="L336" s="296"/>
      <c r="O336" s="380" t="str">
        <f t="shared" si="10"/>
        <v>23調査結果-調査結果-5(29)</v>
      </c>
    </row>
    <row r="337" spans="2:15">
      <c r="B337" s="861" t="str">
        <f>LEFT('1_入力シート【基本情報】'!$AF$455,1)</f>
        <v/>
      </c>
      <c r="C337" s="861" t="str">
        <f t="shared" si="11"/>
        <v/>
      </c>
      <c r="E337" s="851">
        <v>23</v>
      </c>
      <c r="F337" s="847" t="s">
        <v>33</v>
      </c>
      <c r="G337" s="824" t="s">
        <v>1407</v>
      </c>
      <c r="H337" s="842" t="s">
        <v>33</v>
      </c>
      <c r="I337" s="826" t="s">
        <v>1407</v>
      </c>
      <c r="J337" s="841" t="s">
        <v>1298</v>
      </c>
      <c r="K337" s="296"/>
      <c r="L337" s="296"/>
      <c r="O337" s="380" t="str">
        <f t="shared" ref="O337:O400" si="12">CONCATENATE(E337,F337,G337,H337,I337,J337,K337,L337)</f>
        <v>23調査結果-調査結果-5(30)</v>
      </c>
    </row>
    <row r="338" spans="2:15">
      <c r="B338" s="861" t="str">
        <f>LEFT('1_入力シート【基本情報】'!$AF$456,1)</f>
        <v/>
      </c>
      <c r="C338" s="861" t="str">
        <f t="shared" si="11"/>
        <v/>
      </c>
      <c r="E338" s="851">
        <v>23</v>
      </c>
      <c r="F338" s="847" t="s">
        <v>33</v>
      </c>
      <c r="G338" s="824" t="s">
        <v>1407</v>
      </c>
      <c r="H338" s="842" t="s">
        <v>33</v>
      </c>
      <c r="I338" s="826" t="s">
        <v>1407</v>
      </c>
      <c r="J338" s="841" t="s">
        <v>1299</v>
      </c>
      <c r="K338" s="296"/>
      <c r="L338" s="296"/>
      <c r="O338" s="380" t="str">
        <f t="shared" si="12"/>
        <v>23調査結果-調査結果-5(31)</v>
      </c>
    </row>
    <row r="339" spans="2:15">
      <c r="B339" s="861" t="str">
        <f>LEFT('1_入力シート【基本情報】'!$AF$457,1)</f>
        <v/>
      </c>
      <c r="C339" s="861" t="str">
        <f t="shared" si="11"/>
        <v/>
      </c>
      <c r="E339" s="851">
        <v>23</v>
      </c>
      <c r="F339" s="847" t="s">
        <v>33</v>
      </c>
      <c r="G339" s="824" t="s">
        <v>1407</v>
      </c>
      <c r="H339" s="842" t="s">
        <v>33</v>
      </c>
      <c r="I339" s="826" t="s">
        <v>1407</v>
      </c>
      <c r="J339" s="841" t="s">
        <v>1300</v>
      </c>
      <c r="K339" s="296"/>
      <c r="L339" s="296"/>
      <c r="O339" s="380" t="str">
        <f t="shared" si="12"/>
        <v>23調査結果-調査結果-5(32)</v>
      </c>
    </row>
    <row r="340" spans="2:15">
      <c r="B340" s="861" t="str">
        <f>LEFT('1_入力シート【基本情報】'!$AF$458,1)</f>
        <v/>
      </c>
      <c r="C340" s="861" t="str">
        <f t="shared" si="11"/>
        <v/>
      </c>
      <c r="E340" s="851">
        <v>23</v>
      </c>
      <c r="F340" s="847" t="s">
        <v>33</v>
      </c>
      <c r="G340" s="824" t="s">
        <v>1407</v>
      </c>
      <c r="H340" s="842" t="s">
        <v>33</v>
      </c>
      <c r="I340" s="826" t="s">
        <v>1407</v>
      </c>
      <c r="J340" s="841" t="s">
        <v>1301</v>
      </c>
      <c r="K340" s="296"/>
      <c r="L340" s="296"/>
      <c r="O340" s="380" t="str">
        <f t="shared" si="12"/>
        <v>23調査結果-調査結果-5(33)</v>
      </c>
    </row>
    <row r="341" spans="2:15">
      <c r="B341" s="861" t="str">
        <f>LEFT('1_入力シート【基本情報】'!$AF$459,1)</f>
        <v/>
      </c>
      <c r="C341" s="861" t="str">
        <f t="shared" si="11"/>
        <v/>
      </c>
      <c r="E341" s="851">
        <v>23</v>
      </c>
      <c r="F341" s="847" t="s">
        <v>33</v>
      </c>
      <c r="G341" s="824" t="s">
        <v>1407</v>
      </c>
      <c r="H341" s="842" t="s">
        <v>33</v>
      </c>
      <c r="I341" s="826" t="s">
        <v>1407</v>
      </c>
      <c r="J341" s="841" t="s">
        <v>1302</v>
      </c>
      <c r="K341" s="296"/>
      <c r="L341" s="296"/>
      <c r="O341" s="380" t="str">
        <f t="shared" si="12"/>
        <v>23調査結果-調査結果-5(34)</v>
      </c>
    </row>
    <row r="342" spans="2:15">
      <c r="B342" s="861" t="str">
        <f>LEFT('1_入力シート【基本情報】'!$AF$460,1)</f>
        <v/>
      </c>
      <c r="C342" s="861" t="str">
        <f t="shared" si="11"/>
        <v/>
      </c>
      <c r="E342" s="851">
        <v>23</v>
      </c>
      <c r="F342" s="847" t="s">
        <v>33</v>
      </c>
      <c r="G342" s="824" t="s">
        <v>1407</v>
      </c>
      <c r="H342" s="842" t="s">
        <v>33</v>
      </c>
      <c r="I342" s="826" t="s">
        <v>1407</v>
      </c>
      <c r="J342" s="841" t="s">
        <v>1303</v>
      </c>
      <c r="K342" s="296"/>
      <c r="L342" s="296"/>
      <c r="O342" s="380" t="str">
        <f t="shared" si="12"/>
        <v>23調査結果-調査結果-5(35)</v>
      </c>
    </row>
    <row r="343" spans="2:15">
      <c r="B343" s="861" t="str">
        <f>LEFT('1_入力シート【基本情報】'!$AF$461,1)</f>
        <v/>
      </c>
      <c r="C343" s="861" t="str">
        <f t="shared" si="11"/>
        <v/>
      </c>
      <c r="E343" s="851">
        <v>23</v>
      </c>
      <c r="F343" s="847" t="s">
        <v>33</v>
      </c>
      <c r="G343" s="824" t="s">
        <v>1407</v>
      </c>
      <c r="H343" s="842" t="s">
        <v>33</v>
      </c>
      <c r="I343" s="826" t="s">
        <v>1407</v>
      </c>
      <c r="J343" s="841" t="s">
        <v>1304</v>
      </c>
      <c r="K343" s="296"/>
      <c r="L343" s="296"/>
      <c r="O343" s="380" t="str">
        <f t="shared" si="12"/>
        <v>23調査結果-調査結果-5(36)</v>
      </c>
    </row>
    <row r="344" spans="2:15">
      <c r="B344" s="861" t="str">
        <f>LEFT('1_入力シート【基本情報】'!$AF$462,1)</f>
        <v/>
      </c>
      <c r="C344" s="861" t="str">
        <f t="shared" si="11"/>
        <v/>
      </c>
      <c r="E344" s="851">
        <v>23</v>
      </c>
      <c r="F344" s="847" t="s">
        <v>33</v>
      </c>
      <c r="G344" s="824" t="s">
        <v>1407</v>
      </c>
      <c r="H344" s="842" t="s">
        <v>33</v>
      </c>
      <c r="I344" s="826" t="s">
        <v>1407</v>
      </c>
      <c r="J344" s="841" t="s">
        <v>1305</v>
      </c>
      <c r="K344" s="296"/>
      <c r="L344" s="296"/>
      <c r="O344" s="380" t="str">
        <f t="shared" si="12"/>
        <v>23調査結果-調査結果-5(37)</v>
      </c>
    </row>
    <row r="345" spans="2:15">
      <c r="B345" s="861" t="str">
        <f>LEFT('1_入力シート【基本情報】'!$AF$463,1)</f>
        <v/>
      </c>
      <c r="C345" s="861" t="str">
        <f t="shared" si="11"/>
        <v/>
      </c>
      <c r="E345" s="851">
        <v>23</v>
      </c>
      <c r="F345" s="847" t="s">
        <v>33</v>
      </c>
      <c r="G345" s="824" t="s">
        <v>1407</v>
      </c>
      <c r="H345" s="842" t="s">
        <v>33</v>
      </c>
      <c r="I345" s="826" t="s">
        <v>1407</v>
      </c>
      <c r="J345" s="841" t="s">
        <v>1306</v>
      </c>
      <c r="K345" s="296"/>
      <c r="L345" s="296"/>
      <c r="O345" s="380" t="str">
        <f t="shared" si="12"/>
        <v>23調査結果-調査結果-5(38)</v>
      </c>
    </row>
    <row r="346" spans="2:15">
      <c r="B346" s="861" t="str">
        <f>LEFT('1_入力シート【基本情報】'!$AF$464,1)</f>
        <v/>
      </c>
      <c r="C346" s="861" t="str">
        <f t="shared" si="11"/>
        <v/>
      </c>
      <c r="E346" s="851">
        <v>23</v>
      </c>
      <c r="F346" s="847" t="s">
        <v>33</v>
      </c>
      <c r="G346" s="824" t="s">
        <v>1407</v>
      </c>
      <c r="H346" s="842" t="s">
        <v>33</v>
      </c>
      <c r="I346" s="826" t="s">
        <v>1407</v>
      </c>
      <c r="J346" s="841" t="s">
        <v>1307</v>
      </c>
      <c r="K346" s="296"/>
      <c r="L346" s="296"/>
      <c r="O346" s="380" t="str">
        <f t="shared" si="12"/>
        <v>23調査結果-調査結果-5(39)</v>
      </c>
    </row>
    <row r="347" spans="2:15">
      <c r="B347" s="861" t="str">
        <f>LEFT('1_入力シート【基本情報】'!$AF$465,1)</f>
        <v/>
      </c>
      <c r="C347" s="861" t="str">
        <f t="shared" si="11"/>
        <v/>
      </c>
      <c r="E347" s="851">
        <v>23</v>
      </c>
      <c r="F347" s="847" t="s">
        <v>33</v>
      </c>
      <c r="G347" s="824" t="s">
        <v>1407</v>
      </c>
      <c r="H347" s="842" t="s">
        <v>33</v>
      </c>
      <c r="I347" s="826" t="s">
        <v>1407</v>
      </c>
      <c r="J347" s="841" t="s">
        <v>1308</v>
      </c>
      <c r="K347" s="296"/>
      <c r="L347" s="296"/>
      <c r="O347" s="380" t="str">
        <f t="shared" si="12"/>
        <v>23調査結果-調査結果-5(40)</v>
      </c>
    </row>
    <row r="348" spans="2:15">
      <c r="B348" s="861" t="str">
        <f>LEFT('1_入力シート【基本情報】'!$AF$466,1)</f>
        <v/>
      </c>
      <c r="C348" s="861" t="str">
        <f t="shared" si="11"/>
        <v/>
      </c>
      <c r="E348" s="851">
        <v>23</v>
      </c>
      <c r="F348" s="847" t="s">
        <v>33</v>
      </c>
      <c r="G348" s="824" t="s">
        <v>1407</v>
      </c>
      <c r="H348" s="842" t="s">
        <v>33</v>
      </c>
      <c r="I348" s="826" t="s">
        <v>1407</v>
      </c>
      <c r="J348" s="841" t="s">
        <v>2581</v>
      </c>
      <c r="K348" s="296"/>
      <c r="L348" s="296"/>
      <c r="O348" s="380" t="str">
        <f t="shared" si="12"/>
        <v>23調査結果-調査結果-5(41)</v>
      </c>
    </row>
    <row r="349" spans="2:15">
      <c r="B349" s="861" t="str">
        <f>LEFT('1_入力シート【基本情報】'!$AF$467,1)</f>
        <v/>
      </c>
      <c r="C349" s="861" t="str">
        <f t="shared" si="11"/>
        <v/>
      </c>
      <c r="E349" s="851">
        <v>23</v>
      </c>
      <c r="F349" s="847" t="s">
        <v>33</v>
      </c>
      <c r="G349" s="824" t="s">
        <v>1407</v>
      </c>
      <c r="H349" s="842" t="s">
        <v>33</v>
      </c>
      <c r="I349" s="826" t="s">
        <v>1407</v>
      </c>
      <c r="J349" s="841" t="s">
        <v>2582</v>
      </c>
      <c r="K349" s="296"/>
      <c r="L349" s="296"/>
      <c r="O349" s="380" t="str">
        <f t="shared" si="12"/>
        <v>23調査結果-調査結果-5(42)</v>
      </c>
    </row>
    <row r="350" spans="2:15">
      <c r="B350" s="861" t="str">
        <f>LEFT('1_入力シート【基本情報】'!$AF$468,1)</f>
        <v/>
      </c>
      <c r="C350" s="861" t="str">
        <f t="shared" si="11"/>
        <v/>
      </c>
      <c r="E350" s="851">
        <v>23</v>
      </c>
      <c r="F350" s="847" t="s">
        <v>33</v>
      </c>
      <c r="G350" s="824" t="s">
        <v>1407</v>
      </c>
      <c r="H350" s="842" t="s">
        <v>33</v>
      </c>
      <c r="I350" s="826" t="s">
        <v>1407</v>
      </c>
      <c r="J350" s="841" t="s">
        <v>2583</v>
      </c>
      <c r="K350" s="296"/>
      <c r="L350" s="296"/>
      <c r="O350" s="380" t="str">
        <f t="shared" si="12"/>
        <v>23調査結果-調査結果-5(43)</v>
      </c>
    </row>
    <row r="351" spans="2:15">
      <c r="B351" s="861" t="str">
        <f>LEFT('1_入力シート【基本情報】'!$AF$469,1)</f>
        <v/>
      </c>
      <c r="C351" s="861" t="str">
        <f t="shared" si="11"/>
        <v/>
      </c>
      <c r="E351" s="851">
        <v>23</v>
      </c>
      <c r="F351" s="847" t="s">
        <v>33</v>
      </c>
      <c r="G351" s="824" t="s">
        <v>1407</v>
      </c>
      <c r="H351" s="842" t="s">
        <v>33</v>
      </c>
      <c r="I351" s="826" t="s">
        <v>1407</v>
      </c>
      <c r="J351" s="841" t="s">
        <v>2584</v>
      </c>
      <c r="K351" s="296"/>
      <c r="L351" s="296"/>
      <c r="O351" s="380" t="str">
        <f t="shared" si="12"/>
        <v>23調査結果-調査結果-5(44)</v>
      </c>
    </row>
    <row r="352" spans="2:15">
      <c r="B352" s="861" t="str">
        <f>LEFT('1_入力シート【基本情報】'!$AF$470,1)</f>
        <v/>
      </c>
      <c r="C352" s="861" t="str">
        <f t="shared" si="11"/>
        <v/>
      </c>
      <c r="E352" s="851">
        <v>23</v>
      </c>
      <c r="F352" s="847" t="s">
        <v>33</v>
      </c>
      <c r="G352" s="824" t="s">
        <v>1407</v>
      </c>
      <c r="H352" s="842" t="s">
        <v>33</v>
      </c>
      <c r="I352" s="826" t="s">
        <v>1407</v>
      </c>
      <c r="J352" s="841" t="s">
        <v>2585</v>
      </c>
      <c r="K352" s="296"/>
      <c r="L352" s="296"/>
      <c r="O352" s="380" t="str">
        <f t="shared" si="12"/>
        <v>23調査結果-調査結果-5(45)</v>
      </c>
    </row>
    <row r="353" spans="2:15">
      <c r="B353" s="861" t="str">
        <f>LEFT('1_入力シート【基本情報】'!$AF$475,1)</f>
        <v/>
      </c>
      <c r="C353" s="861" t="str">
        <f t="shared" si="11"/>
        <v/>
      </c>
      <c r="E353" s="851">
        <v>23</v>
      </c>
      <c r="F353" s="847" t="s">
        <v>33</v>
      </c>
      <c r="G353" s="824" t="s">
        <v>1407</v>
      </c>
      <c r="H353" s="842" t="s">
        <v>33</v>
      </c>
      <c r="I353" s="826" t="s">
        <v>1407</v>
      </c>
      <c r="J353" s="839" t="s">
        <v>1309</v>
      </c>
      <c r="K353" s="296"/>
      <c r="L353" s="296"/>
      <c r="O353" s="380" t="str">
        <f t="shared" si="12"/>
        <v>23調査結果-調査結果-6(1)</v>
      </c>
    </row>
    <row r="354" spans="2:15">
      <c r="B354" s="861" t="str">
        <f>LEFT('1_入力シート【基本情報】'!$AF$476,1)</f>
        <v/>
      </c>
      <c r="C354" s="861" t="str">
        <f t="shared" si="11"/>
        <v/>
      </c>
      <c r="E354" s="851">
        <v>23</v>
      </c>
      <c r="F354" s="847" t="s">
        <v>33</v>
      </c>
      <c r="G354" s="824" t="s">
        <v>1407</v>
      </c>
      <c r="H354" s="842" t="s">
        <v>33</v>
      </c>
      <c r="I354" s="826" t="s">
        <v>1407</v>
      </c>
      <c r="J354" s="839" t="s">
        <v>1310</v>
      </c>
      <c r="K354" s="296"/>
      <c r="L354" s="296"/>
      <c r="O354" s="380" t="str">
        <f t="shared" si="12"/>
        <v>23調査結果-調査結果-6(2)</v>
      </c>
    </row>
    <row r="355" spans="2:15">
      <c r="B355" s="861" t="str">
        <f>LEFT('1_入力シート【基本情報】'!$AF$477,1)</f>
        <v/>
      </c>
      <c r="C355" s="861" t="str">
        <f t="shared" si="11"/>
        <v/>
      </c>
      <c r="E355" s="851">
        <v>23</v>
      </c>
      <c r="F355" s="847" t="s">
        <v>33</v>
      </c>
      <c r="G355" s="824" t="s">
        <v>1407</v>
      </c>
      <c r="H355" s="842" t="s">
        <v>33</v>
      </c>
      <c r="I355" s="826" t="s">
        <v>1407</v>
      </c>
      <c r="J355" s="839" t="s">
        <v>1311</v>
      </c>
      <c r="K355" s="296"/>
      <c r="L355" s="296"/>
      <c r="O355" s="380" t="str">
        <f t="shared" si="12"/>
        <v>23調査結果-調査結果-6(3)</v>
      </c>
    </row>
    <row r="356" spans="2:15">
      <c r="B356" s="861" t="str">
        <f>LEFT('1_入力シート【基本情報】'!$AF$478,1)</f>
        <v/>
      </c>
      <c r="C356" s="861" t="str">
        <f t="shared" si="11"/>
        <v/>
      </c>
      <c r="E356" s="851">
        <v>23</v>
      </c>
      <c r="F356" s="847" t="s">
        <v>33</v>
      </c>
      <c r="G356" s="824" t="s">
        <v>1407</v>
      </c>
      <c r="H356" s="842" t="s">
        <v>33</v>
      </c>
      <c r="I356" s="826" t="s">
        <v>1407</v>
      </c>
      <c r="J356" s="839" t="s">
        <v>1312</v>
      </c>
      <c r="K356" s="296"/>
      <c r="L356" s="296"/>
      <c r="O356" s="380" t="str">
        <f t="shared" si="12"/>
        <v>23調査結果-調査結果-6(4)</v>
      </c>
    </row>
    <row r="357" spans="2:15">
      <c r="B357" s="861" t="str">
        <f>LEFT('1_入力シート【基本情報】'!$AF$479,1)</f>
        <v/>
      </c>
      <c r="C357" s="861" t="str">
        <f t="shared" si="11"/>
        <v/>
      </c>
      <c r="E357" s="851">
        <v>23</v>
      </c>
      <c r="F357" s="847" t="s">
        <v>33</v>
      </c>
      <c r="G357" s="824" t="s">
        <v>1407</v>
      </c>
      <c r="H357" s="842" t="s">
        <v>33</v>
      </c>
      <c r="I357" s="826" t="s">
        <v>1407</v>
      </c>
      <c r="J357" s="839" t="s">
        <v>1313</v>
      </c>
      <c r="K357" s="296"/>
      <c r="L357" s="296"/>
      <c r="O357" s="380" t="str">
        <f t="shared" si="12"/>
        <v>23調査結果-調査結果-6(5)</v>
      </c>
    </row>
    <row r="358" spans="2:15">
      <c r="B358" s="861" t="str">
        <f>LEFT('1_入力シート【基本情報】'!$AF$480,1)</f>
        <v/>
      </c>
      <c r="C358" s="861" t="str">
        <f t="shared" si="11"/>
        <v/>
      </c>
      <c r="E358" s="851">
        <v>23</v>
      </c>
      <c r="F358" s="847" t="s">
        <v>33</v>
      </c>
      <c r="G358" s="824" t="s">
        <v>1407</v>
      </c>
      <c r="H358" s="842" t="s">
        <v>33</v>
      </c>
      <c r="I358" s="826" t="s">
        <v>1407</v>
      </c>
      <c r="J358" s="839" t="s">
        <v>1314</v>
      </c>
      <c r="K358" s="296"/>
      <c r="L358" s="296"/>
      <c r="O358" s="380" t="str">
        <f t="shared" si="12"/>
        <v>23調査結果-調査結果-6(6)</v>
      </c>
    </row>
    <row r="359" spans="2:15">
      <c r="B359" s="861" t="str">
        <f>LEFT('1_入力シート【基本情報】'!$AF$481,1)</f>
        <v/>
      </c>
      <c r="C359" s="861" t="str">
        <f t="shared" si="11"/>
        <v/>
      </c>
      <c r="E359" s="851">
        <v>23</v>
      </c>
      <c r="F359" s="847" t="s">
        <v>33</v>
      </c>
      <c r="G359" s="824" t="s">
        <v>1407</v>
      </c>
      <c r="H359" s="842" t="s">
        <v>33</v>
      </c>
      <c r="I359" s="826" t="s">
        <v>1407</v>
      </c>
      <c r="J359" s="839" t="s">
        <v>1315</v>
      </c>
      <c r="K359" s="296"/>
      <c r="L359" s="296"/>
      <c r="O359" s="380" t="str">
        <f t="shared" si="12"/>
        <v>23調査結果-調査結果-6(7)</v>
      </c>
    </row>
    <row r="360" spans="2:15">
      <c r="B360" s="861" t="str">
        <f>LEFT('1_入力シート【基本情報】'!$AF$482,1)</f>
        <v/>
      </c>
      <c r="C360" s="861" t="str">
        <f t="shared" si="11"/>
        <v/>
      </c>
      <c r="E360" s="851">
        <v>23</v>
      </c>
      <c r="F360" s="847" t="s">
        <v>33</v>
      </c>
      <c r="G360" s="824" t="s">
        <v>1407</v>
      </c>
      <c r="H360" s="842" t="s">
        <v>33</v>
      </c>
      <c r="I360" s="826" t="s">
        <v>1407</v>
      </c>
      <c r="J360" s="839" t="s">
        <v>1316</v>
      </c>
      <c r="K360" s="296"/>
      <c r="L360" s="296"/>
      <c r="O360" s="380" t="str">
        <f t="shared" si="12"/>
        <v>23調査結果-調査結果-6(8)</v>
      </c>
    </row>
    <row r="361" spans="2:15">
      <c r="B361" s="861" t="str">
        <f>LEFT('1_入力シート【基本情報】'!$AF$483,1)</f>
        <v/>
      </c>
      <c r="C361" s="861" t="str">
        <f t="shared" si="11"/>
        <v/>
      </c>
      <c r="E361" s="851">
        <v>23</v>
      </c>
      <c r="F361" s="847" t="s">
        <v>33</v>
      </c>
      <c r="G361" s="824" t="s">
        <v>1407</v>
      </c>
      <c r="H361" s="842" t="s">
        <v>33</v>
      </c>
      <c r="I361" s="826" t="s">
        <v>1407</v>
      </c>
      <c r="J361" s="839" t="s">
        <v>1317</v>
      </c>
      <c r="K361" s="296"/>
      <c r="L361" s="296"/>
      <c r="O361" s="380" t="str">
        <f t="shared" si="12"/>
        <v>23調査結果-調査結果-6(9)</v>
      </c>
    </row>
    <row r="362" spans="2:15">
      <c r="B362" s="861" t="str">
        <f>LEFT('1_入力シート【基本情報】'!$AF$484,1)</f>
        <v/>
      </c>
      <c r="C362" s="861" t="str">
        <f t="shared" si="11"/>
        <v/>
      </c>
      <c r="E362" s="851">
        <v>23</v>
      </c>
      <c r="F362" s="847" t="s">
        <v>33</v>
      </c>
      <c r="G362" s="824" t="s">
        <v>1407</v>
      </c>
      <c r="H362" s="842" t="s">
        <v>33</v>
      </c>
      <c r="I362" s="826" t="s">
        <v>1407</v>
      </c>
      <c r="J362" s="839" t="s">
        <v>2586</v>
      </c>
      <c r="K362" s="296"/>
      <c r="L362" s="296"/>
      <c r="O362" s="380" t="str">
        <f t="shared" si="12"/>
        <v>23調査結果-調査結果-6(10)</v>
      </c>
    </row>
    <row r="363" spans="2:15">
      <c r="B363" s="861" t="str">
        <f>LEFT('1_入力シート【基本情報】'!$AF$485,1)</f>
        <v/>
      </c>
      <c r="C363" s="861" t="str">
        <f t="shared" si="11"/>
        <v/>
      </c>
      <c r="E363" s="851">
        <v>23</v>
      </c>
      <c r="F363" s="847" t="s">
        <v>33</v>
      </c>
      <c r="G363" s="824" t="s">
        <v>1407</v>
      </c>
      <c r="H363" s="842" t="s">
        <v>33</v>
      </c>
      <c r="I363" s="826" t="s">
        <v>1407</v>
      </c>
      <c r="J363" s="839" t="s">
        <v>2587</v>
      </c>
      <c r="K363" s="296"/>
      <c r="L363" s="296"/>
      <c r="O363" s="380" t="str">
        <f t="shared" si="12"/>
        <v>23調査結果-調査結果-6(11)</v>
      </c>
    </row>
    <row r="364" spans="2:15">
      <c r="B364" s="861" t="str">
        <f>LEFT('1_入力シート【基本情報】'!$AF$486,1)</f>
        <v/>
      </c>
      <c r="C364" s="861" t="str">
        <f t="shared" si="11"/>
        <v/>
      </c>
      <c r="E364" s="851">
        <v>23</v>
      </c>
      <c r="F364" s="847" t="s">
        <v>33</v>
      </c>
      <c r="G364" s="824" t="s">
        <v>1407</v>
      </c>
      <c r="H364" s="842" t="s">
        <v>33</v>
      </c>
      <c r="I364" s="826" t="s">
        <v>1407</v>
      </c>
      <c r="J364" s="839" t="s">
        <v>2588</v>
      </c>
      <c r="K364" s="296"/>
      <c r="L364" s="296"/>
      <c r="O364" s="380" t="str">
        <f t="shared" si="12"/>
        <v>23調査結果-調査結果-6(12)</v>
      </c>
    </row>
    <row r="365" spans="2:15">
      <c r="B365" s="861" t="str">
        <f>LEFT('1_入力シート【基本情報】'!$AF$487,1)</f>
        <v/>
      </c>
      <c r="C365" s="861" t="str">
        <f t="shared" si="11"/>
        <v/>
      </c>
      <c r="E365" s="851">
        <v>23</v>
      </c>
      <c r="F365" s="847" t="s">
        <v>33</v>
      </c>
      <c r="G365" s="824" t="s">
        <v>1407</v>
      </c>
      <c r="H365" s="842" t="s">
        <v>33</v>
      </c>
      <c r="I365" s="826" t="s">
        <v>1407</v>
      </c>
      <c r="J365" s="839" t="s">
        <v>2589</v>
      </c>
      <c r="K365" s="296"/>
      <c r="L365" s="296"/>
      <c r="O365" s="380" t="str">
        <f t="shared" si="12"/>
        <v>23調査結果-調査結果-6(13)</v>
      </c>
    </row>
    <row r="366" spans="2:15">
      <c r="B366" s="861" t="str">
        <f>LEFT('1_入力シート【基本情報】'!$AF$488,1)</f>
        <v/>
      </c>
      <c r="C366" s="861" t="str">
        <f t="shared" si="11"/>
        <v/>
      </c>
      <c r="E366" s="851">
        <v>23</v>
      </c>
      <c r="F366" s="847" t="s">
        <v>33</v>
      </c>
      <c r="G366" s="824" t="s">
        <v>1407</v>
      </c>
      <c r="H366" s="842" t="s">
        <v>33</v>
      </c>
      <c r="I366" s="826" t="s">
        <v>1407</v>
      </c>
      <c r="J366" s="839" t="s">
        <v>2590</v>
      </c>
      <c r="K366" s="296"/>
      <c r="L366" s="296"/>
      <c r="O366" s="380" t="str">
        <f t="shared" si="12"/>
        <v>23調査結果-調査結果-6(14)</v>
      </c>
    </row>
    <row r="367" spans="2:15">
      <c r="B367" s="861" t="str">
        <f>LEFT('1_入力シート【基本情報】'!$AF$493,1)</f>
        <v/>
      </c>
      <c r="C367" s="861" t="str">
        <f t="shared" si="11"/>
        <v/>
      </c>
      <c r="E367" s="851">
        <v>23</v>
      </c>
      <c r="F367" s="847" t="s">
        <v>33</v>
      </c>
      <c r="G367" s="824" t="s">
        <v>1407</v>
      </c>
      <c r="H367" s="842" t="s">
        <v>33</v>
      </c>
      <c r="I367" s="826" t="s">
        <v>1407</v>
      </c>
      <c r="J367" s="839" t="s">
        <v>1318</v>
      </c>
      <c r="K367" s="296"/>
      <c r="L367" s="296"/>
      <c r="O367" s="380" t="str">
        <f t="shared" si="12"/>
        <v>23調査結果-調査結果-7(1)</v>
      </c>
    </row>
    <row r="368" spans="2:15">
      <c r="B368" s="861" t="str">
        <f>LEFT('1_入力シート【基本情報】'!$AF$494,1)</f>
        <v/>
      </c>
      <c r="C368" s="861" t="str">
        <f t="shared" si="11"/>
        <v/>
      </c>
      <c r="E368" s="851">
        <v>23</v>
      </c>
      <c r="F368" s="847" t="s">
        <v>33</v>
      </c>
      <c r="G368" s="824" t="s">
        <v>1407</v>
      </c>
      <c r="H368" s="842" t="s">
        <v>33</v>
      </c>
      <c r="I368" s="826" t="s">
        <v>1407</v>
      </c>
      <c r="J368" s="839" t="s">
        <v>1319</v>
      </c>
      <c r="K368" s="296"/>
      <c r="L368" s="296"/>
      <c r="O368" s="380" t="str">
        <f t="shared" si="12"/>
        <v>23調査結果-調査結果-7(2)</v>
      </c>
    </row>
    <row r="369" spans="2:15">
      <c r="B369" s="861" t="str">
        <f>LEFT('1_入力シート【基本情報】'!$AF$495,1)</f>
        <v/>
      </c>
      <c r="C369" s="861" t="str">
        <f t="shared" si="11"/>
        <v/>
      </c>
      <c r="E369" s="851">
        <v>23</v>
      </c>
      <c r="F369" s="847" t="s">
        <v>33</v>
      </c>
      <c r="G369" s="824" t="s">
        <v>1407</v>
      </c>
      <c r="H369" s="842" t="s">
        <v>33</v>
      </c>
      <c r="I369" s="826" t="s">
        <v>1407</v>
      </c>
      <c r="J369" s="839" t="s">
        <v>1320</v>
      </c>
      <c r="K369" s="296"/>
      <c r="L369" s="296"/>
      <c r="O369" s="380" t="str">
        <f t="shared" si="12"/>
        <v>23調査結果-調査結果-7(3)</v>
      </c>
    </row>
    <row r="370" spans="2:15">
      <c r="B370" s="861" t="str">
        <f>LEFT('1_入力シート【基本情報】'!$AF$496,1)</f>
        <v/>
      </c>
      <c r="C370" s="861" t="str">
        <f t="shared" si="11"/>
        <v/>
      </c>
      <c r="E370" s="851">
        <v>23</v>
      </c>
      <c r="F370" s="847" t="s">
        <v>33</v>
      </c>
      <c r="G370" s="824" t="s">
        <v>1407</v>
      </c>
      <c r="H370" s="842" t="s">
        <v>33</v>
      </c>
      <c r="I370" s="826" t="s">
        <v>1407</v>
      </c>
      <c r="J370" s="839" t="s">
        <v>1321</v>
      </c>
      <c r="K370" s="296"/>
      <c r="L370" s="296"/>
      <c r="O370" s="380" t="str">
        <f t="shared" si="12"/>
        <v>23調査結果-調査結果-7(4)</v>
      </c>
    </row>
    <row r="371" spans="2:15">
      <c r="B371" s="861" t="str">
        <f>LEFT('1_入力シート【基本情報】'!$AF$497,1)</f>
        <v/>
      </c>
      <c r="C371" s="861" t="str">
        <f t="shared" si="11"/>
        <v/>
      </c>
      <c r="E371" s="851">
        <v>23</v>
      </c>
      <c r="F371" s="847" t="s">
        <v>33</v>
      </c>
      <c r="G371" s="824" t="s">
        <v>1407</v>
      </c>
      <c r="H371" s="842" t="s">
        <v>33</v>
      </c>
      <c r="I371" s="826" t="s">
        <v>1407</v>
      </c>
      <c r="J371" s="839" t="s">
        <v>1322</v>
      </c>
      <c r="K371" s="296"/>
      <c r="L371" s="296"/>
      <c r="O371" s="380" t="str">
        <f t="shared" si="12"/>
        <v>23調査結果-調査結果-7(5)</v>
      </c>
    </row>
    <row r="372" spans="2:15">
      <c r="B372" s="861" t="str">
        <f>LEFT('1_入力シート【基本情報】'!$AF$498,1)</f>
        <v/>
      </c>
      <c r="C372" s="861" t="str">
        <f t="shared" si="11"/>
        <v/>
      </c>
      <c r="E372" s="851">
        <v>23</v>
      </c>
      <c r="F372" s="847" t="s">
        <v>33</v>
      </c>
      <c r="G372" s="824" t="s">
        <v>1407</v>
      </c>
      <c r="H372" s="842" t="s">
        <v>33</v>
      </c>
      <c r="I372" s="826" t="s">
        <v>1407</v>
      </c>
      <c r="J372" s="839" t="s">
        <v>1381</v>
      </c>
      <c r="K372" s="296"/>
      <c r="L372" s="296"/>
      <c r="O372" s="380" t="str">
        <f t="shared" si="12"/>
        <v>23調査結果-調査結果-7(6)</v>
      </c>
    </row>
    <row r="373" spans="2:15">
      <c r="B373" s="861" t="str">
        <f>LEFT('1_入力シート【基本情報】'!$AF$499,1)</f>
        <v/>
      </c>
      <c r="C373" s="861" t="str">
        <f t="shared" si="11"/>
        <v/>
      </c>
      <c r="E373" s="851">
        <v>23</v>
      </c>
      <c r="F373" s="847" t="s">
        <v>33</v>
      </c>
      <c r="G373" s="824" t="s">
        <v>1407</v>
      </c>
      <c r="H373" s="842" t="s">
        <v>33</v>
      </c>
      <c r="I373" s="826" t="s">
        <v>1407</v>
      </c>
      <c r="J373" s="839" t="s">
        <v>1382</v>
      </c>
      <c r="K373" s="296"/>
      <c r="L373" s="296"/>
      <c r="O373" s="380" t="str">
        <f t="shared" si="12"/>
        <v>23調査結果-調査結果-7(7)</v>
      </c>
    </row>
    <row r="374" spans="2:15">
      <c r="B374" s="861" t="str">
        <f>LEFT('1_入力シート【基本情報】'!$AF$500,1)</f>
        <v/>
      </c>
      <c r="C374" s="861" t="str">
        <f t="shared" si="11"/>
        <v/>
      </c>
      <c r="E374" s="851">
        <v>23</v>
      </c>
      <c r="F374" s="847" t="s">
        <v>33</v>
      </c>
      <c r="G374" s="824" t="s">
        <v>1407</v>
      </c>
      <c r="H374" s="842" t="s">
        <v>33</v>
      </c>
      <c r="I374" s="826" t="s">
        <v>1407</v>
      </c>
      <c r="J374" s="839" t="s">
        <v>1383</v>
      </c>
      <c r="K374" s="296"/>
      <c r="L374" s="296"/>
      <c r="O374" s="380" t="str">
        <f t="shared" si="12"/>
        <v>23調査結果-調査結果-7(8)</v>
      </c>
    </row>
    <row r="375" spans="2:15">
      <c r="B375" s="861" t="str">
        <f>LEFT('1_入力シート【基本情報】'!$AF$501,1)</f>
        <v/>
      </c>
      <c r="C375" s="861" t="str">
        <f t="shared" si="11"/>
        <v/>
      </c>
      <c r="E375" s="851">
        <v>23</v>
      </c>
      <c r="F375" s="847" t="s">
        <v>33</v>
      </c>
      <c r="G375" s="824" t="s">
        <v>1407</v>
      </c>
      <c r="H375" s="842" t="s">
        <v>33</v>
      </c>
      <c r="I375" s="826" t="s">
        <v>1407</v>
      </c>
      <c r="J375" s="839" t="s">
        <v>1384</v>
      </c>
      <c r="K375" s="296"/>
      <c r="L375" s="296"/>
      <c r="O375" s="380" t="str">
        <f t="shared" si="12"/>
        <v>23調査結果-調査結果-7(9)</v>
      </c>
    </row>
    <row r="376" spans="2:15">
      <c r="B376" s="861" t="str">
        <f>LEFT('1_入力シート【基本情報】'!$AF$502,1)</f>
        <v/>
      </c>
      <c r="C376" s="861" t="str">
        <f t="shared" si="11"/>
        <v/>
      </c>
      <c r="E376" s="851">
        <v>23</v>
      </c>
      <c r="F376" s="847" t="s">
        <v>33</v>
      </c>
      <c r="G376" s="824" t="s">
        <v>1407</v>
      </c>
      <c r="H376" s="842" t="s">
        <v>33</v>
      </c>
      <c r="I376" s="826" t="s">
        <v>1407</v>
      </c>
      <c r="J376" s="839" t="s">
        <v>1385</v>
      </c>
      <c r="K376" s="296"/>
      <c r="L376" s="296"/>
      <c r="O376" s="380" t="str">
        <f t="shared" si="12"/>
        <v>23調査結果-調査結果-7(10)</v>
      </c>
    </row>
    <row r="377" spans="2:15">
      <c r="B377" s="861" t="str">
        <f>LEFT('1_入力シート【基本情報】'!$AF$503,1)</f>
        <v/>
      </c>
      <c r="C377" s="861" t="str">
        <f t="shared" si="11"/>
        <v/>
      </c>
      <c r="E377" s="851">
        <v>23</v>
      </c>
      <c r="F377" s="847" t="s">
        <v>33</v>
      </c>
      <c r="G377" s="824" t="s">
        <v>1407</v>
      </c>
      <c r="H377" s="842" t="s">
        <v>33</v>
      </c>
      <c r="I377" s="826" t="s">
        <v>1407</v>
      </c>
      <c r="J377" s="839" t="s">
        <v>2591</v>
      </c>
      <c r="K377" s="296"/>
      <c r="L377" s="296"/>
      <c r="O377" s="380" t="str">
        <f t="shared" si="12"/>
        <v>23調査結果-調査結果-7(11)</v>
      </c>
    </row>
    <row r="378" spans="2:15">
      <c r="B378" s="861" t="str">
        <f>LEFT('1_入力シート【基本情報】'!$AF$504,1)</f>
        <v/>
      </c>
      <c r="C378" s="861" t="str">
        <f t="shared" si="11"/>
        <v/>
      </c>
      <c r="E378" s="851">
        <v>23</v>
      </c>
      <c r="F378" s="847" t="s">
        <v>33</v>
      </c>
      <c r="G378" s="824" t="s">
        <v>1407</v>
      </c>
      <c r="H378" s="842" t="s">
        <v>33</v>
      </c>
      <c r="I378" s="826" t="s">
        <v>1407</v>
      </c>
      <c r="J378" s="839" t="s">
        <v>2592</v>
      </c>
      <c r="K378" s="296"/>
      <c r="L378" s="296"/>
      <c r="O378" s="380" t="str">
        <f t="shared" si="12"/>
        <v>23調査結果-調査結果-7(12)</v>
      </c>
    </row>
    <row r="379" spans="2:15">
      <c r="B379" s="861" t="str">
        <f>LEFT('1_入力シート【基本情報】'!$AF$505,1)</f>
        <v/>
      </c>
      <c r="C379" s="861" t="str">
        <f t="shared" si="11"/>
        <v/>
      </c>
      <c r="E379" s="851">
        <v>23</v>
      </c>
      <c r="F379" s="847" t="s">
        <v>33</v>
      </c>
      <c r="G379" s="824" t="s">
        <v>1407</v>
      </c>
      <c r="H379" s="842" t="s">
        <v>33</v>
      </c>
      <c r="I379" s="826" t="s">
        <v>1407</v>
      </c>
      <c r="J379" s="839" t="s">
        <v>2593</v>
      </c>
      <c r="K379" s="296"/>
      <c r="L379" s="296"/>
      <c r="O379" s="380" t="str">
        <f t="shared" si="12"/>
        <v>23調査結果-調査結果-7(13)</v>
      </c>
    </row>
    <row r="380" spans="2:15">
      <c r="B380" s="861" t="str">
        <f>LEFT('1_入力シート【基本情報】'!$AF$506,1)</f>
        <v/>
      </c>
      <c r="C380" s="861" t="str">
        <f t="shared" si="11"/>
        <v/>
      </c>
      <c r="E380" s="851">
        <v>23</v>
      </c>
      <c r="F380" s="847" t="s">
        <v>33</v>
      </c>
      <c r="G380" s="824" t="s">
        <v>1407</v>
      </c>
      <c r="H380" s="842" t="s">
        <v>33</v>
      </c>
      <c r="I380" s="826" t="s">
        <v>1407</v>
      </c>
      <c r="J380" s="839" t="s">
        <v>2594</v>
      </c>
      <c r="K380" s="296"/>
      <c r="L380" s="296"/>
      <c r="O380" s="380" t="str">
        <f t="shared" si="12"/>
        <v>23調査結果-調査結果-7(14)</v>
      </c>
    </row>
    <row r="381" spans="2:15">
      <c r="B381" s="861" t="str">
        <f>LEFT('1_入力シート【基本情報】'!$AF$507,1)</f>
        <v/>
      </c>
      <c r="C381" s="861" t="str">
        <f t="shared" si="11"/>
        <v/>
      </c>
      <c r="E381" s="851">
        <v>23</v>
      </c>
      <c r="F381" s="847" t="s">
        <v>33</v>
      </c>
      <c r="G381" s="824" t="s">
        <v>1407</v>
      </c>
      <c r="H381" s="842" t="s">
        <v>33</v>
      </c>
      <c r="I381" s="826" t="s">
        <v>1407</v>
      </c>
      <c r="J381" s="839" t="s">
        <v>2595</v>
      </c>
      <c r="K381" s="296"/>
      <c r="L381" s="296"/>
      <c r="O381" s="380" t="str">
        <f t="shared" si="12"/>
        <v>23調査結果-調査結果-7(15)</v>
      </c>
    </row>
    <row r="382" spans="2:15">
      <c r="B382" s="1670" t="str">
        <f>'1_入力シート【基本情報】'!$HR$307</f>
        <v/>
      </c>
      <c r="C382" s="1670" t="str">
        <f t="shared" si="11"/>
        <v/>
      </c>
      <c r="E382" s="851">
        <v>23</v>
      </c>
      <c r="F382" s="847" t="s">
        <v>33</v>
      </c>
      <c r="G382" s="824" t="s">
        <v>1407</v>
      </c>
      <c r="H382" s="842" t="s">
        <v>5422</v>
      </c>
      <c r="I382" s="826" t="s">
        <v>1407</v>
      </c>
      <c r="J382" s="839" t="s">
        <v>1325</v>
      </c>
      <c r="K382" s="296"/>
      <c r="L382" s="296"/>
      <c r="O382" s="380" t="str">
        <f t="shared" si="12"/>
        <v>23調査結果-指摘内容-1(1)</v>
      </c>
    </row>
    <row r="383" spans="2:15">
      <c r="B383" s="1670" t="str">
        <f>'1_入力シート【基本情報】'!$HR$308</f>
        <v/>
      </c>
      <c r="C383" s="1670" t="str">
        <f t="shared" si="11"/>
        <v/>
      </c>
      <c r="E383" s="851">
        <v>23</v>
      </c>
      <c r="F383" s="847" t="s">
        <v>33</v>
      </c>
      <c r="G383" s="824" t="s">
        <v>1407</v>
      </c>
      <c r="H383" s="842" t="s">
        <v>5422</v>
      </c>
      <c r="I383" s="826" t="s">
        <v>1407</v>
      </c>
      <c r="J383" s="839" t="s">
        <v>1184</v>
      </c>
      <c r="K383" s="296"/>
      <c r="L383" s="296"/>
      <c r="O383" s="380" t="str">
        <f t="shared" si="12"/>
        <v>23調査結果-指摘内容-1(2)</v>
      </c>
    </row>
    <row r="384" spans="2:15">
      <c r="B384" s="1670" t="str">
        <f>'1_入力シート【基本情報】'!$HR$309</f>
        <v/>
      </c>
      <c r="C384" s="1670" t="str">
        <f t="shared" si="11"/>
        <v/>
      </c>
      <c r="E384" s="851">
        <v>23</v>
      </c>
      <c r="F384" s="847" t="s">
        <v>33</v>
      </c>
      <c r="G384" s="824" t="s">
        <v>1407</v>
      </c>
      <c r="H384" s="842" t="s">
        <v>5422</v>
      </c>
      <c r="I384" s="826" t="s">
        <v>1407</v>
      </c>
      <c r="J384" s="839" t="s">
        <v>1190</v>
      </c>
      <c r="K384" s="296"/>
      <c r="L384" s="296"/>
      <c r="O384" s="380" t="str">
        <f t="shared" si="12"/>
        <v>23調査結果-指摘内容-1(3)</v>
      </c>
    </row>
    <row r="385" spans="2:15">
      <c r="B385" s="1670" t="str">
        <f>'1_入力シート【基本情報】'!$HR$310</f>
        <v/>
      </c>
      <c r="C385" s="1670" t="str">
        <f t="shared" si="11"/>
        <v/>
      </c>
      <c r="E385" s="851">
        <v>23</v>
      </c>
      <c r="F385" s="847" t="s">
        <v>33</v>
      </c>
      <c r="G385" s="824" t="s">
        <v>1407</v>
      </c>
      <c r="H385" s="842" t="s">
        <v>5422</v>
      </c>
      <c r="I385" s="826" t="s">
        <v>1407</v>
      </c>
      <c r="J385" s="839" t="s">
        <v>1191</v>
      </c>
      <c r="K385" s="296"/>
      <c r="L385" s="296"/>
      <c r="O385" s="380" t="str">
        <f t="shared" si="12"/>
        <v>23調査結果-指摘内容-1(4)</v>
      </c>
    </row>
    <row r="386" spans="2:15">
      <c r="B386" s="1670" t="str">
        <f>'1_入力シート【基本情報】'!$HR$311</f>
        <v/>
      </c>
      <c r="C386" s="1670" t="str">
        <f t="shared" si="11"/>
        <v/>
      </c>
      <c r="E386" s="851">
        <v>23</v>
      </c>
      <c r="F386" s="847" t="s">
        <v>33</v>
      </c>
      <c r="G386" s="824" t="s">
        <v>1407</v>
      </c>
      <c r="H386" s="842" t="s">
        <v>5422</v>
      </c>
      <c r="I386" s="826" t="s">
        <v>1407</v>
      </c>
      <c r="J386" s="839" t="s">
        <v>1192</v>
      </c>
      <c r="K386" s="296"/>
      <c r="L386" s="296"/>
      <c r="O386" s="380" t="str">
        <f t="shared" si="12"/>
        <v>23調査結果-指摘内容-1(5)</v>
      </c>
    </row>
    <row r="387" spans="2:15">
      <c r="B387" s="1670" t="str">
        <f>'1_入力シート【基本情報】'!$HR$312</f>
        <v/>
      </c>
      <c r="C387" s="1670" t="str">
        <f t="shared" si="11"/>
        <v/>
      </c>
      <c r="E387" s="851">
        <v>23</v>
      </c>
      <c r="F387" s="847" t="s">
        <v>33</v>
      </c>
      <c r="G387" s="824" t="s">
        <v>1407</v>
      </c>
      <c r="H387" s="842" t="s">
        <v>5422</v>
      </c>
      <c r="I387" s="826" t="s">
        <v>1407</v>
      </c>
      <c r="J387" s="839" t="s">
        <v>1193</v>
      </c>
      <c r="K387" s="296"/>
      <c r="L387" s="296"/>
      <c r="O387" s="380" t="str">
        <f t="shared" si="12"/>
        <v>23調査結果-指摘内容-1(6)</v>
      </c>
    </row>
    <row r="388" spans="2:15">
      <c r="B388" s="1670" t="str">
        <f>'1_入力シート【基本情報】'!$HR$313</f>
        <v/>
      </c>
      <c r="C388" s="1670" t="str">
        <f t="shared" si="11"/>
        <v/>
      </c>
      <c r="E388" s="851">
        <v>23</v>
      </c>
      <c r="F388" s="847" t="s">
        <v>33</v>
      </c>
      <c r="G388" s="824" t="s">
        <v>1407</v>
      </c>
      <c r="H388" s="842" t="s">
        <v>5422</v>
      </c>
      <c r="I388" s="826" t="s">
        <v>1407</v>
      </c>
      <c r="J388" s="839" t="s">
        <v>1194</v>
      </c>
      <c r="K388" s="296"/>
      <c r="L388" s="296"/>
      <c r="O388" s="380" t="str">
        <f t="shared" si="12"/>
        <v>23調査結果-指摘内容-1(7)</v>
      </c>
    </row>
    <row r="389" spans="2:15">
      <c r="B389" s="1670" t="str">
        <f>'1_入力シート【基本情報】'!$HR$314</f>
        <v/>
      </c>
      <c r="C389" s="1670" t="str">
        <f t="shared" ref="C389:C452" si="13">SUBSTITUTE(B389,CHAR(10),"")</f>
        <v/>
      </c>
      <c r="E389" s="851">
        <v>23</v>
      </c>
      <c r="F389" s="847" t="s">
        <v>33</v>
      </c>
      <c r="G389" s="824" t="s">
        <v>1407</v>
      </c>
      <c r="H389" s="842" t="s">
        <v>5422</v>
      </c>
      <c r="I389" s="826" t="s">
        <v>1407</v>
      </c>
      <c r="J389" s="839" t="s">
        <v>1195</v>
      </c>
      <c r="K389" s="296"/>
      <c r="L389" s="296"/>
      <c r="O389" s="380" t="str">
        <f t="shared" si="12"/>
        <v>23調査結果-指摘内容-1(8)</v>
      </c>
    </row>
    <row r="390" spans="2:15">
      <c r="B390" s="1670" t="str">
        <f>'1_入力シート【基本情報】'!$HR$315</f>
        <v/>
      </c>
      <c r="C390" s="1670" t="str">
        <f t="shared" si="13"/>
        <v/>
      </c>
      <c r="E390" s="851">
        <v>23</v>
      </c>
      <c r="F390" s="847" t="s">
        <v>33</v>
      </c>
      <c r="G390" s="824" t="s">
        <v>1407</v>
      </c>
      <c r="H390" s="842" t="s">
        <v>5422</v>
      </c>
      <c r="I390" s="826" t="s">
        <v>1407</v>
      </c>
      <c r="J390" s="839" t="s">
        <v>1196</v>
      </c>
      <c r="K390" s="296"/>
      <c r="L390" s="296"/>
      <c r="O390" s="380" t="str">
        <f t="shared" si="12"/>
        <v>23調査結果-指摘内容-1(9)</v>
      </c>
    </row>
    <row r="391" spans="2:15">
      <c r="B391" s="1670" t="str">
        <f>'1_入力シート【基本情報】'!$HR$316</f>
        <v/>
      </c>
      <c r="C391" s="1670" t="str">
        <f t="shared" si="13"/>
        <v/>
      </c>
      <c r="E391" s="851">
        <v>23</v>
      </c>
      <c r="F391" s="847" t="s">
        <v>33</v>
      </c>
      <c r="G391" s="824" t="s">
        <v>1407</v>
      </c>
      <c r="H391" s="842" t="s">
        <v>5422</v>
      </c>
      <c r="I391" s="826" t="s">
        <v>1407</v>
      </c>
      <c r="J391" s="839" t="s">
        <v>2561</v>
      </c>
      <c r="K391" s="296"/>
      <c r="L391" s="296"/>
      <c r="O391" s="380" t="str">
        <f t="shared" si="12"/>
        <v>23調査結果-指摘内容-1(10)</v>
      </c>
    </row>
    <row r="392" spans="2:15">
      <c r="B392" s="1670" t="str">
        <f>'1_入力シート【基本情報】'!$HR$317</f>
        <v/>
      </c>
      <c r="C392" s="1670" t="str">
        <f t="shared" si="13"/>
        <v/>
      </c>
      <c r="E392" s="851">
        <v>23</v>
      </c>
      <c r="F392" s="847" t="s">
        <v>33</v>
      </c>
      <c r="G392" s="824" t="s">
        <v>1407</v>
      </c>
      <c r="H392" s="842" t="s">
        <v>5422</v>
      </c>
      <c r="I392" s="826" t="s">
        <v>1407</v>
      </c>
      <c r="J392" s="839" t="s">
        <v>2562</v>
      </c>
      <c r="K392" s="296"/>
      <c r="L392" s="296"/>
      <c r="O392" s="380" t="str">
        <f t="shared" si="12"/>
        <v>23調査結果-指摘内容-1(11)</v>
      </c>
    </row>
    <row r="393" spans="2:15">
      <c r="B393" s="1670" t="str">
        <f>'1_入力シート【基本情報】'!$HR$318</f>
        <v/>
      </c>
      <c r="C393" s="1670" t="str">
        <f t="shared" si="13"/>
        <v/>
      </c>
      <c r="E393" s="851">
        <v>23</v>
      </c>
      <c r="F393" s="847" t="s">
        <v>33</v>
      </c>
      <c r="G393" s="824" t="s">
        <v>1407</v>
      </c>
      <c r="H393" s="842" t="s">
        <v>5422</v>
      </c>
      <c r="I393" s="826" t="s">
        <v>1407</v>
      </c>
      <c r="J393" s="839" t="s">
        <v>2563</v>
      </c>
      <c r="K393" s="296"/>
      <c r="L393" s="296"/>
      <c r="O393" s="380" t="str">
        <f t="shared" si="12"/>
        <v>23調査結果-指摘内容-1(12)</v>
      </c>
    </row>
    <row r="394" spans="2:15">
      <c r="B394" s="1670" t="str">
        <f>'1_入力シート【基本情報】'!$HR$319</f>
        <v/>
      </c>
      <c r="C394" s="1670" t="str">
        <f t="shared" si="13"/>
        <v/>
      </c>
      <c r="E394" s="851">
        <v>23</v>
      </c>
      <c r="F394" s="847" t="s">
        <v>33</v>
      </c>
      <c r="G394" s="824" t="s">
        <v>1407</v>
      </c>
      <c r="H394" s="842" t="s">
        <v>5422</v>
      </c>
      <c r="I394" s="826" t="s">
        <v>1407</v>
      </c>
      <c r="J394" s="839" t="s">
        <v>2564</v>
      </c>
      <c r="K394" s="296"/>
      <c r="L394" s="296"/>
      <c r="O394" s="380" t="str">
        <f t="shared" si="12"/>
        <v>23調査結果-指摘内容-1(13)</v>
      </c>
    </row>
    <row r="395" spans="2:15">
      <c r="B395" s="1670" t="str">
        <f>'1_入力シート【基本情報】'!$HR$320</f>
        <v/>
      </c>
      <c r="C395" s="1670" t="str">
        <f t="shared" si="13"/>
        <v/>
      </c>
      <c r="E395" s="851">
        <v>23</v>
      </c>
      <c r="F395" s="847" t="s">
        <v>33</v>
      </c>
      <c r="G395" s="824" t="s">
        <v>1407</v>
      </c>
      <c r="H395" s="842" t="s">
        <v>5422</v>
      </c>
      <c r="I395" s="826" t="s">
        <v>1407</v>
      </c>
      <c r="J395" s="839" t="s">
        <v>2565</v>
      </c>
      <c r="K395" s="296"/>
      <c r="L395" s="296"/>
      <c r="O395" s="380" t="str">
        <f t="shared" si="12"/>
        <v>23調査結果-指摘内容-1(14)</v>
      </c>
    </row>
    <row r="396" spans="2:15">
      <c r="B396" s="1670" t="str">
        <f>'1_入力シート【基本情報】'!$HR$325</f>
        <v/>
      </c>
      <c r="C396" s="1670" t="str">
        <f t="shared" si="13"/>
        <v/>
      </c>
      <c r="E396" s="851">
        <v>23</v>
      </c>
      <c r="F396" s="847" t="s">
        <v>33</v>
      </c>
      <c r="G396" s="824" t="s">
        <v>1407</v>
      </c>
      <c r="H396" s="842" t="s">
        <v>5422</v>
      </c>
      <c r="I396" s="826" t="s">
        <v>1407</v>
      </c>
      <c r="J396" s="839" t="s">
        <v>251</v>
      </c>
      <c r="K396" s="296"/>
      <c r="L396" s="296"/>
      <c r="O396" s="380" t="str">
        <f t="shared" si="12"/>
        <v>23調査結果-指摘内容-2(1)</v>
      </c>
    </row>
    <row r="397" spans="2:15">
      <c r="B397" s="1670" t="str">
        <f>'1_入力シート【基本情報】'!$HR$326</f>
        <v/>
      </c>
      <c r="C397" s="1670" t="str">
        <f t="shared" si="13"/>
        <v/>
      </c>
      <c r="E397" s="851">
        <v>23</v>
      </c>
      <c r="F397" s="847" t="s">
        <v>33</v>
      </c>
      <c r="G397" s="824" t="s">
        <v>1407</v>
      </c>
      <c r="H397" s="842" t="s">
        <v>5422</v>
      </c>
      <c r="I397" s="826" t="s">
        <v>1407</v>
      </c>
      <c r="J397" s="839" t="s">
        <v>252</v>
      </c>
      <c r="K397" s="296"/>
      <c r="L397" s="296"/>
      <c r="O397" s="380" t="str">
        <f t="shared" si="12"/>
        <v>23調査結果-指摘内容-2(2)</v>
      </c>
    </row>
    <row r="398" spans="2:15">
      <c r="B398" s="1670" t="str">
        <f>'1_入力シート【基本情報】'!$HR$327</f>
        <v/>
      </c>
      <c r="C398" s="1670" t="str">
        <f t="shared" si="13"/>
        <v/>
      </c>
      <c r="E398" s="851">
        <v>23</v>
      </c>
      <c r="F398" s="847" t="s">
        <v>33</v>
      </c>
      <c r="G398" s="824" t="s">
        <v>1407</v>
      </c>
      <c r="H398" s="842" t="s">
        <v>5422</v>
      </c>
      <c r="I398" s="826" t="s">
        <v>1407</v>
      </c>
      <c r="J398" s="839" t="s">
        <v>253</v>
      </c>
      <c r="K398" s="296"/>
      <c r="L398" s="296"/>
      <c r="O398" s="380" t="str">
        <f t="shared" si="12"/>
        <v>23調査結果-指摘内容-2(3)</v>
      </c>
    </row>
    <row r="399" spans="2:15">
      <c r="B399" s="1670" t="str">
        <f>'1_入力シート【基本情報】'!$HR$328</f>
        <v/>
      </c>
      <c r="C399" s="1670" t="str">
        <f t="shared" si="13"/>
        <v/>
      </c>
      <c r="E399" s="851">
        <v>23</v>
      </c>
      <c r="F399" s="847" t="s">
        <v>33</v>
      </c>
      <c r="G399" s="824" t="s">
        <v>1407</v>
      </c>
      <c r="H399" s="842" t="s">
        <v>5422</v>
      </c>
      <c r="I399" s="826" t="s">
        <v>1407</v>
      </c>
      <c r="J399" s="839" t="s">
        <v>254</v>
      </c>
      <c r="K399" s="296"/>
      <c r="L399" s="296"/>
      <c r="O399" s="380" t="str">
        <f t="shared" si="12"/>
        <v>23調査結果-指摘内容-2(4)</v>
      </c>
    </row>
    <row r="400" spans="2:15">
      <c r="B400" s="1670" t="str">
        <f>'1_入力シート【基本情報】'!$HR$329</f>
        <v/>
      </c>
      <c r="C400" s="1670" t="str">
        <f t="shared" si="13"/>
        <v/>
      </c>
      <c r="E400" s="851">
        <v>23</v>
      </c>
      <c r="F400" s="847" t="s">
        <v>33</v>
      </c>
      <c r="G400" s="824" t="s">
        <v>1407</v>
      </c>
      <c r="H400" s="842" t="s">
        <v>5422</v>
      </c>
      <c r="I400" s="826" t="s">
        <v>1407</v>
      </c>
      <c r="J400" s="839" t="s">
        <v>255</v>
      </c>
      <c r="K400" s="296"/>
      <c r="L400" s="296"/>
      <c r="O400" s="380" t="str">
        <f t="shared" si="12"/>
        <v>23調査結果-指摘内容-2(5)</v>
      </c>
    </row>
    <row r="401" spans="2:15">
      <c r="B401" s="1670" t="str">
        <f>'1_入力シート【基本情報】'!$HR$330</f>
        <v/>
      </c>
      <c r="C401" s="1670" t="str">
        <f t="shared" si="13"/>
        <v/>
      </c>
      <c r="E401" s="851">
        <v>23</v>
      </c>
      <c r="F401" s="847" t="s">
        <v>33</v>
      </c>
      <c r="G401" s="824" t="s">
        <v>1407</v>
      </c>
      <c r="H401" s="842" t="s">
        <v>5422</v>
      </c>
      <c r="I401" s="826" t="s">
        <v>1407</v>
      </c>
      <c r="J401" s="839" t="s">
        <v>256</v>
      </c>
      <c r="K401" s="296"/>
      <c r="L401" s="296"/>
      <c r="O401" s="380" t="str">
        <f t="shared" ref="O401:O464" si="14">CONCATENATE(E401,F401,G401,H401,I401,J401,K401,L401)</f>
        <v>23調査結果-指摘内容-2(6)</v>
      </c>
    </row>
    <row r="402" spans="2:15">
      <c r="B402" s="1670" t="str">
        <f>'1_入力シート【基本情報】'!$HR$331</f>
        <v/>
      </c>
      <c r="C402" s="1670" t="str">
        <f t="shared" si="13"/>
        <v/>
      </c>
      <c r="E402" s="851">
        <v>23</v>
      </c>
      <c r="F402" s="847" t="s">
        <v>33</v>
      </c>
      <c r="G402" s="824" t="s">
        <v>1407</v>
      </c>
      <c r="H402" s="842" t="s">
        <v>5422</v>
      </c>
      <c r="I402" s="826" t="s">
        <v>1407</v>
      </c>
      <c r="J402" s="839" t="s">
        <v>257</v>
      </c>
      <c r="K402" s="296"/>
      <c r="L402" s="296"/>
      <c r="O402" s="380" t="str">
        <f t="shared" si="14"/>
        <v>23調査結果-指摘内容-2(7)</v>
      </c>
    </row>
    <row r="403" spans="2:15">
      <c r="B403" s="1670" t="str">
        <f>'1_入力シート【基本情報】'!$HR$332</f>
        <v/>
      </c>
      <c r="C403" s="1670" t="str">
        <f t="shared" si="13"/>
        <v/>
      </c>
      <c r="E403" s="851">
        <v>23</v>
      </c>
      <c r="F403" s="847" t="s">
        <v>33</v>
      </c>
      <c r="G403" s="824" t="s">
        <v>1407</v>
      </c>
      <c r="H403" s="842" t="s">
        <v>5422</v>
      </c>
      <c r="I403" s="826" t="s">
        <v>1407</v>
      </c>
      <c r="J403" s="839" t="s">
        <v>258</v>
      </c>
      <c r="K403" s="296"/>
      <c r="L403" s="296"/>
      <c r="O403" s="380" t="str">
        <f t="shared" si="14"/>
        <v>23調査結果-指摘内容-2(8)</v>
      </c>
    </row>
    <row r="404" spans="2:15">
      <c r="B404" s="1670" t="str">
        <f>'1_入力シート【基本情報】'!$HR$333</f>
        <v/>
      </c>
      <c r="C404" s="1670" t="str">
        <f t="shared" si="13"/>
        <v/>
      </c>
      <c r="E404" s="851">
        <v>23</v>
      </c>
      <c r="F404" s="847" t="s">
        <v>33</v>
      </c>
      <c r="G404" s="824" t="s">
        <v>1407</v>
      </c>
      <c r="H404" s="842" t="s">
        <v>5422</v>
      </c>
      <c r="I404" s="826" t="s">
        <v>1407</v>
      </c>
      <c r="J404" s="839" t="s">
        <v>259</v>
      </c>
      <c r="K404" s="296"/>
      <c r="L404" s="296"/>
      <c r="O404" s="380" t="str">
        <f t="shared" si="14"/>
        <v>23調査結果-指摘内容-2(9)</v>
      </c>
    </row>
    <row r="405" spans="2:15">
      <c r="B405" s="1670" t="str">
        <f>'1_入力シート【基本情報】'!$HR$334</f>
        <v/>
      </c>
      <c r="C405" s="1670" t="str">
        <f t="shared" si="13"/>
        <v/>
      </c>
      <c r="E405" s="851">
        <v>23</v>
      </c>
      <c r="F405" s="847" t="s">
        <v>33</v>
      </c>
      <c r="G405" s="824" t="s">
        <v>1407</v>
      </c>
      <c r="H405" s="842" t="s">
        <v>5422</v>
      </c>
      <c r="I405" s="826" t="s">
        <v>1407</v>
      </c>
      <c r="J405" s="839" t="s">
        <v>260</v>
      </c>
      <c r="K405" s="296"/>
      <c r="L405" s="296"/>
      <c r="O405" s="380" t="str">
        <f t="shared" si="14"/>
        <v>23調査結果-指摘内容-2(10)</v>
      </c>
    </row>
    <row r="406" spans="2:15">
      <c r="B406" s="1670" t="str">
        <f>'1_入力シート【基本情報】'!$HR$335</f>
        <v/>
      </c>
      <c r="C406" s="1670" t="str">
        <f t="shared" si="13"/>
        <v/>
      </c>
      <c r="E406" s="851">
        <v>23</v>
      </c>
      <c r="F406" s="847" t="s">
        <v>33</v>
      </c>
      <c r="G406" s="824" t="s">
        <v>1407</v>
      </c>
      <c r="H406" s="842" t="s">
        <v>5422</v>
      </c>
      <c r="I406" s="826" t="s">
        <v>1407</v>
      </c>
      <c r="J406" s="839" t="s">
        <v>261</v>
      </c>
      <c r="K406" s="296"/>
      <c r="L406" s="296"/>
      <c r="O406" s="380" t="str">
        <f t="shared" si="14"/>
        <v>23調査結果-指摘内容-2(11)</v>
      </c>
    </row>
    <row r="407" spans="2:15">
      <c r="B407" s="1670" t="str">
        <f>'1_入力シート【基本情報】'!$HR$336</f>
        <v/>
      </c>
      <c r="C407" s="1670" t="str">
        <f t="shared" si="13"/>
        <v/>
      </c>
      <c r="E407" s="851">
        <v>23</v>
      </c>
      <c r="F407" s="847" t="s">
        <v>33</v>
      </c>
      <c r="G407" s="824" t="s">
        <v>1407</v>
      </c>
      <c r="H407" s="842" t="s">
        <v>5422</v>
      </c>
      <c r="I407" s="826" t="s">
        <v>1407</v>
      </c>
      <c r="J407" s="839" t="s">
        <v>262</v>
      </c>
      <c r="K407" s="296"/>
      <c r="L407" s="296"/>
      <c r="O407" s="380" t="str">
        <f t="shared" si="14"/>
        <v>23調査結果-指摘内容-2(12)</v>
      </c>
    </row>
    <row r="408" spans="2:15">
      <c r="B408" s="1670" t="str">
        <f>'1_入力シート【基本情報】'!$HR$337</f>
        <v/>
      </c>
      <c r="C408" s="1670" t="str">
        <f t="shared" si="13"/>
        <v/>
      </c>
      <c r="E408" s="851">
        <v>23</v>
      </c>
      <c r="F408" s="847" t="s">
        <v>33</v>
      </c>
      <c r="G408" s="824" t="s">
        <v>1407</v>
      </c>
      <c r="H408" s="842" t="s">
        <v>5422</v>
      </c>
      <c r="I408" s="826" t="s">
        <v>1407</v>
      </c>
      <c r="J408" s="839" t="s">
        <v>301</v>
      </c>
      <c r="K408" s="296"/>
      <c r="L408" s="296"/>
      <c r="O408" s="380" t="str">
        <f t="shared" si="14"/>
        <v>23調査結果-指摘内容-2(13)</v>
      </c>
    </row>
    <row r="409" spans="2:15">
      <c r="B409" s="1670" t="str">
        <f>'1_入力シート【基本情報】'!$HR$338</f>
        <v/>
      </c>
      <c r="C409" s="1670" t="str">
        <f t="shared" si="13"/>
        <v/>
      </c>
      <c r="E409" s="851">
        <v>23</v>
      </c>
      <c r="F409" s="847" t="s">
        <v>33</v>
      </c>
      <c r="G409" s="824" t="s">
        <v>1407</v>
      </c>
      <c r="H409" s="842" t="s">
        <v>5422</v>
      </c>
      <c r="I409" s="826" t="s">
        <v>1407</v>
      </c>
      <c r="J409" s="839" t="s">
        <v>302</v>
      </c>
      <c r="K409" s="296"/>
      <c r="L409" s="296"/>
      <c r="O409" s="380" t="str">
        <f t="shared" si="14"/>
        <v>23調査結果-指摘内容-2(14)</v>
      </c>
    </row>
    <row r="410" spans="2:15">
      <c r="B410" s="1670" t="str">
        <f>'1_入力シート【基本情報】'!$HR$339</f>
        <v/>
      </c>
      <c r="C410" s="1670" t="str">
        <f t="shared" si="13"/>
        <v/>
      </c>
      <c r="E410" s="851">
        <v>23</v>
      </c>
      <c r="F410" s="847" t="s">
        <v>33</v>
      </c>
      <c r="G410" s="824" t="s">
        <v>1407</v>
      </c>
      <c r="H410" s="842" t="s">
        <v>5422</v>
      </c>
      <c r="I410" s="826" t="s">
        <v>1407</v>
      </c>
      <c r="J410" s="839" t="s">
        <v>303</v>
      </c>
      <c r="K410" s="296"/>
      <c r="L410" s="296"/>
      <c r="O410" s="380" t="str">
        <f t="shared" si="14"/>
        <v>23調査結果-指摘内容-2(15)</v>
      </c>
    </row>
    <row r="411" spans="2:15">
      <c r="B411" s="1670" t="str">
        <f>'1_入力シート【基本情報】'!$HR$340</f>
        <v/>
      </c>
      <c r="C411" s="1670" t="str">
        <f t="shared" si="13"/>
        <v/>
      </c>
      <c r="E411" s="851">
        <v>23</v>
      </c>
      <c r="F411" s="847" t="s">
        <v>33</v>
      </c>
      <c r="G411" s="824" t="s">
        <v>1407</v>
      </c>
      <c r="H411" s="842" t="s">
        <v>5422</v>
      </c>
      <c r="I411" s="826" t="s">
        <v>1407</v>
      </c>
      <c r="J411" s="839" t="s">
        <v>304</v>
      </c>
      <c r="K411" s="296"/>
      <c r="L411" s="296"/>
      <c r="O411" s="380" t="str">
        <f t="shared" si="14"/>
        <v>23調査結果-指摘内容-2(16)</v>
      </c>
    </row>
    <row r="412" spans="2:15">
      <c r="B412" s="1670" t="str">
        <f>'1_入力シート【基本情報】'!$HR$341</f>
        <v/>
      </c>
      <c r="C412" s="1670" t="str">
        <f t="shared" si="13"/>
        <v/>
      </c>
      <c r="E412" s="851">
        <v>23</v>
      </c>
      <c r="F412" s="847" t="s">
        <v>33</v>
      </c>
      <c r="G412" s="824" t="s">
        <v>1407</v>
      </c>
      <c r="H412" s="842" t="s">
        <v>5422</v>
      </c>
      <c r="I412" s="826" t="s">
        <v>1407</v>
      </c>
      <c r="J412" s="839" t="s">
        <v>305</v>
      </c>
      <c r="K412" s="296"/>
      <c r="L412" s="296"/>
      <c r="O412" s="380" t="str">
        <f t="shared" si="14"/>
        <v>23調査結果-指摘内容-2(17)</v>
      </c>
    </row>
    <row r="413" spans="2:15">
      <c r="B413" s="1670" t="str">
        <f>'1_入力シート【基本情報】'!$HR$342</f>
        <v/>
      </c>
      <c r="C413" s="1670" t="str">
        <f t="shared" si="13"/>
        <v/>
      </c>
      <c r="E413" s="851">
        <v>23</v>
      </c>
      <c r="F413" s="847" t="s">
        <v>33</v>
      </c>
      <c r="G413" s="824" t="s">
        <v>1407</v>
      </c>
      <c r="H413" s="842" t="s">
        <v>5422</v>
      </c>
      <c r="I413" s="826" t="s">
        <v>1407</v>
      </c>
      <c r="J413" s="839" t="s">
        <v>306</v>
      </c>
      <c r="K413" s="296"/>
      <c r="L413" s="296"/>
      <c r="O413" s="380" t="str">
        <f t="shared" si="14"/>
        <v>23調査結果-指摘内容-2(18)</v>
      </c>
    </row>
    <row r="414" spans="2:15">
      <c r="B414" s="1670" t="str">
        <f>'1_入力シート【基本情報】'!$HR$343</f>
        <v/>
      </c>
      <c r="C414" s="1670" t="str">
        <f t="shared" si="13"/>
        <v/>
      </c>
      <c r="E414" s="851">
        <v>23</v>
      </c>
      <c r="F414" s="847" t="s">
        <v>33</v>
      </c>
      <c r="G414" s="824" t="s">
        <v>1407</v>
      </c>
      <c r="H414" s="842" t="s">
        <v>5422</v>
      </c>
      <c r="I414" s="826" t="s">
        <v>1407</v>
      </c>
      <c r="J414" s="839" t="s">
        <v>2566</v>
      </c>
      <c r="K414" s="296"/>
      <c r="L414" s="296"/>
      <c r="O414" s="380" t="str">
        <f t="shared" si="14"/>
        <v>23調査結果-指摘内容-2(19)</v>
      </c>
    </row>
    <row r="415" spans="2:15">
      <c r="B415" s="1670" t="str">
        <f>'1_入力シート【基本情報】'!$HR$344</f>
        <v/>
      </c>
      <c r="C415" s="1670" t="str">
        <f t="shared" si="13"/>
        <v/>
      </c>
      <c r="E415" s="851">
        <v>23</v>
      </c>
      <c r="F415" s="847" t="s">
        <v>33</v>
      </c>
      <c r="G415" s="824" t="s">
        <v>1407</v>
      </c>
      <c r="H415" s="842" t="s">
        <v>5422</v>
      </c>
      <c r="I415" s="826" t="s">
        <v>1407</v>
      </c>
      <c r="J415" s="839" t="s">
        <v>2567</v>
      </c>
      <c r="K415" s="296"/>
      <c r="L415" s="296"/>
      <c r="O415" s="380" t="str">
        <f t="shared" si="14"/>
        <v>23調査結果-指摘内容-220)</v>
      </c>
    </row>
    <row r="416" spans="2:15">
      <c r="B416" s="1670" t="str">
        <f>'1_入力シート【基本情報】'!$HR$345</f>
        <v/>
      </c>
      <c r="C416" s="1670" t="str">
        <f t="shared" si="13"/>
        <v/>
      </c>
      <c r="E416" s="851">
        <v>23</v>
      </c>
      <c r="F416" s="847" t="s">
        <v>33</v>
      </c>
      <c r="G416" s="824" t="s">
        <v>1407</v>
      </c>
      <c r="H416" s="842" t="s">
        <v>5422</v>
      </c>
      <c r="I416" s="826" t="s">
        <v>1407</v>
      </c>
      <c r="J416" s="839" t="s">
        <v>2568</v>
      </c>
      <c r="K416" s="296"/>
      <c r="L416" s="296"/>
      <c r="O416" s="380" t="str">
        <f t="shared" si="14"/>
        <v>23調査結果-指摘内容-2(21)</v>
      </c>
    </row>
    <row r="417" spans="2:15">
      <c r="B417" s="1670" t="str">
        <f>'1_入力シート【基本情報】'!$HR$346</f>
        <v/>
      </c>
      <c r="C417" s="1670" t="str">
        <f t="shared" si="13"/>
        <v/>
      </c>
      <c r="E417" s="851">
        <v>23</v>
      </c>
      <c r="F417" s="847" t="s">
        <v>33</v>
      </c>
      <c r="G417" s="824" t="s">
        <v>1407</v>
      </c>
      <c r="H417" s="842" t="s">
        <v>5422</v>
      </c>
      <c r="I417" s="826" t="s">
        <v>1407</v>
      </c>
      <c r="J417" s="839" t="s">
        <v>2569</v>
      </c>
      <c r="K417" s="296"/>
      <c r="L417" s="296"/>
      <c r="O417" s="380" t="str">
        <f t="shared" si="14"/>
        <v>23調査結果-指摘内容-2(22)</v>
      </c>
    </row>
    <row r="418" spans="2:15">
      <c r="B418" s="1670" t="str">
        <f>'1_入力シート【基本情報】'!$HR$347</f>
        <v/>
      </c>
      <c r="C418" s="1670" t="str">
        <f t="shared" si="13"/>
        <v/>
      </c>
      <c r="E418" s="851">
        <v>23</v>
      </c>
      <c r="F418" s="847" t="s">
        <v>33</v>
      </c>
      <c r="G418" s="824" t="s">
        <v>1407</v>
      </c>
      <c r="H418" s="842" t="s">
        <v>5422</v>
      </c>
      <c r="I418" s="826" t="s">
        <v>1407</v>
      </c>
      <c r="J418" s="839" t="s">
        <v>2570</v>
      </c>
      <c r="K418" s="296"/>
      <c r="L418" s="296"/>
      <c r="O418" s="380" t="str">
        <f t="shared" si="14"/>
        <v>23調査結果-指摘内容-2(23)</v>
      </c>
    </row>
    <row r="419" spans="2:15">
      <c r="B419" s="1670" t="str">
        <f>'1_入力シート【基本情報】'!$HR$352</f>
        <v/>
      </c>
      <c r="C419" s="1670" t="str">
        <f t="shared" si="13"/>
        <v/>
      </c>
      <c r="E419" s="851">
        <v>23</v>
      </c>
      <c r="F419" s="847" t="s">
        <v>33</v>
      </c>
      <c r="G419" s="824" t="s">
        <v>1407</v>
      </c>
      <c r="H419" s="842" t="s">
        <v>5422</v>
      </c>
      <c r="I419" s="826" t="s">
        <v>1407</v>
      </c>
      <c r="J419" s="840" t="s">
        <v>307</v>
      </c>
      <c r="K419" s="296"/>
      <c r="L419" s="296"/>
      <c r="O419" s="380" t="str">
        <f t="shared" si="14"/>
        <v>23調査結果-指摘内容-3(1)</v>
      </c>
    </row>
    <row r="420" spans="2:15">
      <c r="B420" s="1670" t="str">
        <f>'1_入力シート【基本情報】'!$HR$353</f>
        <v/>
      </c>
      <c r="C420" s="1670" t="str">
        <f t="shared" si="13"/>
        <v/>
      </c>
      <c r="E420" s="851">
        <v>23</v>
      </c>
      <c r="F420" s="847" t="s">
        <v>33</v>
      </c>
      <c r="G420" s="824" t="s">
        <v>1407</v>
      </c>
      <c r="H420" s="842" t="s">
        <v>5422</v>
      </c>
      <c r="I420" s="826" t="s">
        <v>1407</v>
      </c>
      <c r="J420" s="840" t="s">
        <v>308</v>
      </c>
      <c r="K420" s="296"/>
      <c r="L420" s="296"/>
      <c r="O420" s="380" t="str">
        <f t="shared" si="14"/>
        <v>23調査結果-指摘内容-3(2)</v>
      </c>
    </row>
    <row r="421" spans="2:15">
      <c r="B421" s="1670" t="str">
        <f>'1_入力シート【基本情報】'!$HR$354</f>
        <v/>
      </c>
      <c r="C421" s="1670" t="str">
        <f t="shared" si="13"/>
        <v/>
      </c>
      <c r="E421" s="851">
        <v>23</v>
      </c>
      <c r="F421" s="847" t="s">
        <v>33</v>
      </c>
      <c r="G421" s="824" t="s">
        <v>1407</v>
      </c>
      <c r="H421" s="842" t="s">
        <v>5422</v>
      </c>
      <c r="I421" s="826" t="s">
        <v>1407</v>
      </c>
      <c r="J421" s="840" t="s">
        <v>309</v>
      </c>
      <c r="K421" s="296"/>
      <c r="L421" s="296"/>
      <c r="O421" s="380" t="str">
        <f t="shared" si="14"/>
        <v>23調査結果-指摘内容-3(3)</v>
      </c>
    </row>
    <row r="422" spans="2:15">
      <c r="B422" s="1670" t="str">
        <f>'1_入力シート【基本情報】'!$HR$355</f>
        <v/>
      </c>
      <c r="C422" s="1670" t="str">
        <f t="shared" si="13"/>
        <v/>
      </c>
      <c r="E422" s="851">
        <v>23</v>
      </c>
      <c r="F422" s="847" t="s">
        <v>33</v>
      </c>
      <c r="G422" s="824" t="s">
        <v>1407</v>
      </c>
      <c r="H422" s="842" t="s">
        <v>5422</v>
      </c>
      <c r="I422" s="826" t="s">
        <v>1407</v>
      </c>
      <c r="J422" s="840" t="s">
        <v>310</v>
      </c>
      <c r="K422" s="296"/>
      <c r="L422" s="296"/>
      <c r="O422" s="380" t="str">
        <f t="shared" si="14"/>
        <v>23調査結果-指摘内容-3(4)</v>
      </c>
    </row>
    <row r="423" spans="2:15">
      <c r="B423" s="1670" t="str">
        <f>'1_入力シート【基本情報】'!$HR$356</f>
        <v/>
      </c>
      <c r="C423" s="1670" t="str">
        <f t="shared" si="13"/>
        <v/>
      </c>
      <c r="E423" s="851">
        <v>23</v>
      </c>
      <c r="F423" s="847" t="s">
        <v>33</v>
      </c>
      <c r="G423" s="824" t="s">
        <v>1407</v>
      </c>
      <c r="H423" s="842" t="s">
        <v>5422</v>
      </c>
      <c r="I423" s="826" t="s">
        <v>1407</v>
      </c>
      <c r="J423" s="840" t="s">
        <v>311</v>
      </c>
      <c r="K423" s="296"/>
      <c r="L423" s="296"/>
      <c r="O423" s="380" t="str">
        <f t="shared" si="14"/>
        <v>23調査結果-指摘内容-3(5)</v>
      </c>
    </row>
    <row r="424" spans="2:15">
      <c r="B424" s="1670" t="str">
        <f>'1_入力シート【基本情報】'!$HR$357</f>
        <v/>
      </c>
      <c r="C424" s="1670" t="str">
        <f t="shared" si="13"/>
        <v/>
      </c>
      <c r="E424" s="851">
        <v>23</v>
      </c>
      <c r="F424" s="847" t="s">
        <v>33</v>
      </c>
      <c r="G424" s="824" t="s">
        <v>1407</v>
      </c>
      <c r="H424" s="842" t="s">
        <v>5422</v>
      </c>
      <c r="I424" s="826" t="s">
        <v>1407</v>
      </c>
      <c r="J424" s="840" t="s">
        <v>312</v>
      </c>
      <c r="K424" s="296"/>
      <c r="L424" s="296"/>
      <c r="O424" s="380" t="str">
        <f t="shared" si="14"/>
        <v>23調査結果-指摘内容-3(6)</v>
      </c>
    </row>
    <row r="425" spans="2:15">
      <c r="B425" s="1670" t="str">
        <f>'1_入力シート【基本情報】'!$HR$358</f>
        <v/>
      </c>
      <c r="C425" s="1670" t="str">
        <f t="shared" si="13"/>
        <v/>
      </c>
      <c r="E425" s="851">
        <v>23</v>
      </c>
      <c r="F425" s="847" t="s">
        <v>33</v>
      </c>
      <c r="G425" s="824" t="s">
        <v>1407</v>
      </c>
      <c r="H425" s="842" t="s">
        <v>5422</v>
      </c>
      <c r="I425" s="826" t="s">
        <v>1407</v>
      </c>
      <c r="J425" s="840" t="s">
        <v>313</v>
      </c>
      <c r="K425" s="296"/>
      <c r="L425" s="296"/>
      <c r="O425" s="380" t="str">
        <f t="shared" si="14"/>
        <v>23調査結果-指摘内容-3(7)</v>
      </c>
    </row>
    <row r="426" spans="2:15">
      <c r="B426" s="1670" t="str">
        <f>'1_入力シート【基本情報】'!$HR$359</f>
        <v/>
      </c>
      <c r="C426" s="1670" t="str">
        <f t="shared" si="13"/>
        <v/>
      </c>
      <c r="E426" s="851">
        <v>23</v>
      </c>
      <c r="F426" s="847" t="s">
        <v>33</v>
      </c>
      <c r="G426" s="824" t="s">
        <v>1407</v>
      </c>
      <c r="H426" s="842" t="s">
        <v>5422</v>
      </c>
      <c r="I426" s="826" t="s">
        <v>1407</v>
      </c>
      <c r="J426" s="840" t="s">
        <v>314</v>
      </c>
      <c r="K426" s="296"/>
      <c r="L426" s="296"/>
      <c r="O426" s="380" t="str">
        <f t="shared" si="14"/>
        <v>23調査結果-指摘内容-3(8)</v>
      </c>
    </row>
    <row r="427" spans="2:15">
      <c r="B427" s="1670" t="str">
        <f>'1_入力シート【基本情報】'!$HR$360</f>
        <v/>
      </c>
      <c r="C427" s="1670" t="str">
        <f t="shared" si="13"/>
        <v/>
      </c>
      <c r="E427" s="851">
        <v>23</v>
      </c>
      <c r="F427" s="847" t="s">
        <v>33</v>
      </c>
      <c r="G427" s="824" t="s">
        <v>1407</v>
      </c>
      <c r="H427" s="842" t="s">
        <v>5422</v>
      </c>
      <c r="I427" s="826" t="s">
        <v>1407</v>
      </c>
      <c r="J427" s="840" t="s">
        <v>315</v>
      </c>
      <c r="K427" s="296"/>
      <c r="L427" s="296"/>
      <c r="O427" s="380" t="str">
        <f t="shared" si="14"/>
        <v>23調査結果-指摘内容-3(9)</v>
      </c>
    </row>
    <row r="428" spans="2:15">
      <c r="B428" s="1670" t="str">
        <f>'1_入力シート【基本情報】'!$HR$361</f>
        <v/>
      </c>
      <c r="C428" s="1670" t="str">
        <f t="shared" si="13"/>
        <v/>
      </c>
      <c r="E428" s="851">
        <v>23</v>
      </c>
      <c r="F428" s="847" t="s">
        <v>33</v>
      </c>
      <c r="G428" s="824" t="s">
        <v>1407</v>
      </c>
      <c r="H428" s="842" t="s">
        <v>5422</v>
      </c>
      <c r="I428" s="826" t="s">
        <v>1407</v>
      </c>
      <c r="J428" s="840" t="s">
        <v>2571</v>
      </c>
      <c r="K428" s="296"/>
      <c r="L428" s="296"/>
      <c r="O428" s="380" t="str">
        <f t="shared" si="14"/>
        <v>23調査結果-指摘内容-3(10)</v>
      </c>
    </row>
    <row r="429" spans="2:15">
      <c r="B429" s="1670" t="str">
        <f>'1_入力シート【基本情報】'!$HR$362</f>
        <v/>
      </c>
      <c r="C429" s="1670" t="str">
        <f t="shared" si="13"/>
        <v/>
      </c>
      <c r="E429" s="851">
        <v>23</v>
      </c>
      <c r="F429" s="847" t="s">
        <v>33</v>
      </c>
      <c r="G429" s="824" t="s">
        <v>1407</v>
      </c>
      <c r="H429" s="842" t="s">
        <v>5422</v>
      </c>
      <c r="I429" s="826" t="s">
        <v>1407</v>
      </c>
      <c r="J429" s="840" t="s">
        <v>2572</v>
      </c>
      <c r="K429" s="296"/>
      <c r="L429" s="296"/>
      <c r="O429" s="380" t="str">
        <f t="shared" si="14"/>
        <v>23調査結果-指摘内容-3(11)</v>
      </c>
    </row>
    <row r="430" spans="2:15">
      <c r="B430" s="1670" t="str">
        <f>'1_入力シート【基本情報】'!$HR$363</f>
        <v/>
      </c>
      <c r="C430" s="1670" t="str">
        <f t="shared" si="13"/>
        <v/>
      </c>
      <c r="E430" s="851">
        <v>23</v>
      </c>
      <c r="F430" s="847" t="s">
        <v>33</v>
      </c>
      <c r="G430" s="824" t="s">
        <v>1407</v>
      </c>
      <c r="H430" s="842" t="s">
        <v>5422</v>
      </c>
      <c r="I430" s="826" t="s">
        <v>1407</v>
      </c>
      <c r="J430" s="840" t="s">
        <v>2573</v>
      </c>
      <c r="K430" s="296"/>
      <c r="L430" s="296"/>
      <c r="O430" s="380" t="str">
        <f t="shared" si="14"/>
        <v>23調査結果-指摘内容-3(12)</v>
      </c>
    </row>
    <row r="431" spans="2:15">
      <c r="B431" s="1670" t="str">
        <f>'1_入力シート【基本情報】'!$HR$364</f>
        <v/>
      </c>
      <c r="C431" s="1670" t="str">
        <f t="shared" si="13"/>
        <v/>
      </c>
      <c r="E431" s="851">
        <v>23</v>
      </c>
      <c r="F431" s="847" t="s">
        <v>33</v>
      </c>
      <c r="G431" s="824" t="s">
        <v>1407</v>
      </c>
      <c r="H431" s="842" t="s">
        <v>5422</v>
      </c>
      <c r="I431" s="826" t="s">
        <v>1407</v>
      </c>
      <c r="J431" s="840" t="s">
        <v>2574</v>
      </c>
      <c r="K431" s="296"/>
      <c r="L431" s="296"/>
      <c r="O431" s="380" t="str">
        <f t="shared" si="14"/>
        <v>23調査結果-指摘内容-3(13)</v>
      </c>
    </row>
    <row r="432" spans="2:15">
      <c r="B432" s="1670" t="str">
        <f>'1_入力シート【基本情報】'!$HR$365</f>
        <v/>
      </c>
      <c r="C432" s="1670" t="str">
        <f t="shared" si="13"/>
        <v/>
      </c>
      <c r="E432" s="851">
        <v>23</v>
      </c>
      <c r="F432" s="847" t="s">
        <v>33</v>
      </c>
      <c r="G432" s="824" t="s">
        <v>1407</v>
      </c>
      <c r="H432" s="842" t="s">
        <v>5422</v>
      </c>
      <c r="I432" s="826" t="s">
        <v>1407</v>
      </c>
      <c r="J432" s="840" t="s">
        <v>2575</v>
      </c>
      <c r="K432" s="296"/>
      <c r="L432" s="296"/>
      <c r="O432" s="380" t="str">
        <f t="shared" si="14"/>
        <v>23調査結果-指摘内容-3(14)</v>
      </c>
    </row>
    <row r="433" spans="2:15">
      <c r="B433" s="1670" t="str">
        <f>'1_入力シート【基本情報】'!$HR$370</f>
        <v/>
      </c>
      <c r="C433" s="1670" t="str">
        <f t="shared" si="13"/>
        <v/>
      </c>
      <c r="E433" s="851">
        <v>23</v>
      </c>
      <c r="F433" s="847" t="s">
        <v>33</v>
      </c>
      <c r="G433" s="824" t="s">
        <v>1407</v>
      </c>
      <c r="H433" s="842" t="s">
        <v>5422</v>
      </c>
      <c r="I433" s="826" t="s">
        <v>1407</v>
      </c>
      <c r="J433" s="840" t="s">
        <v>1222</v>
      </c>
      <c r="K433" s="296"/>
      <c r="L433" s="296"/>
      <c r="O433" s="380" t="str">
        <f t="shared" si="14"/>
        <v>23調査結果-指摘内容-4(1)</v>
      </c>
    </row>
    <row r="434" spans="2:15">
      <c r="B434" s="1670" t="str">
        <f>'1_入力シート【基本情報】'!$HR$371</f>
        <v/>
      </c>
      <c r="C434" s="1670" t="str">
        <f t="shared" si="13"/>
        <v/>
      </c>
      <c r="E434" s="851">
        <v>23</v>
      </c>
      <c r="F434" s="847" t="s">
        <v>33</v>
      </c>
      <c r="G434" s="824" t="s">
        <v>1407</v>
      </c>
      <c r="H434" s="842" t="s">
        <v>5422</v>
      </c>
      <c r="I434" s="826" t="s">
        <v>1407</v>
      </c>
      <c r="J434" s="840" t="s">
        <v>1223</v>
      </c>
      <c r="K434" s="296"/>
      <c r="L434" s="296"/>
      <c r="O434" s="380" t="str">
        <f t="shared" si="14"/>
        <v>23調査結果-指摘内容-4(2)</v>
      </c>
    </row>
    <row r="435" spans="2:15">
      <c r="B435" s="1670" t="str">
        <f>'1_入力シート【基本情報】'!$HR$372</f>
        <v/>
      </c>
      <c r="C435" s="1670" t="str">
        <f t="shared" si="13"/>
        <v/>
      </c>
      <c r="E435" s="851">
        <v>23</v>
      </c>
      <c r="F435" s="847" t="s">
        <v>33</v>
      </c>
      <c r="G435" s="824" t="s">
        <v>1407</v>
      </c>
      <c r="H435" s="842" t="s">
        <v>5422</v>
      </c>
      <c r="I435" s="826" t="s">
        <v>1407</v>
      </c>
      <c r="J435" s="840" t="s">
        <v>1224</v>
      </c>
      <c r="K435" s="296"/>
      <c r="L435" s="296"/>
      <c r="O435" s="380" t="str">
        <f t="shared" si="14"/>
        <v>23調査結果-指摘内容-4(3)</v>
      </c>
    </row>
    <row r="436" spans="2:15">
      <c r="B436" s="1670" t="str">
        <f>'1_入力シート【基本情報】'!$HR$373</f>
        <v/>
      </c>
      <c r="C436" s="1670" t="str">
        <f t="shared" si="13"/>
        <v/>
      </c>
      <c r="E436" s="851">
        <v>23</v>
      </c>
      <c r="F436" s="847" t="s">
        <v>33</v>
      </c>
      <c r="G436" s="824" t="s">
        <v>1407</v>
      </c>
      <c r="H436" s="842" t="s">
        <v>5422</v>
      </c>
      <c r="I436" s="826" t="s">
        <v>1407</v>
      </c>
      <c r="J436" s="840" t="s">
        <v>1225</v>
      </c>
      <c r="K436" s="296"/>
      <c r="L436" s="296"/>
      <c r="O436" s="380" t="str">
        <f t="shared" si="14"/>
        <v>23調査結果-指摘内容-4(4)</v>
      </c>
    </row>
    <row r="437" spans="2:15">
      <c r="B437" s="1670" t="str">
        <f>'1_入力シート【基本情報】'!$HR$374</f>
        <v/>
      </c>
      <c r="C437" s="1670" t="str">
        <f t="shared" si="13"/>
        <v/>
      </c>
      <c r="E437" s="851">
        <v>23</v>
      </c>
      <c r="F437" s="847" t="s">
        <v>33</v>
      </c>
      <c r="G437" s="824" t="s">
        <v>1407</v>
      </c>
      <c r="H437" s="842" t="s">
        <v>5422</v>
      </c>
      <c r="I437" s="826" t="s">
        <v>1407</v>
      </c>
      <c r="J437" s="840" t="s">
        <v>1226</v>
      </c>
      <c r="K437" s="296"/>
      <c r="L437" s="296"/>
      <c r="O437" s="380" t="str">
        <f t="shared" si="14"/>
        <v>23調査結果-指摘内容-4(5)</v>
      </c>
    </row>
    <row r="438" spans="2:15">
      <c r="B438" s="1670" t="str">
        <f>'1_入力シート【基本情報】'!$HR$375</f>
        <v/>
      </c>
      <c r="C438" s="1670" t="str">
        <f t="shared" si="13"/>
        <v/>
      </c>
      <c r="E438" s="851">
        <v>23</v>
      </c>
      <c r="F438" s="847" t="s">
        <v>33</v>
      </c>
      <c r="G438" s="824" t="s">
        <v>1407</v>
      </c>
      <c r="H438" s="842" t="s">
        <v>5422</v>
      </c>
      <c r="I438" s="826" t="s">
        <v>1407</v>
      </c>
      <c r="J438" s="840" t="s">
        <v>1227</v>
      </c>
      <c r="K438" s="296"/>
      <c r="L438" s="296"/>
      <c r="O438" s="380" t="str">
        <f t="shared" si="14"/>
        <v>23調査結果-指摘内容-4(6)</v>
      </c>
    </row>
    <row r="439" spans="2:15">
      <c r="B439" s="1670" t="str">
        <f>'1_入力シート【基本情報】'!$HR$376</f>
        <v/>
      </c>
      <c r="C439" s="1670" t="str">
        <f t="shared" si="13"/>
        <v/>
      </c>
      <c r="E439" s="851">
        <v>23</v>
      </c>
      <c r="F439" s="847" t="s">
        <v>33</v>
      </c>
      <c r="G439" s="824" t="s">
        <v>1407</v>
      </c>
      <c r="H439" s="842" t="s">
        <v>5422</v>
      </c>
      <c r="I439" s="826" t="s">
        <v>1407</v>
      </c>
      <c r="J439" s="840" t="s">
        <v>1228</v>
      </c>
      <c r="K439" s="296"/>
      <c r="L439" s="296"/>
      <c r="O439" s="380" t="str">
        <f t="shared" si="14"/>
        <v>23調査結果-指摘内容-4(7)</v>
      </c>
    </row>
    <row r="440" spans="2:15">
      <c r="B440" s="1670" t="str">
        <f>'1_入力シート【基本情報】'!$HR$377</f>
        <v/>
      </c>
      <c r="C440" s="1670" t="str">
        <f t="shared" si="13"/>
        <v/>
      </c>
      <c r="E440" s="851">
        <v>23</v>
      </c>
      <c r="F440" s="847" t="s">
        <v>33</v>
      </c>
      <c r="G440" s="824" t="s">
        <v>1407</v>
      </c>
      <c r="H440" s="842" t="s">
        <v>5422</v>
      </c>
      <c r="I440" s="826" t="s">
        <v>1407</v>
      </c>
      <c r="J440" s="840" t="s">
        <v>1229</v>
      </c>
      <c r="K440" s="296"/>
      <c r="L440" s="296"/>
      <c r="O440" s="380" t="str">
        <f t="shared" si="14"/>
        <v>23調査結果-指摘内容-4(8)</v>
      </c>
    </row>
    <row r="441" spans="2:15">
      <c r="B441" s="1670" t="str">
        <f>'1_入力シート【基本情報】'!$HR$378</f>
        <v/>
      </c>
      <c r="C441" s="1670" t="str">
        <f t="shared" si="13"/>
        <v/>
      </c>
      <c r="E441" s="851">
        <v>23</v>
      </c>
      <c r="F441" s="847" t="s">
        <v>33</v>
      </c>
      <c r="G441" s="824" t="s">
        <v>1407</v>
      </c>
      <c r="H441" s="842" t="s">
        <v>5422</v>
      </c>
      <c r="I441" s="826" t="s">
        <v>1407</v>
      </c>
      <c r="J441" s="840" t="s">
        <v>1230</v>
      </c>
      <c r="K441" s="296"/>
      <c r="L441" s="296"/>
      <c r="O441" s="380" t="str">
        <f t="shared" si="14"/>
        <v>23調査結果-指摘内容-4(9)</v>
      </c>
    </row>
    <row r="442" spans="2:15">
      <c r="B442" s="1670" t="str">
        <f>'1_入力シート【基本情報】'!$HR$379</f>
        <v/>
      </c>
      <c r="C442" s="1670" t="str">
        <f t="shared" si="13"/>
        <v/>
      </c>
      <c r="E442" s="851">
        <v>23</v>
      </c>
      <c r="F442" s="847" t="s">
        <v>33</v>
      </c>
      <c r="G442" s="824" t="s">
        <v>1407</v>
      </c>
      <c r="H442" s="842" t="s">
        <v>5422</v>
      </c>
      <c r="I442" s="826" t="s">
        <v>1407</v>
      </c>
      <c r="J442" s="840" t="s">
        <v>1231</v>
      </c>
      <c r="K442" s="296"/>
      <c r="L442" s="296"/>
      <c r="O442" s="380" t="str">
        <f t="shared" si="14"/>
        <v>23調査結果-指摘内容-4(10)</v>
      </c>
    </row>
    <row r="443" spans="2:15">
      <c r="B443" s="1670" t="str">
        <f>'1_入力シート【基本情報】'!$HR$380</f>
        <v/>
      </c>
      <c r="C443" s="1670" t="str">
        <f t="shared" si="13"/>
        <v/>
      </c>
      <c r="E443" s="851">
        <v>23</v>
      </c>
      <c r="F443" s="847" t="s">
        <v>33</v>
      </c>
      <c r="G443" s="824" t="s">
        <v>1407</v>
      </c>
      <c r="H443" s="842" t="s">
        <v>5422</v>
      </c>
      <c r="I443" s="826" t="s">
        <v>1407</v>
      </c>
      <c r="J443" s="840" t="s">
        <v>1232</v>
      </c>
      <c r="K443" s="296"/>
      <c r="L443" s="296"/>
      <c r="O443" s="380" t="str">
        <f t="shared" si="14"/>
        <v>23調査結果-指摘内容-4(11)</v>
      </c>
    </row>
    <row r="444" spans="2:15">
      <c r="B444" s="1670" t="str">
        <f>'1_入力シート【基本情報】'!$HR$381</f>
        <v/>
      </c>
      <c r="C444" s="1670" t="str">
        <f t="shared" si="13"/>
        <v/>
      </c>
      <c r="E444" s="851">
        <v>23</v>
      </c>
      <c r="F444" s="847" t="s">
        <v>33</v>
      </c>
      <c r="G444" s="824" t="s">
        <v>1407</v>
      </c>
      <c r="H444" s="842" t="s">
        <v>5422</v>
      </c>
      <c r="I444" s="826" t="s">
        <v>1407</v>
      </c>
      <c r="J444" s="840" t="s">
        <v>1233</v>
      </c>
      <c r="K444" s="296"/>
      <c r="L444" s="296"/>
      <c r="O444" s="380" t="str">
        <f t="shared" si="14"/>
        <v>23調査結果-指摘内容-4(12)</v>
      </c>
    </row>
    <row r="445" spans="2:15">
      <c r="B445" s="1670" t="str">
        <f>'1_入力シート【基本情報】'!$HR$382</f>
        <v/>
      </c>
      <c r="C445" s="1670" t="str">
        <f t="shared" si="13"/>
        <v/>
      </c>
      <c r="E445" s="851">
        <v>23</v>
      </c>
      <c r="F445" s="847" t="s">
        <v>33</v>
      </c>
      <c r="G445" s="824" t="s">
        <v>1407</v>
      </c>
      <c r="H445" s="842" t="s">
        <v>5422</v>
      </c>
      <c r="I445" s="826" t="s">
        <v>1407</v>
      </c>
      <c r="J445" s="840" t="s">
        <v>1234</v>
      </c>
      <c r="K445" s="296"/>
      <c r="L445" s="296"/>
      <c r="O445" s="380" t="str">
        <f t="shared" si="14"/>
        <v>23調査結果-指摘内容-4(13)</v>
      </c>
    </row>
    <row r="446" spans="2:15">
      <c r="B446" s="1670" t="str">
        <f>'1_入力シート【基本情報】'!$HR$383</f>
        <v/>
      </c>
      <c r="C446" s="1670" t="str">
        <f t="shared" si="13"/>
        <v/>
      </c>
      <c r="E446" s="851">
        <v>23</v>
      </c>
      <c r="F446" s="847" t="s">
        <v>33</v>
      </c>
      <c r="G446" s="824" t="s">
        <v>1407</v>
      </c>
      <c r="H446" s="842" t="s">
        <v>5422</v>
      </c>
      <c r="I446" s="826" t="s">
        <v>1407</v>
      </c>
      <c r="J446" s="840" t="s">
        <v>1235</v>
      </c>
      <c r="K446" s="296"/>
      <c r="L446" s="296"/>
      <c r="O446" s="380" t="str">
        <f t="shared" si="14"/>
        <v>23調査結果-指摘内容-4(14)</v>
      </c>
    </row>
    <row r="447" spans="2:15">
      <c r="B447" s="1670" t="str">
        <f>'1_入力シート【基本情報】'!$HR$384</f>
        <v/>
      </c>
      <c r="C447" s="1670" t="str">
        <f t="shared" si="13"/>
        <v/>
      </c>
      <c r="E447" s="851">
        <v>23</v>
      </c>
      <c r="F447" s="847" t="s">
        <v>33</v>
      </c>
      <c r="G447" s="824" t="s">
        <v>1407</v>
      </c>
      <c r="H447" s="842" t="s">
        <v>5422</v>
      </c>
      <c r="I447" s="826" t="s">
        <v>1407</v>
      </c>
      <c r="J447" s="840" t="s">
        <v>1236</v>
      </c>
      <c r="K447" s="296"/>
      <c r="L447" s="296"/>
      <c r="O447" s="380" t="str">
        <f t="shared" si="14"/>
        <v>23調査結果-指摘内容-4(15)</v>
      </c>
    </row>
    <row r="448" spans="2:15">
      <c r="B448" s="1670" t="str">
        <f>'1_入力シート【基本情報】'!$HR$385</f>
        <v/>
      </c>
      <c r="C448" s="1670" t="str">
        <f t="shared" si="13"/>
        <v/>
      </c>
      <c r="E448" s="851">
        <v>23</v>
      </c>
      <c r="F448" s="847" t="s">
        <v>33</v>
      </c>
      <c r="G448" s="824" t="s">
        <v>1407</v>
      </c>
      <c r="H448" s="842" t="s">
        <v>5422</v>
      </c>
      <c r="I448" s="826" t="s">
        <v>1407</v>
      </c>
      <c r="J448" s="840" t="s">
        <v>1237</v>
      </c>
      <c r="K448" s="296"/>
      <c r="L448" s="296"/>
      <c r="O448" s="380" t="str">
        <f t="shared" si="14"/>
        <v>23調査結果-指摘内容-4(16)</v>
      </c>
    </row>
    <row r="449" spans="2:15">
      <c r="B449" s="1670" t="str">
        <f>'1_入力シート【基本情報】'!$HR$386</f>
        <v/>
      </c>
      <c r="C449" s="1670" t="str">
        <f t="shared" si="13"/>
        <v/>
      </c>
      <c r="E449" s="851">
        <v>23</v>
      </c>
      <c r="F449" s="847" t="s">
        <v>33</v>
      </c>
      <c r="G449" s="824" t="s">
        <v>1407</v>
      </c>
      <c r="H449" s="842" t="s">
        <v>5422</v>
      </c>
      <c r="I449" s="826" t="s">
        <v>1407</v>
      </c>
      <c r="J449" s="840" t="s">
        <v>1238</v>
      </c>
      <c r="K449" s="296"/>
      <c r="L449" s="296"/>
      <c r="O449" s="380" t="str">
        <f t="shared" si="14"/>
        <v>23調査結果-指摘内容-4(17)</v>
      </c>
    </row>
    <row r="450" spans="2:15">
      <c r="B450" s="1670" t="str">
        <f>'1_入力シート【基本情報】'!$HR$387</f>
        <v/>
      </c>
      <c r="C450" s="1670" t="str">
        <f t="shared" si="13"/>
        <v/>
      </c>
      <c r="E450" s="851">
        <v>23</v>
      </c>
      <c r="F450" s="847" t="s">
        <v>33</v>
      </c>
      <c r="G450" s="824" t="s">
        <v>1407</v>
      </c>
      <c r="H450" s="842" t="s">
        <v>5422</v>
      </c>
      <c r="I450" s="826" t="s">
        <v>1407</v>
      </c>
      <c r="J450" s="840" t="s">
        <v>1239</v>
      </c>
      <c r="K450" s="296"/>
      <c r="L450" s="296"/>
      <c r="O450" s="380" t="str">
        <f t="shared" si="14"/>
        <v>23調査結果-指摘内容-4(18)</v>
      </c>
    </row>
    <row r="451" spans="2:15">
      <c r="B451" s="1670" t="str">
        <f>'1_入力シート【基本情報】'!$HR$388</f>
        <v/>
      </c>
      <c r="C451" s="1670" t="str">
        <f t="shared" si="13"/>
        <v/>
      </c>
      <c r="E451" s="851">
        <v>23</v>
      </c>
      <c r="F451" s="847" t="s">
        <v>33</v>
      </c>
      <c r="G451" s="824" t="s">
        <v>1407</v>
      </c>
      <c r="H451" s="842" t="s">
        <v>5422</v>
      </c>
      <c r="I451" s="826" t="s">
        <v>1407</v>
      </c>
      <c r="J451" s="840" t="s">
        <v>1240</v>
      </c>
      <c r="K451" s="296"/>
      <c r="L451" s="296"/>
      <c r="O451" s="380" t="str">
        <f t="shared" si="14"/>
        <v>23調査結果-指摘内容-4(19)</v>
      </c>
    </row>
    <row r="452" spans="2:15">
      <c r="B452" s="1670" t="str">
        <f>'1_入力シート【基本情報】'!$HR$389</f>
        <v/>
      </c>
      <c r="C452" s="1670" t="str">
        <f t="shared" si="13"/>
        <v/>
      </c>
      <c r="E452" s="851">
        <v>23</v>
      </c>
      <c r="F452" s="847" t="s">
        <v>33</v>
      </c>
      <c r="G452" s="824" t="s">
        <v>1407</v>
      </c>
      <c r="H452" s="842" t="s">
        <v>5422</v>
      </c>
      <c r="I452" s="826" t="s">
        <v>1407</v>
      </c>
      <c r="J452" s="840" t="s">
        <v>1241</v>
      </c>
      <c r="K452" s="296"/>
      <c r="L452" s="296"/>
      <c r="O452" s="380" t="str">
        <f t="shared" si="14"/>
        <v>23調査結果-指摘内容-4(20)</v>
      </c>
    </row>
    <row r="453" spans="2:15">
      <c r="B453" s="1670" t="str">
        <f>'1_入力シート【基本情報】'!$HR$390</f>
        <v/>
      </c>
      <c r="C453" s="1670" t="str">
        <f t="shared" ref="C453:C516" si="15">SUBSTITUTE(B453,CHAR(10),"")</f>
        <v/>
      </c>
      <c r="E453" s="851">
        <v>23</v>
      </c>
      <c r="F453" s="847" t="s">
        <v>33</v>
      </c>
      <c r="G453" s="824" t="s">
        <v>1407</v>
      </c>
      <c r="H453" s="842" t="s">
        <v>5422</v>
      </c>
      <c r="I453" s="826" t="s">
        <v>1407</v>
      </c>
      <c r="J453" s="840" t="s">
        <v>1242</v>
      </c>
      <c r="K453" s="296"/>
      <c r="L453" s="296"/>
      <c r="O453" s="380" t="str">
        <f t="shared" si="14"/>
        <v>23調査結果-指摘内容-4(21)</v>
      </c>
    </row>
    <row r="454" spans="2:15">
      <c r="B454" s="1670" t="str">
        <f>'1_入力シート【基本情報】'!$HR$391</f>
        <v/>
      </c>
      <c r="C454" s="1670" t="str">
        <f t="shared" si="15"/>
        <v/>
      </c>
      <c r="E454" s="851">
        <v>23</v>
      </c>
      <c r="F454" s="847" t="s">
        <v>33</v>
      </c>
      <c r="G454" s="824" t="s">
        <v>1407</v>
      </c>
      <c r="H454" s="842" t="s">
        <v>5422</v>
      </c>
      <c r="I454" s="826" t="s">
        <v>1407</v>
      </c>
      <c r="J454" s="840" t="s">
        <v>1243</v>
      </c>
      <c r="K454" s="296"/>
      <c r="L454" s="296"/>
      <c r="O454" s="380" t="str">
        <f t="shared" si="14"/>
        <v>23調査結果-指摘内容-4(22)</v>
      </c>
    </row>
    <row r="455" spans="2:15">
      <c r="B455" s="1670" t="str">
        <f>'1_入力シート【基本情報】'!$HR$392</f>
        <v/>
      </c>
      <c r="C455" s="1670" t="str">
        <f t="shared" si="15"/>
        <v/>
      </c>
      <c r="E455" s="851">
        <v>23</v>
      </c>
      <c r="F455" s="847" t="s">
        <v>33</v>
      </c>
      <c r="G455" s="824" t="s">
        <v>1407</v>
      </c>
      <c r="H455" s="842" t="s">
        <v>5422</v>
      </c>
      <c r="I455" s="826" t="s">
        <v>1407</v>
      </c>
      <c r="J455" s="840" t="s">
        <v>1244</v>
      </c>
      <c r="K455" s="296"/>
      <c r="L455" s="296"/>
      <c r="O455" s="380" t="str">
        <f t="shared" si="14"/>
        <v>23調査結果-指摘内容-4(23)</v>
      </c>
    </row>
    <row r="456" spans="2:15">
      <c r="B456" s="1670" t="str">
        <f>'1_入力シート【基本情報】'!$HR$393</f>
        <v/>
      </c>
      <c r="C456" s="1670" t="str">
        <f t="shared" si="15"/>
        <v/>
      </c>
      <c r="E456" s="851">
        <v>23</v>
      </c>
      <c r="F456" s="847" t="s">
        <v>33</v>
      </c>
      <c r="G456" s="824" t="s">
        <v>1407</v>
      </c>
      <c r="H456" s="842" t="s">
        <v>5422</v>
      </c>
      <c r="I456" s="826" t="s">
        <v>1407</v>
      </c>
      <c r="J456" s="840" t="s">
        <v>1245</v>
      </c>
      <c r="K456" s="296"/>
      <c r="L456" s="296"/>
      <c r="O456" s="380" t="str">
        <f t="shared" si="14"/>
        <v>23調査結果-指摘内容-4(24)</v>
      </c>
    </row>
    <row r="457" spans="2:15">
      <c r="B457" s="1670" t="str">
        <f>'1_入力シート【基本情報】'!$HR$394</f>
        <v/>
      </c>
      <c r="C457" s="1670" t="str">
        <f t="shared" si="15"/>
        <v/>
      </c>
      <c r="E457" s="851">
        <v>23</v>
      </c>
      <c r="F457" s="847" t="s">
        <v>33</v>
      </c>
      <c r="G457" s="824" t="s">
        <v>1407</v>
      </c>
      <c r="H457" s="842" t="s">
        <v>5422</v>
      </c>
      <c r="I457" s="826" t="s">
        <v>1407</v>
      </c>
      <c r="J457" s="840" t="s">
        <v>1246</v>
      </c>
      <c r="K457" s="296"/>
      <c r="L457" s="296"/>
      <c r="O457" s="380" t="str">
        <f t="shared" si="14"/>
        <v>23調査結果-指摘内容-4(25)</v>
      </c>
    </row>
    <row r="458" spans="2:15">
      <c r="B458" s="1670" t="str">
        <f>'1_入力シート【基本情報】'!$HR$395</f>
        <v/>
      </c>
      <c r="C458" s="1670" t="str">
        <f t="shared" si="15"/>
        <v/>
      </c>
      <c r="E458" s="851">
        <v>23</v>
      </c>
      <c r="F458" s="847" t="s">
        <v>33</v>
      </c>
      <c r="G458" s="824" t="s">
        <v>1407</v>
      </c>
      <c r="H458" s="842" t="s">
        <v>5422</v>
      </c>
      <c r="I458" s="826" t="s">
        <v>1407</v>
      </c>
      <c r="J458" s="840" t="s">
        <v>1247</v>
      </c>
      <c r="K458" s="296"/>
      <c r="L458" s="296"/>
      <c r="O458" s="380" t="str">
        <f t="shared" si="14"/>
        <v>23調査結果-指摘内容-4(26)</v>
      </c>
    </row>
    <row r="459" spans="2:15">
      <c r="B459" s="1670" t="str">
        <f>'1_入力シート【基本情報】'!$HR$396</f>
        <v/>
      </c>
      <c r="C459" s="1670" t="str">
        <f t="shared" si="15"/>
        <v/>
      </c>
      <c r="E459" s="851">
        <v>23</v>
      </c>
      <c r="F459" s="847" t="s">
        <v>33</v>
      </c>
      <c r="G459" s="824" t="s">
        <v>1407</v>
      </c>
      <c r="H459" s="842" t="s">
        <v>5422</v>
      </c>
      <c r="I459" s="826" t="s">
        <v>1407</v>
      </c>
      <c r="J459" s="840" t="s">
        <v>1248</v>
      </c>
      <c r="K459" s="296"/>
      <c r="L459" s="296"/>
      <c r="O459" s="380" t="str">
        <f t="shared" si="14"/>
        <v>23調査結果-指摘内容-4(27)</v>
      </c>
    </row>
    <row r="460" spans="2:15">
      <c r="B460" s="1670" t="str">
        <f>'1_入力シート【基本情報】'!$HR$397</f>
        <v/>
      </c>
      <c r="C460" s="1670" t="str">
        <f t="shared" si="15"/>
        <v/>
      </c>
      <c r="E460" s="851">
        <v>23</v>
      </c>
      <c r="F460" s="847" t="s">
        <v>33</v>
      </c>
      <c r="G460" s="824" t="s">
        <v>1407</v>
      </c>
      <c r="H460" s="842" t="s">
        <v>5422</v>
      </c>
      <c r="I460" s="826" t="s">
        <v>1407</v>
      </c>
      <c r="J460" s="840" t="s">
        <v>1249</v>
      </c>
      <c r="K460" s="296"/>
      <c r="L460" s="296"/>
      <c r="O460" s="380" t="str">
        <f t="shared" si="14"/>
        <v>23調査結果-指摘内容-4(28)</v>
      </c>
    </row>
    <row r="461" spans="2:15">
      <c r="B461" s="1670" t="str">
        <f>'1_入力シート【基本情報】'!$HR$398</f>
        <v/>
      </c>
      <c r="C461" s="1670" t="str">
        <f t="shared" si="15"/>
        <v/>
      </c>
      <c r="E461" s="851">
        <v>23</v>
      </c>
      <c r="F461" s="847" t="s">
        <v>33</v>
      </c>
      <c r="G461" s="824" t="s">
        <v>1407</v>
      </c>
      <c r="H461" s="842" t="s">
        <v>5422</v>
      </c>
      <c r="I461" s="826" t="s">
        <v>1407</v>
      </c>
      <c r="J461" s="840" t="s">
        <v>1250</v>
      </c>
      <c r="K461" s="296"/>
      <c r="L461" s="296"/>
      <c r="O461" s="380" t="str">
        <f t="shared" si="14"/>
        <v>23調査結果-指摘内容-4(29)</v>
      </c>
    </row>
    <row r="462" spans="2:15">
      <c r="B462" s="1670" t="str">
        <f>'1_入力シート【基本情報】'!$HR$399</f>
        <v/>
      </c>
      <c r="C462" s="1670" t="str">
        <f t="shared" si="15"/>
        <v/>
      </c>
      <c r="E462" s="851">
        <v>23</v>
      </c>
      <c r="F462" s="847" t="s">
        <v>33</v>
      </c>
      <c r="G462" s="824" t="s">
        <v>1407</v>
      </c>
      <c r="H462" s="842" t="s">
        <v>5422</v>
      </c>
      <c r="I462" s="826" t="s">
        <v>1407</v>
      </c>
      <c r="J462" s="840" t="s">
        <v>1251</v>
      </c>
      <c r="K462" s="296"/>
      <c r="L462" s="296"/>
      <c r="O462" s="380" t="str">
        <f t="shared" si="14"/>
        <v>23調査結果-指摘内容-4(30)</v>
      </c>
    </row>
    <row r="463" spans="2:15">
      <c r="B463" s="1670" t="str">
        <f>'1_入力シート【基本情報】'!$HR$400</f>
        <v/>
      </c>
      <c r="C463" s="1670" t="str">
        <f t="shared" si="15"/>
        <v/>
      </c>
      <c r="E463" s="851">
        <v>23</v>
      </c>
      <c r="F463" s="847" t="s">
        <v>33</v>
      </c>
      <c r="G463" s="824" t="s">
        <v>1407</v>
      </c>
      <c r="H463" s="842" t="s">
        <v>5422</v>
      </c>
      <c r="I463" s="826" t="s">
        <v>1407</v>
      </c>
      <c r="J463" s="840" t="s">
        <v>1252</v>
      </c>
      <c r="K463" s="296"/>
      <c r="L463" s="296"/>
      <c r="O463" s="380" t="str">
        <f t="shared" si="14"/>
        <v>23調査結果-指摘内容-4(31)</v>
      </c>
    </row>
    <row r="464" spans="2:15">
      <c r="B464" s="1670" t="str">
        <f>'1_入力シート【基本情報】'!$HR$401</f>
        <v/>
      </c>
      <c r="C464" s="1670" t="str">
        <f t="shared" si="15"/>
        <v/>
      </c>
      <c r="E464" s="851">
        <v>23</v>
      </c>
      <c r="F464" s="847" t="s">
        <v>33</v>
      </c>
      <c r="G464" s="824" t="s">
        <v>1407</v>
      </c>
      <c r="H464" s="842" t="s">
        <v>5422</v>
      </c>
      <c r="I464" s="826" t="s">
        <v>1407</v>
      </c>
      <c r="J464" s="840" t="s">
        <v>1253</v>
      </c>
      <c r="K464" s="296"/>
      <c r="L464" s="296"/>
      <c r="O464" s="380" t="str">
        <f t="shared" si="14"/>
        <v>23調査結果-指摘内容-4(32)</v>
      </c>
    </row>
    <row r="465" spans="2:15">
      <c r="B465" s="1670" t="str">
        <f>'1_入力シート【基本情報】'!$HR$402</f>
        <v/>
      </c>
      <c r="C465" s="1670" t="str">
        <f t="shared" si="15"/>
        <v/>
      </c>
      <c r="E465" s="851">
        <v>23</v>
      </c>
      <c r="F465" s="847" t="s">
        <v>33</v>
      </c>
      <c r="G465" s="824" t="s">
        <v>1407</v>
      </c>
      <c r="H465" s="842" t="s">
        <v>5422</v>
      </c>
      <c r="I465" s="826" t="s">
        <v>1407</v>
      </c>
      <c r="J465" s="840" t="s">
        <v>1254</v>
      </c>
      <c r="K465" s="296"/>
      <c r="L465" s="296"/>
      <c r="O465" s="380" t="str">
        <f t="shared" ref="O465:O528" si="16">CONCATENATE(E465,F465,G465,H465,I465,J465,K465,L465)</f>
        <v>23調査結果-指摘内容-4(33)</v>
      </c>
    </row>
    <row r="466" spans="2:15">
      <c r="B466" s="1670" t="str">
        <f>'1_入力シート【基本情報】'!$HR$403</f>
        <v/>
      </c>
      <c r="C466" s="1670" t="str">
        <f t="shared" si="15"/>
        <v/>
      </c>
      <c r="E466" s="851">
        <v>23</v>
      </c>
      <c r="F466" s="847" t="s">
        <v>33</v>
      </c>
      <c r="G466" s="824" t="s">
        <v>1407</v>
      </c>
      <c r="H466" s="842" t="s">
        <v>5422</v>
      </c>
      <c r="I466" s="826" t="s">
        <v>1407</v>
      </c>
      <c r="J466" s="840" t="s">
        <v>1255</v>
      </c>
      <c r="K466" s="296"/>
      <c r="L466" s="296"/>
      <c r="O466" s="380" t="str">
        <f t="shared" si="16"/>
        <v>23調査結果-指摘内容-4(34)</v>
      </c>
    </row>
    <row r="467" spans="2:15">
      <c r="B467" s="1670" t="str">
        <f>'1_入力シート【基本情報】'!$HR$404</f>
        <v/>
      </c>
      <c r="C467" s="1670" t="str">
        <f t="shared" si="15"/>
        <v/>
      </c>
      <c r="E467" s="851">
        <v>23</v>
      </c>
      <c r="F467" s="847" t="s">
        <v>33</v>
      </c>
      <c r="G467" s="824" t="s">
        <v>1407</v>
      </c>
      <c r="H467" s="842" t="s">
        <v>5422</v>
      </c>
      <c r="I467" s="826" t="s">
        <v>1407</v>
      </c>
      <c r="J467" s="840" t="s">
        <v>1256</v>
      </c>
      <c r="K467" s="296"/>
      <c r="L467" s="296"/>
      <c r="O467" s="380" t="str">
        <f t="shared" si="16"/>
        <v>23調査結果-指摘内容-4(35)</v>
      </c>
    </row>
    <row r="468" spans="2:15">
      <c r="B468" s="1670" t="str">
        <f>'1_入力シート【基本情報】'!$HR$405</f>
        <v/>
      </c>
      <c r="C468" s="1670" t="str">
        <f t="shared" si="15"/>
        <v/>
      </c>
      <c r="E468" s="851">
        <v>23</v>
      </c>
      <c r="F468" s="847" t="s">
        <v>33</v>
      </c>
      <c r="G468" s="824" t="s">
        <v>1407</v>
      </c>
      <c r="H468" s="842" t="s">
        <v>5422</v>
      </c>
      <c r="I468" s="826" t="s">
        <v>1407</v>
      </c>
      <c r="J468" s="840" t="s">
        <v>1257</v>
      </c>
      <c r="K468" s="296"/>
      <c r="L468" s="296"/>
      <c r="O468" s="380" t="str">
        <f t="shared" si="16"/>
        <v>23調査結果-指摘内容-4(36)</v>
      </c>
    </row>
    <row r="469" spans="2:15">
      <c r="B469" s="1670" t="str">
        <f>'1_入力シート【基本情報】'!$HR$406</f>
        <v/>
      </c>
      <c r="C469" s="1670" t="str">
        <f t="shared" si="15"/>
        <v/>
      </c>
      <c r="E469" s="851">
        <v>23</v>
      </c>
      <c r="F469" s="847" t="s">
        <v>33</v>
      </c>
      <c r="G469" s="824" t="s">
        <v>1407</v>
      </c>
      <c r="H469" s="842" t="s">
        <v>5422</v>
      </c>
      <c r="I469" s="826" t="s">
        <v>1407</v>
      </c>
      <c r="J469" s="840" t="s">
        <v>1258</v>
      </c>
      <c r="K469" s="296"/>
      <c r="L469" s="296"/>
      <c r="O469" s="380" t="str">
        <f t="shared" si="16"/>
        <v>23調査結果-指摘内容-4(37)</v>
      </c>
    </row>
    <row r="470" spans="2:15">
      <c r="B470" s="1670" t="str">
        <f>'1_入力シート【基本情報】'!$HR$407</f>
        <v/>
      </c>
      <c r="C470" s="1670" t="str">
        <f t="shared" si="15"/>
        <v/>
      </c>
      <c r="E470" s="851">
        <v>23</v>
      </c>
      <c r="F470" s="847" t="s">
        <v>33</v>
      </c>
      <c r="G470" s="824" t="s">
        <v>1407</v>
      </c>
      <c r="H470" s="842" t="s">
        <v>5422</v>
      </c>
      <c r="I470" s="826" t="s">
        <v>1407</v>
      </c>
      <c r="J470" s="840" t="s">
        <v>1259</v>
      </c>
      <c r="K470" s="296"/>
      <c r="L470" s="296"/>
      <c r="O470" s="380" t="str">
        <f t="shared" si="16"/>
        <v>23調査結果-指摘内容-4(38)</v>
      </c>
    </row>
    <row r="471" spans="2:15">
      <c r="B471" s="1670" t="str">
        <f>'1_入力シート【基本情報】'!$HR$408</f>
        <v/>
      </c>
      <c r="C471" s="1670" t="str">
        <f t="shared" si="15"/>
        <v/>
      </c>
      <c r="E471" s="851">
        <v>23</v>
      </c>
      <c r="F471" s="847" t="s">
        <v>33</v>
      </c>
      <c r="G471" s="824" t="s">
        <v>1407</v>
      </c>
      <c r="H471" s="842" t="s">
        <v>5422</v>
      </c>
      <c r="I471" s="826" t="s">
        <v>1407</v>
      </c>
      <c r="J471" s="840" t="s">
        <v>1260</v>
      </c>
      <c r="K471" s="296"/>
      <c r="L471" s="296"/>
      <c r="O471" s="380" t="str">
        <f t="shared" si="16"/>
        <v>23調査結果-指摘内容-4(39)</v>
      </c>
    </row>
    <row r="472" spans="2:15">
      <c r="B472" s="1670" t="str">
        <f>'1_入力シート【基本情報】'!$HR$409</f>
        <v/>
      </c>
      <c r="C472" s="1670" t="str">
        <f t="shared" si="15"/>
        <v/>
      </c>
      <c r="E472" s="851">
        <v>23</v>
      </c>
      <c r="F472" s="847" t="s">
        <v>33</v>
      </c>
      <c r="G472" s="824" t="s">
        <v>1407</v>
      </c>
      <c r="H472" s="842" t="s">
        <v>5422</v>
      </c>
      <c r="I472" s="826" t="s">
        <v>1407</v>
      </c>
      <c r="J472" s="840" t="s">
        <v>1261</v>
      </c>
      <c r="K472" s="296"/>
      <c r="L472" s="296"/>
      <c r="O472" s="380" t="str">
        <f t="shared" si="16"/>
        <v>23調査結果-指摘内容-4(40)</v>
      </c>
    </row>
    <row r="473" spans="2:15">
      <c r="B473" s="1670" t="str">
        <f>'1_入力シート【基本情報】'!$HR$410</f>
        <v/>
      </c>
      <c r="C473" s="1670" t="str">
        <f t="shared" si="15"/>
        <v/>
      </c>
      <c r="E473" s="851">
        <v>23</v>
      </c>
      <c r="F473" s="847" t="s">
        <v>33</v>
      </c>
      <c r="G473" s="824" t="s">
        <v>1407</v>
      </c>
      <c r="H473" s="842" t="s">
        <v>5422</v>
      </c>
      <c r="I473" s="826" t="s">
        <v>1407</v>
      </c>
      <c r="J473" s="840" t="s">
        <v>1262</v>
      </c>
      <c r="K473" s="296"/>
      <c r="L473" s="296"/>
      <c r="O473" s="380" t="str">
        <f t="shared" si="16"/>
        <v>23調査結果-指摘内容-4(41)</v>
      </c>
    </row>
    <row r="474" spans="2:15">
      <c r="B474" s="1670" t="str">
        <f>'1_入力シート【基本情報】'!$HR$411</f>
        <v/>
      </c>
      <c r="C474" s="1670" t="str">
        <f t="shared" si="15"/>
        <v/>
      </c>
      <c r="E474" s="851">
        <v>23</v>
      </c>
      <c r="F474" s="847" t="s">
        <v>33</v>
      </c>
      <c r="G474" s="824" t="s">
        <v>1407</v>
      </c>
      <c r="H474" s="842" t="s">
        <v>5422</v>
      </c>
      <c r="I474" s="826" t="s">
        <v>1407</v>
      </c>
      <c r="J474" s="840" t="s">
        <v>1263</v>
      </c>
      <c r="K474" s="296"/>
      <c r="L474" s="296"/>
      <c r="O474" s="380" t="str">
        <f t="shared" si="16"/>
        <v>23調査結果-指摘内容-4(42)</v>
      </c>
    </row>
    <row r="475" spans="2:15">
      <c r="B475" s="1670" t="str">
        <f>'1_入力シート【基本情報】'!$HR$412</f>
        <v/>
      </c>
      <c r="C475" s="1670" t="str">
        <f t="shared" si="15"/>
        <v/>
      </c>
      <c r="E475" s="851">
        <v>23</v>
      </c>
      <c r="F475" s="847" t="s">
        <v>33</v>
      </c>
      <c r="G475" s="824" t="s">
        <v>1407</v>
      </c>
      <c r="H475" s="842" t="s">
        <v>5422</v>
      </c>
      <c r="I475" s="826" t="s">
        <v>1407</v>
      </c>
      <c r="J475" s="840" t="s">
        <v>1264</v>
      </c>
      <c r="K475" s="296"/>
      <c r="L475" s="296"/>
      <c r="O475" s="380" t="str">
        <f t="shared" si="16"/>
        <v>23調査結果-指摘内容-4(43)</v>
      </c>
    </row>
    <row r="476" spans="2:15">
      <c r="B476" s="1670" t="str">
        <f>'1_入力シート【基本情報】'!$HR$413</f>
        <v/>
      </c>
      <c r="C476" s="1670" t="str">
        <f t="shared" si="15"/>
        <v/>
      </c>
      <c r="E476" s="851">
        <v>23</v>
      </c>
      <c r="F476" s="847" t="s">
        <v>33</v>
      </c>
      <c r="G476" s="824" t="s">
        <v>1407</v>
      </c>
      <c r="H476" s="842" t="s">
        <v>5422</v>
      </c>
      <c r="I476" s="826" t="s">
        <v>1407</v>
      </c>
      <c r="J476" s="840" t="s">
        <v>1265</v>
      </c>
      <c r="K476" s="296"/>
      <c r="L476" s="296"/>
      <c r="O476" s="380" t="str">
        <f t="shared" si="16"/>
        <v>23調査結果-指摘内容-4(44)</v>
      </c>
    </row>
    <row r="477" spans="2:15">
      <c r="B477" s="1670" t="str">
        <f>'1_入力シート【基本情報】'!$HR$414</f>
        <v/>
      </c>
      <c r="C477" s="1670" t="str">
        <f t="shared" si="15"/>
        <v/>
      </c>
      <c r="E477" s="851">
        <v>23</v>
      </c>
      <c r="F477" s="847" t="s">
        <v>33</v>
      </c>
      <c r="G477" s="824" t="s">
        <v>1407</v>
      </c>
      <c r="H477" s="842" t="s">
        <v>5422</v>
      </c>
      <c r="I477" s="826" t="s">
        <v>1407</v>
      </c>
      <c r="J477" s="840" t="s">
        <v>1266</v>
      </c>
      <c r="K477" s="296"/>
      <c r="L477" s="296"/>
      <c r="O477" s="380" t="str">
        <f t="shared" si="16"/>
        <v>23調査結果-指摘内容-4(45)</v>
      </c>
    </row>
    <row r="478" spans="2:15">
      <c r="B478" s="1670" t="str">
        <f>'1_入力シート【基本情報】'!$HR$415</f>
        <v/>
      </c>
      <c r="C478" s="1670" t="str">
        <f t="shared" si="15"/>
        <v/>
      </c>
      <c r="E478" s="851">
        <v>23</v>
      </c>
      <c r="F478" s="847" t="s">
        <v>33</v>
      </c>
      <c r="G478" s="824" t="s">
        <v>1407</v>
      </c>
      <c r="H478" s="842" t="s">
        <v>5422</v>
      </c>
      <c r="I478" s="826" t="s">
        <v>1407</v>
      </c>
      <c r="J478" s="840" t="s">
        <v>1267</v>
      </c>
      <c r="K478" s="296"/>
      <c r="L478" s="296"/>
      <c r="O478" s="380" t="str">
        <f t="shared" si="16"/>
        <v>23調査結果-指摘内容-4(46)</v>
      </c>
    </row>
    <row r="479" spans="2:15">
      <c r="B479" s="1670" t="str">
        <f>'1_入力シート【基本情報】'!$HR$416</f>
        <v/>
      </c>
      <c r="C479" s="1670" t="str">
        <f t="shared" si="15"/>
        <v/>
      </c>
      <c r="E479" s="851">
        <v>23</v>
      </c>
      <c r="F479" s="847" t="s">
        <v>33</v>
      </c>
      <c r="G479" s="824" t="s">
        <v>1407</v>
      </c>
      <c r="H479" s="842" t="s">
        <v>5422</v>
      </c>
      <c r="I479" s="826" t="s">
        <v>1407</v>
      </c>
      <c r="J479" s="840" t="s">
        <v>1268</v>
      </c>
      <c r="K479" s="296"/>
      <c r="L479" s="296"/>
      <c r="O479" s="380" t="str">
        <f t="shared" si="16"/>
        <v>23調査結果-指摘内容-4(47)</v>
      </c>
    </row>
    <row r="480" spans="2:15">
      <c r="B480" s="1670" t="str">
        <f>'1_入力シート【基本情報】'!$HR$417</f>
        <v/>
      </c>
      <c r="C480" s="1670" t="str">
        <f t="shared" si="15"/>
        <v/>
      </c>
      <c r="E480" s="851">
        <v>23</v>
      </c>
      <c r="F480" s="847" t="s">
        <v>33</v>
      </c>
      <c r="G480" s="824" t="s">
        <v>1407</v>
      </c>
      <c r="H480" s="842" t="s">
        <v>5422</v>
      </c>
      <c r="I480" s="826" t="s">
        <v>1407</v>
      </c>
      <c r="J480" s="840" t="s">
        <v>2576</v>
      </c>
      <c r="K480" s="296"/>
      <c r="L480" s="296"/>
      <c r="O480" s="380" t="str">
        <f t="shared" si="16"/>
        <v>23調査結果-指摘内容-4(48)</v>
      </c>
    </row>
    <row r="481" spans="2:15">
      <c r="B481" s="1670" t="str">
        <f>'1_入力シート【基本情報】'!$HR$418</f>
        <v/>
      </c>
      <c r="C481" s="1670" t="str">
        <f t="shared" si="15"/>
        <v/>
      </c>
      <c r="E481" s="851">
        <v>23</v>
      </c>
      <c r="F481" s="847" t="s">
        <v>33</v>
      </c>
      <c r="G481" s="824" t="s">
        <v>1407</v>
      </c>
      <c r="H481" s="842" t="s">
        <v>5422</v>
      </c>
      <c r="I481" s="826" t="s">
        <v>1407</v>
      </c>
      <c r="J481" s="840" t="s">
        <v>2577</v>
      </c>
      <c r="K481" s="296"/>
      <c r="L481" s="296"/>
      <c r="O481" s="380" t="str">
        <f t="shared" si="16"/>
        <v>23調査結果-指摘内容-4(49)</v>
      </c>
    </row>
    <row r="482" spans="2:15">
      <c r="B482" s="1670" t="str">
        <f>'1_入力シート【基本情報】'!$HR$419</f>
        <v/>
      </c>
      <c r="C482" s="1670" t="str">
        <f t="shared" si="15"/>
        <v/>
      </c>
      <c r="E482" s="851">
        <v>23</v>
      </c>
      <c r="F482" s="847" t="s">
        <v>33</v>
      </c>
      <c r="G482" s="824" t="s">
        <v>1407</v>
      </c>
      <c r="H482" s="842" t="s">
        <v>5422</v>
      </c>
      <c r="I482" s="826" t="s">
        <v>1407</v>
      </c>
      <c r="J482" s="840" t="s">
        <v>2578</v>
      </c>
      <c r="K482" s="296"/>
      <c r="L482" s="296"/>
      <c r="O482" s="380" t="str">
        <f t="shared" si="16"/>
        <v>23調査結果-指摘内容-4(50)</v>
      </c>
    </row>
    <row r="483" spans="2:15">
      <c r="B483" s="1670" t="str">
        <f>'1_入力シート【基本情報】'!$HR$420</f>
        <v/>
      </c>
      <c r="C483" s="1670" t="str">
        <f t="shared" si="15"/>
        <v/>
      </c>
      <c r="E483" s="851">
        <v>23</v>
      </c>
      <c r="F483" s="847" t="s">
        <v>33</v>
      </c>
      <c r="G483" s="824" t="s">
        <v>1407</v>
      </c>
      <c r="H483" s="842" t="s">
        <v>5422</v>
      </c>
      <c r="I483" s="826" t="s">
        <v>1407</v>
      </c>
      <c r="J483" s="840" t="s">
        <v>2579</v>
      </c>
      <c r="K483" s="296"/>
      <c r="L483" s="296"/>
      <c r="O483" s="380" t="str">
        <f t="shared" si="16"/>
        <v>23調査結果-指摘内容-4(51)</v>
      </c>
    </row>
    <row r="484" spans="2:15">
      <c r="B484" s="1670" t="str">
        <f>'1_入力シート【基本情報】'!$HR$421</f>
        <v/>
      </c>
      <c r="C484" s="1670" t="str">
        <f t="shared" si="15"/>
        <v/>
      </c>
      <c r="E484" s="851">
        <v>23</v>
      </c>
      <c r="F484" s="847" t="s">
        <v>33</v>
      </c>
      <c r="G484" s="824" t="s">
        <v>1407</v>
      </c>
      <c r="H484" s="842" t="s">
        <v>5422</v>
      </c>
      <c r="I484" s="826" t="s">
        <v>1407</v>
      </c>
      <c r="J484" s="840" t="s">
        <v>2580</v>
      </c>
      <c r="K484" s="296"/>
      <c r="L484" s="296"/>
      <c r="O484" s="380" t="str">
        <f t="shared" si="16"/>
        <v>23調査結果-指摘内容-4(52)</v>
      </c>
    </row>
    <row r="485" spans="2:15">
      <c r="B485" s="1670" t="str">
        <f>'1_入力シート【基本情報】'!$HR$426</f>
        <v/>
      </c>
      <c r="C485" s="1670" t="str">
        <f t="shared" si="15"/>
        <v/>
      </c>
      <c r="E485" s="851">
        <v>23</v>
      </c>
      <c r="F485" s="847" t="s">
        <v>33</v>
      </c>
      <c r="G485" s="824" t="s">
        <v>1407</v>
      </c>
      <c r="H485" s="842" t="s">
        <v>5422</v>
      </c>
      <c r="I485" s="826" t="s">
        <v>1407</v>
      </c>
      <c r="J485" s="841" t="s">
        <v>1269</v>
      </c>
      <c r="K485" s="296"/>
      <c r="L485" s="296"/>
      <c r="O485" s="380" t="str">
        <f t="shared" si="16"/>
        <v>23調査結果-指摘内容-5(1)</v>
      </c>
    </row>
    <row r="486" spans="2:15">
      <c r="B486" s="1670" t="str">
        <f>'1_入力シート【基本情報】'!$HR$427</f>
        <v/>
      </c>
      <c r="C486" s="1670" t="str">
        <f t="shared" si="15"/>
        <v/>
      </c>
      <c r="E486" s="851">
        <v>23</v>
      </c>
      <c r="F486" s="847" t="s">
        <v>33</v>
      </c>
      <c r="G486" s="824" t="s">
        <v>1407</v>
      </c>
      <c r="H486" s="842" t="s">
        <v>5422</v>
      </c>
      <c r="I486" s="826" t="s">
        <v>1407</v>
      </c>
      <c r="J486" s="841" t="s">
        <v>1270</v>
      </c>
      <c r="K486" s="296"/>
      <c r="L486" s="296"/>
      <c r="O486" s="380" t="str">
        <f t="shared" si="16"/>
        <v>23調査結果-指摘内容-5(2)</v>
      </c>
    </row>
    <row r="487" spans="2:15">
      <c r="B487" s="1670" t="str">
        <f>'1_入力シート【基本情報】'!$HR$428</f>
        <v/>
      </c>
      <c r="C487" s="1670" t="str">
        <f t="shared" si="15"/>
        <v/>
      </c>
      <c r="E487" s="851">
        <v>23</v>
      </c>
      <c r="F487" s="847" t="s">
        <v>33</v>
      </c>
      <c r="G487" s="824" t="s">
        <v>1407</v>
      </c>
      <c r="H487" s="842" t="s">
        <v>5422</v>
      </c>
      <c r="I487" s="826" t="s">
        <v>1407</v>
      </c>
      <c r="J487" s="841" t="s">
        <v>1271</v>
      </c>
      <c r="K487" s="296"/>
      <c r="L487" s="296"/>
      <c r="O487" s="380" t="str">
        <f t="shared" si="16"/>
        <v>23調査結果-指摘内容-5(3)</v>
      </c>
    </row>
    <row r="488" spans="2:15">
      <c r="B488" s="1670" t="str">
        <f>'1_入力シート【基本情報】'!$HR$429</f>
        <v/>
      </c>
      <c r="C488" s="1670" t="str">
        <f t="shared" si="15"/>
        <v/>
      </c>
      <c r="E488" s="851">
        <v>23</v>
      </c>
      <c r="F488" s="847" t="s">
        <v>33</v>
      </c>
      <c r="G488" s="824" t="s">
        <v>1407</v>
      </c>
      <c r="H488" s="842" t="s">
        <v>5422</v>
      </c>
      <c r="I488" s="826" t="s">
        <v>1407</v>
      </c>
      <c r="J488" s="841" t="s">
        <v>1272</v>
      </c>
      <c r="K488" s="296"/>
      <c r="L488" s="296"/>
      <c r="O488" s="380" t="str">
        <f t="shared" si="16"/>
        <v>23調査結果-指摘内容-5(4)</v>
      </c>
    </row>
    <row r="489" spans="2:15">
      <c r="B489" s="1670" t="str">
        <f>'1_入力シート【基本情報】'!$HR$430</f>
        <v/>
      </c>
      <c r="C489" s="1670" t="str">
        <f t="shared" si="15"/>
        <v/>
      </c>
      <c r="E489" s="851">
        <v>23</v>
      </c>
      <c r="F489" s="847" t="s">
        <v>33</v>
      </c>
      <c r="G489" s="824" t="s">
        <v>1407</v>
      </c>
      <c r="H489" s="842" t="s">
        <v>5422</v>
      </c>
      <c r="I489" s="826" t="s">
        <v>1407</v>
      </c>
      <c r="J489" s="841" t="s">
        <v>1273</v>
      </c>
      <c r="K489" s="296"/>
      <c r="L489" s="296"/>
      <c r="O489" s="380" t="str">
        <f t="shared" si="16"/>
        <v>23調査結果-指摘内容-5(5)</v>
      </c>
    </row>
    <row r="490" spans="2:15">
      <c r="B490" s="1670" t="str">
        <f>'1_入力シート【基本情報】'!$HR$431</f>
        <v/>
      </c>
      <c r="C490" s="1670" t="str">
        <f t="shared" si="15"/>
        <v/>
      </c>
      <c r="E490" s="851">
        <v>23</v>
      </c>
      <c r="F490" s="847" t="s">
        <v>33</v>
      </c>
      <c r="G490" s="824" t="s">
        <v>1407</v>
      </c>
      <c r="H490" s="842" t="s">
        <v>5422</v>
      </c>
      <c r="I490" s="826" t="s">
        <v>1407</v>
      </c>
      <c r="J490" s="841" t="s">
        <v>1274</v>
      </c>
      <c r="K490" s="296"/>
      <c r="L490" s="296"/>
      <c r="O490" s="380" t="str">
        <f t="shared" si="16"/>
        <v>23調査結果-指摘内容-5(6)</v>
      </c>
    </row>
    <row r="491" spans="2:15">
      <c r="B491" s="1670" t="str">
        <f>'1_入力シート【基本情報】'!$HR$432</f>
        <v/>
      </c>
      <c r="C491" s="1670" t="str">
        <f t="shared" si="15"/>
        <v/>
      </c>
      <c r="E491" s="851">
        <v>23</v>
      </c>
      <c r="F491" s="847" t="s">
        <v>33</v>
      </c>
      <c r="G491" s="824" t="s">
        <v>1407</v>
      </c>
      <c r="H491" s="842" t="s">
        <v>5422</v>
      </c>
      <c r="I491" s="826" t="s">
        <v>1407</v>
      </c>
      <c r="J491" s="841" t="s">
        <v>1275</v>
      </c>
      <c r="K491" s="296"/>
      <c r="L491" s="296"/>
      <c r="O491" s="380" t="str">
        <f t="shared" si="16"/>
        <v>23調査結果-指摘内容-5(7)</v>
      </c>
    </row>
    <row r="492" spans="2:15">
      <c r="B492" s="1670" t="str">
        <f>'1_入力シート【基本情報】'!$HR$433</f>
        <v/>
      </c>
      <c r="C492" s="1670" t="str">
        <f t="shared" si="15"/>
        <v/>
      </c>
      <c r="E492" s="851">
        <v>23</v>
      </c>
      <c r="F492" s="847" t="s">
        <v>33</v>
      </c>
      <c r="G492" s="824" t="s">
        <v>1407</v>
      </c>
      <c r="H492" s="842" t="s">
        <v>5422</v>
      </c>
      <c r="I492" s="826" t="s">
        <v>1407</v>
      </c>
      <c r="J492" s="841" t="s">
        <v>1276</v>
      </c>
      <c r="K492" s="296"/>
      <c r="L492" s="296"/>
      <c r="O492" s="380" t="str">
        <f t="shared" si="16"/>
        <v>23調査結果-指摘内容-5(8)</v>
      </c>
    </row>
    <row r="493" spans="2:15">
      <c r="B493" s="1670" t="str">
        <f>'1_入力シート【基本情報】'!$HR$434</f>
        <v/>
      </c>
      <c r="C493" s="1670" t="str">
        <f t="shared" si="15"/>
        <v/>
      </c>
      <c r="E493" s="851">
        <v>23</v>
      </c>
      <c r="F493" s="847" t="s">
        <v>33</v>
      </c>
      <c r="G493" s="824" t="s">
        <v>1407</v>
      </c>
      <c r="H493" s="842" t="s">
        <v>5422</v>
      </c>
      <c r="I493" s="826" t="s">
        <v>1407</v>
      </c>
      <c r="J493" s="841" t="s">
        <v>1277</v>
      </c>
      <c r="K493" s="296"/>
      <c r="L493" s="296"/>
      <c r="O493" s="380" t="str">
        <f t="shared" si="16"/>
        <v>23調査結果-指摘内容-5(9)</v>
      </c>
    </row>
    <row r="494" spans="2:15">
      <c r="B494" s="1670" t="str">
        <f>'1_入力シート【基本情報】'!$HR$435</f>
        <v/>
      </c>
      <c r="C494" s="1670" t="str">
        <f t="shared" si="15"/>
        <v/>
      </c>
      <c r="E494" s="851">
        <v>23</v>
      </c>
      <c r="F494" s="847" t="s">
        <v>33</v>
      </c>
      <c r="G494" s="824" t="s">
        <v>1407</v>
      </c>
      <c r="H494" s="842" t="s">
        <v>5422</v>
      </c>
      <c r="I494" s="826" t="s">
        <v>1407</v>
      </c>
      <c r="J494" s="841" t="s">
        <v>1278</v>
      </c>
      <c r="K494" s="296"/>
      <c r="L494" s="296"/>
      <c r="O494" s="380" t="str">
        <f t="shared" si="16"/>
        <v>23調査結果-指摘内容-5(10)</v>
      </c>
    </row>
    <row r="495" spans="2:15">
      <c r="B495" s="1670" t="str">
        <f>'1_入力シート【基本情報】'!$HR$436</f>
        <v/>
      </c>
      <c r="C495" s="1670" t="str">
        <f t="shared" si="15"/>
        <v/>
      </c>
      <c r="E495" s="851">
        <v>23</v>
      </c>
      <c r="F495" s="847" t="s">
        <v>33</v>
      </c>
      <c r="G495" s="824" t="s">
        <v>1407</v>
      </c>
      <c r="H495" s="842" t="s">
        <v>5422</v>
      </c>
      <c r="I495" s="826" t="s">
        <v>1407</v>
      </c>
      <c r="J495" s="841" t="s">
        <v>1279</v>
      </c>
      <c r="K495" s="296"/>
      <c r="L495" s="296"/>
      <c r="O495" s="380" t="str">
        <f t="shared" si="16"/>
        <v>23調査結果-指摘内容-5(11)</v>
      </c>
    </row>
    <row r="496" spans="2:15">
      <c r="B496" s="1670" t="str">
        <f>'1_入力シート【基本情報】'!$HR$437</f>
        <v/>
      </c>
      <c r="C496" s="1670" t="str">
        <f t="shared" si="15"/>
        <v/>
      </c>
      <c r="E496" s="851">
        <v>23</v>
      </c>
      <c r="F496" s="847" t="s">
        <v>33</v>
      </c>
      <c r="G496" s="824" t="s">
        <v>1407</v>
      </c>
      <c r="H496" s="842" t="s">
        <v>5422</v>
      </c>
      <c r="I496" s="826" t="s">
        <v>1407</v>
      </c>
      <c r="J496" s="841" t="s">
        <v>1280</v>
      </c>
      <c r="K496" s="296"/>
      <c r="L496" s="296"/>
      <c r="O496" s="380" t="str">
        <f t="shared" si="16"/>
        <v>23調査結果-指摘内容-5(12)</v>
      </c>
    </row>
    <row r="497" spans="2:15">
      <c r="B497" s="1670" t="str">
        <f>'1_入力シート【基本情報】'!$HR$438</f>
        <v/>
      </c>
      <c r="C497" s="1670" t="str">
        <f t="shared" si="15"/>
        <v/>
      </c>
      <c r="E497" s="851">
        <v>23</v>
      </c>
      <c r="F497" s="847" t="s">
        <v>33</v>
      </c>
      <c r="G497" s="824" t="s">
        <v>1407</v>
      </c>
      <c r="H497" s="842" t="s">
        <v>5422</v>
      </c>
      <c r="I497" s="826" t="s">
        <v>1407</v>
      </c>
      <c r="J497" s="841" t="s">
        <v>1281</v>
      </c>
      <c r="K497" s="296"/>
      <c r="L497" s="296"/>
      <c r="O497" s="380" t="str">
        <f t="shared" si="16"/>
        <v>23調査結果-指摘内容-5(13)</v>
      </c>
    </row>
    <row r="498" spans="2:15">
      <c r="B498" s="1670" t="str">
        <f>'1_入力シート【基本情報】'!$HR$439</f>
        <v/>
      </c>
      <c r="C498" s="1670" t="str">
        <f t="shared" si="15"/>
        <v/>
      </c>
      <c r="E498" s="851">
        <v>23</v>
      </c>
      <c r="F498" s="847" t="s">
        <v>33</v>
      </c>
      <c r="G498" s="824" t="s">
        <v>1407</v>
      </c>
      <c r="H498" s="842" t="s">
        <v>5422</v>
      </c>
      <c r="I498" s="826" t="s">
        <v>1407</v>
      </c>
      <c r="J498" s="841" t="s">
        <v>1282</v>
      </c>
      <c r="K498" s="296"/>
      <c r="L498" s="296"/>
      <c r="O498" s="380" t="str">
        <f t="shared" si="16"/>
        <v>23調査結果-指摘内容-5(14)</v>
      </c>
    </row>
    <row r="499" spans="2:15">
      <c r="B499" s="1670" t="str">
        <f>'1_入力シート【基本情報】'!$HR$440</f>
        <v/>
      </c>
      <c r="C499" s="1670" t="str">
        <f t="shared" si="15"/>
        <v/>
      </c>
      <c r="E499" s="851">
        <v>23</v>
      </c>
      <c r="F499" s="847" t="s">
        <v>33</v>
      </c>
      <c r="G499" s="824" t="s">
        <v>1407</v>
      </c>
      <c r="H499" s="842" t="s">
        <v>5422</v>
      </c>
      <c r="I499" s="826" t="s">
        <v>1407</v>
      </c>
      <c r="J499" s="841" t="s">
        <v>1283</v>
      </c>
      <c r="K499" s="296"/>
      <c r="L499" s="296"/>
      <c r="O499" s="380" t="str">
        <f t="shared" si="16"/>
        <v>23調査結果-指摘内容-5(15)</v>
      </c>
    </row>
    <row r="500" spans="2:15">
      <c r="B500" s="1670" t="str">
        <f>'1_入力シート【基本情報】'!$HR$441</f>
        <v/>
      </c>
      <c r="C500" s="1670" t="str">
        <f t="shared" si="15"/>
        <v/>
      </c>
      <c r="E500" s="851">
        <v>23</v>
      </c>
      <c r="F500" s="847" t="s">
        <v>33</v>
      </c>
      <c r="G500" s="824" t="s">
        <v>1407</v>
      </c>
      <c r="H500" s="842" t="s">
        <v>5422</v>
      </c>
      <c r="I500" s="826" t="s">
        <v>1407</v>
      </c>
      <c r="J500" s="841" t="s">
        <v>1284</v>
      </c>
      <c r="K500" s="296"/>
      <c r="L500" s="296"/>
      <c r="O500" s="380" t="str">
        <f t="shared" si="16"/>
        <v>23調査結果-指摘内容-5(16)</v>
      </c>
    </row>
    <row r="501" spans="2:15">
      <c r="B501" s="1670" t="str">
        <f>'1_入力シート【基本情報】'!$HR$442</f>
        <v/>
      </c>
      <c r="C501" s="1670" t="str">
        <f t="shared" si="15"/>
        <v/>
      </c>
      <c r="E501" s="851">
        <v>23</v>
      </c>
      <c r="F501" s="847" t="s">
        <v>33</v>
      </c>
      <c r="G501" s="824" t="s">
        <v>1407</v>
      </c>
      <c r="H501" s="842" t="s">
        <v>5422</v>
      </c>
      <c r="I501" s="826" t="s">
        <v>1407</v>
      </c>
      <c r="J501" s="841" t="s">
        <v>1285</v>
      </c>
      <c r="K501" s="296"/>
      <c r="L501" s="296"/>
      <c r="O501" s="380" t="str">
        <f t="shared" si="16"/>
        <v>23調査結果-指摘内容-5(17)</v>
      </c>
    </row>
    <row r="502" spans="2:15">
      <c r="B502" s="1670" t="str">
        <f>'1_入力シート【基本情報】'!$HR$443</f>
        <v/>
      </c>
      <c r="C502" s="1670" t="str">
        <f t="shared" si="15"/>
        <v/>
      </c>
      <c r="E502" s="851">
        <v>23</v>
      </c>
      <c r="F502" s="847" t="s">
        <v>33</v>
      </c>
      <c r="G502" s="824" t="s">
        <v>1407</v>
      </c>
      <c r="H502" s="842" t="s">
        <v>5422</v>
      </c>
      <c r="I502" s="826" t="s">
        <v>1407</v>
      </c>
      <c r="J502" s="841" t="s">
        <v>1286</v>
      </c>
      <c r="K502" s="296"/>
      <c r="L502" s="296"/>
      <c r="O502" s="380" t="str">
        <f t="shared" si="16"/>
        <v>23調査結果-指摘内容-5(18)</v>
      </c>
    </row>
    <row r="503" spans="2:15">
      <c r="B503" s="1670" t="str">
        <f>'1_入力シート【基本情報】'!$HR$444</f>
        <v/>
      </c>
      <c r="C503" s="1670" t="str">
        <f t="shared" si="15"/>
        <v/>
      </c>
      <c r="E503" s="851">
        <v>23</v>
      </c>
      <c r="F503" s="847" t="s">
        <v>33</v>
      </c>
      <c r="G503" s="824" t="s">
        <v>1407</v>
      </c>
      <c r="H503" s="842" t="s">
        <v>5422</v>
      </c>
      <c r="I503" s="826" t="s">
        <v>1407</v>
      </c>
      <c r="J503" s="841" t="s">
        <v>1287</v>
      </c>
      <c r="K503" s="296"/>
      <c r="L503" s="296"/>
      <c r="O503" s="380" t="str">
        <f t="shared" si="16"/>
        <v>23調査結果-指摘内容-5(19)</v>
      </c>
    </row>
    <row r="504" spans="2:15">
      <c r="B504" s="1670" t="str">
        <f>'1_入力シート【基本情報】'!$HR$445</f>
        <v/>
      </c>
      <c r="C504" s="1670" t="str">
        <f t="shared" si="15"/>
        <v/>
      </c>
      <c r="E504" s="851">
        <v>23</v>
      </c>
      <c r="F504" s="847" t="s">
        <v>33</v>
      </c>
      <c r="G504" s="824" t="s">
        <v>1407</v>
      </c>
      <c r="H504" s="842" t="s">
        <v>5422</v>
      </c>
      <c r="I504" s="826" t="s">
        <v>1407</v>
      </c>
      <c r="J504" s="841" t="s">
        <v>1288</v>
      </c>
      <c r="K504" s="296"/>
      <c r="L504" s="296"/>
      <c r="O504" s="380" t="str">
        <f t="shared" si="16"/>
        <v>23調査結果-指摘内容-5(20)</v>
      </c>
    </row>
    <row r="505" spans="2:15">
      <c r="B505" s="1670" t="str">
        <f>'1_入力シート【基本情報】'!$HR$446</f>
        <v/>
      </c>
      <c r="C505" s="1670" t="str">
        <f t="shared" si="15"/>
        <v/>
      </c>
      <c r="E505" s="851">
        <v>23</v>
      </c>
      <c r="F505" s="847" t="s">
        <v>33</v>
      </c>
      <c r="G505" s="824" t="s">
        <v>1407</v>
      </c>
      <c r="H505" s="842" t="s">
        <v>5422</v>
      </c>
      <c r="I505" s="826" t="s">
        <v>1407</v>
      </c>
      <c r="J505" s="841" t="s">
        <v>1289</v>
      </c>
      <c r="K505" s="296"/>
      <c r="L505" s="296"/>
      <c r="O505" s="380" t="str">
        <f t="shared" si="16"/>
        <v>23調査結果-指摘内容-5(21)</v>
      </c>
    </row>
    <row r="506" spans="2:15">
      <c r="B506" s="1670" t="str">
        <f>'1_入力シート【基本情報】'!$HR$447</f>
        <v/>
      </c>
      <c r="C506" s="1670" t="str">
        <f t="shared" si="15"/>
        <v/>
      </c>
      <c r="E506" s="851">
        <v>23</v>
      </c>
      <c r="F506" s="847" t="s">
        <v>33</v>
      </c>
      <c r="G506" s="824" t="s">
        <v>1407</v>
      </c>
      <c r="H506" s="842" t="s">
        <v>5422</v>
      </c>
      <c r="I506" s="826" t="s">
        <v>1407</v>
      </c>
      <c r="J506" s="841" t="s">
        <v>1290</v>
      </c>
      <c r="K506" s="296"/>
      <c r="L506" s="296"/>
      <c r="O506" s="380" t="str">
        <f t="shared" si="16"/>
        <v>23調査結果-指摘内容-5(22)</v>
      </c>
    </row>
    <row r="507" spans="2:15">
      <c r="B507" s="1670" t="str">
        <f>'1_入力シート【基本情報】'!$HR$448</f>
        <v/>
      </c>
      <c r="C507" s="1670" t="str">
        <f t="shared" si="15"/>
        <v/>
      </c>
      <c r="E507" s="851">
        <v>23</v>
      </c>
      <c r="F507" s="847" t="s">
        <v>33</v>
      </c>
      <c r="G507" s="824" t="s">
        <v>1407</v>
      </c>
      <c r="H507" s="842" t="s">
        <v>5422</v>
      </c>
      <c r="I507" s="826" t="s">
        <v>1407</v>
      </c>
      <c r="J507" s="841" t="s">
        <v>1291</v>
      </c>
      <c r="K507" s="296"/>
      <c r="L507" s="296"/>
      <c r="O507" s="380" t="str">
        <f t="shared" si="16"/>
        <v>23調査結果-指摘内容-5(23)</v>
      </c>
    </row>
    <row r="508" spans="2:15">
      <c r="B508" s="1670" t="str">
        <f>'1_入力シート【基本情報】'!$HR$449</f>
        <v/>
      </c>
      <c r="C508" s="1670" t="str">
        <f t="shared" si="15"/>
        <v/>
      </c>
      <c r="E508" s="851">
        <v>23</v>
      </c>
      <c r="F508" s="847" t="s">
        <v>33</v>
      </c>
      <c r="G508" s="824" t="s">
        <v>1407</v>
      </c>
      <c r="H508" s="842" t="s">
        <v>5422</v>
      </c>
      <c r="I508" s="826" t="s">
        <v>1407</v>
      </c>
      <c r="J508" s="841" t="s">
        <v>1292</v>
      </c>
      <c r="K508" s="296"/>
      <c r="L508" s="296"/>
      <c r="O508" s="380" t="str">
        <f t="shared" si="16"/>
        <v>23調査結果-指摘内容-5(24)</v>
      </c>
    </row>
    <row r="509" spans="2:15">
      <c r="B509" s="1670" t="str">
        <f>'1_入力シート【基本情報】'!$HR$450</f>
        <v/>
      </c>
      <c r="C509" s="1670" t="str">
        <f t="shared" si="15"/>
        <v/>
      </c>
      <c r="E509" s="851">
        <v>23</v>
      </c>
      <c r="F509" s="847" t="s">
        <v>33</v>
      </c>
      <c r="G509" s="824" t="s">
        <v>1407</v>
      </c>
      <c r="H509" s="842" t="s">
        <v>5422</v>
      </c>
      <c r="I509" s="826" t="s">
        <v>1407</v>
      </c>
      <c r="J509" s="841" t="s">
        <v>1293</v>
      </c>
      <c r="K509" s="296"/>
      <c r="L509" s="296"/>
      <c r="O509" s="380" t="str">
        <f t="shared" si="16"/>
        <v>23調査結果-指摘内容-5(25)</v>
      </c>
    </row>
    <row r="510" spans="2:15">
      <c r="B510" s="1670" t="str">
        <f>'1_入力シート【基本情報】'!$HR$451</f>
        <v/>
      </c>
      <c r="C510" s="1670" t="str">
        <f t="shared" si="15"/>
        <v/>
      </c>
      <c r="E510" s="851">
        <v>23</v>
      </c>
      <c r="F510" s="847" t="s">
        <v>33</v>
      </c>
      <c r="G510" s="824" t="s">
        <v>1407</v>
      </c>
      <c r="H510" s="842" t="s">
        <v>5422</v>
      </c>
      <c r="I510" s="826" t="s">
        <v>1407</v>
      </c>
      <c r="J510" s="841" t="s">
        <v>1294</v>
      </c>
      <c r="K510" s="296"/>
      <c r="L510" s="296"/>
      <c r="O510" s="380" t="str">
        <f t="shared" si="16"/>
        <v>23調査結果-指摘内容-5(26)</v>
      </c>
    </row>
    <row r="511" spans="2:15">
      <c r="B511" s="1670" t="str">
        <f>'1_入力シート【基本情報】'!$HR$452</f>
        <v/>
      </c>
      <c r="C511" s="1670" t="str">
        <f t="shared" si="15"/>
        <v/>
      </c>
      <c r="E511" s="851">
        <v>23</v>
      </c>
      <c r="F511" s="847" t="s">
        <v>33</v>
      </c>
      <c r="G511" s="824" t="s">
        <v>1407</v>
      </c>
      <c r="H511" s="842" t="s">
        <v>5422</v>
      </c>
      <c r="I511" s="826" t="s">
        <v>1407</v>
      </c>
      <c r="J511" s="841" t="s">
        <v>1295</v>
      </c>
      <c r="K511" s="296"/>
      <c r="L511" s="296"/>
      <c r="O511" s="380" t="str">
        <f t="shared" si="16"/>
        <v>23調査結果-指摘内容-5(27)</v>
      </c>
    </row>
    <row r="512" spans="2:15">
      <c r="B512" s="1670" t="str">
        <f>'1_入力シート【基本情報】'!$HR$453</f>
        <v/>
      </c>
      <c r="C512" s="1670" t="str">
        <f t="shared" si="15"/>
        <v/>
      </c>
      <c r="E512" s="851">
        <v>23</v>
      </c>
      <c r="F512" s="847" t="s">
        <v>33</v>
      </c>
      <c r="G512" s="824" t="s">
        <v>1407</v>
      </c>
      <c r="H512" s="842" t="s">
        <v>5422</v>
      </c>
      <c r="I512" s="826" t="s">
        <v>1407</v>
      </c>
      <c r="J512" s="841" t="s">
        <v>1296</v>
      </c>
      <c r="K512" s="296"/>
      <c r="L512" s="296"/>
      <c r="O512" s="380" t="str">
        <f t="shared" si="16"/>
        <v>23調査結果-指摘内容-5(28)</v>
      </c>
    </row>
    <row r="513" spans="2:15">
      <c r="B513" s="1670" t="str">
        <f>'1_入力シート【基本情報】'!$HR$454</f>
        <v/>
      </c>
      <c r="C513" s="1670" t="str">
        <f t="shared" si="15"/>
        <v/>
      </c>
      <c r="E513" s="851">
        <v>23</v>
      </c>
      <c r="F513" s="847" t="s">
        <v>33</v>
      </c>
      <c r="G513" s="824" t="s">
        <v>1407</v>
      </c>
      <c r="H513" s="842" t="s">
        <v>5422</v>
      </c>
      <c r="I513" s="826" t="s">
        <v>1407</v>
      </c>
      <c r="J513" s="841" t="s">
        <v>1297</v>
      </c>
      <c r="K513" s="296"/>
      <c r="L513" s="296"/>
      <c r="O513" s="380" t="str">
        <f t="shared" si="16"/>
        <v>23調査結果-指摘内容-5(29)</v>
      </c>
    </row>
    <row r="514" spans="2:15">
      <c r="B514" s="1670" t="str">
        <f>'1_入力シート【基本情報】'!$HR$455</f>
        <v/>
      </c>
      <c r="C514" s="1670" t="str">
        <f t="shared" si="15"/>
        <v/>
      </c>
      <c r="E514" s="851">
        <v>23</v>
      </c>
      <c r="F514" s="847" t="s">
        <v>33</v>
      </c>
      <c r="G514" s="824" t="s">
        <v>1407</v>
      </c>
      <c r="H514" s="842" t="s">
        <v>5422</v>
      </c>
      <c r="I514" s="826" t="s">
        <v>1407</v>
      </c>
      <c r="J514" s="841" t="s">
        <v>1298</v>
      </c>
      <c r="K514" s="296"/>
      <c r="L514" s="296"/>
      <c r="O514" s="380" t="str">
        <f t="shared" si="16"/>
        <v>23調査結果-指摘内容-5(30)</v>
      </c>
    </row>
    <row r="515" spans="2:15">
      <c r="B515" s="1670" t="str">
        <f>'1_入力シート【基本情報】'!$HR$456</f>
        <v/>
      </c>
      <c r="C515" s="1670" t="str">
        <f t="shared" si="15"/>
        <v/>
      </c>
      <c r="E515" s="851">
        <v>23</v>
      </c>
      <c r="F515" s="847" t="s">
        <v>33</v>
      </c>
      <c r="G515" s="824" t="s">
        <v>1407</v>
      </c>
      <c r="H515" s="842" t="s">
        <v>5422</v>
      </c>
      <c r="I515" s="826" t="s">
        <v>1407</v>
      </c>
      <c r="J515" s="841" t="s">
        <v>1299</v>
      </c>
      <c r="K515" s="296"/>
      <c r="L515" s="296"/>
      <c r="O515" s="380" t="str">
        <f t="shared" si="16"/>
        <v>23調査結果-指摘内容-5(31)</v>
      </c>
    </row>
    <row r="516" spans="2:15">
      <c r="B516" s="1670" t="str">
        <f>'1_入力シート【基本情報】'!$HR$457</f>
        <v/>
      </c>
      <c r="C516" s="1670" t="str">
        <f t="shared" si="15"/>
        <v/>
      </c>
      <c r="E516" s="851">
        <v>23</v>
      </c>
      <c r="F516" s="847" t="s">
        <v>33</v>
      </c>
      <c r="G516" s="824" t="s">
        <v>1407</v>
      </c>
      <c r="H516" s="842" t="s">
        <v>5422</v>
      </c>
      <c r="I516" s="826" t="s">
        <v>1407</v>
      </c>
      <c r="J516" s="841" t="s">
        <v>1300</v>
      </c>
      <c r="K516" s="296"/>
      <c r="L516" s="296"/>
      <c r="O516" s="380" t="str">
        <f t="shared" si="16"/>
        <v>23調査結果-指摘内容-5(32)</v>
      </c>
    </row>
    <row r="517" spans="2:15">
      <c r="B517" s="1670" t="str">
        <f>'1_入力シート【基本情報】'!$HR$458</f>
        <v/>
      </c>
      <c r="C517" s="1670" t="str">
        <f t="shared" ref="C517:C580" si="17">SUBSTITUTE(B517,CHAR(10),"")</f>
        <v/>
      </c>
      <c r="E517" s="851">
        <v>23</v>
      </c>
      <c r="F517" s="847" t="s">
        <v>33</v>
      </c>
      <c r="G517" s="824" t="s">
        <v>1407</v>
      </c>
      <c r="H517" s="842" t="s">
        <v>5422</v>
      </c>
      <c r="I517" s="826" t="s">
        <v>1407</v>
      </c>
      <c r="J517" s="841" t="s">
        <v>1301</v>
      </c>
      <c r="K517" s="296"/>
      <c r="L517" s="296"/>
      <c r="O517" s="380" t="str">
        <f t="shared" si="16"/>
        <v>23調査結果-指摘内容-5(33)</v>
      </c>
    </row>
    <row r="518" spans="2:15">
      <c r="B518" s="1670" t="str">
        <f>'1_入力シート【基本情報】'!$HR$459</f>
        <v/>
      </c>
      <c r="C518" s="1670" t="str">
        <f t="shared" si="17"/>
        <v/>
      </c>
      <c r="E518" s="851">
        <v>23</v>
      </c>
      <c r="F518" s="847" t="s">
        <v>33</v>
      </c>
      <c r="G518" s="824" t="s">
        <v>1407</v>
      </c>
      <c r="H518" s="842" t="s">
        <v>5422</v>
      </c>
      <c r="I518" s="826" t="s">
        <v>1407</v>
      </c>
      <c r="J518" s="841" t="s">
        <v>1302</v>
      </c>
      <c r="K518" s="296"/>
      <c r="L518" s="296"/>
      <c r="O518" s="380" t="str">
        <f t="shared" si="16"/>
        <v>23調査結果-指摘内容-5(34)</v>
      </c>
    </row>
    <row r="519" spans="2:15">
      <c r="B519" s="1670" t="str">
        <f>'1_入力シート【基本情報】'!$HR$460</f>
        <v/>
      </c>
      <c r="C519" s="1670" t="str">
        <f t="shared" si="17"/>
        <v/>
      </c>
      <c r="E519" s="851">
        <v>23</v>
      </c>
      <c r="F519" s="847" t="s">
        <v>33</v>
      </c>
      <c r="G519" s="824" t="s">
        <v>1407</v>
      </c>
      <c r="H519" s="842" t="s">
        <v>5422</v>
      </c>
      <c r="I519" s="826" t="s">
        <v>1407</v>
      </c>
      <c r="J519" s="841" t="s">
        <v>1303</v>
      </c>
      <c r="K519" s="296"/>
      <c r="L519" s="296"/>
      <c r="O519" s="380" t="str">
        <f t="shared" si="16"/>
        <v>23調査結果-指摘内容-5(35)</v>
      </c>
    </row>
    <row r="520" spans="2:15">
      <c r="B520" s="1670" t="str">
        <f>'1_入力シート【基本情報】'!$HR$461</f>
        <v/>
      </c>
      <c r="C520" s="1670" t="str">
        <f t="shared" si="17"/>
        <v/>
      </c>
      <c r="E520" s="851">
        <v>23</v>
      </c>
      <c r="F520" s="847" t="s">
        <v>33</v>
      </c>
      <c r="G520" s="824" t="s">
        <v>1407</v>
      </c>
      <c r="H520" s="842" t="s">
        <v>5422</v>
      </c>
      <c r="I520" s="826" t="s">
        <v>1407</v>
      </c>
      <c r="J520" s="841" t="s">
        <v>1304</v>
      </c>
      <c r="K520" s="296"/>
      <c r="L520" s="296"/>
      <c r="O520" s="380" t="str">
        <f t="shared" si="16"/>
        <v>23調査結果-指摘内容-5(36)</v>
      </c>
    </row>
    <row r="521" spans="2:15">
      <c r="B521" s="1670" t="str">
        <f>'1_入力シート【基本情報】'!$HR$462</f>
        <v/>
      </c>
      <c r="C521" s="1670" t="str">
        <f t="shared" si="17"/>
        <v/>
      </c>
      <c r="E521" s="851">
        <v>23</v>
      </c>
      <c r="F521" s="847" t="s">
        <v>33</v>
      </c>
      <c r="G521" s="824" t="s">
        <v>1407</v>
      </c>
      <c r="H521" s="842" t="s">
        <v>5422</v>
      </c>
      <c r="I521" s="826" t="s">
        <v>1407</v>
      </c>
      <c r="J521" s="841" t="s">
        <v>1305</v>
      </c>
      <c r="K521" s="296"/>
      <c r="L521" s="296"/>
      <c r="O521" s="380" t="str">
        <f t="shared" si="16"/>
        <v>23調査結果-指摘内容-5(37)</v>
      </c>
    </row>
    <row r="522" spans="2:15">
      <c r="B522" s="1670" t="str">
        <f>'1_入力シート【基本情報】'!$HR$463</f>
        <v/>
      </c>
      <c r="C522" s="1670" t="str">
        <f t="shared" si="17"/>
        <v/>
      </c>
      <c r="E522" s="851">
        <v>23</v>
      </c>
      <c r="F522" s="847" t="s">
        <v>33</v>
      </c>
      <c r="G522" s="824" t="s">
        <v>1407</v>
      </c>
      <c r="H522" s="842" t="s">
        <v>5422</v>
      </c>
      <c r="I522" s="826" t="s">
        <v>1407</v>
      </c>
      <c r="J522" s="841" t="s">
        <v>1306</v>
      </c>
      <c r="K522" s="296"/>
      <c r="L522" s="296"/>
      <c r="O522" s="380" t="str">
        <f t="shared" si="16"/>
        <v>23調査結果-指摘内容-5(38)</v>
      </c>
    </row>
    <row r="523" spans="2:15">
      <c r="B523" s="1670" t="str">
        <f>'1_入力シート【基本情報】'!$HR$464</f>
        <v/>
      </c>
      <c r="C523" s="1670" t="str">
        <f t="shared" si="17"/>
        <v/>
      </c>
      <c r="E523" s="851">
        <v>23</v>
      </c>
      <c r="F523" s="847" t="s">
        <v>33</v>
      </c>
      <c r="G523" s="824" t="s">
        <v>1407</v>
      </c>
      <c r="H523" s="842" t="s">
        <v>5422</v>
      </c>
      <c r="I523" s="826" t="s">
        <v>1407</v>
      </c>
      <c r="J523" s="841" t="s">
        <v>1307</v>
      </c>
      <c r="K523" s="296"/>
      <c r="L523" s="296"/>
      <c r="O523" s="380" t="str">
        <f t="shared" si="16"/>
        <v>23調査結果-指摘内容-5(39)</v>
      </c>
    </row>
    <row r="524" spans="2:15">
      <c r="B524" s="1670" t="str">
        <f>'1_入力シート【基本情報】'!$HR$465</f>
        <v/>
      </c>
      <c r="C524" s="1670" t="str">
        <f t="shared" si="17"/>
        <v/>
      </c>
      <c r="E524" s="851">
        <v>23</v>
      </c>
      <c r="F524" s="847" t="s">
        <v>33</v>
      </c>
      <c r="G524" s="824" t="s">
        <v>1407</v>
      </c>
      <c r="H524" s="842" t="s">
        <v>5422</v>
      </c>
      <c r="I524" s="826" t="s">
        <v>1407</v>
      </c>
      <c r="J524" s="841" t="s">
        <v>1308</v>
      </c>
      <c r="K524" s="296"/>
      <c r="L524" s="296"/>
      <c r="O524" s="380" t="str">
        <f t="shared" si="16"/>
        <v>23調査結果-指摘内容-5(40)</v>
      </c>
    </row>
    <row r="525" spans="2:15">
      <c r="B525" s="1670" t="str">
        <f>'1_入力シート【基本情報】'!$HR$466</f>
        <v/>
      </c>
      <c r="C525" s="1670" t="str">
        <f t="shared" si="17"/>
        <v/>
      </c>
      <c r="E525" s="851">
        <v>23</v>
      </c>
      <c r="F525" s="847" t="s">
        <v>33</v>
      </c>
      <c r="G525" s="824" t="s">
        <v>1407</v>
      </c>
      <c r="H525" s="842" t="s">
        <v>5422</v>
      </c>
      <c r="I525" s="826" t="s">
        <v>1407</v>
      </c>
      <c r="J525" s="841" t="s">
        <v>2581</v>
      </c>
      <c r="K525" s="296"/>
      <c r="L525" s="296"/>
      <c r="O525" s="380" t="str">
        <f t="shared" si="16"/>
        <v>23調査結果-指摘内容-5(41)</v>
      </c>
    </row>
    <row r="526" spans="2:15">
      <c r="B526" s="1670" t="str">
        <f>'1_入力シート【基本情報】'!$HR$467</f>
        <v/>
      </c>
      <c r="C526" s="1670" t="str">
        <f t="shared" si="17"/>
        <v/>
      </c>
      <c r="E526" s="851">
        <v>23</v>
      </c>
      <c r="F526" s="847" t="s">
        <v>33</v>
      </c>
      <c r="G526" s="824" t="s">
        <v>1407</v>
      </c>
      <c r="H526" s="842" t="s">
        <v>5422</v>
      </c>
      <c r="I526" s="826" t="s">
        <v>1407</v>
      </c>
      <c r="J526" s="841" t="s">
        <v>2582</v>
      </c>
      <c r="K526" s="296"/>
      <c r="L526" s="296"/>
      <c r="O526" s="380" t="str">
        <f t="shared" si="16"/>
        <v>23調査結果-指摘内容-5(42)</v>
      </c>
    </row>
    <row r="527" spans="2:15">
      <c r="B527" s="1670" t="str">
        <f>'1_入力シート【基本情報】'!$HR$468</f>
        <v/>
      </c>
      <c r="C527" s="1670" t="str">
        <f t="shared" si="17"/>
        <v/>
      </c>
      <c r="E527" s="851">
        <v>23</v>
      </c>
      <c r="F527" s="847" t="s">
        <v>33</v>
      </c>
      <c r="G527" s="824" t="s">
        <v>1407</v>
      </c>
      <c r="H527" s="842" t="s">
        <v>5422</v>
      </c>
      <c r="I527" s="826" t="s">
        <v>1407</v>
      </c>
      <c r="J527" s="841" t="s">
        <v>2583</v>
      </c>
      <c r="K527" s="296"/>
      <c r="L527" s="296"/>
      <c r="O527" s="380" t="str">
        <f t="shared" si="16"/>
        <v>23調査結果-指摘内容-5(43)</v>
      </c>
    </row>
    <row r="528" spans="2:15">
      <c r="B528" s="1670" t="str">
        <f>'1_入力シート【基本情報】'!$HR$469</f>
        <v/>
      </c>
      <c r="C528" s="1670" t="str">
        <f t="shared" si="17"/>
        <v/>
      </c>
      <c r="E528" s="851">
        <v>23</v>
      </c>
      <c r="F528" s="847" t="s">
        <v>33</v>
      </c>
      <c r="G528" s="824" t="s">
        <v>1407</v>
      </c>
      <c r="H528" s="842" t="s">
        <v>5422</v>
      </c>
      <c r="I528" s="826" t="s">
        <v>1407</v>
      </c>
      <c r="J528" s="841" t="s">
        <v>2584</v>
      </c>
      <c r="K528" s="296"/>
      <c r="L528" s="296"/>
      <c r="O528" s="380" t="str">
        <f t="shared" si="16"/>
        <v>23調査結果-指摘内容-5(44)</v>
      </c>
    </row>
    <row r="529" spans="2:15">
      <c r="B529" s="1670" t="str">
        <f>'1_入力シート【基本情報】'!$HR$470</f>
        <v/>
      </c>
      <c r="C529" s="1670" t="str">
        <f t="shared" si="17"/>
        <v/>
      </c>
      <c r="E529" s="851">
        <v>23</v>
      </c>
      <c r="F529" s="847" t="s">
        <v>33</v>
      </c>
      <c r="G529" s="824" t="s">
        <v>1407</v>
      </c>
      <c r="H529" s="842" t="s">
        <v>5422</v>
      </c>
      <c r="I529" s="826" t="s">
        <v>1407</v>
      </c>
      <c r="J529" s="841" t="s">
        <v>2585</v>
      </c>
      <c r="K529" s="296"/>
      <c r="L529" s="296"/>
      <c r="O529" s="380" t="str">
        <f t="shared" ref="O529:O558" si="18">CONCATENATE(E529,F529,G529,H529,I529,J529,K529,L529)</f>
        <v>23調査結果-指摘内容-5(45)</v>
      </c>
    </row>
    <row r="530" spans="2:15">
      <c r="B530" s="1670" t="str">
        <f>'1_入力シート【基本情報】'!$HR$475</f>
        <v/>
      </c>
      <c r="C530" s="1670" t="str">
        <f t="shared" si="17"/>
        <v/>
      </c>
      <c r="E530" s="851">
        <v>23</v>
      </c>
      <c r="F530" s="847" t="s">
        <v>33</v>
      </c>
      <c r="G530" s="824" t="s">
        <v>1407</v>
      </c>
      <c r="H530" s="842" t="s">
        <v>5422</v>
      </c>
      <c r="I530" s="826" t="s">
        <v>1407</v>
      </c>
      <c r="J530" s="839" t="s">
        <v>1309</v>
      </c>
      <c r="K530" s="296"/>
      <c r="L530" s="296"/>
      <c r="O530" s="380" t="str">
        <f t="shared" si="18"/>
        <v>23調査結果-指摘内容-6(1)</v>
      </c>
    </row>
    <row r="531" spans="2:15">
      <c r="B531" s="1670" t="str">
        <f>'1_入力シート【基本情報】'!$HR$476</f>
        <v/>
      </c>
      <c r="C531" s="1670" t="str">
        <f t="shared" si="17"/>
        <v/>
      </c>
      <c r="E531" s="851">
        <v>23</v>
      </c>
      <c r="F531" s="847" t="s">
        <v>33</v>
      </c>
      <c r="G531" s="824" t="s">
        <v>1407</v>
      </c>
      <c r="H531" s="842" t="s">
        <v>5422</v>
      </c>
      <c r="I531" s="826" t="s">
        <v>1407</v>
      </c>
      <c r="J531" s="839" t="s">
        <v>1310</v>
      </c>
      <c r="K531" s="296"/>
      <c r="L531" s="296"/>
      <c r="O531" s="380" t="str">
        <f t="shared" si="18"/>
        <v>23調査結果-指摘内容-6(2)</v>
      </c>
    </row>
    <row r="532" spans="2:15">
      <c r="B532" s="1670" t="str">
        <f>'1_入力シート【基本情報】'!$HR$477</f>
        <v/>
      </c>
      <c r="C532" s="1670" t="str">
        <f t="shared" si="17"/>
        <v/>
      </c>
      <c r="E532" s="851">
        <v>23</v>
      </c>
      <c r="F532" s="847" t="s">
        <v>33</v>
      </c>
      <c r="G532" s="824" t="s">
        <v>1407</v>
      </c>
      <c r="H532" s="842" t="s">
        <v>5422</v>
      </c>
      <c r="I532" s="826" t="s">
        <v>1407</v>
      </c>
      <c r="J532" s="839" t="s">
        <v>1311</v>
      </c>
      <c r="K532" s="296"/>
      <c r="L532" s="296"/>
      <c r="O532" s="380" t="str">
        <f t="shared" si="18"/>
        <v>23調査結果-指摘内容-6(3)</v>
      </c>
    </row>
    <row r="533" spans="2:15">
      <c r="B533" s="1670" t="str">
        <f>'1_入力シート【基本情報】'!$HR$478</f>
        <v/>
      </c>
      <c r="C533" s="1670" t="str">
        <f t="shared" si="17"/>
        <v/>
      </c>
      <c r="E533" s="851">
        <v>23</v>
      </c>
      <c r="F533" s="847" t="s">
        <v>33</v>
      </c>
      <c r="G533" s="824" t="s">
        <v>1407</v>
      </c>
      <c r="H533" s="842" t="s">
        <v>5422</v>
      </c>
      <c r="I533" s="826" t="s">
        <v>1407</v>
      </c>
      <c r="J533" s="839" t="s">
        <v>1312</v>
      </c>
      <c r="K533" s="296"/>
      <c r="L533" s="296"/>
      <c r="O533" s="380" t="str">
        <f t="shared" si="18"/>
        <v>23調査結果-指摘内容-6(4)</v>
      </c>
    </row>
    <row r="534" spans="2:15">
      <c r="B534" s="1670" t="str">
        <f>'1_入力シート【基本情報】'!$HR$479</f>
        <v/>
      </c>
      <c r="C534" s="1670" t="str">
        <f t="shared" si="17"/>
        <v/>
      </c>
      <c r="E534" s="851">
        <v>23</v>
      </c>
      <c r="F534" s="847" t="s">
        <v>33</v>
      </c>
      <c r="G534" s="824" t="s">
        <v>1407</v>
      </c>
      <c r="H534" s="842" t="s">
        <v>5422</v>
      </c>
      <c r="I534" s="826" t="s">
        <v>1407</v>
      </c>
      <c r="J534" s="839" t="s">
        <v>1313</v>
      </c>
      <c r="K534" s="296"/>
      <c r="L534" s="296"/>
      <c r="O534" s="380" t="str">
        <f t="shared" si="18"/>
        <v>23調査結果-指摘内容-6(5)</v>
      </c>
    </row>
    <row r="535" spans="2:15">
      <c r="B535" s="1670" t="str">
        <f>'1_入力シート【基本情報】'!$HR$480</f>
        <v/>
      </c>
      <c r="C535" s="1670" t="str">
        <f t="shared" si="17"/>
        <v/>
      </c>
      <c r="E535" s="851">
        <v>23</v>
      </c>
      <c r="F535" s="847" t="s">
        <v>33</v>
      </c>
      <c r="G535" s="824" t="s">
        <v>1407</v>
      </c>
      <c r="H535" s="842" t="s">
        <v>5422</v>
      </c>
      <c r="I535" s="826" t="s">
        <v>1407</v>
      </c>
      <c r="J535" s="839" t="s">
        <v>1314</v>
      </c>
      <c r="K535" s="296"/>
      <c r="L535" s="296"/>
      <c r="O535" s="380" t="str">
        <f t="shared" si="18"/>
        <v>23調査結果-指摘内容-6(6)</v>
      </c>
    </row>
    <row r="536" spans="2:15">
      <c r="B536" s="1670" t="str">
        <f>'1_入力シート【基本情報】'!$HR$481</f>
        <v/>
      </c>
      <c r="C536" s="1670" t="str">
        <f t="shared" si="17"/>
        <v/>
      </c>
      <c r="E536" s="851">
        <v>23</v>
      </c>
      <c r="F536" s="847" t="s">
        <v>33</v>
      </c>
      <c r="G536" s="824" t="s">
        <v>1407</v>
      </c>
      <c r="H536" s="842" t="s">
        <v>5422</v>
      </c>
      <c r="I536" s="826" t="s">
        <v>1407</v>
      </c>
      <c r="J536" s="839" t="s">
        <v>1315</v>
      </c>
      <c r="K536" s="296"/>
      <c r="L536" s="296"/>
      <c r="O536" s="380" t="str">
        <f t="shared" si="18"/>
        <v>23調査結果-指摘内容-6(7)</v>
      </c>
    </row>
    <row r="537" spans="2:15">
      <c r="B537" s="1670" t="str">
        <f>'1_入力シート【基本情報】'!$HR$482</f>
        <v/>
      </c>
      <c r="C537" s="1670" t="str">
        <f t="shared" si="17"/>
        <v/>
      </c>
      <c r="E537" s="851">
        <v>23</v>
      </c>
      <c r="F537" s="847" t="s">
        <v>33</v>
      </c>
      <c r="G537" s="824" t="s">
        <v>1407</v>
      </c>
      <c r="H537" s="842" t="s">
        <v>5422</v>
      </c>
      <c r="I537" s="826" t="s">
        <v>1407</v>
      </c>
      <c r="J537" s="839" t="s">
        <v>1316</v>
      </c>
      <c r="K537" s="296"/>
      <c r="L537" s="296"/>
      <c r="O537" s="380" t="str">
        <f t="shared" si="18"/>
        <v>23調査結果-指摘内容-6(8)</v>
      </c>
    </row>
    <row r="538" spans="2:15">
      <c r="B538" s="1670" t="str">
        <f>'1_入力シート【基本情報】'!$HR$483</f>
        <v/>
      </c>
      <c r="C538" s="1670" t="str">
        <f t="shared" si="17"/>
        <v/>
      </c>
      <c r="E538" s="851">
        <v>23</v>
      </c>
      <c r="F538" s="847" t="s">
        <v>33</v>
      </c>
      <c r="G538" s="824" t="s">
        <v>1407</v>
      </c>
      <c r="H538" s="842" t="s">
        <v>5422</v>
      </c>
      <c r="I538" s="826" t="s">
        <v>1407</v>
      </c>
      <c r="J538" s="839" t="s">
        <v>1317</v>
      </c>
      <c r="K538" s="296"/>
      <c r="L538" s="296"/>
      <c r="O538" s="380" t="str">
        <f t="shared" si="18"/>
        <v>23調査結果-指摘内容-6(9)</v>
      </c>
    </row>
    <row r="539" spans="2:15">
      <c r="B539" s="1670" t="str">
        <f>'1_入力シート【基本情報】'!$HR$484</f>
        <v/>
      </c>
      <c r="C539" s="1670" t="str">
        <f t="shared" si="17"/>
        <v/>
      </c>
      <c r="E539" s="851">
        <v>23</v>
      </c>
      <c r="F539" s="847" t="s">
        <v>33</v>
      </c>
      <c r="G539" s="824" t="s">
        <v>1407</v>
      </c>
      <c r="H539" s="842" t="s">
        <v>5422</v>
      </c>
      <c r="I539" s="826" t="s">
        <v>1407</v>
      </c>
      <c r="J539" s="839" t="s">
        <v>2586</v>
      </c>
      <c r="K539" s="296"/>
      <c r="L539" s="296"/>
      <c r="O539" s="380" t="str">
        <f t="shared" si="18"/>
        <v>23調査結果-指摘内容-6(10)</v>
      </c>
    </row>
    <row r="540" spans="2:15">
      <c r="B540" s="1670" t="str">
        <f>'1_入力シート【基本情報】'!$HR$485</f>
        <v/>
      </c>
      <c r="C540" s="1670" t="str">
        <f t="shared" si="17"/>
        <v/>
      </c>
      <c r="E540" s="851">
        <v>23</v>
      </c>
      <c r="F540" s="847" t="s">
        <v>33</v>
      </c>
      <c r="G540" s="824" t="s">
        <v>1407</v>
      </c>
      <c r="H540" s="842" t="s">
        <v>5422</v>
      </c>
      <c r="I540" s="826" t="s">
        <v>1407</v>
      </c>
      <c r="J540" s="839" t="s">
        <v>2587</v>
      </c>
      <c r="K540" s="296"/>
      <c r="L540" s="296"/>
      <c r="O540" s="380" t="str">
        <f t="shared" si="18"/>
        <v>23調査結果-指摘内容-6(11)</v>
      </c>
    </row>
    <row r="541" spans="2:15">
      <c r="B541" s="1670" t="str">
        <f>'1_入力シート【基本情報】'!$HR$486</f>
        <v/>
      </c>
      <c r="C541" s="1670" t="str">
        <f t="shared" si="17"/>
        <v/>
      </c>
      <c r="E541" s="851">
        <v>23</v>
      </c>
      <c r="F541" s="847" t="s">
        <v>33</v>
      </c>
      <c r="G541" s="824" t="s">
        <v>1407</v>
      </c>
      <c r="H541" s="842" t="s">
        <v>5422</v>
      </c>
      <c r="I541" s="826" t="s">
        <v>1407</v>
      </c>
      <c r="J541" s="839" t="s">
        <v>2588</v>
      </c>
      <c r="K541" s="296"/>
      <c r="L541" s="296"/>
      <c r="O541" s="380" t="str">
        <f t="shared" si="18"/>
        <v>23調査結果-指摘内容-6(12)</v>
      </c>
    </row>
    <row r="542" spans="2:15">
      <c r="B542" s="1670" t="str">
        <f>'1_入力シート【基本情報】'!$HR$487</f>
        <v/>
      </c>
      <c r="C542" s="1670" t="str">
        <f t="shared" si="17"/>
        <v/>
      </c>
      <c r="E542" s="851">
        <v>23</v>
      </c>
      <c r="F542" s="847" t="s">
        <v>33</v>
      </c>
      <c r="G542" s="824" t="s">
        <v>1407</v>
      </c>
      <c r="H542" s="842" t="s">
        <v>5422</v>
      </c>
      <c r="I542" s="826" t="s">
        <v>1407</v>
      </c>
      <c r="J542" s="839" t="s">
        <v>2589</v>
      </c>
      <c r="K542" s="296"/>
      <c r="L542" s="296"/>
      <c r="O542" s="380" t="str">
        <f t="shared" si="18"/>
        <v>23調査結果-指摘内容-6(13)</v>
      </c>
    </row>
    <row r="543" spans="2:15">
      <c r="B543" s="1670" t="str">
        <f>'1_入力シート【基本情報】'!$HR$488</f>
        <v/>
      </c>
      <c r="C543" s="1670" t="str">
        <f t="shared" si="17"/>
        <v/>
      </c>
      <c r="E543" s="851">
        <v>23</v>
      </c>
      <c r="F543" s="847" t="s">
        <v>33</v>
      </c>
      <c r="G543" s="824" t="s">
        <v>1407</v>
      </c>
      <c r="H543" s="842" t="s">
        <v>5422</v>
      </c>
      <c r="I543" s="826" t="s">
        <v>1407</v>
      </c>
      <c r="J543" s="839" t="s">
        <v>2590</v>
      </c>
      <c r="K543" s="296"/>
      <c r="L543" s="296"/>
      <c r="O543" s="380" t="str">
        <f t="shared" si="18"/>
        <v>23調査結果-指摘内容-6(14)</v>
      </c>
    </row>
    <row r="544" spans="2:15">
      <c r="B544" s="1670" t="str">
        <f>'1_入力シート【基本情報】'!$HR$493</f>
        <v/>
      </c>
      <c r="C544" s="1670" t="str">
        <f t="shared" si="17"/>
        <v/>
      </c>
      <c r="E544" s="851">
        <v>23</v>
      </c>
      <c r="F544" s="847" t="s">
        <v>33</v>
      </c>
      <c r="G544" s="824" t="s">
        <v>1407</v>
      </c>
      <c r="H544" s="842" t="s">
        <v>5422</v>
      </c>
      <c r="I544" s="826" t="s">
        <v>1407</v>
      </c>
      <c r="J544" s="839" t="s">
        <v>1318</v>
      </c>
      <c r="K544" s="296"/>
      <c r="L544" s="296"/>
      <c r="O544" s="380" t="str">
        <f t="shared" si="18"/>
        <v>23調査結果-指摘内容-7(1)</v>
      </c>
    </row>
    <row r="545" spans="2:15">
      <c r="B545" s="1670" t="str">
        <f>'1_入力シート【基本情報】'!$HR$494</f>
        <v/>
      </c>
      <c r="C545" s="1670" t="str">
        <f t="shared" si="17"/>
        <v/>
      </c>
      <c r="E545" s="851">
        <v>23</v>
      </c>
      <c r="F545" s="847" t="s">
        <v>33</v>
      </c>
      <c r="G545" s="824" t="s">
        <v>1407</v>
      </c>
      <c r="H545" s="842" t="s">
        <v>5422</v>
      </c>
      <c r="I545" s="826" t="s">
        <v>1407</v>
      </c>
      <c r="J545" s="839" t="s">
        <v>1319</v>
      </c>
      <c r="K545" s="296"/>
      <c r="L545" s="296"/>
      <c r="O545" s="380" t="str">
        <f t="shared" si="18"/>
        <v>23調査結果-指摘内容-7(2)</v>
      </c>
    </row>
    <row r="546" spans="2:15">
      <c r="B546" s="1670" t="str">
        <f>'1_入力シート【基本情報】'!$HR$495</f>
        <v/>
      </c>
      <c r="C546" s="1670" t="str">
        <f t="shared" si="17"/>
        <v/>
      </c>
      <c r="E546" s="851">
        <v>23</v>
      </c>
      <c r="F546" s="847" t="s">
        <v>33</v>
      </c>
      <c r="G546" s="824" t="s">
        <v>1407</v>
      </c>
      <c r="H546" s="842" t="s">
        <v>5422</v>
      </c>
      <c r="I546" s="826" t="s">
        <v>1407</v>
      </c>
      <c r="J546" s="839" t="s">
        <v>1320</v>
      </c>
      <c r="K546" s="296"/>
      <c r="L546" s="296"/>
      <c r="O546" s="380" t="str">
        <f t="shared" si="18"/>
        <v>23調査結果-指摘内容-7(3)</v>
      </c>
    </row>
    <row r="547" spans="2:15">
      <c r="B547" s="1670" t="str">
        <f>'1_入力シート【基本情報】'!$HR$496</f>
        <v/>
      </c>
      <c r="C547" s="1670" t="str">
        <f t="shared" si="17"/>
        <v/>
      </c>
      <c r="E547" s="851">
        <v>23</v>
      </c>
      <c r="F547" s="847" t="s">
        <v>33</v>
      </c>
      <c r="G547" s="824" t="s">
        <v>1407</v>
      </c>
      <c r="H547" s="842" t="s">
        <v>5422</v>
      </c>
      <c r="I547" s="826" t="s">
        <v>1407</v>
      </c>
      <c r="J547" s="839" t="s">
        <v>1321</v>
      </c>
      <c r="K547" s="296"/>
      <c r="L547" s="296"/>
      <c r="O547" s="380" t="str">
        <f t="shared" si="18"/>
        <v>23調査結果-指摘内容-7(4)</v>
      </c>
    </row>
    <row r="548" spans="2:15">
      <c r="B548" s="1670" t="str">
        <f>'1_入力シート【基本情報】'!$HR$497</f>
        <v/>
      </c>
      <c r="C548" s="1670" t="str">
        <f t="shared" si="17"/>
        <v/>
      </c>
      <c r="E548" s="851">
        <v>23</v>
      </c>
      <c r="F548" s="847" t="s">
        <v>33</v>
      </c>
      <c r="G548" s="824" t="s">
        <v>1407</v>
      </c>
      <c r="H548" s="842" t="s">
        <v>5422</v>
      </c>
      <c r="I548" s="826" t="s">
        <v>1407</v>
      </c>
      <c r="J548" s="839" t="s">
        <v>1322</v>
      </c>
      <c r="K548" s="296"/>
      <c r="L548" s="296"/>
      <c r="O548" s="380" t="str">
        <f t="shared" si="18"/>
        <v>23調査結果-指摘内容-7(5)</v>
      </c>
    </row>
    <row r="549" spans="2:15">
      <c r="B549" s="1670" t="str">
        <f>'1_入力シート【基本情報】'!$HR$498</f>
        <v/>
      </c>
      <c r="C549" s="1670" t="str">
        <f t="shared" si="17"/>
        <v/>
      </c>
      <c r="E549" s="851">
        <v>23</v>
      </c>
      <c r="F549" s="847" t="s">
        <v>33</v>
      </c>
      <c r="G549" s="824" t="s">
        <v>1407</v>
      </c>
      <c r="H549" s="842" t="s">
        <v>5422</v>
      </c>
      <c r="I549" s="826" t="s">
        <v>1407</v>
      </c>
      <c r="J549" s="839" t="s">
        <v>1381</v>
      </c>
      <c r="K549" s="296"/>
      <c r="L549" s="296"/>
      <c r="O549" s="380" t="str">
        <f t="shared" si="18"/>
        <v>23調査結果-指摘内容-7(6)</v>
      </c>
    </row>
    <row r="550" spans="2:15">
      <c r="B550" s="1670" t="str">
        <f>'1_入力シート【基本情報】'!$HR$499</f>
        <v/>
      </c>
      <c r="C550" s="1670" t="str">
        <f t="shared" si="17"/>
        <v/>
      </c>
      <c r="E550" s="851">
        <v>23</v>
      </c>
      <c r="F550" s="847" t="s">
        <v>33</v>
      </c>
      <c r="G550" s="824" t="s">
        <v>1407</v>
      </c>
      <c r="H550" s="842" t="s">
        <v>5422</v>
      </c>
      <c r="I550" s="826" t="s">
        <v>1407</v>
      </c>
      <c r="J550" s="839" t="s">
        <v>1382</v>
      </c>
      <c r="K550" s="296"/>
      <c r="L550" s="296"/>
      <c r="O550" s="380" t="str">
        <f t="shared" si="18"/>
        <v>23調査結果-指摘内容-7(7)</v>
      </c>
    </row>
    <row r="551" spans="2:15">
      <c r="B551" s="1670" t="str">
        <f>'1_入力シート【基本情報】'!$HR$500</f>
        <v/>
      </c>
      <c r="C551" s="1670" t="str">
        <f t="shared" si="17"/>
        <v/>
      </c>
      <c r="E551" s="851">
        <v>23</v>
      </c>
      <c r="F551" s="847" t="s">
        <v>33</v>
      </c>
      <c r="G551" s="824" t="s">
        <v>1407</v>
      </c>
      <c r="H551" s="842" t="s">
        <v>5422</v>
      </c>
      <c r="I551" s="826" t="s">
        <v>1407</v>
      </c>
      <c r="J551" s="839" t="s">
        <v>1383</v>
      </c>
      <c r="K551" s="296"/>
      <c r="L551" s="296"/>
      <c r="O551" s="380" t="str">
        <f t="shared" si="18"/>
        <v>23調査結果-指摘内容-7(8)</v>
      </c>
    </row>
    <row r="552" spans="2:15">
      <c r="B552" s="1670" t="str">
        <f>'1_入力シート【基本情報】'!$HR$501</f>
        <v/>
      </c>
      <c r="C552" s="1670" t="str">
        <f t="shared" si="17"/>
        <v/>
      </c>
      <c r="E552" s="851">
        <v>23</v>
      </c>
      <c r="F552" s="847" t="s">
        <v>33</v>
      </c>
      <c r="G552" s="824" t="s">
        <v>1407</v>
      </c>
      <c r="H552" s="842" t="s">
        <v>5422</v>
      </c>
      <c r="I552" s="826" t="s">
        <v>1407</v>
      </c>
      <c r="J552" s="839" t="s">
        <v>1384</v>
      </c>
      <c r="K552" s="296"/>
      <c r="L552" s="296"/>
      <c r="O552" s="380" t="str">
        <f t="shared" si="18"/>
        <v>23調査結果-指摘内容-7(9)</v>
      </c>
    </row>
    <row r="553" spans="2:15">
      <c r="B553" s="1670" t="str">
        <f>'1_入力シート【基本情報】'!$HR$502</f>
        <v/>
      </c>
      <c r="C553" s="1670" t="str">
        <f t="shared" si="17"/>
        <v/>
      </c>
      <c r="E553" s="851">
        <v>23</v>
      </c>
      <c r="F553" s="847" t="s">
        <v>33</v>
      </c>
      <c r="G553" s="824" t="s">
        <v>1407</v>
      </c>
      <c r="H553" s="842" t="s">
        <v>5422</v>
      </c>
      <c r="I553" s="826" t="s">
        <v>1407</v>
      </c>
      <c r="J553" s="839" t="s">
        <v>1385</v>
      </c>
      <c r="K553" s="296"/>
      <c r="L553" s="296"/>
      <c r="O553" s="380" t="str">
        <f t="shared" si="18"/>
        <v>23調査結果-指摘内容-7(10)</v>
      </c>
    </row>
    <row r="554" spans="2:15">
      <c r="B554" s="1670" t="str">
        <f>'1_入力シート【基本情報】'!$HR$503</f>
        <v/>
      </c>
      <c r="C554" s="1670" t="str">
        <f t="shared" si="17"/>
        <v/>
      </c>
      <c r="E554" s="851">
        <v>23</v>
      </c>
      <c r="F554" s="847" t="s">
        <v>33</v>
      </c>
      <c r="G554" s="824" t="s">
        <v>1407</v>
      </c>
      <c r="H554" s="842" t="s">
        <v>5422</v>
      </c>
      <c r="I554" s="826" t="s">
        <v>1407</v>
      </c>
      <c r="J554" s="839" t="s">
        <v>2591</v>
      </c>
      <c r="K554" s="296"/>
      <c r="L554" s="296"/>
      <c r="O554" s="380" t="str">
        <f t="shared" si="18"/>
        <v>23調査結果-指摘内容-7(11)</v>
      </c>
    </row>
    <row r="555" spans="2:15">
      <c r="B555" s="1670" t="str">
        <f>'1_入力シート【基本情報】'!$HR$504</f>
        <v/>
      </c>
      <c r="C555" s="1670" t="str">
        <f t="shared" si="17"/>
        <v/>
      </c>
      <c r="E555" s="851">
        <v>23</v>
      </c>
      <c r="F555" s="847" t="s">
        <v>33</v>
      </c>
      <c r="G555" s="824" t="s">
        <v>1407</v>
      </c>
      <c r="H555" s="842" t="s">
        <v>5422</v>
      </c>
      <c r="I555" s="826" t="s">
        <v>1407</v>
      </c>
      <c r="J555" s="839" t="s">
        <v>2592</v>
      </c>
      <c r="K555" s="296"/>
      <c r="L555" s="296"/>
      <c r="O555" s="380" t="str">
        <f t="shared" si="18"/>
        <v>23調査結果-指摘内容-7(12)</v>
      </c>
    </row>
    <row r="556" spans="2:15">
      <c r="B556" s="1670" t="str">
        <f>'1_入力シート【基本情報】'!$HR$505</f>
        <v/>
      </c>
      <c r="C556" s="1670" t="str">
        <f t="shared" si="17"/>
        <v/>
      </c>
      <c r="E556" s="851">
        <v>23</v>
      </c>
      <c r="F556" s="847" t="s">
        <v>33</v>
      </c>
      <c r="G556" s="824" t="s">
        <v>1407</v>
      </c>
      <c r="H556" s="842" t="s">
        <v>5422</v>
      </c>
      <c r="I556" s="826" t="s">
        <v>1407</v>
      </c>
      <c r="J556" s="839" t="s">
        <v>2593</v>
      </c>
      <c r="K556" s="296"/>
      <c r="L556" s="296"/>
      <c r="O556" s="380" t="str">
        <f t="shared" si="18"/>
        <v>23調査結果-指摘内容-7(13)</v>
      </c>
    </row>
    <row r="557" spans="2:15">
      <c r="B557" s="1670" t="str">
        <f>'1_入力シート【基本情報】'!$HR$506</f>
        <v/>
      </c>
      <c r="C557" s="1670" t="str">
        <f t="shared" si="17"/>
        <v/>
      </c>
      <c r="E557" s="851">
        <v>23</v>
      </c>
      <c r="F557" s="847" t="s">
        <v>33</v>
      </c>
      <c r="G557" s="824" t="s">
        <v>1407</v>
      </c>
      <c r="H557" s="842" t="s">
        <v>5422</v>
      </c>
      <c r="I557" s="826" t="s">
        <v>1407</v>
      </c>
      <c r="J557" s="839" t="s">
        <v>2594</v>
      </c>
      <c r="K557" s="296"/>
      <c r="L557" s="296"/>
      <c r="O557" s="380" t="str">
        <f t="shared" si="18"/>
        <v>23調査結果-指摘内容-7(14)</v>
      </c>
    </row>
    <row r="558" spans="2:15">
      <c r="B558" s="1670" t="str">
        <f>'1_入力シート【基本情報】'!$HR$507</f>
        <v/>
      </c>
      <c r="C558" s="1670" t="str">
        <f t="shared" si="17"/>
        <v/>
      </c>
      <c r="E558" s="851">
        <v>23</v>
      </c>
      <c r="F558" s="847" t="s">
        <v>33</v>
      </c>
      <c r="G558" s="824" t="s">
        <v>1407</v>
      </c>
      <c r="H558" s="842" t="s">
        <v>5422</v>
      </c>
      <c r="I558" s="826" t="s">
        <v>1407</v>
      </c>
      <c r="J558" s="839" t="s">
        <v>2595</v>
      </c>
      <c r="K558" s="296"/>
      <c r="L558" s="296"/>
      <c r="O558" s="380" t="str">
        <f t="shared" si="18"/>
        <v>23調査結果-指摘内容-7(15)</v>
      </c>
    </row>
    <row r="559" spans="2:15">
      <c r="B559" s="1670" t="str">
        <f>'1_入力シート【基本情報】'!$GZ$307</f>
        <v/>
      </c>
      <c r="C559" s="1670" t="str">
        <f t="shared" si="17"/>
        <v/>
      </c>
      <c r="E559" s="851">
        <v>23</v>
      </c>
      <c r="F559" s="847" t="s">
        <v>33</v>
      </c>
      <c r="G559" s="824" t="s">
        <v>1407</v>
      </c>
      <c r="H559" s="296" t="s">
        <v>536</v>
      </c>
      <c r="I559" s="826" t="s">
        <v>1407</v>
      </c>
      <c r="J559" s="839" t="s">
        <v>1325</v>
      </c>
      <c r="K559" s="296"/>
      <c r="L559" s="296"/>
      <c r="O559" s="380" t="str">
        <f t="shared" ref="O559:O577" si="19">CONCATENATE(E559,F559,G559,H559,I559,J559,K559,L559)</f>
        <v>23調査結果-改善予定-1(1)</v>
      </c>
    </row>
    <row r="560" spans="2:15">
      <c r="B560" s="1670" t="str">
        <f>'1_入力シート【基本情報】'!$GZ$308</f>
        <v/>
      </c>
      <c r="C560" s="1670" t="str">
        <f t="shared" si="17"/>
        <v/>
      </c>
      <c r="E560" s="851">
        <v>23</v>
      </c>
      <c r="F560" s="847" t="s">
        <v>33</v>
      </c>
      <c r="G560" s="824" t="s">
        <v>1407</v>
      </c>
      <c r="H560" s="296" t="s">
        <v>536</v>
      </c>
      <c r="I560" s="826" t="s">
        <v>1407</v>
      </c>
      <c r="J560" s="839" t="s">
        <v>1184</v>
      </c>
      <c r="K560" s="296"/>
      <c r="L560" s="296"/>
      <c r="O560" s="380" t="str">
        <f t="shared" si="19"/>
        <v>23調査結果-改善予定-1(2)</v>
      </c>
    </row>
    <row r="561" spans="2:15">
      <c r="B561" s="1670" t="str">
        <f>'1_入力シート【基本情報】'!$GZ$309</f>
        <v/>
      </c>
      <c r="C561" s="1670" t="str">
        <f t="shared" si="17"/>
        <v/>
      </c>
      <c r="E561" s="851">
        <v>23</v>
      </c>
      <c r="F561" s="847" t="s">
        <v>33</v>
      </c>
      <c r="G561" s="824" t="s">
        <v>1407</v>
      </c>
      <c r="H561" s="296" t="s">
        <v>536</v>
      </c>
      <c r="I561" s="826" t="s">
        <v>1407</v>
      </c>
      <c r="J561" s="839" t="s">
        <v>1190</v>
      </c>
      <c r="K561" s="296"/>
      <c r="L561" s="296"/>
      <c r="O561" s="380" t="str">
        <f t="shared" si="19"/>
        <v>23調査結果-改善予定-1(3)</v>
      </c>
    </row>
    <row r="562" spans="2:15">
      <c r="B562" s="1670" t="str">
        <f>'1_入力シート【基本情報】'!$GZ$310</f>
        <v/>
      </c>
      <c r="C562" s="1670" t="str">
        <f t="shared" si="17"/>
        <v/>
      </c>
      <c r="E562" s="851">
        <v>23</v>
      </c>
      <c r="F562" s="847" t="s">
        <v>33</v>
      </c>
      <c r="G562" s="824" t="s">
        <v>1407</v>
      </c>
      <c r="H562" s="296" t="s">
        <v>536</v>
      </c>
      <c r="I562" s="826" t="s">
        <v>1407</v>
      </c>
      <c r="J562" s="839" t="s">
        <v>1191</v>
      </c>
      <c r="K562" s="296"/>
      <c r="L562" s="296"/>
      <c r="O562" s="380" t="str">
        <f t="shared" si="19"/>
        <v>23調査結果-改善予定-1(4)</v>
      </c>
    </row>
    <row r="563" spans="2:15">
      <c r="B563" s="1670" t="str">
        <f>'1_入力シート【基本情報】'!$GZ$311</f>
        <v/>
      </c>
      <c r="C563" s="1670" t="str">
        <f t="shared" si="17"/>
        <v/>
      </c>
      <c r="E563" s="851">
        <v>23</v>
      </c>
      <c r="F563" s="847" t="s">
        <v>33</v>
      </c>
      <c r="G563" s="824" t="s">
        <v>1407</v>
      </c>
      <c r="H563" s="296" t="s">
        <v>536</v>
      </c>
      <c r="I563" s="826" t="s">
        <v>1407</v>
      </c>
      <c r="J563" s="839" t="s">
        <v>1192</v>
      </c>
      <c r="K563" s="296"/>
      <c r="L563" s="296"/>
      <c r="O563" s="380" t="str">
        <f t="shared" si="19"/>
        <v>23調査結果-改善予定-1(5)</v>
      </c>
    </row>
    <row r="564" spans="2:15">
      <c r="B564" s="1670" t="str">
        <f>'1_入力シート【基本情報】'!$GZ$312</f>
        <v/>
      </c>
      <c r="C564" s="1670" t="str">
        <f t="shared" si="17"/>
        <v/>
      </c>
      <c r="E564" s="851">
        <v>23</v>
      </c>
      <c r="F564" s="847" t="s">
        <v>33</v>
      </c>
      <c r="G564" s="824" t="s">
        <v>1407</v>
      </c>
      <c r="H564" s="296" t="s">
        <v>536</v>
      </c>
      <c r="I564" s="826" t="s">
        <v>1407</v>
      </c>
      <c r="J564" s="839" t="s">
        <v>1193</v>
      </c>
      <c r="K564" s="296"/>
      <c r="L564" s="296"/>
      <c r="O564" s="380" t="str">
        <f t="shared" si="19"/>
        <v>23調査結果-改善予定-1(6)</v>
      </c>
    </row>
    <row r="565" spans="2:15">
      <c r="B565" s="1670" t="str">
        <f>'1_入力シート【基本情報】'!$GZ$313</f>
        <v/>
      </c>
      <c r="C565" s="1670" t="str">
        <f t="shared" si="17"/>
        <v/>
      </c>
      <c r="E565" s="851">
        <v>23</v>
      </c>
      <c r="F565" s="847" t="s">
        <v>33</v>
      </c>
      <c r="G565" s="824" t="s">
        <v>1407</v>
      </c>
      <c r="H565" s="296" t="s">
        <v>536</v>
      </c>
      <c r="I565" s="826" t="s">
        <v>1407</v>
      </c>
      <c r="J565" s="839" t="s">
        <v>1194</v>
      </c>
      <c r="K565" s="296"/>
      <c r="L565" s="296"/>
      <c r="O565" s="380" t="str">
        <f t="shared" si="19"/>
        <v>23調査結果-改善予定-1(7)</v>
      </c>
    </row>
    <row r="566" spans="2:15">
      <c r="B566" s="1670" t="str">
        <f>'1_入力シート【基本情報】'!$GZ$314</f>
        <v/>
      </c>
      <c r="C566" s="1670" t="str">
        <f t="shared" si="17"/>
        <v/>
      </c>
      <c r="E566" s="851">
        <v>23</v>
      </c>
      <c r="F566" s="847" t="s">
        <v>33</v>
      </c>
      <c r="G566" s="824" t="s">
        <v>1407</v>
      </c>
      <c r="H566" s="296" t="s">
        <v>536</v>
      </c>
      <c r="I566" s="826" t="s">
        <v>1407</v>
      </c>
      <c r="J566" s="839" t="s">
        <v>1195</v>
      </c>
      <c r="K566" s="296"/>
      <c r="L566" s="296"/>
      <c r="O566" s="380" t="str">
        <f t="shared" si="19"/>
        <v>23調査結果-改善予定-1(8)</v>
      </c>
    </row>
    <row r="567" spans="2:15">
      <c r="B567" s="1670" t="str">
        <f>'1_入力シート【基本情報】'!$GZ$315</f>
        <v/>
      </c>
      <c r="C567" s="1670" t="str">
        <f t="shared" si="17"/>
        <v/>
      </c>
      <c r="E567" s="851">
        <v>23</v>
      </c>
      <c r="F567" s="847" t="s">
        <v>33</v>
      </c>
      <c r="G567" s="824" t="s">
        <v>1407</v>
      </c>
      <c r="H567" s="296" t="s">
        <v>536</v>
      </c>
      <c r="I567" s="826" t="s">
        <v>1407</v>
      </c>
      <c r="J567" s="839" t="s">
        <v>1196</v>
      </c>
      <c r="K567" s="296"/>
      <c r="L567" s="296"/>
      <c r="O567" s="380" t="str">
        <f t="shared" si="19"/>
        <v>23調査結果-改善予定-1(9)</v>
      </c>
    </row>
    <row r="568" spans="2:15">
      <c r="B568" s="1670" t="str">
        <f>'1_入力シート【基本情報】'!$GZ$316</f>
        <v/>
      </c>
      <c r="C568" s="1670" t="str">
        <f t="shared" si="17"/>
        <v/>
      </c>
      <c r="E568" s="851">
        <v>23</v>
      </c>
      <c r="F568" s="847" t="s">
        <v>33</v>
      </c>
      <c r="G568" s="824" t="s">
        <v>1407</v>
      </c>
      <c r="H568" s="296" t="s">
        <v>536</v>
      </c>
      <c r="I568" s="826" t="s">
        <v>1407</v>
      </c>
      <c r="J568" s="839" t="s">
        <v>2561</v>
      </c>
      <c r="K568" s="296"/>
      <c r="L568" s="296"/>
      <c r="O568" s="380" t="str">
        <f t="shared" si="19"/>
        <v>23調査結果-改善予定-1(10)</v>
      </c>
    </row>
    <row r="569" spans="2:15">
      <c r="B569" s="1670" t="str">
        <f>'1_入力シート【基本情報】'!$GZ$317</f>
        <v/>
      </c>
      <c r="C569" s="1670" t="str">
        <f t="shared" si="17"/>
        <v/>
      </c>
      <c r="E569" s="851">
        <v>23</v>
      </c>
      <c r="F569" s="847" t="s">
        <v>33</v>
      </c>
      <c r="G569" s="824" t="s">
        <v>1407</v>
      </c>
      <c r="H569" s="296" t="s">
        <v>536</v>
      </c>
      <c r="I569" s="826" t="s">
        <v>1407</v>
      </c>
      <c r="J569" s="839" t="s">
        <v>2562</v>
      </c>
      <c r="K569" s="296"/>
      <c r="L569" s="296"/>
      <c r="O569" s="380" t="str">
        <f t="shared" si="19"/>
        <v>23調査結果-改善予定-1(11)</v>
      </c>
    </row>
    <row r="570" spans="2:15">
      <c r="B570" s="1670" t="str">
        <f>'1_入力シート【基本情報】'!$GZ$318</f>
        <v/>
      </c>
      <c r="C570" s="1670" t="str">
        <f t="shared" si="17"/>
        <v/>
      </c>
      <c r="E570" s="851">
        <v>23</v>
      </c>
      <c r="F570" s="847" t="s">
        <v>33</v>
      </c>
      <c r="G570" s="824" t="s">
        <v>1407</v>
      </c>
      <c r="H570" s="296" t="s">
        <v>536</v>
      </c>
      <c r="I570" s="826" t="s">
        <v>1407</v>
      </c>
      <c r="J570" s="839" t="s">
        <v>2563</v>
      </c>
      <c r="K570" s="296"/>
      <c r="L570" s="296"/>
      <c r="O570" s="380" t="str">
        <f t="shared" si="19"/>
        <v>23調査結果-改善予定-1(12)</v>
      </c>
    </row>
    <row r="571" spans="2:15">
      <c r="B571" s="1670" t="str">
        <f>'1_入力シート【基本情報】'!$GZ$319</f>
        <v/>
      </c>
      <c r="C571" s="1670" t="str">
        <f t="shared" si="17"/>
        <v/>
      </c>
      <c r="E571" s="851">
        <v>23</v>
      </c>
      <c r="F571" s="847" t="s">
        <v>33</v>
      </c>
      <c r="G571" s="824" t="s">
        <v>1407</v>
      </c>
      <c r="H571" s="296" t="s">
        <v>536</v>
      </c>
      <c r="I571" s="826" t="s">
        <v>1407</v>
      </c>
      <c r="J571" s="839" t="s">
        <v>2564</v>
      </c>
      <c r="K571" s="296"/>
      <c r="L571" s="296"/>
      <c r="O571" s="380" t="str">
        <f t="shared" si="19"/>
        <v>23調査結果-改善予定-1(13)</v>
      </c>
    </row>
    <row r="572" spans="2:15">
      <c r="B572" s="1670" t="str">
        <f>'1_入力シート【基本情報】'!$GZ$320</f>
        <v/>
      </c>
      <c r="C572" s="1670" t="str">
        <f t="shared" si="17"/>
        <v/>
      </c>
      <c r="E572" s="851">
        <v>23</v>
      </c>
      <c r="F572" s="847" t="s">
        <v>33</v>
      </c>
      <c r="G572" s="824" t="s">
        <v>1407</v>
      </c>
      <c r="H572" s="296" t="s">
        <v>536</v>
      </c>
      <c r="I572" s="826" t="s">
        <v>1407</v>
      </c>
      <c r="J572" s="839" t="s">
        <v>2565</v>
      </c>
      <c r="K572" s="296"/>
      <c r="L572" s="296"/>
      <c r="O572" s="380" t="str">
        <f t="shared" si="19"/>
        <v>23調査結果-改善予定-1(14)</v>
      </c>
    </row>
    <row r="573" spans="2:15">
      <c r="B573" s="1670" t="str">
        <f>'1_入力シート【基本情報】'!$GZ$325</f>
        <v/>
      </c>
      <c r="C573" s="1670" t="str">
        <f t="shared" si="17"/>
        <v/>
      </c>
      <c r="E573" s="851">
        <v>23</v>
      </c>
      <c r="F573" s="847" t="s">
        <v>33</v>
      </c>
      <c r="G573" s="824" t="s">
        <v>1407</v>
      </c>
      <c r="H573" s="296" t="s">
        <v>536</v>
      </c>
      <c r="I573" s="826" t="s">
        <v>1407</v>
      </c>
      <c r="J573" s="839" t="s">
        <v>251</v>
      </c>
      <c r="K573" s="296"/>
      <c r="L573" s="296"/>
      <c r="O573" s="380" t="str">
        <f t="shared" si="19"/>
        <v>23調査結果-改善予定-2(1)</v>
      </c>
    </row>
    <row r="574" spans="2:15">
      <c r="B574" s="1670" t="str">
        <f>'1_入力シート【基本情報】'!$GZ$326</f>
        <v/>
      </c>
      <c r="C574" s="1670" t="str">
        <f t="shared" si="17"/>
        <v/>
      </c>
      <c r="E574" s="851">
        <v>23</v>
      </c>
      <c r="F574" s="847" t="s">
        <v>33</v>
      </c>
      <c r="G574" s="824" t="s">
        <v>1407</v>
      </c>
      <c r="H574" s="296" t="s">
        <v>536</v>
      </c>
      <c r="I574" s="826" t="s">
        <v>1407</v>
      </c>
      <c r="J574" s="839" t="s">
        <v>252</v>
      </c>
      <c r="K574" s="296"/>
      <c r="L574" s="296"/>
      <c r="O574" s="380" t="str">
        <f t="shared" si="19"/>
        <v>23調査結果-改善予定-2(2)</v>
      </c>
    </row>
    <row r="575" spans="2:15">
      <c r="B575" s="1670" t="str">
        <f>'1_入力シート【基本情報】'!$GZ$327</f>
        <v/>
      </c>
      <c r="C575" s="1670" t="str">
        <f t="shared" si="17"/>
        <v/>
      </c>
      <c r="E575" s="851">
        <v>23</v>
      </c>
      <c r="F575" s="847" t="s">
        <v>33</v>
      </c>
      <c r="G575" s="824" t="s">
        <v>1407</v>
      </c>
      <c r="H575" s="296" t="s">
        <v>536</v>
      </c>
      <c r="I575" s="826" t="s">
        <v>1407</v>
      </c>
      <c r="J575" s="839" t="s">
        <v>253</v>
      </c>
      <c r="K575" s="296"/>
      <c r="L575" s="296"/>
      <c r="O575" s="380" t="str">
        <f t="shared" si="19"/>
        <v>23調査結果-改善予定-2(3)</v>
      </c>
    </row>
    <row r="576" spans="2:15">
      <c r="B576" s="1670" t="str">
        <f>'1_入力シート【基本情報】'!$GZ$328</f>
        <v/>
      </c>
      <c r="C576" s="1670" t="str">
        <f t="shared" si="17"/>
        <v/>
      </c>
      <c r="E576" s="851">
        <v>23</v>
      </c>
      <c r="F576" s="847" t="s">
        <v>33</v>
      </c>
      <c r="G576" s="824" t="s">
        <v>1407</v>
      </c>
      <c r="H576" s="296" t="s">
        <v>536</v>
      </c>
      <c r="I576" s="826" t="s">
        <v>1407</v>
      </c>
      <c r="J576" s="839" t="s">
        <v>254</v>
      </c>
      <c r="K576" s="296"/>
      <c r="L576" s="296"/>
      <c r="O576" s="380" t="str">
        <f t="shared" si="19"/>
        <v>23調査結果-改善予定-2(4)</v>
      </c>
    </row>
    <row r="577" spans="2:15">
      <c r="B577" s="1670" t="str">
        <f>'1_入力シート【基本情報】'!$GZ$329</f>
        <v/>
      </c>
      <c r="C577" s="1670" t="str">
        <f t="shared" si="17"/>
        <v/>
      </c>
      <c r="E577" s="851">
        <v>23</v>
      </c>
      <c r="F577" s="847" t="s">
        <v>33</v>
      </c>
      <c r="G577" s="824" t="s">
        <v>1407</v>
      </c>
      <c r="H577" s="296" t="s">
        <v>536</v>
      </c>
      <c r="I577" s="826" t="s">
        <v>1407</v>
      </c>
      <c r="J577" s="839" t="s">
        <v>255</v>
      </c>
      <c r="K577" s="296"/>
      <c r="L577" s="296"/>
      <c r="O577" s="380" t="str">
        <f t="shared" si="19"/>
        <v>23調査結果-改善予定-2(5)</v>
      </c>
    </row>
    <row r="578" spans="2:15">
      <c r="B578" s="1670" t="str">
        <f>'1_入力シート【基本情報】'!$GZ$330</f>
        <v/>
      </c>
      <c r="C578" s="1670" t="str">
        <f t="shared" si="17"/>
        <v/>
      </c>
      <c r="E578" s="851">
        <v>23</v>
      </c>
      <c r="F578" s="847" t="s">
        <v>33</v>
      </c>
      <c r="G578" s="824" t="s">
        <v>1407</v>
      </c>
      <c r="H578" s="296" t="s">
        <v>536</v>
      </c>
      <c r="I578" s="826" t="s">
        <v>1407</v>
      </c>
      <c r="J578" s="839" t="s">
        <v>256</v>
      </c>
      <c r="K578" s="296"/>
      <c r="L578" s="296"/>
      <c r="O578" s="380" t="str">
        <f t="shared" ref="O578:O641" si="20">CONCATENATE(E578,F578,G578,H578,I578,J578,K578,L578)</f>
        <v>23調査結果-改善予定-2(6)</v>
      </c>
    </row>
    <row r="579" spans="2:15">
      <c r="B579" s="1670" t="str">
        <f>'1_入力シート【基本情報】'!$GZ$331</f>
        <v/>
      </c>
      <c r="C579" s="1670" t="str">
        <f t="shared" si="17"/>
        <v/>
      </c>
      <c r="E579" s="851">
        <v>23</v>
      </c>
      <c r="F579" s="847" t="s">
        <v>33</v>
      </c>
      <c r="G579" s="824" t="s">
        <v>1407</v>
      </c>
      <c r="H579" s="296" t="s">
        <v>536</v>
      </c>
      <c r="I579" s="826" t="s">
        <v>1407</v>
      </c>
      <c r="J579" s="839" t="s">
        <v>257</v>
      </c>
      <c r="K579" s="296"/>
      <c r="L579" s="296"/>
      <c r="O579" s="380" t="str">
        <f t="shared" si="20"/>
        <v>23調査結果-改善予定-2(7)</v>
      </c>
    </row>
    <row r="580" spans="2:15">
      <c r="B580" s="1670" t="str">
        <f>'1_入力シート【基本情報】'!$GZ$332</f>
        <v/>
      </c>
      <c r="C580" s="1670" t="str">
        <f t="shared" si="17"/>
        <v/>
      </c>
      <c r="E580" s="851">
        <v>23</v>
      </c>
      <c r="F580" s="847" t="s">
        <v>33</v>
      </c>
      <c r="G580" s="824" t="s">
        <v>1407</v>
      </c>
      <c r="H580" s="296" t="s">
        <v>536</v>
      </c>
      <c r="I580" s="826" t="s">
        <v>1407</v>
      </c>
      <c r="J580" s="839" t="s">
        <v>258</v>
      </c>
      <c r="K580" s="296"/>
      <c r="L580" s="296"/>
      <c r="O580" s="380" t="str">
        <f t="shared" si="20"/>
        <v>23調査結果-改善予定-2(8)</v>
      </c>
    </row>
    <row r="581" spans="2:15">
      <c r="B581" s="1670" t="str">
        <f>'1_入力シート【基本情報】'!$GZ$333</f>
        <v/>
      </c>
      <c r="C581" s="1670" t="str">
        <f t="shared" ref="C581:C644" si="21">SUBSTITUTE(B581,CHAR(10),"")</f>
        <v/>
      </c>
      <c r="E581" s="851">
        <v>23</v>
      </c>
      <c r="F581" s="847" t="s">
        <v>33</v>
      </c>
      <c r="G581" s="824" t="s">
        <v>1407</v>
      </c>
      <c r="H581" s="296" t="s">
        <v>536</v>
      </c>
      <c r="I581" s="826" t="s">
        <v>1407</v>
      </c>
      <c r="J581" s="839" t="s">
        <v>259</v>
      </c>
      <c r="K581" s="296"/>
      <c r="L581" s="296"/>
      <c r="O581" s="380" t="str">
        <f t="shared" si="20"/>
        <v>23調査結果-改善予定-2(9)</v>
      </c>
    </row>
    <row r="582" spans="2:15">
      <c r="B582" s="1670" t="str">
        <f>'1_入力シート【基本情報】'!$GZ$334</f>
        <v/>
      </c>
      <c r="C582" s="1670" t="str">
        <f t="shared" si="21"/>
        <v/>
      </c>
      <c r="E582" s="851">
        <v>23</v>
      </c>
      <c r="F582" s="847" t="s">
        <v>33</v>
      </c>
      <c r="G582" s="824" t="s">
        <v>1407</v>
      </c>
      <c r="H582" s="296" t="s">
        <v>536</v>
      </c>
      <c r="I582" s="826" t="s">
        <v>1407</v>
      </c>
      <c r="J582" s="839" t="s">
        <v>260</v>
      </c>
      <c r="K582" s="296"/>
      <c r="L582" s="296"/>
      <c r="O582" s="380" t="str">
        <f t="shared" si="20"/>
        <v>23調査結果-改善予定-2(10)</v>
      </c>
    </row>
    <row r="583" spans="2:15">
      <c r="B583" s="1670" t="str">
        <f>'1_入力シート【基本情報】'!$GZ$335</f>
        <v/>
      </c>
      <c r="C583" s="1670" t="str">
        <f t="shared" si="21"/>
        <v/>
      </c>
      <c r="E583" s="851">
        <v>23</v>
      </c>
      <c r="F583" s="847" t="s">
        <v>33</v>
      </c>
      <c r="G583" s="824" t="s">
        <v>1407</v>
      </c>
      <c r="H583" s="296" t="s">
        <v>536</v>
      </c>
      <c r="I583" s="826" t="s">
        <v>1407</v>
      </c>
      <c r="J583" s="839" t="s">
        <v>261</v>
      </c>
      <c r="K583" s="296"/>
      <c r="L583" s="296"/>
      <c r="O583" s="380" t="str">
        <f t="shared" si="20"/>
        <v>23調査結果-改善予定-2(11)</v>
      </c>
    </row>
    <row r="584" spans="2:15">
      <c r="B584" s="1670" t="str">
        <f>'1_入力シート【基本情報】'!$GZ$336</f>
        <v/>
      </c>
      <c r="C584" s="1670" t="str">
        <f t="shared" si="21"/>
        <v/>
      </c>
      <c r="E584" s="851">
        <v>23</v>
      </c>
      <c r="F584" s="847" t="s">
        <v>33</v>
      </c>
      <c r="G584" s="824" t="s">
        <v>1407</v>
      </c>
      <c r="H584" s="296" t="s">
        <v>536</v>
      </c>
      <c r="I584" s="826" t="s">
        <v>1407</v>
      </c>
      <c r="J584" s="839" t="s">
        <v>262</v>
      </c>
      <c r="K584" s="296"/>
      <c r="L584" s="296"/>
      <c r="O584" s="380" t="str">
        <f t="shared" si="20"/>
        <v>23調査結果-改善予定-2(12)</v>
      </c>
    </row>
    <row r="585" spans="2:15">
      <c r="B585" s="1670" t="str">
        <f>'1_入力シート【基本情報】'!$GZ$337</f>
        <v/>
      </c>
      <c r="C585" s="1670" t="str">
        <f t="shared" si="21"/>
        <v/>
      </c>
      <c r="E585" s="851">
        <v>23</v>
      </c>
      <c r="F585" s="847" t="s">
        <v>33</v>
      </c>
      <c r="G585" s="824" t="s">
        <v>1407</v>
      </c>
      <c r="H585" s="296" t="s">
        <v>536</v>
      </c>
      <c r="I585" s="826" t="s">
        <v>1407</v>
      </c>
      <c r="J585" s="839" t="s">
        <v>301</v>
      </c>
      <c r="K585" s="296"/>
      <c r="L585" s="296"/>
      <c r="O585" s="380" t="str">
        <f t="shared" si="20"/>
        <v>23調査結果-改善予定-2(13)</v>
      </c>
    </row>
    <row r="586" spans="2:15">
      <c r="B586" s="1670" t="str">
        <f>'1_入力シート【基本情報】'!$GZ$338</f>
        <v/>
      </c>
      <c r="C586" s="1670" t="str">
        <f t="shared" si="21"/>
        <v/>
      </c>
      <c r="E586" s="851">
        <v>23</v>
      </c>
      <c r="F586" s="847" t="s">
        <v>33</v>
      </c>
      <c r="G586" s="824" t="s">
        <v>1407</v>
      </c>
      <c r="H586" s="296" t="s">
        <v>536</v>
      </c>
      <c r="I586" s="826" t="s">
        <v>1407</v>
      </c>
      <c r="J586" s="839" t="s">
        <v>302</v>
      </c>
      <c r="K586" s="296"/>
      <c r="L586" s="296"/>
      <c r="O586" s="380" t="str">
        <f t="shared" si="20"/>
        <v>23調査結果-改善予定-2(14)</v>
      </c>
    </row>
    <row r="587" spans="2:15">
      <c r="B587" s="1670" t="str">
        <f>'1_入力シート【基本情報】'!$GZ$339</f>
        <v/>
      </c>
      <c r="C587" s="1670" t="str">
        <f t="shared" si="21"/>
        <v/>
      </c>
      <c r="E587" s="851">
        <v>23</v>
      </c>
      <c r="F587" s="847" t="s">
        <v>33</v>
      </c>
      <c r="G587" s="824" t="s">
        <v>1407</v>
      </c>
      <c r="H587" s="296" t="s">
        <v>536</v>
      </c>
      <c r="I587" s="826" t="s">
        <v>1407</v>
      </c>
      <c r="J587" s="839" t="s">
        <v>303</v>
      </c>
      <c r="K587" s="296"/>
      <c r="L587" s="296"/>
      <c r="O587" s="380" t="str">
        <f t="shared" si="20"/>
        <v>23調査結果-改善予定-2(15)</v>
      </c>
    </row>
    <row r="588" spans="2:15">
      <c r="B588" s="1670" t="str">
        <f>'1_入力シート【基本情報】'!$GZ$340</f>
        <v/>
      </c>
      <c r="C588" s="1670" t="str">
        <f t="shared" si="21"/>
        <v/>
      </c>
      <c r="E588" s="851">
        <v>23</v>
      </c>
      <c r="F588" s="847" t="s">
        <v>33</v>
      </c>
      <c r="G588" s="824" t="s">
        <v>1407</v>
      </c>
      <c r="H588" s="296" t="s">
        <v>536</v>
      </c>
      <c r="I588" s="826" t="s">
        <v>1407</v>
      </c>
      <c r="J588" s="839" t="s">
        <v>304</v>
      </c>
      <c r="K588" s="296"/>
      <c r="L588" s="296"/>
      <c r="O588" s="380" t="str">
        <f t="shared" si="20"/>
        <v>23調査結果-改善予定-2(16)</v>
      </c>
    </row>
    <row r="589" spans="2:15">
      <c r="B589" s="1670" t="str">
        <f>'1_入力シート【基本情報】'!$GZ$341</f>
        <v/>
      </c>
      <c r="C589" s="1670" t="str">
        <f t="shared" si="21"/>
        <v/>
      </c>
      <c r="E589" s="851">
        <v>23</v>
      </c>
      <c r="F589" s="847" t="s">
        <v>33</v>
      </c>
      <c r="G589" s="824" t="s">
        <v>1407</v>
      </c>
      <c r="H589" s="296" t="s">
        <v>536</v>
      </c>
      <c r="I589" s="826" t="s">
        <v>1407</v>
      </c>
      <c r="J589" s="839" t="s">
        <v>305</v>
      </c>
      <c r="K589" s="296"/>
      <c r="L589" s="296"/>
      <c r="O589" s="380" t="str">
        <f t="shared" si="20"/>
        <v>23調査結果-改善予定-2(17)</v>
      </c>
    </row>
    <row r="590" spans="2:15">
      <c r="B590" s="1670" t="str">
        <f>'1_入力シート【基本情報】'!$GZ$342</f>
        <v/>
      </c>
      <c r="C590" s="1670" t="str">
        <f t="shared" si="21"/>
        <v/>
      </c>
      <c r="E590" s="851">
        <v>23</v>
      </c>
      <c r="F590" s="847" t="s">
        <v>33</v>
      </c>
      <c r="G590" s="824" t="s">
        <v>1407</v>
      </c>
      <c r="H590" s="296" t="s">
        <v>536</v>
      </c>
      <c r="I590" s="826" t="s">
        <v>1407</v>
      </c>
      <c r="J590" s="839" t="s">
        <v>306</v>
      </c>
      <c r="K590" s="296"/>
      <c r="L590" s="296"/>
      <c r="O590" s="380" t="str">
        <f t="shared" si="20"/>
        <v>23調査結果-改善予定-2(18)</v>
      </c>
    </row>
    <row r="591" spans="2:15">
      <c r="B591" s="1670" t="str">
        <f>'1_入力シート【基本情報】'!$GZ$343</f>
        <v/>
      </c>
      <c r="C591" s="1670" t="str">
        <f t="shared" si="21"/>
        <v/>
      </c>
      <c r="E591" s="851">
        <v>23</v>
      </c>
      <c r="F591" s="847" t="s">
        <v>33</v>
      </c>
      <c r="G591" s="824" t="s">
        <v>1407</v>
      </c>
      <c r="H591" s="296" t="s">
        <v>536</v>
      </c>
      <c r="I591" s="826" t="s">
        <v>1407</v>
      </c>
      <c r="J591" s="839" t="s">
        <v>2566</v>
      </c>
      <c r="K591" s="296"/>
      <c r="L591" s="296"/>
      <c r="O591" s="380" t="str">
        <f t="shared" si="20"/>
        <v>23調査結果-改善予定-2(19)</v>
      </c>
    </row>
    <row r="592" spans="2:15">
      <c r="B592" s="1670" t="str">
        <f>'1_入力シート【基本情報】'!$GZ$344</f>
        <v/>
      </c>
      <c r="C592" s="1670" t="str">
        <f t="shared" si="21"/>
        <v/>
      </c>
      <c r="E592" s="851">
        <v>23</v>
      </c>
      <c r="F592" s="847" t="s">
        <v>33</v>
      </c>
      <c r="G592" s="824" t="s">
        <v>1407</v>
      </c>
      <c r="H592" s="296" t="s">
        <v>536</v>
      </c>
      <c r="I592" s="826" t="s">
        <v>1407</v>
      </c>
      <c r="J592" s="839" t="s">
        <v>2567</v>
      </c>
      <c r="K592" s="296"/>
      <c r="L592" s="296"/>
      <c r="O592" s="380" t="str">
        <f t="shared" si="20"/>
        <v>23調査結果-改善予定-220)</v>
      </c>
    </row>
    <row r="593" spans="2:15">
      <c r="B593" s="1670" t="str">
        <f>'1_入力シート【基本情報】'!$GZ$345</f>
        <v/>
      </c>
      <c r="C593" s="1670" t="str">
        <f t="shared" si="21"/>
        <v/>
      </c>
      <c r="E593" s="851">
        <v>23</v>
      </c>
      <c r="F593" s="847" t="s">
        <v>33</v>
      </c>
      <c r="G593" s="824" t="s">
        <v>1407</v>
      </c>
      <c r="H593" s="296" t="s">
        <v>536</v>
      </c>
      <c r="I593" s="826" t="s">
        <v>1407</v>
      </c>
      <c r="J593" s="839" t="s">
        <v>2568</v>
      </c>
      <c r="K593" s="296"/>
      <c r="L593" s="296"/>
      <c r="O593" s="380" t="str">
        <f t="shared" si="20"/>
        <v>23調査結果-改善予定-2(21)</v>
      </c>
    </row>
    <row r="594" spans="2:15">
      <c r="B594" s="1670" t="str">
        <f>'1_入力シート【基本情報】'!$GZ$346</f>
        <v/>
      </c>
      <c r="C594" s="1670" t="str">
        <f t="shared" si="21"/>
        <v/>
      </c>
      <c r="E594" s="851">
        <v>23</v>
      </c>
      <c r="F594" s="847" t="s">
        <v>33</v>
      </c>
      <c r="G594" s="824" t="s">
        <v>1407</v>
      </c>
      <c r="H594" s="296" t="s">
        <v>536</v>
      </c>
      <c r="I594" s="826" t="s">
        <v>1407</v>
      </c>
      <c r="J594" s="839" t="s">
        <v>2569</v>
      </c>
      <c r="K594" s="296"/>
      <c r="L594" s="296"/>
      <c r="O594" s="380" t="str">
        <f t="shared" si="20"/>
        <v>23調査結果-改善予定-2(22)</v>
      </c>
    </row>
    <row r="595" spans="2:15">
      <c r="B595" s="1670" t="str">
        <f>'1_入力シート【基本情報】'!$GZ$347</f>
        <v/>
      </c>
      <c r="C595" s="1670" t="str">
        <f t="shared" si="21"/>
        <v/>
      </c>
      <c r="E595" s="851">
        <v>23</v>
      </c>
      <c r="F595" s="847" t="s">
        <v>33</v>
      </c>
      <c r="G595" s="824" t="s">
        <v>1407</v>
      </c>
      <c r="H595" s="296" t="s">
        <v>536</v>
      </c>
      <c r="I595" s="826" t="s">
        <v>1407</v>
      </c>
      <c r="J595" s="839" t="s">
        <v>2570</v>
      </c>
      <c r="K595" s="296"/>
      <c r="L595" s="296"/>
      <c r="O595" s="380" t="str">
        <f t="shared" si="20"/>
        <v>23調査結果-改善予定-2(23)</v>
      </c>
    </row>
    <row r="596" spans="2:15">
      <c r="B596" s="1670" t="str">
        <f>'1_入力シート【基本情報】'!$GZ$352</f>
        <v/>
      </c>
      <c r="C596" s="1670" t="str">
        <f t="shared" si="21"/>
        <v/>
      </c>
      <c r="E596" s="851">
        <v>23</v>
      </c>
      <c r="F596" s="847" t="s">
        <v>33</v>
      </c>
      <c r="G596" s="824" t="s">
        <v>1407</v>
      </c>
      <c r="H596" s="296" t="s">
        <v>536</v>
      </c>
      <c r="I596" s="826" t="s">
        <v>1407</v>
      </c>
      <c r="J596" s="840" t="s">
        <v>307</v>
      </c>
      <c r="K596" s="296"/>
      <c r="L596" s="296"/>
      <c r="O596" s="380" t="str">
        <f t="shared" si="20"/>
        <v>23調査結果-改善予定-3(1)</v>
      </c>
    </row>
    <row r="597" spans="2:15">
      <c r="B597" s="1670" t="str">
        <f>'1_入力シート【基本情報】'!$GZ$353</f>
        <v/>
      </c>
      <c r="C597" s="1670" t="str">
        <f t="shared" si="21"/>
        <v/>
      </c>
      <c r="E597" s="851">
        <v>23</v>
      </c>
      <c r="F597" s="847" t="s">
        <v>33</v>
      </c>
      <c r="G597" s="824" t="s">
        <v>1407</v>
      </c>
      <c r="H597" s="296" t="s">
        <v>536</v>
      </c>
      <c r="I597" s="826" t="s">
        <v>1407</v>
      </c>
      <c r="J597" s="840" t="s">
        <v>308</v>
      </c>
      <c r="K597" s="296"/>
      <c r="L597" s="296"/>
      <c r="O597" s="380" t="str">
        <f t="shared" si="20"/>
        <v>23調査結果-改善予定-3(2)</v>
      </c>
    </row>
    <row r="598" spans="2:15">
      <c r="B598" s="1670" t="str">
        <f>'1_入力シート【基本情報】'!$GZ$354</f>
        <v/>
      </c>
      <c r="C598" s="1670" t="str">
        <f t="shared" si="21"/>
        <v/>
      </c>
      <c r="E598" s="851">
        <v>23</v>
      </c>
      <c r="F598" s="847" t="s">
        <v>33</v>
      </c>
      <c r="G598" s="824" t="s">
        <v>1407</v>
      </c>
      <c r="H598" s="296" t="s">
        <v>536</v>
      </c>
      <c r="I598" s="826" t="s">
        <v>1407</v>
      </c>
      <c r="J598" s="840" t="s">
        <v>309</v>
      </c>
      <c r="K598" s="296"/>
      <c r="L598" s="296"/>
      <c r="O598" s="380" t="str">
        <f t="shared" si="20"/>
        <v>23調査結果-改善予定-3(3)</v>
      </c>
    </row>
    <row r="599" spans="2:15">
      <c r="B599" s="1670" t="str">
        <f>'1_入力シート【基本情報】'!$GZ$355</f>
        <v/>
      </c>
      <c r="C599" s="1670" t="str">
        <f t="shared" si="21"/>
        <v/>
      </c>
      <c r="E599" s="851">
        <v>23</v>
      </c>
      <c r="F599" s="847" t="s">
        <v>33</v>
      </c>
      <c r="G599" s="824" t="s">
        <v>1407</v>
      </c>
      <c r="H599" s="296" t="s">
        <v>536</v>
      </c>
      <c r="I599" s="826" t="s">
        <v>1407</v>
      </c>
      <c r="J599" s="840" t="s">
        <v>310</v>
      </c>
      <c r="K599" s="296"/>
      <c r="L599" s="296"/>
      <c r="O599" s="380" t="str">
        <f t="shared" si="20"/>
        <v>23調査結果-改善予定-3(4)</v>
      </c>
    </row>
    <row r="600" spans="2:15">
      <c r="B600" s="1670" t="str">
        <f>'1_入力シート【基本情報】'!$GZ$356</f>
        <v/>
      </c>
      <c r="C600" s="1670" t="str">
        <f t="shared" si="21"/>
        <v/>
      </c>
      <c r="E600" s="851">
        <v>23</v>
      </c>
      <c r="F600" s="847" t="s">
        <v>33</v>
      </c>
      <c r="G600" s="824" t="s">
        <v>1407</v>
      </c>
      <c r="H600" s="296" t="s">
        <v>536</v>
      </c>
      <c r="I600" s="826" t="s">
        <v>1407</v>
      </c>
      <c r="J600" s="840" t="s">
        <v>311</v>
      </c>
      <c r="K600" s="296"/>
      <c r="L600" s="296"/>
      <c r="O600" s="380" t="str">
        <f t="shared" si="20"/>
        <v>23調査結果-改善予定-3(5)</v>
      </c>
    </row>
    <row r="601" spans="2:15">
      <c r="B601" s="1670" t="str">
        <f>'1_入力シート【基本情報】'!$GZ$357</f>
        <v/>
      </c>
      <c r="C601" s="1670" t="str">
        <f t="shared" si="21"/>
        <v/>
      </c>
      <c r="E601" s="851">
        <v>23</v>
      </c>
      <c r="F601" s="847" t="s">
        <v>33</v>
      </c>
      <c r="G601" s="824" t="s">
        <v>1407</v>
      </c>
      <c r="H601" s="296" t="s">
        <v>536</v>
      </c>
      <c r="I601" s="826" t="s">
        <v>1407</v>
      </c>
      <c r="J601" s="840" t="s">
        <v>312</v>
      </c>
      <c r="K601" s="296"/>
      <c r="L601" s="296"/>
      <c r="O601" s="380" t="str">
        <f t="shared" si="20"/>
        <v>23調査結果-改善予定-3(6)</v>
      </c>
    </row>
    <row r="602" spans="2:15">
      <c r="B602" s="1670" t="str">
        <f>'1_入力シート【基本情報】'!$GZ$358</f>
        <v/>
      </c>
      <c r="C602" s="1670" t="str">
        <f t="shared" si="21"/>
        <v/>
      </c>
      <c r="E602" s="851">
        <v>23</v>
      </c>
      <c r="F602" s="847" t="s">
        <v>33</v>
      </c>
      <c r="G602" s="824" t="s">
        <v>1407</v>
      </c>
      <c r="H602" s="296" t="s">
        <v>536</v>
      </c>
      <c r="I602" s="826" t="s">
        <v>1407</v>
      </c>
      <c r="J602" s="840" t="s">
        <v>313</v>
      </c>
      <c r="K602" s="296"/>
      <c r="L602" s="296"/>
      <c r="O602" s="380" t="str">
        <f t="shared" si="20"/>
        <v>23調査結果-改善予定-3(7)</v>
      </c>
    </row>
    <row r="603" spans="2:15">
      <c r="B603" s="1670" t="str">
        <f>'1_入力シート【基本情報】'!$GZ$359</f>
        <v/>
      </c>
      <c r="C603" s="1670" t="str">
        <f t="shared" si="21"/>
        <v/>
      </c>
      <c r="E603" s="851">
        <v>23</v>
      </c>
      <c r="F603" s="847" t="s">
        <v>33</v>
      </c>
      <c r="G603" s="824" t="s">
        <v>1407</v>
      </c>
      <c r="H603" s="296" t="s">
        <v>536</v>
      </c>
      <c r="I603" s="826" t="s">
        <v>1407</v>
      </c>
      <c r="J603" s="840" t="s">
        <v>314</v>
      </c>
      <c r="K603" s="296"/>
      <c r="L603" s="296"/>
      <c r="O603" s="380" t="str">
        <f t="shared" si="20"/>
        <v>23調査結果-改善予定-3(8)</v>
      </c>
    </row>
    <row r="604" spans="2:15">
      <c r="B604" s="1670" t="str">
        <f>'1_入力シート【基本情報】'!$GZ$360</f>
        <v/>
      </c>
      <c r="C604" s="1670" t="str">
        <f t="shared" si="21"/>
        <v/>
      </c>
      <c r="E604" s="851">
        <v>23</v>
      </c>
      <c r="F604" s="847" t="s">
        <v>33</v>
      </c>
      <c r="G604" s="824" t="s">
        <v>1407</v>
      </c>
      <c r="H604" s="296" t="s">
        <v>536</v>
      </c>
      <c r="I604" s="826" t="s">
        <v>1407</v>
      </c>
      <c r="J604" s="840" t="s">
        <v>315</v>
      </c>
      <c r="K604" s="296"/>
      <c r="L604" s="296"/>
      <c r="O604" s="380" t="str">
        <f t="shared" si="20"/>
        <v>23調査結果-改善予定-3(9)</v>
      </c>
    </row>
    <row r="605" spans="2:15">
      <c r="B605" s="1670" t="str">
        <f>'1_入力シート【基本情報】'!$GZ$361</f>
        <v/>
      </c>
      <c r="C605" s="1670" t="str">
        <f t="shared" si="21"/>
        <v/>
      </c>
      <c r="E605" s="851">
        <v>23</v>
      </c>
      <c r="F605" s="847" t="s">
        <v>33</v>
      </c>
      <c r="G605" s="824" t="s">
        <v>1407</v>
      </c>
      <c r="H605" s="296" t="s">
        <v>536</v>
      </c>
      <c r="I605" s="826" t="s">
        <v>1407</v>
      </c>
      <c r="J605" s="840" t="s">
        <v>2571</v>
      </c>
      <c r="K605" s="296"/>
      <c r="L605" s="296"/>
      <c r="O605" s="380" t="str">
        <f t="shared" si="20"/>
        <v>23調査結果-改善予定-3(10)</v>
      </c>
    </row>
    <row r="606" spans="2:15">
      <c r="B606" s="1670" t="str">
        <f>'1_入力シート【基本情報】'!$GZ$362</f>
        <v/>
      </c>
      <c r="C606" s="1670" t="str">
        <f t="shared" si="21"/>
        <v/>
      </c>
      <c r="E606" s="851">
        <v>23</v>
      </c>
      <c r="F606" s="847" t="s">
        <v>33</v>
      </c>
      <c r="G606" s="824" t="s">
        <v>1407</v>
      </c>
      <c r="H606" s="296" t="s">
        <v>536</v>
      </c>
      <c r="I606" s="826" t="s">
        <v>1407</v>
      </c>
      <c r="J606" s="840" t="s">
        <v>2572</v>
      </c>
      <c r="K606" s="296"/>
      <c r="L606" s="296"/>
      <c r="O606" s="380" t="str">
        <f t="shared" si="20"/>
        <v>23調査結果-改善予定-3(11)</v>
      </c>
    </row>
    <row r="607" spans="2:15">
      <c r="B607" s="1670" t="str">
        <f>'1_入力シート【基本情報】'!$GZ$363</f>
        <v/>
      </c>
      <c r="C607" s="1670" t="str">
        <f t="shared" si="21"/>
        <v/>
      </c>
      <c r="E607" s="851">
        <v>23</v>
      </c>
      <c r="F607" s="847" t="s">
        <v>33</v>
      </c>
      <c r="G607" s="824" t="s">
        <v>1407</v>
      </c>
      <c r="H607" s="296" t="s">
        <v>536</v>
      </c>
      <c r="I607" s="826" t="s">
        <v>1407</v>
      </c>
      <c r="J607" s="840" t="s">
        <v>2573</v>
      </c>
      <c r="K607" s="296"/>
      <c r="L607" s="296"/>
      <c r="O607" s="380" t="str">
        <f t="shared" si="20"/>
        <v>23調査結果-改善予定-3(12)</v>
      </c>
    </row>
    <row r="608" spans="2:15">
      <c r="B608" s="1670" t="str">
        <f>'1_入力シート【基本情報】'!$GZ$364</f>
        <v/>
      </c>
      <c r="C608" s="1670" t="str">
        <f t="shared" si="21"/>
        <v/>
      </c>
      <c r="E608" s="851">
        <v>23</v>
      </c>
      <c r="F608" s="847" t="s">
        <v>33</v>
      </c>
      <c r="G608" s="824" t="s">
        <v>1407</v>
      </c>
      <c r="H608" s="296" t="s">
        <v>536</v>
      </c>
      <c r="I608" s="826" t="s">
        <v>1407</v>
      </c>
      <c r="J608" s="840" t="s">
        <v>2574</v>
      </c>
      <c r="K608" s="296"/>
      <c r="L608" s="296"/>
      <c r="O608" s="380" t="str">
        <f t="shared" si="20"/>
        <v>23調査結果-改善予定-3(13)</v>
      </c>
    </row>
    <row r="609" spans="2:15">
      <c r="B609" s="1670" t="str">
        <f>'1_入力シート【基本情報】'!$GZ$365</f>
        <v/>
      </c>
      <c r="C609" s="1670" t="str">
        <f t="shared" si="21"/>
        <v/>
      </c>
      <c r="E609" s="851">
        <v>23</v>
      </c>
      <c r="F609" s="847" t="s">
        <v>33</v>
      </c>
      <c r="G609" s="824" t="s">
        <v>1407</v>
      </c>
      <c r="H609" s="296" t="s">
        <v>536</v>
      </c>
      <c r="I609" s="826" t="s">
        <v>1407</v>
      </c>
      <c r="J609" s="840" t="s">
        <v>2575</v>
      </c>
      <c r="K609" s="296"/>
      <c r="L609" s="296"/>
      <c r="O609" s="380" t="str">
        <f t="shared" si="20"/>
        <v>23調査結果-改善予定-3(14)</v>
      </c>
    </row>
    <row r="610" spans="2:15">
      <c r="B610" s="1670" t="str">
        <f>'1_入力シート【基本情報】'!$GZ$370</f>
        <v/>
      </c>
      <c r="C610" s="1670" t="str">
        <f t="shared" si="21"/>
        <v/>
      </c>
      <c r="E610" s="851">
        <v>23</v>
      </c>
      <c r="F610" s="847" t="s">
        <v>33</v>
      </c>
      <c r="G610" s="824" t="s">
        <v>1407</v>
      </c>
      <c r="H610" s="296" t="s">
        <v>536</v>
      </c>
      <c r="I610" s="826" t="s">
        <v>1407</v>
      </c>
      <c r="J610" s="840" t="s">
        <v>1222</v>
      </c>
      <c r="K610" s="296"/>
      <c r="L610" s="296"/>
      <c r="O610" s="380" t="str">
        <f t="shared" si="20"/>
        <v>23調査結果-改善予定-4(1)</v>
      </c>
    </row>
    <row r="611" spans="2:15">
      <c r="B611" s="1670" t="str">
        <f>'1_入力シート【基本情報】'!$GZ$371</f>
        <v/>
      </c>
      <c r="C611" s="1670" t="str">
        <f t="shared" si="21"/>
        <v/>
      </c>
      <c r="E611" s="851">
        <v>23</v>
      </c>
      <c r="F611" s="847" t="s">
        <v>33</v>
      </c>
      <c r="G611" s="824" t="s">
        <v>1407</v>
      </c>
      <c r="H611" s="296" t="s">
        <v>536</v>
      </c>
      <c r="I611" s="826" t="s">
        <v>1407</v>
      </c>
      <c r="J611" s="840" t="s">
        <v>1223</v>
      </c>
      <c r="K611" s="296"/>
      <c r="L611" s="296"/>
      <c r="O611" s="380" t="str">
        <f t="shared" si="20"/>
        <v>23調査結果-改善予定-4(2)</v>
      </c>
    </row>
    <row r="612" spans="2:15">
      <c r="B612" s="1670" t="str">
        <f>'1_入力シート【基本情報】'!$GZ$372</f>
        <v/>
      </c>
      <c r="C612" s="1670" t="str">
        <f t="shared" si="21"/>
        <v/>
      </c>
      <c r="E612" s="851">
        <v>23</v>
      </c>
      <c r="F612" s="847" t="s">
        <v>33</v>
      </c>
      <c r="G612" s="824" t="s">
        <v>1407</v>
      </c>
      <c r="H612" s="296" t="s">
        <v>536</v>
      </c>
      <c r="I612" s="826" t="s">
        <v>1407</v>
      </c>
      <c r="J612" s="840" t="s">
        <v>1224</v>
      </c>
      <c r="K612" s="296"/>
      <c r="L612" s="296"/>
      <c r="O612" s="380" t="str">
        <f t="shared" si="20"/>
        <v>23調査結果-改善予定-4(3)</v>
      </c>
    </row>
    <row r="613" spans="2:15">
      <c r="B613" s="1670" t="str">
        <f>'1_入力シート【基本情報】'!$GZ$373</f>
        <v/>
      </c>
      <c r="C613" s="1670" t="str">
        <f t="shared" si="21"/>
        <v/>
      </c>
      <c r="E613" s="851">
        <v>23</v>
      </c>
      <c r="F613" s="847" t="s">
        <v>33</v>
      </c>
      <c r="G613" s="824" t="s">
        <v>1407</v>
      </c>
      <c r="H613" s="296" t="s">
        <v>536</v>
      </c>
      <c r="I613" s="826" t="s">
        <v>1407</v>
      </c>
      <c r="J613" s="840" t="s">
        <v>1225</v>
      </c>
      <c r="K613" s="296"/>
      <c r="L613" s="296"/>
      <c r="O613" s="380" t="str">
        <f t="shared" si="20"/>
        <v>23調査結果-改善予定-4(4)</v>
      </c>
    </row>
    <row r="614" spans="2:15">
      <c r="B614" s="1670" t="str">
        <f>'1_入力シート【基本情報】'!$GZ$374</f>
        <v/>
      </c>
      <c r="C614" s="1670" t="str">
        <f t="shared" si="21"/>
        <v/>
      </c>
      <c r="E614" s="851">
        <v>23</v>
      </c>
      <c r="F614" s="847" t="s">
        <v>33</v>
      </c>
      <c r="G614" s="824" t="s">
        <v>1407</v>
      </c>
      <c r="H614" s="296" t="s">
        <v>536</v>
      </c>
      <c r="I614" s="826" t="s">
        <v>1407</v>
      </c>
      <c r="J614" s="840" t="s">
        <v>1226</v>
      </c>
      <c r="K614" s="296"/>
      <c r="L614" s="296"/>
      <c r="O614" s="380" t="str">
        <f t="shared" si="20"/>
        <v>23調査結果-改善予定-4(5)</v>
      </c>
    </row>
    <row r="615" spans="2:15">
      <c r="B615" s="1670" t="str">
        <f>'1_入力シート【基本情報】'!$GZ$375</f>
        <v/>
      </c>
      <c r="C615" s="1670" t="str">
        <f t="shared" si="21"/>
        <v/>
      </c>
      <c r="E615" s="851">
        <v>23</v>
      </c>
      <c r="F615" s="847" t="s">
        <v>33</v>
      </c>
      <c r="G615" s="824" t="s">
        <v>1407</v>
      </c>
      <c r="H615" s="296" t="s">
        <v>536</v>
      </c>
      <c r="I615" s="826" t="s">
        <v>1407</v>
      </c>
      <c r="J615" s="840" t="s">
        <v>1227</v>
      </c>
      <c r="K615" s="296"/>
      <c r="L615" s="296"/>
      <c r="O615" s="380" t="str">
        <f t="shared" si="20"/>
        <v>23調査結果-改善予定-4(6)</v>
      </c>
    </row>
    <row r="616" spans="2:15">
      <c r="B616" s="1670" t="str">
        <f>'1_入力シート【基本情報】'!$GZ$376</f>
        <v/>
      </c>
      <c r="C616" s="1670" t="str">
        <f t="shared" si="21"/>
        <v/>
      </c>
      <c r="E616" s="851">
        <v>23</v>
      </c>
      <c r="F616" s="847" t="s">
        <v>33</v>
      </c>
      <c r="G616" s="824" t="s">
        <v>1407</v>
      </c>
      <c r="H616" s="296" t="s">
        <v>536</v>
      </c>
      <c r="I616" s="826" t="s">
        <v>1407</v>
      </c>
      <c r="J616" s="840" t="s">
        <v>1228</v>
      </c>
      <c r="K616" s="296"/>
      <c r="L616" s="296"/>
      <c r="O616" s="380" t="str">
        <f t="shared" si="20"/>
        <v>23調査結果-改善予定-4(7)</v>
      </c>
    </row>
    <row r="617" spans="2:15">
      <c r="B617" s="1670" t="str">
        <f>'1_入力シート【基本情報】'!$GZ$377</f>
        <v/>
      </c>
      <c r="C617" s="1670" t="str">
        <f t="shared" si="21"/>
        <v/>
      </c>
      <c r="E617" s="851">
        <v>23</v>
      </c>
      <c r="F617" s="847" t="s">
        <v>33</v>
      </c>
      <c r="G617" s="824" t="s">
        <v>1407</v>
      </c>
      <c r="H617" s="296" t="s">
        <v>536</v>
      </c>
      <c r="I617" s="826" t="s">
        <v>1407</v>
      </c>
      <c r="J617" s="840" t="s">
        <v>1229</v>
      </c>
      <c r="K617" s="296"/>
      <c r="L617" s="296"/>
      <c r="O617" s="380" t="str">
        <f t="shared" si="20"/>
        <v>23調査結果-改善予定-4(8)</v>
      </c>
    </row>
    <row r="618" spans="2:15">
      <c r="B618" s="1670" t="str">
        <f>'1_入力シート【基本情報】'!$GZ$378</f>
        <v/>
      </c>
      <c r="C618" s="1670" t="str">
        <f t="shared" si="21"/>
        <v/>
      </c>
      <c r="E618" s="851">
        <v>23</v>
      </c>
      <c r="F618" s="847" t="s">
        <v>33</v>
      </c>
      <c r="G618" s="824" t="s">
        <v>1407</v>
      </c>
      <c r="H618" s="296" t="s">
        <v>536</v>
      </c>
      <c r="I618" s="826" t="s">
        <v>1407</v>
      </c>
      <c r="J618" s="840" t="s">
        <v>1230</v>
      </c>
      <c r="K618" s="296"/>
      <c r="L618" s="296"/>
      <c r="O618" s="380" t="str">
        <f t="shared" si="20"/>
        <v>23調査結果-改善予定-4(9)</v>
      </c>
    </row>
    <row r="619" spans="2:15">
      <c r="B619" s="1670" t="str">
        <f>'1_入力シート【基本情報】'!$GZ$379</f>
        <v/>
      </c>
      <c r="C619" s="1670" t="str">
        <f t="shared" si="21"/>
        <v/>
      </c>
      <c r="E619" s="851">
        <v>23</v>
      </c>
      <c r="F619" s="847" t="s">
        <v>33</v>
      </c>
      <c r="G619" s="824" t="s">
        <v>1407</v>
      </c>
      <c r="H619" s="296" t="s">
        <v>536</v>
      </c>
      <c r="I619" s="826" t="s">
        <v>1407</v>
      </c>
      <c r="J619" s="840" t="s">
        <v>1231</v>
      </c>
      <c r="K619" s="296"/>
      <c r="L619" s="296"/>
      <c r="O619" s="380" t="str">
        <f t="shared" si="20"/>
        <v>23調査結果-改善予定-4(10)</v>
      </c>
    </row>
    <row r="620" spans="2:15">
      <c r="B620" s="1670" t="str">
        <f>'1_入力シート【基本情報】'!$GZ$380</f>
        <v/>
      </c>
      <c r="C620" s="1670" t="str">
        <f t="shared" si="21"/>
        <v/>
      </c>
      <c r="E620" s="851">
        <v>23</v>
      </c>
      <c r="F620" s="847" t="s">
        <v>33</v>
      </c>
      <c r="G620" s="824" t="s">
        <v>1407</v>
      </c>
      <c r="H620" s="296" t="s">
        <v>536</v>
      </c>
      <c r="I620" s="826" t="s">
        <v>1407</v>
      </c>
      <c r="J620" s="840" t="s">
        <v>1232</v>
      </c>
      <c r="K620" s="296"/>
      <c r="L620" s="296"/>
      <c r="O620" s="380" t="str">
        <f t="shared" si="20"/>
        <v>23調査結果-改善予定-4(11)</v>
      </c>
    </row>
    <row r="621" spans="2:15">
      <c r="B621" s="1670" t="str">
        <f>'1_入力シート【基本情報】'!$GZ$381</f>
        <v/>
      </c>
      <c r="C621" s="1670" t="str">
        <f t="shared" si="21"/>
        <v/>
      </c>
      <c r="E621" s="851">
        <v>23</v>
      </c>
      <c r="F621" s="847" t="s">
        <v>33</v>
      </c>
      <c r="G621" s="824" t="s">
        <v>1407</v>
      </c>
      <c r="H621" s="296" t="s">
        <v>536</v>
      </c>
      <c r="I621" s="826" t="s">
        <v>1407</v>
      </c>
      <c r="J621" s="840" t="s">
        <v>1233</v>
      </c>
      <c r="K621" s="296"/>
      <c r="L621" s="296"/>
      <c r="O621" s="380" t="str">
        <f t="shared" si="20"/>
        <v>23調査結果-改善予定-4(12)</v>
      </c>
    </row>
    <row r="622" spans="2:15">
      <c r="B622" s="1670" t="str">
        <f>'1_入力シート【基本情報】'!$GZ$382</f>
        <v/>
      </c>
      <c r="C622" s="1670" t="str">
        <f t="shared" si="21"/>
        <v/>
      </c>
      <c r="E622" s="851">
        <v>23</v>
      </c>
      <c r="F622" s="847" t="s">
        <v>33</v>
      </c>
      <c r="G622" s="824" t="s">
        <v>1407</v>
      </c>
      <c r="H622" s="296" t="s">
        <v>536</v>
      </c>
      <c r="I622" s="826" t="s">
        <v>1407</v>
      </c>
      <c r="J622" s="840" t="s">
        <v>1234</v>
      </c>
      <c r="K622" s="296"/>
      <c r="L622" s="296"/>
      <c r="O622" s="380" t="str">
        <f t="shared" si="20"/>
        <v>23調査結果-改善予定-4(13)</v>
      </c>
    </row>
    <row r="623" spans="2:15">
      <c r="B623" s="1670" t="str">
        <f>'1_入力シート【基本情報】'!$GZ$383</f>
        <v/>
      </c>
      <c r="C623" s="1670" t="str">
        <f t="shared" si="21"/>
        <v/>
      </c>
      <c r="E623" s="851">
        <v>23</v>
      </c>
      <c r="F623" s="847" t="s">
        <v>33</v>
      </c>
      <c r="G623" s="824" t="s">
        <v>1407</v>
      </c>
      <c r="H623" s="296" t="s">
        <v>536</v>
      </c>
      <c r="I623" s="826" t="s">
        <v>1407</v>
      </c>
      <c r="J623" s="840" t="s">
        <v>1235</v>
      </c>
      <c r="K623" s="296"/>
      <c r="L623" s="296"/>
      <c r="O623" s="380" t="str">
        <f t="shared" si="20"/>
        <v>23調査結果-改善予定-4(14)</v>
      </c>
    </row>
    <row r="624" spans="2:15">
      <c r="B624" s="1670" t="str">
        <f>'1_入力シート【基本情報】'!$GZ$384</f>
        <v/>
      </c>
      <c r="C624" s="1670" t="str">
        <f t="shared" si="21"/>
        <v/>
      </c>
      <c r="E624" s="851">
        <v>23</v>
      </c>
      <c r="F624" s="847" t="s">
        <v>33</v>
      </c>
      <c r="G624" s="824" t="s">
        <v>1407</v>
      </c>
      <c r="H624" s="296" t="s">
        <v>536</v>
      </c>
      <c r="I624" s="826" t="s">
        <v>1407</v>
      </c>
      <c r="J624" s="840" t="s">
        <v>1236</v>
      </c>
      <c r="K624" s="296"/>
      <c r="L624" s="296"/>
      <c r="O624" s="380" t="str">
        <f t="shared" si="20"/>
        <v>23調査結果-改善予定-4(15)</v>
      </c>
    </row>
    <row r="625" spans="2:15">
      <c r="B625" s="1670" t="str">
        <f>'1_入力シート【基本情報】'!$GZ$385</f>
        <v/>
      </c>
      <c r="C625" s="1670" t="str">
        <f t="shared" si="21"/>
        <v/>
      </c>
      <c r="E625" s="851">
        <v>23</v>
      </c>
      <c r="F625" s="847" t="s">
        <v>33</v>
      </c>
      <c r="G625" s="824" t="s">
        <v>1407</v>
      </c>
      <c r="H625" s="296" t="s">
        <v>536</v>
      </c>
      <c r="I625" s="826" t="s">
        <v>1407</v>
      </c>
      <c r="J625" s="840" t="s">
        <v>1237</v>
      </c>
      <c r="K625" s="296"/>
      <c r="L625" s="296"/>
      <c r="O625" s="380" t="str">
        <f t="shared" si="20"/>
        <v>23調査結果-改善予定-4(16)</v>
      </c>
    </row>
    <row r="626" spans="2:15">
      <c r="B626" s="1670" t="str">
        <f>'1_入力シート【基本情報】'!$GZ$386</f>
        <v/>
      </c>
      <c r="C626" s="1670" t="str">
        <f t="shared" si="21"/>
        <v/>
      </c>
      <c r="E626" s="851">
        <v>23</v>
      </c>
      <c r="F626" s="847" t="s">
        <v>33</v>
      </c>
      <c r="G626" s="824" t="s">
        <v>1407</v>
      </c>
      <c r="H626" s="296" t="s">
        <v>536</v>
      </c>
      <c r="I626" s="826" t="s">
        <v>1407</v>
      </c>
      <c r="J626" s="840" t="s">
        <v>1238</v>
      </c>
      <c r="K626" s="296"/>
      <c r="L626" s="296"/>
      <c r="O626" s="380" t="str">
        <f t="shared" si="20"/>
        <v>23調査結果-改善予定-4(17)</v>
      </c>
    </row>
    <row r="627" spans="2:15">
      <c r="B627" s="1670" t="str">
        <f>'1_入力シート【基本情報】'!$GZ$387</f>
        <v/>
      </c>
      <c r="C627" s="1670" t="str">
        <f t="shared" si="21"/>
        <v/>
      </c>
      <c r="E627" s="851">
        <v>23</v>
      </c>
      <c r="F627" s="847" t="s">
        <v>33</v>
      </c>
      <c r="G627" s="824" t="s">
        <v>1407</v>
      </c>
      <c r="H627" s="296" t="s">
        <v>536</v>
      </c>
      <c r="I627" s="826" t="s">
        <v>1407</v>
      </c>
      <c r="J627" s="840" t="s">
        <v>1239</v>
      </c>
      <c r="K627" s="296"/>
      <c r="L627" s="296"/>
      <c r="O627" s="380" t="str">
        <f t="shared" si="20"/>
        <v>23調査結果-改善予定-4(18)</v>
      </c>
    </row>
    <row r="628" spans="2:15">
      <c r="B628" s="1670" t="str">
        <f>'1_入力シート【基本情報】'!$GZ$388</f>
        <v/>
      </c>
      <c r="C628" s="1670" t="str">
        <f t="shared" si="21"/>
        <v/>
      </c>
      <c r="E628" s="851">
        <v>23</v>
      </c>
      <c r="F628" s="847" t="s">
        <v>33</v>
      </c>
      <c r="G628" s="824" t="s">
        <v>1407</v>
      </c>
      <c r="H628" s="296" t="s">
        <v>536</v>
      </c>
      <c r="I628" s="826" t="s">
        <v>1407</v>
      </c>
      <c r="J628" s="840" t="s">
        <v>1240</v>
      </c>
      <c r="K628" s="296"/>
      <c r="L628" s="296"/>
      <c r="O628" s="380" t="str">
        <f t="shared" si="20"/>
        <v>23調査結果-改善予定-4(19)</v>
      </c>
    </row>
    <row r="629" spans="2:15">
      <c r="B629" s="1670" t="str">
        <f>'1_入力シート【基本情報】'!$GZ$389</f>
        <v/>
      </c>
      <c r="C629" s="1670" t="str">
        <f t="shared" si="21"/>
        <v/>
      </c>
      <c r="E629" s="851">
        <v>23</v>
      </c>
      <c r="F629" s="847" t="s">
        <v>33</v>
      </c>
      <c r="G629" s="824" t="s">
        <v>1407</v>
      </c>
      <c r="H629" s="296" t="s">
        <v>536</v>
      </c>
      <c r="I629" s="826" t="s">
        <v>1407</v>
      </c>
      <c r="J629" s="840" t="s">
        <v>1241</v>
      </c>
      <c r="K629" s="296"/>
      <c r="L629" s="296"/>
      <c r="O629" s="380" t="str">
        <f t="shared" si="20"/>
        <v>23調査結果-改善予定-4(20)</v>
      </c>
    </row>
    <row r="630" spans="2:15">
      <c r="B630" s="1670" t="str">
        <f>'1_入力シート【基本情報】'!$GZ$390</f>
        <v/>
      </c>
      <c r="C630" s="1670" t="str">
        <f t="shared" si="21"/>
        <v/>
      </c>
      <c r="E630" s="851">
        <v>23</v>
      </c>
      <c r="F630" s="847" t="s">
        <v>33</v>
      </c>
      <c r="G630" s="824" t="s">
        <v>1407</v>
      </c>
      <c r="H630" s="296" t="s">
        <v>536</v>
      </c>
      <c r="I630" s="826" t="s">
        <v>1407</v>
      </c>
      <c r="J630" s="840" t="s">
        <v>1242</v>
      </c>
      <c r="K630" s="296"/>
      <c r="L630" s="296"/>
      <c r="O630" s="380" t="str">
        <f t="shared" si="20"/>
        <v>23調査結果-改善予定-4(21)</v>
      </c>
    </row>
    <row r="631" spans="2:15">
      <c r="B631" s="1670" t="str">
        <f>'1_入力シート【基本情報】'!$GZ$391</f>
        <v/>
      </c>
      <c r="C631" s="1670" t="str">
        <f t="shared" si="21"/>
        <v/>
      </c>
      <c r="E631" s="851">
        <v>23</v>
      </c>
      <c r="F631" s="847" t="s">
        <v>33</v>
      </c>
      <c r="G631" s="824" t="s">
        <v>1407</v>
      </c>
      <c r="H631" s="296" t="s">
        <v>536</v>
      </c>
      <c r="I631" s="826" t="s">
        <v>1407</v>
      </c>
      <c r="J631" s="840" t="s">
        <v>1243</v>
      </c>
      <c r="K631" s="296"/>
      <c r="L631" s="296"/>
      <c r="O631" s="380" t="str">
        <f t="shared" si="20"/>
        <v>23調査結果-改善予定-4(22)</v>
      </c>
    </row>
    <row r="632" spans="2:15">
      <c r="B632" s="1670" t="str">
        <f>'1_入力シート【基本情報】'!$GZ$392</f>
        <v/>
      </c>
      <c r="C632" s="1670" t="str">
        <f t="shared" si="21"/>
        <v/>
      </c>
      <c r="E632" s="851">
        <v>23</v>
      </c>
      <c r="F632" s="847" t="s">
        <v>33</v>
      </c>
      <c r="G632" s="824" t="s">
        <v>1407</v>
      </c>
      <c r="H632" s="296" t="s">
        <v>536</v>
      </c>
      <c r="I632" s="826" t="s">
        <v>1407</v>
      </c>
      <c r="J632" s="840" t="s">
        <v>1244</v>
      </c>
      <c r="K632" s="296"/>
      <c r="L632" s="296"/>
      <c r="O632" s="380" t="str">
        <f t="shared" si="20"/>
        <v>23調査結果-改善予定-4(23)</v>
      </c>
    </row>
    <row r="633" spans="2:15">
      <c r="B633" s="1670" t="str">
        <f>'1_入力シート【基本情報】'!$GZ$393</f>
        <v/>
      </c>
      <c r="C633" s="1670" t="str">
        <f t="shared" si="21"/>
        <v/>
      </c>
      <c r="E633" s="851">
        <v>23</v>
      </c>
      <c r="F633" s="847" t="s">
        <v>33</v>
      </c>
      <c r="G633" s="824" t="s">
        <v>1407</v>
      </c>
      <c r="H633" s="296" t="s">
        <v>536</v>
      </c>
      <c r="I633" s="826" t="s">
        <v>1407</v>
      </c>
      <c r="J633" s="840" t="s">
        <v>1245</v>
      </c>
      <c r="K633" s="296"/>
      <c r="L633" s="296"/>
      <c r="O633" s="380" t="str">
        <f t="shared" si="20"/>
        <v>23調査結果-改善予定-4(24)</v>
      </c>
    </row>
    <row r="634" spans="2:15">
      <c r="B634" s="1670" t="str">
        <f>'1_入力シート【基本情報】'!$GZ$394</f>
        <v/>
      </c>
      <c r="C634" s="1670" t="str">
        <f t="shared" si="21"/>
        <v/>
      </c>
      <c r="E634" s="851">
        <v>23</v>
      </c>
      <c r="F634" s="847" t="s">
        <v>33</v>
      </c>
      <c r="G634" s="824" t="s">
        <v>1407</v>
      </c>
      <c r="H634" s="296" t="s">
        <v>536</v>
      </c>
      <c r="I634" s="826" t="s">
        <v>1407</v>
      </c>
      <c r="J634" s="840" t="s">
        <v>1246</v>
      </c>
      <c r="K634" s="296"/>
      <c r="L634" s="296"/>
      <c r="O634" s="380" t="str">
        <f t="shared" si="20"/>
        <v>23調査結果-改善予定-4(25)</v>
      </c>
    </row>
    <row r="635" spans="2:15">
      <c r="B635" s="1670" t="str">
        <f>'1_入力シート【基本情報】'!$GZ$395</f>
        <v/>
      </c>
      <c r="C635" s="1670" t="str">
        <f t="shared" si="21"/>
        <v/>
      </c>
      <c r="E635" s="851">
        <v>23</v>
      </c>
      <c r="F635" s="847" t="s">
        <v>33</v>
      </c>
      <c r="G635" s="824" t="s">
        <v>1407</v>
      </c>
      <c r="H635" s="296" t="s">
        <v>536</v>
      </c>
      <c r="I635" s="826" t="s">
        <v>1407</v>
      </c>
      <c r="J635" s="840" t="s">
        <v>1247</v>
      </c>
      <c r="K635" s="296"/>
      <c r="L635" s="296"/>
      <c r="O635" s="380" t="str">
        <f t="shared" si="20"/>
        <v>23調査結果-改善予定-4(26)</v>
      </c>
    </row>
    <row r="636" spans="2:15">
      <c r="B636" s="1670" t="str">
        <f>'1_入力シート【基本情報】'!$GZ$396</f>
        <v/>
      </c>
      <c r="C636" s="1670" t="str">
        <f t="shared" si="21"/>
        <v/>
      </c>
      <c r="E636" s="851">
        <v>23</v>
      </c>
      <c r="F636" s="847" t="s">
        <v>33</v>
      </c>
      <c r="G636" s="824" t="s">
        <v>1407</v>
      </c>
      <c r="H636" s="296" t="s">
        <v>536</v>
      </c>
      <c r="I636" s="826" t="s">
        <v>1407</v>
      </c>
      <c r="J636" s="840" t="s">
        <v>1248</v>
      </c>
      <c r="K636" s="296"/>
      <c r="L636" s="296"/>
      <c r="O636" s="380" t="str">
        <f t="shared" si="20"/>
        <v>23調査結果-改善予定-4(27)</v>
      </c>
    </row>
    <row r="637" spans="2:15">
      <c r="B637" s="1670" t="str">
        <f>'1_入力シート【基本情報】'!$GZ$397</f>
        <v/>
      </c>
      <c r="C637" s="1670" t="str">
        <f t="shared" si="21"/>
        <v/>
      </c>
      <c r="E637" s="851">
        <v>23</v>
      </c>
      <c r="F637" s="847" t="s">
        <v>33</v>
      </c>
      <c r="G637" s="824" t="s">
        <v>1407</v>
      </c>
      <c r="H637" s="296" t="s">
        <v>536</v>
      </c>
      <c r="I637" s="826" t="s">
        <v>1407</v>
      </c>
      <c r="J637" s="840" t="s">
        <v>1249</v>
      </c>
      <c r="K637" s="296"/>
      <c r="L637" s="296"/>
      <c r="O637" s="380" t="str">
        <f t="shared" si="20"/>
        <v>23調査結果-改善予定-4(28)</v>
      </c>
    </row>
    <row r="638" spans="2:15">
      <c r="B638" s="1670" t="str">
        <f>'1_入力シート【基本情報】'!$GZ$398</f>
        <v/>
      </c>
      <c r="C638" s="1670" t="str">
        <f t="shared" si="21"/>
        <v/>
      </c>
      <c r="E638" s="851">
        <v>23</v>
      </c>
      <c r="F638" s="847" t="s">
        <v>33</v>
      </c>
      <c r="G638" s="824" t="s">
        <v>1407</v>
      </c>
      <c r="H638" s="296" t="s">
        <v>536</v>
      </c>
      <c r="I638" s="826" t="s">
        <v>1407</v>
      </c>
      <c r="J638" s="840" t="s">
        <v>1250</v>
      </c>
      <c r="K638" s="296"/>
      <c r="L638" s="296"/>
      <c r="O638" s="380" t="str">
        <f t="shared" si="20"/>
        <v>23調査結果-改善予定-4(29)</v>
      </c>
    </row>
    <row r="639" spans="2:15">
      <c r="B639" s="1670" t="str">
        <f>'1_入力シート【基本情報】'!$GZ$399</f>
        <v/>
      </c>
      <c r="C639" s="1670" t="str">
        <f t="shared" si="21"/>
        <v/>
      </c>
      <c r="E639" s="851">
        <v>23</v>
      </c>
      <c r="F639" s="847" t="s">
        <v>33</v>
      </c>
      <c r="G639" s="824" t="s">
        <v>1407</v>
      </c>
      <c r="H639" s="296" t="s">
        <v>536</v>
      </c>
      <c r="I639" s="826" t="s">
        <v>1407</v>
      </c>
      <c r="J639" s="840" t="s">
        <v>1251</v>
      </c>
      <c r="K639" s="296"/>
      <c r="L639" s="296"/>
      <c r="O639" s="380" t="str">
        <f t="shared" si="20"/>
        <v>23調査結果-改善予定-4(30)</v>
      </c>
    </row>
    <row r="640" spans="2:15">
      <c r="B640" s="1670" t="str">
        <f>'1_入力シート【基本情報】'!$GZ$400</f>
        <v/>
      </c>
      <c r="C640" s="1670" t="str">
        <f t="shared" si="21"/>
        <v/>
      </c>
      <c r="E640" s="851">
        <v>23</v>
      </c>
      <c r="F640" s="847" t="s">
        <v>33</v>
      </c>
      <c r="G640" s="824" t="s">
        <v>1407</v>
      </c>
      <c r="H640" s="296" t="s">
        <v>536</v>
      </c>
      <c r="I640" s="826" t="s">
        <v>1407</v>
      </c>
      <c r="J640" s="840" t="s">
        <v>1252</v>
      </c>
      <c r="K640" s="296"/>
      <c r="L640" s="296"/>
      <c r="O640" s="380" t="str">
        <f t="shared" si="20"/>
        <v>23調査結果-改善予定-4(31)</v>
      </c>
    </row>
    <row r="641" spans="2:15">
      <c r="B641" s="1670" t="str">
        <f>'1_入力シート【基本情報】'!$GZ$401</f>
        <v/>
      </c>
      <c r="C641" s="1670" t="str">
        <f t="shared" si="21"/>
        <v/>
      </c>
      <c r="E641" s="851">
        <v>23</v>
      </c>
      <c r="F641" s="847" t="s">
        <v>33</v>
      </c>
      <c r="G641" s="824" t="s">
        <v>1407</v>
      </c>
      <c r="H641" s="296" t="s">
        <v>536</v>
      </c>
      <c r="I641" s="826" t="s">
        <v>1407</v>
      </c>
      <c r="J641" s="840" t="s">
        <v>1253</v>
      </c>
      <c r="K641" s="296"/>
      <c r="L641" s="296"/>
      <c r="O641" s="380" t="str">
        <f t="shared" si="20"/>
        <v>23調査結果-改善予定-4(32)</v>
      </c>
    </row>
    <row r="642" spans="2:15">
      <c r="B642" s="1670" t="str">
        <f>'1_入力シート【基本情報】'!$GZ$402</f>
        <v/>
      </c>
      <c r="C642" s="1670" t="str">
        <f t="shared" si="21"/>
        <v/>
      </c>
      <c r="E642" s="851">
        <v>23</v>
      </c>
      <c r="F642" s="847" t="s">
        <v>33</v>
      </c>
      <c r="G642" s="824" t="s">
        <v>1407</v>
      </c>
      <c r="H642" s="296" t="s">
        <v>536</v>
      </c>
      <c r="I642" s="826" t="s">
        <v>1407</v>
      </c>
      <c r="J642" s="840" t="s">
        <v>1254</v>
      </c>
      <c r="K642" s="296"/>
      <c r="L642" s="296"/>
      <c r="O642" s="380" t="str">
        <f t="shared" ref="O642:O705" si="22">CONCATENATE(E642,F642,G642,H642,I642,J642,K642,L642)</f>
        <v>23調査結果-改善予定-4(33)</v>
      </c>
    </row>
    <row r="643" spans="2:15">
      <c r="B643" s="1670" t="str">
        <f>'1_入力シート【基本情報】'!$GZ$403</f>
        <v/>
      </c>
      <c r="C643" s="1670" t="str">
        <f t="shared" si="21"/>
        <v/>
      </c>
      <c r="E643" s="851">
        <v>23</v>
      </c>
      <c r="F643" s="847" t="s">
        <v>33</v>
      </c>
      <c r="G643" s="824" t="s">
        <v>1407</v>
      </c>
      <c r="H643" s="296" t="s">
        <v>536</v>
      </c>
      <c r="I643" s="826" t="s">
        <v>1407</v>
      </c>
      <c r="J643" s="840" t="s">
        <v>1255</v>
      </c>
      <c r="K643" s="296"/>
      <c r="L643" s="296"/>
      <c r="O643" s="380" t="str">
        <f t="shared" si="22"/>
        <v>23調査結果-改善予定-4(34)</v>
      </c>
    </row>
    <row r="644" spans="2:15">
      <c r="B644" s="1670" t="str">
        <f>'1_入力シート【基本情報】'!$GZ$404</f>
        <v/>
      </c>
      <c r="C644" s="1670" t="str">
        <f t="shared" si="21"/>
        <v/>
      </c>
      <c r="E644" s="851">
        <v>23</v>
      </c>
      <c r="F644" s="847" t="s">
        <v>33</v>
      </c>
      <c r="G644" s="824" t="s">
        <v>1407</v>
      </c>
      <c r="H644" s="296" t="s">
        <v>536</v>
      </c>
      <c r="I644" s="826" t="s">
        <v>1407</v>
      </c>
      <c r="J644" s="840" t="s">
        <v>1256</v>
      </c>
      <c r="K644" s="296"/>
      <c r="L644" s="296"/>
      <c r="O644" s="380" t="str">
        <f t="shared" si="22"/>
        <v>23調査結果-改善予定-4(35)</v>
      </c>
    </row>
    <row r="645" spans="2:15">
      <c r="B645" s="1670" t="str">
        <f>'1_入力シート【基本情報】'!$GZ$405</f>
        <v/>
      </c>
      <c r="C645" s="1670" t="str">
        <f t="shared" ref="C645:C708" si="23">SUBSTITUTE(B645,CHAR(10),"")</f>
        <v/>
      </c>
      <c r="E645" s="851">
        <v>23</v>
      </c>
      <c r="F645" s="847" t="s">
        <v>33</v>
      </c>
      <c r="G645" s="824" t="s">
        <v>1407</v>
      </c>
      <c r="H645" s="296" t="s">
        <v>536</v>
      </c>
      <c r="I645" s="826" t="s">
        <v>1407</v>
      </c>
      <c r="J645" s="840" t="s">
        <v>1257</v>
      </c>
      <c r="K645" s="296"/>
      <c r="L645" s="296"/>
      <c r="O645" s="380" t="str">
        <f t="shared" si="22"/>
        <v>23調査結果-改善予定-4(36)</v>
      </c>
    </row>
    <row r="646" spans="2:15">
      <c r="B646" s="1670" t="str">
        <f>'1_入力シート【基本情報】'!$GZ$406</f>
        <v/>
      </c>
      <c r="C646" s="1670" t="str">
        <f t="shared" si="23"/>
        <v/>
      </c>
      <c r="E646" s="851">
        <v>23</v>
      </c>
      <c r="F646" s="847" t="s">
        <v>33</v>
      </c>
      <c r="G646" s="824" t="s">
        <v>1407</v>
      </c>
      <c r="H646" s="296" t="s">
        <v>536</v>
      </c>
      <c r="I646" s="826" t="s">
        <v>1407</v>
      </c>
      <c r="J646" s="840" t="s">
        <v>1258</v>
      </c>
      <c r="K646" s="296"/>
      <c r="L646" s="296"/>
      <c r="O646" s="380" t="str">
        <f t="shared" si="22"/>
        <v>23調査結果-改善予定-4(37)</v>
      </c>
    </row>
    <row r="647" spans="2:15">
      <c r="B647" s="1670" t="str">
        <f>'1_入力シート【基本情報】'!$GZ$407</f>
        <v/>
      </c>
      <c r="C647" s="1670" t="str">
        <f t="shared" si="23"/>
        <v/>
      </c>
      <c r="E647" s="851">
        <v>23</v>
      </c>
      <c r="F647" s="847" t="s">
        <v>33</v>
      </c>
      <c r="G647" s="824" t="s">
        <v>1407</v>
      </c>
      <c r="H647" s="296" t="s">
        <v>536</v>
      </c>
      <c r="I647" s="826" t="s">
        <v>1407</v>
      </c>
      <c r="J647" s="840" t="s">
        <v>1259</v>
      </c>
      <c r="K647" s="296"/>
      <c r="L647" s="296"/>
      <c r="O647" s="380" t="str">
        <f t="shared" si="22"/>
        <v>23調査結果-改善予定-4(38)</v>
      </c>
    </row>
    <row r="648" spans="2:15">
      <c r="B648" s="1670" t="str">
        <f>'1_入力シート【基本情報】'!$GZ$408</f>
        <v/>
      </c>
      <c r="C648" s="1670" t="str">
        <f t="shared" si="23"/>
        <v/>
      </c>
      <c r="E648" s="851">
        <v>23</v>
      </c>
      <c r="F648" s="847" t="s">
        <v>33</v>
      </c>
      <c r="G648" s="824" t="s">
        <v>1407</v>
      </c>
      <c r="H648" s="296" t="s">
        <v>536</v>
      </c>
      <c r="I648" s="826" t="s">
        <v>1407</v>
      </c>
      <c r="J648" s="840" t="s">
        <v>1260</v>
      </c>
      <c r="K648" s="296"/>
      <c r="L648" s="296"/>
      <c r="O648" s="380" t="str">
        <f t="shared" si="22"/>
        <v>23調査結果-改善予定-4(39)</v>
      </c>
    </row>
    <row r="649" spans="2:15">
      <c r="B649" s="1670" t="str">
        <f>'1_入力シート【基本情報】'!$GZ$409</f>
        <v/>
      </c>
      <c r="C649" s="1670" t="str">
        <f t="shared" si="23"/>
        <v/>
      </c>
      <c r="E649" s="851">
        <v>23</v>
      </c>
      <c r="F649" s="847" t="s">
        <v>33</v>
      </c>
      <c r="G649" s="824" t="s">
        <v>1407</v>
      </c>
      <c r="H649" s="296" t="s">
        <v>536</v>
      </c>
      <c r="I649" s="826" t="s">
        <v>1407</v>
      </c>
      <c r="J649" s="840" t="s">
        <v>1261</v>
      </c>
      <c r="K649" s="296"/>
      <c r="L649" s="296"/>
      <c r="O649" s="380" t="str">
        <f t="shared" si="22"/>
        <v>23調査結果-改善予定-4(40)</v>
      </c>
    </row>
    <row r="650" spans="2:15">
      <c r="B650" s="1670" t="str">
        <f>'1_入力シート【基本情報】'!$GZ$410</f>
        <v/>
      </c>
      <c r="C650" s="1670" t="str">
        <f t="shared" si="23"/>
        <v/>
      </c>
      <c r="E650" s="851">
        <v>23</v>
      </c>
      <c r="F650" s="847" t="s">
        <v>33</v>
      </c>
      <c r="G650" s="824" t="s">
        <v>1407</v>
      </c>
      <c r="H650" s="296" t="s">
        <v>536</v>
      </c>
      <c r="I650" s="826" t="s">
        <v>1407</v>
      </c>
      <c r="J650" s="840" t="s">
        <v>1262</v>
      </c>
      <c r="K650" s="296"/>
      <c r="L650" s="296"/>
      <c r="O650" s="380" t="str">
        <f t="shared" si="22"/>
        <v>23調査結果-改善予定-4(41)</v>
      </c>
    </row>
    <row r="651" spans="2:15">
      <c r="B651" s="1670" t="str">
        <f>'1_入力シート【基本情報】'!$GZ$411</f>
        <v/>
      </c>
      <c r="C651" s="1670" t="str">
        <f t="shared" si="23"/>
        <v/>
      </c>
      <c r="E651" s="851">
        <v>23</v>
      </c>
      <c r="F651" s="847" t="s">
        <v>33</v>
      </c>
      <c r="G651" s="824" t="s">
        <v>1407</v>
      </c>
      <c r="H651" s="296" t="s">
        <v>536</v>
      </c>
      <c r="I651" s="826" t="s">
        <v>1407</v>
      </c>
      <c r="J651" s="840" t="s">
        <v>1263</v>
      </c>
      <c r="K651" s="296"/>
      <c r="L651" s="296"/>
      <c r="O651" s="380" t="str">
        <f t="shared" si="22"/>
        <v>23調査結果-改善予定-4(42)</v>
      </c>
    </row>
    <row r="652" spans="2:15">
      <c r="B652" s="1670" t="str">
        <f>'1_入力シート【基本情報】'!$GZ$412</f>
        <v/>
      </c>
      <c r="C652" s="1670" t="str">
        <f t="shared" si="23"/>
        <v/>
      </c>
      <c r="E652" s="851">
        <v>23</v>
      </c>
      <c r="F652" s="847" t="s">
        <v>33</v>
      </c>
      <c r="G652" s="824" t="s">
        <v>1407</v>
      </c>
      <c r="H652" s="296" t="s">
        <v>536</v>
      </c>
      <c r="I652" s="826" t="s">
        <v>1407</v>
      </c>
      <c r="J652" s="840" t="s">
        <v>1264</v>
      </c>
      <c r="K652" s="296"/>
      <c r="L652" s="296"/>
      <c r="O652" s="380" t="str">
        <f t="shared" si="22"/>
        <v>23調査結果-改善予定-4(43)</v>
      </c>
    </row>
    <row r="653" spans="2:15">
      <c r="B653" s="1670" t="str">
        <f>'1_入力シート【基本情報】'!$GZ$413</f>
        <v/>
      </c>
      <c r="C653" s="1670" t="str">
        <f t="shared" si="23"/>
        <v/>
      </c>
      <c r="E653" s="851">
        <v>23</v>
      </c>
      <c r="F653" s="847" t="s">
        <v>33</v>
      </c>
      <c r="G653" s="824" t="s">
        <v>1407</v>
      </c>
      <c r="H653" s="296" t="s">
        <v>536</v>
      </c>
      <c r="I653" s="826" t="s">
        <v>1407</v>
      </c>
      <c r="J653" s="840" t="s">
        <v>1265</v>
      </c>
      <c r="K653" s="296"/>
      <c r="L653" s="296"/>
      <c r="O653" s="380" t="str">
        <f t="shared" si="22"/>
        <v>23調査結果-改善予定-4(44)</v>
      </c>
    </row>
    <row r="654" spans="2:15">
      <c r="B654" s="1670" t="str">
        <f>'1_入力シート【基本情報】'!$GZ$414</f>
        <v/>
      </c>
      <c r="C654" s="1670" t="str">
        <f t="shared" si="23"/>
        <v/>
      </c>
      <c r="E654" s="851">
        <v>23</v>
      </c>
      <c r="F654" s="847" t="s">
        <v>33</v>
      </c>
      <c r="G654" s="824" t="s">
        <v>1407</v>
      </c>
      <c r="H654" s="296" t="s">
        <v>536</v>
      </c>
      <c r="I654" s="826" t="s">
        <v>1407</v>
      </c>
      <c r="J654" s="840" t="s">
        <v>1266</v>
      </c>
      <c r="K654" s="296"/>
      <c r="L654" s="296"/>
      <c r="O654" s="380" t="str">
        <f t="shared" si="22"/>
        <v>23調査結果-改善予定-4(45)</v>
      </c>
    </row>
    <row r="655" spans="2:15">
      <c r="B655" s="1670" t="str">
        <f>'1_入力シート【基本情報】'!$GZ$415</f>
        <v/>
      </c>
      <c r="C655" s="1670" t="str">
        <f t="shared" si="23"/>
        <v/>
      </c>
      <c r="E655" s="851">
        <v>23</v>
      </c>
      <c r="F655" s="847" t="s">
        <v>33</v>
      </c>
      <c r="G655" s="824" t="s">
        <v>1407</v>
      </c>
      <c r="H655" s="296" t="s">
        <v>536</v>
      </c>
      <c r="I655" s="826" t="s">
        <v>1407</v>
      </c>
      <c r="J655" s="840" t="s">
        <v>1267</v>
      </c>
      <c r="K655" s="296"/>
      <c r="L655" s="296"/>
      <c r="O655" s="380" t="str">
        <f t="shared" si="22"/>
        <v>23調査結果-改善予定-4(46)</v>
      </c>
    </row>
    <row r="656" spans="2:15">
      <c r="B656" s="1670" t="str">
        <f>'1_入力シート【基本情報】'!$GZ$416</f>
        <v/>
      </c>
      <c r="C656" s="1670" t="str">
        <f t="shared" si="23"/>
        <v/>
      </c>
      <c r="E656" s="851">
        <v>23</v>
      </c>
      <c r="F656" s="847" t="s">
        <v>33</v>
      </c>
      <c r="G656" s="824" t="s">
        <v>1407</v>
      </c>
      <c r="H656" s="296" t="s">
        <v>536</v>
      </c>
      <c r="I656" s="826" t="s">
        <v>1407</v>
      </c>
      <c r="J656" s="840" t="s">
        <v>1268</v>
      </c>
      <c r="K656" s="296"/>
      <c r="L656" s="296"/>
      <c r="O656" s="380" t="str">
        <f t="shared" si="22"/>
        <v>23調査結果-改善予定-4(47)</v>
      </c>
    </row>
    <row r="657" spans="2:15">
      <c r="B657" s="1670" t="str">
        <f>'1_入力シート【基本情報】'!$GZ$417</f>
        <v/>
      </c>
      <c r="C657" s="1670" t="str">
        <f t="shared" si="23"/>
        <v/>
      </c>
      <c r="E657" s="851">
        <v>23</v>
      </c>
      <c r="F657" s="847" t="s">
        <v>33</v>
      </c>
      <c r="G657" s="824" t="s">
        <v>1407</v>
      </c>
      <c r="H657" s="296" t="s">
        <v>536</v>
      </c>
      <c r="I657" s="826" t="s">
        <v>1407</v>
      </c>
      <c r="J657" s="840" t="s">
        <v>2576</v>
      </c>
      <c r="K657" s="296"/>
      <c r="L657" s="296"/>
      <c r="O657" s="380" t="str">
        <f t="shared" si="22"/>
        <v>23調査結果-改善予定-4(48)</v>
      </c>
    </row>
    <row r="658" spans="2:15">
      <c r="B658" s="1670" t="str">
        <f>'1_入力シート【基本情報】'!$GZ$418</f>
        <v/>
      </c>
      <c r="C658" s="1670" t="str">
        <f t="shared" si="23"/>
        <v/>
      </c>
      <c r="E658" s="851">
        <v>23</v>
      </c>
      <c r="F658" s="847" t="s">
        <v>33</v>
      </c>
      <c r="G658" s="824" t="s">
        <v>1407</v>
      </c>
      <c r="H658" s="296" t="s">
        <v>536</v>
      </c>
      <c r="I658" s="826" t="s">
        <v>1407</v>
      </c>
      <c r="J658" s="840" t="s">
        <v>2577</v>
      </c>
      <c r="K658" s="296"/>
      <c r="L658" s="296"/>
      <c r="O658" s="380" t="str">
        <f t="shared" si="22"/>
        <v>23調査結果-改善予定-4(49)</v>
      </c>
    </row>
    <row r="659" spans="2:15">
      <c r="B659" s="1670" t="str">
        <f>'1_入力シート【基本情報】'!$GZ$419</f>
        <v/>
      </c>
      <c r="C659" s="1670" t="str">
        <f t="shared" si="23"/>
        <v/>
      </c>
      <c r="E659" s="851">
        <v>23</v>
      </c>
      <c r="F659" s="847" t="s">
        <v>33</v>
      </c>
      <c r="G659" s="824" t="s">
        <v>1407</v>
      </c>
      <c r="H659" s="296" t="s">
        <v>536</v>
      </c>
      <c r="I659" s="826" t="s">
        <v>1407</v>
      </c>
      <c r="J659" s="840" t="s">
        <v>2578</v>
      </c>
      <c r="K659" s="296"/>
      <c r="L659" s="296"/>
      <c r="O659" s="380" t="str">
        <f t="shared" si="22"/>
        <v>23調査結果-改善予定-4(50)</v>
      </c>
    </row>
    <row r="660" spans="2:15">
      <c r="B660" s="1670" t="str">
        <f>'1_入力シート【基本情報】'!$GZ$420</f>
        <v/>
      </c>
      <c r="C660" s="1670" t="str">
        <f t="shared" si="23"/>
        <v/>
      </c>
      <c r="E660" s="851">
        <v>23</v>
      </c>
      <c r="F660" s="847" t="s">
        <v>33</v>
      </c>
      <c r="G660" s="824" t="s">
        <v>1407</v>
      </c>
      <c r="H660" s="296" t="s">
        <v>536</v>
      </c>
      <c r="I660" s="826" t="s">
        <v>1407</v>
      </c>
      <c r="J660" s="840" t="s">
        <v>2579</v>
      </c>
      <c r="K660" s="296"/>
      <c r="L660" s="296"/>
      <c r="O660" s="380" t="str">
        <f t="shared" si="22"/>
        <v>23調査結果-改善予定-4(51)</v>
      </c>
    </row>
    <row r="661" spans="2:15">
      <c r="B661" s="1670" t="str">
        <f>'1_入力シート【基本情報】'!$GZ$421</f>
        <v/>
      </c>
      <c r="C661" s="1670" t="str">
        <f t="shared" si="23"/>
        <v/>
      </c>
      <c r="E661" s="851">
        <v>23</v>
      </c>
      <c r="F661" s="847" t="s">
        <v>33</v>
      </c>
      <c r="G661" s="824" t="s">
        <v>1407</v>
      </c>
      <c r="H661" s="296" t="s">
        <v>536</v>
      </c>
      <c r="I661" s="826" t="s">
        <v>1407</v>
      </c>
      <c r="J661" s="840" t="s">
        <v>2580</v>
      </c>
      <c r="K661" s="296"/>
      <c r="L661" s="296"/>
      <c r="O661" s="380" t="str">
        <f t="shared" si="22"/>
        <v>23調査結果-改善予定-4(52)</v>
      </c>
    </row>
    <row r="662" spans="2:15">
      <c r="B662" s="1670" t="str">
        <f>'1_入力シート【基本情報】'!$GZ$426</f>
        <v/>
      </c>
      <c r="C662" s="1670" t="str">
        <f t="shared" si="23"/>
        <v/>
      </c>
      <c r="E662" s="851">
        <v>23</v>
      </c>
      <c r="F662" s="847" t="s">
        <v>33</v>
      </c>
      <c r="G662" s="824" t="s">
        <v>1407</v>
      </c>
      <c r="H662" s="296" t="s">
        <v>536</v>
      </c>
      <c r="I662" s="826" t="s">
        <v>1407</v>
      </c>
      <c r="J662" s="841" t="s">
        <v>1269</v>
      </c>
      <c r="K662" s="296"/>
      <c r="L662" s="296"/>
      <c r="O662" s="380" t="str">
        <f t="shared" si="22"/>
        <v>23調査結果-改善予定-5(1)</v>
      </c>
    </row>
    <row r="663" spans="2:15">
      <c r="B663" s="1670" t="str">
        <f>'1_入力シート【基本情報】'!$GZ$427</f>
        <v/>
      </c>
      <c r="C663" s="1670" t="str">
        <f t="shared" si="23"/>
        <v/>
      </c>
      <c r="E663" s="851">
        <v>23</v>
      </c>
      <c r="F663" s="847" t="s">
        <v>33</v>
      </c>
      <c r="G663" s="824" t="s">
        <v>1407</v>
      </c>
      <c r="H663" s="296" t="s">
        <v>536</v>
      </c>
      <c r="I663" s="826" t="s">
        <v>1407</v>
      </c>
      <c r="J663" s="841" t="s">
        <v>1270</v>
      </c>
      <c r="K663" s="296"/>
      <c r="L663" s="296"/>
      <c r="O663" s="380" t="str">
        <f t="shared" si="22"/>
        <v>23調査結果-改善予定-5(2)</v>
      </c>
    </row>
    <row r="664" spans="2:15">
      <c r="B664" s="1670" t="str">
        <f>'1_入力シート【基本情報】'!$GZ$428</f>
        <v/>
      </c>
      <c r="C664" s="1670" t="str">
        <f t="shared" si="23"/>
        <v/>
      </c>
      <c r="E664" s="851">
        <v>23</v>
      </c>
      <c r="F664" s="847" t="s">
        <v>33</v>
      </c>
      <c r="G664" s="824" t="s">
        <v>1407</v>
      </c>
      <c r="H664" s="296" t="s">
        <v>536</v>
      </c>
      <c r="I664" s="826" t="s">
        <v>1407</v>
      </c>
      <c r="J664" s="841" t="s">
        <v>1271</v>
      </c>
      <c r="K664" s="296"/>
      <c r="L664" s="296"/>
      <c r="O664" s="380" t="str">
        <f t="shared" si="22"/>
        <v>23調査結果-改善予定-5(3)</v>
      </c>
    </row>
    <row r="665" spans="2:15">
      <c r="B665" s="1670" t="str">
        <f>'1_入力シート【基本情報】'!$GZ$429</f>
        <v/>
      </c>
      <c r="C665" s="1670" t="str">
        <f t="shared" si="23"/>
        <v/>
      </c>
      <c r="E665" s="851">
        <v>23</v>
      </c>
      <c r="F665" s="847" t="s">
        <v>33</v>
      </c>
      <c r="G665" s="824" t="s">
        <v>1407</v>
      </c>
      <c r="H665" s="296" t="s">
        <v>536</v>
      </c>
      <c r="I665" s="826" t="s">
        <v>1407</v>
      </c>
      <c r="J665" s="841" t="s">
        <v>1272</v>
      </c>
      <c r="K665" s="296"/>
      <c r="L665" s="296"/>
      <c r="O665" s="380" t="str">
        <f t="shared" si="22"/>
        <v>23調査結果-改善予定-5(4)</v>
      </c>
    </row>
    <row r="666" spans="2:15">
      <c r="B666" s="1670" t="str">
        <f>'1_入力シート【基本情報】'!$GZ$430</f>
        <v/>
      </c>
      <c r="C666" s="1670" t="str">
        <f t="shared" si="23"/>
        <v/>
      </c>
      <c r="E666" s="851">
        <v>23</v>
      </c>
      <c r="F666" s="847" t="s">
        <v>33</v>
      </c>
      <c r="G666" s="824" t="s">
        <v>1407</v>
      </c>
      <c r="H666" s="296" t="s">
        <v>536</v>
      </c>
      <c r="I666" s="826" t="s">
        <v>1407</v>
      </c>
      <c r="J666" s="841" t="s">
        <v>1273</v>
      </c>
      <c r="K666" s="296"/>
      <c r="L666" s="296"/>
      <c r="O666" s="380" t="str">
        <f t="shared" si="22"/>
        <v>23調査結果-改善予定-5(5)</v>
      </c>
    </row>
    <row r="667" spans="2:15">
      <c r="B667" s="1670" t="str">
        <f>'1_入力シート【基本情報】'!$GZ$431</f>
        <v/>
      </c>
      <c r="C667" s="1670" t="str">
        <f t="shared" si="23"/>
        <v/>
      </c>
      <c r="E667" s="851">
        <v>23</v>
      </c>
      <c r="F667" s="847" t="s">
        <v>33</v>
      </c>
      <c r="G667" s="824" t="s">
        <v>1407</v>
      </c>
      <c r="H667" s="296" t="s">
        <v>536</v>
      </c>
      <c r="I667" s="826" t="s">
        <v>1407</v>
      </c>
      <c r="J667" s="841" t="s">
        <v>1274</v>
      </c>
      <c r="K667" s="296"/>
      <c r="L667" s="296"/>
      <c r="O667" s="380" t="str">
        <f t="shared" si="22"/>
        <v>23調査結果-改善予定-5(6)</v>
      </c>
    </row>
    <row r="668" spans="2:15">
      <c r="B668" s="1670" t="str">
        <f>'1_入力シート【基本情報】'!$GZ$432</f>
        <v/>
      </c>
      <c r="C668" s="1670" t="str">
        <f t="shared" si="23"/>
        <v/>
      </c>
      <c r="E668" s="851">
        <v>23</v>
      </c>
      <c r="F668" s="847" t="s">
        <v>33</v>
      </c>
      <c r="G668" s="824" t="s">
        <v>1407</v>
      </c>
      <c r="H668" s="296" t="s">
        <v>536</v>
      </c>
      <c r="I668" s="826" t="s">
        <v>1407</v>
      </c>
      <c r="J668" s="841" t="s">
        <v>1275</v>
      </c>
      <c r="K668" s="296"/>
      <c r="L668" s="296"/>
      <c r="O668" s="380" t="str">
        <f t="shared" si="22"/>
        <v>23調査結果-改善予定-5(7)</v>
      </c>
    </row>
    <row r="669" spans="2:15">
      <c r="B669" s="1670" t="str">
        <f>'1_入力シート【基本情報】'!$GZ$433</f>
        <v/>
      </c>
      <c r="C669" s="1670" t="str">
        <f t="shared" si="23"/>
        <v/>
      </c>
      <c r="E669" s="851">
        <v>23</v>
      </c>
      <c r="F669" s="847" t="s">
        <v>33</v>
      </c>
      <c r="G669" s="824" t="s">
        <v>1407</v>
      </c>
      <c r="H669" s="296" t="s">
        <v>536</v>
      </c>
      <c r="I669" s="826" t="s">
        <v>1407</v>
      </c>
      <c r="J669" s="841" t="s">
        <v>1276</v>
      </c>
      <c r="K669" s="296"/>
      <c r="L669" s="296"/>
      <c r="O669" s="380" t="str">
        <f t="shared" si="22"/>
        <v>23調査結果-改善予定-5(8)</v>
      </c>
    </row>
    <row r="670" spans="2:15">
      <c r="B670" s="1670" t="str">
        <f>'1_入力シート【基本情報】'!$GZ$434</f>
        <v/>
      </c>
      <c r="C670" s="1670" t="str">
        <f t="shared" si="23"/>
        <v/>
      </c>
      <c r="E670" s="851">
        <v>23</v>
      </c>
      <c r="F670" s="847" t="s">
        <v>33</v>
      </c>
      <c r="G670" s="824" t="s">
        <v>1407</v>
      </c>
      <c r="H670" s="296" t="s">
        <v>536</v>
      </c>
      <c r="I670" s="826" t="s">
        <v>1407</v>
      </c>
      <c r="J670" s="841" t="s">
        <v>1277</v>
      </c>
      <c r="K670" s="296"/>
      <c r="L670" s="296"/>
      <c r="O670" s="380" t="str">
        <f t="shared" si="22"/>
        <v>23調査結果-改善予定-5(9)</v>
      </c>
    </row>
    <row r="671" spans="2:15">
      <c r="B671" s="1670" t="str">
        <f>'1_入力シート【基本情報】'!$GZ$435</f>
        <v/>
      </c>
      <c r="C671" s="1670" t="str">
        <f t="shared" si="23"/>
        <v/>
      </c>
      <c r="E671" s="851">
        <v>23</v>
      </c>
      <c r="F671" s="847" t="s">
        <v>33</v>
      </c>
      <c r="G671" s="824" t="s">
        <v>1407</v>
      </c>
      <c r="H671" s="296" t="s">
        <v>536</v>
      </c>
      <c r="I671" s="826" t="s">
        <v>1407</v>
      </c>
      <c r="J671" s="841" t="s">
        <v>1278</v>
      </c>
      <c r="K671" s="296"/>
      <c r="L671" s="296"/>
      <c r="O671" s="380" t="str">
        <f t="shared" si="22"/>
        <v>23調査結果-改善予定-5(10)</v>
      </c>
    </row>
    <row r="672" spans="2:15">
      <c r="B672" s="1670" t="str">
        <f>'1_入力シート【基本情報】'!$GZ$436</f>
        <v/>
      </c>
      <c r="C672" s="1670" t="str">
        <f t="shared" si="23"/>
        <v/>
      </c>
      <c r="E672" s="851">
        <v>23</v>
      </c>
      <c r="F672" s="847" t="s">
        <v>33</v>
      </c>
      <c r="G672" s="824" t="s">
        <v>1407</v>
      </c>
      <c r="H672" s="296" t="s">
        <v>536</v>
      </c>
      <c r="I672" s="826" t="s">
        <v>1407</v>
      </c>
      <c r="J672" s="841" t="s">
        <v>1279</v>
      </c>
      <c r="K672" s="296"/>
      <c r="L672" s="296"/>
      <c r="O672" s="380" t="str">
        <f t="shared" si="22"/>
        <v>23調査結果-改善予定-5(11)</v>
      </c>
    </row>
    <row r="673" spans="2:15">
      <c r="B673" s="1670" t="str">
        <f>'1_入力シート【基本情報】'!$GZ$437</f>
        <v/>
      </c>
      <c r="C673" s="1670" t="str">
        <f t="shared" si="23"/>
        <v/>
      </c>
      <c r="E673" s="851">
        <v>23</v>
      </c>
      <c r="F673" s="847" t="s">
        <v>33</v>
      </c>
      <c r="G673" s="824" t="s">
        <v>1407</v>
      </c>
      <c r="H673" s="296" t="s">
        <v>536</v>
      </c>
      <c r="I673" s="826" t="s">
        <v>1407</v>
      </c>
      <c r="J673" s="841" t="s">
        <v>1280</v>
      </c>
      <c r="K673" s="296"/>
      <c r="L673" s="296"/>
      <c r="O673" s="380" t="str">
        <f t="shared" si="22"/>
        <v>23調査結果-改善予定-5(12)</v>
      </c>
    </row>
    <row r="674" spans="2:15">
      <c r="B674" s="1670" t="str">
        <f>'1_入力シート【基本情報】'!$GZ$438</f>
        <v/>
      </c>
      <c r="C674" s="1670" t="str">
        <f t="shared" si="23"/>
        <v/>
      </c>
      <c r="E674" s="851">
        <v>23</v>
      </c>
      <c r="F674" s="847" t="s">
        <v>33</v>
      </c>
      <c r="G674" s="824" t="s">
        <v>1407</v>
      </c>
      <c r="H674" s="296" t="s">
        <v>536</v>
      </c>
      <c r="I674" s="826" t="s">
        <v>1407</v>
      </c>
      <c r="J674" s="841" t="s">
        <v>1281</v>
      </c>
      <c r="K674" s="296"/>
      <c r="L674" s="296"/>
      <c r="O674" s="380" t="str">
        <f t="shared" si="22"/>
        <v>23調査結果-改善予定-5(13)</v>
      </c>
    </row>
    <row r="675" spans="2:15">
      <c r="B675" s="1670" t="str">
        <f>'1_入力シート【基本情報】'!$GZ$439</f>
        <v/>
      </c>
      <c r="C675" s="1670" t="str">
        <f t="shared" si="23"/>
        <v/>
      </c>
      <c r="E675" s="851">
        <v>23</v>
      </c>
      <c r="F675" s="847" t="s">
        <v>33</v>
      </c>
      <c r="G675" s="824" t="s">
        <v>1407</v>
      </c>
      <c r="H675" s="296" t="s">
        <v>536</v>
      </c>
      <c r="I675" s="826" t="s">
        <v>1407</v>
      </c>
      <c r="J675" s="841" t="s">
        <v>1282</v>
      </c>
      <c r="K675" s="296"/>
      <c r="L675" s="296"/>
      <c r="O675" s="380" t="str">
        <f t="shared" si="22"/>
        <v>23調査結果-改善予定-5(14)</v>
      </c>
    </row>
    <row r="676" spans="2:15">
      <c r="B676" s="1670" t="str">
        <f>'1_入力シート【基本情報】'!$GZ$440</f>
        <v/>
      </c>
      <c r="C676" s="1670" t="str">
        <f t="shared" si="23"/>
        <v/>
      </c>
      <c r="E676" s="851">
        <v>23</v>
      </c>
      <c r="F676" s="847" t="s">
        <v>33</v>
      </c>
      <c r="G676" s="824" t="s">
        <v>1407</v>
      </c>
      <c r="H676" s="296" t="s">
        <v>536</v>
      </c>
      <c r="I676" s="826" t="s">
        <v>1407</v>
      </c>
      <c r="J676" s="841" t="s">
        <v>1283</v>
      </c>
      <c r="K676" s="296"/>
      <c r="L676" s="296"/>
      <c r="O676" s="380" t="str">
        <f t="shared" si="22"/>
        <v>23調査結果-改善予定-5(15)</v>
      </c>
    </row>
    <row r="677" spans="2:15">
      <c r="B677" s="1670" t="str">
        <f>'1_入力シート【基本情報】'!$GZ$441</f>
        <v/>
      </c>
      <c r="C677" s="1670" t="str">
        <f t="shared" si="23"/>
        <v/>
      </c>
      <c r="E677" s="851">
        <v>23</v>
      </c>
      <c r="F677" s="847" t="s">
        <v>33</v>
      </c>
      <c r="G677" s="824" t="s">
        <v>1407</v>
      </c>
      <c r="H677" s="296" t="s">
        <v>536</v>
      </c>
      <c r="I677" s="826" t="s">
        <v>1407</v>
      </c>
      <c r="J677" s="841" t="s">
        <v>1284</v>
      </c>
      <c r="K677" s="296"/>
      <c r="L677" s="296"/>
      <c r="O677" s="380" t="str">
        <f t="shared" si="22"/>
        <v>23調査結果-改善予定-5(16)</v>
      </c>
    </row>
    <row r="678" spans="2:15">
      <c r="B678" s="1670" t="str">
        <f>'1_入力シート【基本情報】'!$GZ$442</f>
        <v/>
      </c>
      <c r="C678" s="1670" t="str">
        <f t="shared" si="23"/>
        <v/>
      </c>
      <c r="E678" s="851">
        <v>23</v>
      </c>
      <c r="F678" s="847" t="s">
        <v>33</v>
      </c>
      <c r="G678" s="824" t="s">
        <v>1407</v>
      </c>
      <c r="H678" s="296" t="s">
        <v>536</v>
      </c>
      <c r="I678" s="826" t="s">
        <v>1407</v>
      </c>
      <c r="J678" s="841" t="s">
        <v>1285</v>
      </c>
      <c r="K678" s="296"/>
      <c r="L678" s="296"/>
      <c r="O678" s="380" t="str">
        <f t="shared" si="22"/>
        <v>23調査結果-改善予定-5(17)</v>
      </c>
    </row>
    <row r="679" spans="2:15">
      <c r="B679" s="1670" t="str">
        <f>'1_入力シート【基本情報】'!$GZ$443</f>
        <v/>
      </c>
      <c r="C679" s="1670" t="str">
        <f t="shared" si="23"/>
        <v/>
      </c>
      <c r="E679" s="851">
        <v>23</v>
      </c>
      <c r="F679" s="847" t="s">
        <v>33</v>
      </c>
      <c r="G679" s="824" t="s">
        <v>1407</v>
      </c>
      <c r="H679" s="296" t="s">
        <v>536</v>
      </c>
      <c r="I679" s="826" t="s">
        <v>1407</v>
      </c>
      <c r="J679" s="841" t="s">
        <v>1286</v>
      </c>
      <c r="K679" s="296"/>
      <c r="L679" s="296"/>
      <c r="O679" s="380" t="str">
        <f t="shared" si="22"/>
        <v>23調査結果-改善予定-5(18)</v>
      </c>
    </row>
    <row r="680" spans="2:15">
      <c r="B680" s="1670" t="str">
        <f>'1_入力シート【基本情報】'!$GZ$444</f>
        <v/>
      </c>
      <c r="C680" s="1670" t="str">
        <f t="shared" si="23"/>
        <v/>
      </c>
      <c r="E680" s="851">
        <v>23</v>
      </c>
      <c r="F680" s="847" t="s">
        <v>33</v>
      </c>
      <c r="G680" s="824" t="s">
        <v>1407</v>
      </c>
      <c r="H680" s="296" t="s">
        <v>536</v>
      </c>
      <c r="I680" s="826" t="s">
        <v>1407</v>
      </c>
      <c r="J680" s="841" t="s">
        <v>1287</v>
      </c>
      <c r="K680" s="296"/>
      <c r="L680" s="296"/>
      <c r="O680" s="380" t="str">
        <f t="shared" si="22"/>
        <v>23調査結果-改善予定-5(19)</v>
      </c>
    </row>
    <row r="681" spans="2:15">
      <c r="B681" s="1670" t="str">
        <f>'1_入力シート【基本情報】'!$GZ$445</f>
        <v/>
      </c>
      <c r="C681" s="1670" t="str">
        <f t="shared" si="23"/>
        <v/>
      </c>
      <c r="E681" s="851">
        <v>23</v>
      </c>
      <c r="F681" s="847" t="s">
        <v>33</v>
      </c>
      <c r="G681" s="824" t="s">
        <v>1407</v>
      </c>
      <c r="H681" s="296" t="s">
        <v>536</v>
      </c>
      <c r="I681" s="826" t="s">
        <v>1407</v>
      </c>
      <c r="J681" s="841" t="s">
        <v>1288</v>
      </c>
      <c r="K681" s="296"/>
      <c r="L681" s="296"/>
      <c r="O681" s="380" t="str">
        <f t="shared" si="22"/>
        <v>23調査結果-改善予定-5(20)</v>
      </c>
    </row>
    <row r="682" spans="2:15">
      <c r="B682" s="1670" t="str">
        <f>'1_入力シート【基本情報】'!$GZ$446</f>
        <v/>
      </c>
      <c r="C682" s="1670" t="str">
        <f t="shared" si="23"/>
        <v/>
      </c>
      <c r="E682" s="851">
        <v>23</v>
      </c>
      <c r="F682" s="847" t="s">
        <v>33</v>
      </c>
      <c r="G682" s="824" t="s">
        <v>1407</v>
      </c>
      <c r="H682" s="296" t="s">
        <v>536</v>
      </c>
      <c r="I682" s="826" t="s">
        <v>1407</v>
      </c>
      <c r="J682" s="841" t="s">
        <v>1289</v>
      </c>
      <c r="K682" s="296"/>
      <c r="L682" s="296"/>
      <c r="O682" s="380" t="str">
        <f t="shared" si="22"/>
        <v>23調査結果-改善予定-5(21)</v>
      </c>
    </row>
    <row r="683" spans="2:15">
      <c r="B683" s="1670" t="str">
        <f>'1_入力シート【基本情報】'!$GZ$447</f>
        <v/>
      </c>
      <c r="C683" s="1670" t="str">
        <f t="shared" si="23"/>
        <v/>
      </c>
      <c r="E683" s="851">
        <v>23</v>
      </c>
      <c r="F683" s="847" t="s">
        <v>33</v>
      </c>
      <c r="G683" s="824" t="s">
        <v>1407</v>
      </c>
      <c r="H683" s="296" t="s">
        <v>536</v>
      </c>
      <c r="I683" s="826" t="s">
        <v>1407</v>
      </c>
      <c r="J683" s="841" t="s">
        <v>1290</v>
      </c>
      <c r="K683" s="296"/>
      <c r="L683" s="296"/>
      <c r="O683" s="380" t="str">
        <f t="shared" si="22"/>
        <v>23調査結果-改善予定-5(22)</v>
      </c>
    </row>
    <row r="684" spans="2:15">
      <c r="B684" s="1670" t="str">
        <f>'1_入力シート【基本情報】'!$GZ$448</f>
        <v/>
      </c>
      <c r="C684" s="1670" t="str">
        <f t="shared" si="23"/>
        <v/>
      </c>
      <c r="E684" s="851">
        <v>23</v>
      </c>
      <c r="F684" s="847" t="s">
        <v>33</v>
      </c>
      <c r="G684" s="824" t="s">
        <v>1407</v>
      </c>
      <c r="H684" s="296" t="s">
        <v>536</v>
      </c>
      <c r="I684" s="826" t="s">
        <v>1407</v>
      </c>
      <c r="J684" s="841" t="s">
        <v>1291</v>
      </c>
      <c r="K684" s="296"/>
      <c r="L684" s="296"/>
      <c r="O684" s="380" t="str">
        <f t="shared" si="22"/>
        <v>23調査結果-改善予定-5(23)</v>
      </c>
    </row>
    <row r="685" spans="2:15">
      <c r="B685" s="1670" t="str">
        <f>'1_入力シート【基本情報】'!$GZ$449</f>
        <v/>
      </c>
      <c r="C685" s="1670" t="str">
        <f t="shared" si="23"/>
        <v/>
      </c>
      <c r="E685" s="851">
        <v>23</v>
      </c>
      <c r="F685" s="847" t="s">
        <v>33</v>
      </c>
      <c r="G685" s="824" t="s">
        <v>1407</v>
      </c>
      <c r="H685" s="296" t="s">
        <v>536</v>
      </c>
      <c r="I685" s="826" t="s">
        <v>1407</v>
      </c>
      <c r="J685" s="841" t="s">
        <v>1292</v>
      </c>
      <c r="K685" s="296"/>
      <c r="L685" s="296"/>
      <c r="O685" s="380" t="str">
        <f t="shared" si="22"/>
        <v>23調査結果-改善予定-5(24)</v>
      </c>
    </row>
    <row r="686" spans="2:15">
      <c r="B686" s="1670" t="str">
        <f>'1_入力シート【基本情報】'!$GZ$450</f>
        <v/>
      </c>
      <c r="C686" s="1670" t="str">
        <f t="shared" si="23"/>
        <v/>
      </c>
      <c r="E686" s="851">
        <v>23</v>
      </c>
      <c r="F686" s="847" t="s">
        <v>33</v>
      </c>
      <c r="G686" s="824" t="s">
        <v>1407</v>
      </c>
      <c r="H686" s="296" t="s">
        <v>536</v>
      </c>
      <c r="I686" s="826" t="s">
        <v>1407</v>
      </c>
      <c r="J686" s="841" t="s">
        <v>1293</v>
      </c>
      <c r="K686" s="296"/>
      <c r="L686" s="296"/>
      <c r="O686" s="380" t="str">
        <f t="shared" si="22"/>
        <v>23調査結果-改善予定-5(25)</v>
      </c>
    </row>
    <row r="687" spans="2:15">
      <c r="B687" s="1670" t="str">
        <f>'1_入力シート【基本情報】'!$GZ$451</f>
        <v/>
      </c>
      <c r="C687" s="1670" t="str">
        <f t="shared" si="23"/>
        <v/>
      </c>
      <c r="E687" s="851">
        <v>23</v>
      </c>
      <c r="F687" s="847" t="s">
        <v>33</v>
      </c>
      <c r="G687" s="824" t="s">
        <v>1407</v>
      </c>
      <c r="H687" s="296" t="s">
        <v>536</v>
      </c>
      <c r="I687" s="826" t="s">
        <v>1407</v>
      </c>
      <c r="J687" s="841" t="s">
        <v>1294</v>
      </c>
      <c r="K687" s="296"/>
      <c r="L687" s="296"/>
      <c r="O687" s="380" t="str">
        <f t="shared" si="22"/>
        <v>23調査結果-改善予定-5(26)</v>
      </c>
    </row>
    <row r="688" spans="2:15">
      <c r="B688" s="1670" t="str">
        <f>'1_入力シート【基本情報】'!$GZ$452</f>
        <v/>
      </c>
      <c r="C688" s="1670" t="str">
        <f t="shared" si="23"/>
        <v/>
      </c>
      <c r="E688" s="851">
        <v>23</v>
      </c>
      <c r="F688" s="847" t="s">
        <v>33</v>
      </c>
      <c r="G688" s="824" t="s">
        <v>1407</v>
      </c>
      <c r="H688" s="296" t="s">
        <v>536</v>
      </c>
      <c r="I688" s="826" t="s">
        <v>1407</v>
      </c>
      <c r="J688" s="841" t="s">
        <v>1295</v>
      </c>
      <c r="K688" s="296"/>
      <c r="L688" s="296"/>
      <c r="O688" s="380" t="str">
        <f t="shared" si="22"/>
        <v>23調査結果-改善予定-5(27)</v>
      </c>
    </row>
    <row r="689" spans="2:15">
      <c r="B689" s="1670" t="str">
        <f>'1_入力シート【基本情報】'!$GZ$453</f>
        <v/>
      </c>
      <c r="C689" s="1670" t="str">
        <f t="shared" si="23"/>
        <v/>
      </c>
      <c r="E689" s="851">
        <v>23</v>
      </c>
      <c r="F689" s="847" t="s">
        <v>33</v>
      </c>
      <c r="G689" s="824" t="s">
        <v>1407</v>
      </c>
      <c r="H689" s="296" t="s">
        <v>536</v>
      </c>
      <c r="I689" s="826" t="s">
        <v>1407</v>
      </c>
      <c r="J689" s="841" t="s">
        <v>1296</v>
      </c>
      <c r="K689" s="296"/>
      <c r="L689" s="296"/>
      <c r="O689" s="380" t="str">
        <f t="shared" si="22"/>
        <v>23調査結果-改善予定-5(28)</v>
      </c>
    </row>
    <row r="690" spans="2:15">
      <c r="B690" s="1670" t="str">
        <f>'1_入力シート【基本情報】'!$GZ$454</f>
        <v/>
      </c>
      <c r="C690" s="1670" t="str">
        <f t="shared" si="23"/>
        <v/>
      </c>
      <c r="E690" s="851">
        <v>23</v>
      </c>
      <c r="F690" s="847" t="s">
        <v>33</v>
      </c>
      <c r="G690" s="824" t="s">
        <v>1407</v>
      </c>
      <c r="H690" s="296" t="s">
        <v>536</v>
      </c>
      <c r="I690" s="826" t="s">
        <v>1407</v>
      </c>
      <c r="J690" s="841" t="s">
        <v>1297</v>
      </c>
      <c r="K690" s="296"/>
      <c r="L690" s="296"/>
      <c r="O690" s="380" t="str">
        <f t="shared" si="22"/>
        <v>23調査結果-改善予定-5(29)</v>
      </c>
    </row>
    <row r="691" spans="2:15">
      <c r="B691" s="1670" t="str">
        <f>'1_入力シート【基本情報】'!$GZ$455</f>
        <v/>
      </c>
      <c r="C691" s="1670" t="str">
        <f t="shared" si="23"/>
        <v/>
      </c>
      <c r="E691" s="851">
        <v>23</v>
      </c>
      <c r="F691" s="847" t="s">
        <v>33</v>
      </c>
      <c r="G691" s="824" t="s">
        <v>1407</v>
      </c>
      <c r="H691" s="296" t="s">
        <v>536</v>
      </c>
      <c r="I691" s="826" t="s">
        <v>1407</v>
      </c>
      <c r="J691" s="841" t="s">
        <v>1298</v>
      </c>
      <c r="K691" s="296"/>
      <c r="L691" s="296"/>
      <c r="O691" s="380" t="str">
        <f t="shared" si="22"/>
        <v>23調査結果-改善予定-5(30)</v>
      </c>
    </row>
    <row r="692" spans="2:15">
      <c r="B692" s="1670" t="str">
        <f>'1_入力シート【基本情報】'!$GZ$456</f>
        <v/>
      </c>
      <c r="C692" s="1670" t="str">
        <f t="shared" si="23"/>
        <v/>
      </c>
      <c r="E692" s="851">
        <v>23</v>
      </c>
      <c r="F692" s="847" t="s">
        <v>33</v>
      </c>
      <c r="G692" s="824" t="s">
        <v>1407</v>
      </c>
      <c r="H692" s="296" t="s">
        <v>536</v>
      </c>
      <c r="I692" s="826" t="s">
        <v>1407</v>
      </c>
      <c r="J692" s="841" t="s">
        <v>1299</v>
      </c>
      <c r="K692" s="296"/>
      <c r="L692" s="296"/>
      <c r="O692" s="380" t="str">
        <f t="shared" si="22"/>
        <v>23調査結果-改善予定-5(31)</v>
      </c>
    </row>
    <row r="693" spans="2:15">
      <c r="B693" s="1670" t="str">
        <f>'1_入力シート【基本情報】'!$GZ$457</f>
        <v/>
      </c>
      <c r="C693" s="1670" t="str">
        <f t="shared" si="23"/>
        <v/>
      </c>
      <c r="E693" s="851">
        <v>23</v>
      </c>
      <c r="F693" s="847" t="s">
        <v>33</v>
      </c>
      <c r="G693" s="824" t="s">
        <v>1407</v>
      </c>
      <c r="H693" s="296" t="s">
        <v>536</v>
      </c>
      <c r="I693" s="826" t="s">
        <v>1407</v>
      </c>
      <c r="J693" s="841" t="s">
        <v>1300</v>
      </c>
      <c r="K693" s="296"/>
      <c r="L693" s="296"/>
      <c r="O693" s="380" t="str">
        <f t="shared" si="22"/>
        <v>23調査結果-改善予定-5(32)</v>
      </c>
    </row>
    <row r="694" spans="2:15">
      <c r="B694" s="1670" t="str">
        <f>'1_入力シート【基本情報】'!$GZ$458</f>
        <v/>
      </c>
      <c r="C694" s="1670" t="str">
        <f t="shared" si="23"/>
        <v/>
      </c>
      <c r="E694" s="851">
        <v>23</v>
      </c>
      <c r="F694" s="847" t="s">
        <v>33</v>
      </c>
      <c r="G694" s="824" t="s">
        <v>1407</v>
      </c>
      <c r="H694" s="296" t="s">
        <v>536</v>
      </c>
      <c r="I694" s="826" t="s">
        <v>1407</v>
      </c>
      <c r="J694" s="841" t="s">
        <v>1301</v>
      </c>
      <c r="K694" s="296"/>
      <c r="L694" s="296"/>
      <c r="O694" s="380" t="str">
        <f t="shared" si="22"/>
        <v>23調査結果-改善予定-5(33)</v>
      </c>
    </row>
    <row r="695" spans="2:15">
      <c r="B695" s="1670" t="str">
        <f>'1_入力シート【基本情報】'!$GZ$459</f>
        <v/>
      </c>
      <c r="C695" s="1670" t="str">
        <f t="shared" si="23"/>
        <v/>
      </c>
      <c r="E695" s="851">
        <v>23</v>
      </c>
      <c r="F695" s="847" t="s">
        <v>33</v>
      </c>
      <c r="G695" s="824" t="s">
        <v>1407</v>
      </c>
      <c r="H695" s="296" t="s">
        <v>536</v>
      </c>
      <c r="I695" s="826" t="s">
        <v>1407</v>
      </c>
      <c r="J695" s="841" t="s">
        <v>1302</v>
      </c>
      <c r="K695" s="296"/>
      <c r="L695" s="296"/>
      <c r="O695" s="380" t="str">
        <f t="shared" si="22"/>
        <v>23調査結果-改善予定-5(34)</v>
      </c>
    </row>
    <row r="696" spans="2:15">
      <c r="B696" s="1670" t="str">
        <f>'1_入力シート【基本情報】'!$GZ$460</f>
        <v/>
      </c>
      <c r="C696" s="1670" t="str">
        <f t="shared" si="23"/>
        <v/>
      </c>
      <c r="E696" s="851">
        <v>23</v>
      </c>
      <c r="F696" s="847" t="s">
        <v>33</v>
      </c>
      <c r="G696" s="824" t="s">
        <v>1407</v>
      </c>
      <c r="H696" s="296" t="s">
        <v>536</v>
      </c>
      <c r="I696" s="826" t="s">
        <v>1407</v>
      </c>
      <c r="J696" s="841" t="s">
        <v>1303</v>
      </c>
      <c r="K696" s="296"/>
      <c r="L696" s="296"/>
      <c r="O696" s="380" t="str">
        <f t="shared" si="22"/>
        <v>23調査結果-改善予定-5(35)</v>
      </c>
    </row>
    <row r="697" spans="2:15">
      <c r="B697" s="1670" t="str">
        <f>'1_入力シート【基本情報】'!$GZ$461</f>
        <v/>
      </c>
      <c r="C697" s="1670" t="str">
        <f t="shared" si="23"/>
        <v/>
      </c>
      <c r="E697" s="851">
        <v>23</v>
      </c>
      <c r="F697" s="847" t="s">
        <v>33</v>
      </c>
      <c r="G697" s="824" t="s">
        <v>1407</v>
      </c>
      <c r="H697" s="296" t="s">
        <v>536</v>
      </c>
      <c r="I697" s="826" t="s">
        <v>1407</v>
      </c>
      <c r="J697" s="841" t="s">
        <v>1304</v>
      </c>
      <c r="K697" s="296"/>
      <c r="L697" s="296"/>
      <c r="O697" s="380" t="str">
        <f t="shared" si="22"/>
        <v>23調査結果-改善予定-5(36)</v>
      </c>
    </row>
    <row r="698" spans="2:15">
      <c r="B698" s="1670" t="str">
        <f>'1_入力シート【基本情報】'!$GZ$462</f>
        <v/>
      </c>
      <c r="C698" s="1670" t="str">
        <f t="shared" si="23"/>
        <v/>
      </c>
      <c r="E698" s="851">
        <v>23</v>
      </c>
      <c r="F698" s="847" t="s">
        <v>33</v>
      </c>
      <c r="G698" s="824" t="s">
        <v>1407</v>
      </c>
      <c r="H698" s="296" t="s">
        <v>536</v>
      </c>
      <c r="I698" s="826" t="s">
        <v>1407</v>
      </c>
      <c r="J698" s="841" t="s">
        <v>1305</v>
      </c>
      <c r="K698" s="296"/>
      <c r="L698" s="296"/>
      <c r="O698" s="380" t="str">
        <f t="shared" si="22"/>
        <v>23調査結果-改善予定-5(37)</v>
      </c>
    </row>
    <row r="699" spans="2:15">
      <c r="B699" s="1670" t="str">
        <f>'1_入力シート【基本情報】'!$GZ$463</f>
        <v/>
      </c>
      <c r="C699" s="1670" t="str">
        <f t="shared" si="23"/>
        <v/>
      </c>
      <c r="E699" s="851">
        <v>23</v>
      </c>
      <c r="F699" s="847" t="s">
        <v>33</v>
      </c>
      <c r="G699" s="824" t="s">
        <v>1407</v>
      </c>
      <c r="H699" s="296" t="s">
        <v>536</v>
      </c>
      <c r="I699" s="826" t="s">
        <v>1407</v>
      </c>
      <c r="J699" s="841" t="s">
        <v>1306</v>
      </c>
      <c r="K699" s="296"/>
      <c r="L699" s="296"/>
      <c r="O699" s="380" t="str">
        <f t="shared" si="22"/>
        <v>23調査結果-改善予定-5(38)</v>
      </c>
    </row>
    <row r="700" spans="2:15">
      <c r="B700" s="1670" t="str">
        <f>'1_入力シート【基本情報】'!$GZ$464</f>
        <v/>
      </c>
      <c r="C700" s="1670" t="str">
        <f t="shared" si="23"/>
        <v/>
      </c>
      <c r="E700" s="851">
        <v>23</v>
      </c>
      <c r="F700" s="847" t="s">
        <v>33</v>
      </c>
      <c r="G700" s="824" t="s">
        <v>1407</v>
      </c>
      <c r="H700" s="296" t="s">
        <v>536</v>
      </c>
      <c r="I700" s="826" t="s">
        <v>1407</v>
      </c>
      <c r="J700" s="841" t="s">
        <v>1307</v>
      </c>
      <c r="K700" s="296"/>
      <c r="L700" s="296"/>
      <c r="O700" s="380" t="str">
        <f t="shared" si="22"/>
        <v>23調査結果-改善予定-5(39)</v>
      </c>
    </row>
    <row r="701" spans="2:15">
      <c r="B701" s="1670" t="str">
        <f>'1_入力シート【基本情報】'!$GZ$465</f>
        <v/>
      </c>
      <c r="C701" s="1670" t="str">
        <f t="shared" si="23"/>
        <v/>
      </c>
      <c r="E701" s="851">
        <v>23</v>
      </c>
      <c r="F701" s="847" t="s">
        <v>33</v>
      </c>
      <c r="G701" s="824" t="s">
        <v>1407</v>
      </c>
      <c r="H701" s="296" t="s">
        <v>536</v>
      </c>
      <c r="I701" s="826" t="s">
        <v>1407</v>
      </c>
      <c r="J701" s="841" t="s">
        <v>1308</v>
      </c>
      <c r="K701" s="296"/>
      <c r="L701" s="296"/>
      <c r="O701" s="380" t="str">
        <f t="shared" si="22"/>
        <v>23調査結果-改善予定-5(40)</v>
      </c>
    </row>
    <row r="702" spans="2:15">
      <c r="B702" s="1670" t="str">
        <f>'1_入力シート【基本情報】'!$GZ$466</f>
        <v/>
      </c>
      <c r="C702" s="1670" t="str">
        <f t="shared" si="23"/>
        <v/>
      </c>
      <c r="E702" s="851">
        <v>23</v>
      </c>
      <c r="F702" s="847" t="s">
        <v>33</v>
      </c>
      <c r="G702" s="824" t="s">
        <v>1407</v>
      </c>
      <c r="H702" s="296" t="s">
        <v>536</v>
      </c>
      <c r="I702" s="826" t="s">
        <v>1407</v>
      </c>
      <c r="J702" s="841" t="s">
        <v>2581</v>
      </c>
      <c r="K702" s="296"/>
      <c r="L702" s="296"/>
      <c r="O702" s="380" t="str">
        <f t="shared" si="22"/>
        <v>23調査結果-改善予定-5(41)</v>
      </c>
    </row>
    <row r="703" spans="2:15">
      <c r="B703" s="1670" t="str">
        <f>'1_入力シート【基本情報】'!$GZ$467</f>
        <v/>
      </c>
      <c r="C703" s="1670" t="str">
        <f t="shared" si="23"/>
        <v/>
      </c>
      <c r="E703" s="851">
        <v>23</v>
      </c>
      <c r="F703" s="847" t="s">
        <v>33</v>
      </c>
      <c r="G703" s="824" t="s">
        <v>1407</v>
      </c>
      <c r="H703" s="296" t="s">
        <v>536</v>
      </c>
      <c r="I703" s="826" t="s">
        <v>1407</v>
      </c>
      <c r="J703" s="841" t="s">
        <v>2582</v>
      </c>
      <c r="K703" s="296"/>
      <c r="L703" s="296"/>
      <c r="O703" s="380" t="str">
        <f t="shared" si="22"/>
        <v>23調査結果-改善予定-5(42)</v>
      </c>
    </row>
    <row r="704" spans="2:15">
      <c r="B704" s="1670" t="str">
        <f>'1_入力シート【基本情報】'!$GZ$468</f>
        <v/>
      </c>
      <c r="C704" s="1670" t="str">
        <f t="shared" si="23"/>
        <v/>
      </c>
      <c r="E704" s="851">
        <v>23</v>
      </c>
      <c r="F704" s="847" t="s">
        <v>33</v>
      </c>
      <c r="G704" s="824" t="s">
        <v>1407</v>
      </c>
      <c r="H704" s="296" t="s">
        <v>536</v>
      </c>
      <c r="I704" s="826" t="s">
        <v>1407</v>
      </c>
      <c r="J704" s="841" t="s">
        <v>2583</v>
      </c>
      <c r="K704" s="296"/>
      <c r="L704" s="296"/>
      <c r="O704" s="380" t="str">
        <f t="shared" si="22"/>
        <v>23調査結果-改善予定-5(43)</v>
      </c>
    </row>
    <row r="705" spans="2:15">
      <c r="B705" s="1670" t="str">
        <f>'1_入力シート【基本情報】'!$GZ$469</f>
        <v/>
      </c>
      <c r="C705" s="1670" t="str">
        <f t="shared" si="23"/>
        <v/>
      </c>
      <c r="E705" s="851">
        <v>23</v>
      </c>
      <c r="F705" s="847" t="s">
        <v>33</v>
      </c>
      <c r="G705" s="824" t="s">
        <v>1407</v>
      </c>
      <c r="H705" s="296" t="s">
        <v>536</v>
      </c>
      <c r="I705" s="826" t="s">
        <v>1407</v>
      </c>
      <c r="J705" s="841" t="s">
        <v>2584</v>
      </c>
      <c r="K705" s="296"/>
      <c r="L705" s="296"/>
      <c r="O705" s="380" t="str">
        <f t="shared" si="22"/>
        <v>23調査結果-改善予定-5(44)</v>
      </c>
    </row>
    <row r="706" spans="2:15">
      <c r="B706" s="1670" t="str">
        <f>'1_入力シート【基本情報】'!$GZ$470</f>
        <v/>
      </c>
      <c r="C706" s="1670" t="str">
        <f t="shared" si="23"/>
        <v/>
      </c>
      <c r="E706" s="851">
        <v>23</v>
      </c>
      <c r="F706" s="847" t="s">
        <v>33</v>
      </c>
      <c r="G706" s="824" t="s">
        <v>1407</v>
      </c>
      <c r="H706" s="296" t="s">
        <v>536</v>
      </c>
      <c r="I706" s="826" t="s">
        <v>1407</v>
      </c>
      <c r="J706" s="841" t="s">
        <v>2585</v>
      </c>
      <c r="K706" s="296"/>
      <c r="L706" s="296"/>
      <c r="O706" s="380" t="str">
        <f t="shared" ref="O706:O740" si="24">CONCATENATE(E706,F706,G706,H706,I706,J706,K706,L706)</f>
        <v>23調査結果-改善予定-5(45)</v>
      </c>
    </row>
    <row r="707" spans="2:15">
      <c r="B707" s="1670" t="str">
        <f>'1_入力シート【基本情報】'!$GZ$475</f>
        <v/>
      </c>
      <c r="C707" s="1670" t="str">
        <f t="shared" si="23"/>
        <v/>
      </c>
      <c r="E707" s="851">
        <v>23</v>
      </c>
      <c r="F707" s="847" t="s">
        <v>33</v>
      </c>
      <c r="G707" s="824" t="s">
        <v>1407</v>
      </c>
      <c r="H707" s="296" t="s">
        <v>536</v>
      </c>
      <c r="I707" s="826" t="s">
        <v>1407</v>
      </c>
      <c r="J707" s="839" t="s">
        <v>1309</v>
      </c>
      <c r="K707" s="296"/>
      <c r="L707" s="296"/>
      <c r="O707" s="380" t="str">
        <f t="shared" si="24"/>
        <v>23調査結果-改善予定-6(1)</v>
      </c>
    </row>
    <row r="708" spans="2:15">
      <c r="B708" s="1670" t="str">
        <f>'1_入力シート【基本情報】'!$GZ$476</f>
        <v/>
      </c>
      <c r="C708" s="1670" t="str">
        <f t="shared" si="23"/>
        <v/>
      </c>
      <c r="E708" s="851">
        <v>23</v>
      </c>
      <c r="F708" s="847" t="s">
        <v>33</v>
      </c>
      <c r="G708" s="824" t="s">
        <v>1407</v>
      </c>
      <c r="H708" s="296" t="s">
        <v>536</v>
      </c>
      <c r="I708" s="826" t="s">
        <v>1407</v>
      </c>
      <c r="J708" s="839" t="s">
        <v>1310</v>
      </c>
      <c r="K708" s="296"/>
      <c r="L708" s="296"/>
      <c r="O708" s="380" t="str">
        <f t="shared" si="24"/>
        <v>23調査結果-改善予定-6(2)</v>
      </c>
    </row>
    <row r="709" spans="2:15">
      <c r="B709" s="1670" t="str">
        <f>'1_入力シート【基本情報】'!$GZ$477</f>
        <v/>
      </c>
      <c r="C709" s="1670" t="str">
        <f t="shared" ref="C709:C740" si="25">SUBSTITUTE(B709,CHAR(10),"")</f>
        <v/>
      </c>
      <c r="E709" s="851">
        <v>23</v>
      </c>
      <c r="F709" s="847" t="s">
        <v>33</v>
      </c>
      <c r="G709" s="824" t="s">
        <v>1407</v>
      </c>
      <c r="H709" s="296" t="s">
        <v>536</v>
      </c>
      <c r="I709" s="826" t="s">
        <v>1407</v>
      </c>
      <c r="J709" s="839" t="s">
        <v>1311</v>
      </c>
      <c r="K709" s="296"/>
      <c r="L709" s="296"/>
      <c r="O709" s="380" t="str">
        <f t="shared" si="24"/>
        <v>23調査結果-改善予定-6(3)</v>
      </c>
    </row>
    <row r="710" spans="2:15">
      <c r="B710" s="1670" t="str">
        <f>'1_入力シート【基本情報】'!$GZ$478</f>
        <v/>
      </c>
      <c r="C710" s="1670" t="str">
        <f t="shared" si="25"/>
        <v/>
      </c>
      <c r="E710" s="851">
        <v>23</v>
      </c>
      <c r="F710" s="847" t="s">
        <v>33</v>
      </c>
      <c r="G710" s="824" t="s">
        <v>1407</v>
      </c>
      <c r="H710" s="296" t="s">
        <v>536</v>
      </c>
      <c r="I710" s="826" t="s">
        <v>1407</v>
      </c>
      <c r="J710" s="839" t="s">
        <v>1312</v>
      </c>
      <c r="K710" s="296"/>
      <c r="L710" s="296"/>
      <c r="O710" s="380" t="str">
        <f t="shared" si="24"/>
        <v>23調査結果-改善予定-6(4)</v>
      </c>
    </row>
    <row r="711" spans="2:15">
      <c r="B711" s="1670" t="str">
        <f>'1_入力シート【基本情報】'!$GZ$479</f>
        <v/>
      </c>
      <c r="C711" s="1670" t="str">
        <f t="shared" si="25"/>
        <v/>
      </c>
      <c r="E711" s="851">
        <v>23</v>
      </c>
      <c r="F711" s="847" t="s">
        <v>33</v>
      </c>
      <c r="G711" s="824" t="s">
        <v>1407</v>
      </c>
      <c r="H711" s="296" t="s">
        <v>536</v>
      </c>
      <c r="I711" s="826" t="s">
        <v>1407</v>
      </c>
      <c r="J711" s="839" t="s">
        <v>1313</v>
      </c>
      <c r="K711" s="296"/>
      <c r="L711" s="296"/>
      <c r="O711" s="380" t="str">
        <f t="shared" si="24"/>
        <v>23調査結果-改善予定-6(5)</v>
      </c>
    </row>
    <row r="712" spans="2:15">
      <c r="B712" s="1670" t="str">
        <f>'1_入力シート【基本情報】'!$GZ$480</f>
        <v/>
      </c>
      <c r="C712" s="1670" t="str">
        <f t="shared" si="25"/>
        <v/>
      </c>
      <c r="E712" s="851">
        <v>23</v>
      </c>
      <c r="F712" s="847" t="s">
        <v>33</v>
      </c>
      <c r="G712" s="824" t="s">
        <v>1407</v>
      </c>
      <c r="H712" s="296" t="s">
        <v>536</v>
      </c>
      <c r="I712" s="826" t="s">
        <v>1407</v>
      </c>
      <c r="J712" s="839" t="s">
        <v>1314</v>
      </c>
      <c r="K712" s="296"/>
      <c r="L712" s="296"/>
      <c r="O712" s="380" t="str">
        <f t="shared" si="24"/>
        <v>23調査結果-改善予定-6(6)</v>
      </c>
    </row>
    <row r="713" spans="2:15">
      <c r="B713" s="1670" t="str">
        <f>'1_入力シート【基本情報】'!$GZ$481</f>
        <v/>
      </c>
      <c r="C713" s="1670" t="str">
        <f t="shared" si="25"/>
        <v/>
      </c>
      <c r="E713" s="851">
        <v>23</v>
      </c>
      <c r="F713" s="847" t="s">
        <v>33</v>
      </c>
      <c r="G713" s="824" t="s">
        <v>1407</v>
      </c>
      <c r="H713" s="296" t="s">
        <v>536</v>
      </c>
      <c r="I713" s="826" t="s">
        <v>1407</v>
      </c>
      <c r="J713" s="839" t="s">
        <v>1315</v>
      </c>
      <c r="K713" s="296"/>
      <c r="L713" s="296"/>
      <c r="O713" s="380" t="str">
        <f t="shared" si="24"/>
        <v>23調査結果-改善予定-6(7)</v>
      </c>
    </row>
    <row r="714" spans="2:15">
      <c r="B714" s="1670" t="str">
        <f>'1_入力シート【基本情報】'!$GZ$482</f>
        <v/>
      </c>
      <c r="C714" s="1670" t="str">
        <f t="shared" si="25"/>
        <v/>
      </c>
      <c r="E714" s="851">
        <v>23</v>
      </c>
      <c r="F714" s="847" t="s">
        <v>33</v>
      </c>
      <c r="G714" s="824" t="s">
        <v>1407</v>
      </c>
      <c r="H714" s="296" t="s">
        <v>536</v>
      </c>
      <c r="I714" s="826" t="s">
        <v>1407</v>
      </c>
      <c r="J714" s="839" t="s">
        <v>1316</v>
      </c>
      <c r="K714" s="296"/>
      <c r="L714" s="296"/>
      <c r="O714" s="380" t="str">
        <f t="shared" si="24"/>
        <v>23調査結果-改善予定-6(8)</v>
      </c>
    </row>
    <row r="715" spans="2:15">
      <c r="B715" s="1670" t="str">
        <f>'1_入力シート【基本情報】'!$GZ$483</f>
        <v/>
      </c>
      <c r="C715" s="1670" t="str">
        <f t="shared" si="25"/>
        <v/>
      </c>
      <c r="E715" s="851">
        <v>23</v>
      </c>
      <c r="F715" s="847" t="s">
        <v>33</v>
      </c>
      <c r="G715" s="824" t="s">
        <v>1407</v>
      </c>
      <c r="H715" s="296" t="s">
        <v>536</v>
      </c>
      <c r="I715" s="826" t="s">
        <v>1407</v>
      </c>
      <c r="J715" s="839" t="s">
        <v>1317</v>
      </c>
      <c r="K715" s="296"/>
      <c r="L715" s="296"/>
      <c r="O715" s="380" t="str">
        <f t="shared" si="24"/>
        <v>23調査結果-改善予定-6(9)</v>
      </c>
    </row>
    <row r="716" spans="2:15">
      <c r="B716" s="1670" t="str">
        <f>'1_入力シート【基本情報】'!$GZ$484</f>
        <v/>
      </c>
      <c r="C716" s="1670" t="str">
        <f t="shared" si="25"/>
        <v/>
      </c>
      <c r="E716" s="851">
        <v>23</v>
      </c>
      <c r="F716" s="847" t="s">
        <v>33</v>
      </c>
      <c r="G716" s="824" t="s">
        <v>1407</v>
      </c>
      <c r="H716" s="296" t="s">
        <v>536</v>
      </c>
      <c r="I716" s="826" t="s">
        <v>1407</v>
      </c>
      <c r="J716" s="839" t="s">
        <v>2586</v>
      </c>
      <c r="K716" s="296"/>
      <c r="L716" s="296"/>
      <c r="O716" s="380" t="str">
        <f t="shared" si="24"/>
        <v>23調査結果-改善予定-6(10)</v>
      </c>
    </row>
    <row r="717" spans="2:15">
      <c r="B717" s="1670" t="str">
        <f>'1_入力シート【基本情報】'!$GZ$485</f>
        <v/>
      </c>
      <c r="C717" s="1670" t="str">
        <f t="shared" si="25"/>
        <v/>
      </c>
      <c r="E717" s="851">
        <v>23</v>
      </c>
      <c r="F717" s="847" t="s">
        <v>33</v>
      </c>
      <c r="G717" s="824" t="s">
        <v>1407</v>
      </c>
      <c r="H717" s="296" t="s">
        <v>536</v>
      </c>
      <c r="I717" s="826" t="s">
        <v>1407</v>
      </c>
      <c r="J717" s="839" t="s">
        <v>2587</v>
      </c>
      <c r="K717" s="296"/>
      <c r="L717" s="296"/>
      <c r="O717" s="380" t="str">
        <f t="shared" si="24"/>
        <v>23調査結果-改善予定-6(11)</v>
      </c>
    </row>
    <row r="718" spans="2:15">
      <c r="B718" s="1670" t="str">
        <f>'1_入力シート【基本情報】'!$GZ$486</f>
        <v/>
      </c>
      <c r="C718" s="1670" t="str">
        <f t="shared" si="25"/>
        <v/>
      </c>
      <c r="E718" s="851">
        <v>23</v>
      </c>
      <c r="F718" s="847" t="s">
        <v>33</v>
      </c>
      <c r="G718" s="824" t="s">
        <v>1407</v>
      </c>
      <c r="H718" s="296" t="s">
        <v>536</v>
      </c>
      <c r="I718" s="826" t="s">
        <v>1407</v>
      </c>
      <c r="J718" s="839" t="s">
        <v>2588</v>
      </c>
      <c r="K718" s="296"/>
      <c r="L718" s="296"/>
      <c r="O718" s="380" t="str">
        <f t="shared" si="24"/>
        <v>23調査結果-改善予定-6(12)</v>
      </c>
    </row>
    <row r="719" spans="2:15">
      <c r="B719" s="1670" t="str">
        <f>'1_入力シート【基本情報】'!$GZ$487</f>
        <v/>
      </c>
      <c r="C719" s="1670" t="str">
        <f t="shared" si="25"/>
        <v/>
      </c>
      <c r="E719" s="851">
        <v>23</v>
      </c>
      <c r="F719" s="847" t="s">
        <v>33</v>
      </c>
      <c r="G719" s="824" t="s">
        <v>1407</v>
      </c>
      <c r="H719" s="296" t="s">
        <v>536</v>
      </c>
      <c r="I719" s="826" t="s">
        <v>1407</v>
      </c>
      <c r="J719" s="839" t="s">
        <v>2589</v>
      </c>
      <c r="K719" s="296"/>
      <c r="L719" s="296"/>
      <c r="O719" s="380" t="str">
        <f t="shared" si="24"/>
        <v>23調査結果-改善予定-6(13)</v>
      </c>
    </row>
    <row r="720" spans="2:15">
      <c r="B720" s="1670" t="str">
        <f>'1_入力シート【基本情報】'!$GZ$488</f>
        <v/>
      </c>
      <c r="C720" s="1670" t="str">
        <f t="shared" si="25"/>
        <v/>
      </c>
      <c r="E720" s="851">
        <v>23</v>
      </c>
      <c r="F720" s="847" t="s">
        <v>33</v>
      </c>
      <c r="G720" s="824" t="s">
        <v>1407</v>
      </c>
      <c r="H720" s="296" t="s">
        <v>536</v>
      </c>
      <c r="I720" s="826" t="s">
        <v>1407</v>
      </c>
      <c r="J720" s="839" t="s">
        <v>2590</v>
      </c>
      <c r="K720" s="296"/>
      <c r="L720" s="296"/>
      <c r="O720" s="380" t="str">
        <f t="shared" si="24"/>
        <v>23調査結果-改善予定-6(14)</v>
      </c>
    </row>
    <row r="721" spans="2:15">
      <c r="B721" s="1670" t="str">
        <f>'1_入力シート【基本情報】'!$GZ$493</f>
        <v/>
      </c>
      <c r="C721" s="1670" t="str">
        <f t="shared" si="25"/>
        <v/>
      </c>
      <c r="E721" s="851">
        <v>23</v>
      </c>
      <c r="F721" s="847" t="s">
        <v>33</v>
      </c>
      <c r="G721" s="824" t="s">
        <v>1407</v>
      </c>
      <c r="H721" s="296" t="s">
        <v>536</v>
      </c>
      <c r="I721" s="826" t="s">
        <v>1407</v>
      </c>
      <c r="J721" s="839" t="s">
        <v>1318</v>
      </c>
      <c r="K721" s="296"/>
      <c r="L721" s="296"/>
      <c r="O721" s="380" t="str">
        <f t="shared" si="24"/>
        <v>23調査結果-改善予定-7(1)</v>
      </c>
    </row>
    <row r="722" spans="2:15">
      <c r="B722" s="1670" t="str">
        <f>'1_入力シート【基本情報】'!$GZ$494</f>
        <v/>
      </c>
      <c r="C722" s="1670" t="str">
        <f t="shared" si="25"/>
        <v/>
      </c>
      <c r="E722" s="851">
        <v>23</v>
      </c>
      <c r="F722" s="847" t="s">
        <v>33</v>
      </c>
      <c r="G722" s="824" t="s">
        <v>1407</v>
      </c>
      <c r="H722" s="296" t="s">
        <v>536</v>
      </c>
      <c r="I722" s="826" t="s">
        <v>1407</v>
      </c>
      <c r="J722" s="839" t="s">
        <v>1319</v>
      </c>
      <c r="K722" s="296"/>
      <c r="L722" s="296"/>
      <c r="O722" s="380" t="str">
        <f t="shared" si="24"/>
        <v>23調査結果-改善予定-7(2)</v>
      </c>
    </row>
    <row r="723" spans="2:15">
      <c r="B723" s="1670" t="str">
        <f>'1_入力シート【基本情報】'!$GZ$495</f>
        <v/>
      </c>
      <c r="C723" s="1670" t="str">
        <f t="shared" si="25"/>
        <v/>
      </c>
      <c r="E723" s="851">
        <v>23</v>
      </c>
      <c r="F723" s="847" t="s">
        <v>33</v>
      </c>
      <c r="G723" s="824" t="s">
        <v>1407</v>
      </c>
      <c r="H723" s="296" t="s">
        <v>536</v>
      </c>
      <c r="I723" s="826" t="s">
        <v>1407</v>
      </c>
      <c r="J723" s="839" t="s">
        <v>1320</v>
      </c>
      <c r="K723" s="296"/>
      <c r="L723" s="296"/>
      <c r="O723" s="380" t="str">
        <f t="shared" si="24"/>
        <v>23調査結果-改善予定-7(3)</v>
      </c>
    </row>
    <row r="724" spans="2:15">
      <c r="B724" s="1670" t="str">
        <f>'1_入力シート【基本情報】'!$GZ$496</f>
        <v/>
      </c>
      <c r="C724" s="1670" t="str">
        <f t="shared" si="25"/>
        <v/>
      </c>
      <c r="E724" s="851">
        <v>23</v>
      </c>
      <c r="F724" s="847" t="s">
        <v>33</v>
      </c>
      <c r="G724" s="824" t="s">
        <v>1407</v>
      </c>
      <c r="H724" s="296" t="s">
        <v>536</v>
      </c>
      <c r="I724" s="826" t="s">
        <v>1407</v>
      </c>
      <c r="J724" s="839" t="s">
        <v>1321</v>
      </c>
      <c r="K724" s="296"/>
      <c r="L724" s="296"/>
      <c r="O724" s="380" t="str">
        <f t="shared" si="24"/>
        <v>23調査結果-改善予定-7(4)</v>
      </c>
    </row>
    <row r="725" spans="2:15">
      <c r="B725" s="1670" t="str">
        <f>'1_入力シート【基本情報】'!$GZ$497</f>
        <v/>
      </c>
      <c r="C725" s="1670" t="str">
        <f t="shared" si="25"/>
        <v/>
      </c>
      <c r="E725" s="851">
        <v>23</v>
      </c>
      <c r="F725" s="847" t="s">
        <v>33</v>
      </c>
      <c r="G725" s="824" t="s">
        <v>1407</v>
      </c>
      <c r="H725" s="296" t="s">
        <v>536</v>
      </c>
      <c r="I725" s="826" t="s">
        <v>1407</v>
      </c>
      <c r="J725" s="839" t="s">
        <v>1322</v>
      </c>
      <c r="K725" s="296"/>
      <c r="L725" s="296"/>
      <c r="O725" s="380" t="str">
        <f t="shared" si="24"/>
        <v>23調査結果-改善予定-7(5)</v>
      </c>
    </row>
    <row r="726" spans="2:15">
      <c r="B726" s="1670" t="str">
        <f>'1_入力シート【基本情報】'!$GZ$498</f>
        <v/>
      </c>
      <c r="C726" s="1670" t="str">
        <f t="shared" si="25"/>
        <v/>
      </c>
      <c r="E726" s="851">
        <v>23</v>
      </c>
      <c r="F726" s="847" t="s">
        <v>33</v>
      </c>
      <c r="G726" s="824" t="s">
        <v>1407</v>
      </c>
      <c r="H726" s="296" t="s">
        <v>536</v>
      </c>
      <c r="I726" s="826" t="s">
        <v>1407</v>
      </c>
      <c r="J726" s="839" t="s">
        <v>1381</v>
      </c>
      <c r="K726" s="296"/>
      <c r="L726" s="296"/>
      <c r="O726" s="380" t="str">
        <f t="shared" si="24"/>
        <v>23調査結果-改善予定-7(6)</v>
      </c>
    </row>
    <row r="727" spans="2:15">
      <c r="B727" s="1670" t="str">
        <f>'1_入力シート【基本情報】'!$GZ$499</f>
        <v/>
      </c>
      <c r="C727" s="1670" t="str">
        <f t="shared" si="25"/>
        <v/>
      </c>
      <c r="E727" s="851">
        <v>23</v>
      </c>
      <c r="F727" s="847" t="s">
        <v>33</v>
      </c>
      <c r="G727" s="824" t="s">
        <v>1407</v>
      </c>
      <c r="H727" s="296" t="s">
        <v>536</v>
      </c>
      <c r="I727" s="826" t="s">
        <v>1407</v>
      </c>
      <c r="J727" s="839" t="s">
        <v>1382</v>
      </c>
      <c r="K727" s="296"/>
      <c r="L727" s="296"/>
      <c r="O727" s="380" t="str">
        <f t="shared" si="24"/>
        <v>23調査結果-改善予定-7(7)</v>
      </c>
    </row>
    <row r="728" spans="2:15">
      <c r="B728" s="1670" t="str">
        <f>'1_入力シート【基本情報】'!$GZ$500</f>
        <v/>
      </c>
      <c r="C728" s="1670" t="str">
        <f t="shared" si="25"/>
        <v/>
      </c>
      <c r="E728" s="851">
        <v>23</v>
      </c>
      <c r="F728" s="847" t="s">
        <v>33</v>
      </c>
      <c r="G728" s="824" t="s">
        <v>1407</v>
      </c>
      <c r="H728" s="296" t="s">
        <v>536</v>
      </c>
      <c r="I728" s="826" t="s">
        <v>1407</v>
      </c>
      <c r="J728" s="839" t="s">
        <v>1383</v>
      </c>
      <c r="K728" s="296"/>
      <c r="L728" s="296"/>
      <c r="O728" s="380" t="str">
        <f t="shared" si="24"/>
        <v>23調査結果-改善予定-7(8)</v>
      </c>
    </row>
    <row r="729" spans="2:15">
      <c r="B729" s="1670" t="str">
        <f>'1_入力シート【基本情報】'!$GZ$501</f>
        <v/>
      </c>
      <c r="C729" s="1670" t="str">
        <f t="shared" si="25"/>
        <v/>
      </c>
      <c r="E729" s="851">
        <v>23</v>
      </c>
      <c r="F729" s="847" t="s">
        <v>33</v>
      </c>
      <c r="G729" s="824" t="s">
        <v>1407</v>
      </c>
      <c r="H729" s="296" t="s">
        <v>536</v>
      </c>
      <c r="I729" s="826" t="s">
        <v>1407</v>
      </c>
      <c r="J729" s="839" t="s">
        <v>1384</v>
      </c>
      <c r="K729" s="296"/>
      <c r="L729" s="296"/>
      <c r="O729" s="380" t="str">
        <f t="shared" si="24"/>
        <v>23調査結果-改善予定-7(9)</v>
      </c>
    </row>
    <row r="730" spans="2:15">
      <c r="B730" s="1670" t="str">
        <f>'1_入力シート【基本情報】'!$GZ$502</f>
        <v/>
      </c>
      <c r="C730" s="1670" t="str">
        <f t="shared" si="25"/>
        <v/>
      </c>
      <c r="E730" s="851">
        <v>23</v>
      </c>
      <c r="F730" s="847" t="s">
        <v>33</v>
      </c>
      <c r="G730" s="824" t="s">
        <v>1407</v>
      </c>
      <c r="H730" s="296" t="s">
        <v>536</v>
      </c>
      <c r="I730" s="826" t="s">
        <v>1407</v>
      </c>
      <c r="J730" s="839" t="s">
        <v>1385</v>
      </c>
      <c r="K730" s="296"/>
      <c r="L730" s="296"/>
      <c r="O730" s="380" t="str">
        <f t="shared" si="24"/>
        <v>23調査結果-改善予定-7(10)</v>
      </c>
    </row>
    <row r="731" spans="2:15">
      <c r="B731" s="1670" t="str">
        <f>'1_入力シート【基本情報】'!$GZ$503</f>
        <v/>
      </c>
      <c r="C731" s="1670" t="str">
        <f t="shared" si="25"/>
        <v/>
      </c>
      <c r="E731" s="851">
        <v>23</v>
      </c>
      <c r="F731" s="847" t="s">
        <v>33</v>
      </c>
      <c r="G731" s="824" t="s">
        <v>1407</v>
      </c>
      <c r="H731" s="296" t="s">
        <v>536</v>
      </c>
      <c r="I731" s="826" t="s">
        <v>1407</v>
      </c>
      <c r="J731" s="839" t="s">
        <v>2591</v>
      </c>
      <c r="K731" s="296"/>
      <c r="L731" s="296"/>
      <c r="O731" s="380" t="str">
        <f t="shared" si="24"/>
        <v>23調査結果-改善予定-7(11)</v>
      </c>
    </row>
    <row r="732" spans="2:15">
      <c r="B732" s="1670" t="str">
        <f>'1_入力シート【基本情報】'!$GZ$504</f>
        <v/>
      </c>
      <c r="C732" s="1670" t="str">
        <f t="shared" si="25"/>
        <v/>
      </c>
      <c r="E732" s="851">
        <v>23</v>
      </c>
      <c r="F732" s="847" t="s">
        <v>33</v>
      </c>
      <c r="G732" s="824" t="s">
        <v>1407</v>
      </c>
      <c r="H732" s="296" t="s">
        <v>536</v>
      </c>
      <c r="I732" s="826" t="s">
        <v>1407</v>
      </c>
      <c r="J732" s="839" t="s">
        <v>2592</v>
      </c>
      <c r="K732" s="296"/>
      <c r="L732" s="296"/>
      <c r="O732" s="380" t="str">
        <f t="shared" si="24"/>
        <v>23調査結果-改善予定-7(12)</v>
      </c>
    </row>
    <row r="733" spans="2:15">
      <c r="B733" s="1670" t="str">
        <f>'1_入力シート【基本情報】'!$GZ$505</f>
        <v/>
      </c>
      <c r="C733" s="1670" t="str">
        <f t="shared" si="25"/>
        <v/>
      </c>
      <c r="E733" s="851">
        <v>23</v>
      </c>
      <c r="F733" s="847" t="s">
        <v>33</v>
      </c>
      <c r="G733" s="824" t="s">
        <v>1407</v>
      </c>
      <c r="H733" s="296" t="s">
        <v>536</v>
      </c>
      <c r="I733" s="826" t="s">
        <v>1407</v>
      </c>
      <c r="J733" s="839" t="s">
        <v>2593</v>
      </c>
      <c r="K733" s="296"/>
      <c r="L733" s="296"/>
      <c r="O733" s="380" t="str">
        <f t="shared" si="24"/>
        <v>23調査結果-改善予定-7(13)</v>
      </c>
    </row>
    <row r="734" spans="2:15">
      <c r="B734" s="1670" t="str">
        <f>'1_入力シート【基本情報】'!$GZ$506</f>
        <v/>
      </c>
      <c r="C734" s="1670" t="str">
        <f t="shared" si="25"/>
        <v/>
      </c>
      <c r="E734" s="851">
        <v>23</v>
      </c>
      <c r="F734" s="847" t="s">
        <v>33</v>
      </c>
      <c r="G734" s="824" t="s">
        <v>1407</v>
      </c>
      <c r="H734" s="296" t="s">
        <v>536</v>
      </c>
      <c r="I734" s="826" t="s">
        <v>1407</v>
      </c>
      <c r="J734" s="839" t="s">
        <v>2594</v>
      </c>
      <c r="K734" s="296"/>
      <c r="L734" s="296"/>
      <c r="O734" s="380" t="str">
        <f t="shared" si="24"/>
        <v>23調査結果-改善予定-7(14)</v>
      </c>
    </row>
    <row r="735" spans="2:15">
      <c r="B735" s="1670" t="str">
        <f>'1_入力シート【基本情報】'!$GZ$507</f>
        <v/>
      </c>
      <c r="C735" s="1670" t="str">
        <f t="shared" si="25"/>
        <v/>
      </c>
      <c r="E735" s="851">
        <v>23</v>
      </c>
      <c r="F735" s="847" t="s">
        <v>33</v>
      </c>
      <c r="G735" s="824" t="s">
        <v>1407</v>
      </c>
      <c r="H735" s="296" t="s">
        <v>536</v>
      </c>
      <c r="I735" s="826" t="s">
        <v>1407</v>
      </c>
      <c r="J735" s="839" t="s">
        <v>2595</v>
      </c>
      <c r="K735" s="296"/>
      <c r="L735" s="296"/>
      <c r="O735" s="380" t="str">
        <f t="shared" si="24"/>
        <v>23調査結果-改善予定-7(15)</v>
      </c>
    </row>
    <row r="736" spans="2:15">
      <c r="B736" s="861" t="str">
        <f ca="1">INFO("SYSTEM")</f>
        <v>pcdos</v>
      </c>
      <c r="C736" s="861" t="str">
        <f t="shared" ca="1" si="25"/>
        <v>pcdos</v>
      </c>
      <c r="D736" s="3"/>
      <c r="E736" s="296"/>
      <c r="F736" s="2" t="s">
        <v>4671</v>
      </c>
      <c r="G736" s="824" t="s">
        <v>1407</v>
      </c>
      <c r="H736" s="2" t="s">
        <v>4672</v>
      </c>
      <c r="I736" s="296"/>
      <c r="J736" s="296"/>
      <c r="K736" s="296"/>
      <c r="L736" s="296"/>
      <c r="O736" s="380" t="str">
        <f t="shared" si="24"/>
        <v>info関数-操作環境の名前</v>
      </c>
    </row>
    <row r="737" spans="2:15">
      <c r="B737" s="861" t="str">
        <f ca="1">INFO("osversion")</f>
        <v>Windows (32-bit) NT 10.00</v>
      </c>
      <c r="C737" s="861" t="str">
        <f t="shared" ca="1" si="25"/>
        <v>Windows (32-bit) NT 10.00</v>
      </c>
      <c r="D737" s="3"/>
      <c r="E737" s="296"/>
      <c r="F737" s="2" t="s">
        <v>4671</v>
      </c>
      <c r="G737" s="824" t="s">
        <v>1407</v>
      </c>
      <c r="H737" s="2" t="s">
        <v>4673</v>
      </c>
      <c r="I737" s="296"/>
      <c r="J737" s="296"/>
      <c r="K737" s="296"/>
      <c r="L737" s="296"/>
      <c r="O737" s="380" t="str">
        <f t="shared" si="24"/>
        <v>info関数-OSのバージョン</v>
      </c>
    </row>
    <row r="738" spans="2:15">
      <c r="B738" s="861" t="str">
        <f ca="1">INFO("RELEASE")</f>
        <v>16.0</v>
      </c>
      <c r="C738" s="861" t="str">
        <f t="shared" ca="1" si="25"/>
        <v>16.0</v>
      </c>
      <c r="D738" s="3"/>
      <c r="E738" s="296"/>
      <c r="F738" s="2" t="s">
        <v>4671</v>
      </c>
      <c r="G738" s="824" t="s">
        <v>1407</v>
      </c>
      <c r="H738" s="2" t="s">
        <v>4674</v>
      </c>
      <c r="I738" s="296"/>
      <c r="J738" s="296"/>
      <c r="K738" s="296"/>
      <c r="L738" s="296"/>
      <c r="O738" s="380" t="str">
        <f t="shared" si="24"/>
        <v>info関数-Excel のバージョン</v>
      </c>
    </row>
    <row r="739" spans="2:15">
      <c r="B739" s="861" t="e">
        <f ca="1">isemail("aa@city.kyoto.lg.jp")</f>
        <v>#NAME?</v>
      </c>
      <c r="C739" s="861" t="e">
        <f t="shared" ca="1" si="25"/>
        <v>#NAME?</v>
      </c>
      <c r="D739" s="3"/>
      <c r="E739" s="296"/>
      <c r="F739" s="2" t="s">
        <v>4675</v>
      </c>
      <c r="G739" s="824" t="s">
        <v>1407</v>
      </c>
      <c r="H739" s="2" t="s">
        <v>4676</v>
      </c>
      <c r="I739" s="296"/>
      <c r="J739" s="296"/>
      <c r="K739" s="296"/>
      <c r="L739" s="296"/>
      <c r="O739" s="380" t="str">
        <f t="shared" si="24"/>
        <v>isemail関数-isemail関数が使用できる環境か</v>
      </c>
    </row>
    <row r="740" spans="2:15">
      <c r="B740" s="296" t="str">
        <f>チェックシート!$O$3</f>
        <v>ver112</v>
      </c>
      <c r="C740" s="296" t="str">
        <f t="shared" si="25"/>
        <v>ver112</v>
      </c>
      <c r="E740" s="296"/>
      <c r="F740" s="296" t="s">
        <v>5610</v>
      </c>
      <c r="G740" s="296"/>
      <c r="H740" s="296"/>
      <c r="I740" s="296"/>
      <c r="J740" s="296"/>
      <c r="K740" s="296"/>
      <c r="L740" s="296"/>
      <c r="O740" s="380" t="str">
        <f t="shared" si="24"/>
        <v>入力支援ファイルのバージョン</v>
      </c>
    </row>
  </sheetData>
  <phoneticPr fontId="3"/>
  <pageMargins left="0.7" right="0.7" top="0.75" bottom="0.75" header="0.3" footer="0.3"/>
  <pageSetup paperSize="9" orientation="portrait" copies="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2DA2C-2687-4DD8-A425-159738A68D4E}">
  <sheetPr codeName="Sheet16"/>
  <dimension ref="A1:ABI2"/>
  <sheetViews>
    <sheetView zoomScale="70" zoomScaleNormal="70" workbookViewId="0"/>
  </sheetViews>
  <sheetFormatPr defaultRowHeight="13"/>
  <cols>
    <col min="1" max="737" width="50.6328125" customWidth="1"/>
  </cols>
  <sheetData>
    <row r="1" spans="1:737" ht="26">
      <c r="A1" s="592" t="s">
        <v>2409</v>
      </c>
      <c r="B1" s="592" t="s">
        <v>5612</v>
      </c>
      <c r="C1" s="592" t="s">
        <v>4930</v>
      </c>
      <c r="D1" s="592" t="s">
        <v>1711</v>
      </c>
      <c r="E1" s="592" t="s">
        <v>1712</v>
      </c>
      <c r="F1" s="592" t="s">
        <v>1713</v>
      </c>
      <c r="G1" s="592" t="s">
        <v>1716</v>
      </c>
      <c r="H1" s="592" t="s">
        <v>1721</v>
      </c>
      <c r="I1" s="592" t="s">
        <v>1722</v>
      </c>
      <c r="J1" s="592" t="s">
        <v>1723</v>
      </c>
      <c r="K1" s="592" t="s">
        <v>4931</v>
      </c>
      <c r="L1" s="592" t="s">
        <v>1738</v>
      </c>
      <c r="M1" s="592" t="s">
        <v>1740</v>
      </c>
      <c r="N1" s="592" t="s">
        <v>1742</v>
      </c>
      <c r="O1" s="592" t="s">
        <v>1743</v>
      </c>
      <c r="P1" s="592" t="s">
        <v>1744</v>
      </c>
      <c r="Q1" s="592" t="s">
        <v>1745</v>
      </c>
      <c r="R1" s="592" t="s">
        <v>1746</v>
      </c>
      <c r="S1" s="592" t="s">
        <v>1747</v>
      </c>
      <c r="T1" s="592" t="s">
        <v>1750</v>
      </c>
      <c r="U1" s="592" t="s">
        <v>1751</v>
      </c>
      <c r="V1" s="592" t="s">
        <v>1752</v>
      </c>
      <c r="W1" s="592" t="s">
        <v>1753</v>
      </c>
      <c r="X1" s="592" t="s">
        <v>1754</v>
      </c>
      <c r="Y1" s="592" t="s">
        <v>1755</v>
      </c>
      <c r="Z1" s="592" t="s">
        <v>3405</v>
      </c>
      <c r="AA1" s="592" t="s">
        <v>1758</v>
      </c>
      <c r="AB1" s="592" t="s">
        <v>4932</v>
      </c>
      <c r="AC1" s="592" t="s">
        <v>4933</v>
      </c>
      <c r="AD1" s="592" t="s">
        <v>1763</v>
      </c>
      <c r="AE1" s="592" t="s">
        <v>1764</v>
      </c>
      <c r="AF1" s="592" t="s">
        <v>1767</v>
      </c>
      <c r="AG1" s="592" t="s">
        <v>1768</v>
      </c>
      <c r="AH1" s="592" t="s">
        <v>1769</v>
      </c>
      <c r="AI1" s="592" t="s">
        <v>1778</v>
      </c>
      <c r="AJ1" s="592" t="s">
        <v>4934</v>
      </c>
      <c r="AK1" s="592" t="s">
        <v>4935</v>
      </c>
      <c r="AL1" s="592" t="s">
        <v>1783</v>
      </c>
      <c r="AM1" s="592" t="s">
        <v>1784</v>
      </c>
      <c r="AN1" s="592" t="s">
        <v>1785</v>
      </c>
      <c r="AO1" s="592" t="s">
        <v>1786</v>
      </c>
      <c r="AP1" s="592" t="s">
        <v>1787</v>
      </c>
      <c r="AQ1" s="592" t="s">
        <v>1796</v>
      </c>
      <c r="AR1" s="592" t="s">
        <v>4936</v>
      </c>
      <c r="AS1" s="592" t="s">
        <v>4937</v>
      </c>
      <c r="AT1" s="592" t="s">
        <v>1801</v>
      </c>
      <c r="AU1" s="592" t="s">
        <v>4626</v>
      </c>
      <c r="AV1" s="592" t="s">
        <v>4627</v>
      </c>
      <c r="AW1" s="592" t="s">
        <v>4628</v>
      </c>
      <c r="AX1" s="592" t="s">
        <v>4629</v>
      </c>
      <c r="AY1" s="592" t="s">
        <v>1804</v>
      </c>
      <c r="AZ1" s="592" t="s">
        <v>1806</v>
      </c>
      <c r="BA1" s="592" t="s">
        <v>1808</v>
      </c>
      <c r="BB1" s="592" t="s">
        <v>1809</v>
      </c>
      <c r="BC1" s="592" t="s">
        <v>1811</v>
      </c>
      <c r="BD1" s="592" t="s">
        <v>1813</v>
      </c>
      <c r="BE1" s="592" t="s">
        <v>1815</v>
      </c>
      <c r="BF1" s="592" t="s">
        <v>1819</v>
      </c>
      <c r="BG1" s="592" t="s">
        <v>1821</v>
      </c>
      <c r="BH1" s="592" t="s">
        <v>1823</v>
      </c>
      <c r="BI1" s="592" t="s">
        <v>1824</v>
      </c>
      <c r="BJ1" s="592" t="s">
        <v>1825</v>
      </c>
      <c r="BK1" s="592" t="s">
        <v>1827</v>
      </c>
      <c r="BL1" s="592" t="s">
        <v>1833</v>
      </c>
      <c r="BM1" s="592" t="s">
        <v>1834</v>
      </c>
      <c r="BN1" s="592" t="s">
        <v>1835</v>
      </c>
      <c r="BO1" s="592" t="s">
        <v>1837</v>
      </c>
      <c r="BP1" s="592" t="s">
        <v>1840</v>
      </c>
      <c r="BQ1" s="592" t="s">
        <v>4938</v>
      </c>
      <c r="BR1" s="592" t="s">
        <v>4939</v>
      </c>
      <c r="BS1" s="592" t="s">
        <v>4940</v>
      </c>
      <c r="BT1" s="592" t="s">
        <v>4941</v>
      </c>
      <c r="BU1" s="592" t="s">
        <v>4942</v>
      </c>
      <c r="BV1" s="592" t="s">
        <v>4943</v>
      </c>
      <c r="BW1" s="592" t="s">
        <v>4944</v>
      </c>
      <c r="BX1" s="592" t="s">
        <v>4945</v>
      </c>
      <c r="BY1" s="592" t="s">
        <v>4946</v>
      </c>
      <c r="BZ1" s="592" t="s">
        <v>4947</v>
      </c>
      <c r="CA1" s="592" t="s">
        <v>4948</v>
      </c>
      <c r="CB1" s="592" t="s">
        <v>4949</v>
      </c>
      <c r="CC1" s="592" t="s">
        <v>4950</v>
      </c>
      <c r="CD1" s="592" t="s">
        <v>4951</v>
      </c>
      <c r="CE1" s="592" t="s">
        <v>4952</v>
      </c>
      <c r="CF1" s="592" t="s">
        <v>4953</v>
      </c>
      <c r="CG1" s="592" t="s">
        <v>4954</v>
      </c>
      <c r="CH1" s="592" t="s">
        <v>4955</v>
      </c>
      <c r="CI1" s="592" t="s">
        <v>4956</v>
      </c>
      <c r="CJ1" s="592" t="s">
        <v>4957</v>
      </c>
      <c r="CK1" s="592" t="s">
        <v>4958</v>
      </c>
      <c r="CL1" s="592" t="s">
        <v>4959</v>
      </c>
      <c r="CM1" s="592" t="s">
        <v>4960</v>
      </c>
      <c r="CN1" s="592" t="s">
        <v>4961</v>
      </c>
      <c r="CO1" s="592" t="s">
        <v>4962</v>
      </c>
      <c r="CP1" s="592" t="s">
        <v>4963</v>
      </c>
      <c r="CQ1" s="592" t="s">
        <v>4964</v>
      </c>
      <c r="CR1" s="592" t="s">
        <v>4965</v>
      </c>
      <c r="CS1" s="592" t="s">
        <v>4966</v>
      </c>
      <c r="CT1" s="592" t="s">
        <v>4967</v>
      </c>
      <c r="CU1" s="592" t="s">
        <v>4968</v>
      </c>
      <c r="CV1" s="592" t="s">
        <v>4969</v>
      </c>
      <c r="CW1" s="592" t="s">
        <v>4970</v>
      </c>
      <c r="CX1" s="592" t="s">
        <v>4971</v>
      </c>
      <c r="CY1" s="592" t="s">
        <v>4972</v>
      </c>
      <c r="CZ1" s="592" t="s">
        <v>4973</v>
      </c>
      <c r="DA1" s="592" t="s">
        <v>4974</v>
      </c>
      <c r="DB1" s="592" t="s">
        <v>4975</v>
      </c>
      <c r="DC1" s="592" t="s">
        <v>4976</v>
      </c>
      <c r="DD1" s="592" t="s">
        <v>4977</v>
      </c>
      <c r="DE1" s="592" t="s">
        <v>4978</v>
      </c>
      <c r="DF1" s="592" t="s">
        <v>4979</v>
      </c>
      <c r="DG1" s="592" t="s">
        <v>4980</v>
      </c>
      <c r="DH1" s="592" t="s">
        <v>4981</v>
      </c>
      <c r="DI1" s="592" t="s">
        <v>4982</v>
      </c>
      <c r="DJ1" s="592" t="s">
        <v>4983</v>
      </c>
      <c r="DK1" s="592" t="s">
        <v>4984</v>
      </c>
      <c r="DL1" s="592" t="s">
        <v>4985</v>
      </c>
      <c r="DM1" s="592" t="s">
        <v>4986</v>
      </c>
      <c r="DN1" s="592" t="s">
        <v>4987</v>
      </c>
      <c r="DO1" s="592" t="s">
        <v>4988</v>
      </c>
      <c r="DP1" s="592" t="s">
        <v>4989</v>
      </c>
      <c r="DQ1" s="592" t="s">
        <v>4990</v>
      </c>
      <c r="DR1" s="592" t="s">
        <v>4991</v>
      </c>
      <c r="DS1" s="592" t="s">
        <v>4992</v>
      </c>
      <c r="DT1" s="592" t="s">
        <v>4993</v>
      </c>
      <c r="DU1" s="592" t="s">
        <v>4994</v>
      </c>
      <c r="DV1" s="592" t="s">
        <v>4995</v>
      </c>
      <c r="DW1" s="592" t="s">
        <v>4996</v>
      </c>
      <c r="DX1" s="592" t="s">
        <v>4997</v>
      </c>
      <c r="DY1" s="592" t="s">
        <v>4998</v>
      </c>
      <c r="DZ1" s="592" t="s">
        <v>4999</v>
      </c>
      <c r="EA1" s="592" t="s">
        <v>5000</v>
      </c>
      <c r="EB1" s="592" t="s">
        <v>5001</v>
      </c>
      <c r="EC1" s="592" t="s">
        <v>5002</v>
      </c>
      <c r="ED1" s="592" t="s">
        <v>5003</v>
      </c>
      <c r="EE1" s="592" t="s">
        <v>5004</v>
      </c>
      <c r="EF1" s="592" t="s">
        <v>5005</v>
      </c>
      <c r="EG1" s="592" t="s">
        <v>5006</v>
      </c>
      <c r="EH1" s="592" t="s">
        <v>5007</v>
      </c>
      <c r="EI1" s="592" t="s">
        <v>5008</v>
      </c>
      <c r="EJ1" s="592" t="s">
        <v>5009</v>
      </c>
      <c r="EK1" s="592" t="s">
        <v>5010</v>
      </c>
      <c r="EL1" s="592" t="s">
        <v>5011</v>
      </c>
      <c r="EM1" s="592" t="s">
        <v>5012</v>
      </c>
      <c r="EN1" s="592" t="s">
        <v>5013</v>
      </c>
      <c r="EO1" s="592" t="s">
        <v>5014</v>
      </c>
      <c r="EP1" s="592" t="s">
        <v>5015</v>
      </c>
      <c r="EQ1" s="592" t="s">
        <v>5016</v>
      </c>
      <c r="ER1" s="592" t="s">
        <v>5017</v>
      </c>
      <c r="ES1" s="592" t="s">
        <v>5018</v>
      </c>
      <c r="ET1" s="592" t="s">
        <v>5019</v>
      </c>
      <c r="EU1" s="592" t="s">
        <v>5020</v>
      </c>
      <c r="EV1" s="592" t="s">
        <v>5021</v>
      </c>
      <c r="EW1" s="592" t="s">
        <v>5022</v>
      </c>
      <c r="EX1" s="592" t="s">
        <v>5023</v>
      </c>
      <c r="EY1" s="592" t="s">
        <v>5024</v>
      </c>
      <c r="EZ1" s="592" t="s">
        <v>5025</v>
      </c>
      <c r="FA1" s="592" t="s">
        <v>5026</v>
      </c>
      <c r="FB1" s="592" t="s">
        <v>5027</v>
      </c>
      <c r="FC1" s="592" t="s">
        <v>5028</v>
      </c>
      <c r="FD1" s="592" t="s">
        <v>5029</v>
      </c>
      <c r="FE1" s="592" t="s">
        <v>5030</v>
      </c>
      <c r="FF1" s="592" t="s">
        <v>1934</v>
      </c>
      <c r="FG1" s="592" t="s">
        <v>1935</v>
      </c>
      <c r="FH1" s="592" t="s">
        <v>1936</v>
      </c>
      <c r="FI1" s="592" t="s">
        <v>5031</v>
      </c>
      <c r="FJ1" s="592" t="s">
        <v>1944</v>
      </c>
      <c r="FK1" s="592" t="s">
        <v>5032</v>
      </c>
      <c r="FL1" s="592" t="s">
        <v>1949</v>
      </c>
      <c r="FM1" s="592" t="s">
        <v>5033</v>
      </c>
      <c r="FN1" s="592" t="s">
        <v>4638</v>
      </c>
      <c r="FO1" s="592" t="s">
        <v>5034</v>
      </c>
      <c r="FP1" s="592" t="s">
        <v>5035</v>
      </c>
      <c r="FQ1" s="592" t="s">
        <v>5036</v>
      </c>
      <c r="FR1" s="592" t="s">
        <v>5037</v>
      </c>
      <c r="FS1" s="592" t="s">
        <v>3410</v>
      </c>
      <c r="FT1" s="592" t="s">
        <v>3411</v>
      </c>
      <c r="FU1" s="592" t="s">
        <v>3413</v>
      </c>
      <c r="FV1" s="592" t="s">
        <v>3414</v>
      </c>
      <c r="FW1" s="592" t="s">
        <v>3415</v>
      </c>
      <c r="FX1" s="592" t="s">
        <v>5038</v>
      </c>
      <c r="FY1" s="592" t="s">
        <v>5039</v>
      </c>
      <c r="FZ1" s="592" t="s">
        <v>5040</v>
      </c>
      <c r="GA1" s="592" t="s">
        <v>5041</v>
      </c>
      <c r="GB1" s="592" t="s">
        <v>5042</v>
      </c>
      <c r="GC1" s="592" t="s">
        <v>5043</v>
      </c>
      <c r="GD1" s="592" t="s">
        <v>5044</v>
      </c>
      <c r="GE1" s="592" t="s">
        <v>5045</v>
      </c>
      <c r="GF1" s="592" t="s">
        <v>5423</v>
      </c>
      <c r="GG1" s="592" t="s">
        <v>5424</v>
      </c>
      <c r="GH1" s="592" t="s">
        <v>5425</v>
      </c>
      <c r="GI1" s="592" t="s">
        <v>5426</v>
      </c>
      <c r="GJ1" s="592" t="s">
        <v>5427</v>
      </c>
      <c r="GK1" s="592" t="s">
        <v>5428</v>
      </c>
      <c r="GL1" s="592" t="s">
        <v>5429</v>
      </c>
      <c r="GM1" s="592" t="s">
        <v>5046</v>
      </c>
      <c r="GN1" s="592" t="s">
        <v>5047</v>
      </c>
      <c r="GO1" s="592" t="s">
        <v>5048</v>
      </c>
      <c r="GP1" s="592" t="s">
        <v>5049</v>
      </c>
      <c r="GQ1" s="592" t="s">
        <v>5050</v>
      </c>
      <c r="GR1" s="592" t="s">
        <v>5051</v>
      </c>
      <c r="GS1" s="592" t="s">
        <v>5052</v>
      </c>
      <c r="GT1" s="592" t="s">
        <v>5053</v>
      </c>
      <c r="GU1" s="592" t="s">
        <v>5054</v>
      </c>
      <c r="GV1" s="592" t="s">
        <v>5055</v>
      </c>
      <c r="GW1" s="592" t="s">
        <v>5056</v>
      </c>
      <c r="GX1" s="592" t="s">
        <v>5057</v>
      </c>
      <c r="GY1" s="592" t="s">
        <v>5058</v>
      </c>
      <c r="GZ1" s="592" t="s">
        <v>5059</v>
      </c>
      <c r="HA1" s="592" t="s">
        <v>5060</v>
      </c>
      <c r="HB1" s="592" t="s">
        <v>5061</v>
      </c>
      <c r="HC1" s="592" t="s">
        <v>5062</v>
      </c>
      <c r="HD1" s="592" t="s">
        <v>5063</v>
      </c>
      <c r="HE1" s="592" t="s">
        <v>5064</v>
      </c>
      <c r="HF1" s="592" t="s">
        <v>5065</v>
      </c>
      <c r="HG1" s="592" t="s">
        <v>5066</v>
      </c>
      <c r="HH1" s="592" t="s">
        <v>5067</v>
      </c>
      <c r="HI1" s="592" t="s">
        <v>5068</v>
      </c>
      <c r="HJ1" s="592" t="s">
        <v>5069</v>
      </c>
      <c r="HK1" s="592" t="s">
        <v>5070</v>
      </c>
      <c r="HL1" s="592" t="s">
        <v>5071</v>
      </c>
      <c r="HM1" s="592" t="s">
        <v>5072</v>
      </c>
      <c r="HN1" s="592" t="s">
        <v>5073</v>
      </c>
      <c r="HO1" s="592" t="s">
        <v>5074</v>
      </c>
      <c r="HP1" s="592" t="s">
        <v>5075</v>
      </c>
      <c r="HQ1" s="592" t="s">
        <v>5076</v>
      </c>
      <c r="HR1" s="592" t="s">
        <v>5077</v>
      </c>
      <c r="HS1" s="592" t="s">
        <v>5078</v>
      </c>
      <c r="HT1" s="592" t="s">
        <v>5079</v>
      </c>
      <c r="HU1" s="592" t="s">
        <v>5080</v>
      </c>
      <c r="HV1" s="592" t="s">
        <v>5081</v>
      </c>
      <c r="HW1" s="592" t="s">
        <v>5082</v>
      </c>
      <c r="HX1" s="592" t="s">
        <v>5083</v>
      </c>
      <c r="HY1" s="592" t="s">
        <v>5084</v>
      </c>
      <c r="HZ1" s="592" t="s">
        <v>5085</v>
      </c>
      <c r="IA1" s="592" t="s">
        <v>5086</v>
      </c>
      <c r="IB1" s="592" t="s">
        <v>5087</v>
      </c>
      <c r="IC1" s="592" t="s">
        <v>5088</v>
      </c>
      <c r="ID1" s="592" t="s">
        <v>5089</v>
      </c>
      <c r="IE1" s="592" t="s">
        <v>5090</v>
      </c>
      <c r="IF1" s="592" t="s">
        <v>5091</v>
      </c>
      <c r="IG1" s="592" t="s">
        <v>5092</v>
      </c>
      <c r="IH1" s="592" t="s">
        <v>5093</v>
      </c>
      <c r="II1" s="592" t="s">
        <v>5094</v>
      </c>
      <c r="IJ1" s="592" t="s">
        <v>5095</v>
      </c>
      <c r="IK1" s="592" t="s">
        <v>5096</v>
      </c>
      <c r="IL1" s="592" t="s">
        <v>5097</v>
      </c>
      <c r="IM1" s="592" t="s">
        <v>5098</v>
      </c>
      <c r="IN1" s="592" t="s">
        <v>5099</v>
      </c>
      <c r="IO1" s="592" t="s">
        <v>5100</v>
      </c>
      <c r="IP1" s="592" t="s">
        <v>5101</v>
      </c>
      <c r="IQ1" s="592" t="s">
        <v>5102</v>
      </c>
      <c r="IR1" s="592" t="s">
        <v>5103</v>
      </c>
      <c r="IS1" s="592" t="s">
        <v>5104</v>
      </c>
      <c r="IT1" s="592" t="s">
        <v>5105</v>
      </c>
      <c r="IU1" s="592" t="s">
        <v>5106</v>
      </c>
      <c r="IV1" s="592" t="s">
        <v>5107</v>
      </c>
      <c r="IW1" s="592" t="s">
        <v>5108</v>
      </c>
      <c r="IX1" s="592" t="s">
        <v>5109</v>
      </c>
      <c r="IY1" s="592" t="s">
        <v>5110</v>
      </c>
      <c r="IZ1" s="592" t="s">
        <v>5111</v>
      </c>
      <c r="JA1" s="592" t="s">
        <v>5112</v>
      </c>
      <c r="JB1" s="592" t="s">
        <v>5113</v>
      </c>
      <c r="JC1" s="592" t="s">
        <v>5114</v>
      </c>
      <c r="JD1" s="592" t="s">
        <v>5115</v>
      </c>
      <c r="JE1" s="592" t="s">
        <v>5116</v>
      </c>
      <c r="JF1" s="592" t="s">
        <v>5117</v>
      </c>
      <c r="JG1" s="592" t="s">
        <v>5118</v>
      </c>
      <c r="JH1" s="592" t="s">
        <v>5119</v>
      </c>
      <c r="JI1" s="592" t="s">
        <v>5120</v>
      </c>
      <c r="JJ1" s="592" t="s">
        <v>5121</v>
      </c>
      <c r="JK1" s="592" t="s">
        <v>5122</v>
      </c>
      <c r="JL1" s="592" t="s">
        <v>5123</v>
      </c>
      <c r="JM1" s="592" t="s">
        <v>5124</v>
      </c>
      <c r="JN1" s="592" t="s">
        <v>5125</v>
      </c>
      <c r="JO1" s="592" t="s">
        <v>5126</v>
      </c>
      <c r="JP1" s="592" t="s">
        <v>5127</v>
      </c>
      <c r="JQ1" s="592" t="s">
        <v>5128</v>
      </c>
      <c r="JR1" s="592" t="s">
        <v>5129</v>
      </c>
      <c r="JS1" s="592" t="s">
        <v>5130</v>
      </c>
      <c r="JT1" s="592" t="s">
        <v>5131</v>
      </c>
      <c r="JU1" s="592" t="s">
        <v>5132</v>
      </c>
      <c r="JV1" s="592" t="s">
        <v>5133</v>
      </c>
      <c r="JW1" s="592" t="s">
        <v>5134</v>
      </c>
      <c r="JX1" s="592" t="s">
        <v>5135</v>
      </c>
      <c r="JY1" s="592" t="s">
        <v>5136</v>
      </c>
      <c r="JZ1" s="592" t="s">
        <v>5137</v>
      </c>
      <c r="KA1" s="592" t="s">
        <v>5138</v>
      </c>
      <c r="KB1" s="592" t="s">
        <v>5139</v>
      </c>
      <c r="KC1" s="592" t="s">
        <v>5140</v>
      </c>
      <c r="KD1" s="592" t="s">
        <v>5141</v>
      </c>
      <c r="KE1" s="592" t="s">
        <v>5142</v>
      </c>
      <c r="KF1" s="592" t="s">
        <v>5143</v>
      </c>
      <c r="KG1" s="592" t="s">
        <v>5144</v>
      </c>
      <c r="KH1" s="592" t="s">
        <v>5145</v>
      </c>
      <c r="KI1" s="592" t="s">
        <v>5146</v>
      </c>
      <c r="KJ1" s="592" t="s">
        <v>5147</v>
      </c>
      <c r="KK1" s="592" t="s">
        <v>5148</v>
      </c>
      <c r="KL1" s="592" t="s">
        <v>5149</v>
      </c>
      <c r="KM1" s="592" t="s">
        <v>5150</v>
      </c>
      <c r="KN1" s="592" t="s">
        <v>5151</v>
      </c>
      <c r="KO1" s="592" t="s">
        <v>5152</v>
      </c>
      <c r="KP1" s="592" t="s">
        <v>5153</v>
      </c>
      <c r="KQ1" s="592" t="s">
        <v>5154</v>
      </c>
      <c r="KR1" s="592" t="s">
        <v>5155</v>
      </c>
      <c r="KS1" s="592" t="s">
        <v>5156</v>
      </c>
      <c r="KT1" s="592" t="s">
        <v>5157</v>
      </c>
      <c r="KU1" s="592" t="s">
        <v>5158</v>
      </c>
      <c r="KV1" s="592" t="s">
        <v>5159</v>
      </c>
      <c r="KW1" s="592" t="s">
        <v>5160</v>
      </c>
      <c r="KX1" s="592" t="s">
        <v>5161</v>
      </c>
      <c r="KY1" s="592" t="s">
        <v>5162</v>
      </c>
      <c r="KZ1" s="592" t="s">
        <v>5163</v>
      </c>
      <c r="LA1" s="592" t="s">
        <v>5164</v>
      </c>
      <c r="LB1" s="592" t="s">
        <v>5165</v>
      </c>
      <c r="LC1" s="592" t="s">
        <v>5166</v>
      </c>
      <c r="LD1" s="592" t="s">
        <v>5167</v>
      </c>
      <c r="LE1" s="592" t="s">
        <v>5168</v>
      </c>
      <c r="LF1" s="592" t="s">
        <v>5169</v>
      </c>
      <c r="LG1" s="592" t="s">
        <v>5170</v>
      </c>
      <c r="LH1" s="592" t="s">
        <v>5171</v>
      </c>
      <c r="LI1" s="592" t="s">
        <v>5172</v>
      </c>
      <c r="LJ1" s="592" t="s">
        <v>5173</v>
      </c>
      <c r="LK1" s="592" t="s">
        <v>5174</v>
      </c>
      <c r="LL1" s="592" t="s">
        <v>5175</v>
      </c>
      <c r="LM1" s="592" t="s">
        <v>5176</v>
      </c>
      <c r="LN1" s="592" t="s">
        <v>5177</v>
      </c>
      <c r="LO1" s="592" t="s">
        <v>5178</v>
      </c>
      <c r="LP1" s="592" t="s">
        <v>5179</v>
      </c>
      <c r="LQ1" s="592" t="s">
        <v>5180</v>
      </c>
      <c r="LR1" s="592" t="s">
        <v>5181</v>
      </c>
      <c r="LS1" s="592" t="s">
        <v>5182</v>
      </c>
      <c r="LT1" s="592" t="s">
        <v>5183</v>
      </c>
      <c r="LU1" s="592" t="s">
        <v>5184</v>
      </c>
      <c r="LV1" s="592" t="s">
        <v>5185</v>
      </c>
      <c r="LW1" s="592" t="s">
        <v>5186</v>
      </c>
      <c r="LX1" s="592" t="s">
        <v>5187</v>
      </c>
      <c r="LY1" s="592" t="s">
        <v>5188</v>
      </c>
      <c r="LZ1" s="592" t="s">
        <v>5189</v>
      </c>
      <c r="MA1" s="592" t="s">
        <v>5190</v>
      </c>
      <c r="MB1" s="592" t="s">
        <v>5191</v>
      </c>
      <c r="MC1" s="592" t="s">
        <v>5192</v>
      </c>
      <c r="MD1" s="592" t="s">
        <v>5193</v>
      </c>
      <c r="ME1" s="592" t="s">
        <v>5194</v>
      </c>
      <c r="MF1" s="592" t="s">
        <v>5195</v>
      </c>
      <c r="MG1" s="592" t="s">
        <v>5196</v>
      </c>
      <c r="MH1" s="592" t="s">
        <v>5197</v>
      </c>
      <c r="MI1" s="592" t="s">
        <v>5198</v>
      </c>
      <c r="MJ1" s="592" t="s">
        <v>5199</v>
      </c>
      <c r="MK1" s="592" t="s">
        <v>5200</v>
      </c>
      <c r="ML1" s="592" t="s">
        <v>5201</v>
      </c>
      <c r="MM1" s="592" t="s">
        <v>5202</v>
      </c>
      <c r="MN1" s="592" t="s">
        <v>5203</v>
      </c>
      <c r="MO1" s="592" t="s">
        <v>5204</v>
      </c>
      <c r="MP1" s="592" t="s">
        <v>5205</v>
      </c>
      <c r="MQ1" s="592" t="s">
        <v>5206</v>
      </c>
      <c r="MR1" s="592" t="s">
        <v>5207</v>
      </c>
      <c r="MS1" s="592" t="s">
        <v>5208</v>
      </c>
      <c r="MT1" s="592" t="s">
        <v>5209</v>
      </c>
      <c r="MU1" s="592" t="s">
        <v>5210</v>
      </c>
      <c r="MV1" s="592" t="s">
        <v>5211</v>
      </c>
      <c r="MW1" s="592" t="s">
        <v>5212</v>
      </c>
      <c r="MX1" s="592" t="s">
        <v>5213</v>
      </c>
      <c r="MY1" s="592" t="s">
        <v>5214</v>
      </c>
      <c r="MZ1" s="592" t="s">
        <v>5215</v>
      </c>
      <c r="NA1" s="592" t="s">
        <v>5216</v>
      </c>
      <c r="NB1" s="592" t="s">
        <v>5217</v>
      </c>
      <c r="NC1" s="592" t="s">
        <v>5218</v>
      </c>
      <c r="ND1" s="592" t="s">
        <v>5219</v>
      </c>
      <c r="NE1" s="592" t="s">
        <v>5220</v>
      </c>
      <c r="NF1" s="592" t="s">
        <v>5221</v>
      </c>
      <c r="NG1" s="592" t="s">
        <v>5222</v>
      </c>
      <c r="NH1" s="592" t="s">
        <v>5223</v>
      </c>
      <c r="NI1" s="592" t="s">
        <v>5224</v>
      </c>
      <c r="NJ1" s="592" t="s">
        <v>5225</v>
      </c>
      <c r="NK1" s="592" t="s">
        <v>5226</v>
      </c>
      <c r="NL1" s="592" t="s">
        <v>5227</v>
      </c>
      <c r="NM1" s="592" t="s">
        <v>5228</v>
      </c>
      <c r="NN1" s="592" t="s">
        <v>5229</v>
      </c>
      <c r="NO1" s="592" t="s">
        <v>5444</v>
      </c>
      <c r="NP1" s="592" t="s">
        <v>5445</v>
      </c>
      <c r="NQ1" s="592" t="s">
        <v>5446</v>
      </c>
      <c r="NR1" s="592" t="s">
        <v>5447</v>
      </c>
      <c r="NS1" s="592" t="s">
        <v>5448</v>
      </c>
      <c r="NT1" s="592" t="s">
        <v>5449</v>
      </c>
      <c r="NU1" s="592" t="s">
        <v>5450</v>
      </c>
      <c r="NV1" s="592" t="s">
        <v>5451</v>
      </c>
      <c r="NW1" s="592" t="s">
        <v>5452</v>
      </c>
      <c r="NX1" s="592" t="s">
        <v>5453</v>
      </c>
      <c r="NY1" s="592" t="s">
        <v>5454</v>
      </c>
      <c r="NZ1" s="592" t="s">
        <v>5455</v>
      </c>
      <c r="OA1" s="592" t="s">
        <v>5456</v>
      </c>
      <c r="OB1" s="592" t="s">
        <v>5457</v>
      </c>
      <c r="OC1" s="592" t="s">
        <v>5458</v>
      </c>
      <c r="OD1" s="592" t="s">
        <v>5459</v>
      </c>
      <c r="OE1" s="592" t="s">
        <v>5460</v>
      </c>
      <c r="OF1" s="592" t="s">
        <v>5461</v>
      </c>
      <c r="OG1" s="592" t="s">
        <v>5462</v>
      </c>
      <c r="OH1" s="592" t="s">
        <v>5463</v>
      </c>
      <c r="OI1" s="592" t="s">
        <v>5464</v>
      </c>
      <c r="OJ1" s="592" t="s">
        <v>5465</v>
      </c>
      <c r="OK1" s="592" t="s">
        <v>5466</v>
      </c>
      <c r="OL1" s="592" t="s">
        <v>5467</v>
      </c>
      <c r="OM1" s="592" t="s">
        <v>5430</v>
      </c>
      <c r="ON1" s="592" t="s">
        <v>5468</v>
      </c>
      <c r="OO1" s="592" t="s">
        <v>5469</v>
      </c>
      <c r="OP1" s="592" t="s">
        <v>5470</v>
      </c>
      <c r="OQ1" s="592" t="s">
        <v>5471</v>
      </c>
      <c r="OR1" s="592" t="s">
        <v>5472</v>
      </c>
      <c r="OS1" s="592" t="s">
        <v>5473</v>
      </c>
      <c r="OT1" s="592" t="s">
        <v>5474</v>
      </c>
      <c r="OU1" s="592" t="s">
        <v>5475</v>
      </c>
      <c r="OV1" s="592" t="s">
        <v>5476</v>
      </c>
      <c r="OW1" s="592" t="s">
        <v>5477</v>
      </c>
      <c r="OX1" s="592" t="s">
        <v>5478</v>
      </c>
      <c r="OY1" s="592" t="s">
        <v>5479</v>
      </c>
      <c r="OZ1" s="592" t="s">
        <v>5480</v>
      </c>
      <c r="PA1" s="592" t="s">
        <v>5481</v>
      </c>
      <c r="PB1" s="592" t="s">
        <v>5482</v>
      </c>
      <c r="PC1" s="592" t="s">
        <v>5483</v>
      </c>
      <c r="PD1" s="592" t="s">
        <v>5484</v>
      </c>
      <c r="PE1" s="592" t="s">
        <v>5485</v>
      </c>
      <c r="PF1" s="592" t="s">
        <v>5486</v>
      </c>
      <c r="PG1" s="592" t="s">
        <v>5487</v>
      </c>
      <c r="PH1" s="592" t="s">
        <v>5488</v>
      </c>
      <c r="PI1" s="592" t="s">
        <v>5489</v>
      </c>
      <c r="PJ1" s="592" t="s">
        <v>5490</v>
      </c>
      <c r="PK1" s="592" t="s">
        <v>5491</v>
      </c>
      <c r="PL1" s="592" t="s">
        <v>5492</v>
      </c>
      <c r="PM1" s="592" t="s">
        <v>5493</v>
      </c>
      <c r="PN1" s="592" t="s">
        <v>5431</v>
      </c>
      <c r="PO1" s="592" t="s">
        <v>5432</v>
      </c>
      <c r="PP1" s="592" t="s">
        <v>5433</v>
      </c>
      <c r="PQ1" s="592" t="s">
        <v>5494</v>
      </c>
      <c r="PR1" s="592" t="s">
        <v>5495</v>
      </c>
      <c r="PS1" s="592" t="s">
        <v>5496</v>
      </c>
      <c r="PT1" s="592" t="s">
        <v>5497</v>
      </c>
      <c r="PU1" s="592" t="s">
        <v>5498</v>
      </c>
      <c r="PV1" s="592" t="s">
        <v>5499</v>
      </c>
      <c r="PW1" s="592" t="s">
        <v>5500</v>
      </c>
      <c r="PX1" s="592" t="s">
        <v>5501</v>
      </c>
      <c r="PY1" s="592" t="s">
        <v>5502</v>
      </c>
      <c r="PZ1" s="592" t="s">
        <v>5503</v>
      </c>
      <c r="QA1" s="592" t="s">
        <v>5504</v>
      </c>
      <c r="QB1" s="592" t="s">
        <v>5505</v>
      </c>
      <c r="QC1" s="592" t="s">
        <v>5506</v>
      </c>
      <c r="QD1" s="592" t="s">
        <v>5507</v>
      </c>
      <c r="QE1" s="592" t="s">
        <v>5508</v>
      </c>
      <c r="QF1" s="592" t="s">
        <v>5509</v>
      </c>
      <c r="QG1" s="592" t="s">
        <v>5510</v>
      </c>
      <c r="QH1" s="592" t="s">
        <v>5511</v>
      </c>
      <c r="QI1" s="592" t="s">
        <v>5512</v>
      </c>
      <c r="QJ1" s="592" t="s">
        <v>5513</v>
      </c>
      <c r="QK1" s="592" t="s">
        <v>5514</v>
      </c>
      <c r="QL1" s="592" t="s">
        <v>5515</v>
      </c>
      <c r="QM1" s="592" t="s">
        <v>5434</v>
      </c>
      <c r="QN1" s="592" t="s">
        <v>5516</v>
      </c>
      <c r="QO1" s="592" t="s">
        <v>5517</v>
      </c>
      <c r="QP1" s="592" t="s">
        <v>5518</v>
      </c>
      <c r="QQ1" s="592" t="s">
        <v>5519</v>
      </c>
      <c r="QR1" s="592" t="s">
        <v>5435</v>
      </c>
      <c r="QS1" s="592" t="s">
        <v>5436</v>
      </c>
      <c r="QT1" s="592" t="s">
        <v>5437</v>
      </c>
      <c r="QU1" s="592" t="s">
        <v>5520</v>
      </c>
      <c r="QV1" s="592" t="s">
        <v>5521</v>
      </c>
      <c r="QW1" s="592" t="s">
        <v>5522</v>
      </c>
      <c r="QX1" s="592" t="s">
        <v>5523</v>
      </c>
      <c r="QY1" s="592" t="s">
        <v>5524</v>
      </c>
      <c r="QZ1" s="592" t="s">
        <v>5525</v>
      </c>
      <c r="RA1" s="592" t="s">
        <v>5526</v>
      </c>
      <c r="RB1" s="592" t="s">
        <v>5527</v>
      </c>
      <c r="RC1" s="592" t="s">
        <v>5528</v>
      </c>
      <c r="RD1" s="592" t="s">
        <v>5529</v>
      </c>
      <c r="RE1" s="592" t="s">
        <v>5438</v>
      </c>
      <c r="RF1" s="592" t="s">
        <v>5530</v>
      </c>
      <c r="RG1" s="592" t="s">
        <v>5531</v>
      </c>
      <c r="RH1" s="592" t="s">
        <v>5532</v>
      </c>
      <c r="RI1" s="592" t="s">
        <v>5533</v>
      </c>
      <c r="RJ1" s="592" t="s">
        <v>5534</v>
      </c>
      <c r="RK1" s="592" t="s">
        <v>5535</v>
      </c>
      <c r="RL1" s="592" t="s">
        <v>5536</v>
      </c>
      <c r="RM1" s="592" t="s">
        <v>5537</v>
      </c>
      <c r="RN1" s="592" t="s">
        <v>5538</v>
      </c>
      <c r="RO1" s="592" t="s">
        <v>5539</v>
      </c>
      <c r="RP1" s="592" t="s">
        <v>5540</v>
      </c>
      <c r="RQ1" s="592" t="s">
        <v>5541</v>
      </c>
      <c r="RR1" s="592" t="s">
        <v>5542</v>
      </c>
      <c r="RS1" s="592" t="s">
        <v>5543</v>
      </c>
      <c r="RT1" s="592" t="s">
        <v>5544</v>
      </c>
      <c r="RU1" s="592" t="s">
        <v>5545</v>
      </c>
      <c r="RV1" s="592" t="s">
        <v>5546</v>
      </c>
      <c r="RW1" s="592" t="s">
        <v>5547</v>
      </c>
      <c r="RX1" s="592" t="s">
        <v>5548</v>
      </c>
      <c r="RY1" s="592" t="s">
        <v>5549</v>
      </c>
      <c r="RZ1" s="592" t="s">
        <v>5550</v>
      </c>
      <c r="SA1" s="592" t="s">
        <v>5551</v>
      </c>
      <c r="SB1" s="592" t="s">
        <v>5552</v>
      </c>
      <c r="SC1" s="592" t="s">
        <v>5553</v>
      </c>
      <c r="SD1" s="592" t="s">
        <v>5554</v>
      </c>
      <c r="SE1" s="592" t="s">
        <v>5555</v>
      </c>
      <c r="SF1" s="592" t="s">
        <v>5556</v>
      </c>
      <c r="SG1" s="592" t="s">
        <v>5557</v>
      </c>
      <c r="SH1" s="592" t="s">
        <v>5558</v>
      </c>
      <c r="SI1" s="592" t="s">
        <v>5559</v>
      </c>
      <c r="SJ1" s="592" t="s">
        <v>5560</v>
      </c>
      <c r="SK1" s="592" t="s">
        <v>5561</v>
      </c>
      <c r="SL1" s="592" t="s">
        <v>5562</v>
      </c>
      <c r="SM1" s="592" t="s">
        <v>5563</v>
      </c>
      <c r="SN1" s="592" t="s">
        <v>5439</v>
      </c>
      <c r="SO1" s="592" t="s">
        <v>5440</v>
      </c>
      <c r="SP1" s="592" t="s">
        <v>5564</v>
      </c>
      <c r="SQ1" s="592" t="s">
        <v>5565</v>
      </c>
      <c r="SR1" s="592" t="s">
        <v>5566</v>
      </c>
      <c r="SS1" s="592" t="s">
        <v>5567</v>
      </c>
      <c r="ST1" s="592" t="s">
        <v>5568</v>
      </c>
      <c r="SU1" s="592" t="s">
        <v>5569</v>
      </c>
      <c r="SV1" s="592" t="s">
        <v>5570</v>
      </c>
      <c r="SW1" s="592" t="s">
        <v>5571</v>
      </c>
      <c r="SX1" s="592" t="s">
        <v>5572</v>
      </c>
      <c r="SY1" s="592" t="s">
        <v>5573</v>
      </c>
      <c r="SZ1" s="592" t="s">
        <v>5574</v>
      </c>
      <c r="TA1" s="592" t="s">
        <v>5575</v>
      </c>
      <c r="TB1" s="592" t="s">
        <v>5576</v>
      </c>
      <c r="TC1" s="592" t="s">
        <v>5577</v>
      </c>
      <c r="TD1" s="592" t="s">
        <v>5578</v>
      </c>
      <c r="TE1" s="592" t="s">
        <v>5579</v>
      </c>
      <c r="TF1" s="592" t="s">
        <v>5580</v>
      </c>
      <c r="TG1" s="592" t="s">
        <v>5581</v>
      </c>
      <c r="TH1" s="592" t="s">
        <v>5582</v>
      </c>
      <c r="TI1" s="592" t="s">
        <v>5583</v>
      </c>
      <c r="TJ1" s="592" t="s">
        <v>5584</v>
      </c>
      <c r="TK1" s="592" t="s">
        <v>5585</v>
      </c>
      <c r="TL1" s="592" t="s">
        <v>5586</v>
      </c>
      <c r="TM1" s="592" t="s">
        <v>5587</v>
      </c>
      <c r="TN1" s="592" t="s">
        <v>5588</v>
      </c>
      <c r="TO1" s="592" t="s">
        <v>5589</v>
      </c>
      <c r="TP1" s="592" t="s">
        <v>5590</v>
      </c>
      <c r="TQ1" s="592" t="s">
        <v>5591</v>
      </c>
      <c r="TR1" s="592" t="s">
        <v>5592</v>
      </c>
      <c r="TS1" s="592" t="s">
        <v>5593</v>
      </c>
      <c r="TT1" s="592" t="s">
        <v>5594</v>
      </c>
      <c r="TU1" s="592" t="s">
        <v>5441</v>
      </c>
      <c r="TV1" s="592" t="s">
        <v>5595</v>
      </c>
      <c r="TW1" s="592" t="s">
        <v>5596</v>
      </c>
      <c r="TX1" s="592" t="s">
        <v>5442</v>
      </c>
      <c r="TY1" s="592" t="s">
        <v>5443</v>
      </c>
      <c r="TZ1" s="592" t="s">
        <v>5597</v>
      </c>
      <c r="UA1" s="592" t="s">
        <v>5598</v>
      </c>
      <c r="UB1" s="592" t="s">
        <v>5599</v>
      </c>
      <c r="UC1" s="592" t="s">
        <v>5600</v>
      </c>
      <c r="UD1" s="592" t="s">
        <v>5601</v>
      </c>
      <c r="UE1" s="592" t="s">
        <v>5602</v>
      </c>
      <c r="UF1" s="592" t="s">
        <v>5603</v>
      </c>
      <c r="UG1" s="2" t="s">
        <v>5604</v>
      </c>
      <c r="UH1" s="2" t="s">
        <v>5605</v>
      </c>
      <c r="UI1" s="2" t="s">
        <v>5606</v>
      </c>
      <c r="UJ1" s="2" t="s">
        <v>5230</v>
      </c>
      <c r="UK1" s="2" t="s">
        <v>5231</v>
      </c>
      <c r="UL1" s="2" t="s">
        <v>5232</v>
      </c>
      <c r="UM1" s="2" t="s">
        <v>5233</v>
      </c>
      <c r="UN1" s="2" t="s">
        <v>5234</v>
      </c>
      <c r="UO1" s="2" t="s">
        <v>5235</v>
      </c>
      <c r="UP1" s="2" t="s">
        <v>5236</v>
      </c>
      <c r="UQ1" s="2" t="s">
        <v>5237</v>
      </c>
      <c r="UR1" s="2" t="s">
        <v>5238</v>
      </c>
      <c r="US1" s="2" t="s">
        <v>5239</v>
      </c>
      <c r="UT1" s="2" t="s">
        <v>5240</v>
      </c>
      <c r="UU1" s="2" t="s">
        <v>5241</v>
      </c>
      <c r="UV1" s="2" t="s">
        <v>5242</v>
      </c>
      <c r="UW1" s="2" t="s">
        <v>5243</v>
      </c>
      <c r="UX1" s="2" t="s">
        <v>5244</v>
      </c>
      <c r="UY1" s="2" t="s">
        <v>5245</v>
      </c>
      <c r="UZ1" s="2" t="s">
        <v>5246</v>
      </c>
      <c r="VA1" s="2" t="s">
        <v>5247</v>
      </c>
      <c r="VB1" s="2" t="s">
        <v>5248</v>
      </c>
      <c r="VC1" s="2" t="s">
        <v>5249</v>
      </c>
      <c r="VD1" s="2" t="s">
        <v>5250</v>
      </c>
      <c r="VE1" s="2" t="s">
        <v>5251</v>
      </c>
      <c r="VF1" s="2" t="s">
        <v>5252</v>
      </c>
      <c r="VG1" s="2" t="s">
        <v>5253</v>
      </c>
      <c r="VH1" s="2" t="s">
        <v>5254</v>
      </c>
      <c r="VI1" s="2" t="s">
        <v>5255</v>
      </c>
      <c r="VJ1" s="2" t="s">
        <v>5256</v>
      </c>
      <c r="VK1" s="2" t="s">
        <v>5257</v>
      </c>
      <c r="VL1" s="2" t="s">
        <v>5258</v>
      </c>
      <c r="VM1" s="2" t="s">
        <v>5259</v>
      </c>
      <c r="VN1" s="2" t="s">
        <v>5260</v>
      </c>
      <c r="VO1" s="2" t="s">
        <v>5261</v>
      </c>
      <c r="VP1" s="2" t="s">
        <v>5262</v>
      </c>
      <c r="VQ1" s="2" t="s">
        <v>5263</v>
      </c>
      <c r="VR1" s="2" t="s">
        <v>5264</v>
      </c>
      <c r="VS1" s="2" t="s">
        <v>5265</v>
      </c>
      <c r="VT1" s="2" t="s">
        <v>5266</v>
      </c>
      <c r="VU1" s="2" t="s">
        <v>5267</v>
      </c>
      <c r="VV1" s="2" t="s">
        <v>5268</v>
      </c>
      <c r="VW1" s="2" t="s">
        <v>5269</v>
      </c>
      <c r="VX1" s="2" t="s">
        <v>5270</v>
      </c>
      <c r="VY1" s="2" t="s">
        <v>5271</v>
      </c>
      <c r="VZ1" s="2" t="s">
        <v>5272</v>
      </c>
      <c r="WA1" s="2" t="s">
        <v>5273</v>
      </c>
      <c r="WB1" s="2" t="s">
        <v>5274</v>
      </c>
      <c r="WC1" s="2" t="s">
        <v>5275</v>
      </c>
      <c r="WD1" s="2" t="s">
        <v>5276</v>
      </c>
      <c r="WE1" s="2" t="s">
        <v>5277</v>
      </c>
      <c r="WF1" s="2" t="s">
        <v>5278</v>
      </c>
      <c r="WG1" s="2" t="s">
        <v>5279</v>
      </c>
      <c r="WH1" s="2" t="s">
        <v>5280</v>
      </c>
      <c r="WI1" s="2" t="s">
        <v>5281</v>
      </c>
      <c r="WJ1" s="2" t="s">
        <v>5282</v>
      </c>
      <c r="WK1" s="2" t="s">
        <v>5283</v>
      </c>
      <c r="WL1" s="2" t="s">
        <v>5284</v>
      </c>
      <c r="WM1" s="2" t="s">
        <v>5285</v>
      </c>
      <c r="WN1" s="2" t="s">
        <v>5286</v>
      </c>
      <c r="WO1" s="2" t="s">
        <v>5287</v>
      </c>
      <c r="WP1" s="2" t="s">
        <v>5288</v>
      </c>
      <c r="WQ1" s="2" t="s">
        <v>5289</v>
      </c>
      <c r="WR1" s="2" t="s">
        <v>5290</v>
      </c>
      <c r="WS1" s="2" t="s">
        <v>5291</v>
      </c>
      <c r="WT1" s="2" t="s">
        <v>5292</v>
      </c>
      <c r="WU1" s="2" t="s">
        <v>5293</v>
      </c>
      <c r="WV1" s="2" t="s">
        <v>5294</v>
      </c>
      <c r="WW1" s="2" t="s">
        <v>5295</v>
      </c>
      <c r="WX1" s="2" t="s">
        <v>5296</v>
      </c>
      <c r="WY1" s="2" t="s">
        <v>5297</v>
      </c>
      <c r="WZ1" s="2" t="s">
        <v>5298</v>
      </c>
      <c r="XA1" s="2" t="s">
        <v>5299</v>
      </c>
      <c r="XB1" s="2" t="s">
        <v>5300</v>
      </c>
      <c r="XC1" s="2" t="s">
        <v>5301</v>
      </c>
      <c r="XD1" s="2" t="s">
        <v>5302</v>
      </c>
      <c r="XE1" s="2" t="s">
        <v>5303</v>
      </c>
      <c r="XF1" s="2" t="s">
        <v>5304</v>
      </c>
      <c r="XG1" s="2" t="s">
        <v>5305</v>
      </c>
      <c r="XH1" s="2" t="s">
        <v>5306</v>
      </c>
      <c r="XI1" s="2" t="s">
        <v>5307</v>
      </c>
      <c r="XJ1" s="2" t="s">
        <v>5308</v>
      </c>
      <c r="XK1" s="2" t="s">
        <v>5309</v>
      </c>
      <c r="XL1" s="2" t="s">
        <v>5310</v>
      </c>
      <c r="XM1" s="2" t="s">
        <v>5311</v>
      </c>
      <c r="XN1" s="2" t="s">
        <v>5312</v>
      </c>
      <c r="XO1" s="2" t="s">
        <v>5313</v>
      </c>
      <c r="XP1" s="2" t="s">
        <v>5314</v>
      </c>
      <c r="XQ1" s="2" t="s">
        <v>5315</v>
      </c>
      <c r="XR1" s="2" t="s">
        <v>5316</v>
      </c>
      <c r="XS1" s="2" t="s">
        <v>5317</v>
      </c>
      <c r="XT1" s="2" t="s">
        <v>5318</v>
      </c>
      <c r="XU1" s="2" t="s">
        <v>5319</v>
      </c>
      <c r="XV1" s="2" t="s">
        <v>5320</v>
      </c>
      <c r="XW1" s="2" t="s">
        <v>5321</v>
      </c>
      <c r="XX1" s="2" t="s">
        <v>5322</v>
      </c>
      <c r="XY1" s="2" t="s">
        <v>5323</v>
      </c>
      <c r="XZ1" s="2" t="s">
        <v>5324</v>
      </c>
      <c r="YA1" s="2" t="s">
        <v>5325</v>
      </c>
      <c r="YB1" s="2" t="s">
        <v>5326</v>
      </c>
      <c r="YC1" s="2" t="s">
        <v>5327</v>
      </c>
      <c r="YD1" s="2" t="s">
        <v>5328</v>
      </c>
      <c r="YE1" s="2" t="s">
        <v>5329</v>
      </c>
      <c r="YF1" s="2" t="s">
        <v>5330</v>
      </c>
      <c r="YG1" s="2" t="s">
        <v>5331</v>
      </c>
      <c r="YH1" s="2" t="s">
        <v>5332</v>
      </c>
      <c r="YI1" s="2" t="s">
        <v>5333</v>
      </c>
      <c r="YJ1" s="2" t="s">
        <v>5334</v>
      </c>
      <c r="YK1" s="2" t="s">
        <v>5335</v>
      </c>
      <c r="YL1" s="2" t="s">
        <v>5336</v>
      </c>
      <c r="YM1" s="2" t="s">
        <v>5337</v>
      </c>
      <c r="YN1" s="2" t="s">
        <v>5338</v>
      </c>
      <c r="YO1" s="2" t="s">
        <v>5339</v>
      </c>
      <c r="YP1" s="2" t="s">
        <v>5340</v>
      </c>
      <c r="YQ1" s="2" t="s">
        <v>5341</v>
      </c>
      <c r="YR1" s="2" t="s">
        <v>5342</v>
      </c>
      <c r="YS1" s="2" t="s">
        <v>5343</v>
      </c>
      <c r="YT1" s="2" t="s">
        <v>5344</v>
      </c>
      <c r="YU1" s="2" t="s">
        <v>5345</v>
      </c>
      <c r="YV1" s="2" t="s">
        <v>5346</v>
      </c>
      <c r="YW1" s="2" t="s">
        <v>5347</v>
      </c>
      <c r="YX1" s="2" t="s">
        <v>5348</v>
      </c>
      <c r="YY1" s="2" t="s">
        <v>5349</v>
      </c>
      <c r="YZ1" s="2" t="s">
        <v>5350</v>
      </c>
      <c r="ZA1" s="2" t="s">
        <v>5351</v>
      </c>
      <c r="ZB1" s="2" t="s">
        <v>5352</v>
      </c>
      <c r="ZC1" s="2" t="s">
        <v>5353</v>
      </c>
      <c r="ZD1" s="2" t="s">
        <v>5354</v>
      </c>
      <c r="ZE1" s="2" t="s">
        <v>5355</v>
      </c>
      <c r="ZF1" s="2" t="s">
        <v>5356</v>
      </c>
      <c r="ZG1" s="2" t="s">
        <v>5357</v>
      </c>
      <c r="ZH1" s="2" t="s">
        <v>5358</v>
      </c>
      <c r="ZI1" s="2" t="s">
        <v>5359</v>
      </c>
      <c r="ZJ1" s="2" t="s">
        <v>5360</v>
      </c>
      <c r="ZK1" s="2" t="s">
        <v>5361</v>
      </c>
      <c r="ZL1" s="2" t="s">
        <v>5362</v>
      </c>
      <c r="ZM1" s="2" t="s">
        <v>5363</v>
      </c>
      <c r="ZN1" s="2" t="s">
        <v>5364</v>
      </c>
      <c r="ZO1" s="2" t="s">
        <v>5365</v>
      </c>
      <c r="ZP1" s="2" t="s">
        <v>5366</v>
      </c>
      <c r="ZQ1" s="2" t="s">
        <v>5367</v>
      </c>
      <c r="ZR1" s="2" t="s">
        <v>5368</v>
      </c>
      <c r="ZS1" s="2" t="s">
        <v>5369</v>
      </c>
      <c r="ZT1" s="2" t="s">
        <v>5370</v>
      </c>
      <c r="ZU1" s="2" t="s">
        <v>5371</v>
      </c>
      <c r="ZV1" s="2" t="s">
        <v>5372</v>
      </c>
      <c r="ZW1" s="2" t="s">
        <v>5373</v>
      </c>
      <c r="ZX1" s="2" t="s">
        <v>5374</v>
      </c>
      <c r="ZY1" s="2" t="s">
        <v>5375</v>
      </c>
      <c r="ZZ1" s="2" t="s">
        <v>5376</v>
      </c>
      <c r="AAA1" s="2" t="s">
        <v>5377</v>
      </c>
      <c r="AAB1" s="2" t="s">
        <v>5378</v>
      </c>
      <c r="AAC1" s="2" t="s">
        <v>5379</v>
      </c>
      <c r="AAD1" s="2" t="s">
        <v>5380</v>
      </c>
      <c r="AAE1" s="2" t="s">
        <v>5381</v>
      </c>
      <c r="AAF1" s="2" t="s">
        <v>5382</v>
      </c>
      <c r="AAG1" s="2" t="s">
        <v>5383</v>
      </c>
      <c r="AAH1" s="2" t="s">
        <v>5384</v>
      </c>
      <c r="AAI1" s="2" t="s">
        <v>5385</v>
      </c>
      <c r="AAJ1" s="2" t="s">
        <v>5386</v>
      </c>
      <c r="AAK1" s="2" t="s">
        <v>5387</v>
      </c>
      <c r="AAL1" s="2" t="s">
        <v>5388</v>
      </c>
      <c r="AAM1" s="2" t="s">
        <v>5389</v>
      </c>
      <c r="AAN1" s="2" t="s">
        <v>5390</v>
      </c>
      <c r="AAO1" s="2" t="s">
        <v>5391</v>
      </c>
      <c r="AAP1" s="2" t="s">
        <v>5392</v>
      </c>
      <c r="AAQ1" s="2" t="s">
        <v>5393</v>
      </c>
      <c r="AAR1" s="2" t="s">
        <v>5394</v>
      </c>
      <c r="AAS1" s="2" t="s">
        <v>5395</v>
      </c>
      <c r="AAT1" s="2" t="s">
        <v>5396</v>
      </c>
      <c r="AAU1" s="2" t="s">
        <v>5397</v>
      </c>
      <c r="AAV1" s="2" t="s">
        <v>5398</v>
      </c>
      <c r="AAW1" s="2" t="s">
        <v>5399</v>
      </c>
      <c r="AAX1" s="2" t="s">
        <v>5400</v>
      </c>
      <c r="AAY1" s="2" t="s">
        <v>5401</v>
      </c>
      <c r="AAZ1" s="2" t="s">
        <v>5402</v>
      </c>
      <c r="ABA1" s="2" t="s">
        <v>5403</v>
      </c>
      <c r="ABB1" s="2" t="s">
        <v>5404</v>
      </c>
      <c r="ABC1" s="2" t="s">
        <v>5405</v>
      </c>
      <c r="ABD1" s="2" t="s">
        <v>5406</v>
      </c>
      <c r="ABE1" s="2" t="s">
        <v>5407</v>
      </c>
      <c r="ABF1" s="2" t="s">
        <v>5408</v>
      </c>
      <c r="ABG1" s="2" t="s">
        <v>5409</v>
      </c>
      <c r="ABH1" s="2" t="s">
        <v>5410</v>
      </c>
      <c r="ABI1" s="2" t="s">
        <v>5609</v>
      </c>
    </row>
    <row r="2" spans="1:737">
      <c r="A2" t="str">
        <f t="array" ref="A2:ABI2">TRANSPOSE(リンクシート_概要2!C4:C740)</f>
        <v>令和</v>
      </c>
      <c r="B2" t="str">
        <v>0</v>
      </c>
      <c r="C2" t="str">
        <v>2017/11/30</v>
      </c>
      <c r="D2" t="str">
        <v>0</v>
      </c>
      <c r="E2" t="str">
        <v>0</v>
      </c>
      <c r="F2" t="str">
        <v>0000</v>
      </c>
      <c r="G2" t="str">
        <v>0</v>
      </c>
      <c r="H2" t="str">
        <v>0</v>
      </c>
      <c r="I2" t="str">
        <v>0</v>
      </c>
      <c r="J2" t="str">
        <v>0</v>
      </c>
      <c r="K2" t="str">
        <v/>
      </c>
      <c r="L2" t="str">
        <v/>
      </c>
      <c r="M2" t="str">
        <v/>
      </c>
      <c r="N2" t="str">
        <v/>
      </c>
      <c r="O2" t="str">
        <v/>
      </c>
      <c r="P2" t="str">
        <v/>
      </c>
      <c r="Q2" t="str">
        <v>-</v>
      </c>
      <c r="R2" t="str">
        <v>0</v>
      </c>
      <c r="S2" t="str">
        <v>--</v>
      </c>
      <c r="T2" t="str">
        <v/>
      </c>
      <c r="U2" t="str">
        <v/>
      </c>
      <c r="V2" t="str">
        <v/>
      </c>
      <c r="W2" t="str">
        <v>-</v>
      </c>
      <c r="X2" t="str">
        <v>0</v>
      </c>
      <c r="Y2" t="str">
        <v>--</v>
      </c>
      <c r="Z2" t="str">
        <v>0</v>
      </c>
      <c r="AA2" t="str">
        <v>0</v>
      </c>
      <c r="AB2" t="str">
        <v/>
      </c>
      <c r="AC2" t="str">
        <v>0</v>
      </c>
      <c r="AD2" t="str">
        <v>0</v>
      </c>
      <c r="AE2" t="str">
        <v>0</v>
      </c>
      <c r="AF2" t="str">
        <v>0</v>
      </c>
      <c r="AG2" t="str">
        <v>0</v>
      </c>
      <c r="AH2" t="str">
        <v>0</v>
      </c>
      <c r="AI2" t="str">
        <v>0</v>
      </c>
      <c r="AJ2" t="str">
        <v/>
      </c>
      <c r="AK2" t="str">
        <v>0</v>
      </c>
      <c r="AL2" t="str">
        <v>0</v>
      </c>
      <c r="AM2" t="str">
        <v>0</v>
      </c>
      <c r="AN2" t="str">
        <v>0</v>
      </c>
      <c r="AO2" t="str">
        <v>0</v>
      </c>
      <c r="AP2" t="str">
        <v>0</v>
      </c>
      <c r="AQ2" t="str">
        <v>0</v>
      </c>
      <c r="AR2" t="str">
        <v/>
      </c>
      <c r="AS2" t="str">
        <v>0</v>
      </c>
      <c r="AT2" t="str">
        <v>0</v>
      </c>
      <c r="AU2" t="str">
        <v>0</v>
      </c>
      <c r="AV2" t="str">
        <v>0</v>
      </c>
      <c r="AW2" t="str">
        <v>0</v>
      </c>
      <c r="AX2" t="str">
        <v>0</v>
      </c>
      <c r="AY2" t="str">
        <v>0</v>
      </c>
      <c r="AZ2" t="str">
        <v>0</v>
      </c>
      <c r="BA2" t="str">
        <v>0</v>
      </c>
      <c r="BB2" t="str">
        <v>0</v>
      </c>
      <c r="BC2" t="str">
        <v>0</v>
      </c>
      <c r="BD2" t="str">
        <v>0</v>
      </c>
      <c r="BE2" t="str">
        <v>0</v>
      </c>
      <c r="BF2" t="str">
        <v>0</v>
      </c>
      <c r="BG2" t="str">
        <v>0</v>
      </c>
      <c r="BH2" t="str">
        <v>0</v>
      </c>
      <c r="BI2" t="str">
        <v>0</v>
      </c>
      <c r="BJ2" t="str">
        <v>0</v>
      </c>
      <c r="BK2" t="str">
        <v>0</v>
      </c>
      <c r="BL2" t="str">
        <v>0</v>
      </c>
      <c r="BM2" t="str">
        <v>0</v>
      </c>
      <c r="BN2" t="str">
        <v>0</v>
      </c>
      <c r="BO2" t="str">
        <v>0</v>
      </c>
      <c r="BP2" t="str">
        <v>0</v>
      </c>
      <c r="BQ2" t="e">
        <v>#N/A</v>
      </c>
      <c r="BR2" t="str">
        <v>0</v>
      </c>
      <c r="BS2" t="e">
        <v>#N/A</v>
      </c>
      <c r="BT2" t="str">
        <v>0</v>
      </c>
      <c r="BU2" t="str">
        <v>0</v>
      </c>
      <c r="BV2" t="str">
        <v>0</v>
      </c>
      <c r="BW2" t="str">
        <v>0</v>
      </c>
      <c r="BX2" t="str">
        <v>0</v>
      </c>
      <c r="BY2" t="str">
        <v>0</v>
      </c>
      <c r="BZ2" t="str">
        <v>0</v>
      </c>
      <c r="CA2" t="str">
        <v>0</v>
      </c>
      <c r="CB2" t="str">
        <v>0</v>
      </c>
      <c r="CC2" t="str">
        <v>0</v>
      </c>
      <c r="CD2" t="str">
        <v>0</v>
      </c>
      <c r="CE2" t="str">
        <v>0</v>
      </c>
      <c r="CF2" t="str">
        <v>0</v>
      </c>
      <c r="CG2" t="str">
        <v>0</v>
      </c>
      <c r="CH2" t="str">
        <v>0</v>
      </c>
      <c r="CI2" t="str">
        <v>0</v>
      </c>
      <c r="CJ2" t="str">
        <v>0</v>
      </c>
      <c r="CK2" t="str">
        <v>0</v>
      </c>
      <c r="CL2" t="str">
        <v>0</v>
      </c>
      <c r="CM2" t="str">
        <v>0</v>
      </c>
      <c r="CN2" t="str">
        <v>0</v>
      </c>
      <c r="CO2" t="str">
        <v>0</v>
      </c>
      <c r="CP2" t="str">
        <v/>
      </c>
      <c r="CQ2" t="str">
        <v/>
      </c>
      <c r="CR2" t="str">
        <v/>
      </c>
      <c r="CS2" t="str">
        <v/>
      </c>
      <c r="CT2" t="str">
        <v/>
      </c>
      <c r="CU2" t="str">
        <v/>
      </c>
      <c r="CV2" t="str">
        <v/>
      </c>
      <c r="CW2" t="str">
        <v/>
      </c>
      <c r="CX2" t="str">
        <v/>
      </c>
      <c r="CY2" t="str">
        <v/>
      </c>
      <c r="CZ2" t="str">
        <v/>
      </c>
      <c r="DA2" t="str">
        <v/>
      </c>
      <c r="DB2" t="str">
        <v/>
      </c>
      <c r="DC2" t="str">
        <v>0</v>
      </c>
      <c r="DD2" t="str">
        <v>0</v>
      </c>
      <c r="DE2" t="str">
        <v/>
      </c>
      <c r="DF2" t="str">
        <v>0</v>
      </c>
      <c r="DG2" t="str">
        <v/>
      </c>
      <c r="DH2" t="str">
        <v>0</v>
      </c>
      <c r="DI2" t="str">
        <v>0</v>
      </c>
      <c r="DJ2" t="str">
        <v>0</v>
      </c>
      <c r="DK2" t="str">
        <v>0</v>
      </c>
      <c r="DL2" t="str">
        <v>0</v>
      </c>
      <c r="DM2" t="str">
        <v>0</v>
      </c>
      <c r="DN2" t="str">
        <v>0</v>
      </c>
      <c r="DO2" t="str">
        <v>0</v>
      </c>
      <c r="DP2" t="str">
        <v>0</v>
      </c>
      <c r="DQ2" t="str">
        <v>0</v>
      </c>
      <c r="DR2" t="str">
        <v>0</v>
      </c>
      <c r="DS2" t="str">
        <v>0</v>
      </c>
      <c r="DT2" t="str">
        <v>0</v>
      </c>
      <c r="DU2" t="str">
        <v/>
      </c>
      <c r="DV2" t="str">
        <v>0</v>
      </c>
      <c r="DW2" t="str">
        <v>0</v>
      </c>
      <c r="DX2" t="str">
        <v>0</v>
      </c>
      <c r="DY2" t="str">
        <v>0</v>
      </c>
      <c r="DZ2" t="str">
        <v>0</v>
      </c>
      <c r="EA2" t="str">
        <v/>
      </c>
      <c r="EB2" t="str">
        <v>0</v>
      </c>
      <c r="EC2" t="str">
        <v>0</v>
      </c>
      <c r="ED2" t="str">
        <v>0</v>
      </c>
      <c r="EE2" t="str">
        <v>0</v>
      </c>
      <c r="EF2" t="str">
        <v>0</v>
      </c>
      <c r="EG2" t="str">
        <v/>
      </c>
      <c r="EH2" t="str">
        <v>0</v>
      </c>
      <c r="EI2" t="str">
        <v>0</v>
      </c>
      <c r="EJ2" t="str">
        <v>0</v>
      </c>
      <c r="EK2" t="str">
        <v>0</v>
      </c>
      <c r="EL2" t="str">
        <v>0</v>
      </c>
      <c r="EM2" t="str">
        <v/>
      </c>
      <c r="EN2" t="str">
        <v>0</v>
      </c>
      <c r="EO2" t="str">
        <v>0</v>
      </c>
      <c r="EP2" t="str">
        <v>0</v>
      </c>
      <c r="EQ2" t="str">
        <v>0</v>
      </c>
      <c r="ER2" t="str">
        <v>0</v>
      </c>
      <c r="ES2" t="str">
        <v/>
      </c>
      <c r="ET2" t="str">
        <v>0</v>
      </c>
      <c r="EU2" t="str">
        <v>0</v>
      </c>
      <c r="EV2" t="str">
        <v>0</v>
      </c>
      <c r="EW2" t="str">
        <v>0</v>
      </c>
      <c r="EX2" t="str">
        <v>0</v>
      </c>
      <c r="EY2" t="str">
        <v/>
      </c>
      <c r="EZ2" t="str">
        <v>0</v>
      </c>
      <c r="FA2" t="str">
        <v>0</v>
      </c>
      <c r="FB2" t="str">
        <v>0</v>
      </c>
      <c r="FC2" t="str">
        <v>0</v>
      </c>
      <c r="FD2" t="str">
        <v>0</v>
      </c>
      <c r="FE2" t="str">
        <v/>
      </c>
      <c r="FF2" t="str">
        <v>0</v>
      </c>
      <c r="FG2" t="str">
        <v>0</v>
      </c>
      <c r="FH2" t="str">
        <v>0</v>
      </c>
      <c r="FI2" t="str">
        <v/>
      </c>
      <c r="FJ2" t="str">
        <v>0</v>
      </c>
      <c r="FK2" t="str">
        <v/>
      </c>
      <c r="FL2" t="str">
        <v>0</v>
      </c>
      <c r="FM2" t="str">
        <v/>
      </c>
      <c r="FN2" t="str">
        <v>0</v>
      </c>
      <c r="FO2" t="str">
        <v>0</v>
      </c>
      <c r="FP2" t="str">
        <v/>
      </c>
      <c r="FQ2" t="str">
        <v>0</v>
      </c>
      <c r="FR2" t="str">
        <v>0</v>
      </c>
      <c r="FS2" t="str">
        <v>0</v>
      </c>
      <c r="FT2" t="str">
        <v>0</v>
      </c>
      <c r="FU2" t="str">
        <v>0</v>
      </c>
      <c r="FV2" t="str">
        <v>0</v>
      </c>
      <c r="FW2" t="str">
        <v>0</v>
      </c>
      <c r="FX2" t="str">
        <v/>
      </c>
      <c r="FY2" t="str">
        <v/>
      </c>
      <c r="FZ2" t="str">
        <v/>
      </c>
      <c r="GA2" t="str">
        <v/>
      </c>
      <c r="GB2" t="str">
        <v/>
      </c>
      <c r="GC2" t="str">
        <v/>
      </c>
      <c r="GD2" t="str">
        <v/>
      </c>
      <c r="GE2" t="str">
        <v/>
      </c>
      <c r="GF2" t="str">
        <v/>
      </c>
      <c r="GG2" t="str">
        <v/>
      </c>
      <c r="GH2" t="str">
        <v/>
      </c>
      <c r="GI2" t="str">
        <v/>
      </c>
      <c r="GJ2" t="str">
        <v/>
      </c>
      <c r="GK2" t="str">
        <v/>
      </c>
      <c r="GL2" t="str">
        <v/>
      </c>
      <c r="GM2" t="str">
        <v/>
      </c>
      <c r="GN2" t="str">
        <v/>
      </c>
      <c r="GO2" t="str">
        <v/>
      </c>
      <c r="GP2" t="str">
        <v/>
      </c>
      <c r="GQ2" t="str">
        <v/>
      </c>
      <c r="GR2" t="str">
        <v/>
      </c>
      <c r="GS2" t="str">
        <v/>
      </c>
      <c r="GT2" t="str">
        <v/>
      </c>
      <c r="GU2" t="str">
        <v/>
      </c>
      <c r="GV2" t="str">
        <v/>
      </c>
      <c r="GW2" t="str">
        <v/>
      </c>
      <c r="GX2" t="str">
        <v/>
      </c>
      <c r="GY2" t="str">
        <v/>
      </c>
      <c r="GZ2" t="str">
        <v/>
      </c>
      <c r="HA2" t="str">
        <v/>
      </c>
      <c r="HB2" t="str">
        <v/>
      </c>
      <c r="HC2" t="str">
        <v/>
      </c>
      <c r="HD2" t="str">
        <v/>
      </c>
      <c r="HE2" t="str">
        <v/>
      </c>
      <c r="HF2" t="str">
        <v/>
      </c>
      <c r="HG2" t="str">
        <v/>
      </c>
      <c r="HH2" t="str">
        <v/>
      </c>
      <c r="HI2" t="str">
        <v/>
      </c>
      <c r="HJ2" t="str">
        <v/>
      </c>
      <c r="HK2" t="str">
        <v/>
      </c>
      <c r="HL2" t="str">
        <v/>
      </c>
      <c r="HM2" t="str">
        <v/>
      </c>
      <c r="HN2" t="str">
        <v/>
      </c>
      <c r="HO2" t="str">
        <v/>
      </c>
      <c r="HP2" t="str">
        <v/>
      </c>
      <c r="HQ2" t="str">
        <v/>
      </c>
      <c r="HR2" t="str">
        <v/>
      </c>
      <c r="HS2" t="str">
        <v/>
      </c>
      <c r="HT2" t="str">
        <v/>
      </c>
      <c r="HU2" t="str">
        <v/>
      </c>
      <c r="HV2" t="str">
        <v/>
      </c>
      <c r="HW2" t="str">
        <v/>
      </c>
      <c r="HX2" t="str">
        <v/>
      </c>
      <c r="HY2" t="str">
        <v/>
      </c>
      <c r="HZ2" t="str">
        <v/>
      </c>
      <c r="IA2" t="str">
        <v/>
      </c>
      <c r="IB2" t="str">
        <v/>
      </c>
      <c r="IC2" t="str">
        <v/>
      </c>
      <c r="ID2" t="str">
        <v/>
      </c>
      <c r="IE2" t="str">
        <v/>
      </c>
      <c r="IF2" t="str">
        <v/>
      </c>
      <c r="IG2" t="str">
        <v/>
      </c>
      <c r="IH2" t="str">
        <v/>
      </c>
      <c r="II2" t="str">
        <v/>
      </c>
      <c r="IJ2" t="str">
        <v/>
      </c>
      <c r="IK2" t="str">
        <v/>
      </c>
      <c r="IL2" t="str">
        <v/>
      </c>
      <c r="IM2" t="str">
        <v/>
      </c>
      <c r="IN2" t="str">
        <v/>
      </c>
      <c r="IO2" t="str">
        <v/>
      </c>
      <c r="IP2" t="str">
        <v/>
      </c>
      <c r="IQ2" t="str">
        <v/>
      </c>
      <c r="IR2" t="str">
        <v/>
      </c>
      <c r="IS2" t="str">
        <v/>
      </c>
      <c r="IT2" t="str">
        <v/>
      </c>
      <c r="IU2" t="str">
        <v/>
      </c>
      <c r="IV2" t="str">
        <v/>
      </c>
      <c r="IW2" t="str">
        <v/>
      </c>
      <c r="IX2" t="str">
        <v/>
      </c>
      <c r="IY2" t="str">
        <v/>
      </c>
      <c r="IZ2" t="str">
        <v/>
      </c>
      <c r="JA2" t="str">
        <v/>
      </c>
      <c r="JB2" t="str">
        <v/>
      </c>
      <c r="JC2" t="str">
        <v/>
      </c>
      <c r="JD2" t="str">
        <v/>
      </c>
      <c r="JE2" t="str">
        <v/>
      </c>
      <c r="JF2" t="str">
        <v/>
      </c>
      <c r="JG2" t="str">
        <v/>
      </c>
      <c r="JH2" t="str">
        <v/>
      </c>
      <c r="JI2" t="str">
        <v/>
      </c>
      <c r="JJ2" t="str">
        <v/>
      </c>
      <c r="JK2" t="str">
        <v/>
      </c>
      <c r="JL2" t="str">
        <v/>
      </c>
      <c r="JM2" t="str">
        <v/>
      </c>
      <c r="JN2" t="str">
        <v/>
      </c>
      <c r="JO2" t="str">
        <v/>
      </c>
      <c r="JP2" t="str">
        <v/>
      </c>
      <c r="JQ2" t="str">
        <v/>
      </c>
      <c r="JR2" t="str">
        <v/>
      </c>
      <c r="JS2" t="str">
        <v/>
      </c>
      <c r="JT2" t="str">
        <v/>
      </c>
      <c r="JU2" t="str">
        <v/>
      </c>
      <c r="JV2" t="str">
        <v/>
      </c>
      <c r="JW2" t="str">
        <v/>
      </c>
      <c r="JX2" t="str">
        <v/>
      </c>
      <c r="JY2" t="str">
        <v/>
      </c>
      <c r="JZ2" t="str">
        <v/>
      </c>
      <c r="KA2" t="str">
        <v/>
      </c>
      <c r="KB2" t="str">
        <v/>
      </c>
      <c r="KC2" t="str">
        <v/>
      </c>
      <c r="KD2" t="str">
        <v/>
      </c>
      <c r="KE2" t="str">
        <v/>
      </c>
      <c r="KF2" t="str">
        <v/>
      </c>
      <c r="KG2" t="str">
        <v/>
      </c>
      <c r="KH2" t="str">
        <v/>
      </c>
      <c r="KI2" t="str">
        <v/>
      </c>
      <c r="KJ2" t="str">
        <v/>
      </c>
      <c r="KK2" t="str">
        <v/>
      </c>
      <c r="KL2" t="str">
        <v/>
      </c>
      <c r="KM2" t="str">
        <v/>
      </c>
      <c r="KN2" t="str">
        <v/>
      </c>
      <c r="KO2" t="str">
        <v/>
      </c>
      <c r="KP2" t="str">
        <v/>
      </c>
      <c r="KQ2" t="str">
        <v/>
      </c>
      <c r="KR2" t="str">
        <v/>
      </c>
      <c r="KS2" t="str">
        <v/>
      </c>
      <c r="KT2" t="str">
        <v/>
      </c>
      <c r="KU2" t="str">
        <v/>
      </c>
      <c r="KV2" t="str">
        <v/>
      </c>
      <c r="KW2" t="str">
        <v/>
      </c>
      <c r="KX2" t="str">
        <v/>
      </c>
      <c r="KY2" t="str">
        <v/>
      </c>
      <c r="KZ2" t="str">
        <v/>
      </c>
      <c r="LA2" t="str">
        <v/>
      </c>
      <c r="LB2" t="str">
        <v/>
      </c>
      <c r="LC2" t="str">
        <v/>
      </c>
      <c r="LD2" t="str">
        <v/>
      </c>
      <c r="LE2" t="str">
        <v/>
      </c>
      <c r="LF2" t="str">
        <v/>
      </c>
      <c r="LG2" t="str">
        <v/>
      </c>
      <c r="LH2" t="str">
        <v/>
      </c>
      <c r="LI2" t="str">
        <v/>
      </c>
      <c r="LJ2" t="str">
        <v/>
      </c>
      <c r="LK2" t="str">
        <v/>
      </c>
      <c r="LL2" t="str">
        <v/>
      </c>
      <c r="LM2" t="str">
        <v/>
      </c>
      <c r="LN2" t="str">
        <v/>
      </c>
      <c r="LO2" t="str">
        <v/>
      </c>
      <c r="LP2" t="str">
        <v/>
      </c>
      <c r="LQ2" t="str">
        <v/>
      </c>
      <c r="LR2" t="str">
        <v/>
      </c>
      <c r="LS2" t="str">
        <v/>
      </c>
      <c r="LT2" t="str">
        <v/>
      </c>
      <c r="LU2" t="str">
        <v/>
      </c>
      <c r="LV2" t="str">
        <v/>
      </c>
      <c r="LW2" t="str">
        <v/>
      </c>
      <c r="LX2" t="str">
        <v/>
      </c>
      <c r="LY2" t="str">
        <v/>
      </c>
      <c r="LZ2" t="str">
        <v/>
      </c>
      <c r="MA2" t="str">
        <v/>
      </c>
      <c r="MB2" t="str">
        <v/>
      </c>
      <c r="MC2" t="str">
        <v/>
      </c>
      <c r="MD2" t="str">
        <v/>
      </c>
      <c r="ME2" t="str">
        <v/>
      </c>
      <c r="MF2" t="str">
        <v/>
      </c>
      <c r="MG2" t="str">
        <v/>
      </c>
      <c r="MH2" t="str">
        <v/>
      </c>
      <c r="MI2" t="str">
        <v/>
      </c>
      <c r="MJ2" t="str">
        <v/>
      </c>
      <c r="MK2" t="str">
        <v/>
      </c>
      <c r="ML2" t="str">
        <v/>
      </c>
      <c r="MM2" t="str">
        <v/>
      </c>
      <c r="MN2" t="str">
        <v/>
      </c>
      <c r="MO2" t="str">
        <v/>
      </c>
      <c r="MP2" t="str">
        <v/>
      </c>
      <c r="MQ2" t="str">
        <v/>
      </c>
      <c r="MR2" t="str">
        <v/>
      </c>
      <c r="MS2" t="str">
        <v/>
      </c>
      <c r="MT2" t="str">
        <v/>
      </c>
      <c r="MU2" t="str">
        <v/>
      </c>
      <c r="MV2" t="str">
        <v/>
      </c>
      <c r="MW2" t="str">
        <v/>
      </c>
      <c r="MX2" t="str">
        <v/>
      </c>
      <c r="MY2" t="str">
        <v/>
      </c>
      <c r="MZ2" t="str">
        <v/>
      </c>
      <c r="NA2" t="str">
        <v/>
      </c>
      <c r="NB2" t="str">
        <v/>
      </c>
      <c r="NC2" t="str">
        <v/>
      </c>
      <c r="ND2" t="str">
        <v/>
      </c>
      <c r="NE2" t="str">
        <v/>
      </c>
      <c r="NF2" t="str">
        <v/>
      </c>
      <c r="NG2" t="str">
        <v/>
      </c>
      <c r="NH2" t="str">
        <v/>
      </c>
      <c r="NI2" t="str">
        <v/>
      </c>
      <c r="NJ2" t="str">
        <v/>
      </c>
      <c r="NK2" t="str">
        <v/>
      </c>
      <c r="NL2" t="str">
        <v/>
      </c>
      <c r="NM2" t="str">
        <v/>
      </c>
      <c r="NN2" t="str">
        <v/>
      </c>
      <c r="NO2" t="str">
        <v/>
      </c>
      <c r="NP2" t="str">
        <v/>
      </c>
      <c r="NQ2" t="str">
        <v/>
      </c>
      <c r="NR2" t="str">
        <v/>
      </c>
      <c r="NS2" t="str">
        <v/>
      </c>
      <c r="NT2" t="str">
        <v/>
      </c>
      <c r="NU2" t="str">
        <v/>
      </c>
      <c r="NV2" t="str">
        <v/>
      </c>
      <c r="NW2" t="str">
        <v/>
      </c>
      <c r="NX2" t="str">
        <v/>
      </c>
      <c r="NY2" t="str">
        <v/>
      </c>
      <c r="NZ2" t="str">
        <v/>
      </c>
      <c r="OA2" t="str">
        <v/>
      </c>
      <c r="OB2" t="str">
        <v/>
      </c>
      <c r="OC2" t="str">
        <v/>
      </c>
      <c r="OD2" t="str">
        <v/>
      </c>
      <c r="OE2" t="str">
        <v/>
      </c>
      <c r="OF2" t="str">
        <v/>
      </c>
      <c r="OG2" t="str">
        <v/>
      </c>
      <c r="OH2" t="str">
        <v/>
      </c>
      <c r="OI2" t="str">
        <v/>
      </c>
      <c r="OJ2" t="str">
        <v/>
      </c>
      <c r="OK2" t="str">
        <v/>
      </c>
      <c r="OL2" t="str">
        <v/>
      </c>
      <c r="OM2" t="str">
        <v/>
      </c>
      <c r="ON2" t="str">
        <v/>
      </c>
      <c r="OO2" t="str">
        <v/>
      </c>
      <c r="OP2" t="str">
        <v/>
      </c>
      <c r="OQ2" t="str">
        <v/>
      </c>
      <c r="OR2" t="str">
        <v/>
      </c>
      <c r="OS2" t="str">
        <v/>
      </c>
      <c r="OT2" t="str">
        <v/>
      </c>
      <c r="OU2" t="str">
        <v/>
      </c>
      <c r="OV2" t="str">
        <v/>
      </c>
      <c r="OW2" t="str">
        <v/>
      </c>
      <c r="OX2" t="str">
        <v/>
      </c>
      <c r="OY2" t="str">
        <v/>
      </c>
      <c r="OZ2" t="str">
        <v/>
      </c>
      <c r="PA2" t="str">
        <v/>
      </c>
      <c r="PB2" t="str">
        <v/>
      </c>
      <c r="PC2" t="str">
        <v/>
      </c>
      <c r="PD2" t="str">
        <v/>
      </c>
      <c r="PE2" t="str">
        <v/>
      </c>
      <c r="PF2" t="str">
        <v/>
      </c>
      <c r="PG2" t="str">
        <v/>
      </c>
      <c r="PH2" t="str">
        <v/>
      </c>
      <c r="PI2" t="str">
        <v/>
      </c>
      <c r="PJ2" t="str">
        <v/>
      </c>
      <c r="PK2" t="str">
        <v/>
      </c>
      <c r="PL2" t="str">
        <v/>
      </c>
      <c r="PM2" t="str">
        <v/>
      </c>
      <c r="PN2" t="str">
        <v/>
      </c>
      <c r="PO2" t="str">
        <v/>
      </c>
      <c r="PP2" t="str">
        <v/>
      </c>
      <c r="PQ2" t="str">
        <v/>
      </c>
      <c r="PR2" t="str">
        <v/>
      </c>
      <c r="PS2" t="str">
        <v/>
      </c>
      <c r="PT2" t="str">
        <v/>
      </c>
      <c r="PU2" t="str">
        <v/>
      </c>
      <c r="PV2" t="str">
        <v/>
      </c>
      <c r="PW2" t="str">
        <v/>
      </c>
      <c r="PX2" t="str">
        <v/>
      </c>
      <c r="PY2" t="str">
        <v/>
      </c>
      <c r="PZ2" t="str">
        <v/>
      </c>
      <c r="QA2" t="str">
        <v/>
      </c>
      <c r="QB2" t="str">
        <v/>
      </c>
      <c r="QC2" t="str">
        <v/>
      </c>
      <c r="QD2" t="str">
        <v/>
      </c>
      <c r="QE2" t="str">
        <v/>
      </c>
      <c r="QF2" t="str">
        <v/>
      </c>
      <c r="QG2" t="str">
        <v/>
      </c>
      <c r="QH2" t="str">
        <v/>
      </c>
      <c r="QI2" t="str">
        <v/>
      </c>
      <c r="QJ2" t="str">
        <v/>
      </c>
      <c r="QK2" t="str">
        <v/>
      </c>
      <c r="QL2" t="str">
        <v/>
      </c>
      <c r="QM2" t="str">
        <v/>
      </c>
      <c r="QN2" t="str">
        <v/>
      </c>
      <c r="QO2" t="str">
        <v/>
      </c>
      <c r="QP2" t="str">
        <v/>
      </c>
      <c r="QQ2" t="str">
        <v/>
      </c>
      <c r="QR2" t="str">
        <v/>
      </c>
      <c r="QS2" t="str">
        <v/>
      </c>
      <c r="QT2" t="str">
        <v/>
      </c>
      <c r="QU2" t="str">
        <v/>
      </c>
      <c r="QV2" t="str">
        <v/>
      </c>
      <c r="QW2" t="str">
        <v/>
      </c>
      <c r="QX2" t="str">
        <v/>
      </c>
      <c r="QY2" t="str">
        <v/>
      </c>
      <c r="QZ2" t="str">
        <v/>
      </c>
      <c r="RA2" t="str">
        <v/>
      </c>
      <c r="RB2" t="str">
        <v/>
      </c>
      <c r="RC2" t="str">
        <v/>
      </c>
      <c r="RD2" t="str">
        <v/>
      </c>
      <c r="RE2" t="str">
        <v/>
      </c>
      <c r="RF2" t="str">
        <v/>
      </c>
      <c r="RG2" t="str">
        <v/>
      </c>
      <c r="RH2" t="str">
        <v/>
      </c>
      <c r="RI2" t="str">
        <v/>
      </c>
      <c r="RJ2" t="str">
        <v/>
      </c>
      <c r="RK2" t="str">
        <v/>
      </c>
      <c r="RL2" t="str">
        <v/>
      </c>
      <c r="RM2" t="str">
        <v/>
      </c>
      <c r="RN2" t="str">
        <v/>
      </c>
      <c r="RO2" t="str">
        <v/>
      </c>
      <c r="RP2" t="str">
        <v/>
      </c>
      <c r="RQ2" t="str">
        <v/>
      </c>
      <c r="RR2" t="str">
        <v/>
      </c>
      <c r="RS2" t="str">
        <v/>
      </c>
      <c r="RT2" t="str">
        <v/>
      </c>
      <c r="RU2" t="str">
        <v/>
      </c>
      <c r="RV2" t="str">
        <v/>
      </c>
      <c r="RW2" t="str">
        <v/>
      </c>
      <c r="RX2" t="str">
        <v/>
      </c>
      <c r="RY2" t="str">
        <v/>
      </c>
      <c r="RZ2" t="str">
        <v/>
      </c>
      <c r="SA2" t="str">
        <v/>
      </c>
      <c r="SB2" t="str">
        <v/>
      </c>
      <c r="SC2" t="str">
        <v/>
      </c>
      <c r="SD2" t="str">
        <v/>
      </c>
      <c r="SE2" t="str">
        <v/>
      </c>
      <c r="SF2" t="str">
        <v/>
      </c>
      <c r="SG2" t="str">
        <v/>
      </c>
      <c r="SH2" t="str">
        <v/>
      </c>
      <c r="SI2" t="str">
        <v/>
      </c>
      <c r="SJ2" t="str">
        <v/>
      </c>
      <c r="SK2" t="str">
        <v/>
      </c>
      <c r="SL2" t="str">
        <v/>
      </c>
      <c r="SM2" t="str">
        <v/>
      </c>
      <c r="SN2" t="str">
        <v/>
      </c>
      <c r="SO2" t="str">
        <v/>
      </c>
      <c r="SP2" t="str">
        <v/>
      </c>
      <c r="SQ2" t="str">
        <v/>
      </c>
      <c r="SR2" t="str">
        <v/>
      </c>
      <c r="SS2" t="str">
        <v/>
      </c>
      <c r="ST2" t="str">
        <v/>
      </c>
      <c r="SU2" t="str">
        <v/>
      </c>
      <c r="SV2" t="str">
        <v/>
      </c>
      <c r="SW2" t="str">
        <v/>
      </c>
      <c r="SX2" t="str">
        <v/>
      </c>
      <c r="SY2" t="str">
        <v/>
      </c>
      <c r="SZ2" t="str">
        <v/>
      </c>
      <c r="TA2" t="str">
        <v/>
      </c>
      <c r="TB2" t="str">
        <v/>
      </c>
      <c r="TC2" t="str">
        <v/>
      </c>
      <c r="TD2" t="str">
        <v/>
      </c>
      <c r="TE2" t="str">
        <v/>
      </c>
      <c r="TF2" t="str">
        <v/>
      </c>
      <c r="TG2" t="str">
        <v/>
      </c>
      <c r="TH2" t="str">
        <v/>
      </c>
      <c r="TI2" t="str">
        <v/>
      </c>
      <c r="TJ2" t="str">
        <v/>
      </c>
      <c r="TK2" t="str">
        <v/>
      </c>
      <c r="TL2" t="str">
        <v/>
      </c>
      <c r="TM2" t="str">
        <v/>
      </c>
      <c r="TN2" t="str">
        <v/>
      </c>
      <c r="TO2" t="str">
        <v/>
      </c>
      <c r="TP2" t="str">
        <v/>
      </c>
      <c r="TQ2" t="str">
        <v/>
      </c>
      <c r="TR2" t="str">
        <v/>
      </c>
      <c r="TS2" t="str">
        <v/>
      </c>
      <c r="TT2" t="str">
        <v/>
      </c>
      <c r="TU2" t="str">
        <v/>
      </c>
      <c r="TV2" t="str">
        <v/>
      </c>
      <c r="TW2" t="str">
        <v/>
      </c>
      <c r="TX2" t="str">
        <v/>
      </c>
      <c r="TY2" t="str">
        <v/>
      </c>
      <c r="TZ2" t="str">
        <v/>
      </c>
      <c r="UA2" t="str">
        <v/>
      </c>
      <c r="UB2" t="str">
        <v/>
      </c>
      <c r="UC2" t="str">
        <v/>
      </c>
      <c r="UD2" t="str">
        <v/>
      </c>
      <c r="UE2" t="str">
        <v/>
      </c>
      <c r="UF2" t="str">
        <v/>
      </c>
      <c r="UG2" t="str">
        <v/>
      </c>
      <c r="UH2" t="str">
        <v/>
      </c>
      <c r="UI2" t="str">
        <v/>
      </c>
      <c r="UJ2" t="str">
        <v/>
      </c>
      <c r="UK2" t="str">
        <v/>
      </c>
      <c r="UL2" t="str">
        <v/>
      </c>
      <c r="UM2" t="str">
        <v/>
      </c>
      <c r="UN2" t="str">
        <v/>
      </c>
      <c r="UO2" t="str">
        <v/>
      </c>
      <c r="UP2" t="str">
        <v/>
      </c>
      <c r="UQ2" t="str">
        <v/>
      </c>
      <c r="UR2" t="str">
        <v/>
      </c>
      <c r="US2" t="str">
        <v/>
      </c>
      <c r="UT2" t="str">
        <v/>
      </c>
      <c r="UU2" t="str">
        <v/>
      </c>
      <c r="UV2" t="str">
        <v/>
      </c>
      <c r="UW2" t="str">
        <v/>
      </c>
      <c r="UX2" t="str">
        <v/>
      </c>
      <c r="UY2" t="str">
        <v/>
      </c>
      <c r="UZ2" t="str">
        <v/>
      </c>
      <c r="VA2" t="str">
        <v/>
      </c>
      <c r="VB2" t="str">
        <v/>
      </c>
      <c r="VC2" t="str">
        <v/>
      </c>
      <c r="VD2" t="str">
        <v/>
      </c>
      <c r="VE2" t="str">
        <v/>
      </c>
      <c r="VF2" t="str">
        <v/>
      </c>
      <c r="VG2" t="str">
        <v/>
      </c>
      <c r="VH2" t="str">
        <v/>
      </c>
      <c r="VI2" t="str">
        <v/>
      </c>
      <c r="VJ2" t="str">
        <v/>
      </c>
      <c r="VK2" t="str">
        <v/>
      </c>
      <c r="VL2" t="str">
        <v/>
      </c>
      <c r="VM2" t="str">
        <v/>
      </c>
      <c r="VN2" t="str">
        <v/>
      </c>
      <c r="VO2" t="str">
        <v/>
      </c>
      <c r="VP2" t="str">
        <v/>
      </c>
      <c r="VQ2" t="str">
        <v/>
      </c>
      <c r="VR2" t="str">
        <v/>
      </c>
      <c r="VS2" t="str">
        <v/>
      </c>
      <c r="VT2" t="str">
        <v/>
      </c>
      <c r="VU2" t="str">
        <v/>
      </c>
      <c r="VV2" t="str">
        <v/>
      </c>
      <c r="VW2" t="str">
        <v/>
      </c>
      <c r="VX2" t="str">
        <v/>
      </c>
      <c r="VY2" t="str">
        <v/>
      </c>
      <c r="VZ2" t="str">
        <v/>
      </c>
      <c r="WA2" t="str">
        <v/>
      </c>
      <c r="WB2" t="str">
        <v/>
      </c>
      <c r="WC2" t="str">
        <v/>
      </c>
      <c r="WD2" t="str">
        <v/>
      </c>
      <c r="WE2" t="str">
        <v/>
      </c>
      <c r="WF2" t="str">
        <v/>
      </c>
      <c r="WG2" t="str">
        <v/>
      </c>
      <c r="WH2" t="str">
        <v/>
      </c>
      <c r="WI2" t="str">
        <v/>
      </c>
      <c r="WJ2" t="str">
        <v/>
      </c>
      <c r="WK2" t="str">
        <v/>
      </c>
      <c r="WL2" t="str">
        <v/>
      </c>
      <c r="WM2" t="str">
        <v/>
      </c>
      <c r="WN2" t="str">
        <v/>
      </c>
      <c r="WO2" t="str">
        <v/>
      </c>
      <c r="WP2" t="str">
        <v/>
      </c>
      <c r="WQ2" t="str">
        <v/>
      </c>
      <c r="WR2" t="str">
        <v/>
      </c>
      <c r="WS2" t="str">
        <v/>
      </c>
      <c r="WT2" t="str">
        <v/>
      </c>
      <c r="WU2" t="str">
        <v/>
      </c>
      <c r="WV2" t="str">
        <v/>
      </c>
      <c r="WW2" t="str">
        <v/>
      </c>
      <c r="WX2" t="str">
        <v/>
      </c>
      <c r="WY2" t="str">
        <v/>
      </c>
      <c r="WZ2" t="str">
        <v/>
      </c>
      <c r="XA2" t="str">
        <v/>
      </c>
      <c r="XB2" t="str">
        <v/>
      </c>
      <c r="XC2" t="str">
        <v/>
      </c>
      <c r="XD2" t="str">
        <v/>
      </c>
      <c r="XE2" t="str">
        <v/>
      </c>
      <c r="XF2" t="str">
        <v/>
      </c>
      <c r="XG2" t="str">
        <v/>
      </c>
      <c r="XH2" t="str">
        <v/>
      </c>
      <c r="XI2" t="str">
        <v/>
      </c>
      <c r="XJ2" t="str">
        <v/>
      </c>
      <c r="XK2" t="str">
        <v/>
      </c>
      <c r="XL2" t="str">
        <v/>
      </c>
      <c r="XM2" t="str">
        <v/>
      </c>
      <c r="XN2" t="str">
        <v/>
      </c>
      <c r="XO2" t="str">
        <v/>
      </c>
      <c r="XP2" t="str">
        <v/>
      </c>
      <c r="XQ2" t="str">
        <v/>
      </c>
      <c r="XR2" t="str">
        <v/>
      </c>
      <c r="XS2" t="str">
        <v/>
      </c>
      <c r="XT2" t="str">
        <v/>
      </c>
      <c r="XU2" t="str">
        <v/>
      </c>
      <c r="XV2" t="str">
        <v/>
      </c>
      <c r="XW2" t="str">
        <v/>
      </c>
      <c r="XX2" t="str">
        <v/>
      </c>
      <c r="XY2" t="str">
        <v/>
      </c>
      <c r="XZ2" t="str">
        <v/>
      </c>
      <c r="YA2" t="str">
        <v/>
      </c>
      <c r="YB2" t="str">
        <v/>
      </c>
      <c r="YC2" t="str">
        <v/>
      </c>
      <c r="YD2" t="str">
        <v/>
      </c>
      <c r="YE2" t="str">
        <v/>
      </c>
      <c r="YF2" t="str">
        <v/>
      </c>
      <c r="YG2" t="str">
        <v/>
      </c>
      <c r="YH2" t="str">
        <v/>
      </c>
      <c r="YI2" t="str">
        <v/>
      </c>
      <c r="YJ2" t="str">
        <v/>
      </c>
      <c r="YK2" t="str">
        <v/>
      </c>
      <c r="YL2" t="str">
        <v/>
      </c>
      <c r="YM2" t="str">
        <v/>
      </c>
      <c r="YN2" t="str">
        <v/>
      </c>
      <c r="YO2" t="str">
        <v/>
      </c>
      <c r="YP2" t="str">
        <v/>
      </c>
      <c r="YQ2" t="str">
        <v/>
      </c>
      <c r="YR2" t="str">
        <v/>
      </c>
      <c r="YS2" t="str">
        <v/>
      </c>
      <c r="YT2" t="str">
        <v/>
      </c>
      <c r="YU2" t="str">
        <v/>
      </c>
      <c r="YV2" t="str">
        <v/>
      </c>
      <c r="YW2" t="str">
        <v/>
      </c>
      <c r="YX2" t="str">
        <v/>
      </c>
      <c r="YY2" t="str">
        <v/>
      </c>
      <c r="YZ2" t="str">
        <v/>
      </c>
      <c r="ZA2" t="str">
        <v/>
      </c>
      <c r="ZB2" t="str">
        <v/>
      </c>
      <c r="ZC2" t="str">
        <v/>
      </c>
      <c r="ZD2" t="str">
        <v/>
      </c>
      <c r="ZE2" t="str">
        <v/>
      </c>
      <c r="ZF2" t="str">
        <v/>
      </c>
      <c r="ZG2" t="str">
        <v/>
      </c>
      <c r="ZH2" t="str">
        <v/>
      </c>
      <c r="ZI2" t="str">
        <v/>
      </c>
      <c r="ZJ2" t="str">
        <v/>
      </c>
      <c r="ZK2" t="str">
        <v/>
      </c>
      <c r="ZL2" t="str">
        <v/>
      </c>
      <c r="ZM2" t="str">
        <v/>
      </c>
      <c r="ZN2" t="str">
        <v/>
      </c>
      <c r="ZO2" t="str">
        <v/>
      </c>
      <c r="ZP2" t="str">
        <v/>
      </c>
      <c r="ZQ2" t="str">
        <v/>
      </c>
      <c r="ZR2" t="str">
        <v/>
      </c>
      <c r="ZS2" t="str">
        <v/>
      </c>
      <c r="ZT2" t="str">
        <v/>
      </c>
      <c r="ZU2" t="str">
        <v/>
      </c>
      <c r="ZV2" t="str">
        <v/>
      </c>
      <c r="ZW2" t="str">
        <v/>
      </c>
      <c r="ZX2" t="str">
        <v/>
      </c>
      <c r="ZY2" t="str">
        <v/>
      </c>
      <c r="ZZ2" t="str">
        <v/>
      </c>
      <c r="AAA2" t="str">
        <v/>
      </c>
      <c r="AAB2" t="str">
        <v/>
      </c>
      <c r="AAC2" t="str">
        <v/>
      </c>
      <c r="AAD2" t="str">
        <v/>
      </c>
      <c r="AAE2" t="str">
        <v/>
      </c>
      <c r="AAF2" t="str">
        <v/>
      </c>
      <c r="AAG2" t="str">
        <v/>
      </c>
      <c r="AAH2" t="str">
        <v/>
      </c>
      <c r="AAI2" t="str">
        <v/>
      </c>
      <c r="AAJ2" t="str">
        <v/>
      </c>
      <c r="AAK2" t="str">
        <v/>
      </c>
      <c r="AAL2" t="str">
        <v/>
      </c>
      <c r="AAM2" t="str">
        <v/>
      </c>
      <c r="AAN2" t="str">
        <v/>
      </c>
      <c r="AAO2" t="str">
        <v/>
      </c>
      <c r="AAP2" t="str">
        <v/>
      </c>
      <c r="AAQ2" t="str">
        <v/>
      </c>
      <c r="AAR2" t="str">
        <v/>
      </c>
      <c r="AAS2" t="str">
        <v/>
      </c>
      <c r="AAT2" t="str">
        <v/>
      </c>
      <c r="AAU2" t="str">
        <v/>
      </c>
      <c r="AAV2" t="str">
        <v/>
      </c>
      <c r="AAW2" t="str">
        <v/>
      </c>
      <c r="AAX2" t="str">
        <v/>
      </c>
      <c r="AAY2" t="str">
        <v/>
      </c>
      <c r="AAZ2" t="str">
        <v/>
      </c>
      <c r="ABA2" t="str">
        <v/>
      </c>
      <c r="ABB2" t="str">
        <v/>
      </c>
      <c r="ABC2" t="str">
        <v/>
      </c>
      <c r="ABD2" t="str">
        <v/>
      </c>
      <c r="ABE2" t="str">
        <f ca="1"/>
        <v>pcdos</v>
      </c>
      <c r="ABF2" t="str">
        <f ca="1"/>
        <v>Windows (32-bit) NT 10.00</v>
      </c>
      <c r="ABG2" t="str">
        <f ca="1"/>
        <v>16.0</v>
      </c>
      <c r="ABH2" t="e">
        <f ca="1"/>
        <v>#NAME?</v>
      </c>
      <c r="ABI2" t="str">
        <v>ver112</v>
      </c>
    </row>
  </sheetData>
  <phoneticPr fontId="3"/>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AX231"/>
  <sheetViews>
    <sheetView zoomScale="55" zoomScaleNormal="55" workbookViewId="0"/>
  </sheetViews>
  <sheetFormatPr defaultColWidth="9" defaultRowHeight="13"/>
  <cols>
    <col min="1" max="1" width="30.6328125" style="3" customWidth="1"/>
    <col min="2" max="2" width="15.6328125" style="1" bestFit="1" customWidth="1"/>
    <col min="3" max="3" width="25.453125" style="3" bestFit="1" customWidth="1"/>
    <col min="4" max="4" width="9" style="3"/>
    <col min="5" max="5" width="31.26953125" style="3" bestFit="1" customWidth="1"/>
    <col min="6" max="6" width="11.7265625" style="3" bestFit="1" customWidth="1"/>
    <col min="7" max="7" width="67.6328125" style="3" bestFit="1" customWidth="1"/>
    <col min="8" max="10" width="27.26953125" style="3" customWidth="1"/>
    <col min="11" max="11" width="48.36328125" style="3" customWidth="1"/>
    <col min="12" max="14" width="27.26953125" style="3" customWidth="1"/>
    <col min="15" max="25" width="27.26953125" style="3" hidden="1" customWidth="1"/>
    <col min="26" max="26" width="27.26953125" style="3" customWidth="1"/>
    <col min="27" max="27" width="38.08984375" style="3" bestFit="1" customWidth="1"/>
    <col min="28" max="28" width="18.36328125" style="3" bestFit="1" customWidth="1"/>
    <col min="29" max="29" width="14.08984375" style="3" bestFit="1" customWidth="1"/>
    <col min="30" max="30" width="24.36328125" style="3" bestFit="1" customWidth="1"/>
    <col min="31" max="31" width="33.08984375" style="3" bestFit="1" customWidth="1"/>
    <col min="32" max="32" width="9" style="3"/>
    <col min="33" max="33" width="31.453125" style="3" bestFit="1" customWidth="1"/>
    <col min="34" max="34" width="27.36328125" style="3" bestFit="1" customWidth="1"/>
    <col min="35" max="35" width="89.6328125" style="3" bestFit="1" customWidth="1"/>
    <col min="36" max="36" width="87.90625" style="3" bestFit="1" customWidth="1"/>
    <col min="37" max="37" width="26.7265625" style="3" bestFit="1" customWidth="1"/>
    <col min="38" max="38" width="30.90625" style="3" bestFit="1" customWidth="1"/>
    <col min="39" max="39" width="9" style="3"/>
    <col min="40" max="40" width="16.453125" style="3" bestFit="1" customWidth="1"/>
    <col min="41" max="41" width="20.7265625" style="3" bestFit="1" customWidth="1"/>
    <col min="42" max="42" width="9" style="3" bestFit="1" customWidth="1"/>
    <col min="43" max="43" width="7.08984375" style="3" bestFit="1" customWidth="1"/>
    <col min="44" max="44" width="12.26953125" style="3" bestFit="1" customWidth="1"/>
    <col min="45" max="45" width="15.08984375" style="3" bestFit="1" customWidth="1"/>
    <col min="46" max="46" width="33.26953125" style="3" bestFit="1" customWidth="1"/>
    <col min="47" max="47" width="33" style="3" bestFit="1" customWidth="1"/>
    <col min="48" max="48" width="36.6328125" style="3" bestFit="1" customWidth="1"/>
    <col min="49" max="49" width="9" style="3"/>
    <col min="50" max="50" width="17.08984375" style="3" bestFit="1" customWidth="1"/>
    <col min="51" max="16384" width="9" style="3"/>
  </cols>
  <sheetData>
    <row r="1" spans="1:50" s="14" customFormat="1">
      <c r="A1" s="14" t="s">
        <v>2444</v>
      </c>
      <c r="B1" s="27"/>
      <c r="C1" s="14" t="s">
        <v>2445</v>
      </c>
      <c r="E1" s="14" t="s">
        <v>2445</v>
      </c>
      <c r="G1" s="14" t="s">
        <v>2446</v>
      </c>
      <c r="I1" s="14" t="s">
        <v>2508</v>
      </c>
      <c r="K1" s="14" t="s">
        <v>2510</v>
      </c>
      <c r="AA1" s="14" t="s">
        <v>390</v>
      </c>
      <c r="AX1" s="14" t="s">
        <v>3312</v>
      </c>
    </row>
    <row r="2" spans="1:50" s="65" customFormat="1" ht="60" customHeight="1" thickBot="1">
      <c r="A2" s="14" t="s">
        <v>1087</v>
      </c>
      <c r="B2" s="66"/>
      <c r="C2" s="65" t="s">
        <v>389</v>
      </c>
      <c r="E2" s="65" t="s">
        <v>381</v>
      </c>
      <c r="G2" s="65" t="s">
        <v>691</v>
      </c>
      <c r="K2" s="65" t="s">
        <v>2511</v>
      </c>
      <c r="AA2" s="146" t="s">
        <v>329</v>
      </c>
      <c r="AB2" s="778" t="s">
        <v>3305</v>
      </c>
      <c r="AC2" s="771" t="s">
        <v>3296</v>
      </c>
      <c r="AD2" s="771" t="s">
        <v>3139</v>
      </c>
      <c r="AE2" s="771" t="s">
        <v>3140</v>
      </c>
      <c r="AF2" s="771" t="s">
        <v>3141</v>
      </c>
      <c r="AG2" s="771" t="s">
        <v>3297</v>
      </c>
      <c r="AH2" s="771" t="s">
        <v>3298</v>
      </c>
      <c r="AI2" s="771" t="s">
        <v>4648</v>
      </c>
      <c r="AJ2" s="771" t="s">
        <v>4649</v>
      </c>
      <c r="AK2" s="771" t="s">
        <v>3300</v>
      </c>
      <c r="AL2" s="771" t="s">
        <v>3301</v>
      </c>
      <c r="AM2" s="771" t="s">
        <v>3142</v>
      </c>
      <c r="AN2" s="771" t="s">
        <v>3143</v>
      </c>
      <c r="AO2" s="771" t="s">
        <v>3144</v>
      </c>
      <c r="AP2" s="771" t="s">
        <v>3145</v>
      </c>
      <c r="AQ2" s="771" t="s">
        <v>3146</v>
      </c>
      <c r="AR2" s="771" t="s">
        <v>3147</v>
      </c>
      <c r="AS2" s="771" t="s">
        <v>3148</v>
      </c>
      <c r="AT2" s="771" t="s">
        <v>3299</v>
      </c>
      <c r="AU2" s="771" t="s">
        <v>3302</v>
      </c>
      <c r="AV2" s="771" t="s">
        <v>3303</v>
      </c>
      <c r="AX2" s="65" t="s">
        <v>3311</v>
      </c>
    </row>
    <row r="3" spans="1:50" ht="13.5" thickBot="1">
      <c r="A3" s="28" t="s">
        <v>1170</v>
      </c>
      <c r="C3" s="28" t="s">
        <v>267</v>
      </c>
      <c r="E3" s="28" t="s">
        <v>271</v>
      </c>
      <c r="F3" s="1"/>
      <c r="G3" s="28" t="s">
        <v>2506</v>
      </c>
      <c r="I3" s="604" t="s">
        <v>2509</v>
      </c>
      <c r="K3" s="28" t="s">
        <v>1368</v>
      </c>
      <c r="AA3" s="64" t="s">
        <v>3296</v>
      </c>
      <c r="AB3" s="768" t="s">
        <v>3304</v>
      </c>
      <c r="AC3" s="64" t="s">
        <v>4650</v>
      </c>
      <c r="AD3" s="64" t="s">
        <v>3139</v>
      </c>
      <c r="AE3" s="64" t="s">
        <v>3140</v>
      </c>
      <c r="AF3" s="64" t="s">
        <v>3141</v>
      </c>
      <c r="AG3" s="67" t="s">
        <v>4651</v>
      </c>
      <c r="AH3" s="67" t="s">
        <v>4652</v>
      </c>
      <c r="AI3" s="67" t="s">
        <v>4653</v>
      </c>
      <c r="AJ3" s="67" t="s">
        <v>4654</v>
      </c>
      <c r="AK3" s="64" t="s">
        <v>4660</v>
      </c>
      <c r="AL3" s="64" t="s">
        <v>4661</v>
      </c>
      <c r="AM3" s="64" t="s">
        <v>3142</v>
      </c>
      <c r="AN3" s="64" t="s">
        <v>3143</v>
      </c>
      <c r="AO3" s="64" t="s">
        <v>3144</v>
      </c>
      <c r="AP3" s="64" t="s">
        <v>3145</v>
      </c>
      <c r="AQ3" s="64" t="s">
        <v>3146</v>
      </c>
      <c r="AR3" s="64" t="s">
        <v>3147</v>
      </c>
      <c r="AS3" s="64" t="s">
        <v>3148</v>
      </c>
      <c r="AT3" s="64" t="s">
        <v>4655</v>
      </c>
      <c r="AU3" s="64" t="s">
        <v>4656</v>
      </c>
      <c r="AV3" s="64" t="s">
        <v>4657</v>
      </c>
      <c r="AX3" s="28" t="s">
        <v>3313</v>
      </c>
    </row>
    <row r="4" spans="1:50">
      <c r="A4" s="29" t="s">
        <v>1168</v>
      </c>
      <c r="C4" s="29" t="s">
        <v>346</v>
      </c>
      <c r="E4" s="29" t="s">
        <v>272</v>
      </c>
      <c r="F4" s="1"/>
      <c r="G4" s="29" t="s">
        <v>2507</v>
      </c>
      <c r="K4" s="29" t="s">
        <v>1369</v>
      </c>
      <c r="AA4" s="64" t="s">
        <v>3139</v>
      </c>
      <c r="AC4" s="2" t="s">
        <v>3172</v>
      </c>
      <c r="AD4" s="2" t="s">
        <v>3164</v>
      </c>
      <c r="AE4" s="2" t="s">
        <v>3165</v>
      </c>
      <c r="AF4" s="770" t="s">
        <v>3166</v>
      </c>
      <c r="AG4" s="2" t="s">
        <v>3173</v>
      </c>
      <c r="AH4" s="2" t="s">
        <v>3174</v>
      </c>
      <c r="AI4" s="2" t="s">
        <v>4658</v>
      </c>
      <c r="AJ4" s="2" t="s">
        <v>3175</v>
      </c>
      <c r="AK4" s="2" t="s">
        <v>3149</v>
      </c>
      <c r="AL4" s="2" t="s">
        <v>3150</v>
      </c>
      <c r="AM4" s="2" t="s">
        <v>3176</v>
      </c>
      <c r="AN4" s="2" t="s">
        <v>3177</v>
      </c>
      <c r="AO4" s="2" t="s">
        <v>3178</v>
      </c>
      <c r="AP4" s="2" t="s">
        <v>3179</v>
      </c>
      <c r="AQ4" s="2" t="s">
        <v>3180</v>
      </c>
      <c r="AR4" s="2" t="s">
        <v>3181</v>
      </c>
      <c r="AS4" s="2" t="s">
        <v>3182</v>
      </c>
      <c r="AT4" s="2" t="s">
        <v>3183</v>
      </c>
      <c r="AU4" s="2" t="s">
        <v>3184</v>
      </c>
      <c r="AV4" s="2" t="s">
        <v>3151</v>
      </c>
      <c r="AX4" s="29" t="s">
        <v>3306</v>
      </c>
    </row>
    <row r="5" spans="1:50" ht="13.5" thickBot="1">
      <c r="A5" s="399" t="s">
        <v>1169</v>
      </c>
      <c r="C5" s="29" t="s">
        <v>2502</v>
      </c>
      <c r="E5" s="29" t="s">
        <v>273</v>
      </c>
      <c r="F5" s="1"/>
      <c r="G5" s="29" t="s">
        <v>689</v>
      </c>
      <c r="K5" s="30" t="s">
        <v>316</v>
      </c>
      <c r="AA5" s="64" t="s">
        <v>3140</v>
      </c>
      <c r="AC5" s="2" t="s">
        <v>3185</v>
      </c>
      <c r="AD5" s="2" t="s">
        <v>3167</v>
      </c>
      <c r="AE5" s="2" t="s">
        <v>3168</v>
      </c>
      <c r="AF5" s="2" t="s">
        <v>3186</v>
      </c>
      <c r="AG5" s="2" t="s">
        <v>3187</v>
      </c>
      <c r="AH5" s="2" t="s">
        <v>3188</v>
      </c>
      <c r="AI5" s="2" t="s">
        <v>3331</v>
      </c>
      <c r="AJ5" s="2" t="s">
        <v>3189</v>
      </c>
      <c r="AK5" s="2" t="s">
        <v>3152</v>
      </c>
      <c r="AM5" s="2" t="s">
        <v>3190</v>
      </c>
      <c r="AN5" s="2" t="s">
        <v>3191</v>
      </c>
      <c r="AO5" s="2" t="s">
        <v>3153</v>
      </c>
      <c r="AQ5" s="2" t="s">
        <v>3192</v>
      </c>
      <c r="AR5" s="2" t="s">
        <v>324</v>
      </c>
      <c r="AS5" s="2" t="s">
        <v>3193</v>
      </c>
      <c r="AT5" s="2" t="s">
        <v>3194</v>
      </c>
      <c r="AV5" s="2" t="s">
        <v>3154</v>
      </c>
      <c r="AX5" s="29" t="s">
        <v>3307</v>
      </c>
    </row>
    <row r="6" spans="1:50" ht="13.5" thickBot="1">
      <c r="A6" s="1"/>
      <c r="C6" s="29" t="s">
        <v>144</v>
      </c>
      <c r="E6" s="29" t="s">
        <v>274</v>
      </c>
      <c r="G6" s="30" t="s">
        <v>690</v>
      </c>
      <c r="K6" s="3" t="s">
        <v>2512</v>
      </c>
      <c r="AA6" s="64" t="s">
        <v>3141</v>
      </c>
      <c r="AC6" s="2" t="s">
        <v>3195</v>
      </c>
      <c r="AD6" s="2" t="s">
        <v>3196</v>
      </c>
      <c r="AG6" s="2" t="s">
        <v>3197</v>
      </c>
      <c r="AH6" s="2" t="s">
        <v>3198</v>
      </c>
      <c r="AI6" s="2" t="s">
        <v>3332</v>
      </c>
      <c r="AJ6" s="2" t="s">
        <v>3199</v>
      </c>
      <c r="AM6" s="2" t="s">
        <v>3200</v>
      </c>
      <c r="AN6" s="2" t="s">
        <v>3201</v>
      </c>
      <c r="AO6" s="2" t="s">
        <v>3202</v>
      </c>
      <c r="AQ6" s="2" t="s">
        <v>3203</v>
      </c>
      <c r="AR6" s="2" t="s">
        <v>325</v>
      </c>
      <c r="AS6" s="2" t="s">
        <v>3204</v>
      </c>
      <c r="AT6" s="2" t="s">
        <v>323</v>
      </c>
      <c r="AV6" s="2" t="s">
        <v>3155</v>
      </c>
      <c r="AX6" s="29" t="s">
        <v>3308</v>
      </c>
    </row>
    <row r="7" spans="1:50" ht="13.5" thickBot="1">
      <c r="C7" s="30" t="s">
        <v>270</v>
      </c>
      <c r="E7" s="29" t="s">
        <v>275</v>
      </c>
      <c r="G7" s="122"/>
      <c r="AA7" s="67" t="s">
        <v>3297</v>
      </c>
      <c r="AI7" s="2" t="s">
        <v>3333</v>
      </c>
      <c r="AJ7" s="2" t="s">
        <v>3205</v>
      </c>
      <c r="AN7" s="2" t="s">
        <v>3206</v>
      </c>
      <c r="AR7" s="2" t="s">
        <v>326</v>
      </c>
      <c r="AS7" s="2" t="s">
        <v>3157</v>
      </c>
      <c r="AT7" s="2" t="s">
        <v>3207</v>
      </c>
      <c r="AX7" s="29" t="s">
        <v>3136</v>
      </c>
    </row>
    <row r="8" spans="1:50" ht="13.5" thickBot="1">
      <c r="A8" s="559" t="s">
        <v>2503</v>
      </c>
      <c r="C8" s="1"/>
      <c r="E8" s="29" t="s">
        <v>276</v>
      </c>
      <c r="G8" s="122"/>
      <c r="AA8" s="67" t="s">
        <v>3298</v>
      </c>
      <c r="AI8" s="2" t="s">
        <v>3334</v>
      </c>
      <c r="AJ8" s="2" t="s">
        <v>3208</v>
      </c>
      <c r="AN8" s="2" t="s">
        <v>3209</v>
      </c>
      <c r="AR8" s="2" t="s">
        <v>327</v>
      </c>
      <c r="AT8" s="2" t="s">
        <v>3159</v>
      </c>
      <c r="AX8" s="29" t="s">
        <v>3309</v>
      </c>
    </row>
    <row r="9" spans="1:50" ht="13.5" thickBot="1">
      <c r="A9" s="585" t="s">
        <v>2504</v>
      </c>
      <c r="C9" s="1"/>
      <c r="E9" s="29" t="s">
        <v>277</v>
      </c>
      <c r="K9" s="560" t="s">
        <v>2513</v>
      </c>
      <c r="AA9" s="67" t="s">
        <v>4648</v>
      </c>
      <c r="AI9" s="2" t="s">
        <v>4659</v>
      </c>
      <c r="AJ9" s="2" t="s">
        <v>3210</v>
      </c>
      <c r="AR9" s="2" t="s">
        <v>328</v>
      </c>
      <c r="AX9" s="30" t="s">
        <v>3310</v>
      </c>
    </row>
    <row r="10" spans="1:50" ht="13.5" thickBot="1">
      <c r="A10" s="305" t="s">
        <v>2505</v>
      </c>
      <c r="C10" s="1"/>
      <c r="E10" s="29" t="s">
        <v>278</v>
      </c>
      <c r="K10" s="28" t="s">
        <v>2514</v>
      </c>
      <c r="AA10" s="67" t="s">
        <v>4649</v>
      </c>
      <c r="AI10" s="2" t="s">
        <v>3335</v>
      </c>
      <c r="AJ10" s="2" t="s">
        <v>3169</v>
      </c>
      <c r="AR10" s="2" t="s">
        <v>3170</v>
      </c>
    </row>
    <row r="11" spans="1:50">
      <c r="C11" s="1"/>
      <c r="E11" s="29" t="s">
        <v>279</v>
      </c>
      <c r="K11" s="29" t="s">
        <v>2515</v>
      </c>
      <c r="AA11" s="64" t="s">
        <v>3300</v>
      </c>
      <c r="AI11" s="2" t="s">
        <v>3156</v>
      </c>
      <c r="AJ11" s="2" t="s">
        <v>3211</v>
      </c>
    </row>
    <row r="12" spans="1:50">
      <c r="C12" s="1"/>
      <c r="E12" s="29" t="s">
        <v>281</v>
      </c>
      <c r="K12" s="29" t="s">
        <v>2516</v>
      </c>
      <c r="AA12" s="64" t="s">
        <v>3301</v>
      </c>
      <c r="AI12" s="2" t="s">
        <v>3158</v>
      </c>
      <c r="AJ12" s="2" t="s">
        <v>3212</v>
      </c>
    </row>
    <row r="13" spans="1:50">
      <c r="C13" s="1"/>
      <c r="E13" s="29" t="s">
        <v>280</v>
      </c>
      <c r="K13" s="29" t="s">
        <v>2517</v>
      </c>
      <c r="AA13" s="64" t="s">
        <v>3142</v>
      </c>
      <c r="AI13" s="2" t="s">
        <v>3160</v>
      </c>
      <c r="AJ13" s="2" t="s">
        <v>3213</v>
      </c>
    </row>
    <row r="14" spans="1:50">
      <c r="C14" s="1"/>
      <c r="E14" s="29" t="s">
        <v>282</v>
      </c>
      <c r="K14" s="29" t="s">
        <v>2518</v>
      </c>
      <c r="AA14" s="64" t="s">
        <v>3143</v>
      </c>
      <c r="AI14" s="2" t="s">
        <v>3161</v>
      </c>
      <c r="AJ14" s="2" t="s">
        <v>3162</v>
      </c>
    </row>
    <row r="15" spans="1:50" ht="13.5" thickBot="1">
      <c r="C15" s="1"/>
      <c r="E15" s="29" t="s">
        <v>183</v>
      </c>
      <c r="K15" s="30" t="s">
        <v>2519</v>
      </c>
      <c r="AA15" s="64" t="s">
        <v>3144</v>
      </c>
      <c r="AJ15" s="2" t="s">
        <v>3214</v>
      </c>
    </row>
    <row r="16" spans="1:50">
      <c r="C16" s="1"/>
      <c r="E16" s="29" t="s">
        <v>2666</v>
      </c>
      <c r="K16" s="586" t="s">
        <v>2512</v>
      </c>
      <c r="AA16" s="64" t="s">
        <v>3145</v>
      </c>
      <c r="AJ16" s="2" t="s">
        <v>3215</v>
      </c>
    </row>
    <row r="17" spans="1:36" ht="13.5" thickBot="1">
      <c r="E17" s="30" t="s">
        <v>2665</v>
      </c>
      <c r="AA17" s="769" t="s">
        <v>3146</v>
      </c>
      <c r="AJ17" s="2" t="s">
        <v>3216</v>
      </c>
    </row>
    <row r="18" spans="1:36">
      <c r="AA18" s="769" t="s">
        <v>3147</v>
      </c>
      <c r="AJ18" s="2" t="s">
        <v>3171</v>
      </c>
    </row>
    <row r="19" spans="1:36">
      <c r="AA19" s="769" t="s">
        <v>3148</v>
      </c>
      <c r="AJ19" s="2" t="s">
        <v>3217</v>
      </c>
    </row>
    <row r="20" spans="1:36">
      <c r="AA20" s="769" t="s">
        <v>3299</v>
      </c>
      <c r="AJ20" s="2" t="s">
        <v>3218</v>
      </c>
    </row>
    <row r="21" spans="1:36">
      <c r="AA21" s="769" t="s">
        <v>3302</v>
      </c>
      <c r="AJ21" s="2" t="s">
        <v>3219</v>
      </c>
    </row>
    <row r="22" spans="1:36">
      <c r="A22" s="426"/>
      <c r="B22" s="559"/>
      <c r="C22" s="426"/>
      <c r="D22" s="426"/>
      <c r="E22" s="426"/>
      <c r="F22" s="426"/>
      <c r="G22" s="426"/>
      <c r="H22" s="426"/>
      <c r="I22" s="426"/>
      <c r="J22" s="426"/>
      <c r="K22" s="426"/>
      <c r="L22" s="426"/>
      <c r="M22" s="426"/>
      <c r="N22" s="426"/>
      <c r="O22" s="426"/>
      <c r="P22" s="426"/>
      <c r="Q22" s="426"/>
      <c r="R22" s="426"/>
      <c r="S22" s="426"/>
      <c r="T22" s="426"/>
      <c r="U22" s="426"/>
      <c r="V22" s="426"/>
      <c r="W22" s="426"/>
      <c r="X22" s="426"/>
      <c r="Y22" s="426"/>
      <c r="Z22" s="426"/>
      <c r="AA22" s="769" t="s">
        <v>3303</v>
      </c>
      <c r="AJ22" s="2" t="s">
        <v>3220</v>
      </c>
    </row>
    <row r="23" spans="1:36">
      <c r="A23" s="426"/>
      <c r="B23" s="559"/>
      <c r="C23" s="426"/>
      <c r="D23" s="426"/>
      <c r="E23" s="426"/>
      <c r="F23" s="426"/>
      <c r="G23" s="426"/>
      <c r="H23" s="426"/>
      <c r="I23" s="426"/>
      <c r="J23" s="426"/>
      <c r="K23" s="426"/>
      <c r="L23" s="426"/>
      <c r="M23" s="426"/>
      <c r="N23" s="426"/>
      <c r="O23" s="426"/>
      <c r="P23" s="426"/>
      <c r="Q23" s="426"/>
      <c r="R23" s="426"/>
      <c r="S23" s="426"/>
      <c r="T23" s="426"/>
      <c r="U23" s="426"/>
      <c r="V23" s="426"/>
      <c r="W23" s="426"/>
      <c r="X23" s="426"/>
      <c r="Y23" s="426"/>
      <c r="Z23" s="426"/>
      <c r="AJ23" s="2" t="s">
        <v>3221</v>
      </c>
    </row>
    <row r="24" spans="1:36">
      <c r="A24" s="14" t="s">
        <v>2520</v>
      </c>
      <c r="B24" s="27"/>
      <c r="C24" s="27" t="s">
        <v>2541</v>
      </c>
      <c r="D24" s="27"/>
      <c r="E24" s="14" t="s">
        <v>1697</v>
      </c>
      <c r="F24" s="14"/>
      <c r="G24" s="14" t="s">
        <v>2547</v>
      </c>
      <c r="H24" s="14"/>
      <c r="I24" s="14" t="s">
        <v>2448</v>
      </c>
      <c r="J24" s="14"/>
      <c r="K24" s="14" t="s">
        <v>2447</v>
      </c>
      <c r="L24" s="14"/>
      <c r="M24" s="14" t="s">
        <v>2498</v>
      </c>
      <c r="N24" s="14"/>
      <c r="O24" s="14"/>
      <c r="P24" s="14"/>
      <c r="Q24" s="14"/>
      <c r="R24" s="14"/>
      <c r="S24" s="14"/>
      <c r="T24" s="14"/>
      <c r="U24" s="14"/>
      <c r="V24" s="14"/>
      <c r="W24" s="14"/>
      <c r="X24" s="14"/>
      <c r="Y24" s="14"/>
      <c r="Z24" s="14" t="s">
        <v>2609</v>
      </c>
      <c r="AA24" s="14"/>
      <c r="AB24" s="14"/>
      <c r="AC24" s="14"/>
      <c r="AD24" s="14"/>
      <c r="AE24" s="27"/>
      <c r="AF24" s="1"/>
      <c r="AG24" s="1"/>
    </row>
    <row r="25" spans="1:36">
      <c r="A25" s="14" t="s">
        <v>2521</v>
      </c>
      <c r="B25" s="27"/>
      <c r="C25" s="27"/>
      <c r="D25" s="27"/>
      <c r="E25" s="14" t="s">
        <v>739</v>
      </c>
      <c r="F25" s="14"/>
      <c r="G25" s="14"/>
      <c r="H25" s="14"/>
      <c r="I25" s="14" t="s">
        <v>917</v>
      </c>
      <c r="J25" s="14"/>
      <c r="K25" s="14"/>
      <c r="L25" s="14"/>
      <c r="M25" s="14"/>
      <c r="N25" s="14"/>
      <c r="O25" s="14"/>
      <c r="P25" s="14"/>
      <c r="Q25" s="14"/>
      <c r="R25" s="14"/>
      <c r="S25" s="14"/>
      <c r="T25" s="14"/>
      <c r="U25" s="14"/>
      <c r="V25" s="14"/>
      <c r="W25" s="14"/>
      <c r="X25" s="14"/>
      <c r="Y25" s="14"/>
      <c r="Z25" s="14"/>
      <c r="AA25" s="14"/>
      <c r="AB25" s="14"/>
      <c r="AC25" s="14"/>
      <c r="AD25" s="14"/>
      <c r="AE25" s="27"/>
      <c r="AF25" s="1"/>
      <c r="AG25" s="1"/>
    </row>
    <row r="26" spans="1:36">
      <c r="A26" s="14"/>
      <c r="B26" s="27"/>
      <c r="C26" s="27"/>
      <c r="D26" s="27"/>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27"/>
      <c r="AF26" s="1"/>
      <c r="AG26" s="1"/>
    </row>
    <row r="27" spans="1:36" ht="26.5" thickBot="1">
      <c r="A27" s="14"/>
      <c r="B27" s="27"/>
      <c r="C27" s="27"/>
      <c r="D27" s="27"/>
      <c r="E27" s="14"/>
      <c r="F27" s="14"/>
      <c r="G27" s="14" t="s">
        <v>2548</v>
      </c>
      <c r="H27" s="14"/>
      <c r="I27" s="14" t="s">
        <v>2550</v>
      </c>
      <c r="J27" s="14"/>
      <c r="K27" s="65" t="s">
        <v>2554</v>
      </c>
      <c r="L27" s="14"/>
      <c r="M27" s="14"/>
      <c r="N27" s="14"/>
      <c r="O27" s="14"/>
      <c r="P27" s="14"/>
      <c r="Q27" s="14"/>
      <c r="R27" s="14"/>
      <c r="S27" s="14"/>
      <c r="T27" s="14"/>
      <c r="U27" s="14"/>
      <c r="V27" s="14"/>
      <c r="W27" s="14"/>
      <c r="X27" s="14"/>
      <c r="Y27" s="14"/>
      <c r="Z27" s="14"/>
      <c r="AA27" s="14"/>
      <c r="AB27" s="14"/>
      <c r="AC27" s="14"/>
      <c r="AD27" s="14"/>
      <c r="AE27" s="27"/>
      <c r="AF27" s="1"/>
      <c r="AG27" s="1"/>
    </row>
    <row r="28" spans="1:36">
      <c r="A28" s="28" t="s">
        <v>528</v>
      </c>
      <c r="C28" s="28" t="s">
        <v>2542</v>
      </c>
      <c r="D28" s="1"/>
      <c r="E28" s="28" t="s">
        <v>523</v>
      </c>
      <c r="G28" s="28" t="s">
        <v>2758</v>
      </c>
      <c r="I28" s="585" t="s">
        <v>2525</v>
      </c>
      <c r="K28" s="28" t="s">
        <v>2555</v>
      </c>
      <c r="M28" s="28" t="s">
        <v>20</v>
      </c>
      <c r="Z28" s="28" t="s">
        <v>2607</v>
      </c>
      <c r="AE28" s="1"/>
      <c r="AF28" s="1"/>
      <c r="AG28" s="1"/>
    </row>
    <row r="29" spans="1:36" ht="13.5" thickBot="1">
      <c r="A29" s="29" t="s">
        <v>1172</v>
      </c>
      <c r="C29" s="29" t="s">
        <v>2543</v>
      </c>
      <c r="D29" s="1"/>
      <c r="E29" s="29" t="s">
        <v>524</v>
      </c>
      <c r="G29" s="649" t="s">
        <v>2765</v>
      </c>
      <c r="I29" s="305" t="s">
        <v>2526</v>
      </c>
      <c r="K29" s="305" t="s">
        <v>2556</v>
      </c>
      <c r="M29" s="30" t="s">
        <v>1340</v>
      </c>
      <c r="Z29" s="591" t="s">
        <v>2608</v>
      </c>
      <c r="AE29" s="1"/>
      <c r="AF29" s="1"/>
      <c r="AG29" s="1"/>
    </row>
    <row r="30" spans="1:36" ht="13.5" thickBot="1">
      <c r="A30" s="30" t="s">
        <v>525</v>
      </c>
      <c r="C30" s="30" t="s">
        <v>2544</v>
      </c>
      <c r="D30" s="1"/>
      <c r="E30" s="29" t="s">
        <v>870</v>
      </c>
      <c r="G30" s="649" t="s">
        <v>2762</v>
      </c>
      <c r="M30" s="1"/>
      <c r="AE30" s="1"/>
      <c r="AF30" s="1"/>
      <c r="AG30" s="1"/>
    </row>
    <row r="31" spans="1:36" ht="13.5" thickBot="1">
      <c r="C31" s="1"/>
      <c r="D31" s="1"/>
      <c r="E31" s="30" t="s">
        <v>1694</v>
      </c>
      <c r="G31" s="305" t="s">
        <v>293</v>
      </c>
      <c r="M31" s="28" t="s">
        <v>1330</v>
      </c>
      <c r="AE31" s="1"/>
      <c r="AF31" s="1"/>
      <c r="AG31" s="1"/>
    </row>
    <row r="32" spans="1:36" ht="13.5" thickBot="1">
      <c r="A32" s="560" t="s">
        <v>2522</v>
      </c>
      <c r="C32" s="1"/>
      <c r="D32" s="1"/>
      <c r="E32" s="1"/>
      <c r="I32" s="559" t="s">
        <v>2551</v>
      </c>
      <c r="K32" s="559" t="s">
        <v>2560</v>
      </c>
      <c r="M32" s="30" t="s">
        <v>293</v>
      </c>
      <c r="AE32" s="1"/>
      <c r="AF32" s="1"/>
      <c r="AG32" s="1"/>
    </row>
    <row r="33" spans="1:33" ht="13.5" thickBot="1">
      <c r="A33" s="28" t="s">
        <v>20</v>
      </c>
      <c r="C33" s="559" t="s">
        <v>2527</v>
      </c>
      <c r="D33" s="1"/>
      <c r="E33" s="1"/>
      <c r="G33" s="559" t="s">
        <v>2549</v>
      </c>
      <c r="I33" s="585" t="s">
        <v>2525</v>
      </c>
      <c r="K33" s="558" t="s">
        <v>2558</v>
      </c>
      <c r="AE33" s="1"/>
      <c r="AF33" s="1"/>
      <c r="AG33" s="1"/>
    </row>
    <row r="34" spans="1:33" ht="13.5" thickBot="1">
      <c r="A34" s="30" t="s">
        <v>1340</v>
      </c>
      <c r="C34" s="585" t="s">
        <v>2545</v>
      </c>
      <c r="D34" s="1"/>
      <c r="E34" s="559" t="s">
        <v>2452</v>
      </c>
      <c r="G34" s="585" t="s">
        <v>2618</v>
      </c>
      <c r="I34" s="305" t="s">
        <v>2526</v>
      </c>
      <c r="K34" s="18" t="s">
        <v>2557</v>
      </c>
    </row>
    <row r="35" spans="1:33" ht="13.5" thickBot="1">
      <c r="C35" s="305" t="s">
        <v>2546</v>
      </c>
      <c r="D35" s="1"/>
      <c r="E35" s="28" t="s">
        <v>20</v>
      </c>
      <c r="G35" s="649" t="s">
        <v>2764</v>
      </c>
      <c r="K35" s="18" t="s">
        <v>747</v>
      </c>
    </row>
    <row r="36" spans="1:33" ht="13.5" thickBot="1">
      <c r="A36" s="559" t="s">
        <v>2524</v>
      </c>
      <c r="C36" s="559" t="s">
        <v>2536</v>
      </c>
      <c r="D36" s="1"/>
      <c r="E36" s="29" t="s">
        <v>1340</v>
      </c>
      <c r="G36" s="649" t="s">
        <v>2763</v>
      </c>
      <c r="K36" s="18" t="s">
        <v>748</v>
      </c>
    </row>
    <row r="37" spans="1:33" ht="13.5" thickBot="1">
      <c r="A37" s="28" t="s">
        <v>2525</v>
      </c>
      <c r="C37" s="1"/>
      <c r="D37" s="1"/>
      <c r="E37" s="30" t="s">
        <v>675</v>
      </c>
      <c r="G37" s="305" t="s">
        <v>293</v>
      </c>
      <c r="I37" s="28" t="s">
        <v>1368</v>
      </c>
      <c r="K37" s="18" t="s">
        <v>749</v>
      </c>
    </row>
    <row r="38" spans="1:33" ht="13.5" thickBot="1">
      <c r="A38" s="30" t="s">
        <v>2526</v>
      </c>
      <c r="C38" s="1"/>
      <c r="D38" s="1"/>
      <c r="E38" s="1"/>
      <c r="I38" s="29" t="s">
        <v>1369</v>
      </c>
      <c r="K38" s="652" t="s">
        <v>2712</v>
      </c>
    </row>
    <row r="39" spans="1:33" ht="13.5" thickBot="1">
      <c r="A39" s="1"/>
      <c r="C39" s="1"/>
      <c r="D39" s="1"/>
      <c r="G39" s="651" t="s">
        <v>3127</v>
      </c>
      <c r="I39" s="30" t="s">
        <v>316</v>
      </c>
      <c r="K39" s="19" t="s">
        <v>144</v>
      </c>
    </row>
    <row r="40" spans="1:33">
      <c r="A40" s="1"/>
      <c r="B40" s="559"/>
      <c r="C40" s="559"/>
      <c r="D40" s="559"/>
      <c r="E40" s="426"/>
      <c r="F40" s="426"/>
      <c r="G40" s="648" t="s">
        <v>3128</v>
      </c>
      <c r="H40" s="426"/>
      <c r="I40" s="559" t="s">
        <v>2552</v>
      </c>
      <c r="J40" s="426"/>
      <c r="K40" s="1"/>
      <c r="L40" s="426"/>
      <c r="M40" s="426"/>
      <c r="N40" s="426"/>
      <c r="O40" s="426"/>
      <c r="P40" s="426"/>
      <c r="Q40" s="426"/>
      <c r="R40" s="426"/>
      <c r="S40" s="426"/>
      <c r="T40" s="426"/>
      <c r="U40" s="426"/>
      <c r="V40" s="426"/>
      <c r="W40" s="426"/>
      <c r="X40" s="426"/>
      <c r="Y40" s="426"/>
      <c r="Z40" s="426"/>
      <c r="AA40" s="426"/>
      <c r="AB40" s="426"/>
      <c r="AC40" s="426"/>
      <c r="AD40" s="426"/>
    </row>
    <row r="41" spans="1:33" ht="13.5" thickBot="1">
      <c r="A41" s="559" t="s">
        <v>2528</v>
      </c>
      <c r="B41" s="559"/>
      <c r="C41" s="559"/>
      <c r="D41" s="559"/>
      <c r="E41" s="426"/>
      <c r="F41" s="426"/>
      <c r="G41" s="649" t="s">
        <v>3129</v>
      </c>
      <c r="H41" s="426"/>
      <c r="I41" s="559"/>
      <c r="J41" s="426"/>
      <c r="K41" s="1"/>
      <c r="L41" s="426"/>
      <c r="M41" s="426"/>
      <c r="N41" s="426"/>
      <c r="O41" s="426"/>
      <c r="P41" s="426"/>
      <c r="Q41" s="426"/>
      <c r="R41" s="426"/>
      <c r="S41" s="426"/>
      <c r="T41" s="426"/>
      <c r="U41" s="426"/>
      <c r="V41" s="426"/>
      <c r="W41" s="426"/>
      <c r="X41" s="426"/>
      <c r="Y41" s="426"/>
      <c r="Z41" s="426"/>
      <c r="AA41" s="426"/>
      <c r="AB41" s="426"/>
      <c r="AC41" s="426"/>
      <c r="AD41" s="426"/>
    </row>
    <row r="42" spans="1:33" ht="13.5" thickBot="1">
      <c r="A42" s="585" t="s">
        <v>2529</v>
      </c>
      <c r="B42" s="559"/>
      <c r="C42" s="559"/>
      <c r="D42" s="559"/>
      <c r="E42" s="426"/>
      <c r="F42" s="426"/>
      <c r="G42" s="650" t="s">
        <v>3130</v>
      </c>
      <c r="H42" s="426"/>
      <c r="I42" s="559"/>
      <c r="J42" s="426"/>
      <c r="K42" s="585" t="s">
        <v>2545</v>
      </c>
      <c r="L42" s="426"/>
      <c r="M42" s="426"/>
      <c r="N42" s="426"/>
      <c r="O42" s="426"/>
      <c r="P42" s="426"/>
      <c r="Q42" s="426"/>
      <c r="R42" s="426"/>
      <c r="S42" s="426"/>
      <c r="T42" s="426"/>
      <c r="U42" s="426"/>
      <c r="V42" s="426"/>
      <c r="W42" s="426"/>
      <c r="X42" s="426"/>
      <c r="Y42" s="426"/>
      <c r="Z42" s="426"/>
      <c r="AA42" s="426"/>
      <c r="AB42" s="426"/>
      <c r="AC42" s="426"/>
      <c r="AD42" s="426"/>
    </row>
    <row r="43" spans="1:33" ht="13.5" thickBot="1">
      <c r="A43" s="320" t="s">
        <v>2530</v>
      </c>
      <c r="B43" s="559"/>
      <c r="C43" s="559"/>
      <c r="D43" s="559"/>
      <c r="E43" s="426"/>
      <c r="F43" s="426"/>
      <c r="G43" s="651" t="s">
        <v>3131</v>
      </c>
      <c r="H43" s="426"/>
      <c r="I43" s="559" t="s">
        <v>2553</v>
      </c>
      <c r="J43" s="426"/>
      <c r="K43" s="305" t="s">
        <v>2546</v>
      </c>
      <c r="L43" s="426"/>
      <c r="M43" s="426"/>
      <c r="N43" s="426"/>
      <c r="O43" s="426"/>
      <c r="P43" s="426"/>
      <c r="Q43" s="426"/>
      <c r="R43" s="426"/>
      <c r="S43" s="426"/>
      <c r="T43" s="426"/>
      <c r="U43" s="426"/>
      <c r="V43" s="426"/>
      <c r="W43" s="426"/>
      <c r="X43" s="426"/>
      <c r="Y43" s="426"/>
      <c r="Z43" s="426"/>
      <c r="AA43" s="426"/>
      <c r="AB43" s="426"/>
      <c r="AC43" s="426"/>
      <c r="AD43" s="426"/>
    </row>
    <row r="44" spans="1:33">
      <c r="A44" s="320" t="s">
        <v>2531</v>
      </c>
      <c r="B44" s="559"/>
      <c r="C44" s="559"/>
      <c r="D44" s="559"/>
      <c r="E44" s="426"/>
      <c r="F44" s="426"/>
      <c r="G44" s="426"/>
      <c r="H44" s="426"/>
      <c r="I44" s="28" t="s">
        <v>1189</v>
      </c>
      <c r="J44" s="426"/>
      <c r="K44" s="559"/>
      <c r="L44" s="426"/>
      <c r="M44" s="426"/>
      <c r="N44" s="426"/>
      <c r="O44" s="426"/>
      <c r="P44" s="426"/>
      <c r="Q44" s="426"/>
      <c r="R44" s="426"/>
      <c r="S44" s="426"/>
      <c r="T44" s="426"/>
      <c r="U44" s="426"/>
      <c r="V44" s="426"/>
      <c r="W44" s="426"/>
      <c r="X44" s="426"/>
      <c r="Y44" s="426"/>
      <c r="Z44" s="426"/>
      <c r="AA44" s="426"/>
      <c r="AB44" s="426"/>
      <c r="AC44" s="426"/>
      <c r="AD44" s="426"/>
    </row>
    <row r="45" spans="1:33">
      <c r="A45" s="320" t="s">
        <v>2532</v>
      </c>
      <c r="B45" s="559"/>
      <c r="C45" s="559"/>
      <c r="D45" s="559"/>
      <c r="E45" s="426"/>
      <c r="F45" s="426"/>
      <c r="G45" s="426"/>
      <c r="H45" s="426"/>
      <c r="I45" s="29" t="s">
        <v>1187</v>
      </c>
      <c r="J45" s="426"/>
      <c r="K45" s="559"/>
      <c r="L45" s="426"/>
      <c r="M45" s="426"/>
      <c r="N45" s="426"/>
      <c r="O45" s="426"/>
      <c r="P45" s="426"/>
      <c r="Q45" s="426"/>
      <c r="R45" s="426"/>
      <c r="S45" s="426"/>
      <c r="T45" s="426"/>
      <c r="U45" s="426"/>
      <c r="V45" s="426"/>
      <c r="W45" s="426"/>
      <c r="X45" s="426"/>
      <c r="Y45" s="426"/>
      <c r="Z45" s="426"/>
      <c r="AA45" s="426"/>
      <c r="AB45" s="426"/>
      <c r="AC45" s="426"/>
      <c r="AD45" s="426"/>
    </row>
    <row r="46" spans="1:33" ht="13.5" thickBot="1">
      <c r="A46" s="320" t="s">
        <v>2533</v>
      </c>
      <c r="B46" s="559"/>
      <c r="C46" s="559"/>
      <c r="D46" s="559"/>
      <c r="E46" s="426"/>
      <c r="F46" s="426"/>
      <c r="G46" s="426"/>
      <c r="H46" s="426"/>
      <c r="I46" s="30" t="s">
        <v>1188</v>
      </c>
      <c r="J46" s="426"/>
      <c r="K46" s="426"/>
      <c r="L46" s="426"/>
      <c r="M46" s="426"/>
      <c r="N46" s="426"/>
      <c r="O46" s="426"/>
      <c r="P46" s="426"/>
      <c r="Q46" s="426"/>
      <c r="R46" s="426"/>
      <c r="S46" s="426"/>
      <c r="T46" s="426"/>
      <c r="U46" s="426"/>
      <c r="V46" s="426"/>
      <c r="W46" s="426"/>
      <c r="X46" s="426"/>
      <c r="Y46" s="426"/>
      <c r="Z46" s="426"/>
      <c r="AA46" s="426"/>
      <c r="AB46" s="426"/>
      <c r="AC46" s="426"/>
      <c r="AD46" s="426"/>
    </row>
    <row r="47" spans="1:33">
      <c r="A47" s="320" t="s">
        <v>2534</v>
      </c>
      <c r="B47" s="559"/>
      <c r="C47" s="559"/>
      <c r="D47" s="559"/>
      <c r="E47" s="426"/>
      <c r="F47" s="426"/>
      <c r="G47" s="426"/>
      <c r="H47" s="426"/>
      <c r="I47" s="426"/>
      <c r="J47" s="426"/>
      <c r="K47" s="426"/>
      <c r="L47" s="426"/>
      <c r="M47" s="426"/>
      <c r="N47" s="426"/>
      <c r="O47" s="426"/>
      <c r="P47" s="426"/>
      <c r="Q47" s="426"/>
      <c r="R47" s="426"/>
      <c r="S47" s="426"/>
      <c r="T47" s="426"/>
      <c r="U47" s="426"/>
      <c r="V47" s="426"/>
      <c r="W47" s="426"/>
      <c r="X47" s="426"/>
      <c r="Y47" s="426"/>
      <c r="Z47" s="426"/>
      <c r="AA47" s="426"/>
      <c r="AB47" s="426"/>
      <c r="AC47" s="426"/>
      <c r="AD47" s="426"/>
    </row>
    <row r="48" spans="1:33" ht="13.5" thickBot="1">
      <c r="A48" s="305" t="s">
        <v>2535</v>
      </c>
      <c r="B48" s="559"/>
      <c r="C48" s="559"/>
      <c r="D48" s="559"/>
      <c r="E48" s="426"/>
      <c r="F48" s="426"/>
      <c r="G48" s="426"/>
      <c r="H48" s="426"/>
      <c r="I48" s="426"/>
      <c r="J48" s="426"/>
      <c r="K48" s="426"/>
      <c r="L48" s="426"/>
      <c r="M48" s="426"/>
      <c r="N48" s="426"/>
      <c r="O48" s="426"/>
      <c r="P48" s="426"/>
      <c r="Q48" s="426"/>
      <c r="R48" s="426"/>
      <c r="S48" s="426"/>
      <c r="T48" s="426"/>
      <c r="U48" s="426"/>
      <c r="V48" s="426"/>
      <c r="W48" s="426"/>
      <c r="X48" s="426"/>
      <c r="Y48" s="426"/>
      <c r="Z48" s="426"/>
      <c r="AA48" s="426"/>
      <c r="AB48" s="426"/>
      <c r="AC48" s="426"/>
      <c r="AD48" s="426"/>
    </row>
    <row r="49" spans="1:30">
      <c r="A49" s="586" t="s">
        <v>2536</v>
      </c>
      <c r="B49" s="559"/>
      <c r="C49" s="559"/>
      <c r="D49" s="559"/>
      <c r="E49" s="426"/>
      <c r="F49" s="426"/>
      <c r="G49" s="426"/>
      <c r="H49" s="426"/>
      <c r="I49" s="426"/>
      <c r="J49" s="426"/>
      <c r="K49" s="426"/>
      <c r="L49" s="426"/>
      <c r="M49" s="426"/>
      <c r="N49" s="426"/>
      <c r="O49" s="426"/>
      <c r="P49" s="426"/>
      <c r="Q49" s="426"/>
      <c r="R49" s="426"/>
      <c r="S49" s="426"/>
      <c r="T49" s="426"/>
      <c r="U49" s="426"/>
      <c r="V49" s="426"/>
      <c r="W49" s="426"/>
      <c r="X49" s="426"/>
      <c r="Y49" s="426"/>
      <c r="Z49" s="426"/>
      <c r="AA49" s="426"/>
      <c r="AB49" s="426"/>
      <c r="AC49" s="426"/>
      <c r="AD49" s="426"/>
    </row>
    <row r="50" spans="1:30">
      <c r="B50" s="559"/>
      <c r="C50" s="559"/>
      <c r="D50" s="559"/>
      <c r="E50" s="426"/>
      <c r="F50" s="426"/>
      <c r="G50" s="426"/>
      <c r="H50" s="426"/>
      <c r="J50" s="426"/>
      <c r="K50" s="426"/>
      <c r="L50" s="426"/>
      <c r="M50" s="426"/>
      <c r="N50" s="426"/>
      <c r="O50" s="426"/>
      <c r="P50" s="426"/>
      <c r="Q50" s="426"/>
      <c r="R50" s="426"/>
      <c r="S50" s="426"/>
      <c r="T50" s="426"/>
      <c r="U50" s="426"/>
      <c r="V50" s="426"/>
      <c r="W50" s="426"/>
      <c r="X50" s="426"/>
      <c r="Y50" s="426"/>
      <c r="Z50" s="426"/>
      <c r="AA50" s="426"/>
      <c r="AB50" s="426"/>
      <c r="AC50" s="426"/>
      <c r="AD50" s="426"/>
    </row>
    <row r="51" spans="1:30" ht="13.5" thickBot="1">
      <c r="A51" s="559" t="s">
        <v>2527</v>
      </c>
      <c r="B51" s="559"/>
      <c r="C51" s="559"/>
      <c r="D51" s="559"/>
      <c r="E51" s="426"/>
      <c r="F51" s="426"/>
      <c r="G51" s="426"/>
      <c r="H51" s="426"/>
      <c r="J51" s="426"/>
      <c r="K51" s="426"/>
      <c r="L51" s="426"/>
      <c r="M51" s="426"/>
      <c r="N51" s="426"/>
      <c r="O51" s="426"/>
      <c r="P51" s="426"/>
      <c r="Q51" s="426"/>
      <c r="R51" s="426"/>
      <c r="S51" s="426"/>
      <c r="T51" s="426"/>
      <c r="U51" s="426"/>
      <c r="V51" s="426"/>
      <c r="W51" s="426"/>
      <c r="X51" s="426"/>
      <c r="Y51" s="426"/>
      <c r="Z51" s="426"/>
      <c r="AA51" s="426"/>
      <c r="AB51" s="426"/>
      <c r="AC51" s="426"/>
      <c r="AD51" s="426"/>
    </row>
    <row r="52" spans="1:30">
      <c r="A52" s="28" t="s">
        <v>1368</v>
      </c>
      <c r="B52" s="559"/>
      <c r="C52" s="559"/>
      <c r="D52" s="559"/>
      <c r="E52" s="426"/>
      <c r="F52" s="426"/>
      <c r="G52" s="426"/>
      <c r="H52" s="426"/>
      <c r="J52" s="426"/>
      <c r="K52" s="426"/>
      <c r="L52" s="426"/>
      <c r="M52" s="426"/>
      <c r="N52" s="426"/>
      <c r="O52" s="426"/>
      <c r="P52" s="426"/>
      <c r="Q52" s="426"/>
      <c r="R52" s="426"/>
      <c r="S52" s="426"/>
      <c r="T52" s="426"/>
      <c r="U52" s="426"/>
      <c r="V52" s="426"/>
      <c r="W52" s="426"/>
      <c r="X52" s="426"/>
      <c r="Y52" s="426"/>
      <c r="Z52" s="426"/>
      <c r="AA52" s="426"/>
      <c r="AB52" s="426"/>
      <c r="AC52" s="426"/>
      <c r="AD52" s="426"/>
    </row>
    <row r="53" spans="1:30">
      <c r="A53" s="29" t="s">
        <v>1369</v>
      </c>
      <c r="B53" s="559"/>
      <c r="C53" s="559"/>
      <c r="D53" s="559"/>
      <c r="E53" s="426"/>
      <c r="F53" s="426"/>
      <c r="G53" s="426"/>
      <c r="H53" s="426"/>
      <c r="I53" s="426"/>
      <c r="J53" s="426"/>
      <c r="K53" s="426"/>
      <c r="L53" s="426"/>
      <c r="M53" s="426"/>
      <c r="N53" s="426"/>
      <c r="O53" s="426"/>
      <c r="P53" s="426"/>
      <c r="Q53" s="426"/>
      <c r="R53" s="426"/>
      <c r="S53" s="426"/>
      <c r="T53" s="426"/>
      <c r="U53" s="426"/>
      <c r="V53" s="426"/>
      <c r="W53" s="426"/>
      <c r="X53" s="426"/>
      <c r="Y53" s="426"/>
      <c r="Z53" s="426"/>
      <c r="AA53" s="426"/>
      <c r="AB53" s="426"/>
      <c r="AC53" s="426"/>
      <c r="AD53" s="426"/>
    </row>
    <row r="54" spans="1:30" ht="13.5" thickBot="1">
      <c r="A54" s="30" t="s">
        <v>316</v>
      </c>
      <c r="B54" s="559"/>
      <c r="C54" s="559"/>
      <c r="D54" s="559"/>
      <c r="E54" s="426"/>
      <c r="F54" s="426"/>
      <c r="G54" s="426"/>
      <c r="H54" s="426"/>
      <c r="I54" s="426"/>
      <c r="J54" s="426"/>
      <c r="K54" s="426"/>
      <c r="L54" s="426"/>
      <c r="M54" s="426"/>
      <c r="N54" s="426"/>
      <c r="O54" s="426"/>
      <c r="P54" s="426"/>
      <c r="Q54" s="426"/>
      <c r="R54" s="426"/>
      <c r="S54" s="426"/>
      <c r="T54" s="426"/>
      <c r="U54" s="426"/>
      <c r="V54" s="426"/>
      <c r="W54" s="426"/>
      <c r="X54" s="426"/>
      <c r="Y54" s="426"/>
      <c r="Z54" s="426"/>
      <c r="AA54" s="426"/>
      <c r="AB54" s="426"/>
      <c r="AC54" s="426"/>
      <c r="AD54" s="426"/>
    </row>
    <row r="55" spans="1:30">
      <c r="A55" s="559" t="s">
        <v>2536</v>
      </c>
      <c r="B55" s="559"/>
      <c r="C55" s="559"/>
      <c r="D55" s="559"/>
      <c r="E55" s="426"/>
      <c r="F55" s="426"/>
      <c r="G55" s="426"/>
      <c r="H55" s="426"/>
      <c r="I55" s="426"/>
      <c r="J55" s="426"/>
      <c r="K55" s="426"/>
      <c r="L55" s="426"/>
      <c r="M55" s="426"/>
      <c r="N55" s="426"/>
      <c r="O55" s="426"/>
      <c r="P55" s="426"/>
      <c r="Q55" s="426"/>
      <c r="R55" s="426"/>
      <c r="S55" s="426"/>
      <c r="T55" s="426"/>
      <c r="U55" s="426"/>
      <c r="V55" s="426"/>
      <c r="W55" s="426"/>
      <c r="X55" s="426"/>
      <c r="Y55" s="426"/>
      <c r="Z55" s="426"/>
      <c r="AA55" s="426"/>
      <c r="AB55" s="426"/>
      <c r="AC55" s="426"/>
      <c r="AD55" s="426"/>
    </row>
    <row r="56" spans="1:30">
      <c r="A56" s="1"/>
      <c r="B56" s="559"/>
      <c r="C56" s="559"/>
      <c r="D56" s="559"/>
      <c r="E56" s="426"/>
      <c r="F56" s="426"/>
      <c r="G56" s="426"/>
      <c r="H56" s="426"/>
      <c r="I56" s="426"/>
      <c r="J56" s="426"/>
      <c r="K56" s="426"/>
      <c r="L56" s="426"/>
      <c r="M56" s="426"/>
      <c r="N56" s="426"/>
      <c r="O56" s="426"/>
      <c r="P56" s="426"/>
      <c r="Q56" s="426"/>
      <c r="R56" s="426"/>
      <c r="S56" s="426"/>
      <c r="T56" s="426"/>
      <c r="U56" s="426"/>
      <c r="V56" s="426"/>
      <c r="W56" s="426"/>
      <c r="X56" s="426"/>
      <c r="Y56" s="426"/>
      <c r="Z56" s="426"/>
      <c r="AA56" s="426"/>
      <c r="AB56" s="426"/>
      <c r="AC56" s="426"/>
      <c r="AD56" s="426"/>
    </row>
    <row r="57" spans="1:30" ht="13.5" thickBot="1">
      <c r="A57" s="559" t="s">
        <v>2537</v>
      </c>
      <c r="B57" s="559"/>
      <c r="C57" s="559"/>
      <c r="D57" s="559"/>
      <c r="E57" s="426"/>
      <c r="F57" s="426"/>
      <c r="G57" s="426"/>
      <c r="H57" s="426"/>
      <c r="I57" s="426"/>
      <c r="J57" s="426"/>
      <c r="K57" s="426"/>
      <c r="L57" s="426"/>
      <c r="M57" s="426"/>
      <c r="N57" s="426"/>
      <c r="O57" s="426"/>
      <c r="P57" s="426"/>
      <c r="Q57" s="426"/>
      <c r="R57" s="426"/>
      <c r="S57" s="426"/>
      <c r="T57" s="426"/>
      <c r="U57" s="426"/>
      <c r="V57" s="426"/>
      <c r="W57" s="426"/>
      <c r="X57" s="426"/>
      <c r="Y57" s="426"/>
      <c r="Z57" s="426"/>
      <c r="AA57" s="426"/>
      <c r="AB57" s="426"/>
      <c r="AC57" s="426"/>
      <c r="AD57" s="426"/>
    </row>
    <row r="58" spans="1:30">
      <c r="A58" s="585" t="s">
        <v>2538</v>
      </c>
      <c r="B58" s="559"/>
      <c r="C58" s="559"/>
      <c r="D58" s="559"/>
      <c r="E58" s="426"/>
      <c r="F58" s="426"/>
      <c r="G58" s="426"/>
      <c r="H58" s="426"/>
      <c r="I58" s="426"/>
      <c r="J58" s="426"/>
      <c r="K58" s="426"/>
      <c r="L58" s="426"/>
      <c r="M58" s="426"/>
      <c r="N58" s="426"/>
      <c r="O58" s="426"/>
      <c r="P58" s="426"/>
      <c r="Q58" s="426"/>
      <c r="R58" s="426"/>
      <c r="S58" s="426"/>
      <c r="T58" s="426"/>
      <c r="U58" s="426"/>
      <c r="V58" s="426"/>
      <c r="W58" s="426"/>
      <c r="X58" s="426"/>
      <c r="Y58" s="426"/>
      <c r="Z58" s="426"/>
      <c r="AA58" s="426"/>
      <c r="AB58" s="426"/>
      <c r="AC58" s="426"/>
      <c r="AD58" s="426"/>
    </row>
    <row r="59" spans="1:30" ht="13.5" thickBot="1">
      <c r="A59" s="305" t="s">
        <v>2539</v>
      </c>
      <c r="B59" s="559"/>
      <c r="C59" s="559"/>
      <c r="D59" s="559"/>
      <c r="E59" s="426"/>
      <c r="F59" s="426"/>
      <c r="G59" s="426"/>
      <c r="H59" s="426"/>
      <c r="I59" s="426"/>
      <c r="J59" s="426"/>
      <c r="K59" s="426"/>
      <c r="L59" s="426"/>
      <c r="M59" s="426"/>
      <c r="N59" s="426"/>
      <c r="O59" s="426"/>
      <c r="P59" s="426"/>
      <c r="Q59" s="426"/>
      <c r="R59" s="426"/>
      <c r="S59" s="426"/>
      <c r="T59" s="426"/>
      <c r="U59" s="426"/>
      <c r="V59" s="426"/>
      <c r="W59" s="426"/>
      <c r="X59" s="426"/>
      <c r="Y59" s="426"/>
      <c r="Z59" s="426"/>
      <c r="AA59" s="426"/>
      <c r="AB59" s="426"/>
      <c r="AC59" s="426"/>
      <c r="AD59" s="426"/>
    </row>
    <row r="60" spans="1:30">
      <c r="A60" s="1"/>
      <c r="B60" s="559"/>
      <c r="C60" s="559"/>
      <c r="D60" s="559"/>
      <c r="E60" s="426"/>
      <c r="F60" s="426"/>
      <c r="G60" s="426"/>
      <c r="H60" s="426"/>
      <c r="I60" s="426"/>
      <c r="J60" s="426"/>
      <c r="K60" s="426"/>
      <c r="L60" s="426"/>
      <c r="M60" s="426"/>
      <c r="N60" s="426"/>
      <c r="O60" s="426"/>
      <c r="P60" s="426"/>
      <c r="Q60" s="426"/>
      <c r="R60" s="426"/>
      <c r="S60" s="426"/>
      <c r="T60" s="426"/>
      <c r="U60" s="426"/>
      <c r="V60" s="426"/>
      <c r="W60" s="426"/>
      <c r="X60" s="426"/>
      <c r="Y60" s="426"/>
      <c r="Z60" s="426"/>
      <c r="AA60" s="426"/>
      <c r="AB60" s="426"/>
      <c r="AC60" s="426"/>
      <c r="AD60" s="426"/>
    </row>
    <row r="61" spans="1:30">
      <c r="A61" s="1"/>
      <c r="B61" s="559"/>
      <c r="C61" s="559"/>
      <c r="D61" s="559"/>
      <c r="E61" s="426"/>
      <c r="F61" s="426"/>
      <c r="G61" s="426"/>
      <c r="H61" s="426"/>
      <c r="I61" s="426"/>
      <c r="J61" s="426"/>
      <c r="K61" s="426"/>
      <c r="L61" s="426"/>
      <c r="M61" s="426"/>
      <c r="N61" s="426"/>
      <c r="O61" s="426"/>
      <c r="P61" s="426"/>
      <c r="Q61" s="426"/>
      <c r="R61" s="426"/>
      <c r="S61" s="426"/>
      <c r="T61" s="426"/>
      <c r="U61" s="426"/>
      <c r="V61" s="426"/>
      <c r="W61" s="426"/>
      <c r="X61" s="426"/>
      <c r="Y61" s="426"/>
      <c r="Z61" s="426"/>
      <c r="AA61" s="426"/>
      <c r="AB61" s="426"/>
      <c r="AC61" s="426"/>
      <c r="AD61" s="426"/>
    </row>
    <row r="62" spans="1:30" ht="13.5" thickBot="1">
      <c r="A62" s="559" t="s">
        <v>2540</v>
      </c>
      <c r="B62" s="559"/>
      <c r="C62" s="559"/>
      <c r="D62" s="559"/>
      <c r="E62" s="426"/>
      <c r="F62" s="426"/>
      <c r="G62" s="426"/>
      <c r="H62" s="426"/>
      <c r="I62" s="426"/>
      <c r="J62" s="426"/>
      <c r="K62" s="426"/>
      <c r="L62" s="426"/>
      <c r="M62" s="426"/>
      <c r="N62" s="426"/>
      <c r="O62" s="426"/>
      <c r="P62" s="426"/>
      <c r="Q62" s="426"/>
      <c r="R62" s="426"/>
      <c r="S62" s="426"/>
      <c r="T62" s="426"/>
      <c r="U62" s="426"/>
      <c r="V62" s="426"/>
      <c r="W62" s="426"/>
      <c r="X62" s="426"/>
      <c r="Y62" s="426"/>
      <c r="Z62" s="426"/>
      <c r="AA62" s="426"/>
      <c r="AB62" s="426"/>
      <c r="AC62" s="426"/>
      <c r="AD62" s="426"/>
    </row>
    <row r="63" spans="1:30">
      <c r="A63" s="585" t="s">
        <v>2525</v>
      </c>
      <c r="B63" s="559"/>
      <c r="C63" s="559"/>
      <c r="D63" s="559"/>
      <c r="E63" s="426"/>
      <c r="F63" s="426"/>
      <c r="G63" s="426"/>
      <c r="H63" s="426"/>
      <c r="I63" s="426"/>
      <c r="J63" s="426"/>
      <c r="K63" s="426"/>
      <c r="L63" s="426"/>
      <c r="M63" s="426"/>
      <c r="N63" s="426"/>
      <c r="O63" s="426"/>
      <c r="P63" s="426"/>
      <c r="Q63" s="426"/>
      <c r="R63" s="426"/>
      <c r="S63" s="426"/>
      <c r="T63" s="426"/>
      <c r="U63" s="426"/>
      <c r="V63" s="426"/>
      <c r="W63" s="426"/>
      <c r="X63" s="426"/>
      <c r="Y63" s="426"/>
      <c r="Z63" s="426"/>
      <c r="AA63" s="426"/>
      <c r="AB63" s="426"/>
      <c r="AC63" s="426"/>
      <c r="AD63" s="426"/>
    </row>
    <row r="64" spans="1:30" ht="13.5" thickBot="1">
      <c r="A64" s="305" t="s">
        <v>2526</v>
      </c>
      <c r="B64" s="559"/>
      <c r="C64" s="559"/>
      <c r="D64" s="559"/>
      <c r="E64" s="426"/>
      <c r="F64" s="426"/>
      <c r="G64" s="426"/>
      <c r="H64" s="426"/>
      <c r="I64" s="426"/>
      <c r="J64" s="426"/>
      <c r="K64" s="426"/>
      <c r="L64" s="426"/>
      <c r="M64" s="426"/>
      <c r="N64" s="426"/>
      <c r="O64" s="426"/>
      <c r="P64" s="426"/>
      <c r="Q64" s="426"/>
      <c r="R64" s="426"/>
      <c r="S64" s="426"/>
      <c r="T64" s="426"/>
      <c r="U64" s="426"/>
      <c r="V64" s="426"/>
      <c r="W64" s="426"/>
      <c r="X64" s="426"/>
      <c r="Y64" s="426"/>
      <c r="Z64" s="426"/>
      <c r="AA64" s="426"/>
      <c r="AB64" s="426"/>
      <c r="AC64" s="426"/>
      <c r="AD64" s="426"/>
    </row>
    <row r="65" spans="1:30">
      <c r="A65" s="1"/>
      <c r="B65" s="559"/>
      <c r="C65" s="559"/>
      <c r="D65" s="559"/>
      <c r="E65" s="426"/>
      <c r="F65" s="426"/>
      <c r="G65" s="426"/>
      <c r="H65" s="426"/>
      <c r="I65" s="426"/>
      <c r="J65" s="426"/>
      <c r="K65" s="426"/>
      <c r="L65" s="426"/>
      <c r="M65" s="426"/>
      <c r="N65" s="426"/>
      <c r="O65" s="426"/>
      <c r="P65" s="426"/>
      <c r="Q65" s="426"/>
      <c r="R65" s="426"/>
      <c r="S65" s="426"/>
      <c r="T65" s="426"/>
      <c r="U65" s="426"/>
      <c r="V65" s="426"/>
      <c r="W65" s="426"/>
      <c r="X65" s="426"/>
      <c r="Y65" s="426"/>
      <c r="Z65" s="426"/>
      <c r="AA65" s="426"/>
      <c r="AB65" s="426"/>
      <c r="AC65" s="426"/>
      <c r="AD65" s="426"/>
    </row>
    <row r="66" spans="1:30" ht="13.5" thickBot="1">
      <c r="A66" s="559" t="s">
        <v>2523</v>
      </c>
      <c r="B66" s="559"/>
      <c r="C66" s="559"/>
      <c r="D66" s="559"/>
      <c r="E66" s="426"/>
      <c r="F66" s="426"/>
      <c r="G66" s="426"/>
      <c r="H66" s="426"/>
      <c r="I66" s="426"/>
      <c r="J66" s="426"/>
      <c r="K66" s="426"/>
      <c r="L66" s="426"/>
      <c r="M66" s="426"/>
      <c r="N66" s="426"/>
      <c r="O66" s="426"/>
      <c r="P66" s="426"/>
      <c r="Q66" s="426"/>
      <c r="R66" s="426"/>
      <c r="S66" s="426"/>
      <c r="T66" s="426"/>
      <c r="U66" s="426"/>
      <c r="V66" s="426"/>
      <c r="W66" s="426"/>
      <c r="X66" s="426"/>
      <c r="Y66" s="426"/>
      <c r="Z66" s="426"/>
      <c r="AA66" s="426"/>
      <c r="AB66" s="426"/>
      <c r="AC66" s="426"/>
      <c r="AD66" s="426"/>
    </row>
    <row r="67" spans="1:30">
      <c r="A67" s="28" t="s">
        <v>20</v>
      </c>
      <c r="B67" s="559"/>
      <c r="C67" s="559"/>
      <c r="D67" s="559"/>
      <c r="E67" s="426"/>
      <c r="F67" s="426"/>
      <c r="G67" s="426"/>
      <c r="H67" s="426"/>
      <c r="I67" s="426"/>
      <c r="J67" s="426"/>
      <c r="K67" s="426"/>
      <c r="L67" s="426"/>
      <c r="M67" s="426"/>
      <c r="N67" s="426"/>
      <c r="O67" s="426"/>
      <c r="P67" s="426"/>
      <c r="Q67" s="426"/>
      <c r="R67" s="426"/>
      <c r="S67" s="426"/>
      <c r="T67" s="426"/>
      <c r="U67" s="426"/>
      <c r="V67" s="426"/>
      <c r="W67" s="426"/>
      <c r="X67" s="426"/>
      <c r="Y67" s="426"/>
      <c r="Z67" s="426"/>
      <c r="AA67" s="426"/>
      <c r="AB67" s="426"/>
      <c r="AC67" s="426"/>
      <c r="AD67" s="426"/>
    </row>
    <row r="68" spans="1:30">
      <c r="A68" s="29" t="s">
        <v>1340</v>
      </c>
      <c r="B68" s="559"/>
      <c r="C68" s="559"/>
      <c r="D68" s="559"/>
      <c r="E68" s="426"/>
      <c r="F68" s="426"/>
      <c r="G68" s="426"/>
      <c r="H68" s="426"/>
      <c r="I68" s="426"/>
      <c r="J68" s="426"/>
      <c r="K68" s="426"/>
      <c r="L68" s="426"/>
      <c r="M68" s="426"/>
      <c r="N68" s="426"/>
      <c r="O68" s="426"/>
      <c r="P68" s="426"/>
      <c r="Q68" s="426"/>
      <c r="R68" s="426"/>
      <c r="S68" s="426"/>
      <c r="T68" s="426"/>
      <c r="U68" s="426"/>
      <c r="V68" s="426"/>
      <c r="W68" s="426"/>
      <c r="X68" s="426"/>
      <c r="Y68" s="426"/>
      <c r="Z68" s="426"/>
      <c r="AA68" s="426"/>
      <c r="AB68" s="426"/>
      <c r="AC68" s="426"/>
      <c r="AD68" s="426"/>
    </row>
    <row r="69" spans="1:30" ht="13.5" thickBot="1">
      <c r="A69" s="305" t="s">
        <v>293</v>
      </c>
      <c r="B69" s="559"/>
      <c r="C69" s="559"/>
      <c r="D69" s="559"/>
      <c r="E69" s="426"/>
      <c r="F69" s="426"/>
      <c r="G69" s="426"/>
      <c r="H69" s="426"/>
      <c r="I69" s="426"/>
      <c r="J69" s="426"/>
      <c r="K69" s="426"/>
      <c r="L69" s="426"/>
      <c r="M69" s="426"/>
      <c r="N69" s="426"/>
      <c r="O69" s="426"/>
      <c r="P69" s="426"/>
      <c r="Q69" s="426"/>
      <c r="R69" s="426"/>
      <c r="S69" s="426"/>
      <c r="T69" s="426"/>
      <c r="U69" s="426"/>
      <c r="V69" s="426"/>
      <c r="W69" s="426"/>
      <c r="X69" s="426"/>
      <c r="Y69" s="426"/>
      <c r="Z69" s="426"/>
      <c r="AA69" s="426"/>
      <c r="AB69" s="426"/>
      <c r="AC69" s="426"/>
      <c r="AD69" s="426"/>
    </row>
    <row r="70" spans="1:30">
      <c r="A70" s="14"/>
      <c r="B70" s="27"/>
      <c r="C70" s="27"/>
      <c r="D70" s="27"/>
      <c r="E70" s="27"/>
      <c r="F70" s="27"/>
      <c r="G70" s="14" t="s">
        <v>2648</v>
      </c>
      <c r="H70" s="27"/>
      <c r="I70" s="14"/>
      <c r="J70" s="14"/>
      <c r="K70" s="14"/>
      <c r="L70" s="14"/>
      <c r="M70" s="14"/>
      <c r="N70" s="14"/>
      <c r="O70" s="14"/>
      <c r="P70" s="14"/>
      <c r="Q70" s="14"/>
      <c r="R70" s="14"/>
      <c r="S70" s="14"/>
      <c r="T70" s="14"/>
      <c r="U70" s="14"/>
      <c r="V70" s="14"/>
      <c r="W70" s="14"/>
      <c r="X70" s="14"/>
      <c r="Y70" s="14"/>
      <c r="Z70" s="14"/>
    </row>
    <row r="71" spans="1:30">
      <c r="A71" s="14" t="s">
        <v>2453</v>
      </c>
      <c r="B71" s="27"/>
      <c r="C71" s="27"/>
      <c r="D71" s="27"/>
      <c r="E71" s="27"/>
      <c r="F71" s="27"/>
      <c r="G71" s="14" t="s">
        <v>2660</v>
      </c>
      <c r="H71" s="27"/>
      <c r="I71" s="14" t="s">
        <v>2444</v>
      </c>
      <c r="J71" s="14"/>
      <c r="K71" s="14" t="s">
        <v>2444</v>
      </c>
      <c r="L71" s="14"/>
      <c r="M71" s="14" t="s">
        <v>3090</v>
      </c>
      <c r="N71" s="14"/>
      <c r="O71" s="14"/>
      <c r="P71" s="14"/>
      <c r="Q71" s="14"/>
      <c r="R71" s="14"/>
      <c r="S71" s="14"/>
      <c r="T71" s="14"/>
      <c r="U71" s="14"/>
      <c r="V71" s="14"/>
      <c r="W71" s="14"/>
      <c r="X71" s="14"/>
      <c r="Y71" s="14"/>
      <c r="Z71" s="14"/>
    </row>
    <row r="72" spans="1:30" ht="13.5" thickBot="1">
      <c r="A72" s="14" t="s">
        <v>2451</v>
      </c>
      <c r="B72" s="27"/>
      <c r="C72" s="27"/>
      <c r="D72" s="27"/>
      <c r="E72" s="27"/>
      <c r="F72" s="27"/>
      <c r="G72" s="651" t="s">
        <v>2661</v>
      </c>
      <c r="H72" s="754"/>
      <c r="I72" s="651" t="s">
        <v>2889</v>
      </c>
      <c r="J72" s="651"/>
      <c r="K72" s="651" t="s">
        <v>2890</v>
      </c>
      <c r="L72" s="14"/>
      <c r="M72" s="651" t="s">
        <v>3092</v>
      </c>
      <c r="N72" s="14"/>
      <c r="O72" s="14"/>
      <c r="P72" s="14"/>
      <c r="Q72" s="14"/>
      <c r="R72" s="14"/>
      <c r="S72" s="14"/>
      <c r="T72" s="14"/>
      <c r="U72" s="14"/>
      <c r="V72" s="14"/>
      <c r="W72" s="14"/>
      <c r="X72" s="14"/>
      <c r="Y72" s="14"/>
      <c r="Z72" s="14"/>
    </row>
    <row r="73" spans="1:30">
      <c r="A73" s="28" t="s">
        <v>1386</v>
      </c>
      <c r="G73" s="648" t="s">
        <v>2649</v>
      </c>
      <c r="H73" s="754">
        <v>0</v>
      </c>
      <c r="I73" s="648" t="s">
        <v>2841</v>
      </c>
      <c r="J73" s="651">
        <v>26</v>
      </c>
      <c r="K73" s="648" t="s">
        <v>2891</v>
      </c>
      <c r="M73" s="762" t="s">
        <v>3134</v>
      </c>
    </row>
    <row r="74" spans="1:30">
      <c r="A74" s="320" t="s">
        <v>1389</v>
      </c>
      <c r="G74" s="649" t="s">
        <v>2650</v>
      </c>
      <c r="H74" s="754">
        <v>26</v>
      </c>
      <c r="I74" s="649" t="s">
        <v>2842</v>
      </c>
      <c r="J74" s="651">
        <v>25</v>
      </c>
      <c r="K74" s="649" t="s">
        <v>2892</v>
      </c>
      <c r="M74" s="649" t="s">
        <v>3135</v>
      </c>
    </row>
    <row r="75" spans="1:30" ht="13.5" thickBot="1">
      <c r="A75" s="320" t="s">
        <v>1388</v>
      </c>
      <c r="G75" s="649" t="s">
        <v>2651</v>
      </c>
      <c r="H75" s="754">
        <v>25</v>
      </c>
      <c r="I75" s="649" t="s">
        <v>2843</v>
      </c>
      <c r="J75" s="651">
        <v>27</v>
      </c>
      <c r="K75" s="755" t="s">
        <v>2893</v>
      </c>
      <c r="M75" s="650" t="s">
        <v>3091</v>
      </c>
    </row>
    <row r="76" spans="1:30" ht="13.5" thickBot="1">
      <c r="A76" s="305" t="s">
        <v>1387</v>
      </c>
      <c r="G76" s="649" t="s">
        <v>2652</v>
      </c>
      <c r="H76" s="651">
        <v>27</v>
      </c>
      <c r="I76" s="649" t="s">
        <v>2844</v>
      </c>
      <c r="J76" s="651">
        <v>28</v>
      </c>
      <c r="K76" s="756" t="s">
        <v>2894</v>
      </c>
    </row>
    <row r="77" spans="1:30">
      <c r="A77" s="559"/>
      <c r="G77" s="649" t="s">
        <v>2653</v>
      </c>
      <c r="H77" s="651">
        <v>28</v>
      </c>
      <c r="I77" s="649" t="s">
        <v>2845</v>
      </c>
      <c r="J77" s="651">
        <v>29</v>
      </c>
      <c r="K77" s="756" t="s">
        <v>2895</v>
      </c>
    </row>
    <row r="78" spans="1:30">
      <c r="G78" s="649" t="s">
        <v>2654</v>
      </c>
      <c r="H78" s="651">
        <v>29</v>
      </c>
      <c r="I78" s="649" t="s">
        <v>2846</v>
      </c>
      <c r="J78" s="651">
        <v>30</v>
      </c>
      <c r="K78" s="756" t="s">
        <v>2896</v>
      </c>
    </row>
    <row r="79" spans="1:30" ht="13.5" thickBot="1">
      <c r="A79" s="559" t="s">
        <v>2450</v>
      </c>
      <c r="G79" s="649" t="s">
        <v>2655</v>
      </c>
      <c r="H79" s="651">
        <v>30</v>
      </c>
      <c r="I79" s="649" t="s">
        <v>2847</v>
      </c>
      <c r="J79" s="651">
        <v>1</v>
      </c>
      <c r="K79" s="756" t="s">
        <v>2897</v>
      </c>
    </row>
    <row r="80" spans="1:30">
      <c r="A80" s="28">
        <v>1</v>
      </c>
      <c r="G80" s="649" t="s">
        <v>2656</v>
      </c>
      <c r="H80" s="651">
        <v>1</v>
      </c>
      <c r="I80" s="649" t="s">
        <v>2848</v>
      </c>
      <c r="J80" s="651">
        <v>2</v>
      </c>
      <c r="K80" s="756" t="s">
        <v>2898</v>
      </c>
    </row>
    <row r="81" spans="1:11">
      <c r="A81" s="29">
        <v>2</v>
      </c>
      <c r="G81" s="649" t="s">
        <v>2657</v>
      </c>
      <c r="H81" s="651">
        <v>2</v>
      </c>
      <c r="I81" s="649" t="s">
        <v>2849</v>
      </c>
      <c r="J81" s="651">
        <v>3</v>
      </c>
      <c r="K81" s="756" t="s">
        <v>2899</v>
      </c>
    </row>
    <row r="82" spans="1:11" ht="13.5" thickBot="1">
      <c r="A82" s="30">
        <v>3</v>
      </c>
      <c r="G82" s="649" t="s">
        <v>2658</v>
      </c>
      <c r="H82" s="651">
        <v>3</v>
      </c>
      <c r="I82" s="649" t="s">
        <v>2850</v>
      </c>
      <c r="J82" s="651">
        <v>4</v>
      </c>
      <c r="K82" s="649" t="s">
        <v>2900</v>
      </c>
    </row>
    <row r="83" spans="1:11" ht="13.5" thickBot="1">
      <c r="A83" s="3" t="s">
        <v>2552</v>
      </c>
      <c r="G83" s="650" t="s">
        <v>2659</v>
      </c>
      <c r="H83" s="651">
        <v>4</v>
      </c>
      <c r="I83" s="649" t="s">
        <v>2851</v>
      </c>
      <c r="J83" s="651">
        <v>5</v>
      </c>
      <c r="K83" s="649" t="s">
        <v>2901</v>
      </c>
    </row>
    <row r="84" spans="1:11">
      <c r="H84" s="651">
        <v>5</v>
      </c>
      <c r="I84" s="649" t="s">
        <v>2852</v>
      </c>
      <c r="J84" s="651">
        <v>6</v>
      </c>
      <c r="K84" s="649" t="s">
        <v>2902</v>
      </c>
    </row>
    <row r="85" spans="1:11" ht="13.5" thickBot="1">
      <c r="A85" s="426" t="s">
        <v>2449</v>
      </c>
      <c r="G85" s="754" t="s">
        <v>2662</v>
      </c>
      <c r="H85" s="651">
        <v>6</v>
      </c>
      <c r="I85" s="649" t="s">
        <v>2853</v>
      </c>
      <c r="J85" s="651">
        <v>7</v>
      </c>
      <c r="K85" s="649" t="s">
        <v>2903</v>
      </c>
    </row>
    <row r="86" spans="1:11">
      <c r="A86" s="28" t="s">
        <v>1323</v>
      </c>
      <c r="G86" s="648">
        <v>1</v>
      </c>
      <c r="H86" s="651">
        <v>7</v>
      </c>
      <c r="I86" s="649" t="s">
        <v>2854</v>
      </c>
      <c r="J86" s="651">
        <v>8</v>
      </c>
      <c r="K86" s="649" t="s">
        <v>2904</v>
      </c>
    </row>
    <row r="87" spans="1:11">
      <c r="A87" s="29" t="s">
        <v>1324</v>
      </c>
      <c r="G87" s="649">
        <v>2</v>
      </c>
      <c r="H87" s="651">
        <v>8</v>
      </c>
      <c r="I87" s="649" t="s">
        <v>2855</v>
      </c>
      <c r="J87" s="651">
        <v>9</v>
      </c>
      <c r="K87" s="649" t="s">
        <v>2905</v>
      </c>
    </row>
    <row r="88" spans="1:11" ht="13.5" thickBot="1">
      <c r="A88" s="30" t="s">
        <v>675</v>
      </c>
      <c r="G88" s="649">
        <v>3</v>
      </c>
      <c r="H88" s="651">
        <v>9</v>
      </c>
      <c r="I88" s="649" t="s">
        <v>2856</v>
      </c>
      <c r="J88" s="651">
        <v>10</v>
      </c>
      <c r="K88" s="649" t="s">
        <v>2906</v>
      </c>
    </row>
    <row r="89" spans="1:11">
      <c r="G89" s="649">
        <v>4</v>
      </c>
      <c r="H89" s="651">
        <v>10</v>
      </c>
      <c r="I89" s="649" t="s">
        <v>2857</v>
      </c>
      <c r="J89" s="651">
        <v>11</v>
      </c>
      <c r="K89" s="649" t="s">
        <v>2907</v>
      </c>
    </row>
    <row r="90" spans="1:11" ht="13.5" thickBot="1">
      <c r="G90" s="650">
        <v>5</v>
      </c>
      <c r="H90" s="651">
        <v>11</v>
      </c>
      <c r="I90" s="649" t="s">
        <v>2858</v>
      </c>
      <c r="J90" s="651">
        <v>12</v>
      </c>
      <c r="K90" s="649" t="s">
        <v>2908</v>
      </c>
    </row>
    <row r="91" spans="1:11" ht="13.5" thickBot="1">
      <c r="A91" s="651" t="s">
        <v>2840</v>
      </c>
      <c r="C91" s="1"/>
      <c r="D91" s="1"/>
      <c r="E91" s="1"/>
      <c r="H91" s="651">
        <v>12</v>
      </c>
      <c r="I91" s="649" t="s">
        <v>2859</v>
      </c>
      <c r="J91" s="651">
        <v>13</v>
      </c>
      <c r="K91" s="649" t="s">
        <v>2909</v>
      </c>
    </row>
    <row r="92" spans="1:11">
      <c r="A92" s="648" t="s">
        <v>755</v>
      </c>
      <c r="C92" s="1"/>
      <c r="D92" s="1"/>
      <c r="E92" s="1"/>
      <c r="H92" s="651">
        <v>13</v>
      </c>
      <c r="I92" s="649" t="s">
        <v>2860</v>
      </c>
      <c r="J92" s="651">
        <v>14</v>
      </c>
      <c r="K92" s="649" t="s">
        <v>2910</v>
      </c>
    </row>
    <row r="93" spans="1:11">
      <c r="A93" s="649" t="s">
        <v>756</v>
      </c>
      <c r="C93" s="1"/>
      <c r="D93" s="1"/>
      <c r="E93" s="1"/>
      <c r="H93" s="651">
        <v>14</v>
      </c>
      <c r="I93" s="649" t="s">
        <v>2861</v>
      </c>
      <c r="J93" s="651">
        <v>15</v>
      </c>
      <c r="K93" s="649" t="s">
        <v>2911</v>
      </c>
    </row>
    <row r="94" spans="1:11">
      <c r="A94" s="649" t="s">
        <v>757</v>
      </c>
      <c r="C94" s="1"/>
      <c r="D94" s="1"/>
      <c r="E94" s="1"/>
      <c r="H94" s="651">
        <v>15</v>
      </c>
      <c r="I94" s="649" t="s">
        <v>2862</v>
      </c>
      <c r="J94" s="651">
        <v>16</v>
      </c>
      <c r="K94" s="649" t="s">
        <v>2912</v>
      </c>
    </row>
    <row r="95" spans="1:11">
      <c r="A95" s="649" t="s">
        <v>758</v>
      </c>
      <c r="C95" s="1"/>
      <c r="D95" s="1"/>
      <c r="E95" s="1"/>
      <c r="H95" s="651">
        <v>16</v>
      </c>
      <c r="I95" s="649" t="s">
        <v>2863</v>
      </c>
      <c r="J95" s="651">
        <v>17</v>
      </c>
      <c r="K95" s="649" t="s">
        <v>2913</v>
      </c>
    </row>
    <row r="96" spans="1:11">
      <c r="A96" s="649" t="s">
        <v>759</v>
      </c>
      <c r="C96" s="1"/>
      <c r="D96" s="1"/>
      <c r="E96" s="1"/>
      <c r="H96" s="651">
        <v>17</v>
      </c>
      <c r="I96" s="649" t="s">
        <v>2864</v>
      </c>
      <c r="J96" s="651">
        <v>18</v>
      </c>
      <c r="K96" s="649" t="s">
        <v>2914</v>
      </c>
    </row>
    <row r="97" spans="1:11">
      <c r="A97" s="649" t="s">
        <v>760</v>
      </c>
      <c r="C97" s="1"/>
      <c r="D97" s="1"/>
      <c r="E97" s="1"/>
      <c r="H97" s="651">
        <v>18</v>
      </c>
      <c r="I97" s="649" t="s">
        <v>2865</v>
      </c>
      <c r="J97" s="651">
        <v>19</v>
      </c>
      <c r="K97" s="649" t="s">
        <v>2915</v>
      </c>
    </row>
    <row r="98" spans="1:11">
      <c r="A98" s="649" t="s">
        <v>761</v>
      </c>
      <c r="C98" s="1"/>
      <c r="D98" s="1"/>
      <c r="E98" s="1"/>
      <c r="H98" s="651">
        <v>19</v>
      </c>
      <c r="I98" s="649" t="s">
        <v>2866</v>
      </c>
      <c r="J98" s="651">
        <v>20</v>
      </c>
      <c r="K98" s="649" t="s">
        <v>2916</v>
      </c>
    </row>
    <row r="99" spans="1:11">
      <c r="A99" s="649" t="s">
        <v>762</v>
      </c>
      <c r="C99" s="1"/>
      <c r="D99" s="1"/>
      <c r="E99" s="1"/>
      <c r="H99" s="651">
        <v>20</v>
      </c>
      <c r="I99" s="649" t="s">
        <v>2867</v>
      </c>
      <c r="J99" s="651">
        <v>21</v>
      </c>
      <c r="K99" s="649" t="s">
        <v>2917</v>
      </c>
    </row>
    <row r="100" spans="1:11">
      <c r="A100" s="649" t="s">
        <v>763</v>
      </c>
      <c r="C100" s="1"/>
      <c r="D100" s="1"/>
      <c r="E100" s="1"/>
      <c r="H100" s="651">
        <v>21</v>
      </c>
      <c r="I100" s="649" t="s">
        <v>2868</v>
      </c>
      <c r="J100" s="651">
        <v>22</v>
      </c>
      <c r="K100" s="649" t="s">
        <v>2918</v>
      </c>
    </row>
    <row r="101" spans="1:11">
      <c r="A101" s="649" t="s">
        <v>2675</v>
      </c>
      <c r="C101" s="1"/>
      <c r="D101" s="1"/>
      <c r="E101" s="1"/>
      <c r="H101" s="651">
        <v>22</v>
      </c>
      <c r="I101" s="649" t="s">
        <v>2869</v>
      </c>
      <c r="J101" s="651">
        <v>23</v>
      </c>
      <c r="K101" s="649" t="s">
        <v>2919</v>
      </c>
    </row>
    <row r="102" spans="1:11">
      <c r="A102" s="649" t="s">
        <v>2676</v>
      </c>
      <c r="C102" s="1"/>
      <c r="D102" s="1"/>
      <c r="E102" s="1"/>
      <c r="H102" s="651">
        <v>23</v>
      </c>
      <c r="I102" s="649" t="s">
        <v>2870</v>
      </c>
      <c r="J102" s="651">
        <v>24</v>
      </c>
      <c r="K102" s="649" t="s">
        <v>2920</v>
      </c>
    </row>
    <row r="103" spans="1:11">
      <c r="A103" s="649" t="s">
        <v>2677</v>
      </c>
      <c r="C103" s="1"/>
      <c r="D103" s="1"/>
      <c r="E103" s="1"/>
      <c r="H103" s="651">
        <v>24</v>
      </c>
      <c r="I103" s="649" t="s">
        <v>2871</v>
      </c>
      <c r="J103" s="651">
        <v>31</v>
      </c>
      <c r="K103" s="649" t="s">
        <v>2921</v>
      </c>
    </row>
    <row r="104" spans="1:11">
      <c r="A104" s="649" t="s">
        <v>2678</v>
      </c>
      <c r="C104" s="1"/>
      <c r="D104" s="1"/>
      <c r="E104" s="1"/>
      <c r="H104" s="651">
        <v>31</v>
      </c>
      <c r="I104" s="649" t="s">
        <v>2872</v>
      </c>
      <c r="J104" s="651">
        <v>32</v>
      </c>
      <c r="K104" s="649" t="s">
        <v>2922</v>
      </c>
    </row>
    <row r="105" spans="1:11">
      <c r="A105" s="649" t="s">
        <v>2679</v>
      </c>
      <c r="C105" s="1"/>
      <c r="D105" s="1"/>
      <c r="E105" s="1"/>
      <c r="H105" s="651">
        <v>32</v>
      </c>
      <c r="I105" s="649" t="s">
        <v>2873</v>
      </c>
      <c r="J105" s="651">
        <v>33</v>
      </c>
      <c r="K105" s="649" t="s">
        <v>2923</v>
      </c>
    </row>
    <row r="106" spans="1:11">
      <c r="A106" s="649" t="s">
        <v>2680</v>
      </c>
      <c r="C106" s="1"/>
      <c r="D106" s="1"/>
      <c r="E106" s="1"/>
      <c r="H106" s="651">
        <v>33</v>
      </c>
      <c r="I106" s="649" t="s">
        <v>2874</v>
      </c>
      <c r="J106" s="651">
        <v>34</v>
      </c>
      <c r="K106" s="649" t="s">
        <v>2924</v>
      </c>
    </row>
    <row r="107" spans="1:11">
      <c r="A107" s="649" t="s">
        <v>2681</v>
      </c>
      <c r="C107" s="1"/>
      <c r="D107" s="1"/>
      <c r="E107" s="1"/>
      <c r="H107" s="651">
        <v>34</v>
      </c>
      <c r="I107" s="649" t="s">
        <v>2875</v>
      </c>
      <c r="J107" s="651">
        <v>35</v>
      </c>
      <c r="K107" s="649" t="s">
        <v>2925</v>
      </c>
    </row>
    <row r="108" spans="1:11">
      <c r="A108" s="649" t="s">
        <v>2682</v>
      </c>
      <c r="C108" s="1"/>
      <c r="D108" s="1"/>
      <c r="E108" s="1"/>
      <c r="H108" s="651">
        <v>35</v>
      </c>
      <c r="I108" s="649" t="s">
        <v>2876</v>
      </c>
      <c r="J108" s="651">
        <v>36</v>
      </c>
      <c r="K108" s="649" t="s">
        <v>2926</v>
      </c>
    </row>
    <row r="109" spans="1:11">
      <c r="A109" s="649" t="s">
        <v>2683</v>
      </c>
      <c r="C109" s="1"/>
      <c r="D109" s="1"/>
      <c r="E109" s="1"/>
      <c r="H109" s="651">
        <v>36</v>
      </c>
      <c r="I109" s="649" t="s">
        <v>2877</v>
      </c>
      <c r="J109" s="651">
        <v>37</v>
      </c>
      <c r="K109" s="649" t="s">
        <v>2927</v>
      </c>
    </row>
    <row r="110" spans="1:11">
      <c r="A110" s="649" t="s">
        <v>2684</v>
      </c>
      <c r="C110" s="1"/>
      <c r="D110" s="1"/>
      <c r="E110" s="1"/>
      <c r="H110" s="651">
        <v>37</v>
      </c>
      <c r="I110" s="649" t="s">
        <v>2878</v>
      </c>
      <c r="J110" s="651">
        <v>38</v>
      </c>
      <c r="K110" s="649" t="s">
        <v>2928</v>
      </c>
    </row>
    <row r="111" spans="1:11">
      <c r="A111" s="649" t="s">
        <v>2685</v>
      </c>
      <c r="C111" s="1"/>
      <c r="D111" s="1"/>
      <c r="E111" s="1"/>
      <c r="H111" s="651">
        <v>38</v>
      </c>
      <c r="I111" s="649" t="s">
        <v>2879</v>
      </c>
      <c r="J111" s="651">
        <v>39</v>
      </c>
      <c r="K111" s="649" t="s">
        <v>2929</v>
      </c>
    </row>
    <row r="112" spans="1:11">
      <c r="A112" s="649" t="s">
        <v>2686</v>
      </c>
      <c r="C112" s="1"/>
      <c r="D112" s="1"/>
      <c r="E112" s="1"/>
      <c r="H112" s="651">
        <v>39</v>
      </c>
      <c r="I112" s="649" t="s">
        <v>2880</v>
      </c>
      <c r="J112" s="651">
        <v>40</v>
      </c>
      <c r="K112" s="649" t="s">
        <v>2930</v>
      </c>
    </row>
    <row r="113" spans="1:11">
      <c r="A113" s="649" t="s">
        <v>2687</v>
      </c>
      <c r="C113" s="1"/>
      <c r="D113" s="1"/>
      <c r="E113" s="1"/>
      <c r="H113" s="651">
        <v>40</v>
      </c>
      <c r="I113" s="649" t="s">
        <v>2881</v>
      </c>
      <c r="J113" s="651">
        <v>41</v>
      </c>
      <c r="K113" s="649" t="s">
        <v>2931</v>
      </c>
    </row>
    <row r="114" spans="1:11">
      <c r="A114" s="649" t="s">
        <v>2688</v>
      </c>
      <c r="C114" s="1"/>
      <c r="D114" s="1"/>
      <c r="E114" s="1"/>
      <c r="H114" s="651">
        <v>41</v>
      </c>
      <c r="I114" s="649" t="s">
        <v>2882</v>
      </c>
      <c r="J114" s="651">
        <v>42</v>
      </c>
      <c r="K114" s="649" t="s">
        <v>2932</v>
      </c>
    </row>
    <row r="115" spans="1:11">
      <c r="A115" s="649" t="s">
        <v>2689</v>
      </c>
      <c r="C115" s="1"/>
      <c r="D115" s="1"/>
      <c r="E115" s="1"/>
      <c r="H115" s="651">
        <v>42</v>
      </c>
      <c r="I115" s="649" t="s">
        <v>2883</v>
      </c>
      <c r="J115" s="651">
        <v>43</v>
      </c>
      <c r="K115" s="649" t="s">
        <v>2933</v>
      </c>
    </row>
    <row r="116" spans="1:11">
      <c r="A116" s="649" t="s">
        <v>2690</v>
      </c>
      <c r="C116" s="1"/>
      <c r="D116" s="1"/>
      <c r="E116" s="1"/>
      <c r="H116" s="651">
        <v>43</v>
      </c>
      <c r="I116" s="649" t="s">
        <v>2884</v>
      </c>
      <c r="J116" s="651">
        <v>44</v>
      </c>
      <c r="K116" s="649" t="s">
        <v>2934</v>
      </c>
    </row>
    <row r="117" spans="1:11">
      <c r="A117" s="649" t="s">
        <v>2691</v>
      </c>
      <c r="C117" s="1"/>
      <c r="D117" s="1"/>
      <c r="E117" s="1"/>
      <c r="H117" s="651">
        <v>44</v>
      </c>
      <c r="I117" s="649" t="s">
        <v>2885</v>
      </c>
      <c r="J117" s="651">
        <v>45</v>
      </c>
      <c r="K117" s="649" t="s">
        <v>2935</v>
      </c>
    </row>
    <row r="118" spans="1:11">
      <c r="A118" s="649" t="s">
        <v>2692</v>
      </c>
      <c r="C118" s="1"/>
      <c r="D118" s="1"/>
      <c r="E118" s="1"/>
      <c r="H118" s="651">
        <v>45</v>
      </c>
      <c r="I118" s="649" t="s">
        <v>2886</v>
      </c>
      <c r="J118" s="651">
        <v>46</v>
      </c>
      <c r="K118" s="649" t="s">
        <v>2936</v>
      </c>
    </row>
    <row r="119" spans="1:11" ht="13.5" thickBot="1">
      <c r="A119" s="649" t="s">
        <v>2693</v>
      </c>
      <c r="C119" s="1"/>
      <c r="D119" s="1"/>
      <c r="E119" s="1"/>
      <c r="H119" s="651">
        <v>46</v>
      </c>
      <c r="I119" s="649" t="s">
        <v>2887</v>
      </c>
      <c r="J119" s="651">
        <v>47</v>
      </c>
      <c r="K119" s="650" t="s">
        <v>2937</v>
      </c>
    </row>
    <row r="120" spans="1:11" ht="13.5" thickBot="1">
      <c r="A120" s="649" t="s">
        <v>2694</v>
      </c>
      <c r="C120" s="1"/>
      <c r="D120" s="1"/>
      <c r="E120" s="1"/>
      <c r="H120" s="651">
        <v>47</v>
      </c>
      <c r="I120" s="650" t="s">
        <v>2888</v>
      </c>
    </row>
    <row r="121" spans="1:11">
      <c r="A121" s="649" t="s">
        <v>2695</v>
      </c>
      <c r="C121" s="1"/>
      <c r="D121" s="1"/>
      <c r="E121" s="1"/>
    </row>
    <row r="122" spans="1:11">
      <c r="A122" s="649" t="s">
        <v>2696</v>
      </c>
      <c r="C122" s="1"/>
      <c r="D122" s="1"/>
      <c r="E122" s="1"/>
    </row>
    <row r="123" spans="1:11">
      <c r="A123" s="649" t="s">
        <v>2697</v>
      </c>
      <c r="C123" s="1"/>
      <c r="D123" s="1"/>
      <c r="E123" s="1"/>
    </row>
    <row r="124" spans="1:11">
      <c r="A124" s="649" t="s">
        <v>2698</v>
      </c>
      <c r="C124" s="1"/>
      <c r="D124" s="1"/>
      <c r="E124" s="1"/>
    </row>
    <row r="125" spans="1:11">
      <c r="A125" s="649" t="s">
        <v>2699</v>
      </c>
      <c r="C125" s="1"/>
      <c r="D125" s="1"/>
      <c r="E125" s="1"/>
    </row>
    <row r="126" spans="1:11">
      <c r="A126" s="649" t="s">
        <v>2700</v>
      </c>
      <c r="C126" s="1"/>
      <c r="D126" s="1"/>
      <c r="E126" s="1"/>
    </row>
    <row r="127" spans="1:11">
      <c r="A127" s="649" t="s">
        <v>2701</v>
      </c>
      <c r="C127" s="1"/>
      <c r="D127" s="1"/>
      <c r="E127" s="1"/>
    </row>
    <row r="128" spans="1:11">
      <c r="A128" s="649" t="s">
        <v>764</v>
      </c>
      <c r="C128" s="1"/>
      <c r="D128" s="1"/>
      <c r="E128" s="1"/>
    </row>
    <row r="129" spans="1:5">
      <c r="A129" s="649" t="s">
        <v>765</v>
      </c>
      <c r="C129" s="1"/>
      <c r="D129" s="1"/>
      <c r="E129" s="1"/>
    </row>
    <row r="130" spans="1:5">
      <c r="A130" s="649" t="s">
        <v>766</v>
      </c>
      <c r="C130" s="1"/>
      <c r="D130" s="1"/>
      <c r="E130" s="1"/>
    </row>
    <row r="131" spans="1:5">
      <c r="A131" s="649" t="s">
        <v>767</v>
      </c>
      <c r="C131" s="1"/>
      <c r="D131" s="1"/>
      <c r="E131" s="1"/>
    </row>
    <row r="132" spans="1:5">
      <c r="A132" s="649" t="s">
        <v>768</v>
      </c>
      <c r="C132" s="1"/>
      <c r="D132" s="1"/>
      <c r="E132" s="1"/>
    </row>
    <row r="133" spans="1:5">
      <c r="A133" s="649" t="s">
        <v>769</v>
      </c>
      <c r="C133" s="1"/>
      <c r="D133" s="1"/>
      <c r="E133" s="1"/>
    </row>
    <row r="134" spans="1:5">
      <c r="A134" s="649" t="s">
        <v>770</v>
      </c>
      <c r="C134" s="1"/>
      <c r="D134" s="1"/>
      <c r="E134" s="1"/>
    </row>
    <row r="135" spans="1:5">
      <c r="A135" s="649" t="s">
        <v>771</v>
      </c>
      <c r="C135" s="1"/>
      <c r="D135" s="1"/>
      <c r="E135" s="1"/>
    </row>
    <row r="136" spans="1:5">
      <c r="A136" s="649" t="s">
        <v>772</v>
      </c>
      <c r="C136" s="1"/>
      <c r="D136" s="1"/>
      <c r="E136" s="1"/>
    </row>
    <row r="137" spans="1:5">
      <c r="A137" s="649" t="s">
        <v>773</v>
      </c>
      <c r="C137" s="1"/>
      <c r="D137" s="1"/>
      <c r="E137" s="1"/>
    </row>
    <row r="138" spans="1:5">
      <c r="A138" s="649" t="s">
        <v>774</v>
      </c>
      <c r="C138" s="1"/>
      <c r="D138" s="1"/>
      <c r="E138" s="1"/>
    </row>
    <row r="139" spans="1:5">
      <c r="A139" s="649" t="s">
        <v>775</v>
      </c>
      <c r="C139" s="1"/>
      <c r="D139" s="1"/>
      <c r="E139" s="1"/>
    </row>
    <row r="140" spans="1:5">
      <c r="A140" s="649" t="s">
        <v>776</v>
      </c>
      <c r="C140" s="1"/>
      <c r="D140" s="1"/>
      <c r="E140" s="1"/>
    </row>
    <row r="141" spans="1:5">
      <c r="A141" s="649" t="s">
        <v>777</v>
      </c>
      <c r="C141" s="1"/>
      <c r="D141" s="1"/>
      <c r="E141" s="1"/>
    </row>
    <row r="142" spans="1:5">
      <c r="A142" s="649" t="s">
        <v>778</v>
      </c>
      <c r="C142" s="1"/>
      <c r="D142" s="1"/>
      <c r="E142" s="1"/>
    </row>
    <row r="143" spans="1:5">
      <c r="A143" s="649" t="s">
        <v>779</v>
      </c>
      <c r="C143" s="1"/>
      <c r="D143" s="1"/>
      <c r="E143" s="1"/>
    </row>
    <row r="144" spans="1:5">
      <c r="A144" s="649" t="s">
        <v>780</v>
      </c>
      <c r="C144" s="1"/>
      <c r="D144" s="1"/>
      <c r="E144" s="1"/>
    </row>
    <row r="145" spans="1:5">
      <c r="A145" s="649" t="s">
        <v>781</v>
      </c>
      <c r="C145" s="1"/>
      <c r="D145" s="1"/>
      <c r="E145" s="1"/>
    </row>
    <row r="146" spans="1:5">
      <c r="A146" s="649" t="s">
        <v>782</v>
      </c>
      <c r="C146" s="1"/>
      <c r="D146" s="1"/>
      <c r="E146" s="1"/>
    </row>
    <row r="147" spans="1:5">
      <c r="A147" s="649" t="s">
        <v>783</v>
      </c>
      <c r="C147" s="1"/>
      <c r="D147" s="1"/>
      <c r="E147" s="1"/>
    </row>
    <row r="148" spans="1:5">
      <c r="A148" s="649" t="s">
        <v>784</v>
      </c>
      <c r="C148" s="1"/>
      <c r="D148" s="1"/>
      <c r="E148" s="1"/>
    </row>
    <row r="149" spans="1:5">
      <c r="A149" s="649" t="s">
        <v>785</v>
      </c>
      <c r="C149" s="1"/>
      <c r="D149" s="1"/>
      <c r="E149" s="1"/>
    </row>
    <row r="150" spans="1:5">
      <c r="A150" s="649" t="s">
        <v>786</v>
      </c>
      <c r="C150" s="1"/>
      <c r="D150" s="1"/>
      <c r="E150" s="1"/>
    </row>
    <row r="151" spans="1:5">
      <c r="A151" s="649" t="s">
        <v>787</v>
      </c>
      <c r="C151" s="1"/>
      <c r="D151" s="1"/>
      <c r="E151" s="1"/>
    </row>
    <row r="152" spans="1:5">
      <c r="A152" s="649" t="s">
        <v>788</v>
      </c>
      <c r="C152" s="1"/>
      <c r="D152" s="1"/>
      <c r="E152" s="1"/>
    </row>
    <row r="153" spans="1:5">
      <c r="A153" s="649" t="s">
        <v>789</v>
      </c>
      <c r="C153" s="1"/>
      <c r="D153" s="1"/>
      <c r="E153" s="1"/>
    </row>
    <row r="154" spans="1:5">
      <c r="A154" s="649" t="s">
        <v>790</v>
      </c>
      <c r="C154" s="1"/>
      <c r="D154" s="1"/>
      <c r="E154" s="1"/>
    </row>
    <row r="155" spans="1:5">
      <c r="A155" s="649" t="s">
        <v>791</v>
      </c>
      <c r="C155" s="1"/>
      <c r="D155" s="1"/>
      <c r="E155" s="1"/>
    </row>
    <row r="156" spans="1:5">
      <c r="A156" s="649" t="s">
        <v>792</v>
      </c>
      <c r="C156" s="1"/>
      <c r="D156" s="1"/>
      <c r="E156" s="1"/>
    </row>
    <row r="157" spans="1:5">
      <c r="A157" s="649" t="s">
        <v>793</v>
      </c>
      <c r="C157" s="1"/>
      <c r="D157" s="1"/>
      <c r="E157" s="1"/>
    </row>
    <row r="158" spans="1:5">
      <c r="A158" s="649" t="s">
        <v>794</v>
      </c>
      <c r="C158" s="1"/>
      <c r="D158" s="1"/>
      <c r="E158" s="1"/>
    </row>
    <row r="159" spans="1:5">
      <c r="A159" s="649" t="s">
        <v>795</v>
      </c>
      <c r="C159" s="1"/>
      <c r="D159" s="1"/>
      <c r="E159" s="1"/>
    </row>
    <row r="160" spans="1:5">
      <c r="A160" s="649" t="s">
        <v>796</v>
      </c>
      <c r="C160" s="1"/>
      <c r="D160" s="1"/>
      <c r="E160" s="1"/>
    </row>
    <row r="161" spans="1:5">
      <c r="A161" s="649" t="s">
        <v>797</v>
      </c>
      <c r="C161" s="1"/>
      <c r="D161" s="1"/>
      <c r="E161" s="1"/>
    </row>
    <row r="162" spans="1:5">
      <c r="A162" s="649" t="s">
        <v>798</v>
      </c>
      <c r="C162" s="1"/>
      <c r="D162" s="1"/>
      <c r="E162" s="1"/>
    </row>
    <row r="163" spans="1:5">
      <c r="A163" s="649" t="s">
        <v>799</v>
      </c>
      <c r="C163" s="1"/>
      <c r="D163" s="1"/>
      <c r="E163" s="1"/>
    </row>
    <row r="164" spans="1:5">
      <c r="A164" s="649" t="s">
        <v>800</v>
      </c>
      <c r="C164" s="1"/>
      <c r="D164" s="1"/>
      <c r="E164" s="1"/>
    </row>
    <row r="165" spans="1:5">
      <c r="A165" s="649" t="s">
        <v>801</v>
      </c>
      <c r="C165" s="1"/>
      <c r="D165" s="1"/>
      <c r="E165" s="1"/>
    </row>
    <row r="166" spans="1:5">
      <c r="A166" s="649" t="s">
        <v>802</v>
      </c>
      <c r="C166" s="1"/>
      <c r="D166" s="1"/>
      <c r="E166" s="1"/>
    </row>
    <row r="167" spans="1:5">
      <c r="A167" s="649" t="s">
        <v>803</v>
      </c>
      <c r="C167" s="1"/>
      <c r="D167" s="1"/>
      <c r="E167" s="1"/>
    </row>
    <row r="168" spans="1:5">
      <c r="A168" s="649" t="s">
        <v>804</v>
      </c>
      <c r="C168" s="1"/>
      <c r="D168" s="1"/>
      <c r="E168" s="1"/>
    </row>
    <row r="169" spans="1:5">
      <c r="A169" s="649" t="s">
        <v>805</v>
      </c>
      <c r="C169" s="1"/>
      <c r="D169" s="1"/>
      <c r="E169" s="1"/>
    </row>
    <row r="170" spans="1:5">
      <c r="A170" s="649" t="s">
        <v>806</v>
      </c>
      <c r="C170" s="1"/>
      <c r="D170" s="1"/>
      <c r="E170" s="1"/>
    </row>
    <row r="171" spans="1:5">
      <c r="A171" s="649" t="s">
        <v>807</v>
      </c>
      <c r="C171" s="1"/>
      <c r="D171" s="1"/>
      <c r="E171" s="1"/>
    </row>
    <row r="172" spans="1:5">
      <c r="A172" s="649" t="s">
        <v>808</v>
      </c>
      <c r="C172" s="1"/>
      <c r="D172" s="1"/>
      <c r="E172" s="1"/>
    </row>
    <row r="173" spans="1:5">
      <c r="A173" s="649" t="s">
        <v>1136</v>
      </c>
      <c r="C173" s="1"/>
      <c r="D173" s="1"/>
      <c r="E173" s="1"/>
    </row>
    <row r="174" spans="1:5">
      <c r="A174" s="649" t="s">
        <v>1137</v>
      </c>
      <c r="C174" s="1"/>
      <c r="D174" s="1"/>
      <c r="E174" s="1"/>
    </row>
    <row r="175" spans="1:5">
      <c r="A175" s="649" t="s">
        <v>809</v>
      </c>
      <c r="C175" s="1"/>
      <c r="D175" s="1"/>
      <c r="E175" s="1"/>
    </row>
    <row r="176" spans="1:5">
      <c r="A176" s="649" t="s">
        <v>810</v>
      </c>
      <c r="C176" s="1"/>
      <c r="D176" s="1"/>
      <c r="E176" s="1"/>
    </row>
    <row r="177" spans="1:5">
      <c r="A177" s="649" t="s">
        <v>811</v>
      </c>
      <c r="C177" s="1"/>
      <c r="D177" s="1"/>
      <c r="E177" s="1"/>
    </row>
    <row r="178" spans="1:5">
      <c r="A178" s="649" t="s">
        <v>812</v>
      </c>
      <c r="C178" s="1"/>
      <c r="D178" s="1"/>
      <c r="E178" s="1"/>
    </row>
    <row r="179" spans="1:5">
      <c r="A179" s="649" t="s">
        <v>813</v>
      </c>
      <c r="C179" s="1"/>
      <c r="D179" s="1"/>
      <c r="E179" s="1"/>
    </row>
    <row r="180" spans="1:5">
      <c r="A180" s="649" t="s">
        <v>814</v>
      </c>
      <c r="C180" s="1"/>
      <c r="D180" s="1"/>
      <c r="E180" s="1"/>
    </row>
    <row r="181" spans="1:5">
      <c r="A181" s="649" t="s">
        <v>815</v>
      </c>
      <c r="C181" s="1"/>
      <c r="D181" s="1"/>
      <c r="E181" s="1"/>
    </row>
    <row r="182" spans="1:5">
      <c r="A182" s="649" t="s">
        <v>816</v>
      </c>
      <c r="C182" s="1"/>
      <c r="D182" s="1"/>
      <c r="E182" s="1"/>
    </row>
    <row r="183" spans="1:5">
      <c r="A183" s="649" t="s">
        <v>817</v>
      </c>
      <c r="C183" s="1"/>
      <c r="D183" s="1"/>
      <c r="E183" s="1"/>
    </row>
    <row r="184" spans="1:5">
      <c r="A184" s="649" t="s">
        <v>818</v>
      </c>
      <c r="C184" s="1"/>
      <c r="D184" s="1"/>
      <c r="E184" s="1"/>
    </row>
    <row r="185" spans="1:5">
      <c r="A185" s="649" t="s">
        <v>819</v>
      </c>
      <c r="C185" s="1"/>
      <c r="D185" s="1"/>
      <c r="E185" s="1"/>
    </row>
    <row r="186" spans="1:5">
      <c r="A186" s="649" t="s">
        <v>820</v>
      </c>
      <c r="C186" s="1"/>
      <c r="D186" s="1"/>
      <c r="E186" s="1"/>
    </row>
    <row r="187" spans="1:5">
      <c r="A187" s="649" t="s">
        <v>821</v>
      </c>
      <c r="C187" s="1"/>
      <c r="D187" s="1"/>
      <c r="E187" s="1"/>
    </row>
    <row r="188" spans="1:5">
      <c r="A188" s="649" t="s">
        <v>822</v>
      </c>
      <c r="C188" s="1"/>
      <c r="D188" s="1"/>
      <c r="E188" s="1"/>
    </row>
    <row r="189" spans="1:5">
      <c r="A189" s="649" t="s">
        <v>823</v>
      </c>
      <c r="C189" s="1"/>
      <c r="D189" s="1"/>
      <c r="E189" s="1"/>
    </row>
    <row r="190" spans="1:5">
      <c r="A190" s="649" t="s">
        <v>824</v>
      </c>
      <c r="C190" s="1"/>
      <c r="D190" s="1"/>
      <c r="E190" s="1"/>
    </row>
    <row r="191" spans="1:5">
      <c r="A191" s="649" t="s">
        <v>825</v>
      </c>
      <c r="C191" s="1"/>
      <c r="D191" s="1"/>
      <c r="E191" s="1"/>
    </row>
    <row r="192" spans="1:5">
      <c r="A192" s="649" t="s">
        <v>826</v>
      </c>
      <c r="C192" s="1"/>
      <c r="D192" s="1"/>
      <c r="E192" s="1"/>
    </row>
    <row r="193" spans="1:5">
      <c r="A193" s="649" t="s">
        <v>827</v>
      </c>
      <c r="C193" s="1"/>
      <c r="D193" s="1"/>
      <c r="E193" s="1"/>
    </row>
    <row r="194" spans="1:5">
      <c r="A194" s="649" t="s">
        <v>828</v>
      </c>
      <c r="C194" s="1"/>
      <c r="D194" s="1"/>
      <c r="E194" s="1"/>
    </row>
    <row r="195" spans="1:5">
      <c r="A195" s="649" t="s">
        <v>829</v>
      </c>
      <c r="C195" s="1"/>
      <c r="D195" s="1"/>
      <c r="E195" s="1"/>
    </row>
    <row r="196" spans="1:5">
      <c r="A196" s="649" t="s">
        <v>830</v>
      </c>
      <c r="C196" s="1"/>
      <c r="D196" s="1"/>
      <c r="E196" s="1"/>
    </row>
    <row r="197" spans="1:5">
      <c r="A197" s="649" t="s">
        <v>831</v>
      </c>
      <c r="C197" s="1"/>
      <c r="D197" s="1"/>
      <c r="E197" s="1"/>
    </row>
    <row r="198" spans="1:5">
      <c r="A198" s="649" t="s">
        <v>832</v>
      </c>
      <c r="C198" s="1"/>
      <c r="D198" s="1"/>
      <c r="E198" s="1"/>
    </row>
    <row r="199" spans="1:5">
      <c r="A199" s="649" t="s">
        <v>833</v>
      </c>
      <c r="C199" s="1"/>
      <c r="D199" s="1"/>
      <c r="E199" s="1"/>
    </row>
    <row r="200" spans="1:5">
      <c r="A200" s="649" t="s">
        <v>834</v>
      </c>
      <c r="C200" s="1"/>
      <c r="D200" s="1"/>
      <c r="E200" s="1"/>
    </row>
    <row r="201" spans="1:5">
      <c r="A201" s="649" t="s">
        <v>835</v>
      </c>
      <c r="C201" s="1"/>
      <c r="D201" s="1"/>
      <c r="E201" s="1"/>
    </row>
    <row r="202" spans="1:5">
      <c r="A202" s="649" t="s">
        <v>836</v>
      </c>
      <c r="C202" s="1"/>
      <c r="D202" s="1"/>
      <c r="E202" s="1"/>
    </row>
    <row r="203" spans="1:5">
      <c r="A203" s="649" t="s">
        <v>837</v>
      </c>
      <c r="C203" s="1"/>
      <c r="D203" s="1"/>
      <c r="E203" s="1"/>
    </row>
    <row r="204" spans="1:5">
      <c r="A204" s="649" t="s">
        <v>838</v>
      </c>
      <c r="C204" s="1"/>
      <c r="D204" s="1"/>
      <c r="E204" s="1"/>
    </row>
    <row r="205" spans="1:5">
      <c r="A205" s="649" t="s">
        <v>839</v>
      </c>
      <c r="C205" s="1"/>
      <c r="D205" s="1"/>
      <c r="E205" s="1"/>
    </row>
    <row r="206" spans="1:5">
      <c r="A206" s="649" t="s">
        <v>840</v>
      </c>
      <c r="C206" s="1"/>
      <c r="D206" s="1"/>
      <c r="E206" s="1"/>
    </row>
    <row r="207" spans="1:5">
      <c r="A207" s="649" t="s">
        <v>841</v>
      </c>
      <c r="C207" s="1"/>
      <c r="D207" s="1"/>
      <c r="E207" s="1"/>
    </row>
    <row r="208" spans="1:5">
      <c r="A208" s="649" t="s">
        <v>842</v>
      </c>
      <c r="C208" s="1"/>
      <c r="D208" s="1"/>
      <c r="E208" s="1"/>
    </row>
    <row r="209" spans="1:5">
      <c r="A209" s="649" t="s">
        <v>843</v>
      </c>
      <c r="C209" s="1"/>
      <c r="D209" s="1"/>
      <c r="E209" s="1"/>
    </row>
    <row r="210" spans="1:5">
      <c r="A210" s="649" t="s">
        <v>844</v>
      </c>
      <c r="C210" s="1"/>
      <c r="D210" s="1"/>
      <c r="E210" s="1"/>
    </row>
    <row r="211" spans="1:5">
      <c r="A211" s="649" t="s">
        <v>845</v>
      </c>
      <c r="C211" s="1"/>
      <c r="D211" s="1"/>
      <c r="E211" s="1"/>
    </row>
    <row r="212" spans="1:5">
      <c r="A212" s="649" t="s">
        <v>846</v>
      </c>
      <c r="C212" s="1"/>
      <c r="D212" s="1"/>
      <c r="E212" s="1"/>
    </row>
    <row r="213" spans="1:5">
      <c r="A213" s="649" t="s">
        <v>847</v>
      </c>
      <c r="C213" s="1"/>
      <c r="D213" s="1"/>
      <c r="E213" s="1"/>
    </row>
    <row r="214" spans="1:5">
      <c r="A214" s="649" t="s">
        <v>848</v>
      </c>
      <c r="C214" s="1"/>
      <c r="D214" s="1"/>
      <c r="E214" s="1"/>
    </row>
    <row r="215" spans="1:5">
      <c r="A215" s="649" t="s">
        <v>849</v>
      </c>
      <c r="C215" s="1"/>
      <c r="D215" s="1"/>
      <c r="E215" s="1"/>
    </row>
    <row r="216" spans="1:5">
      <c r="A216" s="649" t="s">
        <v>850</v>
      </c>
      <c r="C216" s="1"/>
      <c r="D216" s="1"/>
      <c r="E216" s="1"/>
    </row>
    <row r="217" spans="1:5">
      <c r="A217" s="649" t="s">
        <v>851</v>
      </c>
      <c r="C217" s="1"/>
      <c r="D217" s="1"/>
      <c r="E217" s="1"/>
    </row>
    <row r="218" spans="1:5">
      <c r="A218" s="649" t="s">
        <v>852</v>
      </c>
      <c r="C218" s="1"/>
      <c r="D218" s="1"/>
      <c r="E218" s="1"/>
    </row>
    <row r="219" spans="1:5">
      <c r="A219" s="649" t="s">
        <v>853</v>
      </c>
      <c r="C219" s="1"/>
      <c r="D219" s="1"/>
      <c r="E219" s="1"/>
    </row>
    <row r="220" spans="1:5">
      <c r="A220" s="649" t="s">
        <v>854</v>
      </c>
      <c r="C220" s="1"/>
      <c r="D220" s="1"/>
      <c r="E220" s="1"/>
    </row>
    <row r="221" spans="1:5">
      <c r="A221" s="649" t="s">
        <v>855</v>
      </c>
      <c r="C221" s="1"/>
      <c r="D221" s="1"/>
      <c r="E221" s="1"/>
    </row>
    <row r="222" spans="1:5">
      <c r="A222" s="649" t="s">
        <v>856</v>
      </c>
      <c r="C222" s="1"/>
      <c r="D222" s="1"/>
      <c r="E222" s="1"/>
    </row>
    <row r="223" spans="1:5">
      <c r="A223" s="649" t="s">
        <v>857</v>
      </c>
      <c r="C223" s="1"/>
      <c r="D223" s="1"/>
      <c r="E223" s="1"/>
    </row>
    <row r="224" spans="1:5">
      <c r="A224" s="649" t="s">
        <v>858</v>
      </c>
      <c r="C224" s="1"/>
      <c r="D224" s="1"/>
      <c r="E224" s="1"/>
    </row>
    <row r="225" spans="1:5">
      <c r="A225" s="649" t="s">
        <v>859</v>
      </c>
      <c r="C225" s="1"/>
      <c r="D225" s="1"/>
      <c r="E225" s="1"/>
    </row>
    <row r="226" spans="1:5">
      <c r="A226" s="649" t="s">
        <v>860</v>
      </c>
      <c r="C226" s="1"/>
      <c r="D226" s="1"/>
      <c r="E226" s="1"/>
    </row>
    <row r="227" spans="1:5">
      <c r="A227" s="649" t="s">
        <v>861</v>
      </c>
      <c r="C227" s="1"/>
      <c r="D227" s="1"/>
      <c r="E227" s="1"/>
    </row>
    <row r="228" spans="1:5" ht="13.5" thickBot="1">
      <c r="A228" s="650" t="s">
        <v>862</v>
      </c>
      <c r="C228" s="1"/>
      <c r="D228" s="1"/>
      <c r="E228" s="1"/>
    </row>
    <row r="229" spans="1:5">
      <c r="A229" s="559"/>
      <c r="C229" s="1"/>
      <c r="D229" s="1"/>
      <c r="E229" s="1"/>
    </row>
    <row r="230" spans="1:5">
      <c r="C230" s="1"/>
      <c r="D230" s="1"/>
      <c r="E230" s="1"/>
    </row>
    <row r="231" spans="1:5">
      <c r="C231" s="1"/>
      <c r="D231" s="1"/>
      <c r="E231" s="1"/>
    </row>
  </sheetData>
  <phoneticPr fontId="132"/>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8B276-7CD6-499A-94AC-66283F75E80A}">
  <sheetPr codeName="Sheet10">
    <tabColor rgb="FF66FF33"/>
    <pageSetUpPr fitToPage="1"/>
  </sheetPr>
  <dimension ref="A1:O61"/>
  <sheetViews>
    <sheetView showZeros="0" zoomScale="70" zoomScaleNormal="70" zoomScaleSheetLayoutView="70" workbookViewId="0">
      <selection activeCell="F1" sqref="F1:H1"/>
    </sheetView>
  </sheetViews>
  <sheetFormatPr defaultRowHeight="13"/>
  <cols>
    <col min="1" max="1" width="3.26953125" style="977" customWidth="1"/>
    <col min="2" max="2" width="8.08984375" style="977" customWidth="1"/>
    <col min="3" max="3" width="83.6328125" style="977" customWidth="1"/>
    <col min="4" max="4" width="11.26953125" style="977" customWidth="1"/>
    <col min="5" max="5" width="3.36328125" style="977" customWidth="1"/>
    <col min="6" max="6" width="9" style="977" customWidth="1"/>
    <col min="7" max="7" width="3.36328125" style="977" customWidth="1"/>
    <col min="8" max="8" width="9.453125" style="977" customWidth="1"/>
    <col min="9" max="9" width="4.6328125" style="977" customWidth="1"/>
    <col min="10" max="15" width="9" style="977" hidden="1" customWidth="1"/>
    <col min="16" max="259" width="9" style="977"/>
    <col min="260" max="260" width="3.26953125" style="977" customWidth="1"/>
    <col min="261" max="261" width="7.08984375" style="977" customWidth="1"/>
    <col min="262" max="262" width="83.6328125" style="977" customWidth="1"/>
    <col min="263" max="263" width="27.08984375" style="977" customWidth="1"/>
    <col min="264" max="265" width="3.26953125" style="977" customWidth="1"/>
    <col min="266" max="266" width="4.90625" style="977" customWidth="1"/>
    <col min="267" max="267" width="2.453125" style="977" customWidth="1"/>
    <col min="268" max="515" width="9" style="977"/>
    <col min="516" max="516" width="3.26953125" style="977" customWidth="1"/>
    <col min="517" max="517" width="7.08984375" style="977" customWidth="1"/>
    <col min="518" max="518" width="83.6328125" style="977" customWidth="1"/>
    <col min="519" max="519" width="27.08984375" style="977" customWidth="1"/>
    <col min="520" max="521" width="3.26953125" style="977" customWidth="1"/>
    <col min="522" max="522" width="4.90625" style="977" customWidth="1"/>
    <col min="523" max="523" width="2.453125" style="977" customWidth="1"/>
    <col min="524" max="771" width="9" style="977"/>
    <col min="772" max="772" width="3.26953125" style="977" customWidth="1"/>
    <col min="773" max="773" width="7.08984375" style="977" customWidth="1"/>
    <col min="774" max="774" width="83.6328125" style="977" customWidth="1"/>
    <col min="775" max="775" width="27.08984375" style="977" customWidth="1"/>
    <col min="776" max="777" width="3.26953125" style="977" customWidth="1"/>
    <col min="778" max="778" width="4.90625" style="977" customWidth="1"/>
    <col min="779" max="779" width="2.453125" style="977" customWidth="1"/>
    <col min="780" max="1027" width="9" style="977"/>
    <col min="1028" max="1028" width="3.26953125" style="977" customWidth="1"/>
    <col min="1029" max="1029" width="7.08984375" style="977" customWidth="1"/>
    <col min="1030" max="1030" width="83.6328125" style="977" customWidth="1"/>
    <col min="1031" max="1031" width="27.08984375" style="977" customWidth="1"/>
    <col min="1032" max="1033" width="3.26953125" style="977" customWidth="1"/>
    <col min="1034" max="1034" width="4.90625" style="977" customWidth="1"/>
    <col min="1035" max="1035" width="2.453125" style="977" customWidth="1"/>
    <col min="1036" max="1283" width="9" style="977"/>
    <col min="1284" max="1284" width="3.26953125" style="977" customWidth="1"/>
    <col min="1285" max="1285" width="7.08984375" style="977" customWidth="1"/>
    <col min="1286" max="1286" width="83.6328125" style="977" customWidth="1"/>
    <col min="1287" max="1287" width="27.08984375" style="977" customWidth="1"/>
    <col min="1288" max="1289" width="3.26953125" style="977" customWidth="1"/>
    <col min="1290" max="1290" width="4.90625" style="977" customWidth="1"/>
    <col min="1291" max="1291" width="2.453125" style="977" customWidth="1"/>
    <col min="1292" max="1539" width="9" style="977"/>
    <col min="1540" max="1540" width="3.26953125" style="977" customWidth="1"/>
    <col min="1541" max="1541" width="7.08984375" style="977" customWidth="1"/>
    <col min="1542" max="1542" width="83.6328125" style="977" customWidth="1"/>
    <col min="1543" max="1543" width="27.08984375" style="977" customWidth="1"/>
    <col min="1544" max="1545" width="3.26953125" style="977" customWidth="1"/>
    <col min="1546" max="1546" width="4.90625" style="977" customWidth="1"/>
    <col min="1547" max="1547" width="2.453125" style="977" customWidth="1"/>
    <col min="1548" max="1795" width="9" style="977"/>
    <col min="1796" max="1796" width="3.26953125" style="977" customWidth="1"/>
    <col min="1797" max="1797" width="7.08984375" style="977" customWidth="1"/>
    <col min="1798" max="1798" width="83.6328125" style="977" customWidth="1"/>
    <col min="1799" max="1799" width="27.08984375" style="977" customWidth="1"/>
    <col min="1800" max="1801" width="3.26953125" style="977" customWidth="1"/>
    <col min="1802" max="1802" width="4.90625" style="977" customWidth="1"/>
    <col min="1803" max="1803" width="2.453125" style="977" customWidth="1"/>
    <col min="1804" max="2051" width="9" style="977"/>
    <col min="2052" max="2052" width="3.26953125" style="977" customWidth="1"/>
    <col min="2053" max="2053" width="7.08984375" style="977" customWidth="1"/>
    <col min="2054" max="2054" width="83.6328125" style="977" customWidth="1"/>
    <col min="2055" max="2055" width="27.08984375" style="977" customWidth="1"/>
    <col min="2056" max="2057" width="3.26953125" style="977" customWidth="1"/>
    <col min="2058" max="2058" width="4.90625" style="977" customWidth="1"/>
    <col min="2059" max="2059" width="2.453125" style="977" customWidth="1"/>
    <col min="2060" max="2307" width="9" style="977"/>
    <col min="2308" max="2308" width="3.26953125" style="977" customWidth="1"/>
    <col min="2309" max="2309" width="7.08984375" style="977" customWidth="1"/>
    <col min="2310" max="2310" width="83.6328125" style="977" customWidth="1"/>
    <col min="2311" max="2311" width="27.08984375" style="977" customWidth="1"/>
    <col min="2312" max="2313" width="3.26953125" style="977" customWidth="1"/>
    <col min="2314" max="2314" width="4.90625" style="977" customWidth="1"/>
    <col min="2315" max="2315" width="2.453125" style="977" customWidth="1"/>
    <col min="2316" max="2563" width="9" style="977"/>
    <col min="2564" max="2564" width="3.26953125" style="977" customWidth="1"/>
    <col min="2565" max="2565" width="7.08984375" style="977" customWidth="1"/>
    <col min="2566" max="2566" width="83.6328125" style="977" customWidth="1"/>
    <col min="2567" max="2567" width="27.08984375" style="977" customWidth="1"/>
    <col min="2568" max="2569" width="3.26953125" style="977" customWidth="1"/>
    <col min="2570" max="2570" width="4.90625" style="977" customWidth="1"/>
    <col min="2571" max="2571" width="2.453125" style="977" customWidth="1"/>
    <col min="2572" max="2819" width="9" style="977"/>
    <col min="2820" max="2820" width="3.26953125" style="977" customWidth="1"/>
    <col min="2821" max="2821" width="7.08984375" style="977" customWidth="1"/>
    <col min="2822" max="2822" width="83.6328125" style="977" customWidth="1"/>
    <col min="2823" max="2823" width="27.08984375" style="977" customWidth="1"/>
    <col min="2824" max="2825" width="3.26953125" style="977" customWidth="1"/>
    <col min="2826" max="2826" width="4.90625" style="977" customWidth="1"/>
    <col min="2827" max="2827" width="2.453125" style="977" customWidth="1"/>
    <col min="2828" max="3075" width="9" style="977"/>
    <col min="3076" max="3076" width="3.26953125" style="977" customWidth="1"/>
    <col min="3077" max="3077" width="7.08984375" style="977" customWidth="1"/>
    <col min="3078" max="3078" width="83.6328125" style="977" customWidth="1"/>
    <col min="3079" max="3079" width="27.08984375" style="977" customWidth="1"/>
    <col min="3080" max="3081" width="3.26953125" style="977" customWidth="1"/>
    <col min="3082" max="3082" width="4.90625" style="977" customWidth="1"/>
    <col min="3083" max="3083" width="2.453125" style="977" customWidth="1"/>
    <col min="3084" max="3331" width="9" style="977"/>
    <col min="3332" max="3332" width="3.26953125" style="977" customWidth="1"/>
    <col min="3333" max="3333" width="7.08984375" style="977" customWidth="1"/>
    <col min="3334" max="3334" width="83.6328125" style="977" customWidth="1"/>
    <col min="3335" max="3335" width="27.08984375" style="977" customWidth="1"/>
    <col min="3336" max="3337" width="3.26953125" style="977" customWidth="1"/>
    <col min="3338" max="3338" width="4.90625" style="977" customWidth="1"/>
    <col min="3339" max="3339" width="2.453125" style="977" customWidth="1"/>
    <col min="3340" max="3587" width="9" style="977"/>
    <col min="3588" max="3588" width="3.26953125" style="977" customWidth="1"/>
    <col min="3589" max="3589" width="7.08984375" style="977" customWidth="1"/>
    <col min="3590" max="3590" width="83.6328125" style="977" customWidth="1"/>
    <col min="3591" max="3591" width="27.08984375" style="977" customWidth="1"/>
    <col min="3592" max="3593" width="3.26953125" style="977" customWidth="1"/>
    <col min="3594" max="3594" width="4.90625" style="977" customWidth="1"/>
    <col min="3595" max="3595" width="2.453125" style="977" customWidth="1"/>
    <col min="3596" max="3843" width="9" style="977"/>
    <col min="3844" max="3844" width="3.26953125" style="977" customWidth="1"/>
    <col min="3845" max="3845" width="7.08984375" style="977" customWidth="1"/>
    <col min="3846" max="3846" width="83.6328125" style="977" customWidth="1"/>
    <col min="3847" max="3847" width="27.08984375" style="977" customWidth="1"/>
    <col min="3848" max="3849" width="3.26953125" style="977" customWidth="1"/>
    <col min="3850" max="3850" width="4.90625" style="977" customWidth="1"/>
    <col min="3851" max="3851" width="2.453125" style="977" customWidth="1"/>
    <col min="3852" max="4099" width="9" style="977"/>
    <col min="4100" max="4100" width="3.26953125" style="977" customWidth="1"/>
    <col min="4101" max="4101" width="7.08984375" style="977" customWidth="1"/>
    <col min="4102" max="4102" width="83.6328125" style="977" customWidth="1"/>
    <col min="4103" max="4103" width="27.08984375" style="977" customWidth="1"/>
    <col min="4104" max="4105" width="3.26953125" style="977" customWidth="1"/>
    <col min="4106" max="4106" width="4.90625" style="977" customWidth="1"/>
    <col min="4107" max="4107" width="2.453125" style="977" customWidth="1"/>
    <col min="4108" max="4355" width="9" style="977"/>
    <col min="4356" max="4356" width="3.26953125" style="977" customWidth="1"/>
    <col min="4357" max="4357" width="7.08984375" style="977" customWidth="1"/>
    <col min="4358" max="4358" width="83.6328125" style="977" customWidth="1"/>
    <col min="4359" max="4359" width="27.08984375" style="977" customWidth="1"/>
    <col min="4360" max="4361" width="3.26953125" style="977" customWidth="1"/>
    <col min="4362" max="4362" width="4.90625" style="977" customWidth="1"/>
    <col min="4363" max="4363" width="2.453125" style="977" customWidth="1"/>
    <col min="4364" max="4611" width="9" style="977"/>
    <col min="4612" max="4612" width="3.26953125" style="977" customWidth="1"/>
    <col min="4613" max="4613" width="7.08984375" style="977" customWidth="1"/>
    <col min="4614" max="4614" width="83.6328125" style="977" customWidth="1"/>
    <col min="4615" max="4615" width="27.08984375" style="977" customWidth="1"/>
    <col min="4616" max="4617" width="3.26953125" style="977" customWidth="1"/>
    <col min="4618" max="4618" width="4.90625" style="977" customWidth="1"/>
    <col min="4619" max="4619" width="2.453125" style="977" customWidth="1"/>
    <col min="4620" max="4867" width="9" style="977"/>
    <col min="4868" max="4868" width="3.26953125" style="977" customWidth="1"/>
    <col min="4869" max="4869" width="7.08984375" style="977" customWidth="1"/>
    <col min="4870" max="4870" width="83.6328125" style="977" customWidth="1"/>
    <col min="4871" max="4871" width="27.08984375" style="977" customWidth="1"/>
    <col min="4872" max="4873" width="3.26953125" style="977" customWidth="1"/>
    <col min="4874" max="4874" width="4.90625" style="977" customWidth="1"/>
    <col min="4875" max="4875" width="2.453125" style="977" customWidth="1"/>
    <col min="4876" max="5123" width="9" style="977"/>
    <col min="5124" max="5124" width="3.26953125" style="977" customWidth="1"/>
    <col min="5125" max="5125" width="7.08984375" style="977" customWidth="1"/>
    <col min="5126" max="5126" width="83.6328125" style="977" customWidth="1"/>
    <col min="5127" max="5127" width="27.08984375" style="977" customWidth="1"/>
    <col min="5128" max="5129" width="3.26953125" style="977" customWidth="1"/>
    <col min="5130" max="5130" width="4.90625" style="977" customWidth="1"/>
    <col min="5131" max="5131" width="2.453125" style="977" customWidth="1"/>
    <col min="5132" max="5379" width="9" style="977"/>
    <col min="5380" max="5380" width="3.26953125" style="977" customWidth="1"/>
    <col min="5381" max="5381" width="7.08984375" style="977" customWidth="1"/>
    <col min="5382" max="5382" width="83.6328125" style="977" customWidth="1"/>
    <col min="5383" max="5383" width="27.08984375" style="977" customWidth="1"/>
    <col min="5384" max="5385" width="3.26953125" style="977" customWidth="1"/>
    <col min="5386" max="5386" width="4.90625" style="977" customWidth="1"/>
    <col min="5387" max="5387" width="2.453125" style="977" customWidth="1"/>
    <col min="5388" max="5635" width="9" style="977"/>
    <col min="5636" max="5636" width="3.26953125" style="977" customWidth="1"/>
    <col min="5637" max="5637" width="7.08984375" style="977" customWidth="1"/>
    <col min="5638" max="5638" width="83.6328125" style="977" customWidth="1"/>
    <col min="5639" max="5639" width="27.08984375" style="977" customWidth="1"/>
    <col min="5640" max="5641" width="3.26953125" style="977" customWidth="1"/>
    <col min="5642" max="5642" width="4.90625" style="977" customWidth="1"/>
    <col min="5643" max="5643" width="2.453125" style="977" customWidth="1"/>
    <col min="5644" max="5891" width="9" style="977"/>
    <col min="5892" max="5892" width="3.26953125" style="977" customWidth="1"/>
    <col min="5893" max="5893" width="7.08984375" style="977" customWidth="1"/>
    <col min="5894" max="5894" width="83.6328125" style="977" customWidth="1"/>
    <col min="5895" max="5895" width="27.08984375" style="977" customWidth="1"/>
    <col min="5896" max="5897" width="3.26953125" style="977" customWidth="1"/>
    <col min="5898" max="5898" width="4.90625" style="977" customWidth="1"/>
    <col min="5899" max="5899" width="2.453125" style="977" customWidth="1"/>
    <col min="5900" max="6147" width="9" style="977"/>
    <col min="6148" max="6148" width="3.26953125" style="977" customWidth="1"/>
    <col min="6149" max="6149" width="7.08984375" style="977" customWidth="1"/>
    <col min="6150" max="6150" width="83.6328125" style="977" customWidth="1"/>
    <col min="6151" max="6151" width="27.08984375" style="977" customWidth="1"/>
    <col min="6152" max="6153" width="3.26953125" style="977" customWidth="1"/>
    <col min="6154" max="6154" width="4.90625" style="977" customWidth="1"/>
    <col min="6155" max="6155" width="2.453125" style="977" customWidth="1"/>
    <col min="6156" max="6403" width="9" style="977"/>
    <col min="6404" max="6404" width="3.26953125" style="977" customWidth="1"/>
    <col min="6405" max="6405" width="7.08984375" style="977" customWidth="1"/>
    <col min="6406" max="6406" width="83.6328125" style="977" customWidth="1"/>
    <col min="6407" max="6407" width="27.08984375" style="977" customWidth="1"/>
    <col min="6408" max="6409" width="3.26953125" style="977" customWidth="1"/>
    <col min="6410" max="6410" width="4.90625" style="977" customWidth="1"/>
    <col min="6411" max="6411" width="2.453125" style="977" customWidth="1"/>
    <col min="6412" max="6659" width="9" style="977"/>
    <col min="6660" max="6660" width="3.26953125" style="977" customWidth="1"/>
    <col min="6661" max="6661" width="7.08984375" style="977" customWidth="1"/>
    <col min="6662" max="6662" width="83.6328125" style="977" customWidth="1"/>
    <col min="6663" max="6663" width="27.08984375" style="977" customWidth="1"/>
    <col min="6664" max="6665" width="3.26953125" style="977" customWidth="1"/>
    <col min="6666" max="6666" width="4.90625" style="977" customWidth="1"/>
    <col min="6667" max="6667" width="2.453125" style="977" customWidth="1"/>
    <col min="6668" max="6915" width="9" style="977"/>
    <col min="6916" max="6916" width="3.26953125" style="977" customWidth="1"/>
    <col min="6917" max="6917" width="7.08984375" style="977" customWidth="1"/>
    <col min="6918" max="6918" width="83.6328125" style="977" customWidth="1"/>
    <col min="6919" max="6919" width="27.08984375" style="977" customWidth="1"/>
    <col min="6920" max="6921" width="3.26953125" style="977" customWidth="1"/>
    <col min="6922" max="6922" width="4.90625" style="977" customWidth="1"/>
    <col min="6923" max="6923" width="2.453125" style="977" customWidth="1"/>
    <col min="6924" max="7171" width="9" style="977"/>
    <col min="7172" max="7172" width="3.26953125" style="977" customWidth="1"/>
    <col min="7173" max="7173" width="7.08984375" style="977" customWidth="1"/>
    <col min="7174" max="7174" width="83.6328125" style="977" customWidth="1"/>
    <col min="7175" max="7175" width="27.08984375" style="977" customWidth="1"/>
    <col min="7176" max="7177" width="3.26953125" style="977" customWidth="1"/>
    <col min="7178" max="7178" width="4.90625" style="977" customWidth="1"/>
    <col min="7179" max="7179" width="2.453125" style="977" customWidth="1"/>
    <col min="7180" max="7427" width="9" style="977"/>
    <col min="7428" max="7428" width="3.26953125" style="977" customWidth="1"/>
    <col min="7429" max="7429" width="7.08984375" style="977" customWidth="1"/>
    <col min="7430" max="7430" width="83.6328125" style="977" customWidth="1"/>
    <col min="7431" max="7431" width="27.08984375" style="977" customWidth="1"/>
    <col min="7432" max="7433" width="3.26953125" style="977" customWidth="1"/>
    <col min="7434" max="7434" width="4.90625" style="977" customWidth="1"/>
    <col min="7435" max="7435" width="2.453125" style="977" customWidth="1"/>
    <col min="7436" max="7683" width="9" style="977"/>
    <col min="7684" max="7684" width="3.26953125" style="977" customWidth="1"/>
    <col min="7685" max="7685" width="7.08984375" style="977" customWidth="1"/>
    <col min="7686" max="7686" width="83.6328125" style="977" customWidth="1"/>
    <col min="7687" max="7687" width="27.08984375" style="977" customWidth="1"/>
    <col min="7688" max="7689" width="3.26953125" style="977" customWidth="1"/>
    <col min="7690" max="7690" width="4.90625" style="977" customWidth="1"/>
    <col min="7691" max="7691" width="2.453125" style="977" customWidth="1"/>
    <col min="7692" max="7939" width="9" style="977"/>
    <col min="7940" max="7940" width="3.26953125" style="977" customWidth="1"/>
    <col min="7941" max="7941" width="7.08984375" style="977" customWidth="1"/>
    <col min="7942" max="7942" width="83.6328125" style="977" customWidth="1"/>
    <col min="7943" max="7943" width="27.08984375" style="977" customWidth="1"/>
    <col min="7944" max="7945" width="3.26953125" style="977" customWidth="1"/>
    <col min="7946" max="7946" width="4.90625" style="977" customWidth="1"/>
    <col min="7947" max="7947" width="2.453125" style="977" customWidth="1"/>
    <col min="7948" max="8195" width="9" style="977"/>
    <col min="8196" max="8196" width="3.26953125" style="977" customWidth="1"/>
    <col min="8197" max="8197" width="7.08984375" style="977" customWidth="1"/>
    <col min="8198" max="8198" width="83.6328125" style="977" customWidth="1"/>
    <col min="8199" max="8199" width="27.08984375" style="977" customWidth="1"/>
    <col min="8200" max="8201" width="3.26953125" style="977" customWidth="1"/>
    <col min="8202" max="8202" width="4.90625" style="977" customWidth="1"/>
    <col min="8203" max="8203" width="2.453125" style="977" customWidth="1"/>
    <col min="8204" max="8451" width="9" style="977"/>
    <col min="8452" max="8452" width="3.26953125" style="977" customWidth="1"/>
    <col min="8453" max="8453" width="7.08984375" style="977" customWidth="1"/>
    <col min="8454" max="8454" width="83.6328125" style="977" customWidth="1"/>
    <col min="8455" max="8455" width="27.08984375" style="977" customWidth="1"/>
    <col min="8456" max="8457" width="3.26953125" style="977" customWidth="1"/>
    <col min="8458" max="8458" width="4.90625" style="977" customWidth="1"/>
    <col min="8459" max="8459" width="2.453125" style="977" customWidth="1"/>
    <col min="8460" max="8707" width="9" style="977"/>
    <col min="8708" max="8708" width="3.26953125" style="977" customWidth="1"/>
    <col min="8709" max="8709" width="7.08984375" style="977" customWidth="1"/>
    <col min="8710" max="8710" width="83.6328125" style="977" customWidth="1"/>
    <col min="8711" max="8711" width="27.08984375" style="977" customWidth="1"/>
    <col min="8712" max="8713" width="3.26953125" style="977" customWidth="1"/>
    <col min="8714" max="8714" width="4.90625" style="977" customWidth="1"/>
    <col min="8715" max="8715" width="2.453125" style="977" customWidth="1"/>
    <col min="8716" max="8963" width="9" style="977"/>
    <col min="8964" max="8964" width="3.26953125" style="977" customWidth="1"/>
    <col min="8965" max="8965" width="7.08984375" style="977" customWidth="1"/>
    <col min="8966" max="8966" width="83.6328125" style="977" customWidth="1"/>
    <col min="8967" max="8967" width="27.08984375" style="977" customWidth="1"/>
    <col min="8968" max="8969" width="3.26953125" style="977" customWidth="1"/>
    <col min="8970" max="8970" width="4.90625" style="977" customWidth="1"/>
    <col min="8971" max="8971" width="2.453125" style="977" customWidth="1"/>
    <col min="8972" max="9219" width="9" style="977"/>
    <col min="9220" max="9220" width="3.26953125" style="977" customWidth="1"/>
    <col min="9221" max="9221" width="7.08984375" style="977" customWidth="1"/>
    <col min="9222" max="9222" width="83.6328125" style="977" customWidth="1"/>
    <col min="9223" max="9223" width="27.08984375" style="977" customWidth="1"/>
    <col min="9224" max="9225" width="3.26953125" style="977" customWidth="1"/>
    <col min="9226" max="9226" width="4.90625" style="977" customWidth="1"/>
    <col min="9227" max="9227" width="2.453125" style="977" customWidth="1"/>
    <col min="9228" max="9475" width="9" style="977"/>
    <col min="9476" max="9476" width="3.26953125" style="977" customWidth="1"/>
    <col min="9477" max="9477" width="7.08984375" style="977" customWidth="1"/>
    <col min="9478" max="9478" width="83.6328125" style="977" customWidth="1"/>
    <col min="9479" max="9479" width="27.08984375" style="977" customWidth="1"/>
    <col min="9480" max="9481" width="3.26953125" style="977" customWidth="1"/>
    <col min="9482" max="9482" width="4.90625" style="977" customWidth="1"/>
    <col min="9483" max="9483" width="2.453125" style="977" customWidth="1"/>
    <col min="9484" max="9731" width="9" style="977"/>
    <col min="9732" max="9732" width="3.26953125" style="977" customWidth="1"/>
    <col min="9733" max="9733" width="7.08984375" style="977" customWidth="1"/>
    <col min="9734" max="9734" width="83.6328125" style="977" customWidth="1"/>
    <col min="9735" max="9735" width="27.08984375" style="977" customWidth="1"/>
    <col min="9736" max="9737" width="3.26953125" style="977" customWidth="1"/>
    <col min="9738" max="9738" width="4.90625" style="977" customWidth="1"/>
    <col min="9739" max="9739" width="2.453125" style="977" customWidth="1"/>
    <col min="9740" max="9987" width="9" style="977"/>
    <col min="9988" max="9988" width="3.26953125" style="977" customWidth="1"/>
    <col min="9989" max="9989" width="7.08984375" style="977" customWidth="1"/>
    <col min="9990" max="9990" width="83.6328125" style="977" customWidth="1"/>
    <col min="9991" max="9991" width="27.08984375" style="977" customWidth="1"/>
    <col min="9992" max="9993" width="3.26953125" style="977" customWidth="1"/>
    <col min="9994" max="9994" width="4.90625" style="977" customWidth="1"/>
    <col min="9995" max="9995" width="2.453125" style="977" customWidth="1"/>
    <col min="9996" max="10243" width="9" style="977"/>
    <col min="10244" max="10244" width="3.26953125" style="977" customWidth="1"/>
    <col min="10245" max="10245" width="7.08984375" style="977" customWidth="1"/>
    <col min="10246" max="10246" width="83.6328125" style="977" customWidth="1"/>
    <col min="10247" max="10247" width="27.08984375" style="977" customWidth="1"/>
    <col min="10248" max="10249" width="3.26953125" style="977" customWidth="1"/>
    <col min="10250" max="10250" width="4.90625" style="977" customWidth="1"/>
    <col min="10251" max="10251" width="2.453125" style="977" customWidth="1"/>
    <col min="10252" max="10499" width="9" style="977"/>
    <col min="10500" max="10500" width="3.26953125" style="977" customWidth="1"/>
    <col min="10501" max="10501" width="7.08984375" style="977" customWidth="1"/>
    <col min="10502" max="10502" width="83.6328125" style="977" customWidth="1"/>
    <col min="10503" max="10503" width="27.08984375" style="977" customWidth="1"/>
    <col min="10504" max="10505" width="3.26953125" style="977" customWidth="1"/>
    <col min="10506" max="10506" width="4.90625" style="977" customWidth="1"/>
    <col min="10507" max="10507" width="2.453125" style="977" customWidth="1"/>
    <col min="10508" max="10755" width="9" style="977"/>
    <col min="10756" max="10756" width="3.26953125" style="977" customWidth="1"/>
    <col min="10757" max="10757" width="7.08984375" style="977" customWidth="1"/>
    <col min="10758" max="10758" width="83.6328125" style="977" customWidth="1"/>
    <col min="10759" max="10759" width="27.08984375" style="977" customWidth="1"/>
    <col min="10760" max="10761" width="3.26953125" style="977" customWidth="1"/>
    <col min="10762" max="10762" width="4.90625" style="977" customWidth="1"/>
    <col min="10763" max="10763" width="2.453125" style="977" customWidth="1"/>
    <col min="10764" max="11011" width="9" style="977"/>
    <col min="11012" max="11012" width="3.26953125" style="977" customWidth="1"/>
    <col min="11013" max="11013" width="7.08984375" style="977" customWidth="1"/>
    <col min="11014" max="11014" width="83.6328125" style="977" customWidth="1"/>
    <col min="11015" max="11015" width="27.08984375" style="977" customWidth="1"/>
    <col min="11016" max="11017" width="3.26953125" style="977" customWidth="1"/>
    <col min="11018" max="11018" width="4.90625" style="977" customWidth="1"/>
    <col min="11019" max="11019" width="2.453125" style="977" customWidth="1"/>
    <col min="11020" max="11267" width="9" style="977"/>
    <col min="11268" max="11268" width="3.26953125" style="977" customWidth="1"/>
    <col min="11269" max="11269" width="7.08984375" style="977" customWidth="1"/>
    <col min="11270" max="11270" width="83.6328125" style="977" customWidth="1"/>
    <col min="11271" max="11271" width="27.08984375" style="977" customWidth="1"/>
    <col min="11272" max="11273" width="3.26953125" style="977" customWidth="1"/>
    <col min="11274" max="11274" width="4.90625" style="977" customWidth="1"/>
    <col min="11275" max="11275" width="2.453125" style="977" customWidth="1"/>
    <col min="11276" max="11523" width="9" style="977"/>
    <col min="11524" max="11524" width="3.26953125" style="977" customWidth="1"/>
    <col min="11525" max="11525" width="7.08984375" style="977" customWidth="1"/>
    <col min="11526" max="11526" width="83.6328125" style="977" customWidth="1"/>
    <col min="11527" max="11527" width="27.08984375" style="977" customWidth="1"/>
    <col min="11528" max="11529" width="3.26953125" style="977" customWidth="1"/>
    <col min="11530" max="11530" width="4.90625" style="977" customWidth="1"/>
    <col min="11531" max="11531" width="2.453125" style="977" customWidth="1"/>
    <col min="11532" max="11779" width="9" style="977"/>
    <col min="11780" max="11780" width="3.26953125" style="977" customWidth="1"/>
    <col min="11781" max="11781" width="7.08984375" style="977" customWidth="1"/>
    <col min="11782" max="11782" width="83.6328125" style="977" customWidth="1"/>
    <col min="11783" max="11783" width="27.08984375" style="977" customWidth="1"/>
    <col min="11784" max="11785" width="3.26953125" style="977" customWidth="1"/>
    <col min="11786" max="11786" width="4.90625" style="977" customWidth="1"/>
    <col min="11787" max="11787" width="2.453125" style="977" customWidth="1"/>
    <col min="11788" max="12035" width="9" style="977"/>
    <col min="12036" max="12036" width="3.26953125" style="977" customWidth="1"/>
    <col min="12037" max="12037" width="7.08984375" style="977" customWidth="1"/>
    <col min="12038" max="12038" width="83.6328125" style="977" customWidth="1"/>
    <col min="12039" max="12039" width="27.08984375" style="977" customWidth="1"/>
    <col min="12040" max="12041" width="3.26953125" style="977" customWidth="1"/>
    <col min="12042" max="12042" width="4.90625" style="977" customWidth="1"/>
    <col min="12043" max="12043" width="2.453125" style="977" customWidth="1"/>
    <col min="12044" max="12291" width="9" style="977"/>
    <col min="12292" max="12292" width="3.26953125" style="977" customWidth="1"/>
    <col min="12293" max="12293" width="7.08984375" style="977" customWidth="1"/>
    <col min="12294" max="12294" width="83.6328125" style="977" customWidth="1"/>
    <col min="12295" max="12295" width="27.08984375" style="977" customWidth="1"/>
    <col min="12296" max="12297" width="3.26953125" style="977" customWidth="1"/>
    <col min="12298" max="12298" width="4.90625" style="977" customWidth="1"/>
    <col min="12299" max="12299" width="2.453125" style="977" customWidth="1"/>
    <col min="12300" max="12547" width="9" style="977"/>
    <col min="12548" max="12548" width="3.26953125" style="977" customWidth="1"/>
    <col min="12549" max="12549" width="7.08984375" style="977" customWidth="1"/>
    <col min="12550" max="12550" width="83.6328125" style="977" customWidth="1"/>
    <col min="12551" max="12551" width="27.08984375" style="977" customWidth="1"/>
    <col min="12552" max="12553" width="3.26953125" style="977" customWidth="1"/>
    <col min="12554" max="12554" width="4.90625" style="977" customWidth="1"/>
    <col min="12555" max="12555" width="2.453125" style="977" customWidth="1"/>
    <col min="12556" max="12803" width="9" style="977"/>
    <col min="12804" max="12804" width="3.26953125" style="977" customWidth="1"/>
    <col min="12805" max="12805" width="7.08984375" style="977" customWidth="1"/>
    <col min="12806" max="12806" width="83.6328125" style="977" customWidth="1"/>
    <col min="12807" max="12807" width="27.08984375" style="977" customWidth="1"/>
    <col min="12808" max="12809" width="3.26953125" style="977" customWidth="1"/>
    <col min="12810" max="12810" width="4.90625" style="977" customWidth="1"/>
    <col min="12811" max="12811" width="2.453125" style="977" customWidth="1"/>
    <col min="12812" max="13059" width="9" style="977"/>
    <col min="13060" max="13060" width="3.26953125" style="977" customWidth="1"/>
    <col min="13061" max="13061" width="7.08984375" style="977" customWidth="1"/>
    <col min="13062" max="13062" width="83.6328125" style="977" customWidth="1"/>
    <col min="13063" max="13063" width="27.08984375" style="977" customWidth="1"/>
    <col min="13064" max="13065" width="3.26953125" style="977" customWidth="1"/>
    <col min="13066" max="13066" width="4.90625" style="977" customWidth="1"/>
    <col min="13067" max="13067" width="2.453125" style="977" customWidth="1"/>
    <col min="13068" max="13315" width="9" style="977"/>
    <col min="13316" max="13316" width="3.26953125" style="977" customWidth="1"/>
    <col min="13317" max="13317" width="7.08984375" style="977" customWidth="1"/>
    <col min="13318" max="13318" width="83.6328125" style="977" customWidth="1"/>
    <col min="13319" max="13319" width="27.08984375" style="977" customWidth="1"/>
    <col min="13320" max="13321" width="3.26953125" style="977" customWidth="1"/>
    <col min="13322" max="13322" width="4.90625" style="977" customWidth="1"/>
    <col min="13323" max="13323" width="2.453125" style="977" customWidth="1"/>
    <col min="13324" max="13571" width="9" style="977"/>
    <col min="13572" max="13572" width="3.26953125" style="977" customWidth="1"/>
    <col min="13573" max="13573" width="7.08984375" style="977" customWidth="1"/>
    <col min="13574" max="13574" width="83.6328125" style="977" customWidth="1"/>
    <col min="13575" max="13575" width="27.08984375" style="977" customWidth="1"/>
    <col min="13576" max="13577" width="3.26953125" style="977" customWidth="1"/>
    <col min="13578" max="13578" width="4.90625" style="977" customWidth="1"/>
    <col min="13579" max="13579" width="2.453125" style="977" customWidth="1"/>
    <col min="13580" max="13827" width="9" style="977"/>
    <col min="13828" max="13828" width="3.26953125" style="977" customWidth="1"/>
    <col min="13829" max="13829" width="7.08984375" style="977" customWidth="1"/>
    <col min="13830" max="13830" width="83.6328125" style="977" customWidth="1"/>
    <col min="13831" max="13831" width="27.08984375" style="977" customWidth="1"/>
    <col min="13832" max="13833" width="3.26953125" style="977" customWidth="1"/>
    <col min="13834" max="13834" width="4.90625" style="977" customWidth="1"/>
    <col min="13835" max="13835" width="2.453125" style="977" customWidth="1"/>
    <col min="13836" max="14083" width="9" style="977"/>
    <col min="14084" max="14084" width="3.26953125" style="977" customWidth="1"/>
    <col min="14085" max="14085" width="7.08984375" style="977" customWidth="1"/>
    <col min="14086" max="14086" width="83.6328125" style="977" customWidth="1"/>
    <col min="14087" max="14087" width="27.08984375" style="977" customWidth="1"/>
    <col min="14088" max="14089" width="3.26953125" style="977" customWidth="1"/>
    <col min="14090" max="14090" width="4.90625" style="977" customWidth="1"/>
    <col min="14091" max="14091" width="2.453125" style="977" customWidth="1"/>
    <col min="14092" max="14339" width="9" style="977"/>
    <col min="14340" max="14340" width="3.26953125" style="977" customWidth="1"/>
    <col min="14341" max="14341" width="7.08984375" style="977" customWidth="1"/>
    <col min="14342" max="14342" width="83.6328125" style="977" customWidth="1"/>
    <col min="14343" max="14343" width="27.08984375" style="977" customWidth="1"/>
    <col min="14344" max="14345" width="3.26953125" style="977" customWidth="1"/>
    <col min="14346" max="14346" width="4.90625" style="977" customWidth="1"/>
    <col min="14347" max="14347" width="2.453125" style="977" customWidth="1"/>
    <col min="14348" max="14595" width="9" style="977"/>
    <col min="14596" max="14596" width="3.26953125" style="977" customWidth="1"/>
    <col min="14597" max="14597" width="7.08984375" style="977" customWidth="1"/>
    <col min="14598" max="14598" width="83.6328125" style="977" customWidth="1"/>
    <col min="14599" max="14599" width="27.08984375" style="977" customWidth="1"/>
    <col min="14600" max="14601" width="3.26953125" style="977" customWidth="1"/>
    <col min="14602" max="14602" width="4.90625" style="977" customWidth="1"/>
    <col min="14603" max="14603" width="2.453125" style="977" customWidth="1"/>
    <col min="14604" max="14851" width="9" style="977"/>
    <col min="14852" max="14852" width="3.26953125" style="977" customWidth="1"/>
    <col min="14853" max="14853" width="7.08984375" style="977" customWidth="1"/>
    <col min="14854" max="14854" width="83.6328125" style="977" customWidth="1"/>
    <col min="14855" max="14855" width="27.08984375" style="977" customWidth="1"/>
    <col min="14856" max="14857" width="3.26953125" style="977" customWidth="1"/>
    <col min="14858" max="14858" width="4.90625" style="977" customWidth="1"/>
    <col min="14859" max="14859" width="2.453125" style="977" customWidth="1"/>
    <col min="14860" max="15107" width="9" style="977"/>
    <col min="15108" max="15108" width="3.26953125" style="977" customWidth="1"/>
    <col min="15109" max="15109" width="7.08984375" style="977" customWidth="1"/>
    <col min="15110" max="15110" width="83.6328125" style="977" customWidth="1"/>
    <col min="15111" max="15111" width="27.08984375" style="977" customWidth="1"/>
    <col min="15112" max="15113" width="3.26953125" style="977" customWidth="1"/>
    <col min="15114" max="15114" width="4.90625" style="977" customWidth="1"/>
    <col min="15115" max="15115" width="2.453125" style="977" customWidth="1"/>
    <col min="15116" max="15363" width="9" style="977"/>
    <col min="15364" max="15364" width="3.26953125" style="977" customWidth="1"/>
    <col min="15365" max="15365" width="7.08984375" style="977" customWidth="1"/>
    <col min="15366" max="15366" width="83.6328125" style="977" customWidth="1"/>
    <col min="15367" max="15367" width="27.08984375" style="977" customWidth="1"/>
    <col min="15368" max="15369" width="3.26953125" style="977" customWidth="1"/>
    <col min="15370" max="15370" width="4.90625" style="977" customWidth="1"/>
    <col min="15371" max="15371" width="2.453125" style="977" customWidth="1"/>
    <col min="15372" max="15619" width="9" style="977"/>
    <col min="15620" max="15620" width="3.26953125" style="977" customWidth="1"/>
    <col min="15621" max="15621" width="7.08984375" style="977" customWidth="1"/>
    <col min="15622" max="15622" width="83.6328125" style="977" customWidth="1"/>
    <col min="15623" max="15623" width="27.08984375" style="977" customWidth="1"/>
    <col min="15624" max="15625" width="3.26953125" style="977" customWidth="1"/>
    <col min="15626" max="15626" width="4.90625" style="977" customWidth="1"/>
    <col min="15627" max="15627" width="2.453125" style="977" customWidth="1"/>
    <col min="15628" max="15875" width="9" style="977"/>
    <col min="15876" max="15876" width="3.26953125" style="977" customWidth="1"/>
    <col min="15877" max="15877" width="7.08984375" style="977" customWidth="1"/>
    <col min="15878" max="15878" width="83.6328125" style="977" customWidth="1"/>
    <col min="15879" max="15879" width="27.08984375" style="977" customWidth="1"/>
    <col min="15880" max="15881" width="3.26953125" style="977" customWidth="1"/>
    <col min="15882" max="15882" width="4.90625" style="977" customWidth="1"/>
    <col min="15883" max="15883" width="2.453125" style="977" customWidth="1"/>
    <col min="15884" max="16131" width="9" style="977"/>
    <col min="16132" max="16132" width="3.26953125" style="977" customWidth="1"/>
    <col min="16133" max="16133" width="7.08984375" style="977" customWidth="1"/>
    <col min="16134" max="16134" width="83.6328125" style="977" customWidth="1"/>
    <col min="16135" max="16135" width="27.08984375" style="977" customWidth="1"/>
    <col min="16136" max="16137" width="3.26953125" style="977" customWidth="1"/>
    <col min="16138" max="16138" width="4.90625" style="977" customWidth="1"/>
    <col min="16139" max="16139" width="2.453125" style="977" customWidth="1"/>
    <col min="16140" max="16384" width="9" style="977"/>
  </cols>
  <sheetData>
    <row r="1" spans="1:15" ht="23.5">
      <c r="A1" s="976" t="s">
        <v>2983</v>
      </c>
      <c r="F1" s="1744" t="str">
        <f>HYPERLINK("#'使用方法'!F29:F37","シート一覧へ")</f>
        <v>シート一覧へ</v>
      </c>
      <c r="G1" s="1744"/>
      <c r="H1" s="1744"/>
    </row>
    <row r="2" spans="1:15" ht="66.75" customHeight="1" thickBot="1">
      <c r="A2" s="1755" t="s">
        <v>3007</v>
      </c>
      <c r="B2" s="1755"/>
      <c r="C2" s="1755"/>
      <c r="D2" s="1755"/>
      <c r="E2" s="1755"/>
      <c r="F2" s="1755"/>
      <c r="G2" s="1755"/>
      <c r="H2" s="1755"/>
    </row>
    <row r="3" spans="1:15">
      <c r="A3" s="978"/>
      <c r="B3" s="979"/>
      <c r="C3" s="979"/>
      <c r="D3" s="979"/>
      <c r="E3" s="979"/>
      <c r="F3" s="979"/>
      <c r="G3" s="979"/>
      <c r="H3" s="980" t="str">
        <f>N3&amp;O3</f>
        <v>Kyoto City(R4.11) ver112</v>
      </c>
      <c r="N3" s="977" t="s">
        <v>5693</v>
      </c>
      <c r="O3" s="977" t="s">
        <v>5692</v>
      </c>
    </row>
    <row r="4" spans="1:15" ht="42" customHeight="1">
      <c r="A4" s="981"/>
      <c r="C4" s="982" t="s">
        <v>2944</v>
      </c>
      <c r="D4" s="1756" t="s">
        <v>2945</v>
      </c>
      <c r="E4" s="1756"/>
      <c r="F4" s="1756"/>
      <c r="G4" s="1756"/>
      <c r="H4" s="1757"/>
    </row>
    <row r="5" spans="1:15" ht="21.75" customHeight="1">
      <c r="A5" s="983"/>
      <c r="B5" s="984"/>
      <c r="C5" s="985"/>
      <c r="D5" s="985"/>
      <c r="E5" s="985"/>
      <c r="F5" s="986" t="str">
        <f>'1_入力シート【基本情報】'!AB7&amp;'1_入力シート【基本情報】'!AK7</f>
        <v/>
      </c>
      <c r="G5" s="987"/>
      <c r="H5" s="988" t="str">
        <f>IF('1_入力シート【基本情報】'!$AT$7="","",TEXT('1_入力シート【基本情報】'!$AT$7,"0000"))</f>
        <v/>
      </c>
      <c r="I5" s="989"/>
    </row>
    <row r="6" spans="1:15" ht="19.5" customHeight="1">
      <c r="A6" s="983"/>
      <c r="B6" s="990" t="s">
        <v>2946</v>
      </c>
      <c r="C6" s="985"/>
      <c r="D6" s="985"/>
      <c r="E6" s="985"/>
      <c r="F6" s="985"/>
      <c r="G6" s="985"/>
      <c r="H6" s="991"/>
      <c r="I6" s="981"/>
      <c r="J6" s="1752" t="s">
        <v>3063</v>
      </c>
      <c r="K6" s="1753"/>
      <c r="L6" s="1753"/>
      <c r="M6" s="1753"/>
      <c r="N6" s="1753"/>
      <c r="O6" s="1754"/>
    </row>
    <row r="7" spans="1:15" ht="19">
      <c r="A7" s="983"/>
      <c r="B7" s="990" t="s">
        <v>2985</v>
      </c>
      <c r="C7" s="985"/>
      <c r="D7" s="985"/>
      <c r="E7" s="985"/>
      <c r="F7" s="985"/>
      <c r="G7" s="985"/>
      <c r="H7" s="991"/>
      <c r="K7" s="992" t="s">
        <v>3064</v>
      </c>
      <c r="L7" s="1745" t="s">
        <v>3065</v>
      </c>
      <c r="M7" s="1746"/>
      <c r="N7" s="1746"/>
      <c r="O7" s="1747"/>
    </row>
    <row r="8" spans="1:15" ht="7.5" customHeight="1">
      <c r="A8" s="983"/>
      <c r="B8" s="990"/>
      <c r="C8" s="985"/>
      <c r="D8" s="985"/>
      <c r="E8" s="985"/>
      <c r="F8" s="985"/>
      <c r="G8" s="985"/>
      <c r="H8" s="991"/>
      <c r="K8" s="989"/>
      <c r="L8" s="993"/>
      <c r="M8" s="993"/>
      <c r="N8" s="993"/>
      <c r="O8" s="993"/>
    </row>
    <row r="9" spans="1:15" ht="28.5">
      <c r="A9" s="983"/>
      <c r="B9" s="984"/>
      <c r="C9" s="994" t="str">
        <f>IF(O58="NG","↓未入力項目が残っています。↓","")</f>
        <v>↓未入力項目が残っています。↓</v>
      </c>
      <c r="D9" s="985"/>
      <c r="E9" s="985"/>
      <c r="F9" s="985"/>
      <c r="G9" s="985"/>
      <c r="H9" s="991"/>
      <c r="K9" s="989"/>
      <c r="L9" s="993"/>
      <c r="M9" s="993"/>
      <c r="N9" s="993"/>
      <c r="O9" s="993"/>
    </row>
    <row r="10" spans="1:15" ht="7.5" customHeight="1">
      <c r="A10" s="983"/>
      <c r="B10" s="990"/>
      <c r="C10" s="985"/>
      <c r="D10" s="985"/>
      <c r="E10" s="985"/>
      <c r="F10" s="985"/>
      <c r="G10" s="985"/>
      <c r="H10" s="991"/>
      <c r="K10" s="989"/>
      <c r="L10" s="993"/>
      <c r="M10" s="993"/>
      <c r="N10" s="993"/>
      <c r="O10" s="993"/>
    </row>
    <row r="11" spans="1:15" ht="6" customHeight="1" thickBot="1">
      <c r="A11" s="995"/>
      <c r="B11" s="996"/>
      <c r="C11" s="996"/>
      <c r="D11" s="996"/>
      <c r="E11" s="996"/>
      <c r="F11" s="996"/>
      <c r="G11" s="996"/>
      <c r="H11" s="997"/>
    </row>
    <row r="12" spans="1:15" ht="25" customHeight="1">
      <c r="A12" s="1758" t="s">
        <v>2947</v>
      </c>
      <c r="B12" s="1759"/>
      <c r="C12" s="1759"/>
      <c r="D12" s="1759"/>
      <c r="E12" s="1759"/>
      <c r="F12" s="1759"/>
      <c r="G12" s="1759"/>
      <c r="H12" s="1760"/>
      <c r="K12" s="977" t="s">
        <v>3061</v>
      </c>
      <c r="L12" s="977" t="s">
        <v>3062</v>
      </c>
      <c r="M12" s="977" t="s">
        <v>2948</v>
      </c>
      <c r="N12" s="977" t="s">
        <v>2949</v>
      </c>
      <c r="O12" s="977" t="s">
        <v>2950</v>
      </c>
    </row>
    <row r="13" spans="1:15" ht="27" customHeight="1">
      <c r="A13" s="998"/>
      <c r="B13" s="999" t="s">
        <v>2951</v>
      </c>
      <c r="C13" s="999"/>
      <c r="D13" s="1000"/>
      <c r="E13" s="1000"/>
      <c r="F13" s="1000"/>
      <c r="G13" s="1000"/>
      <c r="H13" s="1001"/>
      <c r="I13" s="1681"/>
      <c r="K13" s="1002"/>
      <c r="L13" s="1002"/>
      <c r="M13" s="1002"/>
      <c r="N13" s="1002"/>
      <c r="O13" s="1002"/>
    </row>
    <row r="14" spans="1:15" ht="24.75" customHeight="1">
      <c r="A14" s="998"/>
      <c r="B14" s="1003" t="s">
        <v>2952</v>
      </c>
      <c r="C14" s="1004"/>
      <c r="D14" s="1004"/>
      <c r="E14" s="1004"/>
      <c r="F14" s="1004"/>
      <c r="G14" s="1004"/>
      <c r="H14" s="1005"/>
      <c r="I14" s="1681"/>
      <c r="M14" s="1002"/>
      <c r="N14" s="1002"/>
      <c r="O14" s="1002"/>
    </row>
    <row r="15" spans="1:15" ht="22.5" customHeight="1">
      <c r="A15" s="1006"/>
      <c r="B15" s="1007" t="s">
        <v>2953</v>
      </c>
      <c r="C15" s="1007"/>
      <c r="D15" s="1008"/>
      <c r="E15" s="1008"/>
      <c r="F15" s="1008"/>
      <c r="G15" s="1008"/>
      <c r="H15" s="1009"/>
      <c r="I15" s="1681"/>
      <c r="M15" s="1002"/>
      <c r="N15" s="1002"/>
      <c r="O15" s="1002"/>
    </row>
    <row r="16" spans="1:15" ht="7.5" customHeight="1">
      <c r="A16" s="1010"/>
      <c r="B16" s="1011"/>
      <c r="C16" s="1011"/>
      <c r="D16" s="1011"/>
      <c r="E16" s="1011"/>
      <c r="F16" s="1011"/>
      <c r="G16" s="1011"/>
      <c r="H16" s="1012"/>
      <c r="I16" s="1679"/>
      <c r="K16" s="1002"/>
      <c r="L16" s="1002"/>
      <c r="M16" s="1002"/>
      <c r="N16" s="1002"/>
      <c r="O16" s="1002"/>
    </row>
    <row r="17" spans="1:15" ht="24.75" customHeight="1">
      <c r="A17" s="1010"/>
      <c r="B17" s="1014"/>
      <c r="C17" s="1015" t="s">
        <v>2954</v>
      </c>
      <c r="D17" s="1016"/>
      <c r="E17" s="1016"/>
      <c r="F17" s="1016"/>
      <c r="G17" s="1016"/>
      <c r="H17" s="1012"/>
      <c r="I17" s="1681"/>
      <c r="K17" s="1017" t="b">
        <v>0</v>
      </c>
      <c r="L17" s="1018"/>
      <c r="M17" s="1019" t="b">
        <v>1</v>
      </c>
      <c r="N17" s="1019" t="b">
        <f>K17=TRUE</f>
        <v>0</v>
      </c>
      <c r="O17" s="1019" t="str">
        <f>IF(M17=FALSE,"OK",IF(N17=TRUE,"OK","NG"))</f>
        <v>NG</v>
      </c>
    </row>
    <row r="18" spans="1:15" ht="24.75" customHeight="1">
      <c r="A18" s="1010"/>
      <c r="B18" s="1014"/>
      <c r="C18" s="1015" t="s">
        <v>2955</v>
      </c>
      <c r="D18" s="1016"/>
      <c r="E18" s="1016"/>
      <c r="F18" s="1016"/>
      <c r="G18" s="1016"/>
      <c r="H18" s="1012"/>
      <c r="I18" s="1681"/>
      <c r="K18" s="1017" t="b">
        <v>0</v>
      </c>
      <c r="L18" s="1018"/>
      <c r="M18" s="1019" t="b">
        <v>1</v>
      </c>
      <c r="N18" s="1019" t="b">
        <f t="shared" ref="N18" si="0">K18=TRUE</f>
        <v>0</v>
      </c>
      <c r="O18" s="1019" t="str">
        <f t="shared" ref="O18:O55" si="1">IF(M18=FALSE,"OK",IF(N18=TRUE,"OK","NG"))</f>
        <v>NG</v>
      </c>
    </row>
    <row r="19" spans="1:15" ht="19">
      <c r="A19" s="1020"/>
      <c r="B19" s="1014"/>
      <c r="C19" s="1761" t="s">
        <v>3316</v>
      </c>
      <c r="D19" s="1762"/>
      <c r="E19" s="1021"/>
      <c r="F19" s="1022" t="s">
        <v>2956</v>
      </c>
      <c r="G19" s="1023"/>
      <c r="H19" s="1024" t="s">
        <v>3315</v>
      </c>
      <c r="I19" s="1679"/>
      <c r="K19" s="1025"/>
      <c r="L19" s="1019"/>
      <c r="M19" s="1019"/>
      <c r="N19" s="1019"/>
      <c r="O19" s="1019"/>
    </row>
    <row r="20" spans="1:15" ht="19">
      <c r="A20" s="1020"/>
      <c r="B20" s="1014"/>
      <c r="C20" s="1026" t="s">
        <v>2957</v>
      </c>
      <c r="D20" s="1026"/>
      <c r="E20" s="1026"/>
      <c r="F20" s="1026"/>
      <c r="G20" s="1026"/>
      <c r="H20" s="1027"/>
      <c r="I20" s="1679"/>
      <c r="K20" s="1025"/>
      <c r="L20" s="1019"/>
      <c r="M20" s="1019"/>
      <c r="N20" s="1019"/>
      <c r="O20" s="1019"/>
    </row>
    <row r="21" spans="1:15" ht="27" customHeight="1">
      <c r="A21" s="1020"/>
      <c r="B21" s="1014"/>
      <c r="C21" s="1016" t="s">
        <v>2958</v>
      </c>
      <c r="D21" s="1016"/>
      <c r="E21" s="1016"/>
      <c r="F21" s="1016"/>
      <c r="G21" s="1016"/>
      <c r="H21" s="1028"/>
      <c r="I21" s="1679"/>
      <c r="K21" s="1025"/>
      <c r="L21" s="1019"/>
      <c r="M21" s="1019"/>
      <c r="N21" s="1019"/>
      <c r="O21" s="1019"/>
    </row>
    <row r="22" spans="1:15" ht="24.75" customHeight="1">
      <c r="A22" s="1010"/>
      <c r="B22" s="1014"/>
      <c r="C22" s="1015" t="s">
        <v>2959</v>
      </c>
      <c r="D22" s="1016"/>
      <c r="E22" s="1016"/>
      <c r="F22" s="1016"/>
      <c r="G22" s="1016"/>
      <c r="H22" s="1012"/>
      <c r="I22" s="1681"/>
      <c r="K22" s="1017" t="b">
        <v>0</v>
      </c>
      <c r="L22" s="1018"/>
      <c r="M22" s="1019" t="b">
        <v>1</v>
      </c>
      <c r="N22" s="1019" t="b">
        <f t="shared" ref="N22:N33" si="2">K22=TRUE</f>
        <v>0</v>
      </c>
      <c r="O22" s="1019" t="str">
        <f t="shared" si="1"/>
        <v>NG</v>
      </c>
    </row>
    <row r="23" spans="1:15" ht="24.75" customHeight="1">
      <c r="A23" s="1010"/>
      <c r="B23" s="1014"/>
      <c r="C23" s="1015" t="s">
        <v>2960</v>
      </c>
      <c r="D23" s="1016"/>
      <c r="E23" s="1016"/>
      <c r="F23" s="1016"/>
      <c r="G23" s="1016"/>
      <c r="H23" s="1012"/>
      <c r="I23" s="1681"/>
      <c r="K23" s="1017" t="b">
        <v>0</v>
      </c>
      <c r="L23" s="1018"/>
      <c r="M23" s="1019" t="b">
        <v>1</v>
      </c>
      <c r="N23" s="1019" t="b">
        <f t="shared" si="2"/>
        <v>0</v>
      </c>
      <c r="O23" s="1019" t="str">
        <f t="shared" si="1"/>
        <v>NG</v>
      </c>
    </row>
    <row r="24" spans="1:15" ht="24.75" customHeight="1">
      <c r="A24" s="1010"/>
      <c r="B24" s="1014"/>
      <c r="C24" s="1015" t="s">
        <v>2961</v>
      </c>
      <c r="D24" s="1016"/>
      <c r="E24" s="1016"/>
      <c r="F24" s="1016"/>
      <c r="G24" s="1016"/>
      <c r="H24" s="1012"/>
      <c r="I24" s="1681"/>
      <c r="K24" s="1017" t="b">
        <v>0</v>
      </c>
      <c r="L24" s="1018"/>
      <c r="M24" s="1019" t="b">
        <v>1</v>
      </c>
      <c r="N24" s="1019" t="b">
        <f t="shared" si="2"/>
        <v>0</v>
      </c>
      <c r="O24" s="1019" t="str">
        <f t="shared" si="1"/>
        <v>NG</v>
      </c>
    </row>
    <row r="25" spans="1:15" ht="24.75" customHeight="1">
      <c r="A25" s="1010"/>
      <c r="B25" s="1014"/>
      <c r="C25" s="1015" t="s">
        <v>2962</v>
      </c>
      <c r="D25" s="1016"/>
      <c r="E25" s="1016"/>
      <c r="F25" s="1016"/>
      <c r="G25" s="1016"/>
      <c r="H25" s="1012"/>
      <c r="I25" s="1681"/>
      <c r="K25" s="1017" t="b">
        <v>0</v>
      </c>
      <c r="L25" s="1018"/>
      <c r="M25" s="1019" t="b">
        <v>1</v>
      </c>
      <c r="N25" s="1019" t="b">
        <f t="shared" si="2"/>
        <v>0</v>
      </c>
      <c r="O25" s="1019" t="str">
        <f t="shared" si="1"/>
        <v>NG</v>
      </c>
    </row>
    <row r="26" spans="1:15" ht="24.75" customHeight="1">
      <c r="A26" s="1010"/>
      <c r="B26" s="1014"/>
      <c r="C26" s="1015" t="s">
        <v>2963</v>
      </c>
      <c r="D26" s="1016"/>
      <c r="E26" s="1016"/>
      <c r="F26" s="1016"/>
      <c r="G26" s="1016"/>
      <c r="H26" s="1012"/>
      <c r="I26" s="1681"/>
      <c r="K26" s="1017" t="b">
        <v>0</v>
      </c>
      <c r="L26" s="1018"/>
      <c r="M26" s="1019" t="b">
        <v>1</v>
      </c>
      <c r="N26" s="1019" t="b">
        <f t="shared" si="2"/>
        <v>0</v>
      </c>
      <c r="O26" s="1019" t="str">
        <f t="shared" si="1"/>
        <v>NG</v>
      </c>
    </row>
    <row r="27" spans="1:15" ht="27" customHeight="1">
      <c r="A27" s="1020"/>
      <c r="B27" s="1014"/>
      <c r="C27" s="1016" t="s">
        <v>2964</v>
      </c>
      <c r="D27" s="1016"/>
      <c r="E27" s="1016"/>
      <c r="F27" s="1016"/>
      <c r="G27" s="1016"/>
      <c r="H27" s="1028"/>
      <c r="I27" s="1679"/>
      <c r="K27" s="1025"/>
      <c r="L27" s="1019"/>
      <c r="M27" s="1019"/>
      <c r="N27" s="1019"/>
      <c r="O27" s="1019"/>
    </row>
    <row r="28" spans="1:15" ht="24.75" customHeight="1">
      <c r="A28" s="1010"/>
      <c r="B28" s="1014"/>
      <c r="C28" s="1015" t="s">
        <v>2965</v>
      </c>
      <c r="D28" s="1016"/>
      <c r="E28" s="1016"/>
      <c r="F28" s="1016"/>
      <c r="G28" s="1016"/>
      <c r="H28" s="1012"/>
      <c r="I28" s="1681"/>
      <c r="K28" s="1017" t="b">
        <v>0</v>
      </c>
      <c r="L28" s="1018"/>
      <c r="M28" s="1019" t="b">
        <v>1</v>
      </c>
      <c r="N28" s="1019" t="b">
        <f t="shared" si="2"/>
        <v>0</v>
      </c>
      <c r="O28" s="1019" t="str">
        <f t="shared" si="1"/>
        <v>NG</v>
      </c>
    </row>
    <row r="29" spans="1:15" ht="13.5" customHeight="1">
      <c r="A29" s="1020"/>
      <c r="B29" s="1014"/>
      <c r="C29" s="1016"/>
      <c r="D29" s="1016"/>
      <c r="E29" s="1016"/>
      <c r="F29" s="1016"/>
      <c r="G29" s="1016"/>
      <c r="H29" s="1028"/>
      <c r="I29" s="1679"/>
      <c r="K29" s="1025"/>
      <c r="L29" s="1019"/>
      <c r="M29" s="1019"/>
      <c r="N29" s="1019"/>
      <c r="O29" s="1019"/>
    </row>
    <row r="30" spans="1:15" ht="22.5" customHeight="1">
      <c r="A30" s="1006"/>
      <c r="B30" s="1007" t="s">
        <v>2966</v>
      </c>
      <c r="C30" s="1007"/>
      <c r="D30" s="1008"/>
      <c r="E30" s="1008"/>
      <c r="F30" s="1008"/>
      <c r="G30" s="1008"/>
      <c r="H30" s="1009"/>
      <c r="I30" s="1681"/>
      <c r="K30" s="1017"/>
      <c r="L30" s="1018"/>
      <c r="M30" s="1019"/>
      <c r="N30" s="1019"/>
      <c r="O30" s="1019"/>
    </row>
    <row r="31" spans="1:15" ht="8.15" customHeight="1">
      <c r="A31" s="1010"/>
      <c r="B31" s="1011"/>
      <c r="C31" s="1011"/>
      <c r="D31" s="1011"/>
      <c r="E31" s="1011"/>
      <c r="F31" s="1011"/>
      <c r="G31" s="1011"/>
      <c r="H31" s="1012"/>
      <c r="I31" s="1679"/>
      <c r="K31" s="1025"/>
      <c r="L31" s="1019"/>
      <c r="M31" s="1019"/>
      <c r="N31" s="1019"/>
      <c r="O31" s="1019"/>
    </row>
    <row r="32" spans="1:15" ht="24.75" customHeight="1">
      <c r="A32" s="1010"/>
      <c r="B32" s="1014"/>
      <c r="C32" s="1015" t="s">
        <v>2967</v>
      </c>
      <c r="D32" s="1016"/>
      <c r="E32" s="1016"/>
      <c r="F32" s="1016"/>
      <c r="G32" s="1016"/>
      <c r="H32" s="1012"/>
      <c r="I32" s="1681"/>
      <c r="K32" s="1017" t="b">
        <v>0</v>
      </c>
      <c r="L32" s="1018"/>
      <c r="M32" s="1019" t="b">
        <v>1</v>
      </c>
      <c r="N32" s="1019" t="b">
        <f t="shared" si="2"/>
        <v>0</v>
      </c>
      <c r="O32" s="1019" t="str">
        <f t="shared" si="1"/>
        <v>NG</v>
      </c>
    </row>
    <row r="33" spans="1:15" ht="66" customHeight="1">
      <c r="A33" s="1010"/>
      <c r="B33" s="1014"/>
      <c r="C33" s="1750" t="s">
        <v>2968</v>
      </c>
      <c r="D33" s="1750"/>
      <c r="E33" s="1750"/>
      <c r="F33" s="1750"/>
      <c r="G33" s="1750"/>
      <c r="H33" s="1751"/>
      <c r="I33" s="1681"/>
      <c r="K33" s="1017" t="b">
        <v>0</v>
      </c>
      <c r="L33" s="1018"/>
      <c r="M33" s="1019" t="b">
        <v>1</v>
      </c>
      <c r="N33" s="1019" t="b">
        <f t="shared" si="2"/>
        <v>0</v>
      </c>
      <c r="O33" s="1019" t="str">
        <f t="shared" si="1"/>
        <v>NG</v>
      </c>
    </row>
    <row r="34" spans="1:15" ht="10" customHeight="1">
      <c r="A34" s="1010"/>
      <c r="B34" s="1011"/>
      <c r="C34" s="1011"/>
      <c r="D34" s="1011"/>
      <c r="E34" s="1011"/>
      <c r="F34" s="1011"/>
      <c r="G34" s="1011"/>
      <c r="H34" s="1012"/>
      <c r="I34" s="1680"/>
      <c r="K34" s="1025"/>
      <c r="L34" s="1019"/>
      <c r="M34" s="1019"/>
      <c r="N34" s="1019"/>
      <c r="O34" s="1019"/>
    </row>
    <row r="35" spans="1:15" ht="27" customHeight="1">
      <c r="A35" s="998"/>
      <c r="B35" s="999" t="s">
        <v>2969</v>
      </c>
      <c r="C35" s="999"/>
      <c r="D35" s="1000"/>
      <c r="E35" s="1000"/>
      <c r="F35" s="1000"/>
      <c r="G35" s="1000"/>
      <c r="H35" s="1001"/>
      <c r="I35" s="1681"/>
      <c r="K35" s="1017"/>
      <c r="L35" s="1018"/>
      <c r="M35" s="1019"/>
      <c r="N35" s="1019"/>
      <c r="O35" s="1019"/>
    </row>
    <row r="36" spans="1:15" ht="66.75" customHeight="1">
      <c r="A36" s="998"/>
      <c r="B36" s="1748" t="s">
        <v>2970</v>
      </c>
      <c r="C36" s="1748"/>
      <c r="D36" s="1748"/>
      <c r="E36" s="1748"/>
      <c r="F36" s="1748"/>
      <c r="G36" s="1748"/>
      <c r="H36" s="1749"/>
      <c r="I36" s="1681"/>
      <c r="K36" s="1017"/>
      <c r="L36" s="1018"/>
      <c r="M36" s="1019"/>
      <c r="N36" s="1019"/>
      <c r="O36" s="1019"/>
    </row>
    <row r="37" spans="1:15" ht="22.5" customHeight="1">
      <c r="A37" s="1006"/>
      <c r="B37" s="1007" t="s">
        <v>2971</v>
      </c>
      <c r="C37" s="1007"/>
      <c r="D37" s="1008"/>
      <c r="E37" s="1008"/>
      <c r="F37" s="1008"/>
      <c r="G37" s="1008"/>
      <c r="H37" s="1009"/>
      <c r="I37" s="1681"/>
      <c r="K37" s="1017"/>
      <c r="L37" s="1018"/>
      <c r="M37" s="1019"/>
      <c r="N37" s="1019"/>
      <c r="O37" s="1019"/>
    </row>
    <row r="38" spans="1:15" ht="8.15" customHeight="1">
      <c r="A38" s="1010"/>
      <c r="B38" s="1011"/>
      <c r="C38" s="1016"/>
      <c r="D38" s="1016"/>
      <c r="E38" s="1016"/>
      <c r="F38" s="1016"/>
      <c r="G38" s="1016"/>
      <c r="H38" s="1012"/>
      <c r="I38" s="1681"/>
      <c r="K38" s="1017"/>
      <c r="L38" s="1018"/>
      <c r="M38" s="1019"/>
      <c r="N38" s="1019"/>
      <c r="O38" s="1019"/>
    </row>
    <row r="39" spans="1:15" ht="24.75" customHeight="1">
      <c r="A39" s="1010"/>
      <c r="B39" s="1014"/>
      <c r="C39" s="1015" t="s">
        <v>2972</v>
      </c>
      <c r="D39" s="1016"/>
      <c r="E39" s="1016"/>
      <c r="F39" s="1016"/>
      <c r="G39" s="1016"/>
      <c r="H39" s="1012"/>
      <c r="I39" s="1681"/>
      <c r="K39" s="1017" t="b">
        <v>0</v>
      </c>
      <c r="L39" s="1018"/>
      <c r="M39" s="1019" t="b">
        <v>1</v>
      </c>
      <c r="N39" s="1019" t="b">
        <f t="shared" ref="N39" si="3">K39=TRUE</f>
        <v>0</v>
      </c>
      <c r="O39" s="1019" t="str">
        <f t="shared" si="1"/>
        <v>NG</v>
      </c>
    </row>
    <row r="40" spans="1:15" ht="10" customHeight="1">
      <c r="A40" s="1010"/>
      <c r="B40" s="1011"/>
      <c r="C40" s="1011"/>
      <c r="D40" s="1011"/>
      <c r="E40" s="1011"/>
      <c r="F40" s="1011"/>
      <c r="G40" s="1011"/>
      <c r="H40" s="1012"/>
      <c r="I40" s="1680"/>
      <c r="K40" s="1025"/>
      <c r="L40" s="1019"/>
      <c r="M40" s="1019"/>
      <c r="N40" s="1019"/>
      <c r="O40" s="1019"/>
    </row>
    <row r="41" spans="1:15" ht="22.5" customHeight="1">
      <c r="A41" s="1006"/>
      <c r="B41" s="1007" t="s">
        <v>2973</v>
      </c>
      <c r="C41" s="1007"/>
      <c r="D41" s="1008"/>
      <c r="E41" s="1008"/>
      <c r="F41" s="1008"/>
      <c r="G41" s="1008"/>
      <c r="H41" s="1009"/>
      <c r="I41" s="1681"/>
      <c r="K41" s="1017"/>
      <c r="L41" s="1018"/>
      <c r="M41" s="1019"/>
      <c r="N41" s="1019"/>
      <c r="O41" s="1019"/>
    </row>
    <row r="42" spans="1:15" ht="8.15" customHeight="1" thickBot="1">
      <c r="A42" s="1010"/>
      <c r="B42" s="1011"/>
      <c r="C42" s="1016"/>
      <c r="D42" s="1016"/>
      <c r="E42" s="1016"/>
      <c r="F42" s="1016"/>
      <c r="G42" s="1016"/>
      <c r="H42" s="1012"/>
      <c r="I42" s="1681"/>
      <c r="K42" s="1017"/>
      <c r="L42" s="1018"/>
      <c r="M42" s="1019"/>
      <c r="N42" s="1019"/>
      <c r="O42" s="1019"/>
    </row>
    <row r="43" spans="1:15" ht="24.75" customHeight="1" thickBot="1">
      <c r="A43" s="1010"/>
      <c r="B43" s="1678" t="s">
        <v>5621</v>
      </c>
      <c r="C43" s="1015" t="s">
        <v>2974</v>
      </c>
      <c r="D43" s="1016"/>
      <c r="E43" s="1016"/>
      <c r="F43" s="1016"/>
      <c r="G43" s="1016"/>
      <c r="H43" s="1012"/>
      <c r="I43" s="1683" t="str">
        <f>IF(N43,"","←「選択してください」をクリックし、プルダウン「▼」から選択してください")</f>
        <v>←「選択してください」をクリックし、プルダウン「▼」から選択してください</v>
      </c>
      <c r="K43" s="1025"/>
      <c r="L43" s="1019" t="str">
        <f>B43</f>
        <v>選択してください</v>
      </c>
      <c r="M43" s="1019" t="b">
        <v>1</v>
      </c>
      <c r="N43" s="1018" t="b">
        <f>AND(L43&lt;&gt;0,L43&lt;&gt;"選択してください")</f>
        <v>0</v>
      </c>
      <c r="O43" s="1019" t="str">
        <f t="shared" si="1"/>
        <v>NG</v>
      </c>
    </row>
    <row r="44" spans="1:15" ht="46.5" customHeight="1">
      <c r="A44" s="1010"/>
      <c r="B44" s="1014"/>
      <c r="C44" s="1750" t="s">
        <v>2975</v>
      </c>
      <c r="D44" s="1750"/>
      <c r="E44" s="1750"/>
      <c r="F44" s="1750"/>
      <c r="G44" s="1750"/>
      <c r="H44" s="1751"/>
      <c r="I44" s="1681"/>
      <c r="K44" s="1017" t="b">
        <v>0</v>
      </c>
      <c r="L44" s="1018"/>
      <c r="M44" s="1019" t="b">
        <f>B43&lt;&gt;"無"</f>
        <v>1</v>
      </c>
      <c r="N44" s="1019" t="b">
        <f t="shared" ref="N44" si="4">K44=TRUE</f>
        <v>0</v>
      </c>
      <c r="O44" s="1019" t="str">
        <f t="shared" si="1"/>
        <v>NG</v>
      </c>
    </row>
    <row r="45" spans="1:15" ht="24.75" customHeight="1">
      <c r="A45" s="1010"/>
      <c r="B45" s="1011"/>
      <c r="C45" s="1016" t="s">
        <v>2976</v>
      </c>
      <c r="D45" s="1016"/>
      <c r="E45" s="1016"/>
      <c r="F45" s="1016"/>
      <c r="G45" s="1016"/>
      <c r="H45" s="1012"/>
      <c r="I45" s="1682"/>
      <c r="K45" s="1017"/>
      <c r="L45" s="1018"/>
      <c r="M45" s="1019"/>
      <c r="N45" s="1019"/>
      <c r="O45" s="1019"/>
    </row>
    <row r="46" spans="1:15" ht="10" customHeight="1">
      <c r="A46" s="1010"/>
      <c r="B46" s="1011"/>
      <c r="C46" s="1011"/>
      <c r="D46" s="1011"/>
      <c r="E46" s="1011"/>
      <c r="F46" s="1011"/>
      <c r="G46" s="1011"/>
      <c r="H46" s="1012"/>
      <c r="I46" s="1680"/>
      <c r="K46" s="1025"/>
      <c r="L46" s="1019"/>
      <c r="M46" s="1019"/>
      <c r="N46" s="1019"/>
      <c r="O46" s="1019"/>
    </row>
    <row r="47" spans="1:15" ht="22.5" customHeight="1">
      <c r="A47" s="1020"/>
      <c r="B47" s="1014"/>
      <c r="C47" s="1007" t="s">
        <v>2977</v>
      </c>
      <c r="D47" s="1008"/>
      <c r="E47" s="1008"/>
      <c r="F47" s="1008"/>
      <c r="G47" s="1008"/>
      <c r="H47" s="1009"/>
      <c r="I47" s="1681"/>
      <c r="K47" s="1017"/>
      <c r="L47" s="1018"/>
      <c r="M47" s="1019"/>
      <c r="N47" s="1019"/>
      <c r="O47" s="1019"/>
    </row>
    <row r="48" spans="1:15" ht="8.15" customHeight="1" thickBot="1">
      <c r="A48" s="1010"/>
      <c r="B48" s="1011"/>
      <c r="C48" s="1016"/>
      <c r="D48" s="1016"/>
      <c r="E48" s="1016"/>
      <c r="F48" s="1016"/>
      <c r="G48" s="1016"/>
      <c r="H48" s="1012"/>
      <c r="I48" s="1681"/>
      <c r="K48" s="1017"/>
      <c r="L48" s="1018"/>
      <c r="M48" s="1019"/>
      <c r="N48" s="1019"/>
      <c r="O48" s="1019"/>
    </row>
    <row r="49" spans="1:15" ht="24.75" customHeight="1" thickBot="1">
      <c r="A49" s="1010"/>
      <c r="B49" s="1678" t="s">
        <v>5621</v>
      </c>
      <c r="C49" s="1015" t="s">
        <v>2978</v>
      </c>
      <c r="D49" s="1016"/>
      <c r="E49" s="1016"/>
      <c r="F49" s="1016"/>
      <c r="G49" s="1016"/>
      <c r="H49" s="1012"/>
      <c r="I49" s="1683" t="str">
        <f>IF(N49,"","←「選択してください」をクリックし、プルダウン「▼」から選択してください")</f>
        <v>←「選択してください」をクリックし、プルダウン「▼」から選択してください</v>
      </c>
      <c r="K49" s="1025"/>
      <c r="L49" s="1019" t="str">
        <f>B49</f>
        <v>選択してください</v>
      </c>
      <c r="M49" s="1019" t="b">
        <v>1</v>
      </c>
      <c r="N49" s="1018" t="b">
        <f>AND(L49&lt;&gt;0,L49&lt;&gt;"選択してください")</f>
        <v>0</v>
      </c>
      <c r="O49" s="1019" t="str">
        <f t="shared" si="1"/>
        <v>NG</v>
      </c>
    </row>
    <row r="50" spans="1:15" ht="46.5" customHeight="1">
      <c r="A50" s="1010"/>
      <c r="B50" s="1014"/>
      <c r="C50" s="1750" t="s">
        <v>2979</v>
      </c>
      <c r="D50" s="1750"/>
      <c r="E50" s="1750"/>
      <c r="F50" s="1750"/>
      <c r="G50" s="1750"/>
      <c r="H50" s="1751"/>
      <c r="I50" s="1681"/>
      <c r="K50" s="1017" t="b">
        <v>0</v>
      </c>
      <c r="L50" s="1018"/>
      <c r="M50" s="1019" t="b">
        <f>B49&lt;&gt;"無"</f>
        <v>1</v>
      </c>
      <c r="N50" s="1019" t="b">
        <f t="shared" ref="N50" si="5">K50=TRUE</f>
        <v>0</v>
      </c>
      <c r="O50" s="1019" t="str">
        <f t="shared" si="1"/>
        <v>NG</v>
      </c>
    </row>
    <row r="51" spans="1:15" ht="10" customHeight="1">
      <c r="A51" s="1010"/>
      <c r="B51" s="1011"/>
      <c r="C51" s="1011"/>
      <c r="D51" s="1011"/>
      <c r="E51" s="1011"/>
      <c r="F51" s="1011"/>
      <c r="G51" s="1011"/>
      <c r="H51" s="1012"/>
      <c r="I51" s="1680"/>
      <c r="K51" s="1025"/>
      <c r="L51" s="1019"/>
      <c r="M51" s="1019"/>
      <c r="N51" s="1019"/>
      <c r="O51" s="1019"/>
    </row>
    <row r="52" spans="1:15" ht="22.5" customHeight="1">
      <c r="A52" s="1020"/>
      <c r="B52" s="1014"/>
      <c r="C52" s="1007" t="s">
        <v>2980</v>
      </c>
      <c r="D52" s="1008"/>
      <c r="E52" s="1008"/>
      <c r="F52" s="1008"/>
      <c r="G52" s="1008"/>
      <c r="H52" s="1009"/>
      <c r="I52" s="1681"/>
      <c r="K52" s="1017"/>
      <c r="L52" s="1018"/>
      <c r="M52" s="1019"/>
      <c r="N52" s="1019"/>
      <c r="O52" s="1019"/>
    </row>
    <row r="53" spans="1:15" ht="5.25" customHeight="1" thickBot="1">
      <c r="A53" s="1010"/>
      <c r="B53" s="1011"/>
      <c r="C53" s="1016"/>
      <c r="D53" s="1016"/>
      <c r="E53" s="1016"/>
      <c r="F53" s="1016"/>
      <c r="G53" s="1016"/>
      <c r="H53" s="1012"/>
      <c r="I53" s="1681"/>
      <c r="K53" s="1017"/>
      <c r="L53" s="1018"/>
      <c r="M53" s="1019"/>
      <c r="N53" s="1019"/>
      <c r="O53" s="1019"/>
    </row>
    <row r="54" spans="1:15" ht="24.75" customHeight="1" thickBot="1">
      <c r="A54" s="1010"/>
      <c r="B54" s="1678" t="s">
        <v>5621</v>
      </c>
      <c r="C54" s="1015" t="s">
        <v>2981</v>
      </c>
      <c r="D54" s="1016"/>
      <c r="E54" s="1016"/>
      <c r="F54" s="1016"/>
      <c r="G54" s="1016"/>
      <c r="H54" s="1012"/>
      <c r="I54" s="1683" t="str">
        <f>IF(N54,"","←「選択してください」をクリックし、プルダウン「▼」から選択してください")</f>
        <v>←「選択してください」をクリックし、プルダウン「▼」から選択してください</v>
      </c>
      <c r="K54" s="1025"/>
      <c r="L54" s="1019" t="str">
        <f>B54</f>
        <v>選択してください</v>
      </c>
      <c r="M54" s="1019" t="b">
        <v>1</v>
      </c>
      <c r="N54" s="1018" t="b">
        <f>AND(L54&lt;&gt;0,L54&lt;&gt;"選択してください")</f>
        <v>0</v>
      </c>
      <c r="O54" s="1019" t="str">
        <f t="shared" si="1"/>
        <v>NG</v>
      </c>
    </row>
    <row r="55" spans="1:15" ht="46.5" customHeight="1">
      <c r="A55" s="1010"/>
      <c r="B55" s="1014"/>
      <c r="C55" s="1750" t="s">
        <v>3317</v>
      </c>
      <c r="D55" s="1750"/>
      <c r="E55" s="1750"/>
      <c r="F55" s="1750"/>
      <c r="G55" s="1750"/>
      <c r="H55" s="1751"/>
      <c r="I55" s="1681"/>
      <c r="K55" s="1017" t="b">
        <v>0</v>
      </c>
      <c r="L55" s="1018"/>
      <c r="M55" s="1019" t="b">
        <f>B54&lt;&gt;"適"</f>
        <v>1</v>
      </c>
      <c r="N55" s="1019" t="b">
        <f t="shared" ref="N55" si="6">K55=TRUE</f>
        <v>0</v>
      </c>
      <c r="O55" s="1019" t="str">
        <f t="shared" si="1"/>
        <v>NG</v>
      </c>
    </row>
    <row r="56" spans="1:15" ht="7.5" customHeight="1" thickBot="1">
      <c r="A56" s="1010"/>
      <c r="B56" s="1011"/>
      <c r="C56" s="1011"/>
      <c r="D56" s="1011"/>
      <c r="E56" s="1011"/>
      <c r="F56" s="1011"/>
      <c r="G56" s="1011"/>
      <c r="H56" s="1012"/>
      <c r="I56" s="1013"/>
      <c r="K56" s="1025"/>
      <c r="L56" s="1019"/>
      <c r="M56" s="1019"/>
      <c r="N56" s="1019"/>
      <c r="O56" s="1019"/>
    </row>
    <row r="57" spans="1:15" ht="12.75" customHeight="1">
      <c r="A57" s="979"/>
      <c r="B57" s="1030"/>
      <c r="C57" s="1030"/>
      <c r="D57" s="1030"/>
      <c r="E57" s="1030"/>
      <c r="F57" s="1030"/>
      <c r="G57" s="1030"/>
      <c r="H57" s="1031"/>
      <c r="I57" s="1029"/>
      <c r="K57" s="1032"/>
      <c r="L57" s="1002"/>
      <c r="M57" s="1002"/>
      <c r="N57" s="1002"/>
      <c r="O57" s="1002"/>
    </row>
    <row r="58" spans="1:15">
      <c r="I58" s="1029"/>
      <c r="J58" s="977" t="s">
        <v>2982</v>
      </c>
      <c r="K58" s="989"/>
      <c r="L58" s="989"/>
      <c r="M58" s="989"/>
      <c r="N58" s="989"/>
      <c r="O58" s="1033" t="str">
        <f>IF(COUNTIF(O13:O57,"NG")=0,"OK","NG")</f>
        <v>NG</v>
      </c>
    </row>
    <row r="59" spans="1:15">
      <c r="I59" s="1029"/>
      <c r="K59" s="989"/>
      <c r="L59" s="989"/>
      <c r="M59" s="989"/>
      <c r="N59" s="989"/>
      <c r="O59" s="989"/>
    </row>
    <row r="60" spans="1:15">
      <c r="K60" s="989"/>
      <c r="L60" s="989"/>
      <c r="M60" s="989"/>
      <c r="N60" s="989"/>
      <c r="O60" s="989"/>
    </row>
    <row r="61" spans="1:15">
      <c r="K61" s="989"/>
      <c r="L61" s="989"/>
      <c r="M61" s="989"/>
      <c r="N61" s="989"/>
      <c r="O61" s="989"/>
    </row>
  </sheetData>
  <sheetProtection algorithmName="SHA-512" hashValue="kdkJUCxee7U3IrIXAM9BtAhEG5B5tH9qLFPM7d0KwL7PBeQCie7HEbHMGjXuyZG+43sxl/6gBI22gz0D4kBjnw==" saltValue="0nWbUyg2/uvzQwojDjjwTg==" spinCount="100000" sheet="1" scenarios="1" selectLockedCells="1"/>
  <protectedRanges>
    <protectedRange sqref="B17:B19 B22:B26 B28 B39 B32:B33 B44 B50 B55" name="p1 1"/>
  </protectedRanges>
  <mergeCells count="12">
    <mergeCell ref="C55:H55"/>
    <mergeCell ref="A2:H2"/>
    <mergeCell ref="D4:H4"/>
    <mergeCell ref="A12:H12"/>
    <mergeCell ref="C33:H33"/>
    <mergeCell ref="C19:D19"/>
    <mergeCell ref="F1:H1"/>
    <mergeCell ref="L7:O7"/>
    <mergeCell ref="B36:H36"/>
    <mergeCell ref="C44:H44"/>
    <mergeCell ref="C50:H50"/>
    <mergeCell ref="J6:O6"/>
  </mergeCells>
  <phoneticPr fontId="3"/>
  <conditionalFormatting sqref="A50:H51">
    <cfRule type="expression" dxfId="584" priority="5">
      <formula>$B$49="無"</formula>
    </cfRule>
  </conditionalFormatting>
  <conditionalFormatting sqref="A55:H56">
    <cfRule type="expression" dxfId="583" priority="6">
      <formula>$B$54="適"</formula>
    </cfRule>
  </conditionalFormatting>
  <conditionalFormatting sqref="A44:H46">
    <cfRule type="expression" dxfId="582" priority="4">
      <formula>$B$43="無"</formula>
    </cfRule>
  </conditionalFormatting>
  <conditionalFormatting sqref="C9">
    <cfRule type="expression" dxfId="581" priority="2">
      <formula>$O$58="NG"</formula>
    </cfRule>
  </conditionalFormatting>
  <conditionalFormatting sqref="I43 I49 I54">
    <cfRule type="cellIs" dxfId="580" priority="1" operator="notEqual">
      <formula>""</formula>
    </cfRule>
  </conditionalFormatting>
  <dataValidations count="3">
    <dataValidation type="list" allowBlank="1" showInputMessage="1" showErrorMessage="1" sqref="B54" xr:uid="{8C2C3FBA-5DF1-4087-88D5-5437B61358D0}">
      <formula1>"選択してください,適,否"</formula1>
    </dataValidation>
    <dataValidation type="list" allowBlank="1" showInputMessage="1" showErrorMessage="1" sqref="B49 B43" xr:uid="{E22D7191-82DD-49D0-93B4-416935AA39C7}">
      <formula1>"選択してください,有,無"</formula1>
    </dataValidation>
    <dataValidation type="list" allowBlank="1" showInputMessage="1" showErrorMessage="1" sqref="B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B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B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B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B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B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B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B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B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B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B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B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B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B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B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B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B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B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B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B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B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B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B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B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B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B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B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B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B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B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B65588 JA65588 SW65588 ACS65588 AMO65588 AWK65588 BGG65588 BQC65588 BZY65588 CJU65588 CTQ65588 DDM65588 DNI65588 DXE65588 EHA65588 EQW65588 FAS65588 FKO65588 FUK65588 GEG65588 GOC65588 GXY65588 HHU65588 HRQ65588 IBM65588 ILI65588 IVE65588 JFA65588 JOW65588 JYS65588 KIO65588 KSK65588 LCG65588 LMC65588 LVY65588 MFU65588 MPQ65588 MZM65588 NJI65588 NTE65588 ODA65588 OMW65588 OWS65588 PGO65588 PQK65588 QAG65588 QKC65588 QTY65588 RDU65588 RNQ65588 RXM65588 SHI65588 SRE65588 TBA65588 TKW65588 TUS65588 UEO65588 UOK65588 UYG65588 VIC65588 VRY65588 WBU65588 WLQ65588 WVM65588 B131124 JA131124 SW131124 ACS131124 AMO131124 AWK131124 BGG131124 BQC131124 BZY131124 CJU131124 CTQ131124 DDM131124 DNI131124 DXE131124 EHA131124 EQW131124 FAS131124 FKO131124 FUK131124 GEG131124 GOC131124 GXY131124 HHU131124 HRQ131124 IBM131124 ILI131124 IVE131124 JFA131124 JOW131124 JYS131124 KIO131124 KSK131124 LCG131124 LMC131124 LVY131124 MFU131124 MPQ131124 MZM131124 NJI131124 NTE131124 ODA131124 OMW131124 OWS131124 PGO131124 PQK131124 QAG131124 QKC131124 QTY131124 RDU131124 RNQ131124 RXM131124 SHI131124 SRE131124 TBA131124 TKW131124 TUS131124 UEO131124 UOK131124 UYG131124 VIC131124 VRY131124 WBU131124 WLQ131124 WVM131124 B196660 JA196660 SW196660 ACS196660 AMO196660 AWK196660 BGG196660 BQC196660 BZY196660 CJU196660 CTQ196660 DDM196660 DNI196660 DXE196660 EHA196660 EQW196660 FAS196660 FKO196660 FUK196660 GEG196660 GOC196660 GXY196660 HHU196660 HRQ196660 IBM196660 ILI196660 IVE196660 JFA196660 JOW196660 JYS196660 KIO196660 KSK196660 LCG196660 LMC196660 LVY196660 MFU196660 MPQ196660 MZM196660 NJI196660 NTE196660 ODA196660 OMW196660 OWS196660 PGO196660 PQK196660 QAG196660 QKC196660 QTY196660 RDU196660 RNQ196660 RXM196660 SHI196660 SRE196660 TBA196660 TKW196660 TUS196660 UEO196660 UOK196660 UYG196660 VIC196660 VRY196660 WBU196660 WLQ196660 WVM196660 B262196 JA262196 SW262196 ACS262196 AMO262196 AWK262196 BGG262196 BQC262196 BZY262196 CJU262196 CTQ262196 DDM262196 DNI262196 DXE262196 EHA262196 EQW262196 FAS262196 FKO262196 FUK262196 GEG262196 GOC262196 GXY262196 HHU262196 HRQ262196 IBM262196 ILI262196 IVE262196 JFA262196 JOW262196 JYS262196 KIO262196 KSK262196 LCG262196 LMC262196 LVY262196 MFU262196 MPQ262196 MZM262196 NJI262196 NTE262196 ODA262196 OMW262196 OWS262196 PGO262196 PQK262196 QAG262196 QKC262196 QTY262196 RDU262196 RNQ262196 RXM262196 SHI262196 SRE262196 TBA262196 TKW262196 TUS262196 UEO262196 UOK262196 UYG262196 VIC262196 VRY262196 WBU262196 WLQ262196 WVM262196 B327732 JA327732 SW327732 ACS327732 AMO327732 AWK327732 BGG327732 BQC327732 BZY327732 CJU327732 CTQ327732 DDM327732 DNI327732 DXE327732 EHA327732 EQW327732 FAS327732 FKO327732 FUK327732 GEG327732 GOC327732 GXY327732 HHU327732 HRQ327732 IBM327732 ILI327732 IVE327732 JFA327732 JOW327732 JYS327732 KIO327732 KSK327732 LCG327732 LMC327732 LVY327732 MFU327732 MPQ327732 MZM327732 NJI327732 NTE327732 ODA327732 OMW327732 OWS327732 PGO327732 PQK327732 QAG327732 QKC327732 QTY327732 RDU327732 RNQ327732 RXM327732 SHI327732 SRE327732 TBA327732 TKW327732 TUS327732 UEO327732 UOK327732 UYG327732 VIC327732 VRY327732 WBU327732 WLQ327732 WVM327732 B393268 JA393268 SW393268 ACS393268 AMO393268 AWK393268 BGG393268 BQC393268 BZY393268 CJU393268 CTQ393268 DDM393268 DNI393268 DXE393268 EHA393268 EQW393268 FAS393268 FKO393268 FUK393268 GEG393268 GOC393268 GXY393268 HHU393268 HRQ393268 IBM393268 ILI393268 IVE393268 JFA393268 JOW393268 JYS393268 KIO393268 KSK393268 LCG393268 LMC393268 LVY393268 MFU393268 MPQ393268 MZM393268 NJI393268 NTE393268 ODA393268 OMW393268 OWS393268 PGO393268 PQK393268 QAG393268 QKC393268 QTY393268 RDU393268 RNQ393268 RXM393268 SHI393268 SRE393268 TBA393268 TKW393268 TUS393268 UEO393268 UOK393268 UYG393268 VIC393268 VRY393268 WBU393268 WLQ393268 WVM393268 B458804 JA458804 SW458804 ACS458804 AMO458804 AWK458804 BGG458804 BQC458804 BZY458804 CJU458804 CTQ458804 DDM458804 DNI458804 DXE458804 EHA458804 EQW458804 FAS458804 FKO458804 FUK458804 GEG458804 GOC458804 GXY458804 HHU458804 HRQ458804 IBM458804 ILI458804 IVE458804 JFA458804 JOW458804 JYS458804 KIO458804 KSK458804 LCG458804 LMC458804 LVY458804 MFU458804 MPQ458804 MZM458804 NJI458804 NTE458804 ODA458804 OMW458804 OWS458804 PGO458804 PQK458804 QAG458804 QKC458804 QTY458804 RDU458804 RNQ458804 RXM458804 SHI458804 SRE458804 TBA458804 TKW458804 TUS458804 UEO458804 UOK458804 UYG458804 VIC458804 VRY458804 WBU458804 WLQ458804 WVM458804 B524340 JA524340 SW524340 ACS524340 AMO524340 AWK524340 BGG524340 BQC524340 BZY524340 CJU524340 CTQ524340 DDM524340 DNI524340 DXE524340 EHA524340 EQW524340 FAS524340 FKO524340 FUK524340 GEG524340 GOC524340 GXY524340 HHU524340 HRQ524340 IBM524340 ILI524340 IVE524340 JFA524340 JOW524340 JYS524340 KIO524340 KSK524340 LCG524340 LMC524340 LVY524340 MFU524340 MPQ524340 MZM524340 NJI524340 NTE524340 ODA524340 OMW524340 OWS524340 PGO524340 PQK524340 QAG524340 QKC524340 QTY524340 RDU524340 RNQ524340 RXM524340 SHI524340 SRE524340 TBA524340 TKW524340 TUS524340 UEO524340 UOK524340 UYG524340 VIC524340 VRY524340 WBU524340 WLQ524340 WVM524340 B589876 JA589876 SW589876 ACS589876 AMO589876 AWK589876 BGG589876 BQC589876 BZY589876 CJU589876 CTQ589876 DDM589876 DNI589876 DXE589876 EHA589876 EQW589876 FAS589876 FKO589876 FUK589876 GEG589876 GOC589876 GXY589876 HHU589876 HRQ589876 IBM589876 ILI589876 IVE589876 JFA589876 JOW589876 JYS589876 KIO589876 KSK589876 LCG589876 LMC589876 LVY589876 MFU589876 MPQ589876 MZM589876 NJI589876 NTE589876 ODA589876 OMW589876 OWS589876 PGO589876 PQK589876 QAG589876 QKC589876 QTY589876 RDU589876 RNQ589876 RXM589876 SHI589876 SRE589876 TBA589876 TKW589876 TUS589876 UEO589876 UOK589876 UYG589876 VIC589876 VRY589876 WBU589876 WLQ589876 WVM589876 B655412 JA655412 SW655412 ACS655412 AMO655412 AWK655412 BGG655412 BQC655412 BZY655412 CJU655412 CTQ655412 DDM655412 DNI655412 DXE655412 EHA655412 EQW655412 FAS655412 FKO655412 FUK655412 GEG655412 GOC655412 GXY655412 HHU655412 HRQ655412 IBM655412 ILI655412 IVE655412 JFA655412 JOW655412 JYS655412 KIO655412 KSK655412 LCG655412 LMC655412 LVY655412 MFU655412 MPQ655412 MZM655412 NJI655412 NTE655412 ODA655412 OMW655412 OWS655412 PGO655412 PQK655412 QAG655412 QKC655412 QTY655412 RDU655412 RNQ655412 RXM655412 SHI655412 SRE655412 TBA655412 TKW655412 TUS655412 UEO655412 UOK655412 UYG655412 VIC655412 VRY655412 WBU655412 WLQ655412 WVM655412 B720948 JA720948 SW720948 ACS720948 AMO720948 AWK720948 BGG720948 BQC720948 BZY720948 CJU720948 CTQ720948 DDM720948 DNI720948 DXE720948 EHA720948 EQW720948 FAS720948 FKO720948 FUK720948 GEG720948 GOC720948 GXY720948 HHU720948 HRQ720948 IBM720948 ILI720948 IVE720948 JFA720948 JOW720948 JYS720948 KIO720948 KSK720948 LCG720948 LMC720948 LVY720948 MFU720948 MPQ720948 MZM720948 NJI720948 NTE720948 ODA720948 OMW720948 OWS720948 PGO720948 PQK720948 QAG720948 QKC720948 QTY720948 RDU720948 RNQ720948 RXM720948 SHI720948 SRE720948 TBA720948 TKW720948 TUS720948 UEO720948 UOK720948 UYG720948 VIC720948 VRY720948 WBU720948 WLQ720948 WVM720948 B786484 JA786484 SW786484 ACS786484 AMO786484 AWK786484 BGG786484 BQC786484 BZY786484 CJU786484 CTQ786484 DDM786484 DNI786484 DXE786484 EHA786484 EQW786484 FAS786484 FKO786484 FUK786484 GEG786484 GOC786484 GXY786484 HHU786484 HRQ786484 IBM786484 ILI786484 IVE786484 JFA786484 JOW786484 JYS786484 KIO786484 KSK786484 LCG786484 LMC786484 LVY786484 MFU786484 MPQ786484 MZM786484 NJI786484 NTE786484 ODA786484 OMW786484 OWS786484 PGO786484 PQK786484 QAG786484 QKC786484 QTY786484 RDU786484 RNQ786484 RXM786484 SHI786484 SRE786484 TBA786484 TKW786484 TUS786484 UEO786484 UOK786484 UYG786484 VIC786484 VRY786484 WBU786484 WLQ786484 WVM786484 B852020 JA852020 SW852020 ACS852020 AMO852020 AWK852020 BGG852020 BQC852020 BZY852020 CJU852020 CTQ852020 DDM852020 DNI852020 DXE852020 EHA852020 EQW852020 FAS852020 FKO852020 FUK852020 GEG852020 GOC852020 GXY852020 HHU852020 HRQ852020 IBM852020 ILI852020 IVE852020 JFA852020 JOW852020 JYS852020 KIO852020 KSK852020 LCG852020 LMC852020 LVY852020 MFU852020 MPQ852020 MZM852020 NJI852020 NTE852020 ODA852020 OMW852020 OWS852020 PGO852020 PQK852020 QAG852020 QKC852020 QTY852020 RDU852020 RNQ852020 RXM852020 SHI852020 SRE852020 TBA852020 TKW852020 TUS852020 UEO852020 UOK852020 UYG852020 VIC852020 VRY852020 WBU852020 WLQ852020 WVM852020 B917556 JA917556 SW917556 ACS917556 AMO917556 AWK917556 BGG917556 BQC917556 BZY917556 CJU917556 CTQ917556 DDM917556 DNI917556 DXE917556 EHA917556 EQW917556 FAS917556 FKO917556 FUK917556 GEG917556 GOC917556 GXY917556 HHU917556 HRQ917556 IBM917556 ILI917556 IVE917556 JFA917556 JOW917556 JYS917556 KIO917556 KSK917556 LCG917556 LMC917556 LVY917556 MFU917556 MPQ917556 MZM917556 NJI917556 NTE917556 ODA917556 OMW917556 OWS917556 PGO917556 PQK917556 QAG917556 QKC917556 QTY917556 RDU917556 RNQ917556 RXM917556 SHI917556 SRE917556 TBA917556 TKW917556 TUS917556 UEO917556 UOK917556 UYG917556 VIC917556 VRY917556 WBU917556 WLQ917556 WVM917556 B983092 JA983092 SW983092 ACS983092 AMO983092 AWK983092 BGG983092 BQC983092 BZY983092 CJU983092 CTQ983092 DDM983092 DNI983092 DXE983092 EHA983092 EQW983092 FAS983092 FKO983092 FUK983092 GEG983092 GOC983092 GXY983092 HHU983092 HRQ983092 IBM983092 ILI983092 IVE983092 JFA983092 JOW983092 JYS983092 KIO983092 KSK983092 LCG983092 LMC983092 LVY983092 MFU983092 MPQ983092 MZM983092 NJI983092 NTE983092 ODA983092 OMW983092 OWS983092 PGO983092 PQK983092 QAG983092 QKC983092 QTY983092 RDU983092 RNQ983092 RXM983092 SHI983092 SRE983092 TBA983092 TKW983092 TUS983092 UEO983092 UOK983092 UYG983092 VIC983092 VRY983092 WBU983092 WLQ983092 WVM983092 B65572 JA65572 SW65572 ACS65572 AMO65572 AWK65572 BGG65572 BQC65572 BZY65572 CJU65572 CTQ65572 DDM65572 DNI65572 DXE65572 EHA65572 EQW65572 FAS65572 FKO65572 FUK65572 GEG65572 GOC65572 GXY65572 HHU65572 HRQ65572 IBM65572 ILI65572 IVE65572 JFA65572 JOW65572 JYS65572 KIO65572 KSK65572 LCG65572 LMC65572 LVY65572 MFU65572 MPQ65572 MZM65572 NJI65572 NTE65572 ODA65572 OMW65572 OWS65572 PGO65572 PQK65572 QAG65572 QKC65572 QTY65572 RDU65572 RNQ65572 RXM65572 SHI65572 SRE65572 TBA65572 TKW65572 TUS65572 UEO65572 UOK65572 UYG65572 VIC65572 VRY65572 WBU65572 WLQ65572 WVM65572 B131108 JA131108 SW131108 ACS131108 AMO131108 AWK131108 BGG131108 BQC131108 BZY131108 CJU131108 CTQ131108 DDM131108 DNI131108 DXE131108 EHA131108 EQW131108 FAS131108 FKO131108 FUK131108 GEG131108 GOC131108 GXY131108 HHU131108 HRQ131108 IBM131108 ILI131108 IVE131108 JFA131108 JOW131108 JYS131108 KIO131108 KSK131108 LCG131108 LMC131108 LVY131108 MFU131108 MPQ131108 MZM131108 NJI131108 NTE131108 ODA131108 OMW131108 OWS131108 PGO131108 PQK131108 QAG131108 QKC131108 QTY131108 RDU131108 RNQ131108 RXM131108 SHI131108 SRE131108 TBA131108 TKW131108 TUS131108 UEO131108 UOK131108 UYG131108 VIC131108 VRY131108 WBU131108 WLQ131108 WVM131108 B196644 JA196644 SW196644 ACS196644 AMO196644 AWK196644 BGG196644 BQC196644 BZY196644 CJU196644 CTQ196644 DDM196644 DNI196644 DXE196644 EHA196644 EQW196644 FAS196644 FKO196644 FUK196644 GEG196644 GOC196644 GXY196644 HHU196644 HRQ196644 IBM196644 ILI196644 IVE196644 JFA196644 JOW196644 JYS196644 KIO196644 KSK196644 LCG196644 LMC196644 LVY196644 MFU196644 MPQ196644 MZM196644 NJI196644 NTE196644 ODA196644 OMW196644 OWS196644 PGO196644 PQK196644 QAG196644 QKC196644 QTY196644 RDU196644 RNQ196644 RXM196644 SHI196644 SRE196644 TBA196644 TKW196644 TUS196644 UEO196644 UOK196644 UYG196644 VIC196644 VRY196644 WBU196644 WLQ196644 WVM196644 B262180 JA262180 SW262180 ACS262180 AMO262180 AWK262180 BGG262180 BQC262180 BZY262180 CJU262180 CTQ262180 DDM262180 DNI262180 DXE262180 EHA262180 EQW262180 FAS262180 FKO262180 FUK262180 GEG262180 GOC262180 GXY262180 HHU262180 HRQ262180 IBM262180 ILI262180 IVE262180 JFA262180 JOW262180 JYS262180 KIO262180 KSK262180 LCG262180 LMC262180 LVY262180 MFU262180 MPQ262180 MZM262180 NJI262180 NTE262180 ODA262180 OMW262180 OWS262180 PGO262180 PQK262180 QAG262180 QKC262180 QTY262180 RDU262180 RNQ262180 RXM262180 SHI262180 SRE262180 TBA262180 TKW262180 TUS262180 UEO262180 UOK262180 UYG262180 VIC262180 VRY262180 WBU262180 WLQ262180 WVM262180 B327716 JA327716 SW327716 ACS327716 AMO327716 AWK327716 BGG327716 BQC327716 BZY327716 CJU327716 CTQ327716 DDM327716 DNI327716 DXE327716 EHA327716 EQW327716 FAS327716 FKO327716 FUK327716 GEG327716 GOC327716 GXY327716 HHU327716 HRQ327716 IBM327716 ILI327716 IVE327716 JFA327716 JOW327716 JYS327716 KIO327716 KSK327716 LCG327716 LMC327716 LVY327716 MFU327716 MPQ327716 MZM327716 NJI327716 NTE327716 ODA327716 OMW327716 OWS327716 PGO327716 PQK327716 QAG327716 QKC327716 QTY327716 RDU327716 RNQ327716 RXM327716 SHI327716 SRE327716 TBA327716 TKW327716 TUS327716 UEO327716 UOK327716 UYG327716 VIC327716 VRY327716 WBU327716 WLQ327716 WVM327716 B393252 JA393252 SW393252 ACS393252 AMO393252 AWK393252 BGG393252 BQC393252 BZY393252 CJU393252 CTQ393252 DDM393252 DNI393252 DXE393252 EHA393252 EQW393252 FAS393252 FKO393252 FUK393252 GEG393252 GOC393252 GXY393252 HHU393252 HRQ393252 IBM393252 ILI393252 IVE393252 JFA393252 JOW393252 JYS393252 KIO393252 KSK393252 LCG393252 LMC393252 LVY393252 MFU393252 MPQ393252 MZM393252 NJI393252 NTE393252 ODA393252 OMW393252 OWS393252 PGO393252 PQK393252 QAG393252 QKC393252 QTY393252 RDU393252 RNQ393252 RXM393252 SHI393252 SRE393252 TBA393252 TKW393252 TUS393252 UEO393252 UOK393252 UYG393252 VIC393252 VRY393252 WBU393252 WLQ393252 WVM393252 B458788 JA458788 SW458788 ACS458788 AMO458788 AWK458788 BGG458788 BQC458788 BZY458788 CJU458788 CTQ458788 DDM458788 DNI458788 DXE458788 EHA458788 EQW458788 FAS458788 FKO458788 FUK458788 GEG458788 GOC458788 GXY458788 HHU458788 HRQ458788 IBM458788 ILI458788 IVE458788 JFA458788 JOW458788 JYS458788 KIO458788 KSK458788 LCG458788 LMC458788 LVY458788 MFU458788 MPQ458788 MZM458788 NJI458788 NTE458788 ODA458788 OMW458788 OWS458788 PGO458788 PQK458788 QAG458788 QKC458788 QTY458788 RDU458788 RNQ458788 RXM458788 SHI458788 SRE458788 TBA458788 TKW458788 TUS458788 UEO458788 UOK458788 UYG458788 VIC458788 VRY458788 WBU458788 WLQ458788 WVM458788 B524324 JA524324 SW524324 ACS524324 AMO524324 AWK524324 BGG524324 BQC524324 BZY524324 CJU524324 CTQ524324 DDM524324 DNI524324 DXE524324 EHA524324 EQW524324 FAS524324 FKO524324 FUK524324 GEG524324 GOC524324 GXY524324 HHU524324 HRQ524324 IBM524324 ILI524324 IVE524324 JFA524324 JOW524324 JYS524324 KIO524324 KSK524324 LCG524324 LMC524324 LVY524324 MFU524324 MPQ524324 MZM524324 NJI524324 NTE524324 ODA524324 OMW524324 OWS524324 PGO524324 PQK524324 QAG524324 QKC524324 QTY524324 RDU524324 RNQ524324 RXM524324 SHI524324 SRE524324 TBA524324 TKW524324 TUS524324 UEO524324 UOK524324 UYG524324 VIC524324 VRY524324 WBU524324 WLQ524324 WVM524324 B589860 JA589860 SW589860 ACS589860 AMO589860 AWK589860 BGG589860 BQC589860 BZY589860 CJU589860 CTQ589860 DDM589860 DNI589860 DXE589860 EHA589860 EQW589860 FAS589860 FKO589860 FUK589860 GEG589860 GOC589860 GXY589860 HHU589860 HRQ589860 IBM589860 ILI589860 IVE589860 JFA589860 JOW589860 JYS589860 KIO589860 KSK589860 LCG589860 LMC589860 LVY589860 MFU589860 MPQ589860 MZM589860 NJI589860 NTE589860 ODA589860 OMW589860 OWS589860 PGO589860 PQK589860 QAG589860 QKC589860 QTY589860 RDU589860 RNQ589860 RXM589860 SHI589860 SRE589860 TBA589860 TKW589860 TUS589860 UEO589860 UOK589860 UYG589860 VIC589860 VRY589860 WBU589860 WLQ589860 WVM589860 B655396 JA655396 SW655396 ACS655396 AMO655396 AWK655396 BGG655396 BQC655396 BZY655396 CJU655396 CTQ655396 DDM655396 DNI655396 DXE655396 EHA655396 EQW655396 FAS655396 FKO655396 FUK655396 GEG655396 GOC655396 GXY655396 HHU655396 HRQ655396 IBM655396 ILI655396 IVE655396 JFA655396 JOW655396 JYS655396 KIO655396 KSK655396 LCG655396 LMC655396 LVY655396 MFU655396 MPQ655396 MZM655396 NJI655396 NTE655396 ODA655396 OMW655396 OWS655396 PGO655396 PQK655396 QAG655396 QKC655396 QTY655396 RDU655396 RNQ655396 RXM655396 SHI655396 SRE655396 TBA655396 TKW655396 TUS655396 UEO655396 UOK655396 UYG655396 VIC655396 VRY655396 WBU655396 WLQ655396 WVM655396 B720932 JA720932 SW720932 ACS720932 AMO720932 AWK720932 BGG720932 BQC720932 BZY720932 CJU720932 CTQ720932 DDM720932 DNI720932 DXE720932 EHA720932 EQW720932 FAS720932 FKO720932 FUK720932 GEG720932 GOC720932 GXY720932 HHU720932 HRQ720932 IBM720932 ILI720932 IVE720932 JFA720932 JOW720932 JYS720932 KIO720932 KSK720932 LCG720932 LMC720932 LVY720932 MFU720932 MPQ720932 MZM720932 NJI720932 NTE720932 ODA720932 OMW720932 OWS720932 PGO720932 PQK720932 QAG720932 QKC720932 QTY720932 RDU720932 RNQ720932 RXM720932 SHI720932 SRE720932 TBA720932 TKW720932 TUS720932 UEO720932 UOK720932 UYG720932 VIC720932 VRY720932 WBU720932 WLQ720932 WVM720932 B786468 JA786468 SW786468 ACS786468 AMO786468 AWK786468 BGG786468 BQC786468 BZY786468 CJU786468 CTQ786468 DDM786468 DNI786468 DXE786468 EHA786468 EQW786468 FAS786468 FKO786468 FUK786468 GEG786468 GOC786468 GXY786468 HHU786468 HRQ786468 IBM786468 ILI786468 IVE786468 JFA786468 JOW786468 JYS786468 KIO786468 KSK786468 LCG786468 LMC786468 LVY786468 MFU786468 MPQ786468 MZM786468 NJI786468 NTE786468 ODA786468 OMW786468 OWS786468 PGO786468 PQK786468 QAG786468 QKC786468 QTY786468 RDU786468 RNQ786468 RXM786468 SHI786468 SRE786468 TBA786468 TKW786468 TUS786468 UEO786468 UOK786468 UYG786468 VIC786468 VRY786468 WBU786468 WLQ786468 WVM786468 B852004 JA852004 SW852004 ACS852004 AMO852004 AWK852004 BGG852004 BQC852004 BZY852004 CJU852004 CTQ852004 DDM852004 DNI852004 DXE852004 EHA852004 EQW852004 FAS852004 FKO852004 FUK852004 GEG852004 GOC852004 GXY852004 HHU852004 HRQ852004 IBM852004 ILI852004 IVE852004 JFA852004 JOW852004 JYS852004 KIO852004 KSK852004 LCG852004 LMC852004 LVY852004 MFU852004 MPQ852004 MZM852004 NJI852004 NTE852004 ODA852004 OMW852004 OWS852004 PGO852004 PQK852004 QAG852004 QKC852004 QTY852004 RDU852004 RNQ852004 RXM852004 SHI852004 SRE852004 TBA852004 TKW852004 TUS852004 UEO852004 UOK852004 UYG852004 VIC852004 VRY852004 WBU852004 WLQ852004 WVM852004 B917540 JA917540 SW917540 ACS917540 AMO917540 AWK917540 BGG917540 BQC917540 BZY917540 CJU917540 CTQ917540 DDM917540 DNI917540 DXE917540 EHA917540 EQW917540 FAS917540 FKO917540 FUK917540 GEG917540 GOC917540 GXY917540 HHU917540 HRQ917540 IBM917540 ILI917540 IVE917540 JFA917540 JOW917540 JYS917540 KIO917540 KSK917540 LCG917540 LMC917540 LVY917540 MFU917540 MPQ917540 MZM917540 NJI917540 NTE917540 ODA917540 OMW917540 OWS917540 PGO917540 PQK917540 QAG917540 QKC917540 QTY917540 RDU917540 RNQ917540 RXM917540 SHI917540 SRE917540 TBA917540 TKW917540 TUS917540 UEO917540 UOK917540 UYG917540 VIC917540 VRY917540 WBU917540 WLQ917540 WVM917540 B983076 JA983076 SW983076 ACS983076 AMO983076 AWK983076 BGG983076 BQC983076 BZY983076 CJU983076 CTQ983076 DDM983076 DNI983076 DXE983076 EHA983076 EQW983076 FAS983076 FKO983076 FUK983076 GEG983076 GOC983076 GXY983076 HHU983076 HRQ983076 IBM983076 ILI983076 IVE983076 JFA983076 JOW983076 JYS983076 KIO983076 KSK983076 LCG983076 LMC983076 LVY983076 MFU983076 MPQ983076 MZM983076 NJI983076 NTE983076 ODA983076 OMW983076 OWS983076 PGO983076 PQK983076 QAG983076 QKC983076 QTY983076 RDU983076 RNQ983076 RXM983076 SHI983076 SRE983076 TBA983076 TKW983076 TUS983076 UEO983076 UOK983076 UYG983076 VIC983076 VRY983076 WBU983076 WLQ983076 WVM983076 B65584 JA65584 SW65584 ACS65584 AMO65584 AWK65584 BGG65584 BQC65584 BZY65584 CJU65584 CTQ65584 DDM65584 DNI65584 DXE65584 EHA65584 EQW65584 FAS65584 FKO65584 FUK65584 GEG65584 GOC65584 GXY65584 HHU65584 HRQ65584 IBM65584 ILI65584 IVE65584 JFA65584 JOW65584 JYS65584 KIO65584 KSK65584 LCG65584 LMC65584 LVY65584 MFU65584 MPQ65584 MZM65584 NJI65584 NTE65584 ODA65584 OMW65584 OWS65584 PGO65584 PQK65584 QAG65584 QKC65584 QTY65584 RDU65584 RNQ65584 RXM65584 SHI65584 SRE65584 TBA65584 TKW65584 TUS65584 UEO65584 UOK65584 UYG65584 VIC65584 VRY65584 WBU65584 WLQ65584 WVM65584 B131120 JA131120 SW131120 ACS131120 AMO131120 AWK131120 BGG131120 BQC131120 BZY131120 CJU131120 CTQ131120 DDM131120 DNI131120 DXE131120 EHA131120 EQW131120 FAS131120 FKO131120 FUK131120 GEG131120 GOC131120 GXY131120 HHU131120 HRQ131120 IBM131120 ILI131120 IVE131120 JFA131120 JOW131120 JYS131120 KIO131120 KSK131120 LCG131120 LMC131120 LVY131120 MFU131120 MPQ131120 MZM131120 NJI131120 NTE131120 ODA131120 OMW131120 OWS131120 PGO131120 PQK131120 QAG131120 QKC131120 QTY131120 RDU131120 RNQ131120 RXM131120 SHI131120 SRE131120 TBA131120 TKW131120 TUS131120 UEO131120 UOK131120 UYG131120 VIC131120 VRY131120 WBU131120 WLQ131120 WVM131120 B196656 JA196656 SW196656 ACS196656 AMO196656 AWK196656 BGG196656 BQC196656 BZY196656 CJU196656 CTQ196656 DDM196656 DNI196656 DXE196656 EHA196656 EQW196656 FAS196656 FKO196656 FUK196656 GEG196656 GOC196656 GXY196656 HHU196656 HRQ196656 IBM196656 ILI196656 IVE196656 JFA196656 JOW196656 JYS196656 KIO196656 KSK196656 LCG196656 LMC196656 LVY196656 MFU196656 MPQ196656 MZM196656 NJI196656 NTE196656 ODA196656 OMW196656 OWS196656 PGO196656 PQK196656 QAG196656 QKC196656 QTY196656 RDU196656 RNQ196656 RXM196656 SHI196656 SRE196656 TBA196656 TKW196656 TUS196656 UEO196656 UOK196656 UYG196656 VIC196656 VRY196656 WBU196656 WLQ196656 WVM196656 B262192 JA262192 SW262192 ACS262192 AMO262192 AWK262192 BGG262192 BQC262192 BZY262192 CJU262192 CTQ262192 DDM262192 DNI262192 DXE262192 EHA262192 EQW262192 FAS262192 FKO262192 FUK262192 GEG262192 GOC262192 GXY262192 HHU262192 HRQ262192 IBM262192 ILI262192 IVE262192 JFA262192 JOW262192 JYS262192 KIO262192 KSK262192 LCG262192 LMC262192 LVY262192 MFU262192 MPQ262192 MZM262192 NJI262192 NTE262192 ODA262192 OMW262192 OWS262192 PGO262192 PQK262192 QAG262192 QKC262192 QTY262192 RDU262192 RNQ262192 RXM262192 SHI262192 SRE262192 TBA262192 TKW262192 TUS262192 UEO262192 UOK262192 UYG262192 VIC262192 VRY262192 WBU262192 WLQ262192 WVM262192 B327728 JA327728 SW327728 ACS327728 AMO327728 AWK327728 BGG327728 BQC327728 BZY327728 CJU327728 CTQ327728 DDM327728 DNI327728 DXE327728 EHA327728 EQW327728 FAS327728 FKO327728 FUK327728 GEG327728 GOC327728 GXY327728 HHU327728 HRQ327728 IBM327728 ILI327728 IVE327728 JFA327728 JOW327728 JYS327728 KIO327728 KSK327728 LCG327728 LMC327728 LVY327728 MFU327728 MPQ327728 MZM327728 NJI327728 NTE327728 ODA327728 OMW327728 OWS327728 PGO327728 PQK327728 QAG327728 QKC327728 QTY327728 RDU327728 RNQ327728 RXM327728 SHI327728 SRE327728 TBA327728 TKW327728 TUS327728 UEO327728 UOK327728 UYG327728 VIC327728 VRY327728 WBU327728 WLQ327728 WVM327728 B393264 JA393264 SW393264 ACS393264 AMO393264 AWK393264 BGG393264 BQC393264 BZY393264 CJU393264 CTQ393264 DDM393264 DNI393264 DXE393264 EHA393264 EQW393264 FAS393264 FKO393264 FUK393264 GEG393264 GOC393264 GXY393264 HHU393264 HRQ393264 IBM393264 ILI393264 IVE393264 JFA393264 JOW393264 JYS393264 KIO393264 KSK393264 LCG393264 LMC393264 LVY393264 MFU393264 MPQ393264 MZM393264 NJI393264 NTE393264 ODA393264 OMW393264 OWS393264 PGO393264 PQK393264 QAG393264 QKC393264 QTY393264 RDU393264 RNQ393264 RXM393264 SHI393264 SRE393264 TBA393264 TKW393264 TUS393264 UEO393264 UOK393264 UYG393264 VIC393264 VRY393264 WBU393264 WLQ393264 WVM393264 B458800 JA458800 SW458800 ACS458800 AMO458800 AWK458800 BGG458800 BQC458800 BZY458800 CJU458800 CTQ458800 DDM458800 DNI458800 DXE458800 EHA458800 EQW458800 FAS458800 FKO458800 FUK458800 GEG458800 GOC458800 GXY458800 HHU458800 HRQ458800 IBM458800 ILI458800 IVE458800 JFA458800 JOW458800 JYS458800 KIO458800 KSK458800 LCG458800 LMC458800 LVY458800 MFU458800 MPQ458800 MZM458800 NJI458800 NTE458800 ODA458800 OMW458800 OWS458800 PGO458800 PQK458800 QAG458800 QKC458800 QTY458800 RDU458800 RNQ458800 RXM458800 SHI458800 SRE458800 TBA458800 TKW458800 TUS458800 UEO458800 UOK458800 UYG458800 VIC458800 VRY458800 WBU458800 WLQ458800 WVM458800 B524336 JA524336 SW524336 ACS524336 AMO524336 AWK524336 BGG524336 BQC524336 BZY524336 CJU524336 CTQ524336 DDM524336 DNI524336 DXE524336 EHA524336 EQW524336 FAS524336 FKO524336 FUK524336 GEG524336 GOC524336 GXY524336 HHU524336 HRQ524336 IBM524336 ILI524336 IVE524336 JFA524336 JOW524336 JYS524336 KIO524336 KSK524336 LCG524336 LMC524336 LVY524336 MFU524336 MPQ524336 MZM524336 NJI524336 NTE524336 ODA524336 OMW524336 OWS524336 PGO524336 PQK524336 QAG524336 QKC524336 QTY524336 RDU524336 RNQ524336 RXM524336 SHI524336 SRE524336 TBA524336 TKW524336 TUS524336 UEO524336 UOK524336 UYG524336 VIC524336 VRY524336 WBU524336 WLQ524336 WVM524336 B589872 JA589872 SW589872 ACS589872 AMO589872 AWK589872 BGG589872 BQC589872 BZY589872 CJU589872 CTQ589872 DDM589872 DNI589872 DXE589872 EHA589872 EQW589872 FAS589872 FKO589872 FUK589872 GEG589872 GOC589872 GXY589872 HHU589872 HRQ589872 IBM589872 ILI589872 IVE589872 JFA589872 JOW589872 JYS589872 KIO589872 KSK589872 LCG589872 LMC589872 LVY589872 MFU589872 MPQ589872 MZM589872 NJI589872 NTE589872 ODA589872 OMW589872 OWS589872 PGO589872 PQK589872 QAG589872 QKC589872 QTY589872 RDU589872 RNQ589872 RXM589872 SHI589872 SRE589872 TBA589872 TKW589872 TUS589872 UEO589872 UOK589872 UYG589872 VIC589872 VRY589872 WBU589872 WLQ589872 WVM589872 B655408 JA655408 SW655408 ACS655408 AMO655408 AWK655408 BGG655408 BQC655408 BZY655408 CJU655408 CTQ655408 DDM655408 DNI655408 DXE655408 EHA655408 EQW655408 FAS655408 FKO655408 FUK655408 GEG655408 GOC655408 GXY655408 HHU655408 HRQ655408 IBM655408 ILI655408 IVE655408 JFA655408 JOW655408 JYS655408 KIO655408 KSK655408 LCG655408 LMC655408 LVY655408 MFU655408 MPQ655408 MZM655408 NJI655408 NTE655408 ODA655408 OMW655408 OWS655408 PGO655408 PQK655408 QAG655408 QKC655408 QTY655408 RDU655408 RNQ655408 RXM655408 SHI655408 SRE655408 TBA655408 TKW655408 TUS655408 UEO655408 UOK655408 UYG655408 VIC655408 VRY655408 WBU655408 WLQ655408 WVM655408 B720944 JA720944 SW720944 ACS720944 AMO720944 AWK720944 BGG720944 BQC720944 BZY720944 CJU720944 CTQ720944 DDM720944 DNI720944 DXE720944 EHA720944 EQW720944 FAS720944 FKO720944 FUK720944 GEG720944 GOC720944 GXY720944 HHU720944 HRQ720944 IBM720944 ILI720944 IVE720944 JFA720944 JOW720944 JYS720944 KIO720944 KSK720944 LCG720944 LMC720944 LVY720944 MFU720944 MPQ720944 MZM720944 NJI720944 NTE720944 ODA720944 OMW720944 OWS720944 PGO720944 PQK720944 QAG720944 QKC720944 QTY720944 RDU720944 RNQ720944 RXM720944 SHI720944 SRE720944 TBA720944 TKW720944 TUS720944 UEO720944 UOK720944 UYG720944 VIC720944 VRY720944 WBU720944 WLQ720944 WVM720944 B786480 JA786480 SW786480 ACS786480 AMO786480 AWK786480 BGG786480 BQC786480 BZY786480 CJU786480 CTQ786480 DDM786480 DNI786480 DXE786480 EHA786480 EQW786480 FAS786480 FKO786480 FUK786480 GEG786480 GOC786480 GXY786480 HHU786480 HRQ786480 IBM786480 ILI786480 IVE786480 JFA786480 JOW786480 JYS786480 KIO786480 KSK786480 LCG786480 LMC786480 LVY786480 MFU786480 MPQ786480 MZM786480 NJI786480 NTE786480 ODA786480 OMW786480 OWS786480 PGO786480 PQK786480 QAG786480 QKC786480 QTY786480 RDU786480 RNQ786480 RXM786480 SHI786480 SRE786480 TBA786480 TKW786480 TUS786480 UEO786480 UOK786480 UYG786480 VIC786480 VRY786480 WBU786480 WLQ786480 WVM786480 B852016 JA852016 SW852016 ACS852016 AMO852016 AWK852016 BGG852016 BQC852016 BZY852016 CJU852016 CTQ852016 DDM852016 DNI852016 DXE852016 EHA852016 EQW852016 FAS852016 FKO852016 FUK852016 GEG852016 GOC852016 GXY852016 HHU852016 HRQ852016 IBM852016 ILI852016 IVE852016 JFA852016 JOW852016 JYS852016 KIO852016 KSK852016 LCG852016 LMC852016 LVY852016 MFU852016 MPQ852016 MZM852016 NJI852016 NTE852016 ODA852016 OMW852016 OWS852016 PGO852016 PQK852016 QAG852016 QKC852016 QTY852016 RDU852016 RNQ852016 RXM852016 SHI852016 SRE852016 TBA852016 TKW852016 TUS852016 UEO852016 UOK852016 UYG852016 VIC852016 VRY852016 WBU852016 WLQ852016 WVM852016 B917552 JA917552 SW917552 ACS917552 AMO917552 AWK917552 BGG917552 BQC917552 BZY917552 CJU917552 CTQ917552 DDM917552 DNI917552 DXE917552 EHA917552 EQW917552 FAS917552 FKO917552 FUK917552 GEG917552 GOC917552 GXY917552 HHU917552 HRQ917552 IBM917552 ILI917552 IVE917552 JFA917552 JOW917552 JYS917552 KIO917552 KSK917552 LCG917552 LMC917552 LVY917552 MFU917552 MPQ917552 MZM917552 NJI917552 NTE917552 ODA917552 OMW917552 OWS917552 PGO917552 PQK917552 QAG917552 QKC917552 QTY917552 RDU917552 RNQ917552 RXM917552 SHI917552 SRE917552 TBA917552 TKW917552 TUS917552 UEO917552 UOK917552 UYG917552 VIC917552 VRY917552 WBU917552 WLQ917552 WVM917552 B983088 JA983088 SW983088 ACS983088 AMO983088 AWK983088 BGG983088 BQC983088 BZY983088 CJU983088 CTQ983088 DDM983088 DNI983088 DXE983088 EHA983088 EQW983088 FAS983088 FKO983088 FUK983088 GEG983088 GOC983088 GXY983088 HHU983088 HRQ983088 IBM983088 ILI983088 IVE983088 JFA983088 JOW983088 JYS983088 KIO983088 KSK983088 LCG983088 LMC983088 LVY983088 MFU983088 MPQ983088 MZM983088 NJI983088 NTE983088 ODA983088 OMW983088 OWS983088 PGO983088 PQK983088 QAG983088 QKC983088 QTY983088 RDU983088 RNQ983088 RXM983088 SHI983088 SRE983088 TBA983088 TKW983088 TUS983088 UEO983088 UOK983088 UYG983088 VIC983088 VRY983088 WBU983088 WLQ983088 WVM983088" xr:uid="{7D2823D0-4ABA-4000-939C-19ACCC7C91EA}">
      <formula1>"はい,いいえ"</formula1>
    </dataValidation>
  </dataValidations>
  <printOptions horizontalCentered="1" verticalCentered="1"/>
  <pageMargins left="0.62992125984251968" right="0.23622047244094491" top="0.23622047244094491" bottom="0.23622047244094491" header="0.31496062992125984" footer="0.31496062992125984"/>
  <pageSetup paperSize="9" scale="7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7797" r:id="rId4" name="Check Box 5">
              <controlPr defaultSize="0" autoFill="0" autoLine="0" autoPict="0">
                <anchor moveWithCells="1">
                  <from>
                    <xdr:col>1</xdr:col>
                    <xdr:colOff>133350</xdr:colOff>
                    <xdr:row>16</xdr:row>
                    <xdr:rowOff>0</xdr:rowOff>
                  </from>
                  <to>
                    <xdr:col>1</xdr:col>
                    <xdr:colOff>495300</xdr:colOff>
                    <xdr:row>17</xdr:row>
                    <xdr:rowOff>38100</xdr:rowOff>
                  </to>
                </anchor>
              </controlPr>
            </control>
          </mc:Choice>
        </mc:AlternateContent>
        <mc:AlternateContent xmlns:mc="http://schemas.openxmlformats.org/markup-compatibility/2006">
          <mc:Choice Requires="x14">
            <control shapeId="417798" r:id="rId5" name="Check Box 6">
              <controlPr defaultSize="0" autoFill="0" autoLine="0" autoPict="0">
                <anchor moveWithCells="1">
                  <from>
                    <xdr:col>1</xdr:col>
                    <xdr:colOff>133350</xdr:colOff>
                    <xdr:row>17</xdr:row>
                    <xdr:rowOff>0</xdr:rowOff>
                  </from>
                  <to>
                    <xdr:col>1</xdr:col>
                    <xdr:colOff>495300</xdr:colOff>
                    <xdr:row>18</xdr:row>
                    <xdr:rowOff>38100</xdr:rowOff>
                  </to>
                </anchor>
              </controlPr>
            </control>
          </mc:Choice>
        </mc:AlternateContent>
        <mc:AlternateContent xmlns:mc="http://schemas.openxmlformats.org/markup-compatibility/2006">
          <mc:Choice Requires="x14">
            <control shapeId="417799" r:id="rId6" name="Check Box 7">
              <controlPr defaultSize="0" autoFill="0" autoLine="0" autoPict="0">
                <anchor moveWithCells="1">
                  <from>
                    <xdr:col>1</xdr:col>
                    <xdr:colOff>133350</xdr:colOff>
                    <xdr:row>22</xdr:row>
                    <xdr:rowOff>0</xdr:rowOff>
                  </from>
                  <to>
                    <xdr:col>1</xdr:col>
                    <xdr:colOff>495300</xdr:colOff>
                    <xdr:row>23</xdr:row>
                    <xdr:rowOff>38100</xdr:rowOff>
                  </to>
                </anchor>
              </controlPr>
            </control>
          </mc:Choice>
        </mc:AlternateContent>
        <mc:AlternateContent xmlns:mc="http://schemas.openxmlformats.org/markup-compatibility/2006">
          <mc:Choice Requires="x14">
            <control shapeId="417801" r:id="rId7" name="Check Box 9">
              <controlPr defaultSize="0" autoFill="0" autoLine="0" autoPict="0">
                <anchor moveWithCells="1">
                  <from>
                    <xdr:col>1</xdr:col>
                    <xdr:colOff>133350</xdr:colOff>
                    <xdr:row>23</xdr:row>
                    <xdr:rowOff>0</xdr:rowOff>
                  </from>
                  <to>
                    <xdr:col>1</xdr:col>
                    <xdr:colOff>495300</xdr:colOff>
                    <xdr:row>24</xdr:row>
                    <xdr:rowOff>38100</xdr:rowOff>
                  </to>
                </anchor>
              </controlPr>
            </control>
          </mc:Choice>
        </mc:AlternateContent>
        <mc:AlternateContent xmlns:mc="http://schemas.openxmlformats.org/markup-compatibility/2006">
          <mc:Choice Requires="x14">
            <control shapeId="417802" r:id="rId8" name="Check Box 10">
              <controlPr defaultSize="0" autoFill="0" autoLine="0" autoPict="0">
                <anchor moveWithCells="1">
                  <from>
                    <xdr:col>1</xdr:col>
                    <xdr:colOff>133350</xdr:colOff>
                    <xdr:row>27</xdr:row>
                    <xdr:rowOff>0</xdr:rowOff>
                  </from>
                  <to>
                    <xdr:col>1</xdr:col>
                    <xdr:colOff>495300</xdr:colOff>
                    <xdr:row>28</xdr:row>
                    <xdr:rowOff>38100</xdr:rowOff>
                  </to>
                </anchor>
              </controlPr>
            </control>
          </mc:Choice>
        </mc:AlternateContent>
        <mc:AlternateContent xmlns:mc="http://schemas.openxmlformats.org/markup-compatibility/2006">
          <mc:Choice Requires="x14">
            <control shapeId="417805" r:id="rId9" name="Check Box 13">
              <controlPr defaultSize="0" autoFill="0" autoLine="0" autoPict="0">
                <anchor moveWithCells="1">
                  <from>
                    <xdr:col>1</xdr:col>
                    <xdr:colOff>133350</xdr:colOff>
                    <xdr:row>23</xdr:row>
                    <xdr:rowOff>0</xdr:rowOff>
                  </from>
                  <to>
                    <xdr:col>1</xdr:col>
                    <xdr:colOff>495300</xdr:colOff>
                    <xdr:row>24</xdr:row>
                    <xdr:rowOff>38100</xdr:rowOff>
                  </to>
                </anchor>
              </controlPr>
            </control>
          </mc:Choice>
        </mc:AlternateContent>
        <mc:AlternateContent xmlns:mc="http://schemas.openxmlformats.org/markup-compatibility/2006">
          <mc:Choice Requires="x14">
            <control shapeId="417806" r:id="rId10" name="Check Box 14">
              <controlPr defaultSize="0" autoFill="0" autoLine="0" autoPict="0">
                <anchor moveWithCells="1">
                  <from>
                    <xdr:col>1</xdr:col>
                    <xdr:colOff>133350</xdr:colOff>
                    <xdr:row>24</xdr:row>
                    <xdr:rowOff>0</xdr:rowOff>
                  </from>
                  <to>
                    <xdr:col>1</xdr:col>
                    <xdr:colOff>495300</xdr:colOff>
                    <xdr:row>25</xdr:row>
                    <xdr:rowOff>38100</xdr:rowOff>
                  </to>
                </anchor>
              </controlPr>
            </control>
          </mc:Choice>
        </mc:AlternateContent>
        <mc:AlternateContent xmlns:mc="http://schemas.openxmlformats.org/markup-compatibility/2006">
          <mc:Choice Requires="x14">
            <control shapeId="417807" r:id="rId11" name="Check Box 15">
              <controlPr defaultSize="0" autoFill="0" autoLine="0" autoPict="0">
                <anchor moveWithCells="1">
                  <from>
                    <xdr:col>1</xdr:col>
                    <xdr:colOff>133350</xdr:colOff>
                    <xdr:row>24</xdr:row>
                    <xdr:rowOff>0</xdr:rowOff>
                  </from>
                  <to>
                    <xdr:col>1</xdr:col>
                    <xdr:colOff>495300</xdr:colOff>
                    <xdr:row>25</xdr:row>
                    <xdr:rowOff>38100</xdr:rowOff>
                  </to>
                </anchor>
              </controlPr>
            </control>
          </mc:Choice>
        </mc:AlternateContent>
        <mc:AlternateContent xmlns:mc="http://schemas.openxmlformats.org/markup-compatibility/2006">
          <mc:Choice Requires="x14">
            <control shapeId="417808" r:id="rId12" name="Check Box 16">
              <controlPr defaultSize="0" autoFill="0" autoLine="0" autoPict="0">
                <anchor moveWithCells="1">
                  <from>
                    <xdr:col>1</xdr:col>
                    <xdr:colOff>133350</xdr:colOff>
                    <xdr:row>25</xdr:row>
                    <xdr:rowOff>0</xdr:rowOff>
                  </from>
                  <to>
                    <xdr:col>1</xdr:col>
                    <xdr:colOff>495300</xdr:colOff>
                    <xdr:row>26</xdr:row>
                    <xdr:rowOff>38100</xdr:rowOff>
                  </to>
                </anchor>
              </controlPr>
            </control>
          </mc:Choice>
        </mc:AlternateContent>
        <mc:AlternateContent xmlns:mc="http://schemas.openxmlformats.org/markup-compatibility/2006">
          <mc:Choice Requires="x14">
            <control shapeId="417809" r:id="rId13" name="Check Box 17">
              <controlPr defaultSize="0" autoFill="0" autoLine="0" autoPict="0">
                <anchor moveWithCells="1">
                  <from>
                    <xdr:col>1</xdr:col>
                    <xdr:colOff>133350</xdr:colOff>
                    <xdr:row>25</xdr:row>
                    <xdr:rowOff>0</xdr:rowOff>
                  </from>
                  <to>
                    <xdr:col>1</xdr:col>
                    <xdr:colOff>495300</xdr:colOff>
                    <xdr:row>26</xdr:row>
                    <xdr:rowOff>38100</xdr:rowOff>
                  </to>
                </anchor>
              </controlPr>
            </control>
          </mc:Choice>
        </mc:AlternateContent>
        <mc:AlternateContent xmlns:mc="http://schemas.openxmlformats.org/markup-compatibility/2006">
          <mc:Choice Requires="x14">
            <control shapeId="417810" r:id="rId14" name="Check Box 18">
              <controlPr defaultSize="0" autoFill="0" autoLine="0" autoPict="0">
                <anchor moveWithCells="1">
                  <from>
                    <xdr:col>1</xdr:col>
                    <xdr:colOff>133350</xdr:colOff>
                    <xdr:row>21</xdr:row>
                    <xdr:rowOff>0</xdr:rowOff>
                  </from>
                  <to>
                    <xdr:col>1</xdr:col>
                    <xdr:colOff>495300</xdr:colOff>
                    <xdr:row>22</xdr:row>
                    <xdr:rowOff>38100</xdr:rowOff>
                  </to>
                </anchor>
              </controlPr>
            </control>
          </mc:Choice>
        </mc:AlternateContent>
        <mc:AlternateContent xmlns:mc="http://schemas.openxmlformats.org/markup-compatibility/2006">
          <mc:Choice Requires="x14">
            <control shapeId="417815" r:id="rId15" name="Check Box 23">
              <controlPr defaultSize="0" autoFill="0" autoLine="0" autoPict="0">
                <anchor moveWithCells="1">
                  <from>
                    <xdr:col>1</xdr:col>
                    <xdr:colOff>133350</xdr:colOff>
                    <xdr:row>32</xdr:row>
                    <xdr:rowOff>0</xdr:rowOff>
                  </from>
                  <to>
                    <xdr:col>1</xdr:col>
                    <xdr:colOff>495300</xdr:colOff>
                    <xdr:row>32</xdr:row>
                    <xdr:rowOff>355600</xdr:rowOff>
                  </to>
                </anchor>
              </controlPr>
            </control>
          </mc:Choice>
        </mc:AlternateContent>
        <mc:AlternateContent xmlns:mc="http://schemas.openxmlformats.org/markup-compatibility/2006">
          <mc:Choice Requires="x14">
            <control shapeId="417816" r:id="rId16" name="Check Box 24">
              <controlPr defaultSize="0" autoFill="0" autoLine="0" autoPict="0">
                <anchor moveWithCells="1">
                  <from>
                    <xdr:col>1</xdr:col>
                    <xdr:colOff>133350</xdr:colOff>
                    <xdr:row>32</xdr:row>
                    <xdr:rowOff>0</xdr:rowOff>
                  </from>
                  <to>
                    <xdr:col>1</xdr:col>
                    <xdr:colOff>495300</xdr:colOff>
                    <xdr:row>32</xdr:row>
                    <xdr:rowOff>355600</xdr:rowOff>
                  </to>
                </anchor>
              </controlPr>
            </control>
          </mc:Choice>
        </mc:AlternateContent>
        <mc:AlternateContent xmlns:mc="http://schemas.openxmlformats.org/markup-compatibility/2006">
          <mc:Choice Requires="x14">
            <control shapeId="417794" r:id="rId17" name="Check Box 2">
              <controlPr defaultSize="0" autoFill="0" autoLine="0" autoPict="0">
                <anchor moveWithCells="1">
                  <from>
                    <xdr:col>1</xdr:col>
                    <xdr:colOff>133350</xdr:colOff>
                    <xdr:row>38</xdr:row>
                    <xdr:rowOff>0</xdr:rowOff>
                  </from>
                  <to>
                    <xdr:col>1</xdr:col>
                    <xdr:colOff>495300</xdr:colOff>
                    <xdr:row>39</xdr:row>
                    <xdr:rowOff>38100</xdr:rowOff>
                  </to>
                </anchor>
              </controlPr>
            </control>
          </mc:Choice>
        </mc:AlternateContent>
        <mc:AlternateContent xmlns:mc="http://schemas.openxmlformats.org/markup-compatibility/2006">
          <mc:Choice Requires="x14">
            <control shapeId="417795" r:id="rId18" name="Check Box 3">
              <controlPr defaultSize="0" autoFill="0" autoLine="0" autoPict="0">
                <anchor moveWithCells="1">
                  <from>
                    <xdr:col>1</xdr:col>
                    <xdr:colOff>133350</xdr:colOff>
                    <xdr:row>38</xdr:row>
                    <xdr:rowOff>0</xdr:rowOff>
                  </from>
                  <to>
                    <xdr:col>1</xdr:col>
                    <xdr:colOff>495300</xdr:colOff>
                    <xdr:row>39</xdr:row>
                    <xdr:rowOff>38100</xdr:rowOff>
                  </to>
                </anchor>
              </controlPr>
            </control>
          </mc:Choice>
        </mc:AlternateContent>
        <mc:AlternateContent xmlns:mc="http://schemas.openxmlformats.org/markup-compatibility/2006">
          <mc:Choice Requires="x14">
            <control shapeId="417817" r:id="rId19" name="Check Box 25">
              <controlPr defaultSize="0" autoFill="0" autoLine="0" autoPict="0">
                <anchor moveWithCells="1">
                  <from>
                    <xdr:col>1</xdr:col>
                    <xdr:colOff>133350</xdr:colOff>
                    <xdr:row>43</xdr:row>
                    <xdr:rowOff>0</xdr:rowOff>
                  </from>
                  <to>
                    <xdr:col>1</xdr:col>
                    <xdr:colOff>495300</xdr:colOff>
                    <xdr:row>43</xdr:row>
                    <xdr:rowOff>355600</xdr:rowOff>
                  </to>
                </anchor>
              </controlPr>
            </control>
          </mc:Choice>
        </mc:AlternateContent>
        <mc:AlternateContent xmlns:mc="http://schemas.openxmlformats.org/markup-compatibility/2006">
          <mc:Choice Requires="x14">
            <control shapeId="417818" r:id="rId20" name="Check Box 26">
              <controlPr defaultSize="0" autoFill="0" autoLine="0" autoPict="0">
                <anchor moveWithCells="1">
                  <from>
                    <xdr:col>1</xdr:col>
                    <xdr:colOff>133350</xdr:colOff>
                    <xdr:row>43</xdr:row>
                    <xdr:rowOff>0</xdr:rowOff>
                  </from>
                  <to>
                    <xdr:col>1</xdr:col>
                    <xdr:colOff>495300</xdr:colOff>
                    <xdr:row>43</xdr:row>
                    <xdr:rowOff>355600</xdr:rowOff>
                  </to>
                </anchor>
              </controlPr>
            </control>
          </mc:Choice>
        </mc:AlternateContent>
        <mc:AlternateContent xmlns:mc="http://schemas.openxmlformats.org/markup-compatibility/2006">
          <mc:Choice Requires="x14">
            <control shapeId="417821" r:id="rId21" name="Check Box 29">
              <controlPr defaultSize="0" autoFill="0" autoLine="0" autoPict="0">
                <anchor moveWithCells="1">
                  <from>
                    <xdr:col>1</xdr:col>
                    <xdr:colOff>133350</xdr:colOff>
                    <xdr:row>54</xdr:row>
                    <xdr:rowOff>0</xdr:rowOff>
                  </from>
                  <to>
                    <xdr:col>1</xdr:col>
                    <xdr:colOff>495300</xdr:colOff>
                    <xdr:row>54</xdr:row>
                    <xdr:rowOff>355600</xdr:rowOff>
                  </to>
                </anchor>
              </controlPr>
            </control>
          </mc:Choice>
        </mc:AlternateContent>
        <mc:AlternateContent xmlns:mc="http://schemas.openxmlformats.org/markup-compatibility/2006">
          <mc:Choice Requires="x14">
            <control shapeId="417822" r:id="rId22" name="Check Box 30">
              <controlPr defaultSize="0" autoFill="0" autoLine="0" autoPict="0">
                <anchor moveWithCells="1">
                  <from>
                    <xdr:col>1</xdr:col>
                    <xdr:colOff>133350</xdr:colOff>
                    <xdr:row>54</xdr:row>
                    <xdr:rowOff>0</xdr:rowOff>
                  </from>
                  <to>
                    <xdr:col>1</xdr:col>
                    <xdr:colOff>495300</xdr:colOff>
                    <xdr:row>54</xdr:row>
                    <xdr:rowOff>355600</xdr:rowOff>
                  </to>
                </anchor>
              </controlPr>
            </control>
          </mc:Choice>
        </mc:AlternateContent>
        <mc:AlternateContent xmlns:mc="http://schemas.openxmlformats.org/markup-compatibility/2006">
          <mc:Choice Requires="x14">
            <control shapeId="417819" r:id="rId23" name="Check Box 27">
              <controlPr defaultSize="0" autoFill="0" autoLine="0" autoPict="0">
                <anchor moveWithCells="1">
                  <from>
                    <xdr:col>1</xdr:col>
                    <xdr:colOff>133350</xdr:colOff>
                    <xdr:row>49</xdr:row>
                    <xdr:rowOff>0</xdr:rowOff>
                  </from>
                  <to>
                    <xdr:col>1</xdr:col>
                    <xdr:colOff>495300</xdr:colOff>
                    <xdr:row>49</xdr:row>
                    <xdr:rowOff>355600</xdr:rowOff>
                  </to>
                </anchor>
              </controlPr>
            </control>
          </mc:Choice>
        </mc:AlternateContent>
        <mc:AlternateContent xmlns:mc="http://schemas.openxmlformats.org/markup-compatibility/2006">
          <mc:Choice Requires="x14">
            <control shapeId="417820" r:id="rId24" name="Check Box 28">
              <controlPr defaultSize="0" autoFill="0" autoLine="0" autoPict="0">
                <anchor moveWithCells="1">
                  <from>
                    <xdr:col>1</xdr:col>
                    <xdr:colOff>133350</xdr:colOff>
                    <xdr:row>49</xdr:row>
                    <xdr:rowOff>0</xdr:rowOff>
                  </from>
                  <to>
                    <xdr:col>1</xdr:col>
                    <xdr:colOff>495300</xdr:colOff>
                    <xdr:row>49</xdr:row>
                    <xdr:rowOff>355600</xdr:rowOff>
                  </to>
                </anchor>
              </controlPr>
            </control>
          </mc:Choice>
        </mc:AlternateContent>
        <mc:AlternateContent xmlns:mc="http://schemas.openxmlformats.org/markup-compatibility/2006">
          <mc:Choice Requires="x14">
            <control shapeId="417800" r:id="rId25" name="Check Box 8">
              <controlPr defaultSize="0" autoFill="0" autoLine="0" autoPict="0">
                <anchor moveWithCells="1">
                  <from>
                    <xdr:col>1</xdr:col>
                    <xdr:colOff>133350</xdr:colOff>
                    <xdr:row>31</xdr:row>
                    <xdr:rowOff>0</xdr:rowOff>
                  </from>
                  <to>
                    <xdr:col>1</xdr:col>
                    <xdr:colOff>495300</xdr:colOff>
                    <xdr:row>32</xdr:row>
                    <xdr:rowOff>38100</xdr:rowOff>
                  </to>
                </anchor>
              </controlPr>
            </control>
          </mc:Choice>
        </mc:AlternateContent>
        <mc:AlternateContent xmlns:mc="http://schemas.openxmlformats.org/markup-compatibility/2006">
          <mc:Choice Requires="x14">
            <control shapeId="417803" r:id="rId26" name="Check Box 11">
              <controlPr defaultSize="0" autoFill="0" autoLine="0" autoPict="0">
                <anchor moveWithCells="1">
                  <from>
                    <xdr:col>1</xdr:col>
                    <xdr:colOff>133350</xdr:colOff>
                    <xdr:row>31</xdr:row>
                    <xdr:rowOff>0</xdr:rowOff>
                  </from>
                  <to>
                    <xdr:col>1</xdr:col>
                    <xdr:colOff>495300</xdr:colOff>
                    <xdr:row>32</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66FF33"/>
  </sheetPr>
  <dimension ref="A1:HX550"/>
  <sheetViews>
    <sheetView view="pageBreakPreview" zoomScale="70" zoomScaleNormal="55" zoomScaleSheetLayoutView="70" workbookViewId="0">
      <pane ySplit="2" topLeftCell="A3" activePane="bottomLeft" state="frozen"/>
      <selection pane="bottomLeft"/>
    </sheetView>
  </sheetViews>
  <sheetFormatPr defaultColWidth="9" defaultRowHeight="27" customHeight="1"/>
  <cols>
    <col min="1" max="5" width="2.08984375" style="647" customWidth="1"/>
    <col min="6" max="8" width="2.36328125" style="381" hidden="1" customWidth="1"/>
    <col min="9" max="9" width="2.08984375" style="905" customWidth="1"/>
    <col min="10" max="26" width="2.08984375" style="120" customWidth="1"/>
    <col min="27" max="27" width="2" style="120" customWidth="1"/>
    <col min="28" max="72" width="2.08984375" style="34" customWidth="1"/>
    <col min="73" max="73" width="2.08984375" style="1042" customWidth="1"/>
    <col min="74" max="94" width="2.08984375" style="709" customWidth="1"/>
    <col min="95" max="95" width="1.90625" style="709" customWidth="1"/>
    <col min="96" max="99" width="2.08984375" style="709" customWidth="1"/>
    <col min="100" max="106" width="2.08984375" style="398" customWidth="1"/>
    <col min="107" max="107" width="37.7265625" style="35" customWidth="1"/>
    <col min="108" max="114" width="2.08984375" style="398" hidden="1" customWidth="1"/>
    <col min="115" max="115" width="20.6328125" style="1039" hidden="1" customWidth="1"/>
    <col min="116" max="116" width="11.36328125" style="170" hidden="1" customWidth="1"/>
    <col min="117" max="117" width="18.6328125" style="166" hidden="1" customWidth="1"/>
    <col min="118" max="118" width="13.90625" style="166" hidden="1" customWidth="1"/>
    <col min="119" max="121" width="7.36328125" style="166" hidden="1" customWidth="1"/>
    <col min="122" max="122" width="10.36328125" style="167" hidden="1" customWidth="1"/>
    <col min="123" max="123" width="12.6328125" style="167" hidden="1" customWidth="1"/>
    <col min="124" max="124" width="13.08984375" style="167" hidden="1" customWidth="1"/>
    <col min="125" max="125" width="11.90625" style="167" hidden="1" customWidth="1"/>
    <col min="126" max="130" width="7.36328125" style="167" hidden="1" customWidth="1"/>
    <col min="131" max="131" width="18" style="167" hidden="1" customWidth="1"/>
    <col min="132" max="134" width="7.36328125" style="167" hidden="1" customWidth="1"/>
    <col min="135" max="135" width="8.453125" style="167" hidden="1" customWidth="1"/>
    <col min="136" max="136" width="7.36328125" style="167" hidden="1" customWidth="1"/>
    <col min="137" max="141" width="7.36328125" style="166" hidden="1" customWidth="1"/>
    <col min="142" max="144" width="9" style="167" hidden="1" customWidth="1"/>
    <col min="145" max="145" width="4.08984375" style="167" hidden="1" customWidth="1"/>
    <col min="146" max="146" width="14" style="167" hidden="1" customWidth="1"/>
    <col min="147" max="148" width="9" style="167" hidden="1" customWidth="1"/>
    <col min="149" max="149" width="3.36328125" style="167" hidden="1" customWidth="1"/>
    <col min="150" max="170" width="9" style="167" hidden="1" customWidth="1"/>
    <col min="171" max="171" width="9" style="170" hidden="1" customWidth="1"/>
    <col min="172" max="172" width="9" style="167" hidden="1" customWidth="1"/>
    <col min="173" max="177" width="7.36328125" style="167" hidden="1" customWidth="1"/>
    <col min="178" max="182" width="7.36328125" style="166" hidden="1" customWidth="1"/>
    <col min="183" max="183" width="9" style="166" hidden="1" customWidth="1"/>
    <col min="184" max="232" width="9" style="167" hidden="1" customWidth="1"/>
    <col min="233" max="16384" width="9" style="167"/>
  </cols>
  <sheetData>
    <row r="1" spans="1:183" ht="27" customHeight="1">
      <c r="A1" s="679"/>
      <c r="B1" s="680"/>
      <c r="C1" s="680"/>
      <c r="D1" s="680"/>
      <c r="E1" s="681"/>
      <c r="F1" s="1038"/>
      <c r="G1" s="1038"/>
      <c r="H1" s="1038"/>
      <c r="I1" s="678" t="s">
        <v>2724</v>
      </c>
      <c r="J1" s="682"/>
      <c r="K1" s="682"/>
      <c r="L1" s="682"/>
      <c r="M1" s="682"/>
      <c r="N1" s="682"/>
      <c r="O1" s="682"/>
      <c r="P1" s="682"/>
      <c r="Q1" s="682"/>
      <c r="R1" s="682"/>
      <c r="S1" s="682"/>
      <c r="T1" s="682"/>
      <c r="U1" s="682"/>
      <c r="V1" s="682"/>
      <c r="W1" s="682"/>
      <c r="X1" s="682"/>
      <c r="Y1" s="682"/>
      <c r="Z1" s="682"/>
      <c r="AA1" s="682"/>
      <c r="AB1" s="683"/>
      <c r="AC1" s="683"/>
      <c r="AD1" s="683"/>
      <c r="AE1" s="683"/>
      <c r="AI1" s="398"/>
      <c r="AJ1" s="1788" t="s">
        <v>2828</v>
      </c>
      <c r="AK1" s="1788"/>
      <c r="AL1" s="1788"/>
      <c r="AM1" s="1788"/>
      <c r="AN1" s="1788"/>
      <c r="AO1" s="1788"/>
      <c r="AP1" s="1788"/>
      <c r="AQ1" s="1788"/>
      <c r="AR1" s="1788"/>
      <c r="AS1" s="1788"/>
      <c r="AT1" s="1788"/>
      <c r="AU1" s="1788"/>
      <c r="AV1" s="1788"/>
      <c r="AW1" s="1788"/>
      <c r="AX1" s="1788"/>
      <c r="AY1" s="1788"/>
      <c r="AZ1" s="1788"/>
      <c r="BA1" s="1788"/>
      <c r="BB1" s="1788"/>
      <c r="BC1" s="1788"/>
      <c r="BD1" s="1788"/>
      <c r="BE1" s="1788"/>
      <c r="BF1" s="1789" t="str">
        <f>HYPERLINK("#'使用方法'!F29:F37","シート一覧へ")</f>
        <v>シート一覧へ</v>
      </c>
      <c r="BG1" s="1789"/>
      <c r="BH1" s="1789"/>
      <c r="BI1" s="1789"/>
      <c r="BJ1" s="1789"/>
      <c r="BK1" s="1789"/>
      <c r="BR1" s="763"/>
      <c r="BS1" s="644" t="s">
        <v>2667</v>
      </c>
      <c r="BT1" s="1857">
        <v>1</v>
      </c>
      <c r="BU1" s="1857"/>
      <c r="BV1" s="1851">
        <v>2</v>
      </c>
      <c r="BW1" s="1851"/>
      <c r="BX1" s="1851">
        <v>3</v>
      </c>
      <c r="BY1" s="1851"/>
      <c r="BZ1" s="1851">
        <v>4</v>
      </c>
      <c r="CA1" s="1851"/>
      <c r="CB1" s="1851">
        <v>5</v>
      </c>
      <c r="CC1" s="1851"/>
      <c r="CD1" s="1856">
        <v>6</v>
      </c>
      <c r="CE1" s="1856"/>
      <c r="CF1" s="1856">
        <v>7</v>
      </c>
      <c r="CG1" s="1856"/>
      <c r="CH1" s="1856">
        <v>8</v>
      </c>
      <c r="CI1" s="1856"/>
      <c r="CJ1" s="1856">
        <v>9</v>
      </c>
      <c r="CK1" s="1856"/>
      <c r="CL1" s="1851">
        <v>10</v>
      </c>
      <c r="CM1" s="1851"/>
      <c r="CN1" s="1856">
        <v>11</v>
      </c>
      <c r="CO1" s="1856"/>
      <c r="CP1" s="1856">
        <v>12</v>
      </c>
      <c r="CQ1" s="1856"/>
      <c r="CR1" s="1763">
        <v>13</v>
      </c>
      <c r="CS1" s="1763"/>
      <c r="CT1" s="1851">
        <v>14</v>
      </c>
      <c r="CU1" s="1930"/>
      <c r="CV1" s="36" t="str">
        <f>チェックシート!H3</f>
        <v>Kyoto City(R4.11) ver112</v>
      </c>
      <c r="EG1" s="167"/>
      <c r="EH1" s="167"/>
      <c r="EI1" s="167"/>
      <c r="EJ1" s="167"/>
      <c r="EK1" s="167"/>
      <c r="FV1" s="167"/>
      <c r="FW1" s="167"/>
      <c r="FX1" s="167"/>
      <c r="FY1" s="167"/>
      <c r="FZ1" s="167"/>
    </row>
    <row r="2" spans="1:183" ht="27" customHeight="1">
      <c r="A2" s="677" t="s">
        <v>2723</v>
      </c>
      <c r="B2" s="645"/>
      <c r="C2" s="645"/>
      <c r="D2" s="645"/>
      <c r="E2" s="646"/>
      <c r="M2" s="2272"/>
      <c r="N2" s="2273"/>
      <c r="O2" s="2274"/>
      <c r="P2" s="34" t="s">
        <v>359</v>
      </c>
      <c r="Q2" s="34"/>
      <c r="R2" s="34"/>
      <c r="S2" s="34"/>
      <c r="T2" s="34"/>
      <c r="U2" s="2275"/>
      <c r="V2" s="2275"/>
      <c r="W2" s="2275"/>
      <c r="X2" s="34" t="s">
        <v>360</v>
      </c>
      <c r="Y2" s="34"/>
      <c r="Z2" s="34"/>
      <c r="AA2" s="34"/>
      <c r="AC2" s="1932"/>
      <c r="AD2" s="1932"/>
      <c r="AE2" s="1932"/>
      <c r="AF2" s="34" t="s">
        <v>3032</v>
      </c>
      <c r="AN2" s="760"/>
      <c r="AO2" s="1933"/>
      <c r="AP2" s="1933"/>
      <c r="AQ2" s="1933"/>
      <c r="AR2" s="34" t="s">
        <v>366</v>
      </c>
      <c r="AY2" s="35"/>
      <c r="AZ2" s="25"/>
      <c r="BA2" s="25"/>
      <c r="BB2" s="25"/>
      <c r="BC2" s="35"/>
      <c r="BD2" s="35"/>
      <c r="BE2" s="35"/>
      <c r="BF2" s="35"/>
      <c r="BG2" s="35"/>
      <c r="BN2" s="1936">
        <v>15</v>
      </c>
      <c r="BO2" s="1936"/>
      <c r="BP2" s="1936">
        <v>16</v>
      </c>
      <c r="BQ2" s="1936"/>
      <c r="BR2" s="1792">
        <v>17</v>
      </c>
      <c r="BS2" s="1792"/>
      <c r="BT2" s="1763">
        <v>18</v>
      </c>
      <c r="BU2" s="1791"/>
      <c r="BV2" s="1763">
        <v>19</v>
      </c>
      <c r="BW2" s="1791"/>
      <c r="BX2" s="1763">
        <v>20</v>
      </c>
      <c r="BY2" s="1791"/>
      <c r="BZ2" s="1763">
        <v>21</v>
      </c>
      <c r="CA2" s="1857"/>
      <c r="CB2" s="1763">
        <v>22</v>
      </c>
      <c r="CC2" s="1791"/>
      <c r="CD2" s="1763">
        <v>23</v>
      </c>
      <c r="CE2" s="1791"/>
      <c r="CF2" s="1763" t="s">
        <v>3097</v>
      </c>
      <c r="CG2" s="1791"/>
      <c r="CH2" s="1763" t="s">
        <v>3098</v>
      </c>
      <c r="CI2" s="1791"/>
      <c r="CJ2" s="1790" t="s">
        <v>3100</v>
      </c>
      <c r="CK2" s="1791"/>
      <c r="CL2" s="1790" t="s">
        <v>3101</v>
      </c>
      <c r="CM2" s="1791"/>
      <c r="CN2" s="1763" t="s">
        <v>3099</v>
      </c>
      <c r="CO2" s="1791"/>
      <c r="CP2" s="1763" t="s">
        <v>3102</v>
      </c>
      <c r="CQ2" s="1791"/>
      <c r="CR2" s="1763" t="s">
        <v>3103</v>
      </c>
      <c r="CS2" s="1791"/>
      <c r="CT2" s="1790" t="s">
        <v>3104</v>
      </c>
      <c r="CU2" s="1791"/>
      <c r="DM2" s="168" t="s">
        <v>342</v>
      </c>
      <c r="DN2" s="168" t="s">
        <v>343</v>
      </c>
      <c r="DO2" s="168" t="s">
        <v>344</v>
      </c>
      <c r="DP2" s="168" t="s">
        <v>344</v>
      </c>
      <c r="DQ2" s="168"/>
      <c r="DR2" s="169"/>
      <c r="DS2" s="136" t="s">
        <v>380</v>
      </c>
      <c r="DT2" s="136" t="s">
        <v>380</v>
      </c>
      <c r="DU2" s="136" t="s">
        <v>380</v>
      </c>
      <c r="DV2" s="170"/>
      <c r="DW2" s="170"/>
      <c r="DX2" s="170"/>
      <c r="DY2" s="170"/>
      <c r="DZ2" s="170"/>
      <c r="EA2" s="170"/>
      <c r="EB2" s="1040" t="s">
        <v>946</v>
      </c>
      <c r="EC2" s="170"/>
      <c r="ED2" s="170"/>
      <c r="EE2" s="169" t="s">
        <v>947</v>
      </c>
      <c r="EF2" s="170"/>
      <c r="EG2" s="170"/>
      <c r="EH2" s="170"/>
      <c r="EI2" s="170"/>
      <c r="EJ2" s="170"/>
      <c r="EK2" s="170"/>
      <c r="EL2" s="170"/>
      <c r="EM2" s="170"/>
      <c r="EN2" s="170"/>
      <c r="EO2" s="170"/>
      <c r="EP2" s="170"/>
      <c r="EQ2" s="170"/>
      <c r="ER2" s="170"/>
      <c r="ES2" s="170"/>
      <c r="ET2" s="170"/>
      <c r="EU2" s="170"/>
      <c r="EV2" s="170"/>
      <c r="EW2" s="170"/>
      <c r="EX2" s="170"/>
      <c r="EY2" s="1040" t="s">
        <v>948</v>
      </c>
      <c r="EZ2" s="1040"/>
      <c r="FA2" s="169" t="s">
        <v>947</v>
      </c>
      <c r="FB2" s="170"/>
      <c r="FC2" s="170"/>
      <c r="FD2" s="170"/>
      <c r="FE2" s="170"/>
      <c r="FF2" s="170"/>
      <c r="FG2" s="170"/>
      <c r="FH2" s="170"/>
      <c r="FI2" s="170"/>
      <c r="FJ2" s="1041" t="s">
        <v>1148</v>
      </c>
      <c r="FK2" s="1041" t="s">
        <v>1149</v>
      </c>
      <c r="FL2" s="1041" t="s">
        <v>1150</v>
      </c>
      <c r="FM2" s="1041" t="s">
        <v>1151</v>
      </c>
      <c r="FN2" s="1041" t="s">
        <v>1152</v>
      </c>
      <c r="FQ2" s="1040" t="s">
        <v>946</v>
      </c>
      <c r="FR2" s="170"/>
      <c r="FS2" s="170"/>
      <c r="FT2" s="169" t="s">
        <v>947</v>
      </c>
      <c r="FU2" s="170"/>
      <c r="FV2" s="170"/>
      <c r="FW2" s="170"/>
      <c r="FX2" s="170"/>
      <c r="FY2" s="170"/>
      <c r="FZ2" s="170"/>
    </row>
    <row r="3" spans="1:183" ht="27" customHeight="1">
      <c r="A3" s="645"/>
      <c r="B3" s="645"/>
      <c r="C3" s="645"/>
      <c r="D3" s="645"/>
      <c r="E3" s="646"/>
      <c r="AW3" s="35"/>
      <c r="AX3" s="35"/>
      <c r="AY3" s="35"/>
      <c r="AZ3" s="35"/>
      <c r="BA3" s="35"/>
      <c r="BB3" s="35"/>
      <c r="BC3" s="35"/>
      <c r="BD3" s="35"/>
      <c r="BE3" s="35"/>
      <c r="BF3" s="35"/>
      <c r="BG3" s="35"/>
      <c r="BH3" s="35"/>
      <c r="BI3" s="35"/>
      <c r="BJ3" s="35"/>
      <c r="BK3" s="35"/>
      <c r="BL3" s="35"/>
      <c r="BM3" s="35"/>
      <c r="BN3" s="35"/>
      <c r="BO3" s="35"/>
      <c r="BP3" s="35"/>
      <c r="BQ3" s="35"/>
      <c r="BR3" s="35"/>
      <c r="BS3" s="35"/>
      <c r="BT3" s="35"/>
      <c r="BV3" s="708" t="s">
        <v>2668</v>
      </c>
      <c r="DM3" s="166" t="s">
        <v>2442</v>
      </c>
      <c r="DN3" s="166" t="s">
        <v>2500</v>
      </c>
      <c r="DO3" s="582"/>
      <c r="DP3" s="582" t="s">
        <v>2501</v>
      </c>
      <c r="DQ3" s="166" t="s">
        <v>2499</v>
      </c>
      <c r="EG3" s="167"/>
      <c r="EH3" s="167"/>
      <c r="EI3" s="167"/>
      <c r="EJ3" s="167"/>
      <c r="EK3" s="167"/>
      <c r="FV3" s="167"/>
      <c r="FW3" s="167"/>
      <c r="FX3" s="167"/>
      <c r="FY3" s="167"/>
      <c r="FZ3" s="167"/>
    </row>
    <row r="4" spans="1:183" s="172" customFormat="1" ht="27" customHeight="1">
      <c r="A4" s="645"/>
      <c r="B4" s="645"/>
      <c r="C4" s="645"/>
      <c r="D4" s="645"/>
      <c r="E4" s="646"/>
      <c r="F4" s="381"/>
      <c r="G4" s="381"/>
      <c r="H4" s="381"/>
      <c r="I4" s="16"/>
      <c r="J4" s="2292" t="s">
        <v>1376</v>
      </c>
      <c r="K4" s="1820"/>
      <c r="L4" s="1820"/>
      <c r="M4" s="1824"/>
      <c r="N4" s="1824"/>
      <c r="O4" s="1824"/>
      <c r="P4" s="1820" t="s">
        <v>1377</v>
      </c>
      <c r="Q4" s="1820"/>
      <c r="R4" s="1820" t="s">
        <v>1378</v>
      </c>
      <c r="S4" s="1820"/>
      <c r="T4" s="1821"/>
      <c r="U4" s="17"/>
      <c r="V4" s="70" t="s">
        <v>3109</v>
      </c>
      <c r="W4" s="73"/>
      <c r="X4" s="73"/>
      <c r="Y4" s="73"/>
      <c r="Z4" s="73"/>
      <c r="AA4" s="73"/>
      <c r="AB4" s="74"/>
      <c r="AC4" s="74"/>
      <c r="AD4" s="74"/>
      <c r="AE4" s="74"/>
      <c r="AF4" s="74"/>
      <c r="AG4" s="74"/>
      <c r="AH4" s="74"/>
      <c r="AI4" s="74"/>
      <c r="AJ4" s="74"/>
      <c r="AK4" s="1043"/>
      <c r="AL4" s="1043"/>
      <c r="AM4" s="1043"/>
      <c r="AN4" s="1043"/>
      <c r="AO4" s="1043"/>
      <c r="AP4" s="1043"/>
      <c r="AQ4" s="1043"/>
      <c r="AR4" s="1043"/>
      <c r="AS4" s="1043"/>
      <c r="AT4" s="1043"/>
      <c r="AU4" s="1043"/>
      <c r="AV4" s="1043"/>
      <c r="AW4" s="1808" t="s">
        <v>688</v>
      </c>
      <c r="AX4" s="1809"/>
      <c r="AY4" s="1809"/>
      <c r="AZ4" s="1809"/>
      <c r="BA4" s="1809"/>
      <c r="BB4" s="1809"/>
      <c r="BC4" s="1822" t="s">
        <v>316</v>
      </c>
      <c r="BD4" s="1822"/>
      <c r="BE4" s="1822"/>
      <c r="BF4" s="1803"/>
      <c r="BG4" s="1803"/>
      <c r="BH4" s="1803"/>
      <c r="BI4" s="900" t="s">
        <v>12</v>
      </c>
      <c r="BJ4" s="900"/>
      <c r="BK4" s="1803"/>
      <c r="BL4" s="1803"/>
      <c r="BM4" s="1803"/>
      <c r="BN4" s="900" t="s">
        <v>170</v>
      </c>
      <c r="BO4" s="900"/>
      <c r="BP4" s="1803"/>
      <c r="BQ4" s="1803"/>
      <c r="BR4" s="1803"/>
      <c r="BS4" s="267" t="s">
        <v>171</v>
      </c>
      <c r="BT4" s="267"/>
      <c r="BU4" s="1044"/>
      <c r="BV4" s="708" t="s">
        <v>2727</v>
      </c>
      <c r="BW4" s="708" t="s">
        <v>2725</v>
      </c>
      <c r="BX4" s="709"/>
      <c r="BY4" s="709"/>
      <c r="BZ4" s="709"/>
      <c r="CA4" s="709"/>
      <c r="CB4" s="709"/>
      <c r="CC4" s="709"/>
      <c r="CD4" s="709"/>
      <c r="CE4" s="709"/>
      <c r="CF4" s="709"/>
      <c r="CG4" s="709"/>
      <c r="CH4" s="709"/>
      <c r="CI4" s="709"/>
      <c r="CJ4" s="709"/>
      <c r="CK4" s="709"/>
      <c r="CL4" s="709"/>
      <c r="CM4" s="709"/>
      <c r="CN4" s="709"/>
      <c r="CO4" s="709"/>
      <c r="CP4" s="709"/>
      <c r="CQ4" s="709"/>
      <c r="CR4" s="709"/>
      <c r="CS4" s="709"/>
      <c r="CT4" s="709"/>
      <c r="CU4" s="709"/>
      <c r="CV4" s="398"/>
      <c r="CW4" s="398"/>
      <c r="CX4" s="398"/>
      <c r="CY4" s="398"/>
      <c r="CZ4" s="398"/>
      <c r="DA4" s="398"/>
      <c r="DB4" s="398"/>
      <c r="DC4" s="35"/>
      <c r="DD4" s="398"/>
      <c r="DE4" s="398"/>
      <c r="DF4" s="398"/>
      <c r="DG4" s="398"/>
      <c r="DH4" s="398"/>
      <c r="DI4" s="398"/>
      <c r="DJ4" s="398"/>
      <c r="DK4" s="1045"/>
      <c r="DL4" s="1046"/>
      <c r="DM4" s="249">
        <f>COUNTA(BF4,BK4,BP4)</f>
        <v>0</v>
      </c>
      <c r="DN4" s="249" t="str">
        <f>IF(DM4&lt;3,"","令和"&amp;BF4&amp;"年"&amp;BK4&amp;"月"&amp;BP4&amp;"日")</f>
        <v/>
      </c>
      <c r="DO4" s="1047"/>
      <c r="DP4" s="583">
        <v>43465</v>
      </c>
      <c r="DQ4" s="180">
        <f>BF4*12+BK4-3</f>
        <v>-3</v>
      </c>
      <c r="FO4" s="1046"/>
      <c r="GA4" s="171"/>
    </row>
    <row r="5" spans="1:183" ht="27" customHeight="1" thickBot="1">
      <c r="A5" s="645"/>
      <c r="B5" s="645"/>
      <c r="C5" s="645"/>
      <c r="D5" s="645"/>
      <c r="E5" s="646"/>
      <c r="AR5" s="35"/>
      <c r="AS5" s="35"/>
      <c r="AT5" s="35"/>
      <c r="AU5" s="35"/>
      <c r="AV5" s="35"/>
      <c r="AW5" s="35"/>
      <c r="AX5" s="35"/>
      <c r="CU5" s="1669" t="str">
        <f>チェックシート!H3</f>
        <v>Kyoto City(R4.11) ver112</v>
      </c>
      <c r="DN5" s="835">
        <f>DATE(VLOOKUP($BC$4,$DT$6:$DV$9,3,FALSE)+$BF$4,$BK$4,$BP$4)</f>
        <v>43069</v>
      </c>
      <c r="DO5" s="582"/>
      <c r="DS5" s="167" t="s">
        <v>5638</v>
      </c>
      <c r="EG5" s="167"/>
      <c r="EH5" s="167"/>
      <c r="EI5" s="167"/>
      <c r="EJ5" s="167"/>
      <c r="EK5" s="167"/>
      <c r="FV5" s="167"/>
      <c r="FW5" s="167"/>
      <c r="FX5" s="167"/>
      <c r="FY5" s="167"/>
      <c r="FZ5" s="167"/>
    </row>
    <row r="6" spans="1:183" s="174" customFormat="1" ht="35.15" customHeight="1">
      <c r="A6" s="645"/>
      <c r="B6" s="645"/>
      <c r="C6" s="645"/>
      <c r="D6" s="645"/>
      <c r="E6" s="646"/>
      <c r="F6" s="381"/>
      <c r="G6" s="381"/>
      <c r="H6" s="381"/>
      <c r="I6" s="43"/>
      <c r="J6" s="1831" t="s">
        <v>1693</v>
      </c>
      <c r="K6" s="2225"/>
      <c r="L6" s="2225"/>
      <c r="M6" s="2225"/>
      <c r="N6" s="2225"/>
      <c r="O6" s="2225"/>
      <c r="P6" s="2225"/>
      <c r="Q6" s="2225"/>
      <c r="R6" s="2225"/>
      <c r="S6" s="2225"/>
      <c r="T6" s="2225"/>
      <c r="U6" s="2225"/>
      <c r="V6" s="2225"/>
      <c r="W6" s="2225"/>
      <c r="X6" s="2225"/>
      <c r="Y6" s="2225"/>
      <c r="Z6" s="2225"/>
      <c r="AA6" s="2225"/>
      <c r="AB6" s="2225"/>
      <c r="AC6" s="2225"/>
      <c r="AD6" s="2225"/>
      <c r="AE6" s="2225"/>
      <c r="AF6" s="2225"/>
      <c r="AG6" s="2225"/>
      <c r="AH6" s="2225"/>
      <c r="AI6" s="2225"/>
      <c r="AJ6" s="2225"/>
      <c r="AK6" s="2225"/>
      <c r="AL6" s="2225"/>
      <c r="AM6" s="2225"/>
      <c r="AN6" s="2225"/>
      <c r="AO6" s="2225"/>
      <c r="AP6" s="2225"/>
      <c r="AQ6" s="2225"/>
      <c r="AR6" s="2225"/>
      <c r="AS6" s="2225"/>
      <c r="AT6" s="2225"/>
      <c r="AU6" s="2225"/>
      <c r="AV6" s="2225"/>
      <c r="AW6" s="2225"/>
      <c r="AX6" s="2225"/>
      <c r="AY6" s="2225"/>
      <c r="AZ6" s="2225"/>
      <c r="BA6" s="2225"/>
      <c r="BB6" s="2225"/>
      <c r="BC6" s="2225"/>
      <c r="BD6" s="2225"/>
      <c r="BE6" s="2225"/>
      <c r="BF6" s="2225"/>
      <c r="BG6" s="2225"/>
      <c r="BH6" s="2225"/>
      <c r="BI6" s="2225"/>
      <c r="BJ6" s="2225"/>
      <c r="BK6" s="2225"/>
      <c r="BL6" s="1775" t="s">
        <v>367</v>
      </c>
      <c r="BM6" s="1776"/>
      <c r="BN6" s="1776"/>
      <c r="BO6" s="1776"/>
      <c r="BP6" s="1776"/>
      <c r="BQ6" s="1776"/>
      <c r="BR6" s="1776"/>
      <c r="BS6" s="1776"/>
      <c r="BT6" s="1776"/>
      <c r="BU6" s="1048"/>
      <c r="BV6" s="710" t="s">
        <v>2726</v>
      </c>
      <c r="BW6" s="710" t="s">
        <v>2761</v>
      </c>
      <c r="BX6" s="710"/>
      <c r="BY6" s="711"/>
      <c r="BZ6" s="711"/>
      <c r="CA6" s="711"/>
      <c r="CB6" s="711"/>
      <c r="CC6" s="711"/>
      <c r="CD6" s="711"/>
      <c r="CE6" s="711"/>
      <c r="CF6" s="711"/>
      <c r="CG6" s="711"/>
      <c r="CH6" s="711"/>
      <c r="CI6" s="711"/>
      <c r="CJ6" s="711"/>
      <c r="CK6" s="711"/>
      <c r="CL6" s="711"/>
      <c r="CM6" s="711"/>
      <c r="CN6" s="711"/>
      <c r="CO6" s="711"/>
      <c r="CP6" s="711"/>
      <c r="CQ6" s="711"/>
      <c r="CR6" s="711"/>
      <c r="CS6" s="711"/>
      <c r="CT6" s="711"/>
      <c r="CU6" s="712"/>
      <c r="CV6" s="398"/>
      <c r="CW6" s="398"/>
      <c r="CX6" s="398"/>
      <c r="CY6" s="398"/>
      <c r="CZ6" s="398"/>
      <c r="DA6" s="398"/>
      <c r="DB6" s="398"/>
      <c r="DC6" s="35"/>
      <c r="DD6" s="36"/>
      <c r="DE6" s="36"/>
      <c r="DF6" s="36"/>
      <c r="DG6" s="36"/>
      <c r="DH6" s="36"/>
      <c r="DI6" s="36"/>
      <c r="DJ6" s="36"/>
      <c r="DK6" s="1049"/>
      <c r="DL6" s="1050"/>
      <c r="DM6" s="173"/>
      <c r="DN6" s="173"/>
      <c r="DO6" s="173"/>
      <c r="DP6" s="173"/>
      <c r="DQ6" s="1687"/>
      <c r="DR6" s="1688"/>
      <c r="DS6" s="1686">
        <v>9856</v>
      </c>
      <c r="DT6" s="273" t="s">
        <v>5633</v>
      </c>
      <c r="DU6" s="273" t="s">
        <v>5634</v>
      </c>
      <c r="DV6" s="273">
        <f>YEAR(DS6)-1</f>
        <v>1925</v>
      </c>
      <c r="FO6" s="1050"/>
      <c r="GA6" s="173"/>
    </row>
    <row r="7" spans="1:183" s="172" customFormat="1" ht="27" customHeight="1">
      <c r="A7" s="645"/>
      <c r="B7" s="645"/>
      <c r="C7" s="645"/>
      <c r="D7" s="645"/>
      <c r="E7" s="646"/>
      <c r="F7" s="381"/>
      <c r="G7" s="381"/>
      <c r="H7" s="381"/>
      <c r="I7" s="16"/>
      <c r="J7" s="39"/>
      <c r="K7" s="896"/>
      <c r="L7" s="896"/>
      <c r="M7" s="1834" t="s">
        <v>336</v>
      </c>
      <c r="N7" s="1835"/>
      <c r="O7" s="1835"/>
      <c r="P7" s="1835"/>
      <c r="Q7" s="1835"/>
      <c r="R7" s="1835"/>
      <c r="S7" s="1835"/>
      <c r="T7" s="1835"/>
      <c r="U7" s="1835"/>
      <c r="V7" s="1835"/>
      <c r="W7" s="1835"/>
      <c r="X7" s="1835"/>
      <c r="Y7" s="1834"/>
      <c r="Z7" s="1835"/>
      <c r="AA7" s="1835"/>
      <c r="AB7" s="2291"/>
      <c r="AC7" s="2291"/>
      <c r="AD7" s="2291"/>
      <c r="AE7" s="2291"/>
      <c r="AF7" s="2291"/>
      <c r="AG7" s="2291"/>
      <c r="AH7" s="2291"/>
      <c r="AI7" s="2291"/>
      <c r="AJ7" s="636"/>
      <c r="AK7" s="1817"/>
      <c r="AL7" s="1818"/>
      <c r="AM7" s="1818"/>
      <c r="AN7" s="1819"/>
      <c r="AO7" s="1819"/>
      <c r="AP7" s="1819"/>
      <c r="AQ7" s="1810" t="s">
        <v>1161</v>
      </c>
      <c r="AR7" s="1811"/>
      <c r="AS7" s="1811"/>
      <c r="AT7" s="1812"/>
      <c r="AU7" s="1813"/>
      <c r="AV7" s="1813"/>
      <c r="AW7" s="1814"/>
      <c r="AX7" s="1814"/>
      <c r="AY7" s="1814"/>
      <c r="AZ7" s="900"/>
      <c r="BA7" s="900"/>
      <c r="BB7" s="900"/>
      <c r="BC7" s="900"/>
      <c r="BD7" s="900"/>
      <c r="BE7" s="900"/>
      <c r="BF7" s="900"/>
      <c r="BG7" s="900"/>
      <c r="BH7" s="900"/>
      <c r="BI7" s="900"/>
      <c r="BJ7" s="900"/>
      <c r="BK7" s="900"/>
      <c r="BL7" s="900"/>
      <c r="BM7" s="900"/>
      <c r="BN7" s="900"/>
      <c r="BO7" s="900"/>
      <c r="BP7" s="900"/>
      <c r="BQ7" s="900"/>
      <c r="BR7" s="900"/>
      <c r="BS7" s="900"/>
      <c r="BT7" s="900"/>
      <c r="BU7" s="718"/>
      <c r="BV7" s="713" t="s">
        <v>2728</v>
      </c>
      <c r="BW7" s="713"/>
      <c r="BX7" s="713"/>
      <c r="BY7" s="891"/>
      <c r="BZ7" s="891"/>
      <c r="CA7" s="891"/>
      <c r="CB7" s="891"/>
      <c r="CC7" s="891"/>
      <c r="CD7" s="891"/>
      <c r="CE7" s="891"/>
      <c r="CF7" s="891"/>
      <c r="CG7" s="891"/>
      <c r="CH7" s="891"/>
      <c r="CI7" s="891"/>
      <c r="CJ7" s="891"/>
      <c r="CK7" s="891"/>
      <c r="CL7" s="891"/>
      <c r="CM7" s="891"/>
      <c r="CN7" s="891"/>
      <c r="CO7" s="891"/>
      <c r="CP7" s="891"/>
      <c r="CQ7" s="891"/>
      <c r="CR7" s="891"/>
      <c r="CS7" s="891"/>
      <c r="CT7" s="891"/>
      <c r="CU7" s="918"/>
      <c r="CV7" s="398"/>
      <c r="CW7" s="398"/>
      <c r="CX7" s="398"/>
      <c r="CY7" s="398"/>
      <c r="CZ7" s="398"/>
      <c r="DA7" s="398"/>
      <c r="DB7" s="398"/>
      <c r="DC7" s="35"/>
      <c r="DD7" s="36"/>
      <c r="DE7" s="36"/>
      <c r="DF7" s="36"/>
      <c r="DG7" s="36"/>
      <c r="DH7" s="36"/>
      <c r="DI7" s="36"/>
      <c r="DJ7" s="36"/>
      <c r="DK7" s="1045"/>
      <c r="DL7" s="1046"/>
      <c r="DQ7" s="374"/>
      <c r="DR7" s="374"/>
      <c r="DS7" s="1686">
        <v>32516</v>
      </c>
      <c r="DT7" s="273" t="s">
        <v>5635</v>
      </c>
      <c r="DU7" s="273" t="s">
        <v>2656</v>
      </c>
      <c r="DV7" s="273">
        <f t="shared" ref="DV7:DV9" si="0">YEAR(DS7)-1</f>
        <v>1988</v>
      </c>
      <c r="FO7" s="1046"/>
      <c r="GA7" s="171"/>
    </row>
    <row r="8" spans="1:183" s="172" customFormat="1" ht="27" customHeight="1">
      <c r="A8" s="645"/>
      <c r="B8" s="645"/>
      <c r="C8" s="645"/>
      <c r="D8" s="645"/>
      <c r="E8" s="646"/>
      <c r="F8" s="381"/>
      <c r="G8" s="381"/>
      <c r="H8" s="381"/>
      <c r="I8" s="16"/>
      <c r="J8" s="39"/>
      <c r="K8" s="896"/>
      <c r="L8" s="896"/>
      <c r="M8" s="1822" t="s">
        <v>265</v>
      </c>
      <c r="N8" s="1823"/>
      <c r="O8" s="1823"/>
      <c r="P8" s="1823"/>
      <c r="Q8" s="1823"/>
      <c r="R8" s="1823"/>
      <c r="S8" s="1827" t="s">
        <v>697</v>
      </c>
      <c r="T8" s="1843"/>
      <c r="U8" s="1843"/>
      <c r="V8" s="1843"/>
      <c r="W8" s="1843"/>
      <c r="X8" s="1843"/>
      <c r="Y8" s="1843"/>
      <c r="Z8" s="1843"/>
      <c r="AA8" s="1843"/>
      <c r="AB8" s="2290"/>
      <c r="AC8" s="1786"/>
      <c r="AD8" s="1786"/>
      <c r="AE8" s="1786"/>
      <c r="AF8" s="1786"/>
      <c r="AG8" s="1786"/>
      <c r="AH8" s="1786"/>
      <c r="AI8" s="1786"/>
      <c r="AJ8" s="1786"/>
      <c r="AK8" s="1786"/>
      <c r="AL8" s="1786"/>
      <c r="AM8" s="1786"/>
      <c r="AN8" s="1783"/>
      <c r="AO8" s="1783"/>
      <c r="AP8" s="1783"/>
      <c r="AQ8" s="1783"/>
      <c r="AR8" s="1783"/>
      <c r="AS8" s="1783"/>
      <c r="AT8" s="1783"/>
      <c r="AU8" s="1783"/>
      <c r="AV8" s="1783"/>
      <c r="AW8" s="1783"/>
      <c r="AX8" s="1783"/>
      <c r="AY8" s="1783"/>
      <c r="AZ8" s="1783"/>
      <c r="BA8" s="1783"/>
      <c r="BB8" s="1783"/>
      <c r="BC8" s="1783"/>
      <c r="BD8" s="1783"/>
      <c r="BE8" s="1783"/>
      <c r="BF8" s="1783"/>
      <c r="BG8" s="1783"/>
      <c r="BH8" s="1783"/>
      <c r="BI8" s="1783"/>
      <c r="BJ8" s="1783"/>
      <c r="BK8" s="1783"/>
      <c r="BL8" s="1783"/>
      <c r="BM8" s="1783"/>
      <c r="BN8" s="1783"/>
      <c r="BO8" s="1783"/>
      <c r="BP8" s="1783"/>
      <c r="BQ8" s="1783"/>
      <c r="BR8" s="1783"/>
      <c r="BS8" s="1783"/>
      <c r="BT8" s="1783"/>
      <c r="BU8" s="718"/>
      <c r="BV8" s="891"/>
      <c r="BW8" s="891"/>
      <c r="BX8" s="1764" t="s">
        <v>3321</v>
      </c>
      <c r="BY8" s="1764"/>
      <c r="BZ8" s="1764"/>
      <c r="CA8" s="1764"/>
      <c r="CB8" s="1764"/>
      <c r="CC8" s="1764"/>
      <c r="CD8" s="1764"/>
      <c r="CE8" s="1764"/>
      <c r="CF8" s="1764"/>
      <c r="CG8" s="1764"/>
      <c r="CH8" s="1764"/>
      <c r="CI8" s="1764"/>
      <c r="CJ8" s="1764"/>
      <c r="CK8" s="1764"/>
      <c r="CL8" s="1764"/>
      <c r="CM8" s="1764"/>
      <c r="CN8" s="1764"/>
      <c r="CO8" s="1764"/>
      <c r="CP8" s="1764"/>
      <c r="CQ8" s="1764"/>
      <c r="CR8" s="1764"/>
      <c r="CS8" s="1764"/>
      <c r="CT8" s="891"/>
      <c r="CU8" s="918"/>
      <c r="CV8" s="398"/>
      <c r="CW8" s="398"/>
      <c r="CX8" s="398"/>
      <c r="CY8" s="398"/>
      <c r="CZ8" s="398"/>
      <c r="DA8" s="398"/>
      <c r="DB8" s="398"/>
      <c r="DC8" s="35"/>
      <c r="DD8" s="36"/>
      <c r="DE8" s="36"/>
      <c r="DF8" s="36"/>
      <c r="DG8" s="36"/>
      <c r="DH8" s="36"/>
      <c r="DI8" s="36"/>
      <c r="DJ8" s="36"/>
      <c r="DK8" s="1045"/>
      <c r="DL8" s="1046"/>
      <c r="DM8" s="171"/>
      <c r="DN8" s="171"/>
      <c r="DO8" s="171"/>
      <c r="DP8" s="171"/>
      <c r="DQ8" s="425"/>
      <c r="DR8" s="374"/>
      <c r="DS8" s="1686">
        <v>43586</v>
      </c>
      <c r="DT8" s="273" t="s">
        <v>5636</v>
      </c>
      <c r="DU8" s="273" t="s">
        <v>5637</v>
      </c>
      <c r="DV8" s="273">
        <f t="shared" si="0"/>
        <v>2018</v>
      </c>
      <c r="FO8" s="1046"/>
      <c r="GA8" s="171"/>
    </row>
    <row r="9" spans="1:183" s="174" customFormat="1" ht="27" customHeight="1">
      <c r="A9" s="645"/>
      <c r="B9" s="645"/>
      <c r="C9" s="645"/>
      <c r="D9" s="645"/>
      <c r="E9" s="646"/>
      <c r="F9" s="381"/>
      <c r="G9" s="381"/>
      <c r="H9" s="381"/>
      <c r="I9" s="43"/>
      <c r="J9" s="38"/>
      <c r="K9" s="44"/>
      <c r="L9" s="44"/>
      <c r="M9" s="1823"/>
      <c r="N9" s="1823"/>
      <c r="O9" s="1823"/>
      <c r="P9" s="1823"/>
      <c r="Q9" s="1823"/>
      <c r="R9" s="1823"/>
      <c r="S9" s="1844" t="s">
        <v>265</v>
      </c>
      <c r="T9" s="1845"/>
      <c r="U9" s="1845"/>
      <c r="V9" s="1845"/>
      <c r="W9" s="1845"/>
      <c r="X9" s="1845"/>
      <c r="Y9" s="1845"/>
      <c r="Z9" s="1845"/>
      <c r="AA9" s="1845"/>
      <c r="AB9" s="1781"/>
      <c r="AC9" s="1781"/>
      <c r="AD9" s="1781"/>
      <c r="AE9" s="1781"/>
      <c r="AF9" s="1781"/>
      <c r="AG9" s="1781"/>
      <c r="AH9" s="1781"/>
      <c r="AI9" s="1781"/>
      <c r="AJ9" s="1781"/>
      <c r="AK9" s="1781"/>
      <c r="AL9" s="1781"/>
      <c r="AM9" s="1781"/>
      <c r="AN9" s="1782"/>
      <c r="AO9" s="1782"/>
      <c r="AP9" s="1782"/>
      <c r="AQ9" s="1782"/>
      <c r="AR9" s="1782"/>
      <c r="AS9" s="1782"/>
      <c r="AT9" s="1782"/>
      <c r="AU9" s="1782"/>
      <c r="AV9" s="1782"/>
      <c r="AW9" s="1782"/>
      <c r="AX9" s="1782"/>
      <c r="AY9" s="1782"/>
      <c r="AZ9" s="1782"/>
      <c r="BA9" s="1782"/>
      <c r="BB9" s="1782"/>
      <c r="BC9" s="1782"/>
      <c r="BD9" s="1782"/>
      <c r="BE9" s="1782"/>
      <c r="BF9" s="1782"/>
      <c r="BG9" s="1782"/>
      <c r="BH9" s="1782"/>
      <c r="BI9" s="1782"/>
      <c r="BJ9" s="1782"/>
      <c r="BK9" s="1782"/>
      <c r="BL9" s="1782"/>
      <c r="BM9" s="1782"/>
      <c r="BN9" s="1782"/>
      <c r="BO9" s="1782"/>
      <c r="BP9" s="1782"/>
      <c r="BQ9" s="1782"/>
      <c r="BR9" s="1782"/>
      <c r="BS9" s="1782"/>
      <c r="BT9" s="1782"/>
      <c r="BU9" s="1051"/>
      <c r="BV9" s="714"/>
      <c r="BW9" s="714"/>
      <c r="BX9" s="1764"/>
      <c r="BY9" s="1764"/>
      <c r="BZ9" s="1764"/>
      <c r="CA9" s="1764"/>
      <c r="CB9" s="1764"/>
      <c r="CC9" s="1764"/>
      <c r="CD9" s="1764"/>
      <c r="CE9" s="1764"/>
      <c r="CF9" s="1764"/>
      <c r="CG9" s="1764"/>
      <c r="CH9" s="1764"/>
      <c r="CI9" s="1764"/>
      <c r="CJ9" s="1764"/>
      <c r="CK9" s="1764"/>
      <c r="CL9" s="1764"/>
      <c r="CM9" s="1764"/>
      <c r="CN9" s="1764"/>
      <c r="CO9" s="1764"/>
      <c r="CP9" s="1764"/>
      <c r="CQ9" s="1764"/>
      <c r="CR9" s="1764"/>
      <c r="CS9" s="1764"/>
      <c r="CT9" s="714"/>
      <c r="CU9" s="715"/>
      <c r="CV9" s="45"/>
      <c r="CW9" s="45"/>
      <c r="CX9" s="45"/>
      <c r="CY9" s="45"/>
      <c r="CZ9" s="45"/>
      <c r="DA9" s="45"/>
      <c r="DB9" s="45"/>
      <c r="DC9" s="599"/>
      <c r="DD9" s="584"/>
      <c r="DE9" s="584"/>
      <c r="DF9" s="584"/>
      <c r="DG9" s="584"/>
      <c r="DH9" s="584"/>
      <c r="DI9" s="584"/>
      <c r="DJ9" s="584"/>
      <c r="DK9" s="1049"/>
      <c r="DL9" s="1050"/>
      <c r="DM9" s="173"/>
      <c r="DN9" s="173" t="s">
        <v>2433</v>
      </c>
      <c r="DO9" s="173"/>
      <c r="DP9" s="173"/>
      <c r="DQ9" s="173"/>
      <c r="DS9" s="1686">
        <v>73051</v>
      </c>
      <c r="DT9" s="273" t="s">
        <v>5642</v>
      </c>
      <c r="DU9" s="273"/>
      <c r="DV9" s="273">
        <f t="shared" si="0"/>
        <v>2099</v>
      </c>
      <c r="FO9" s="1050"/>
      <c r="GA9" s="173"/>
    </row>
    <row r="10" spans="1:183" s="172" customFormat="1" ht="27" hidden="1" customHeight="1">
      <c r="A10" s="645"/>
      <c r="B10" s="645"/>
      <c r="C10" s="645"/>
      <c r="D10" s="645"/>
      <c r="E10" s="646"/>
      <c r="F10" s="381"/>
      <c r="G10" s="381"/>
      <c r="H10" s="381"/>
      <c r="I10" s="16"/>
      <c r="J10" s="39"/>
      <c r="K10" s="896"/>
      <c r="L10" s="896"/>
      <c r="M10" s="1944" t="s">
        <v>1024</v>
      </c>
      <c r="N10" s="1945"/>
      <c r="O10" s="1945"/>
      <c r="P10" s="1945"/>
      <c r="Q10" s="1945"/>
      <c r="R10" s="1945"/>
      <c r="S10" s="1827" t="s">
        <v>1162</v>
      </c>
      <c r="T10" s="1931"/>
      <c r="U10" s="1931"/>
      <c r="V10" s="1931"/>
      <c r="W10" s="1931"/>
      <c r="X10" s="1931"/>
      <c r="Y10" s="1931"/>
      <c r="Z10" s="1843"/>
      <c r="AA10" s="1843"/>
      <c r="AB10" s="1804"/>
      <c r="AC10" s="1805"/>
      <c r="AD10" s="1805"/>
      <c r="AE10" s="1805"/>
      <c r="AF10" s="1805"/>
      <c r="AG10" s="1806"/>
      <c r="AH10" s="1806"/>
      <c r="AI10" s="1806"/>
      <c r="AJ10" s="1806"/>
      <c r="AK10" s="1806"/>
      <c r="AL10" s="1806"/>
      <c r="AM10" s="1806"/>
      <c r="AN10" s="1806"/>
      <c r="AO10" s="1806"/>
      <c r="AP10" s="1807"/>
      <c r="AQ10" s="1807"/>
      <c r="AR10" s="1807"/>
      <c r="AS10" s="1807"/>
      <c r="AT10" s="1807"/>
      <c r="AU10" s="1807"/>
      <c r="AV10" s="1807"/>
      <c r="AW10" s="1807"/>
      <c r="AX10" s="1807"/>
      <c r="AY10" s="1807"/>
      <c r="AZ10" s="1807"/>
      <c r="BA10" s="1807"/>
      <c r="BB10" s="1807"/>
      <c r="BC10" s="1807"/>
      <c r="BD10" s="1807"/>
      <c r="BE10" s="1807"/>
      <c r="BF10" s="1807"/>
      <c r="BG10" s="1807"/>
      <c r="BH10" s="1807"/>
      <c r="BI10" s="1807"/>
      <c r="BJ10" s="1807"/>
      <c r="BK10" s="1807"/>
      <c r="BL10" s="1807"/>
      <c r="BM10" s="1807"/>
      <c r="BN10" s="1807"/>
      <c r="BO10" s="1807"/>
      <c r="BP10" s="1807"/>
      <c r="BQ10" s="1807"/>
      <c r="BR10" s="1807"/>
      <c r="BS10" s="1807"/>
      <c r="BT10" s="1807"/>
      <c r="BU10" s="718"/>
      <c r="BV10" s="891"/>
      <c r="BW10" s="891"/>
      <c r="BX10" s="891"/>
      <c r="BY10" s="891"/>
      <c r="BZ10" s="891"/>
      <c r="CA10" s="891"/>
      <c r="CB10" s="891"/>
      <c r="CC10" s="891"/>
      <c r="CD10" s="891"/>
      <c r="CE10" s="891"/>
      <c r="CF10" s="891"/>
      <c r="CG10" s="891"/>
      <c r="CH10" s="891"/>
      <c r="CI10" s="891"/>
      <c r="CJ10" s="891"/>
      <c r="CK10" s="891"/>
      <c r="CL10" s="891"/>
      <c r="CM10" s="891"/>
      <c r="CN10" s="891"/>
      <c r="CO10" s="891"/>
      <c r="CP10" s="891"/>
      <c r="CQ10" s="891"/>
      <c r="CR10" s="891"/>
      <c r="CS10" s="891"/>
      <c r="CT10" s="891"/>
      <c r="CU10" s="918"/>
      <c r="CV10" s="398"/>
      <c r="CW10" s="398"/>
      <c r="CX10" s="398"/>
      <c r="CY10" s="398"/>
      <c r="CZ10" s="398"/>
      <c r="DA10" s="398"/>
      <c r="DB10" s="398"/>
      <c r="DC10" s="35"/>
      <c r="DD10" s="36"/>
      <c r="DE10" s="36"/>
      <c r="DF10" s="36"/>
      <c r="DG10" s="36"/>
      <c r="DH10" s="36"/>
      <c r="DI10" s="36"/>
      <c r="DJ10" s="36"/>
      <c r="DK10" s="1045"/>
      <c r="DL10" s="1046"/>
      <c r="DM10" s="171"/>
      <c r="DN10" s="180" t="str">
        <f>CONCATENATE(AB10,AB11,AB12,AB13,AB14)</f>
        <v>京都市</v>
      </c>
      <c r="DO10" s="425"/>
      <c r="DP10" s="425"/>
      <c r="DQ10" s="425"/>
      <c r="FO10" s="1046"/>
      <c r="GA10" s="171"/>
    </row>
    <row r="11" spans="1:183" s="172" customFormat="1" ht="27" customHeight="1">
      <c r="A11" s="645"/>
      <c r="B11" s="645"/>
      <c r="C11" s="645"/>
      <c r="D11" s="645"/>
      <c r="E11" s="646"/>
      <c r="F11" s="381"/>
      <c r="G11" s="381"/>
      <c r="H11" s="381"/>
      <c r="I11" s="16"/>
      <c r="J11" s="39"/>
      <c r="K11" s="896"/>
      <c r="L11" s="896"/>
      <c r="M11" s="1946"/>
      <c r="N11" s="1946"/>
      <c r="O11" s="1946"/>
      <c r="P11" s="1946"/>
      <c r="Q11" s="1946"/>
      <c r="R11" s="1946"/>
      <c r="S11" s="1846" t="s">
        <v>1163</v>
      </c>
      <c r="T11" s="1847"/>
      <c r="U11" s="1847"/>
      <c r="V11" s="1847"/>
      <c r="W11" s="1847"/>
      <c r="X11" s="1847"/>
      <c r="Y11" s="1847"/>
      <c r="Z11" s="1847"/>
      <c r="AA11" s="1848"/>
      <c r="AB11" s="1777" t="s">
        <v>2663</v>
      </c>
      <c r="AC11" s="1778"/>
      <c r="AD11" s="1778"/>
      <c r="AE11" s="1779"/>
      <c r="AF11" s="1779"/>
      <c r="AG11" s="1779"/>
      <c r="AH11" s="1779"/>
      <c r="AI11" s="1779"/>
      <c r="AJ11" s="1779"/>
      <c r="AK11" s="1779"/>
      <c r="AL11" s="1779"/>
      <c r="AM11" s="1779"/>
      <c r="AN11" s="1779"/>
      <c r="AO11" s="1779"/>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718"/>
      <c r="BV11" s="890" t="s">
        <v>2838</v>
      </c>
      <c r="BW11" s="1764" t="s">
        <v>2837</v>
      </c>
      <c r="BX11" s="1764"/>
      <c r="BY11" s="1764"/>
      <c r="BZ11" s="1764"/>
      <c r="CA11" s="1764"/>
      <c r="CB11" s="1764"/>
      <c r="CC11" s="1764"/>
      <c r="CD11" s="1764"/>
      <c r="CE11" s="1764"/>
      <c r="CF11" s="1764"/>
      <c r="CG11" s="1764"/>
      <c r="CH11" s="1764"/>
      <c r="CI11" s="1764"/>
      <c r="CJ11" s="1764"/>
      <c r="CK11" s="1764"/>
      <c r="CL11" s="1764"/>
      <c r="CM11" s="1764"/>
      <c r="CN11" s="1764"/>
      <c r="CO11" s="1764"/>
      <c r="CP11" s="1764"/>
      <c r="CQ11" s="1764"/>
      <c r="CR11" s="1764"/>
      <c r="CS11" s="1764"/>
      <c r="CT11" s="891"/>
      <c r="CU11" s="918"/>
      <c r="CV11" s="398"/>
      <c r="CW11" s="398"/>
      <c r="CX11" s="398"/>
      <c r="CY11" s="398"/>
      <c r="CZ11" s="398"/>
      <c r="DA11" s="398"/>
      <c r="DB11" s="398"/>
      <c r="DC11" s="35"/>
      <c r="DD11" s="36"/>
      <c r="DE11" s="36"/>
      <c r="DF11" s="36"/>
      <c r="DG11" s="36"/>
      <c r="DH11" s="36"/>
      <c r="DI11" s="36"/>
      <c r="DJ11" s="36"/>
      <c r="DK11" s="1045"/>
      <c r="DL11" s="1046"/>
      <c r="DM11" s="171"/>
      <c r="DN11" s="171"/>
      <c r="DO11" s="171"/>
      <c r="DP11" s="171"/>
      <c r="DQ11" s="171"/>
      <c r="FO11" s="1046"/>
      <c r="GA11" s="171"/>
    </row>
    <row r="12" spans="1:183" ht="27" customHeight="1">
      <c r="A12" s="645"/>
      <c r="B12" s="645"/>
      <c r="C12" s="645"/>
      <c r="D12" s="645"/>
      <c r="E12" s="646"/>
      <c r="J12" s="39"/>
      <c r="K12" s="896"/>
      <c r="L12" s="896"/>
      <c r="M12" s="1946"/>
      <c r="N12" s="1946"/>
      <c r="O12" s="1946"/>
      <c r="P12" s="1946"/>
      <c r="Q12" s="1946"/>
      <c r="R12" s="1946"/>
      <c r="S12" s="1800" t="s">
        <v>1164</v>
      </c>
      <c r="T12" s="1800"/>
      <c r="U12" s="1801"/>
      <c r="V12" s="1801"/>
      <c r="W12" s="1801"/>
      <c r="X12" s="1801"/>
      <c r="Y12" s="1801"/>
      <c r="Z12" s="1801"/>
      <c r="AA12" s="1802"/>
      <c r="AB12" s="1777"/>
      <c r="AC12" s="1778"/>
      <c r="AD12" s="1778"/>
      <c r="AE12" s="1779"/>
      <c r="AF12" s="1779"/>
      <c r="AG12" s="1779"/>
      <c r="AH12" s="1779"/>
      <c r="AI12" s="1779"/>
      <c r="AJ12" s="1779"/>
      <c r="AK12" s="1779"/>
      <c r="AL12" s="1779"/>
      <c r="AM12" s="1779"/>
      <c r="AN12" s="1779"/>
      <c r="AO12" s="1779"/>
      <c r="AP12" s="1780"/>
      <c r="AQ12" s="1780"/>
      <c r="AR12" s="1780"/>
      <c r="AS12" s="1780"/>
      <c r="AT12" s="1780"/>
      <c r="AU12" s="1780"/>
      <c r="AV12" s="1780"/>
      <c r="AW12" s="1780"/>
      <c r="AX12" s="1780"/>
      <c r="AY12" s="1780"/>
      <c r="AZ12" s="1780"/>
      <c r="BA12" s="1780"/>
      <c r="BB12" s="1780"/>
      <c r="BC12" s="1780"/>
      <c r="BD12" s="1780"/>
      <c r="BE12" s="1780"/>
      <c r="BF12" s="1780"/>
      <c r="BG12" s="1780"/>
      <c r="BH12" s="1780"/>
      <c r="BI12" s="1780"/>
      <c r="BJ12" s="1780"/>
      <c r="BK12" s="1780"/>
      <c r="BL12" s="1780"/>
      <c r="BM12" s="1780"/>
      <c r="BN12" s="1780"/>
      <c r="BO12" s="1780"/>
      <c r="BP12" s="1780"/>
      <c r="BQ12" s="1780"/>
      <c r="BR12" s="1780"/>
      <c r="BS12" s="1780"/>
      <c r="BT12" s="1780"/>
      <c r="BU12" s="1052"/>
      <c r="BV12" s="713" t="s">
        <v>2726</v>
      </c>
      <c r="BW12" s="713" t="s">
        <v>2729</v>
      </c>
      <c r="BX12" s="713"/>
      <c r="BY12" s="713" t="s">
        <v>2730</v>
      </c>
      <c r="BZ12" s="891"/>
      <c r="CA12" s="891"/>
      <c r="CB12" s="891"/>
      <c r="CC12" s="891"/>
      <c r="CD12" s="891"/>
      <c r="CE12" s="891"/>
      <c r="CF12" s="891"/>
      <c r="CG12" s="891"/>
      <c r="CH12" s="891"/>
      <c r="CI12" s="891"/>
      <c r="CJ12" s="891"/>
      <c r="CK12" s="891"/>
      <c r="CL12" s="891"/>
      <c r="CM12" s="891"/>
      <c r="CN12" s="891"/>
      <c r="CO12" s="891"/>
      <c r="CP12" s="891"/>
      <c r="CQ12" s="891"/>
      <c r="CR12" s="891"/>
      <c r="CS12" s="891"/>
      <c r="CT12" s="891"/>
      <c r="CU12" s="918"/>
      <c r="DD12" s="36"/>
      <c r="DE12" s="36"/>
      <c r="DF12" s="36"/>
      <c r="DG12" s="36"/>
      <c r="DH12" s="36"/>
      <c r="DI12" s="36"/>
      <c r="DJ12" s="36"/>
      <c r="EG12" s="167"/>
      <c r="EH12" s="167"/>
      <c r="EI12" s="167"/>
      <c r="EJ12" s="167"/>
      <c r="EK12" s="167"/>
      <c r="FV12" s="167"/>
      <c r="FW12" s="167"/>
      <c r="FX12" s="167"/>
      <c r="FY12" s="167"/>
      <c r="FZ12" s="167"/>
    </row>
    <row r="13" spans="1:183" ht="27" customHeight="1">
      <c r="A13" s="645"/>
      <c r="B13" s="645"/>
      <c r="C13" s="645"/>
      <c r="D13" s="645"/>
      <c r="E13" s="646"/>
      <c r="J13" s="39"/>
      <c r="K13" s="896"/>
      <c r="L13" s="896"/>
      <c r="M13" s="1946"/>
      <c r="N13" s="1946"/>
      <c r="O13" s="1946"/>
      <c r="P13" s="1946"/>
      <c r="Q13" s="1946"/>
      <c r="R13" s="1946"/>
      <c r="S13" s="1846" t="s">
        <v>335</v>
      </c>
      <c r="T13" s="1848"/>
      <c r="U13" s="1848"/>
      <c r="V13" s="1848"/>
      <c r="W13" s="1848"/>
      <c r="X13" s="1848"/>
      <c r="Y13" s="1848"/>
      <c r="Z13" s="1848"/>
      <c r="AA13" s="1848"/>
      <c r="AB13" s="1777"/>
      <c r="AC13" s="1778"/>
      <c r="AD13" s="1778"/>
      <c r="AE13" s="1778"/>
      <c r="AF13" s="1778"/>
      <c r="AG13" s="1778"/>
      <c r="AH13" s="1778"/>
      <c r="AI13" s="1778"/>
      <c r="AJ13" s="1778"/>
      <c r="AK13" s="1778"/>
      <c r="AL13" s="1778"/>
      <c r="AM13" s="1778"/>
      <c r="AN13" s="1778"/>
      <c r="AO13" s="1778"/>
      <c r="AP13" s="1778"/>
      <c r="AQ13" s="1778"/>
      <c r="AR13" s="1778"/>
      <c r="AS13" s="1778"/>
      <c r="AT13" s="1778"/>
      <c r="AU13" s="1778"/>
      <c r="AV13" s="1778"/>
      <c r="AW13" s="1778"/>
      <c r="AX13" s="1778"/>
      <c r="AY13" s="1778"/>
      <c r="AZ13" s="1778"/>
      <c r="BA13" s="1778"/>
      <c r="BB13" s="1778"/>
      <c r="BC13" s="1778"/>
      <c r="BD13" s="1779"/>
      <c r="BE13" s="1779"/>
      <c r="BF13" s="1779"/>
      <c r="BG13" s="1779"/>
      <c r="BH13" s="1779"/>
      <c r="BI13" s="1779"/>
      <c r="BJ13" s="1779"/>
      <c r="BK13" s="1779"/>
      <c r="BL13" s="1779"/>
      <c r="BM13" s="1779"/>
      <c r="BN13" s="1779"/>
      <c r="BO13" s="1779"/>
      <c r="BP13" s="1779"/>
      <c r="BQ13" s="1779"/>
      <c r="BR13" s="1779"/>
      <c r="BS13" s="1779"/>
      <c r="BT13" s="1779"/>
      <c r="BU13" s="1052"/>
      <c r="BV13" s="713"/>
      <c r="BW13" s="713"/>
      <c r="BX13" s="713"/>
      <c r="BY13" s="713" t="s">
        <v>2731</v>
      </c>
      <c r="BZ13" s="891"/>
      <c r="CA13" s="891"/>
      <c r="CB13" s="891"/>
      <c r="CC13" s="891"/>
      <c r="CD13" s="891"/>
      <c r="CE13" s="891"/>
      <c r="CF13" s="891"/>
      <c r="CG13" s="891"/>
      <c r="CH13" s="891"/>
      <c r="CI13" s="891"/>
      <c r="CJ13" s="891"/>
      <c r="CK13" s="891"/>
      <c r="CL13" s="891"/>
      <c r="CM13" s="891"/>
      <c r="CN13" s="891"/>
      <c r="CO13" s="891"/>
      <c r="CP13" s="891"/>
      <c r="CQ13" s="891"/>
      <c r="CR13" s="891"/>
      <c r="CS13" s="891"/>
      <c r="CT13" s="891"/>
      <c r="CU13" s="918"/>
      <c r="DD13" s="36"/>
      <c r="DE13" s="36"/>
      <c r="DF13" s="36"/>
      <c r="DG13" s="36"/>
      <c r="DH13" s="36"/>
      <c r="DI13" s="36"/>
      <c r="DJ13" s="36"/>
      <c r="EG13" s="167"/>
      <c r="EH13" s="167"/>
      <c r="EI13" s="167"/>
      <c r="EJ13" s="167"/>
      <c r="EK13" s="167"/>
      <c r="FV13" s="167"/>
      <c r="FW13" s="167"/>
      <c r="FX13" s="167"/>
      <c r="FY13" s="167"/>
      <c r="FZ13" s="167"/>
    </row>
    <row r="14" spans="1:183" s="172" customFormat="1" ht="27" customHeight="1" thickBot="1">
      <c r="A14" s="645"/>
      <c r="B14" s="645"/>
      <c r="C14" s="645"/>
      <c r="D14" s="645"/>
      <c r="E14" s="646"/>
      <c r="F14" s="381"/>
      <c r="G14" s="381"/>
      <c r="H14" s="381"/>
      <c r="I14" s="16"/>
      <c r="J14" s="40"/>
      <c r="K14" s="912"/>
      <c r="L14" s="912"/>
      <c r="M14" s="1947"/>
      <c r="N14" s="1947"/>
      <c r="O14" s="1947"/>
      <c r="P14" s="1947"/>
      <c r="Q14" s="1947"/>
      <c r="R14" s="1947"/>
      <c r="S14" s="1815" t="s">
        <v>698</v>
      </c>
      <c r="T14" s="1816"/>
      <c r="U14" s="1816"/>
      <c r="V14" s="1816"/>
      <c r="W14" s="1816"/>
      <c r="X14" s="1816"/>
      <c r="Y14" s="1816"/>
      <c r="Z14" s="1816"/>
      <c r="AA14" s="1816"/>
      <c r="AB14" s="2288"/>
      <c r="AC14" s="2288"/>
      <c r="AD14" s="2288"/>
      <c r="AE14" s="2288"/>
      <c r="AF14" s="2288"/>
      <c r="AG14" s="2288"/>
      <c r="AH14" s="2288"/>
      <c r="AI14" s="2288"/>
      <c r="AJ14" s="2288"/>
      <c r="AK14" s="2288"/>
      <c r="AL14" s="2288"/>
      <c r="AM14" s="2288"/>
      <c r="AN14" s="2289"/>
      <c r="AO14" s="2289"/>
      <c r="AP14" s="2289"/>
      <c r="AQ14" s="2289"/>
      <c r="AR14" s="2289"/>
      <c r="AS14" s="2289"/>
      <c r="AT14" s="2289"/>
      <c r="AU14" s="2289"/>
      <c r="AV14" s="2289"/>
      <c r="AW14" s="2289"/>
      <c r="AX14" s="2289"/>
      <c r="AY14" s="2289"/>
      <c r="AZ14" s="2289"/>
      <c r="BA14" s="2289"/>
      <c r="BB14" s="2289"/>
      <c r="BC14" s="2289"/>
      <c r="BD14" s="2289"/>
      <c r="BE14" s="2289"/>
      <c r="BF14" s="2289"/>
      <c r="BG14" s="2289"/>
      <c r="BH14" s="2289"/>
      <c r="BI14" s="2289"/>
      <c r="BJ14" s="2289"/>
      <c r="BK14" s="2289"/>
      <c r="BL14" s="2289"/>
      <c r="BM14" s="2289"/>
      <c r="BN14" s="2289"/>
      <c r="BO14" s="2289"/>
      <c r="BP14" s="2289"/>
      <c r="BQ14" s="2289"/>
      <c r="BR14" s="2289"/>
      <c r="BS14" s="2289"/>
      <c r="BT14" s="2289"/>
      <c r="BU14" s="1053"/>
      <c r="BV14" s="716"/>
      <c r="BW14" s="716"/>
      <c r="BX14" s="716"/>
      <c r="BY14" s="716" t="s">
        <v>2836</v>
      </c>
      <c r="BZ14" s="925"/>
      <c r="CA14" s="925"/>
      <c r="CB14" s="925"/>
      <c r="CC14" s="925"/>
      <c r="CD14" s="925"/>
      <c r="CE14" s="925"/>
      <c r="CF14" s="925"/>
      <c r="CG14" s="925"/>
      <c r="CH14" s="925"/>
      <c r="CI14" s="925"/>
      <c r="CJ14" s="925"/>
      <c r="CK14" s="925"/>
      <c r="CL14" s="925"/>
      <c r="CM14" s="925"/>
      <c r="CN14" s="925"/>
      <c r="CO14" s="925"/>
      <c r="CP14" s="925"/>
      <c r="CQ14" s="925"/>
      <c r="CR14" s="925"/>
      <c r="CS14" s="925"/>
      <c r="CT14" s="925"/>
      <c r="CU14" s="926"/>
      <c r="CV14" s="398"/>
      <c r="CW14" s="398"/>
      <c r="CX14" s="398"/>
      <c r="CY14" s="398"/>
      <c r="CZ14" s="398"/>
      <c r="DA14" s="398"/>
      <c r="DB14" s="398"/>
      <c r="DC14" s="35"/>
      <c r="DD14" s="36"/>
      <c r="DE14" s="36"/>
      <c r="DF14" s="36"/>
      <c r="DG14" s="36"/>
      <c r="DH14" s="36"/>
      <c r="DI14" s="36"/>
      <c r="DJ14" s="36"/>
      <c r="DK14" s="1045"/>
      <c r="DL14" s="1046"/>
      <c r="DM14" s="171"/>
      <c r="DN14" s="171"/>
      <c r="DO14" s="171"/>
      <c r="DP14" s="171"/>
      <c r="DQ14" s="171"/>
      <c r="FO14" s="1046"/>
      <c r="GA14" s="171"/>
    </row>
    <row r="15" spans="1:183" ht="15" customHeight="1" thickBot="1">
      <c r="A15" s="645"/>
      <c r="B15" s="645"/>
      <c r="C15" s="645"/>
      <c r="D15" s="645"/>
      <c r="E15" s="646"/>
      <c r="BU15" s="1044"/>
      <c r="DD15" s="36"/>
      <c r="DE15" s="36"/>
      <c r="DF15" s="36"/>
      <c r="DG15" s="36"/>
      <c r="DH15" s="36"/>
      <c r="DI15" s="36"/>
      <c r="DJ15" s="36"/>
      <c r="EG15" s="167"/>
      <c r="EH15" s="167"/>
      <c r="EI15" s="167"/>
      <c r="EJ15" s="167"/>
      <c r="EK15" s="167"/>
      <c r="FV15" s="167"/>
      <c r="FW15" s="167"/>
      <c r="FX15" s="167"/>
      <c r="FY15" s="167"/>
      <c r="FZ15" s="167"/>
    </row>
    <row r="16" spans="1:183" s="174" customFormat="1" ht="35.15" customHeight="1" thickBot="1">
      <c r="A16" s="645"/>
      <c r="B16" s="645"/>
      <c r="C16" s="645"/>
      <c r="D16" s="645"/>
      <c r="E16" s="646"/>
      <c r="F16" s="381"/>
      <c r="G16" s="381"/>
      <c r="H16" s="381"/>
      <c r="I16" s="43"/>
      <c r="J16" s="637" t="s">
        <v>1025</v>
      </c>
      <c r="K16" s="638"/>
      <c r="L16" s="638"/>
      <c r="M16" s="639"/>
      <c r="N16" s="639"/>
      <c r="O16" s="639"/>
      <c r="P16" s="639"/>
      <c r="Q16" s="639"/>
      <c r="R16" s="639"/>
      <c r="S16" s="638"/>
      <c r="T16" s="638"/>
      <c r="U16" s="638"/>
      <c r="V16" s="638"/>
      <c r="W16" s="638"/>
      <c r="X16" s="638"/>
      <c r="Y16" s="638"/>
      <c r="Z16" s="638"/>
      <c r="AA16" s="638"/>
      <c r="AB16" s="638"/>
      <c r="AC16" s="638"/>
      <c r="AD16" s="638"/>
      <c r="AE16" s="638"/>
      <c r="AF16" s="638"/>
      <c r="AG16" s="638"/>
      <c r="AH16" s="638"/>
      <c r="AI16" s="638"/>
      <c r="AJ16" s="638"/>
      <c r="AK16" s="638"/>
      <c r="AL16" s="638"/>
      <c r="AM16" s="638"/>
      <c r="AN16" s="638"/>
      <c r="AO16" s="638"/>
      <c r="AP16" s="638"/>
      <c r="AQ16" s="638"/>
      <c r="AR16" s="638"/>
      <c r="AS16" s="638"/>
      <c r="AT16" s="638"/>
      <c r="AU16" s="638"/>
      <c r="AV16" s="638"/>
      <c r="AW16" s="638"/>
      <c r="AX16" s="638"/>
      <c r="AY16" s="1766" t="str">
        <f>IF(OR(DS16,DT16),"→チェックボックスのチェック状況に応じ、代表となる調査者の情報が受付管理票に転記されます","")</f>
        <v/>
      </c>
      <c r="AZ16" s="1766"/>
      <c r="BA16" s="1766"/>
      <c r="BB16" s="1766"/>
      <c r="BC16" s="1766"/>
      <c r="BD16" s="1766"/>
      <c r="BE16" s="1766"/>
      <c r="BF16" s="1766"/>
      <c r="BG16" s="1766"/>
      <c r="BH16" s="1766"/>
      <c r="BI16" s="1766"/>
      <c r="BJ16" s="1766"/>
      <c r="BK16" s="1766"/>
      <c r="BL16" s="1775" t="s">
        <v>2760</v>
      </c>
      <c r="BM16" s="1776"/>
      <c r="BN16" s="1776"/>
      <c r="BO16" s="1776"/>
      <c r="BP16" s="1776"/>
      <c r="BQ16" s="1776"/>
      <c r="BR16" s="1776"/>
      <c r="BS16" s="1776"/>
      <c r="BT16" s="1776"/>
      <c r="BU16" s="1054"/>
      <c r="BV16" s="1054"/>
      <c r="BW16" s="1054"/>
      <c r="BX16" s="1048"/>
      <c r="BY16" s="1048"/>
      <c r="BZ16" s="1048"/>
      <c r="CA16" s="711"/>
      <c r="CB16" s="711"/>
      <c r="CC16" s="711"/>
      <c r="CD16" s="711"/>
      <c r="CE16" s="711"/>
      <c r="CF16" s="711"/>
      <c r="CG16" s="711"/>
      <c r="CH16" s="711"/>
      <c r="CI16" s="711"/>
      <c r="CJ16" s="711"/>
      <c r="CK16" s="711"/>
      <c r="CL16" s="711"/>
      <c r="CM16" s="711"/>
      <c r="CN16" s="711"/>
      <c r="CO16" s="711"/>
      <c r="CP16" s="711"/>
      <c r="CQ16" s="711"/>
      <c r="CR16" s="711"/>
      <c r="CS16" s="711"/>
      <c r="CT16" s="711"/>
      <c r="CU16" s="712"/>
      <c r="CV16" s="398"/>
      <c r="CW16" s="398"/>
      <c r="CX16" s="398"/>
      <c r="CY16" s="398"/>
      <c r="CZ16" s="398"/>
      <c r="DA16" s="398"/>
      <c r="DB16" s="398"/>
      <c r="DC16" s="35"/>
      <c r="DD16" s="36"/>
      <c r="DE16" s="36"/>
      <c r="DF16" s="36"/>
      <c r="DG16" s="36"/>
      <c r="DH16" s="36"/>
      <c r="DI16" s="36"/>
      <c r="DJ16" s="36"/>
      <c r="DK16" s="1049"/>
      <c r="DL16" s="1050"/>
      <c r="DM16" s="173"/>
      <c r="DN16" s="173"/>
      <c r="DO16" s="173"/>
      <c r="DP16" s="173"/>
      <c r="DQ16" s="173"/>
      <c r="DS16" s="342" t="b">
        <v>0</v>
      </c>
      <c r="DT16" s="342" t="b">
        <v>0</v>
      </c>
      <c r="DU16" s="381"/>
      <c r="DV16" s="1055" t="s">
        <v>4619</v>
      </c>
      <c r="DW16" s="1056"/>
      <c r="DX16" s="411"/>
      <c r="FO16" s="1050"/>
      <c r="GA16" s="173"/>
    </row>
    <row r="17" spans="1:183" s="172" customFormat="1" ht="27" hidden="1" customHeight="1" thickBot="1">
      <c r="A17" s="645"/>
      <c r="B17" s="645"/>
      <c r="C17" s="645"/>
      <c r="D17" s="645"/>
      <c r="E17" s="646"/>
      <c r="F17" s="381"/>
      <c r="G17" s="381"/>
      <c r="H17" s="381"/>
      <c r="I17" s="16"/>
      <c r="J17" s="39"/>
      <c r="K17" s="896"/>
      <c r="L17" s="896"/>
      <c r="M17" s="2297" t="s">
        <v>2664</v>
      </c>
      <c r="N17" s="2297"/>
      <c r="O17" s="2297"/>
      <c r="P17" s="2297"/>
      <c r="Q17" s="2297"/>
      <c r="R17" s="2297"/>
      <c r="S17" s="1822" t="s">
        <v>699</v>
      </c>
      <c r="T17" s="1842"/>
      <c r="U17" s="1842"/>
      <c r="V17" s="1842"/>
      <c r="W17" s="1842"/>
      <c r="X17" s="1842"/>
      <c r="Y17" s="1842"/>
      <c r="Z17" s="1842"/>
      <c r="AA17" s="1842"/>
      <c r="AB17" s="2296"/>
      <c r="AC17" s="2296"/>
      <c r="AD17" s="2296"/>
      <c r="AE17" s="2296"/>
      <c r="AF17" s="2296"/>
      <c r="AG17" s="2296"/>
      <c r="AH17" s="2296"/>
      <c r="AI17" s="2296"/>
      <c r="AJ17" s="2296"/>
      <c r="AK17" s="2296"/>
      <c r="AL17" s="2296"/>
      <c r="AM17" s="2296"/>
      <c r="AN17" s="2296"/>
      <c r="AO17" s="2296"/>
      <c r="AP17" s="2296"/>
      <c r="AQ17" s="2296"/>
      <c r="AR17" s="2296"/>
      <c r="AS17" s="2296"/>
      <c r="AT17" s="2296"/>
      <c r="AU17" s="2296"/>
      <c r="AV17" s="2296"/>
      <c r="AW17" s="2296"/>
      <c r="AX17" s="2296"/>
      <c r="AY17" s="2296"/>
      <c r="AZ17" s="2296"/>
      <c r="BA17" s="2296"/>
      <c r="BB17" s="2296"/>
      <c r="BC17" s="2296"/>
      <c r="BD17" s="2296"/>
      <c r="BE17" s="2296"/>
      <c r="BF17" s="2296"/>
      <c r="BG17" s="2296"/>
      <c r="BH17" s="2296"/>
      <c r="BI17" s="2296"/>
      <c r="BJ17" s="2296"/>
      <c r="BK17" s="2296"/>
      <c r="BL17" s="2296"/>
      <c r="BM17" s="2296"/>
      <c r="BN17" s="2296"/>
      <c r="BO17" s="2296"/>
      <c r="BP17" s="2296"/>
      <c r="BQ17" s="2296"/>
      <c r="BR17" s="2296"/>
      <c r="BS17" s="2296"/>
      <c r="BT17" s="2296"/>
      <c r="BU17" s="717"/>
      <c r="BV17" s="717"/>
      <c r="BW17" s="717"/>
      <c r="BX17" s="718"/>
      <c r="BY17" s="718"/>
      <c r="BZ17" s="718"/>
      <c r="CA17" s="891"/>
      <c r="CB17" s="891"/>
      <c r="CC17" s="891"/>
      <c r="CD17" s="891"/>
      <c r="CE17" s="891"/>
      <c r="CF17" s="891"/>
      <c r="CG17" s="891"/>
      <c r="CH17" s="891"/>
      <c r="CI17" s="891"/>
      <c r="CJ17" s="891"/>
      <c r="CK17" s="891"/>
      <c r="CL17" s="891"/>
      <c r="CM17" s="891"/>
      <c r="CN17" s="891"/>
      <c r="CO17" s="891"/>
      <c r="CP17" s="891"/>
      <c r="CQ17" s="891"/>
      <c r="CR17" s="891"/>
      <c r="CS17" s="891"/>
      <c r="CT17" s="891"/>
      <c r="CU17" s="918"/>
      <c r="CV17" s="398"/>
      <c r="CW17" s="398"/>
      <c r="CX17" s="398"/>
      <c r="CY17" s="398"/>
      <c r="CZ17" s="398"/>
      <c r="DA17" s="398"/>
      <c r="DB17" s="398"/>
      <c r="DC17" s="35"/>
      <c r="DD17" s="36"/>
      <c r="DE17" s="36"/>
      <c r="DF17" s="36"/>
      <c r="DG17" s="36"/>
      <c r="DH17" s="36"/>
      <c r="DI17" s="36"/>
      <c r="DJ17" s="36"/>
      <c r="DK17" s="1049"/>
      <c r="DL17" s="1046"/>
      <c r="DM17" s="171"/>
      <c r="DN17" s="171"/>
      <c r="DO17" s="171"/>
      <c r="DP17" s="171"/>
      <c r="DQ17" s="171"/>
      <c r="DS17" s="381"/>
      <c r="DT17" s="381"/>
      <c r="DU17" s="381"/>
      <c r="DV17" s="381"/>
      <c r="DW17" s="381"/>
      <c r="FO17" s="1046"/>
      <c r="GA17" s="171"/>
    </row>
    <row r="18" spans="1:183" s="172" customFormat="1" ht="27" customHeight="1">
      <c r="A18" s="645"/>
      <c r="B18" s="645"/>
      <c r="C18" s="645"/>
      <c r="D18" s="645"/>
      <c r="E18" s="646"/>
      <c r="F18" s="381"/>
      <c r="G18" s="381"/>
      <c r="H18" s="381"/>
      <c r="I18" s="16"/>
      <c r="J18" s="39"/>
      <c r="K18" s="896"/>
      <c r="L18" s="896"/>
      <c r="M18" s="2298"/>
      <c r="N18" s="2298"/>
      <c r="O18" s="2298"/>
      <c r="P18" s="2298"/>
      <c r="Q18" s="2298"/>
      <c r="R18" s="2298"/>
      <c r="S18" s="1822" t="s">
        <v>337</v>
      </c>
      <c r="T18" s="1842"/>
      <c r="U18" s="1842"/>
      <c r="V18" s="1842"/>
      <c r="W18" s="1842"/>
      <c r="X18" s="1842"/>
      <c r="Y18" s="1842"/>
      <c r="Z18" s="1842"/>
      <c r="AA18" s="1842"/>
      <c r="AB18" s="1798"/>
      <c r="AC18" s="1798"/>
      <c r="AD18" s="1798"/>
      <c r="AE18" s="1798"/>
      <c r="AF18" s="1798"/>
      <c r="AG18" s="1798"/>
      <c r="AH18" s="1798"/>
      <c r="AI18" s="1798"/>
      <c r="AJ18" s="1798"/>
      <c r="AK18" s="1798"/>
      <c r="AL18" s="1798"/>
      <c r="AM18" s="1798"/>
      <c r="AN18" s="1798"/>
      <c r="AO18" s="1798"/>
      <c r="AP18" s="1798"/>
      <c r="AQ18" s="1798"/>
      <c r="AR18" s="1798"/>
      <c r="AS18" s="1798"/>
      <c r="AT18" s="1798"/>
      <c r="AU18" s="1798"/>
      <c r="AV18" s="1798"/>
      <c r="AW18" s="1798"/>
      <c r="AX18" s="1798"/>
      <c r="AY18" s="1798"/>
      <c r="AZ18" s="1798"/>
      <c r="BA18" s="1798"/>
      <c r="BB18" s="1798"/>
      <c r="BC18" s="1798"/>
      <c r="BD18" s="1798"/>
      <c r="BE18" s="1798"/>
      <c r="BF18" s="1798"/>
      <c r="BG18" s="1798"/>
      <c r="BH18" s="1798"/>
      <c r="BI18" s="1798"/>
      <c r="BJ18" s="1798"/>
      <c r="BK18" s="1798"/>
      <c r="BL18" s="1798"/>
      <c r="BM18" s="1798"/>
      <c r="BN18" s="1798"/>
      <c r="BO18" s="1798"/>
      <c r="BP18" s="1798"/>
      <c r="BQ18" s="1798"/>
      <c r="BR18" s="1798"/>
      <c r="BS18" s="1798"/>
      <c r="BT18" s="1798"/>
      <c r="BU18" s="717"/>
      <c r="BV18" s="717"/>
      <c r="BW18" s="717"/>
      <c r="BX18" s="718"/>
      <c r="BY18" s="718"/>
      <c r="BZ18" s="718"/>
      <c r="CA18" s="891"/>
      <c r="CB18" s="891"/>
      <c r="CC18" s="891"/>
      <c r="CD18" s="891"/>
      <c r="CE18" s="891"/>
      <c r="CF18" s="891"/>
      <c r="CG18" s="891"/>
      <c r="CH18" s="891"/>
      <c r="CI18" s="891"/>
      <c r="CJ18" s="891"/>
      <c r="CK18" s="891"/>
      <c r="CL18" s="891"/>
      <c r="CM18" s="891"/>
      <c r="CN18" s="891"/>
      <c r="CO18" s="891"/>
      <c r="CP18" s="891"/>
      <c r="CQ18" s="891"/>
      <c r="CR18" s="891"/>
      <c r="CS18" s="891"/>
      <c r="CT18" s="891"/>
      <c r="CU18" s="918"/>
      <c r="CV18" s="398"/>
      <c r="CW18" s="398"/>
      <c r="CX18" s="398"/>
      <c r="CY18" s="398"/>
      <c r="CZ18" s="398"/>
      <c r="DA18" s="398"/>
      <c r="DB18" s="398"/>
      <c r="DC18" s="35"/>
      <c r="DD18" s="36"/>
      <c r="DE18" s="36"/>
      <c r="DF18" s="36"/>
      <c r="DG18" s="36"/>
      <c r="DH18" s="36"/>
      <c r="DI18" s="36"/>
      <c r="DJ18" s="36"/>
      <c r="DK18" s="1049"/>
      <c r="DL18" s="1046"/>
      <c r="DM18" s="171"/>
      <c r="DN18" s="171"/>
      <c r="DO18" s="171"/>
      <c r="DP18" s="171"/>
      <c r="DQ18" s="171"/>
      <c r="DV18" s="172" t="s">
        <v>4624</v>
      </c>
      <c r="DW18" s="249" t="str">
        <f>IF(TRIM(AB18)="",IF(OR($DS$16,$DT$16),AB67,""),AB18)</f>
        <v/>
      </c>
      <c r="DX18" s="381"/>
      <c r="FO18" s="1046"/>
      <c r="GA18" s="171"/>
    </row>
    <row r="19" spans="1:183" s="172" customFormat="1" ht="27" hidden="1" customHeight="1">
      <c r="A19" s="645"/>
      <c r="B19" s="645"/>
      <c r="C19" s="645"/>
      <c r="D19" s="645"/>
      <c r="E19" s="646"/>
      <c r="F19" s="381"/>
      <c r="G19" s="381"/>
      <c r="H19" s="381"/>
      <c r="I19" s="16"/>
      <c r="J19" s="39"/>
      <c r="K19" s="896"/>
      <c r="L19" s="896"/>
      <c r="M19" s="2298"/>
      <c r="N19" s="2298"/>
      <c r="O19" s="2298"/>
      <c r="P19" s="2298"/>
      <c r="Q19" s="2298"/>
      <c r="R19" s="2298"/>
      <c r="S19" s="1827" t="s">
        <v>697</v>
      </c>
      <c r="T19" s="1828"/>
      <c r="U19" s="1828"/>
      <c r="V19" s="1828"/>
      <c r="W19" s="1828"/>
      <c r="X19" s="1828"/>
      <c r="Y19" s="1828"/>
      <c r="Z19" s="1828"/>
      <c r="AA19" s="1828"/>
      <c r="AB19" s="1783"/>
      <c r="AC19" s="1783"/>
      <c r="AD19" s="1783"/>
      <c r="AE19" s="1783"/>
      <c r="AF19" s="1783"/>
      <c r="AG19" s="1783"/>
      <c r="AH19" s="1783"/>
      <c r="AI19" s="1783"/>
      <c r="AJ19" s="1783"/>
      <c r="AK19" s="1783"/>
      <c r="AL19" s="1783"/>
      <c r="AM19" s="1783"/>
      <c r="AN19" s="1783"/>
      <c r="AO19" s="1783"/>
      <c r="AP19" s="1783"/>
      <c r="AQ19" s="1783"/>
      <c r="AR19" s="1783"/>
      <c r="AS19" s="1783"/>
      <c r="AT19" s="1783"/>
      <c r="AU19" s="1783"/>
      <c r="AV19" s="1783"/>
      <c r="AW19" s="1783"/>
      <c r="AX19" s="1783"/>
      <c r="AY19" s="1783"/>
      <c r="AZ19" s="1783"/>
      <c r="BA19" s="1783"/>
      <c r="BB19" s="1783"/>
      <c r="BC19" s="1783"/>
      <c r="BD19" s="1783"/>
      <c r="BE19" s="1783"/>
      <c r="BF19" s="1783"/>
      <c r="BG19" s="1783"/>
      <c r="BH19" s="1783"/>
      <c r="BI19" s="1783"/>
      <c r="BJ19" s="1783"/>
      <c r="BK19" s="1783"/>
      <c r="BL19" s="1783"/>
      <c r="BM19" s="1783"/>
      <c r="BN19" s="1783"/>
      <c r="BO19" s="1783"/>
      <c r="BP19" s="1783"/>
      <c r="BQ19" s="1783"/>
      <c r="BR19" s="1783"/>
      <c r="BS19" s="1783"/>
      <c r="BT19" s="1783"/>
      <c r="BU19" s="717"/>
      <c r="BV19" s="717"/>
      <c r="BW19" s="717"/>
      <c r="BX19" s="718"/>
      <c r="BY19" s="718"/>
      <c r="BZ19" s="718"/>
      <c r="CA19" s="891"/>
      <c r="CB19" s="891"/>
      <c r="CC19" s="891"/>
      <c r="CD19" s="891"/>
      <c r="CE19" s="891"/>
      <c r="CF19" s="891"/>
      <c r="CG19" s="891"/>
      <c r="CH19" s="891"/>
      <c r="CI19" s="891"/>
      <c r="CJ19" s="891"/>
      <c r="CK19" s="891"/>
      <c r="CL19" s="891"/>
      <c r="CM19" s="891"/>
      <c r="CN19" s="891"/>
      <c r="CO19" s="891"/>
      <c r="CP19" s="891"/>
      <c r="CQ19" s="891"/>
      <c r="CR19" s="891"/>
      <c r="CS19" s="891"/>
      <c r="CT19" s="891"/>
      <c r="CU19" s="918"/>
      <c r="CV19" s="398"/>
      <c r="CW19" s="398"/>
      <c r="CX19" s="398"/>
      <c r="CY19" s="398"/>
      <c r="CZ19" s="398"/>
      <c r="DA19" s="398"/>
      <c r="DB19" s="398"/>
      <c r="DC19" s="35"/>
      <c r="DD19" s="36"/>
      <c r="DE19" s="36"/>
      <c r="DF19" s="36"/>
      <c r="DG19" s="36"/>
      <c r="DH19" s="36"/>
      <c r="DI19" s="36"/>
      <c r="DJ19" s="36"/>
      <c r="DK19" s="1049"/>
      <c r="DL19" s="1046"/>
      <c r="DM19" s="171"/>
      <c r="DN19" s="171"/>
      <c r="DO19" s="171"/>
      <c r="DP19" s="171"/>
      <c r="DQ19" s="171"/>
      <c r="DW19" s="273"/>
      <c r="FO19" s="1046"/>
      <c r="GA19" s="171"/>
    </row>
    <row r="20" spans="1:183" s="172" customFormat="1" ht="27" hidden="1" customHeight="1">
      <c r="A20" s="645"/>
      <c r="B20" s="645"/>
      <c r="C20" s="645"/>
      <c r="D20" s="645"/>
      <c r="E20" s="646"/>
      <c r="F20" s="381"/>
      <c r="G20" s="381"/>
      <c r="H20" s="381"/>
      <c r="I20" s="16"/>
      <c r="J20" s="39"/>
      <c r="K20" s="896"/>
      <c r="L20" s="896"/>
      <c r="M20" s="2298"/>
      <c r="N20" s="2298"/>
      <c r="O20" s="2298"/>
      <c r="P20" s="2298"/>
      <c r="Q20" s="2298"/>
      <c r="R20" s="2298"/>
      <c r="S20" s="1939" t="s">
        <v>339</v>
      </c>
      <c r="T20" s="1948"/>
      <c r="U20" s="1948"/>
      <c r="V20" s="1948"/>
      <c r="W20" s="1948"/>
      <c r="X20" s="1948"/>
      <c r="Y20" s="1948"/>
      <c r="Z20" s="1948"/>
      <c r="AA20" s="1948"/>
      <c r="AB20" s="1797"/>
      <c r="AC20" s="1797"/>
      <c r="AD20" s="1797"/>
      <c r="AE20" s="1797"/>
      <c r="AF20" s="1797"/>
      <c r="AG20" s="1797"/>
      <c r="AH20" s="1797"/>
      <c r="AI20" s="1797"/>
      <c r="AJ20" s="1797"/>
      <c r="AK20" s="1797"/>
      <c r="AL20" s="1797"/>
      <c r="AM20" s="1797"/>
      <c r="AN20" s="1797"/>
      <c r="AO20" s="1797"/>
      <c r="AP20" s="1797"/>
      <c r="AQ20" s="1797"/>
      <c r="AR20" s="1797"/>
      <c r="AS20" s="1797"/>
      <c r="AT20" s="1797"/>
      <c r="AU20" s="1797"/>
      <c r="AV20" s="1797"/>
      <c r="AW20" s="1797"/>
      <c r="AX20" s="1797"/>
      <c r="AY20" s="1797"/>
      <c r="AZ20" s="1797"/>
      <c r="BA20" s="1797"/>
      <c r="BB20" s="1797"/>
      <c r="BC20" s="1797"/>
      <c r="BD20" s="1797"/>
      <c r="BE20" s="1797"/>
      <c r="BF20" s="1797"/>
      <c r="BG20" s="1797"/>
      <c r="BH20" s="1797"/>
      <c r="BI20" s="1797"/>
      <c r="BJ20" s="1797"/>
      <c r="BK20" s="1797"/>
      <c r="BL20" s="1797"/>
      <c r="BM20" s="1797"/>
      <c r="BN20" s="1797"/>
      <c r="BO20" s="1797"/>
      <c r="BP20" s="1797"/>
      <c r="BQ20" s="1797"/>
      <c r="BR20" s="1797"/>
      <c r="BS20" s="1797"/>
      <c r="BT20" s="1797"/>
      <c r="BU20" s="717"/>
      <c r="BV20" s="717"/>
      <c r="BW20" s="717"/>
      <c r="BX20" s="718"/>
      <c r="BY20" s="718"/>
      <c r="BZ20" s="718"/>
      <c r="CA20" s="891"/>
      <c r="CB20" s="891"/>
      <c r="CC20" s="891"/>
      <c r="CD20" s="891"/>
      <c r="CE20" s="891"/>
      <c r="CF20" s="891"/>
      <c r="CG20" s="891"/>
      <c r="CH20" s="891"/>
      <c r="CI20" s="891"/>
      <c r="CJ20" s="891"/>
      <c r="CK20" s="891"/>
      <c r="CL20" s="891"/>
      <c r="CM20" s="891"/>
      <c r="CN20" s="891"/>
      <c r="CO20" s="891"/>
      <c r="CP20" s="891"/>
      <c r="CQ20" s="891"/>
      <c r="CR20" s="891"/>
      <c r="CS20" s="891"/>
      <c r="CT20" s="891"/>
      <c r="CU20" s="918"/>
      <c r="CV20" s="398"/>
      <c r="CW20" s="398"/>
      <c r="CX20" s="398"/>
      <c r="CY20" s="398"/>
      <c r="CZ20" s="398"/>
      <c r="DA20" s="398"/>
      <c r="DB20" s="398"/>
      <c r="DC20" s="35"/>
      <c r="DD20" s="36"/>
      <c r="DE20" s="36"/>
      <c r="DF20" s="36"/>
      <c r="DG20" s="36"/>
      <c r="DH20" s="36"/>
      <c r="DI20" s="36"/>
      <c r="DJ20" s="36"/>
      <c r="DK20" s="1049"/>
      <c r="DL20" s="1046"/>
      <c r="DM20" s="171"/>
      <c r="DN20" s="171"/>
      <c r="DO20" s="171"/>
      <c r="DP20" s="171"/>
      <c r="DQ20" s="171"/>
      <c r="DW20" s="273"/>
      <c r="FO20" s="1046"/>
      <c r="GA20" s="171"/>
    </row>
    <row r="21" spans="1:183" s="172" customFormat="1" ht="27" hidden="1" customHeight="1">
      <c r="A21" s="645"/>
      <c r="B21" s="645"/>
      <c r="C21" s="645"/>
      <c r="D21" s="645"/>
      <c r="E21" s="646"/>
      <c r="F21" s="381"/>
      <c r="G21" s="381"/>
      <c r="H21" s="381"/>
      <c r="I21" s="16"/>
      <c r="J21" s="39"/>
      <c r="K21" s="896"/>
      <c r="L21" s="896"/>
      <c r="M21" s="2298"/>
      <c r="N21" s="2298"/>
      <c r="O21" s="2298"/>
      <c r="P21" s="2298"/>
      <c r="Q21" s="2298"/>
      <c r="R21" s="2298"/>
      <c r="S21" s="1827" t="s">
        <v>699</v>
      </c>
      <c r="T21" s="1828"/>
      <c r="U21" s="1828"/>
      <c r="V21" s="1828"/>
      <c r="W21" s="1828"/>
      <c r="X21" s="1828"/>
      <c r="Y21" s="1828"/>
      <c r="Z21" s="1828"/>
      <c r="AA21" s="1828"/>
      <c r="AB21" s="1786"/>
      <c r="AC21" s="1786"/>
      <c r="AD21" s="1786"/>
      <c r="AE21" s="1786"/>
      <c r="AF21" s="1786"/>
      <c r="AG21" s="1786"/>
      <c r="AH21" s="1786"/>
      <c r="AI21" s="1786"/>
      <c r="AJ21" s="1786"/>
      <c r="AK21" s="1786"/>
      <c r="AL21" s="1786"/>
      <c r="AM21" s="1786"/>
      <c r="AN21" s="1786"/>
      <c r="AO21" s="1786"/>
      <c r="AP21" s="1786"/>
      <c r="AQ21" s="1786"/>
      <c r="AR21" s="1786"/>
      <c r="AS21" s="1786"/>
      <c r="AT21" s="1786"/>
      <c r="AU21" s="1786"/>
      <c r="AV21" s="1786"/>
      <c r="AW21" s="1786"/>
      <c r="AX21" s="1786"/>
      <c r="AY21" s="1786"/>
      <c r="AZ21" s="1786"/>
      <c r="BA21" s="1786"/>
      <c r="BB21" s="1786"/>
      <c r="BC21" s="1786"/>
      <c r="BD21" s="1786"/>
      <c r="BE21" s="1786"/>
      <c r="BF21" s="1786"/>
      <c r="BG21" s="1786"/>
      <c r="BH21" s="1786"/>
      <c r="BI21" s="1786"/>
      <c r="BJ21" s="1786"/>
      <c r="BK21" s="1786"/>
      <c r="BL21" s="1786"/>
      <c r="BM21" s="1786"/>
      <c r="BN21" s="1786"/>
      <c r="BO21" s="1786"/>
      <c r="BP21" s="1786"/>
      <c r="BQ21" s="1786"/>
      <c r="BR21" s="1786"/>
      <c r="BS21" s="1786"/>
      <c r="BT21" s="1786"/>
      <c r="BU21" s="717"/>
      <c r="BV21" s="717"/>
      <c r="BW21" s="717"/>
      <c r="BX21" s="718"/>
      <c r="BY21" s="718"/>
      <c r="BZ21" s="718"/>
      <c r="CA21" s="891"/>
      <c r="CB21" s="891"/>
      <c r="CC21" s="891"/>
      <c r="CD21" s="891"/>
      <c r="CE21" s="891"/>
      <c r="CF21" s="891"/>
      <c r="CG21" s="891"/>
      <c r="CH21" s="891"/>
      <c r="CI21" s="891"/>
      <c r="CJ21" s="891"/>
      <c r="CK21" s="891"/>
      <c r="CL21" s="891"/>
      <c r="CM21" s="891"/>
      <c r="CN21" s="891"/>
      <c r="CO21" s="891"/>
      <c r="CP21" s="891"/>
      <c r="CQ21" s="891"/>
      <c r="CR21" s="891"/>
      <c r="CS21" s="891"/>
      <c r="CT21" s="891"/>
      <c r="CU21" s="918"/>
      <c r="CV21" s="398"/>
      <c r="CW21" s="398"/>
      <c r="CX21" s="398"/>
      <c r="CY21" s="398"/>
      <c r="CZ21" s="398"/>
      <c r="DA21" s="398"/>
      <c r="DB21" s="398"/>
      <c r="DC21" s="35"/>
      <c r="DD21" s="36"/>
      <c r="DE21" s="36"/>
      <c r="DF21" s="36"/>
      <c r="DG21" s="36"/>
      <c r="DH21" s="36"/>
      <c r="DI21" s="36"/>
      <c r="DJ21" s="36"/>
      <c r="DK21" s="1049"/>
      <c r="DL21" s="1046"/>
      <c r="DM21" s="171"/>
      <c r="DN21" s="171"/>
      <c r="DO21" s="171"/>
      <c r="DP21" s="171"/>
      <c r="DQ21" s="171"/>
      <c r="DW21" s="273"/>
      <c r="FO21" s="1046"/>
      <c r="GA21" s="171"/>
    </row>
    <row r="22" spans="1:183" s="172" customFormat="1" ht="27" customHeight="1">
      <c r="A22" s="645"/>
      <c r="B22" s="645"/>
      <c r="C22" s="645"/>
      <c r="D22" s="645"/>
      <c r="E22" s="646"/>
      <c r="F22" s="381"/>
      <c r="G22" s="381"/>
      <c r="H22" s="381"/>
      <c r="I22" s="16"/>
      <c r="J22" s="39"/>
      <c r="K22" s="896"/>
      <c r="L22" s="896"/>
      <c r="M22" s="2299"/>
      <c r="N22" s="2299"/>
      <c r="O22" s="2299"/>
      <c r="P22" s="2299"/>
      <c r="Q22" s="2299"/>
      <c r="R22" s="2299"/>
      <c r="S22" s="1939" t="s">
        <v>340</v>
      </c>
      <c r="T22" s="1948"/>
      <c r="U22" s="1948"/>
      <c r="V22" s="1948"/>
      <c r="W22" s="1948"/>
      <c r="X22" s="1948"/>
      <c r="Y22" s="1948"/>
      <c r="Z22" s="1948"/>
      <c r="AA22" s="1948"/>
      <c r="AB22" s="1797"/>
      <c r="AC22" s="1797"/>
      <c r="AD22" s="1797"/>
      <c r="AE22" s="1797"/>
      <c r="AF22" s="1797"/>
      <c r="AG22" s="1797"/>
      <c r="AH22" s="1797"/>
      <c r="AI22" s="1797"/>
      <c r="AJ22" s="1797"/>
      <c r="AK22" s="1797"/>
      <c r="AL22" s="1797"/>
      <c r="AM22" s="1797"/>
      <c r="AN22" s="1797"/>
      <c r="AO22" s="1797"/>
      <c r="AP22" s="1797"/>
      <c r="AQ22" s="1797"/>
      <c r="AR22" s="1797"/>
      <c r="AS22" s="1797"/>
      <c r="AT22" s="1797"/>
      <c r="AU22" s="1797"/>
      <c r="AV22" s="1797"/>
      <c r="AW22" s="1797"/>
      <c r="AX22" s="1797"/>
      <c r="AY22" s="1797"/>
      <c r="AZ22" s="1797"/>
      <c r="BA22" s="1797"/>
      <c r="BB22" s="1797"/>
      <c r="BC22" s="1797"/>
      <c r="BD22" s="1797"/>
      <c r="BE22" s="1797"/>
      <c r="BF22" s="1797"/>
      <c r="BG22" s="1797"/>
      <c r="BH22" s="1797"/>
      <c r="BI22" s="1797"/>
      <c r="BJ22" s="1797"/>
      <c r="BK22" s="1797"/>
      <c r="BL22" s="1797"/>
      <c r="BM22" s="1797"/>
      <c r="BN22" s="1797"/>
      <c r="BO22" s="1797"/>
      <c r="BP22" s="1797"/>
      <c r="BQ22" s="1797"/>
      <c r="BR22" s="1797"/>
      <c r="BS22" s="1797"/>
      <c r="BT22" s="1797"/>
      <c r="BU22" s="717"/>
      <c r="BV22" s="717"/>
      <c r="BW22" s="717"/>
      <c r="BX22" s="718"/>
      <c r="BY22" s="718"/>
      <c r="BZ22" s="718"/>
      <c r="CA22" s="891"/>
      <c r="CB22" s="891"/>
      <c r="CC22" s="891"/>
      <c r="CD22" s="891"/>
      <c r="CE22" s="891"/>
      <c r="CF22" s="891"/>
      <c r="CG22" s="891"/>
      <c r="CH22" s="891"/>
      <c r="CI22" s="891"/>
      <c r="CJ22" s="891"/>
      <c r="CK22" s="891"/>
      <c r="CL22" s="891"/>
      <c r="CM22" s="891"/>
      <c r="CN22" s="891"/>
      <c r="CO22" s="891"/>
      <c r="CP22" s="891"/>
      <c r="CQ22" s="891"/>
      <c r="CR22" s="891"/>
      <c r="CS22" s="891"/>
      <c r="CT22" s="891"/>
      <c r="CU22" s="918"/>
      <c r="CV22" s="398"/>
      <c r="CW22" s="398"/>
      <c r="CX22" s="398"/>
      <c r="CY22" s="398"/>
      <c r="CZ22" s="398"/>
      <c r="DA22" s="398"/>
      <c r="DB22" s="398"/>
      <c r="DC22" s="35"/>
      <c r="DD22" s="36"/>
      <c r="DE22" s="36"/>
      <c r="DF22" s="36"/>
      <c r="DG22" s="36"/>
      <c r="DH22" s="36"/>
      <c r="DI22" s="36"/>
      <c r="DJ22" s="36"/>
      <c r="DK22" s="1049"/>
      <c r="DL22" s="1046"/>
      <c r="DM22" s="279" t="s">
        <v>1177</v>
      </c>
      <c r="DN22" s="279" t="s">
        <v>1176</v>
      </c>
      <c r="DO22" s="171"/>
      <c r="DP22" s="171"/>
      <c r="DQ22" s="171"/>
      <c r="DV22" s="172" t="s">
        <v>4623</v>
      </c>
      <c r="DW22" s="249" t="str">
        <f>IF(TRIM(AB22)="",IF($DS$16,AB66,""),AB22)</f>
        <v/>
      </c>
      <c r="DX22" s="374"/>
      <c r="FO22" s="1046"/>
      <c r="GA22" s="171"/>
    </row>
    <row r="23" spans="1:183" s="172" customFormat="1" ht="27" customHeight="1">
      <c r="A23" s="645"/>
      <c r="B23" s="645"/>
      <c r="C23" s="645"/>
      <c r="D23" s="645"/>
      <c r="E23" s="646"/>
      <c r="F23" s="381"/>
      <c r="G23" s="381"/>
      <c r="H23" s="381"/>
      <c r="I23" s="16"/>
      <c r="J23" s="39"/>
      <c r="K23" s="896"/>
      <c r="L23" s="896"/>
      <c r="M23" s="1822" t="s">
        <v>1379</v>
      </c>
      <c r="N23" s="1822"/>
      <c r="O23" s="1822"/>
      <c r="P23" s="1822"/>
      <c r="Q23" s="1822"/>
      <c r="R23" s="1822"/>
      <c r="S23" s="1822"/>
      <c r="T23" s="1822"/>
      <c r="U23" s="1822"/>
      <c r="V23" s="1822"/>
      <c r="W23" s="1822"/>
      <c r="X23" s="1822"/>
      <c r="Y23" s="1822"/>
      <c r="Z23" s="1822"/>
      <c r="AA23" s="1822"/>
      <c r="AB23" s="1785"/>
      <c r="AC23" s="1785"/>
      <c r="AD23" s="1785"/>
      <c r="AE23" s="1785"/>
      <c r="AF23" s="1785"/>
      <c r="AG23" s="1785"/>
      <c r="AH23" s="1784" t="s">
        <v>1165</v>
      </c>
      <c r="AI23" s="1784"/>
      <c r="AJ23" s="1784"/>
      <c r="AK23" s="1785"/>
      <c r="AL23" s="1785"/>
      <c r="AM23" s="1785"/>
      <c r="AN23" s="1785"/>
      <c r="AO23" s="1785"/>
      <c r="AP23" s="1785"/>
      <c r="AQ23" s="636"/>
      <c r="AR23" s="636"/>
      <c r="AS23" s="636"/>
      <c r="AT23" s="636"/>
      <c r="AU23" s="636"/>
      <c r="AV23" s="636"/>
      <c r="AW23" s="636"/>
      <c r="AX23" s="636"/>
      <c r="AY23" s="636"/>
      <c r="AZ23" s="636"/>
      <c r="BA23" s="636"/>
      <c r="BB23" s="636"/>
      <c r="BC23" s="636"/>
      <c r="BD23" s="636"/>
      <c r="BE23" s="636"/>
      <c r="BF23" s="636"/>
      <c r="BG23" s="636"/>
      <c r="BH23" s="636"/>
      <c r="BI23" s="636"/>
      <c r="BJ23" s="636"/>
      <c r="BK23" s="636"/>
      <c r="BL23" s="636"/>
      <c r="BM23" s="636"/>
      <c r="BN23" s="636"/>
      <c r="BO23" s="636"/>
      <c r="BP23" s="636"/>
      <c r="BQ23" s="636"/>
      <c r="BR23" s="636"/>
      <c r="BS23" s="636"/>
      <c r="BT23" s="636"/>
      <c r="BU23" s="717"/>
      <c r="BV23" s="717"/>
      <c r="BW23" s="717"/>
      <c r="BX23" s="718"/>
      <c r="BY23" s="718"/>
      <c r="BZ23" s="718"/>
      <c r="CA23" s="891"/>
      <c r="CB23" s="891"/>
      <c r="CC23" s="891"/>
      <c r="CD23" s="891"/>
      <c r="CE23" s="891"/>
      <c r="CF23" s="891"/>
      <c r="CG23" s="891"/>
      <c r="CH23" s="891"/>
      <c r="CI23" s="891"/>
      <c r="CJ23" s="891"/>
      <c r="CK23" s="891"/>
      <c r="CL23" s="891"/>
      <c r="CM23" s="891"/>
      <c r="CN23" s="891"/>
      <c r="CO23" s="891"/>
      <c r="CP23" s="891"/>
      <c r="CQ23" s="891"/>
      <c r="CR23" s="891"/>
      <c r="CS23" s="891"/>
      <c r="CT23" s="891"/>
      <c r="CU23" s="918"/>
      <c r="CV23" s="398"/>
      <c r="CW23" s="398"/>
      <c r="CX23" s="398"/>
      <c r="CY23" s="398"/>
      <c r="CZ23" s="398"/>
      <c r="DA23" s="398"/>
      <c r="DB23" s="398"/>
      <c r="DC23" s="35"/>
      <c r="DD23" s="36"/>
      <c r="DE23" s="36"/>
      <c r="DF23" s="36"/>
      <c r="DG23" s="36"/>
      <c r="DH23" s="36"/>
      <c r="DI23" s="36"/>
      <c r="DJ23" s="36"/>
      <c r="DK23" s="1049"/>
      <c r="DL23" s="1046"/>
      <c r="DM23" s="279" t="str">
        <f>CONCATENATE(AB23,"-",AK23)</f>
        <v>-</v>
      </c>
      <c r="DN23" s="279" t="str">
        <f>ASC(DM23)</f>
        <v>-</v>
      </c>
      <c r="DO23" s="171"/>
      <c r="DP23" s="171"/>
      <c r="DQ23" s="171"/>
      <c r="DV23" s="172" t="s">
        <v>4620</v>
      </c>
      <c r="DW23" s="249" t="str">
        <f>IF(TRIM(DN23)="-",IF(OR($DS$16,$DT$16),DN71,""),DN23)</f>
        <v/>
      </c>
      <c r="DX23" s="374"/>
      <c r="FO23" s="1046"/>
      <c r="GA23" s="171"/>
    </row>
    <row r="24" spans="1:183" s="172" customFormat="1" ht="27" customHeight="1">
      <c r="A24" s="645"/>
      <c r="B24" s="645"/>
      <c r="C24" s="645"/>
      <c r="D24" s="645"/>
      <c r="E24" s="646"/>
      <c r="F24" s="381"/>
      <c r="G24" s="381"/>
      <c r="H24" s="381"/>
      <c r="I24" s="16"/>
      <c r="J24" s="39"/>
      <c r="K24" s="896"/>
      <c r="L24" s="896"/>
      <c r="M24" s="1822" t="s">
        <v>243</v>
      </c>
      <c r="N24" s="1822"/>
      <c r="O24" s="1822"/>
      <c r="P24" s="1822"/>
      <c r="Q24" s="1822"/>
      <c r="R24" s="1822"/>
      <c r="S24" s="1822"/>
      <c r="T24" s="1822"/>
      <c r="U24" s="1822"/>
      <c r="V24" s="1822"/>
      <c r="W24" s="1822"/>
      <c r="X24" s="1822"/>
      <c r="Y24" s="1822"/>
      <c r="Z24" s="1822"/>
      <c r="AA24" s="1822"/>
      <c r="AB24" s="1798"/>
      <c r="AC24" s="1798"/>
      <c r="AD24" s="1798"/>
      <c r="AE24" s="1798"/>
      <c r="AF24" s="1798"/>
      <c r="AG24" s="1798"/>
      <c r="AH24" s="1798"/>
      <c r="AI24" s="1798"/>
      <c r="AJ24" s="1798"/>
      <c r="AK24" s="1798"/>
      <c r="AL24" s="1798"/>
      <c r="AM24" s="1798"/>
      <c r="AN24" s="1798"/>
      <c r="AO24" s="1798"/>
      <c r="AP24" s="1798"/>
      <c r="AQ24" s="1798"/>
      <c r="AR24" s="1798"/>
      <c r="AS24" s="1798"/>
      <c r="AT24" s="1798"/>
      <c r="AU24" s="1798"/>
      <c r="AV24" s="1798"/>
      <c r="AW24" s="1798"/>
      <c r="AX24" s="1798"/>
      <c r="AY24" s="1798"/>
      <c r="AZ24" s="1798"/>
      <c r="BA24" s="1798"/>
      <c r="BB24" s="1798"/>
      <c r="BC24" s="1798"/>
      <c r="BD24" s="1798"/>
      <c r="BE24" s="1798"/>
      <c r="BF24" s="1798"/>
      <c r="BG24" s="1798"/>
      <c r="BH24" s="1798"/>
      <c r="BI24" s="1798"/>
      <c r="BJ24" s="1798"/>
      <c r="BK24" s="1798"/>
      <c r="BL24" s="1798"/>
      <c r="BM24" s="1798"/>
      <c r="BN24" s="1798"/>
      <c r="BO24" s="1798"/>
      <c r="BP24" s="1798"/>
      <c r="BQ24" s="1798"/>
      <c r="BR24" s="1798"/>
      <c r="BS24" s="1798"/>
      <c r="BT24" s="1798"/>
      <c r="BU24" s="717"/>
      <c r="BV24" s="717"/>
      <c r="BW24" s="717"/>
      <c r="BX24" s="718"/>
      <c r="BY24" s="718"/>
      <c r="BZ24" s="718"/>
      <c r="CA24" s="891"/>
      <c r="CB24" s="891"/>
      <c r="CC24" s="891"/>
      <c r="CD24" s="891"/>
      <c r="CE24" s="891"/>
      <c r="CF24" s="891"/>
      <c r="CG24" s="891"/>
      <c r="CH24" s="891"/>
      <c r="CI24" s="891"/>
      <c r="CJ24" s="891"/>
      <c r="CK24" s="891"/>
      <c r="CL24" s="891"/>
      <c r="CM24" s="891"/>
      <c r="CN24" s="891"/>
      <c r="CO24" s="891"/>
      <c r="CP24" s="891"/>
      <c r="CQ24" s="891"/>
      <c r="CR24" s="891"/>
      <c r="CS24" s="891"/>
      <c r="CT24" s="891"/>
      <c r="CU24" s="918"/>
      <c r="CV24" s="398"/>
      <c r="CW24" s="398"/>
      <c r="CX24" s="398"/>
      <c r="CY24" s="398"/>
      <c r="CZ24" s="398"/>
      <c r="DA24" s="398"/>
      <c r="DB24" s="398"/>
      <c r="DC24" s="35"/>
      <c r="DD24" s="36"/>
      <c r="DE24" s="36"/>
      <c r="DF24" s="36"/>
      <c r="DG24" s="36"/>
      <c r="DH24" s="36"/>
      <c r="DI24" s="36"/>
      <c r="DJ24" s="36"/>
      <c r="DK24" s="1049"/>
      <c r="DL24" s="1046"/>
      <c r="DM24" s="171"/>
      <c r="DN24" s="171"/>
      <c r="DO24" s="171"/>
      <c r="DP24" s="171"/>
      <c r="DQ24" s="171"/>
      <c r="DV24" s="172" t="s">
        <v>4621</v>
      </c>
      <c r="DW24" s="249" t="str">
        <f>IF(TRIM(AB24)="",IF(OR($DS$16,$DT$16),AB72,""),AB24)</f>
        <v/>
      </c>
      <c r="DX24" s="374"/>
      <c r="FO24" s="1046"/>
      <c r="GA24" s="171"/>
    </row>
    <row r="25" spans="1:183" s="172" customFormat="1" ht="27" customHeight="1">
      <c r="A25" s="645"/>
      <c r="B25" s="645"/>
      <c r="C25" s="645"/>
      <c r="D25" s="645"/>
      <c r="E25" s="646"/>
      <c r="F25" s="381"/>
      <c r="G25" s="381"/>
      <c r="H25" s="381"/>
      <c r="I25" s="16"/>
      <c r="J25" s="39"/>
      <c r="K25" s="896"/>
      <c r="L25" s="896"/>
      <c r="M25" s="1834" t="s">
        <v>1380</v>
      </c>
      <c r="N25" s="1834"/>
      <c r="O25" s="1834"/>
      <c r="P25" s="1834"/>
      <c r="Q25" s="1834"/>
      <c r="R25" s="1834"/>
      <c r="S25" s="1834"/>
      <c r="T25" s="1834"/>
      <c r="U25" s="1834"/>
      <c r="V25" s="1834"/>
      <c r="W25" s="1834"/>
      <c r="X25" s="1834"/>
      <c r="Y25" s="1834"/>
      <c r="Z25" s="1834"/>
      <c r="AA25" s="1834"/>
      <c r="AB25" s="1785"/>
      <c r="AC25" s="1785"/>
      <c r="AD25" s="1785"/>
      <c r="AE25" s="1785"/>
      <c r="AF25" s="1785"/>
      <c r="AG25" s="1785"/>
      <c r="AH25" s="1784" t="s">
        <v>333</v>
      </c>
      <c r="AI25" s="1784"/>
      <c r="AJ25" s="1784"/>
      <c r="AK25" s="1785"/>
      <c r="AL25" s="1785"/>
      <c r="AM25" s="1785"/>
      <c r="AN25" s="1785"/>
      <c r="AO25" s="1785"/>
      <c r="AP25" s="1785"/>
      <c r="AQ25" s="1784" t="s">
        <v>1165</v>
      </c>
      <c r="AR25" s="1784"/>
      <c r="AS25" s="1784"/>
      <c r="AT25" s="1785"/>
      <c r="AU25" s="1785"/>
      <c r="AV25" s="1785"/>
      <c r="AW25" s="1785"/>
      <c r="AX25" s="1785"/>
      <c r="AY25" s="1785"/>
      <c r="AZ25" s="915"/>
      <c r="BA25" s="915"/>
      <c r="BB25" s="915"/>
      <c r="BC25" s="915"/>
      <c r="BD25" s="915"/>
      <c r="BE25" s="915"/>
      <c r="BF25" s="915"/>
      <c r="BG25" s="915"/>
      <c r="BH25" s="915"/>
      <c r="BI25" s="915"/>
      <c r="BJ25" s="915"/>
      <c r="BK25" s="915"/>
      <c r="BL25" s="915"/>
      <c r="BM25" s="915"/>
      <c r="BN25" s="915"/>
      <c r="BO25" s="915"/>
      <c r="BP25" s="915"/>
      <c r="BQ25" s="915"/>
      <c r="BR25" s="915"/>
      <c r="BS25" s="915"/>
      <c r="BT25" s="915"/>
      <c r="BU25" s="717"/>
      <c r="BV25" s="717"/>
      <c r="BW25" s="717"/>
      <c r="BX25" s="718"/>
      <c r="BY25" s="718"/>
      <c r="BZ25" s="718"/>
      <c r="CA25" s="891"/>
      <c r="CB25" s="891"/>
      <c r="CC25" s="891"/>
      <c r="CD25" s="891"/>
      <c r="CE25" s="891"/>
      <c r="CF25" s="891"/>
      <c r="CG25" s="891"/>
      <c r="CH25" s="891"/>
      <c r="CI25" s="891"/>
      <c r="CJ25" s="891"/>
      <c r="CK25" s="891"/>
      <c r="CL25" s="891"/>
      <c r="CM25" s="891"/>
      <c r="CN25" s="891"/>
      <c r="CO25" s="891"/>
      <c r="CP25" s="891"/>
      <c r="CQ25" s="891"/>
      <c r="CR25" s="891"/>
      <c r="CS25" s="891"/>
      <c r="CT25" s="891"/>
      <c r="CU25" s="918"/>
      <c r="CV25" s="398"/>
      <c r="CW25" s="398"/>
      <c r="CX25" s="398"/>
      <c r="CY25" s="398"/>
      <c r="CZ25" s="398"/>
      <c r="DA25" s="398"/>
      <c r="DB25" s="398"/>
      <c r="DC25" s="35"/>
      <c r="DD25" s="36"/>
      <c r="DE25" s="36"/>
      <c r="DF25" s="36"/>
      <c r="DG25" s="36"/>
      <c r="DH25" s="36"/>
      <c r="DI25" s="36"/>
      <c r="DJ25" s="36"/>
      <c r="DK25" s="1049"/>
      <c r="DL25" s="1046"/>
      <c r="DM25" s="280" t="str">
        <f>CONCATENATE(AB25,"-",AK25,"-",AT25)</f>
        <v>--</v>
      </c>
      <c r="DN25" s="280" t="str">
        <f>ASC(DM25)</f>
        <v>--</v>
      </c>
      <c r="DO25" s="171"/>
      <c r="DP25" s="171"/>
      <c r="DQ25" s="171"/>
      <c r="DV25" s="172" t="s">
        <v>4622</v>
      </c>
      <c r="DW25" s="249" t="str">
        <f>IF(TRIM(DN25)="--",IF(OR($DS$16,$DT$16),DN73,""),DN25)</f>
        <v/>
      </c>
      <c r="DX25" s="194"/>
      <c r="FO25" s="1046"/>
      <c r="GA25" s="171"/>
    </row>
    <row r="26" spans="1:183" ht="27" hidden="1" customHeight="1">
      <c r="A26" s="645"/>
      <c r="B26" s="645"/>
      <c r="C26" s="645"/>
      <c r="D26" s="645"/>
      <c r="E26" s="646"/>
      <c r="J26" s="76"/>
      <c r="K26" s="77"/>
      <c r="L26" s="77"/>
      <c r="M26" s="1822" t="s">
        <v>703</v>
      </c>
      <c r="N26" s="1822"/>
      <c r="O26" s="1822"/>
      <c r="P26" s="1822"/>
      <c r="Q26" s="1822"/>
      <c r="R26" s="1822"/>
      <c r="S26" s="1822"/>
      <c r="T26" s="1822"/>
      <c r="U26" s="1822"/>
      <c r="V26" s="1822"/>
      <c r="W26" s="1822"/>
      <c r="X26" s="1822"/>
      <c r="Y26" s="1822"/>
      <c r="Z26" s="1822"/>
      <c r="AA26" s="1822"/>
      <c r="AB26" s="1785"/>
      <c r="AC26" s="1785"/>
      <c r="AD26" s="1785"/>
      <c r="AE26" s="1785"/>
      <c r="AF26" s="1785"/>
      <c r="AG26" s="1785"/>
      <c r="AH26" s="1784" t="s">
        <v>1165</v>
      </c>
      <c r="AI26" s="1784"/>
      <c r="AJ26" s="1784"/>
      <c r="AK26" s="1785"/>
      <c r="AL26" s="1785"/>
      <c r="AM26" s="1785"/>
      <c r="AN26" s="1785"/>
      <c r="AO26" s="1785"/>
      <c r="AP26" s="1785"/>
      <c r="AQ26" s="1784" t="s">
        <v>1165</v>
      </c>
      <c r="AR26" s="1784"/>
      <c r="AS26" s="1784"/>
      <c r="AT26" s="1785"/>
      <c r="AU26" s="1785"/>
      <c r="AV26" s="1785"/>
      <c r="AW26" s="1785"/>
      <c r="AX26" s="1785"/>
      <c r="AY26" s="1785"/>
      <c r="AZ26" s="916"/>
      <c r="BA26" s="916"/>
      <c r="BB26" s="916"/>
      <c r="BC26" s="916"/>
      <c r="BD26" s="916"/>
      <c r="BE26" s="916"/>
      <c r="BF26" s="916"/>
      <c r="BG26" s="916"/>
      <c r="BH26" s="916"/>
      <c r="BI26" s="916"/>
      <c r="BJ26" s="916"/>
      <c r="BK26" s="916"/>
      <c r="BL26" s="916"/>
      <c r="BM26" s="916"/>
      <c r="BN26" s="916"/>
      <c r="BO26" s="916"/>
      <c r="BP26" s="916"/>
      <c r="BQ26" s="916"/>
      <c r="BR26" s="916"/>
      <c r="BS26" s="916"/>
      <c r="BT26" s="916"/>
      <c r="BU26" s="717"/>
      <c r="BV26" s="717"/>
      <c r="BW26" s="717"/>
      <c r="BX26" s="891"/>
      <c r="BY26" s="891"/>
      <c r="BZ26" s="891"/>
      <c r="CA26" s="891"/>
      <c r="CB26" s="891"/>
      <c r="CC26" s="891"/>
      <c r="CD26" s="891"/>
      <c r="CE26" s="891"/>
      <c r="CF26" s="891"/>
      <c r="CG26" s="891"/>
      <c r="CH26" s="891"/>
      <c r="CI26" s="891"/>
      <c r="CJ26" s="891"/>
      <c r="CK26" s="891"/>
      <c r="CL26" s="891"/>
      <c r="CM26" s="891"/>
      <c r="CN26" s="891"/>
      <c r="CO26" s="891"/>
      <c r="CP26" s="891"/>
      <c r="CQ26" s="891"/>
      <c r="CR26" s="891"/>
      <c r="CS26" s="891"/>
      <c r="CT26" s="891"/>
      <c r="CU26" s="918"/>
      <c r="DD26" s="36"/>
      <c r="DE26" s="36"/>
      <c r="DF26" s="36"/>
      <c r="DG26" s="36"/>
      <c r="DH26" s="36"/>
      <c r="DI26" s="36"/>
      <c r="DJ26" s="36"/>
      <c r="DK26" s="1049"/>
      <c r="DM26" s="280" t="str">
        <f>CONCATENATE(AB26,"-",AK26,"-",AT26)</f>
        <v>--</v>
      </c>
      <c r="DN26" s="280" t="str">
        <f>ASC(DM26)</f>
        <v>--</v>
      </c>
      <c r="DS26" s="412"/>
      <c r="DT26" s="412"/>
      <c r="DU26" s="412"/>
      <c r="EG26" s="167"/>
      <c r="EH26" s="167"/>
      <c r="EI26" s="167"/>
      <c r="EJ26" s="167"/>
      <c r="EK26" s="167"/>
      <c r="FV26" s="167"/>
      <c r="FW26" s="167"/>
      <c r="FX26" s="167"/>
      <c r="FY26" s="167"/>
      <c r="FZ26" s="167"/>
    </row>
    <row r="27" spans="1:183" ht="27" customHeight="1" thickBot="1">
      <c r="A27" s="645"/>
      <c r="B27" s="645"/>
      <c r="C27" s="645"/>
      <c r="D27" s="645"/>
      <c r="E27" s="646"/>
      <c r="J27" s="78"/>
      <c r="K27" s="79"/>
      <c r="L27" s="79"/>
      <c r="M27" s="1937" t="s">
        <v>1026</v>
      </c>
      <c r="N27" s="1937"/>
      <c r="O27" s="1937"/>
      <c r="P27" s="1937"/>
      <c r="Q27" s="1937"/>
      <c r="R27" s="1937"/>
      <c r="S27" s="1937"/>
      <c r="T27" s="1937"/>
      <c r="U27" s="1937"/>
      <c r="V27" s="1937"/>
      <c r="W27" s="1937"/>
      <c r="X27" s="1937"/>
      <c r="Y27" s="1937"/>
      <c r="Z27" s="1937"/>
      <c r="AA27" s="1937"/>
      <c r="AB27" s="1787"/>
      <c r="AC27" s="1787"/>
      <c r="AD27" s="1787"/>
      <c r="AE27" s="1787"/>
      <c r="AF27" s="1787"/>
      <c r="AG27" s="1787"/>
      <c r="AH27" s="1787"/>
      <c r="AI27" s="1787"/>
      <c r="AJ27" s="1787"/>
      <c r="AK27" s="1787"/>
      <c r="AL27" s="1787"/>
      <c r="AM27" s="1787"/>
      <c r="AN27" s="1787"/>
      <c r="AO27" s="1787"/>
      <c r="AP27" s="1787"/>
      <c r="AQ27" s="1787"/>
      <c r="AR27" s="1787"/>
      <c r="AS27" s="1787"/>
      <c r="AT27" s="1787"/>
      <c r="AU27" s="1787"/>
      <c r="AV27" s="1787"/>
      <c r="AW27" s="1787"/>
      <c r="AX27" s="1787"/>
      <c r="AY27" s="1787"/>
      <c r="AZ27" s="1787"/>
      <c r="BA27" s="1787"/>
      <c r="BB27" s="1787"/>
      <c r="BC27" s="1787"/>
      <c r="BD27" s="1787"/>
      <c r="BE27" s="1787"/>
      <c r="BF27" s="1787"/>
      <c r="BG27" s="1787"/>
      <c r="BH27" s="1787"/>
      <c r="BI27" s="1787"/>
      <c r="BJ27" s="1787"/>
      <c r="BK27" s="1787"/>
      <c r="BL27" s="1787"/>
      <c r="BM27" s="1787"/>
      <c r="BN27" s="1787"/>
      <c r="BO27" s="1787"/>
      <c r="BP27" s="1787"/>
      <c r="BQ27" s="1787"/>
      <c r="BR27" s="1787"/>
      <c r="BS27" s="1787"/>
      <c r="BT27" s="1787"/>
      <c r="BU27" s="1057"/>
      <c r="BV27" s="1057"/>
      <c r="BW27" s="1057"/>
      <c r="BX27" s="925"/>
      <c r="BY27" s="2487"/>
      <c r="BZ27" s="2487"/>
      <c r="CA27" s="2487"/>
      <c r="CB27" s="2487"/>
      <c r="CC27" s="2487"/>
      <c r="CD27" s="2487"/>
      <c r="CE27" s="2487"/>
      <c r="CF27" s="2487"/>
      <c r="CG27" s="2487"/>
      <c r="CH27" s="2487"/>
      <c r="CI27" s="2487"/>
      <c r="CJ27" s="2487"/>
      <c r="CK27" s="2487"/>
      <c r="CL27" s="2487"/>
      <c r="CM27" s="2487"/>
      <c r="CN27" s="925"/>
      <c r="CO27" s="925"/>
      <c r="CP27" s="925"/>
      <c r="CQ27" s="925"/>
      <c r="CR27" s="925"/>
      <c r="CS27" s="925"/>
      <c r="CT27" s="925"/>
      <c r="CU27" s="926"/>
      <c r="DD27" s="36"/>
      <c r="DE27" s="36"/>
      <c r="DF27" s="36"/>
      <c r="DG27" s="36"/>
      <c r="DH27" s="36"/>
      <c r="DI27" s="36"/>
      <c r="DJ27" s="36"/>
      <c r="DK27" s="1049"/>
      <c r="EG27" s="167"/>
      <c r="EH27" s="167"/>
      <c r="EI27" s="167"/>
      <c r="EJ27" s="167"/>
      <c r="EK27" s="167"/>
      <c r="FV27" s="167"/>
      <c r="FW27" s="167"/>
      <c r="FX27" s="167"/>
      <c r="FY27" s="167"/>
      <c r="FZ27" s="167"/>
    </row>
    <row r="28" spans="1:183" ht="15" customHeight="1">
      <c r="A28" s="645"/>
      <c r="B28" s="645"/>
      <c r="C28" s="645"/>
      <c r="D28" s="645"/>
      <c r="E28" s="646"/>
      <c r="J28" s="640"/>
      <c r="K28" s="640"/>
      <c r="L28" s="640"/>
      <c r="M28" s="640"/>
      <c r="N28" s="640"/>
      <c r="O28" s="640"/>
      <c r="P28" s="640"/>
      <c r="Q28" s="640"/>
      <c r="R28" s="640"/>
      <c r="S28" s="640"/>
      <c r="T28" s="640"/>
      <c r="U28" s="640"/>
      <c r="V28" s="640"/>
      <c r="W28" s="640"/>
      <c r="X28" s="640"/>
      <c r="Y28" s="640"/>
      <c r="Z28" s="640"/>
      <c r="AA28" s="640"/>
      <c r="AB28" s="641"/>
      <c r="AC28" s="641"/>
      <c r="AD28" s="641"/>
      <c r="AE28" s="641"/>
      <c r="AF28" s="641"/>
      <c r="AG28" s="641"/>
      <c r="AH28" s="641"/>
      <c r="AI28" s="641"/>
      <c r="AJ28" s="641"/>
      <c r="AK28" s="641"/>
      <c r="AL28" s="641"/>
      <c r="AM28" s="641"/>
      <c r="AN28" s="641"/>
      <c r="AO28" s="641"/>
      <c r="AP28" s="641"/>
      <c r="AQ28" s="641"/>
      <c r="AR28" s="641"/>
      <c r="AS28" s="641"/>
      <c r="AT28" s="641"/>
      <c r="AU28" s="641"/>
      <c r="AV28" s="641"/>
      <c r="AW28" s="641"/>
      <c r="AX28" s="641"/>
      <c r="AY28" s="641"/>
      <c r="AZ28" s="641"/>
      <c r="BA28" s="641"/>
      <c r="BB28" s="641"/>
      <c r="BC28" s="641"/>
      <c r="BD28" s="641"/>
      <c r="BE28" s="641"/>
      <c r="BF28" s="641"/>
      <c r="BG28" s="641"/>
      <c r="BH28" s="641"/>
      <c r="BI28" s="641"/>
      <c r="BJ28" s="641"/>
      <c r="BK28" s="641"/>
      <c r="BL28" s="641"/>
      <c r="BM28" s="641"/>
      <c r="BN28" s="641"/>
      <c r="BO28" s="641"/>
      <c r="BP28" s="641"/>
      <c r="BQ28" s="641"/>
      <c r="BR28" s="641"/>
      <c r="BS28" s="641"/>
      <c r="BT28" s="641"/>
      <c r="BU28" s="1058"/>
      <c r="BV28" s="719"/>
      <c r="BW28" s="719"/>
      <c r="BX28" s="719"/>
      <c r="BY28" s="719"/>
      <c r="BZ28" s="719"/>
      <c r="CA28" s="719"/>
      <c r="CB28" s="719"/>
      <c r="CC28" s="719"/>
      <c r="CD28" s="719"/>
      <c r="CE28" s="719"/>
      <c r="CF28" s="719"/>
      <c r="CG28" s="719"/>
      <c r="CH28" s="719"/>
      <c r="CI28" s="719"/>
      <c r="CJ28" s="719"/>
      <c r="CK28" s="719"/>
      <c r="CL28" s="719"/>
      <c r="CM28" s="719"/>
      <c r="CN28" s="719"/>
      <c r="CO28" s="719"/>
      <c r="CP28" s="719"/>
      <c r="CQ28" s="719"/>
      <c r="CR28" s="719"/>
      <c r="CS28" s="719"/>
      <c r="CT28" s="719"/>
      <c r="CU28" s="719"/>
      <c r="DD28" s="36"/>
      <c r="DE28" s="36"/>
      <c r="DF28" s="36"/>
      <c r="DG28" s="36"/>
      <c r="DH28" s="36"/>
      <c r="DI28" s="36"/>
      <c r="DJ28" s="36"/>
      <c r="EG28" s="167"/>
      <c r="EH28" s="167"/>
      <c r="EI28" s="167"/>
      <c r="EJ28" s="167"/>
      <c r="EK28" s="167"/>
      <c r="FV28" s="167"/>
      <c r="FW28" s="167"/>
      <c r="FX28" s="167"/>
      <c r="FY28" s="167"/>
      <c r="FZ28" s="167"/>
    </row>
    <row r="29" spans="1:183" ht="2.15" customHeight="1">
      <c r="A29" s="645"/>
      <c r="B29" s="645"/>
      <c r="C29" s="645"/>
      <c r="D29" s="645"/>
      <c r="E29" s="646"/>
      <c r="BU29" s="1044"/>
      <c r="DD29" s="36"/>
      <c r="DE29" s="36"/>
      <c r="DF29" s="36"/>
      <c r="DG29" s="36"/>
      <c r="DH29" s="36"/>
      <c r="DI29" s="36"/>
      <c r="DJ29" s="36"/>
      <c r="EG29" s="167"/>
      <c r="EH29" s="167"/>
      <c r="EI29" s="167"/>
      <c r="EJ29" s="167"/>
      <c r="EK29" s="167"/>
      <c r="FV29" s="167"/>
      <c r="FW29" s="167"/>
      <c r="FX29" s="167"/>
      <c r="FY29" s="167"/>
      <c r="FZ29" s="167"/>
    </row>
    <row r="30" spans="1:183" ht="2.15" customHeight="1">
      <c r="A30" s="645"/>
      <c r="B30" s="645"/>
      <c r="C30" s="645"/>
      <c r="D30" s="645"/>
      <c r="E30" s="646"/>
      <c r="BU30" s="1044"/>
      <c r="DD30" s="36"/>
      <c r="DE30" s="36"/>
      <c r="DF30" s="36"/>
      <c r="DG30" s="36"/>
      <c r="DH30" s="36"/>
      <c r="DI30" s="36"/>
      <c r="DJ30" s="36"/>
      <c r="EG30" s="167"/>
      <c r="EH30" s="167"/>
      <c r="EI30" s="167"/>
      <c r="EJ30" s="167"/>
      <c r="EK30" s="167"/>
      <c r="FV30" s="167"/>
      <c r="FW30" s="167"/>
      <c r="FX30" s="167"/>
      <c r="FY30" s="167"/>
      <c r="FZ30" s="167"/>
    </row>
    <row r="31" spans="1:183" ht="2.15" customHeight="1" thickBot="1">
      <c r="A31" s="645"/>
      <c r="B31" s="645"/>
      <c r="C31" s="645"/>
      <c r="D31" s="645"/>
      <c r="E31" s="646"/>
      <c r="BU31" s="1044"/>
      <c r="DD31" s="36"/>
      <c r="DE31" s="36"/>
      <c r="DF31" s="36"/>
      <c r="DG31" s="36"/>
      <c r="DH31" s="36"/>
      <c r="DI31" s="36"/>
      <c r="DJ31" s="36"/>
      <c r="EG31" s="167"/>
      <c r="EH31" s="167"/>
      <c r="EI31" s="167"/>
      <c r="EJ31" s="167"/>
      <c r="EK31" s="167"/>
      <c r="FV31" s="167"/>
      <c r="FW31" s="167"/>
      <c r="FX31" s="167"/>
      <c r="FY31" s="167"/>
      <c r="FZ31" s="167"/>
    </row>
    <row r="32" spans="1:183" s="174" customFormat="1" ht="35.15" customHeight="1">
      <c r="A32" s="645"/>
      <c r="B32" s="645"/>
      <c r="C32" s="645"/>
      <c r="D32" s="645"/>
      <c r="E32" s="646"/>
      <c r="F32" s="381"/>
      <c r="G32" s="381"/>
      <c r="H32" s="381"/>
      <c r="I32" s="43"/>
      <c r="J32" s="1831" t="s">
        <v>2414</v>
      </c>
      <c r="K32" s="1832"/>
      <c r="L32" s="1832"/>
      <c r="M32" s="1832"/>
      <c r="N32" s="1832"/>
      <c r="O32" s="1832"/>
      <c r="P32" s="1832"/>
      <c r="Q32" s="1832"/>
      <c r="R32" s="1832"/>
      <c r="S32" s="1832"/>
      <c r="T32" s="1832"/>
      <c r="U32" s="1832"/>
      <c r="V32" s="1832"/>
      <c r="W32" s="1832"/>
      <c r="X32" s="1832"/>
      <c r="Y32" s="1832"/>
      <c r="Z32" s="1832"/>
      <c r="AA32" s="1832"/>
      <c r="AB32" s="1832"/>
      <c r="AC32" s="1832"/>
      <c r="AD32" s="1832"/>
      <c r="AE32" s="1832"/>
      <c r="AF32" s="1832"/>
      <c r="AG32" s="1832"/>
      <c r="AH32" s="1832"/>
      <c r="AI32" s="1832"/>
      <c r="AJ32" s="1832"/>
      <c r="AK32" s="1832"/>
      <c r="AL32" s="1832"/>
      <c r="AM32" s="1832"/>
      <c r="AN32" s="1832"/>
      <c r="AO32" s="1832"/>
      <c r="AP32" s="1832"/>
      <c r="AQ32" s="1832"/>
      <c r="AR32" s="1832"/>
      <c r="AS32" s="1832"/>
      <c r="AT32" s="1832"/>
      <c r="AU32" s="1832"/>
      <c r="AV32" s="1832"/>
      <c r="AW32" s="1832"/>
      <c r="AX32" s="1832"/>
      <c r="AY32" s="1832"/>
      <c r="AZ32" s="1832"/>
      <c r="BA32" s="1832"/>
      <c r="BB32" s="1832"/>
      <c r="BC32" s="1832"/>
      <c r="BD32" s="1832"/>
      <c r="BE32" s="1832"/>
      <c r="BF32" s="1832"/>
      <c r="BG32" s="1832"/>
      <c r="BH32" s="1832"/>
      <c r="BI32" s="1832"/>
      <c r="BJ32" s="1832"/>
      <c r="BK32" s="1832"/>
      <c r="BL32" s="1775" t="s">
        <v>368</v>
      </c>
      <c r="BM32" s="1776"/>
      <c r="BN32" s="1776"/>
      <c r="BO32" s="1776"/>
      <c r="BP32" s="1776"/>
      <c r="BQ32" s="1776"/>
      <c r="BR32" s="1776"/>
      <c r="BS32" s="1776"/>
      <c r="BT32" s="1776"/>
      <c r="BU32" s="1059"/>
      <c r="BV32" s="1059"/>
      <c r="BW32" s="1059"/>
      <c r="BX32" s="1059"/>
      <c r="BY32" s="1060"/>
      <c r="BZ32" s="1060"/>
      <c r="CA32" s="1060"/>
      <c r="CB32" s="1060"/>
      <c r="CC32" s="1060"/>
      <c r="CD32" s="1060"/>
      <c r="CE32" s="1060"/>
      <c r="CF32" s="1060"/>
      <c r="CG32" s="1060"/>
      <c r="CH32" s="1060"/>
      <c r="CI32" s="1060"/>
      <c r="CJ32" s="1060"/>
      <c r="CK32" s="1060"/>
      <c r="CL32" s="1060"/>
      <c r="CM32" s="1060"/>
      <c r="CN32" s="1059"/>
      <c r="CO32" s="1059"/>
      <c r="CP32" s="1059"/>
      <c r="CQ32" s="1059"/>
      <c r="CR32" s="728"/>
      <c r="CS32" s="728"/>
      <c r="CT32" s="728"/>
      <c r="CU32" s="729"/>
      <c r="CV32" s="15"/>
      <c r="CW32" s="15"/>
      <c r="CX32" s="15"/>
      <c r="CY32" s="15"/>
      <c r="CZ32" s="15"/>
      <c r="DA32" s="15"/>
      <c r="DB32" s="15"/>
      <c r="DC32" s="35"/>
      <c r="DD32" s="25"/>
      <c r="DE32" s="25"/>
      <c r="DF32" s="1061"/>
      <c r="DG32" s="1061"/>
      <c r="DH32" s="36"/>
      <c r="DI32" s="36"/>
      <c r="DJ32" s="36"/>
      <c r="DK32" s="1049"/>
      <c r="DL32" s="1050"/>
      <c r="DM32" s="173"/>
      <c r="DN32" s="173"/>
      <c r="DO32" s="173"/>
      <c r="DP32" s="173"/>
      <c r="DQ32" s="173"/>
      <c r="DV32" s="409" t="s">
        <v>2424</v>
      </c>
      <c r="DW32" s="410"/>
      <c r="DX32" s="411"/>
      <c r="FO32" s="1050"/>
      <c r="GA32" s="173"/>
    </row>
    <row r="33" spans="1:183" ht="27" customHeight="1">
      <c r="A33" s="645"/>
      <c r="B33" s="645"/>
      <c r="C33" s="645"/>
      <c r="D33" s="645"/>
      <c r="E33" s="646"/>
      <c r="I33" s="906"/>
      <c r="J33" s="80"/>
      <c r="K33" s="51"/>
      <c r="L33" s="51"/>
      <c r="M33" s="1834" t="s">
        <v>715</v>
      </c>
      <c r="N33" s="1835"/>
      <c r="O33" s="1835"/>
      <c r="P33" s="1835"/>
      <c r="Q33" s="1835"/>
      <c r="R33" s="1835"/>
      <c r="S33" s="1827" t="s">
        <v>699</v>
      </c>
      <c r="T33" s="1843"/>
      <c r="U33" s="1843"/>
      <c r="V33" s="1843"/>
      <c r="W33" s="1843"/>
      <c r="X33" s="1843"/>
      <c r="Y33" s="1843"/>
      <c r="Z33" s="1843"/>
      <c r="AA33" s="1843"/>
      <c r="AB33" s="1783"/>
      <c r="AC33" s="1783"/>
      <c r="AD33" s="1783"/>
      <c r="AE33" s="1783"/>
      <c r="AF33" s="1783"/>
      <c r="AG33" s="1783"/>
      <c r="AH33" s="1783"/>
      <c r="AI33" s="1783"/>
      <c r="AJ33" s="1783"/>
      <c r="AK33" s="1783"/>
      <c r="AL33" s="1783"/>
      <c r="AM33" s="1783"/>
      <c r="AN33" s="1783"/>
      <c r="AO33" s="1783"/>
      <c r="AP33" s="1783"/>
      <c r="AQ33" s="1783"/>
      <c r="AR33" s="1783"/>
      <c r="AS33" s="1783"/>
      <c r="AT33" s="1783"/>
      <c r="AU33" s="1783"/>
      <c r="AV33" s="1783"/>
      <c r="AW33" s="1783"/>
      <c r="AX33" s="1783"/>
      <c r="AY33" s="1783"/>
      <c r="AZ33" s="1783"/>
      <c r="BA33" s="1783"/>
      <c r="BB33" s="1783"/>
      <c r="BC33" s="1783"/>
      <c r="BD33" s="1783"/>
      <c r="BE33" s="1783"/>
      <c r="BF33" s="1783"/>
      <c r="BG33" s="1783"/>
      <c r="BH33" s="1783"/>
      <c r="BI33" s="1783"/>
      <c r="BJ33" s="1783"/>
      <c r="BK33" s="1783"/>
      <c r="BL33" s="1783"/>
      <c r="BM33" s="1783"/>
      <c r="BN33" s="1783"/>
      <c r="BO33" s="1783"/>
      <c r="BP33" s="1783"/>
      <c r="BQ33" s="1783"/>
      <c r="BR33" s="1783"/>
      <c r="BS33" s="1783"/>
      <c r="BT33" s="1783"/>
      <c r="BU33" s="1062"/>
      <c r="BV33" s="903"/>
      <c r="BW33" s="903"/>
      <c r="BX33" s="903"/>
      <c r="BY33" s="903"/>
      <c r="BZ33" s="903"/>
      <c r="CA33" s="903"/>
      <c r="CB33" s="903"/>
      <c r="CC33" s="903"/>
      <c r="CD33" s="903"/>
      <c r="CE33" s="903"/>
      <c r="CF33" s="903"/>
      <c r="CG33" s="903"/>
      <c r="CH33" s="903"/>
      <c r="CI33" s="903"/>
      <c r="CJ33" s="903"/>
      <c r="CK33" s="903"/>
      <c r="CL33" s="903"/>
      <c r="CM33" s="903"/>
      <c r="CN33" s="903"/>
      <c r="CO33" s="903"/>
      <c r="CP33" s="903"/>
      <c r="CQ33" s="903"/>
      <c r="CR33" s="903"/>
      <c r="CS33" s="903"/>
      <c r="CT33" s="903"/>
      <c r="CU33" s="720"/>
      <c r="CV33" s="15"/>
      <c r="CW33" s="15"/>
      <c r="CX33" s="15"/>
      <c r="CY33" s="15"/>
      <c r="CZ33" s="15"/>
      <c r="DA33" s="15"/>
      <c r="DB33" s="15"/>
      <c r="DD33" s="25"/>
      <c r="DE33" s="25"/>
      <c r="DF33" s="178"/>
      <c r="DG33" s="178"/>
      <c r="DH33" s="178"/>
      <c r="DI33" s="36"/>
      <c r="DJ33" s="36"/>
      <c r="DS33" s="405"/>
      <c r="DT33" s="405"/>
      <c r="DU33" s="405"/>
      <c r="DV33" s="405" t="s">
        <v>2416</v>
      </c>
      <c r="DW33" s="834" t="str">
        <f>TEXT(AB33,"")</f>
        <v/>
      </c>
      <c r="DX33" s="405"/>
      <c r="DY33" s="190" t="str">
        <f>DW33&amp;" "&amp;DW35&amp;" "&amp;DW37</f>
        <v xml:space="preserve">  </v>
      </c>
      <c r="DZ33" s="190" t="str">
        <f>DY33</f>
        <v xml:space="preserve">  </v>
      </c>
      <c r="EB33" s="405"/>
      <c r="EG33" s="167"/>
      <c r="EH33" s="167"/>
      <c r="EI33" s="167"/>
      <c r="EJ33" s="167"/>
      <c r="EK33" s="167"/>
      <c r="FV33" s="167"/>
      <c r="FW33" s="167"/>
      <c r="FX33" s="167"/>
      <c r="FY33" s="167"/>
      <c r="FZ33" s="167"/>
    </row>
    <row r="34" spans="1:183" ht="27" customHeight="1">
      <c r="A34" s="645"/>
      <c r="B34" s="645"/>
      <c r="C34" s="645"/>
      <c r="D34" s="645"/>
      <c r="E34" s="646"/>
      <c r="I34" s="906"/>
      <c r="J34" s="80"/>
      <c r="K34" s="51"/>
      <c r="L34" s="51"/>
      <c r="M34" s="1836"/>
      <c r="N34" s="1836"/>
      <c r="O34" s="1836"/>
      <c r="P34" s="1836"/>
      <c r="Q34" s="1836"/>
      <c r="R34" s="1836"/>
      <c r="S34" s="1939" t="s">
        <v>337</v>
      </c>
      <c r="T34" s="1940"/>
      <c r="U34" s="1940"/>
      <c r="V34" s="1940"/>
      <c r="W34" s="1940"/>
      <c r="X34" s="1940"/>
      <c r="Y34" s="1940"/>
      <c r="Z34" s="1940"/>
      <c r="AA34" s="1940"/>
      <c r="AB34" s="1797"/>
      <c r="AC34" s="1797"/>
      <c r="AD34" s="1797"/>
      <c r="AE34" s="1797"/>
      <c r="AF34" s="1797"/>
      <c r="AG34" s="1797"/>
      <c r="AH34" s="1797"/>
      <c r="AI34" s="1797"/>
      <c r="AJ34" s="1797"/>
      <c r="AK34" s="1797"/>
      <c r="AL34" s="1797"/>
      <c r="AM34" s="1797"/>
      <c r="AN34" s="1797"/>
      <c r="AO34" s="1797"/>
      <c r="AP34" s="1797"/>
      <c r="AQ34" s="1797"/>
      <c r="AR34" s="1797"/>
      <c r="AS34" s="1797"/>
      <c r="AT34" s="1797"/>
      <c r="AU34" s="1797"/>
      <c r="AV34" s="1797"/>
      <c r="AW34" s="1797"/>
      <c r="AX34" s="1797"/>
      <c r="AY34" s="1797"/>
      <c r="AZ34" s="1797"/>
      <c r="BA34" s="1797"/>
      <c r="BB34" s="1797"/>
      <c r="BC34" s="1797"/>
      <c r="BD34" s="1797"/>
      <c r="BE34" s="1797"/>
      <c r="BF34" s="1797"/>
      <c r="BG34" s="1797"/>
      <c r="BH34" s="1797"/>
      <c r="BI34" s="1797"/>
      <c r="BJ34" s="1797"/>
      <c r="BK34" s="1797"/>
      <c r="BL34" s="1797"/>
      <c r="BM34" s="1797"/>
      <c r="BN34" s="1797"/>
      <c r="BO34" s="1797"/>
      <c r="BP34" s="1797"/>
      <c r="BQ34" s="1797"/>
      <c r="BR34" s="1797"/>
      <c r="BS34" s="1797"/>
      <c r="BT34" s="1797"/>
      <c r="BU34" s="1062"/>
      <c r="BV34" s="903"/>
      <c r="BW34" s="1935" t="s">
        <v>2808</v>
      </c>
      <c r="BX34" s="1935"/>
      <c r="BY34" s="1935"/>
      <c r="BZ34" s="1935"/>
      <c r="CA34" s="1935"/>
      <c r="CB34" s="1935"/>
      <c r="CC34" s="1935"/>
      <c r="CD34" s="1935"/>
      <c r="CE34" s="1935"/>
      <c r="CF34" s="1935"/>
      <c r="CG34" s="1935"/>
      <c r="CH34" s="1935"/>
      <c r="CI34" s="1935"/>
      <c r="CJ34" s="1935"/>
      <c r="CK34" s="1935"/>
      <c r="CL34" s="1935"/>
      <c r="CM34" s="1935"/>
      <c r="CN34" s="1935"/>
      <c r="CO34" s="1935"/>
      <c r="CP34" s="1935"/>
      <c r="CQ34" s="1935"/>
      <c r="CR34" s="1935"/>
      <c r="CS34" s="1935"/>
      <c r="CT34" s="903"/>
      <c r="CU34" s="720"/>
      <c r="CV34" s="15"/>
      <c r="CW34" s="15"/>
      <c r="CX34" s="15"/>
      <c r="CY34" s="15"/>
      <c r="DD34" s="36"/>
      <c r="DE34" s="36"/>
      <c r="DF34" s="36"/>
      <c r="DG34" s="36"/>
      <c r="DH34" s="36"/>
      <c r="DI34" s="36"/>
      <c r="DJ34" s="36"/>
      <c r="DM34" s="414"/>
      <c r="DV34" s="167" t="s">
        <v>2417</v>
      </c>
      <c r="DW34" s="834" t="str">
        <f t="shared" ref="DW34:DW38" si="1">TEXT(AB34,"")</f>
        <v/>
      </c>
      <c r="DY34" s="190" t="str">
        <f>DW34&amp;" "&amp;DW36&amp;" "&amp;DW38</f>
        <v xml:space="preserve">  </v>
      </c>
      <c r="DZ34" s="190" t="str">
        <f>DY34</f>
        <v xml:space="preserve">  </v>
      </c>
      <c r="EB34" s="1063"/>
      <c r="EG34" s="167"/>
      <c r="EH34" s="167"/>
      <c r="EI34" s="167"/>
      <c r="EJ34" s="167"/>
      <c r="EK34" s="167"/>
      <c r="FV34" s="167"/>
      <c r="FW34" s="167"/>
      <c r="FX34" s="167"/>
      <c r="FY34" s="167"/>
      <c r="FZ34" s="167"/>
    </row>
    <row r="35" spans="1:183" ht="27" customHeight="1">
      <c r="A35" s="645"/>
      <c r="B35" s="645"/>
      <c r="C35" s="645"/>
      <c r="D35" s="645"/>
      <c r="E35" s="646"/>
      <c r="I35" s="906"/>
      <c r="J35" s="80"/>
      <c r="K35" s="51"/>
      <c r="L35" s="51"/>
      <c r="M35" s="1836"/>
      <c r="N35" s="1836"/>
      <c r="O35" s="1836"/>
      <c r="P35" s="1836"/>
      <c r="Q35" s="1836"/>
      <c r="R35" s="1836"/>
      <c r="S35" s="1827" t="s">
        <v>697</v>
      </c>
      <c r="T35" s="1843"/>
      <c r="U35" s="1843"/>
      <c r="V35" s="1843"/>
      <c r="W35" s="1843"/>
      <c r="X35" s="1843"/>
      <c r="Y35" s="1843"/>
      <c r="Z35" s="1843"/>
      <c r="AA35" s="1843"/>
      <c r="AB35" s="1783"/>
      <c r="AC35" s="1783"/>
      <c r="AD35" s="1783"/>
      <c r="AE35" s="1783"/>
      <c r="AF35" s="1783"/>
      <c r="AG35" s="1783"/>
      <c r="AH35" s="1783"/>
      <c r="AI35" s="1783"/>
      <c r="AJ35" s="1783"/>
      <c r="AK35" s="1783"/>
      <c r="AL35" s="1783"/>
      <c r="AM35" s="1783"/>
      <c r="AN35" s="1783"/>
      <c r="AO35" s="1783"/>
      <c r="AP35" s="1783"/>
      <c r="AQ35" s="1783"/>
      <c r="AR35" s="1783"/>
      <c r="AS35" s="1783"/>
      <c r="AT35" s="1783"/>
      <c r="AU35" s="1783"/>
      <c r="AV35" s="1783"/>
      <c r="AW35" s="1783"/>
      <c r="AX35" s="1783"/>
      <c r="AY35" s="1783"/>
      <c r="AZ35" s="1783"/>
      <c r="BA35" s="1783"/>
      <c r="BB35" s="1783"/>
      <c r="BC35" s="1783"/>
      <c r="BD35" s="1783"/>
      <c r="BE35" s="1783"/>
      <c r="BF35" s="1783"/>
      <c r="BG35" s="1783"/>
      <c r="BH35" s="1783"/>
      <c r="BI35" s="1783"/>
      <c r="BJ35" s="1783"/>
      <c r="BK35" s="1783"/>
      <c r="BL35" s="1783"/>
      <c r="BM35" s="1783"/>
      <c r="BN35" s="1783"/>
      <c r="BO35" s="1783"/>
      <c r="BP35" s="1783"/>
      <c r="BQ35" s="1783"/>
      <c r="BR35" s="1783"/>
      <c r="BS35" s="1783"/>
      <c r="BT35" s="1783"/>
      <c r="BU35" s="1062"/>
      <c r="BV35" s="903"/>
      <c r="BW35" s="1935"/>
      <c r="BX35" s="1935"/>
      <c r="BY35" s="1935"/>
      <c r="BZ35" s="1935"/>
      <c r="CA35" s="1935"/>
      <c r="CB35" s="1935"/>
      <c r="CC35" s="1935"/>
      <c r="CD35" s="1935"/>
      <c r="CE35" s="1935"/>
      <c r="CF35" s="1935"/>
      <c r="CG35" s="1935"/>
      <c r="CH35" s="1935"/>
      <c r="CI35" s="1935"/>
      <c r="CJ35" s="1935"/>
      <c r="CK35" s="1935"/>
      <c r="CL35" s="1935"/>
      <c r="CM35" s="1935"/>
      <c r="CN35" s="1935"/>
      <c r="CO35" s="1935"/>
      <c r="CP35" s="1935"/>
      <c r="CQ35" s="1935"/>
      <c r="CR35" s="1935"/>
      <c r="CS35" s="1935"/>
      <c r="CT35" s="903"/>
      <c r="CU35" s="720"/>
      <c r="CV35" s="15"/>
      <c r="CW35" s="15"/>
      <c r="CX35" s="15"/>
      <c r="DD35" s="36"/>
      <c r="DE35" s="36"/>
      <c r="DF35" s="36"/>
      <c r="DG35" s="36"/>
      <c r="DH35" s="36"/>
      <c r="DI35" s="36"/>
      <c r="DJ35" s="36"/>
      <c r="DV35" s="167" t="s">
        <v>2418</v>
      </c>
      <c r="DW35" s="834" t="str">
        <f t="shared" si="1"/>
        <v/>
      </c>
      <c r="EG35" s="167"/>
      <c r="EH35" s="167"/>
      <c r="EI35" s="167"/>
      <c r="EJ35" s="167"/>
      <c r="EK35" s="167"/>
      <c r="FV35" s="167"/>
      <c r="FW35" s="167"/>
      <c r="FX35" s="167"/>
      <c r="FY35" s="167"/>
      <c r="FZ35" s="167"/>
    </row>
    <row r="36" spans="1:183" ht="27" customHeight="1">
      <c r="A36" s="645"/>
      <c r="B36" s="645"/>
      <c r="C36" s="645"/>
      <c r="D36" s="645"/>
      <c r="E36" s="646"/>
      <c r="I36" s="906"/>
      <c r="J36" s="80"/>
      <c r="K36" s="51"/>
      <c r="L36" s="51"/>
      <c r="M36" s="1836"/>
      <c r="N36" s="1836"/>
      <c r="O36" s="1836"/>
      <c r="P36" s="1836"/>
      <c r="Q36" s="1836"/>
      <c r="R36" s="1836"/>
      <c r="S36" s="1939" t="s">
        <v>339</v>
      </c>
      <c r="T36" s="1940"/>
      <c r="U36" s="1940"/>
      <c r="V36" s="1940"/>
      <c r="W36" s="1940"/>
      <c r="X36" s="1940"/>
      <c r="Y36" s="1940"/>
      <c r="Z36" s="1940"/>
      <c r="AA36" s="1940"/>
      <c r="AB36" s="1797"/>
      <c r="AC36" s="1797"/>
      <c r="AD36" s="1797"/>
      <c r="AE36" s="1797"/>
      <c r="AF36" s="1797"/>
      <c r="AG36" s="1797"/>
      <c r="AH36" s="1797"/>
      <c r="AI36" s="1797"/>
      <c r="AJ36" s="1797"/>
      <c r="AK36" s="1797"/>
      <c r="AL36" s="1797"/>
      <c r="AM36" s="1797"/>
      <c r="AN36" s="1797"/>
      <c r="AO36" s="1797"/>
      <c r="AP36" s="1797"/>
      <c r="AQ36" s="1797"/>
      <c r="AR36" s="1797"/>
      <c r="AS36" s="1797"/>
      <c r="AT36" s="1797"/>
      <c r="AU36" s="1797"/>
      <c r="AV36" s="1797"/>
      <c r="AW36" s="1797"/>
      <c r="AX36" s="1797"/>
      <c r="AY36" s="1797"/>
      <c r="AZ36" s="1797"/>
      <c r="BA36" s="1797"/>
      <c r="BB36" s="1797"/>
      <c r="BC36" s="1797"/>
      <c r="BD36" s="1797"/>
      <c r="BE36" s="1797"/>
      <c r="BF36" s="1797"/>
      <c r="BG36" s="1797"/>
      <c r="BH36" s="1797"/>
      <c r="BI36" s="1797"/>
      <c r="BJ36" s="1797"/>
      <c r="BK36" s="1797"/>
      <c r="BL36" s="1797"/>
      <c r="BM36" s="1797"/>
      <c r="BN36" s="1797"/>
      <c r="BO36" s="1797"/>
      <c r="BP36" s="1797"/>
      <c r="BQ36" s="1797"/>
      <c r="BR36" s="1797"/>
      <c r="BS36" s="1797"/>
      <c r="BT36" s="1797"/>
      <c r="BU36" s="903"/>
      <c r="BV36" s="903"/>
      <c r="BW36" s="1935"/>
      <c r="BX36" s="1935"/>
      <c r="BY36" s="1935"/>
      <c r="BZ36" s="1935"/>
      <c r="CA36" s="1935"/>
      <c r="CB36" s="1935"/>
      <c r="CC36" s="1935"/>
      <c r="CD36" s="1935"/>
      <c r="CE36" s="1935"/>
      <c r="CF36" s="1935"/>
      <c r="CG36" s="1935"/>
      <c r="CH36" s="1935"/>
      <c r="CI36" s="1935"/>
      <c r="CJ36" s="1935"/>
      <c r="CK36" s="1935"/>
      <c r="CL36" s="1935"/>
      <c r="CM36" s="1935"/>
      <c r="CN36" s="1935"/>
      <c r="CO36" s="1935"/>
      <c r="CP36" s="1935"/>
      <c r="CQ36" s="1935"/>
      <c r="CR36" s="1935"/>
      <c r="CS36" s="1935"/>
      <c r="CT36" s="903"/>
      <c r="CU36" s="720"/>
      <c r="DD36" s="36"/>
      <c r="DE36" s="36"/>
      <c r="DF36" s="36"/>
      <c r="DG36" s="36"/>
      <c r="DH36" s="36"/>
      <c r="DI36" s="36"/>
      <c r="DJ36" s="36"/>
      <c r="DM36" s="414"/>
      <c r="DV36" s="167" t="s">
        <v>2419</v>
      </c>
      <c r="DW36" s="834" t="str">
        <f>TEXT(AB36,"")</f>
        <v/>
      </c>
      <c r="DY36" s="836"/>
      <c r="EG36" s="167"/>
      <c r="EH36" s="167"/>
      <c r="EI36" s="167"/>
      <c r="EJ36" s="167"/>
      <c r="EK36" s="167"/>
      <c r="FV36" s="167"/>
      <c r="FW36" s="167"/>
      <c r="FX36" s="167"/>
      <c r="FY36" s="167"/>
      <c r="FZ36" s="167"/>
    </row>
    <row r="37" spans="1:183" ht="27" customHeight="1">
      <c r="A37" s="645"/>
      <c r="B37" s="645"/>
      <c r="C37" s="645"/>
      <c r="D37" s="645"/>
      <c r="E37" s="646"/>
      <c r="I37" s="906"/>
      <c r="J37" s="80"/>
      <c r="K37" s="51"/>
      <c r="L37" s="51"/>
      <c r="M37" s="1836"/>
      <c r="N37" s="1836"/>
      <c r="O37" s="1836"/>
      <c r="P37" s="1836"/>
      <c r="Q37" s="1836"/>
      <c r="R37" s="1836"/>
      <c r="S37" s="1827" t="s">
        <v>699</v>
      </c>
      <c r="T37" s="1843"/>
      <c r="U37" s="1843"/>
      <c r="V37" s="1843"/>
      <c r="W37" s="1843"/>
      <c r="X37" s="1843"/>
      <c r="Y37" s="1843"/>
      <c r="Z37" s="1843"/>
      <c r="AA37" s="1843"/>
      <c r="AB37" s="1786"/>
      <c r="AC37" s="1786"/>
      <c r="AD37" s="1786"/>
      <c r="AE37" s="1786"/>
      <c r="AF37" s="1786"/>
      <c r="AG37" s="1786"/>
      <c r="AH37" s="1786"/>
      <c r="AI37" s="1786"/>
      <c r="AJ37" s="1786"/>
      <c r="AK37" s="1786"/>
      <c r="AL37" s="1786"/>
      <c r="AM37" s="1786"/>
      <c r="AN37" s="1786"/>
      <c r="AO37" s="1786"/>
      <c r="AP37" s="1786"/>
      <c r="AQ37" s="1786"/>
      <c r="AR37" s="1786"/>
      <c r="AS37" s="1786"/>
      <c r="AT37" s="1786"/>
      <c r="AU37" s="1786"/>
      <c r="AV37" s="1786"/>
      <c r="AW37" s="1786"/>
      <c r="AX37" s="1786"/>
      <c r="AY37" s="1786"/>
      <c r="AZ37" s="1786"/>
      <c r="BA37" s="1786"/>
      <c r="BB37" s="1786"/>
      <c r="BC37" s="1786"/>
      <c r="BD37" s="1786"/>
      <c r="BE37" s="1786"/>
      <c r="BF37" s="1786"/>
      <c r="BG37" s="1786"/>
      <c r="BH37" s="1786"/>
      <c r="BI37" s="1786"/>
      <c r="BJ37" s="1786"/>
      <c r="BK37" s="1786"/>
      <c r="BL37" s="1786"/>
      <c r="BM37" s="1786"/>
      <c r="BN37" s="1786"/>
      <c r="BO37" s="1786"/>
      <c r="BP37" s="1786"/>
      <c r="BQ37" s="1786"/>
      <c r="BR37" s="1786"/>
      <c r="BS37" s="1786"/>
      <c r="BT37" s="1786"/>
      <c r="BU37" s="1062"/>
      <c r="BV37" s="903"/>
      <c r="BW37" s="1935"/>
      <c r="BX37" s="1935"/>
      <c r="BY37" s="1935"/>
      <c r="BZ37" s="1935"/>
      <c r="CA37" s="1935"/>
      <c r="CB37" s="1935"/>
      <c r="CC37" s="1935"/>
      <c r="CD37" s="1935"/>
      <c r="CE37" s="1935"/>
      <c r="CF37" s="1935"/>
      <c r="CG37" s="1935"/>
      <c r="CH37" s="1935"/>
      <c r="CI37" s="1935"/>
      <c r="CJ37" s="1935"/>
      <c r="CK37" s="1935"/>
      <c r="CL37" s="1935"/>
      <c r="CM37" s="1935"/>
      <c r="CN37" s="1935"/>
      <c r="CO37" s="1935"/>
      <c r="CP37" s="1935"/>
      <c r="CQ37" s="1935"/>
      <c r="CR37" s="1935"/>
      <c r="CS37" s="1935"/>
      <c r="CT37" s="903"/>
      <c r="CU37" s="720"/>
      <c r="DD37" s="36"/>
      <c r="DE37" s="36"/>
      <c r="DF37" s="36"/>
      <c r="DG37" s="36"/>
      <c r="DH37" s="36"/>
      <c r="DI37" s="36"/>
      <c r="DJ37" s="36"/>
      <c r="DS37" s="172"/>
      <c r="DV37" s="167" t="s">
        <v>697</v>
      </c>
      <c r="DW37" s="834" t="str">
        <f t="shared" si="1"/>
        <v/>
      </c>
      <c r="EG37" s="167"/>
      <c r="EH37" s="167"/>
      <c r="EI37" s="167"/>
      <c r="EJ37" s="167"/>
      <c r="EK37" s="167"/>
      <c r="FV37" s="167"/>
      <c r="FW37" s="167"/>
      <c r="FX37" s="167"/>
      <c r="FY37" s="167"/>
      <c r="FZ37" s="167"/>
    </row>
    <row r="38" spans="1:183" ht="27" customHeight="1">
      <c r="A38" s="645"/>
      <c r="B38" s="645"/>
      <c r="C38" s="645"/>
      <c r="D38" s="645"/>
      <c r="E38" s="646"/>
      <c r="I38" s="906"/>
      <c r="J38" s="80"/>
      <c r="K38" s="51"/>
      <c r="L38" s="51"/>
      <c r="M38" s="1837"/>
      <c r="N38" s="1837"/>
      <c r="O38" s="1837"/>
      <c r="P38" s="1837"/>
      <c r="Q38" s="1837"/>
      <c r="R38" s="1837"/>
      <c r="S38" s="1939" t="s">
        <v>340</v>
      </c>
      <c r="T38" s="1940"/>
      <c r="U38" s="1940"/>
      <c r="V38" s="1940"/>
      <c r="W38" s="1940"/>
      <c r="X38" s="1940"/>
      <c r="Y38" s="1940"/>
      <c r="Z38" s="1940"/>
      <c r="AA38" s="1940"/>
      <c r="AB38" s="1767"/>
      <c r="AC38" s="1767"/>
      <c r="AD38" s="1767"/>
      <c r="AE38" s="1767"/>
      <c r="AF38" s="1767"/>
      <c r="AG38" s="1797"/>
      <c r="AH38" s="1797"/>
      <c r="AI38" s="1797"/>
      <c r="AJ38" s="1797"/>
      <c r="AK38" s="1797"/>
      <c r="AL38" s="1797"/>
      <c r="AM38" s="1797"/>
      <c r="AN38" s="1797"/>
      <c r="AO38" s="1797"/>
      <c r="AP38" s="1797"/>
      <c r="AQ38" s="1797"/>
      <c r="AR38" s="1797"/>
      <c r="AS38" s="1797"/>
      <c r="AT38" s="1797"/>
      <c r="AU38" s="1797"/>
      <c r="AV38" s="1797"/>
      <c r="AW38" s="1797"/>
      <c r="AX38" s="1797"/>
      <c r="AY38" s="1797"/>
      <c r="AZ38" s="1797"/>
      <c r="BA38" s="1797"/>
      <c r="BB38" s="1797"/>
      <c r="BC38" s="1797"/>
      <c r="BD38" s="1797"/>
      <c r="BE38" s="1797"/>
      <c r="BF38" s="1797"/>
      <c r="BG38" s="1797"/>
      <c r="BH38" s="1797"/>
      <c r="BI38" s="1797"/>
      <c r="BJ38" s="1797"/>
      <c r="BK38" s="1797"/>
      <c r="BL38" s="1797"/>
      <c r="BM38" s="1797"/>
      <c r="BN38" s="1797"/>
      <c r="BO38" s="1797"/>
      <c r="BP38" s="1797"/>
      <c r="BQ38" s="1797"/>
      <c r="BR38" s="1797"/>
      <c r="BS38" s="1797"/>
      <c r="BT38" s="1797"/>
      <c r="BU38" s="1062"/>
      <c r="BV38" s="903"/>
      <c r="BW38" s="903"/>
      <c r="BX38" s="903"/>
      <c r="BY38" s="903"/>
      <c r="BZ38" s="903"/>
      <c r="CA38" s="903"/>
      <c r="CB38" s="903"/>
      <c r="CC38" s="903"/>
      <c r="CD38" s="903"/>
      <c r="CE38" s="903"/>
      <c r="CF38" s="903"/>
      <c r="CG38" s="903"/>
      <c r="CH38" s="903"/>
      <c r="CI38" s="903"/>
      <c r="CJ38" s="903"/>
      <c r="CK38" s="903"/>
      <c r="CL38" s="903"/>
      <c r="CM38" s="903"/>
      <c r="CN38" s="903"/>
      <c r="CO38" s="903"/>
      <c r="CP38" s="903"/>
      <c r="CQ38" s="903"/>
      <c r="CR38" s="903"/>
      <c r="CS38" s="903"/>
      <c r="CT38" s="903"/>
      <c r="CU38" s="720"/>
      <c r="DD38" s="36"/>
      <c r="DE38" s="36"/>
      <c r="DF38" s="36"/>
      <c r="DG38" s="36"/>
      <c r="DH38" s="36"/>
      <c r="DI38" s="36"/>
      <c r="DJ38" s="36"/>
      <c r="DM38" s="279" t="s">
        <v>1177</v>
      </c>
      <c r="DN38" s="279" t="s">
        <v>1176</v>
      </c>
      <c r="DS38" s="172"/>
      <c r="DV38" s="167" t="s">
        <v>2420</v>
      </c>
      <c r="DW38" s="834" t="str">
        <f t="shared" si="1"/>
        <v/>
      </c>
      <c r="EG38" s="167"/>
      <c r="EH38" s="167"/>
      <c r="EI38" s="167"/>
      <c r="EJ38" s="167"/>
      <c r="EK38" s="167"/>
      <c r="FV38" s="167"/>
      <c r="FW38" s="167"/>
      <c r="FX38" s="167"/>
      <c r="FY38" s="167"/>
      <c r="FZ38" s="167"/>
    </row>
    <row r="39" spans="1:183" ht="27" customHeight="1">
      <c r="A39" s="645"/>
      <c r="B39" s="645"/>
      <c r="C39" s="645"/>
      <c r="D39" s="645"/>
      <c r="E39" s="646"/>
      <c r="I39" s="906"/>
      <c r="J39" s="80"/>
      <c r="K39" s="51"/>
      <c r="L39" s="51"/>
      <c r="M39" s="1822" t="s">
        <v>1379</v>
      </c>
      <c r="N39" s="1822"/>
      <c r="O39" s="1822"/>
      <c r="P39" s="1822"/>
      <c r="Q39" s="1822"/>
      <c r="R39" s="1822"/>
      <c r="S39" s="1822"/>
      <c r="T39" s="1822"/>
      <c r="U39" s="1822"/>
      <c r="V39" s="1822"/>
      <c r="W39" s="1822"/>
      <c r="X39" s="1822"/>
      <c r="Y39" s="1822"/>
      <c r="Z39" s="1822"/>
      <c r="AA39" s="1822"/>
      <c r="AB39" s="1785"/>
      <c r="AC39" s="1785"/>
      <c r="AD39" s="1785"/>
      <c r="AE39" s="1785"/>
      <c r="AF39" s="1785"/>
      <c r="AG39" s="1785"/>
      <c r="AH39" s="1784" t="s">
        <v>1165</v>
      </c>
      <c r="AI39" s="1784"/>
      <c r="AJ39" s="1784"/>
      <c r="AK39" s="1785"/>
      <c r="AL39" s="1785"/>
      <c r="AM39" s="1785"/>
      <c r="AN39" s="1785"/>
      <c r="AO39" s="1785"/>
      <c r="AP39" s="1785"/>
      <c r="AQ39" s="1064"/>
      <c r="AR39" s="1064"/>
      <c r="AS39" s="1064"/>
      <c r="AT39" s="1064"/>
      <c r="AU39" s="1064"/>
      <c r="AV39" s="1064"/>
      <c r="AW39" s="1064"/>
      <c r="AX39" s="1064"/>
      <c r="AY39" s="1064"/>
      <c r="AZ39" s="1064"/>
      <c r="BA39" s="1064"/>
      <c r="BB39" s="1064"/>
      <c r="BC39" s="1064"/>
      <c r="BD39" s="1064"/>
      <c r="BE39" s="1064"/>
      <c r="BF39" s="1064"/>
      <c r="BG39" s="1064"/>
      <c r="BH39" s="1064"/>
      <c r="BI39" s="1064"/>
      <c r="BJ39" s="1064"/>
      <c r="BK39" s="1064"/>
      <c r="BL39" s="1064"/>
      <c r="BM39" s="1064"/>
      <c r="BN39" s="1064"/>
      <c r="BO39" s="1064"/>
      <c r="BP39" s="1064"/>
      <c r="BQ39" s="1064"/>
      <c r="BR39" s="1064"/>
      <c r="BS39" s="1064"/>
      <c r="BT39" s="1064"/>
      <c r="BU39" s="1062"/>
      <c r="BV39" s="903"/>
      <c r="BW39" s="903"/>
      <c r="BX39" s="903"/>
      <c r="BY39" s="903"/>
      <c r="BZ39" s="903"/>
      <c r="CA39" s="903"/>
      <c r="CB39" s="903"/>
      <c r="CC39" s="903"/>
      <c r="CD39" s="903"/>
      <c r="CE39" s="903"/>
      <c r="CF39" s="903"/>
      <c r="CG39" s="903"/>
      <c r="CH39" s="903"/>
      <c r="CI39" s="903"/>
      <c r="CJ39" s="903"/>
      <c r="CK39" s="903"/>
      <c r="CL39" s="903"/>
      <c r="CM39" s="903"/>
      <c r="CN39" s="903"/>
      <c r="CO39" s="903"/>
      <c r="CP39" s="903"/>
      <c r="CQ39" s="903"/>
      <c r="CR39" s="903"/>
      <c r="CS39" s="903"/>
      <c r="CT39" s="903"/>
      <c r="CU39" s="720"/>
      <c r="DD39" s="36"/>
      <c r="DE39" s="36"/>
      <c r="DF39" s="36"/>
      <c r="DG39" s="36"/>
      <c r="DH39" s="36"/>
      <c r="DI39" s="36"/>
      <c r="DJ39" s="36"/>
      <c r="DM39" s="279" t="str">
        <f>CONCATENATE(AB39,"-",AK39)</f>
        <v>-</v>
      </c>
      <c r="DN39" s="279" t="str">
        <f>ASC(DM39)</f>
        <v>-</v>
      </c>
      <c r="DS39" s="412"/>
      <c r="DT39" s="412"/>
      <c r="EG39" s="167"/>
      <c r="EH39" s="167"/>
      <c r="EI39" s="167"/>
      <c r="EJ39" s="167"/>
      <c r="EK39" s="167"/>
      <c r="FV39" s="167"/>
      <c r="FW39" s="167"/>
      <c r="FX39" s="167"/>
      <c r="FY39" s="167"/>
      <c r="FZ39" s="167"/>
    </row>
    <row r="40" spans="1:183" ht="27" customHeight="1">
      <c r="A40" s="645"/>
      <c r="B40" s="645"/>
      <c r="C40" s="645"/>
      <c r="D40" s="645"/>
      <c r="E40" s="646"/>
      <c r="I40" s="906"/>
      <c r="J40" s="80"/>
      <c r="K40" s="51"/>
      <c r="L40" s="51"/>
      <c r="M40" s="1822" t="s">
        <v>243</v>
      </c>
      <c r="N40" s="1822"/>
      <c r="O40" s="1822"/>
      <c r="P40" s="1822"/>
      <c r="Q40" s="1822"/>
      <c r="R40" s="1822"/>
      <c r="S40" s="1822"/>
      <c r="T40" s="1822"/>
      <c r="U40" s="1822"/>
      <c r="V40" s="1822"/>
      <c r="W40" s="1822"/>
      <c r="X40" s="1822"/>
      <c r="Y40" s="1822"/>
      <c r="Z40" s="1822"/>
      <c r="AA40" s="1822"/>
      <c r="AB40" s="2282"/>
      <c r="AC40" s="2283"/>
      <c r="AD40" s="2283"/>
      <c r="AE40" s="2283"/>
      <c r="AF40" s="2283"/>
      <c r="AG40" s="2284"/>
      <c r="AH40" s="2284"/>
      <c r="AI40" s="2284"/>
      <c r="AJ40" s="2284"/>
      <c r="AK40" s="2284"/>
      <c r="AL40" s="2284"/>
      <c r="AM40" s="2284"/>
      <c r="AN40" s="2284"/>
      <c r="AO40" s="2284"/>
      <c r="AP40" s="2284"/>
      <c r="AQ40" s="2284"/>
      <c r="AR40" s="2284"/>
      <c r="AS40" s="2284"/>
      <c r="AT40" s="2284"/>
      <c r="AU40" s="2284"/>
      <c r="AV40" s="2284"/>
      <c r="AW40" s="2284"/>
      <c r="AX40" s="2284"/>
      <c r="AY40" s="2284"/>
      <c r="AZ40" s="2284"/>
      <c r="BA40" s="2284"/>
      <c r="BB40" s="2284"/>
      <c r="BC40" s="2284"/>
      <c r="BD40" s="2284"/>
      <c r="BE40" s="2284"/>
      <c r="BF40" s="2284"/>
      <c r="BG40" s="2284"/>
      <c r="BH40" s="2284"/>
      <c r="BI40" s="2284"/>
      <c r="BJ40" s="2284"/>
      <c r="BK40" s="2284"/>
      <c r="BL40" s="2284"/>
      <c r="BM40" s="2284"/>
      <c r="BN40" s="2284"/>
      <c r="BO40" s="2284"/>
      <c r="BP40" s="2284"/>
      <c r="BQ40" s="2284"/>
      <c r="BR40" s="2284"/>
      <c r="BS40" s="2284"/>
      <c r="BT40" s="2284"/>
      <c r="BU40" s="1062"/>
      <c r="BV40" s="903"/>
      <c r="BW40" s="903"/>
      <c r="BX40" s="903"/>
      <c r="BY40" s="903"/>
      <c r="BZ40" s="903"/>
      <c r="CA40" s="903"/>
      <c r="CB40" s="903"/>
      <c r="CC40" s="903"/>
      <c r="CD40" s="903"/>
      <c r="CE40" s="903"/>
      <c r="CF40" s="903"/>
      <c r="CG40" s="903"/>
      <c r="CH40" s="903"/>
      <c r="CI40" s="903"/>
      <c r="CJ40" s="903"/>
      <c r="CK40" s="903"/>
      <c r="CL40" s="903"/>
      <c r="CM40" s="903"/>
      <c r="CN40" s="903"/>
      <c r="CO40" s="903"/>
      <c r="CP40" s="903"/>
      <c r="CQ40" s="903"/>
      <c r="CR40" s="903"/>
      <c r="CS40" s="903"/>
      <c r="CT40" s="903"/>
      <c r="CU40" s="720"/>
      <c r="DD40" s="36"/>
      <c r="DE40" s="36"/>
      <c r="DF40" s="36"/>
      <c r="DG40" s="36"/>
      <c r="DH40" s="36"/>
      <c r="DI40" s="36"/>
      <c r="DJ40" s="36"/>
      <c r="EG40" s="167"/>
      <c r="EH40" s="167"/>
      <c r="EI40" s="167"/>
      <c r="EJ40" s="167"/>
      <c r="EK40" s="167"/>
      <c r="FV40" s="167"/>
      <c r="FW40" s="167"/>
      <c r="FX40" s="167"/>
      <c r="FY40" s="167"/>
      <c r="FZ40" s="167"/>
    </row>
    <row r="41" spans="1:183" ht="27" customHeight="1" thickBot="1">
      <c r="A41" s="645"/>
      <c r="B41" s="645"/>
      <c r="C41" s="645"/>
      <c r="D41" s="645"/>
      <c r="E41" s="646"/>
      <c r="I41" s="906"/>
      <c r="J41" s="81"/>
      <c r="K41" s="56"/>
      <c r="L41" s="56"/>
      <c r="M41" s="1937" t="s">
        <v>1380</v>
      </c>
      <c r="N41" s="1937"/>
      <c r="O41" s="1937"/>
      <c r="P41" s="1937"/>
      <c r="Q41" s="1937"/>
      <c r="R41" s="1937"/>
      <c r="S41" s="1937"/>
      <c r="T41" s="1937"/>
      <c r="U41" s="1937"/>
      <c r="V41" s="1937"/>
      <c r="W41" s="1937"/>
      <c r="X41" s="1937"/>
      <c r="Y41" s="1937"/>
      <c r="Z41" s="1937"/>
      <c r="AA41" s="1937"/>
      <c r="AB41" s="2280"/>
      <c r="AC41" s="2280"/>
      <c r="AD41" s="2280"/>
      <c r="AE41" s="2280"/>
      <c r="AF41" s="2280"/>
      <c r="AG41" s="2280"/>
      <c r="AH41" s="2279" t="s">
        <v>1165</v>
      </c>
      <c r="AI41" s="2279"/>
      <c r="AJ41" s="2279"/>
      <c r="AK41" s="2280"/>
      <c r="AL41" s="2280"/>
      <c r="AM41" s="2280"/>
      <c r="AN41" s="2280"/>
      <c r="AO41" s="2280"/>
      <c r="AP41" s="2280"/>
      <c r="AQ41" s="2279" t="s">
        <v>1165</v>
      </c>
      <c r="AR41" s="2279"/>
      <c r="AS41" s="2279"/>
      <c r="AT41" s="2280"/>
      <c r="AU41" s="2280"/>
      <c r="AV41" s="2280"/>
      <c r="AW41" s="2280"/>
      <c r="AX41" s="2280"/>
      <c r="AY41" s="2280"/>
      <c r="AZ41" s="1065"/>
      <c r="BA41" s="1066"/>
      <c r="BB41" s="1066"/>
      <c r="BC41" s="1066"/>
      <c r="BD41" s="1066"/>
      <c r="BE41" s="1066"/>
      <c r="BF41" s="1066"/>
      <c r="BG41" s="1066"/>
      <c r="BH41" s="1066"/>
      <c r="BI41" s="1066"/>
      <c r="BJ41" s="1066"/>
      <c r="BK41" s="1066"/>
      <c r="BL41" s="1066"/>
      <c r="BM41" s="1066"/>
      <c r="BN41" s="1066"/>
      <c r="BO41" s="1066"/>
      <c r="BP41" s="1066"/>
      <c r="BQ41" s="1066"/>
      <c r="BR41" s="1066"/>
      <c r="BS41" s="1066"/>
      <c r="BT41" s="1066"/>
      <c r="BU41" s="1067"/>
      <c r="BV41" s="721" t="s">
        <v>2809</v>
      </c>
      <c r="BW41" s="722" t="s">
        <v>2810</v>
      </c>
      <c r="BX41" s="723"/>
      <c r="BY41" s="723"/>
      <c r="BZ41" s="723"/>
      <c r="CA41" s="723"/>
      <c r="CB41" s="723"/>
      <c r="CC41" s="723"/>
      <c r="CD41" s="723"/>
      <c r="CE41" s="723"/>
      <c r="CF41" s="723"/>
      <c r="CG41" s="723"/>
      <c r="CH41" s="723"/>
      <c r="CI41" s="723"/>
      <c r="CJ41" s="723"/>
      <c r="CK41" s="723"/>
      <c r="CL41" s="723"/>
      <c r="CM41" s="723"/>
      <c r="CN41" s="723"/>
      <c r="CO41" s="723"/>
      <c r="CP41" s="723"/>
      <c r="CQ41" s="723"/>
      <c r="CR41" s="723"/>
      <c r="CS41" s="723"/>
      <c r="CT41" s="723"/>
      <c r="CU41" s="724"/>
      <c r="DD41" s="36"/>
      <c r="DE41" s="36"/>
      <c r="DF41" s="36"/>
      <c r="DG41" s="36"/>
      <c r="DH41" s="36"/>
      <c r="DI41" s="36"/>
      <c r="DJ41" s="36"/>
      <c r="DM41" s="280" t="str">
        <f>CONCATENATE(AB41,"-",AK41,"-",AT41)</f>
        <v>--</v>
      </c>
      <c r="DN41" s="280" t="str">
        <f>ASC(DM41)</f>
        <v>--</v>
      </c>
      <c r="DS41" s="413"/>
      <c r="DT41" s="413"/>
      <c r="DU41" s="413"/>
      <c r="EG41" s="167"/>
      <c r="EH41" s="167"/>
      <c r="EI41" s="167"/>
      <c r="EJ41" s="167"/>
      <c r="EK41" s="167"/>
      <c r="FV41" s="167"/>
      <c r="FW41" s="167"/>
      <c r="FX41" s="167"/>
      <c r="FY41" s="167"/>
      <c r="FZ41" s="167"/>
    </row>
    <row r="42" spans="1:183" ht="20.149999999999999" customHeight="1">
      <c r="A42" s="645"/>
      <c r="B42" s="645"/>
      <c r="C42" s="645"/>
      <c r="D42" s="645"/>
      <c r="E42" s="646"/>
      <c r="M42" s="35"/>
      <c r="BU42" s="1044"/>
      <c r="BW42" s="759"/>
      <c r="BX42" s="759"/>
      <c r="BY42" s="759"/>
      <c r="BZ42" s="759"/>
      <c r="CA42" s="759"/>
      <c r="CB42" s="759"/>
      <c r="CC42" s="759"/>
      <c r="CD42" s="759"/>
      <c r="CE42" s="759"/>
      <c r="CF42" s="759"/>
      <c r="CG42" s="759"/>
      <c r="CH42" s="759"/>
      <c r="CI42" s="759"/>
      <c r="CJ42" s="759"/>
      <c r="CK42" s="759"/>
      <c r="CL42" s="759"/>
      <c r="CM42" s="759"/>
      <c r="CN42" s="759"/>
      <c r="CO42" s="759"/>
      <c r="CP42" s="759"/>
      <c r="CQ42" s="759"/>
      <c r="CR42" s="759"/>
      <c r="CS42" s="759"/>
      <c r="DD42" s="36"/>
      <c r="DE42" s="36"/>
      <c r="DF42" s="36"/>
      <c r="DG42" s="36"/>
      <c r="DH42" s="36"/>
      <c r="DI42" s="36"/>
      <c r="DJ42" s="36"/>
      <c r="EG42" s="167"/>
      <c r="EH42" s="167"/>
      <c r="EI42" s="167"/>
      <c r="EJ42" s="167"/>
      <c r="EK42" s="167"/>
      <c r="FV42" s="167"/>
      <c r="FW42" s="167"/>
      <c r="FX42" s="167"/>
      <c r="FY42" s="167"/>
      <c r="FZ42" s="167"/>
    </row>
    <row r="43" spans="1:183" ht="2.15" customHeight="1">
      <c r="A43" s="645"/>
      <c r="B43" s="645"/>
      <c r="C43" s="645"/>
      <c r="D43" s="645"/>
      <c r="E43" s="646"/>
      <c r="BU43" s="1044"/>
      <c r="DD43" s="36"/>
      <c r="DE43" s="36"/>
      <c r="DF43" s="36"/>
      <c r="DG43" s="36"/>
      <c r="DH43" s="36"/>
      <c r="DI43" s="36"/>
      <c r="DJ43" s="36"/>
      <c r="EG43" s="167"/>
      <c r="EH43" s="167"/>
      <c r="EI43" s="167"/>
      <c r="EJ43" s="167"/>
      <c r="EK43" s="167"/>
      <c r="FV43" s="167"/>
      <c r="FW43" s="167"/>
      <c r="FX43" s="167"/>
      <c r="FY43" s="167"/>
      <c r="FZ43" s="167"/>
    </row>
    <row r="44" spans="1:183" ht="2.15" customHeight="1">
      <c r="A44" s="645"/>
      <c r="B44" s="645"/>
      <c r="C44" s="645"/>
      <c r="D44" s="645"/>
      <c r="E44" s="646"/>
      <c r="BU44" s="1044"/>
      <c r="DD44" s="36"/>
      <c r="DE44" s="36"/>
      <c r="DF44" s="36"/>
      <c r="DG44" s="36"/>
      <c r="DH44" s="36"/>
      <c r="DI44" s="36"/>
      <c r="DJ44" s="36"/>
      <c r="EG44" s="167"/>
      <c r="EH44" s="167"/>
      <c r="EI44" s="167"/>
      <c r="EJ44" s="167"/>
      <c r="EK44" s="167"/>
      <c r="FV44" s="167"/>
      <c r="FW44" s="167"/>
      <c r="FX44" s="167"/>
      <c r="FY44" s="167"/>
      <c r="FZ44" s="167"/>
    </row>
    <row r="45" spans="1:183" ht="2.15" customHeight="1" thickBot="1">
      <c r="A45" s="645"/>
      <c r="B45" s="645"/>
      <c r="C45" s="645"/>
      <c r="D45" s="645"/>
      <c r="E45" s="646"/>
      <c r="BU45" s="1044"/>
      <c r="DD45" s="36"/>
      <c r="DE45" s="36"/>
      <c r="DF45" s="36"/>
      <c r="DG45" s="36"/>
      <c r="DH45" s="36"/>
      <c r="DI45" s="36"/>
      <c r="DJ45" s="36"/>
      <c r="EG45" s="167"/>
      <c r="EH45" s="167"/>
      <c r="EI45" s="167"/>
      <c r="EJ45" s="167"/>
      <c r="EK45" s="167"/>
      <c r="FV45" s="167"/>
      <c r="FW45" s="167"/>
      <c r="FX45" s="167"/>
      <c r="FY45" s="167"/>
      <c r="FZ45" s="167"/>
    </row>
    <row r="46" spans="1:183" s="174" customFormat="1" ht="35.15" customHeight="1" thickBot="1">
      <c r="A46" s="645"/>
      <c r="B46" s="645"/>
      <c r="C46" s="645"/>
      <c r="D46" s="645"/>
      <c r="E46" s="646"/>
      <c r="F46" s="381"/>
      <c r="G46" s="381"/>
      <c r="H46" s="381"/>
      <c r="I46" s="43"/>
      <c r="J46" s="1831" t="s">
        <v>1022</v>
      </c>
      <c r="K46" s="1832"/>
      <c r="L46" s="1832"/>
      <c r="M46" s="1832"/>
      <c r="N46" s="1832"/>
      <c r="O46" s="1832"/>
      <c r="P46" s="1832"/>
      <c r="Q46" s="1832"/>
      <c r="R46" s="1832"/>
      <c r="S46" s="1832"/>
      <c r="T46" s="1832"/>
      <c r="U46" s="1832"/>
      <c r="V46" s="1832"/>
      <c r="W46" s="1832"/>
      <c r="X46" s="1832"/>
      <c r="Y46" s="1832"/>
      <c r="Z46" s="1832"/>
      <c r="AA46" s="1832"/>
      <c r="AB46" s="2281" t="str">
        <f>IF(DS46=TRUE,"→所有者と同一の場合は、メールアドレス以外記入不要です。様式には「３　所有者」が反映されます","")</f>
        <v/>
      </c>
      <c r="AC46" s="2281"/>
      <c r="AD46" s="2281"/>
      <c r="AE46" s="2281"/>
      <c r="AF46" s="2281"/>
      <c r="AG46" s="2281"/>
      <c r="AH46" s="2281"/>
      <c r="AI46" s="2281"/>
      <c r="AJ46" s="2281"/>
      <c r="AK46" s="2281"/>
      <c r="AL46" s="2281"/>
      <c r="AM46" s="2281"/>
      <c r="AN46" s="2281"/>
      <c r="AO46" s="2281"/>
      <c r="AP46" s="2281"/>
      <c r="AQ46" s="2281"/>
      <c r="AR46" s="2281"/>
      <c r="AS46" s="2281"/>
      <c r="AT46" s="2281"/>
      <c r="AU46" s="2281"/>
      <c r="AV46" s="2281"/>
      <c r="AW46" s="2281"/>
      <c r="AX46" s="2281"/>
      <c r="AY46" s="2281"/>
      <c r="AZ46" s="2281"/>
      <c r="BA46" s="2281"/>
      <c r="BB46" s="2281"/>
      <c r="BC46" s="2281"/>
      <c r="BD46" s="2281"/>
      <c r="BE46" s="2281"/>
      <c r="BF46" s="2281"/>
      <c r="BG46" s="2281"/>
      <c r="BH46" s="2281"/>
      <c r="BI46" s="2281"/>
      <c r="BJ46" s="2281"/>
      <c r="BK46" s="2281"/>
      <c r="BL46" s="1775" t="s">
        <v>369</v>
      </c>
      <c r="BM46" s="1776"/>
      <c r="BN46" s="1776"/>
      <c r="BO46" s="1776"/>
      <c r="BP46" s="1776"/>
      <c r="BQ46" s="1776"/>
      <c r="BR46" s="1776"/>
      <c r="BS46" s="1776"/>
      <c r="BT46" s="1776"/>
      <c r="BU46" s="1059"/>
      <c r="BV46" s="1059"/>
      <c r="BW46" s="1059"/>
      <c r="BX46" s="1059"/>
      <c r="BY46" s="1060"/>
      <c r="BZ46" s="1060"/>
      <c r="CA46" s="1060"/>
      <c r="CB46" s="1060"/>
      <c r="CC46" s="1060"/>
      <c r="CD46" s="1060"/>
      <c r="CE46" s="1060"/>
      <c r="CF46" s="1060"/>
      <c r="CG46" s="1060"/>
      <c r="CH46" s="1060"/>
      <c r="CI46" s="1060"/>
      <c r="CJ46" s="1060"/>
      <c r="CK46" s="1060"/>
      <c r="CL46" s="1060"/>
      <c r="CM46" s="1060"/>
      <c r="CN46" s="1059"/>
      <c r="CO46" s="1059"/>
      <c r="CP46" s="1059"/>
      <c r="CQ46" s="1059"/>
      <c r="CR46" s="728"/>
      <c r="CS46" s="728"/>
      <c r="CT46" s="728"/>
      <c r="CU46" s="729"/>
      <c r="CV46" s="15"/>
      <c r="CW46" s="15"/>
      <c r="CX46" s="15"/>
      <c r="CY46" s="15"/>
      <c r="CZ46" s="15"/>
      <c r="DA46" s="15"/>
      <c r="DB46" s="15"/>
      <c r="DC46" s="35"/>
      <c r="DD46" s="25"/>
      <c r="DE46" s="25"/>
      <c r="DF46" s="1061"/>
      <c r="DG46" s="1061"/>
      <c r="DH46" s="1061"/>
      <c r="DI46" s="1061"/>
      <c r="DJ46" s="1061"/>
      <c r="DK46" s="1068"/>
      <c r="DL46" s="1050" t="str">
        <f>IF(DM61=2,LEFT(AB61,2),"")</f>
        <v/>
      </c>
      <c r="DM46" s="173"/>
      <c r="DN46" s="173"/>
      <c r="DO46" s="173"/>
      <c r="DP46" s="173"/>
      <c r="DQ46" s="173"/>
      <c r="DS46" s="342" t="b">
        <v>0</v>
      </c>
      <c r="DV46" s="409" t="s">
        <v>2425</v>
      </c>
      <c r="DW46" s="410"/>
      <c r="DX46" s="411"/>
      <c r="FO46" s="1050"/>
      <c r="GA46" s="173"/>
    </row>
    <row r="47" spans="1:183" s="176" customFormat="1" ht="27" customHeight="1">
      <c r="A47" s="645"/>
      <c r="B47" s="645"/>
      <c r="C47" s="645"/>
      <c r="D47" s="645"/>
      <c r="E47" s="646"/>
      <c r="F47" s="381"/>
      <c r="G47" s="381"/>
      <c r="H47" s="381"/>
      <c r="I47" s="26"/>
      <c r="J47" s="82"/>
      <c r="K47" s="83"/>
      <c r="L47" s="83"/>
      <c r="M47" s="1834" t="s">
        <v>345</v>
      </c>
      <c r="N47" s="1835"/>
      <c r="O47" s="1835"/>
      <c r="P47" s="1835"/>
      <c r="Q47" s="1835"/>
      <c r="R47" s="1835"/>
      <c r="S47" s="1827" t="s">
        <v>699</v>
      </c>
      <c r="T47" s="1843"/>
      <c r="U47" s="1843"/>
      <c r="V47" s="1843"/>
      <c r="W47" s="1843"/>
      <c r="X47" s="1843"/>
      <c r="Y47" s="1843"/>
      <c r="Z47" s="1843"/>
      <c r="AA47" s="1843"/>
      <c r="AB47" s="1786"/>
      <c r="AC47" s="1786"/>
      <c r="AD47" s="1786"/>
      <c r="AE47" s="1786"/>
      <c r="AF47" s="1786"/>
      <c r="AG47" s="1786"/>
      <c r="AH47" s="1786"/>
      <c r="AI47" s="1786"/>
      <c r="AJ47" s="1786"/>
      <c r="AK47" s="1786"/>
      <c r="AL47" s="1786"/>
      <c r="AM47" s="1786"/>
      <c r="AN47" s="1786"/>
      <c r="AO47" s="1786"/>
      <c r="AP47" s="1786"/>
      <c r="AQ47" s="1786"/>
      <c r="AR47" s="1786"/>
      <c r="AS47" s="1786"/>
      <c r="AT47" s="1786"/>
      <c r="AU47" s="1786"/>
      <c r="AV47" s="1786"/>
      <c r="AW47" s="1786"/>
      <c r="AX47" s="1786"/>
      <c r="AY47" s="1786"/>
      <c r="AZ47" s="1786"/>
      <c r="BA47" s="1786"/>
      <c r="BB47" s="1786"/>
      <c r="BC47" s="1786"/>
      <c r="BD47" s="1786"/>
      <c r="BE47" s="1786"/>
      <c r="BF47" s="1786"/>
      <c r="BG47" s="1786"/>
      <c r="BH47" s="1786"/>
      <c r="BI47" s="1786"/>
      <c r="BJ47" s="1786"/>
      <c r="BK47" s="1786"/>
      <c r="BL47" s="1786"/>
      <c r="BM47" s="1786"/>
      <c r="BN47" s="1786"/>
      <c r="BO47" s="1786"/>
      <c r="BP47" s="1786"/>
      <c r="BQ47" s="1786"/>
      <c r="BR47" s="1786"/>
      <c r="BS47" s="1786"/>
      <c r="BT47" s="1786"/>
      <c r="BU47" s="1062"/>
      <c r="BV47" s="1062"/>
      <c r="BW47" s="1069" t="s">
        <v>2780</v>
      </c>
      <c r="BX47" s="1062"/>
      <c r="BY47" s="1062"/>
      <c r="BZ47" s="1062"/>
      <c r="CA47" s="1062"/>
      <c r="CB47" s="1062"/>
      <c r="CC47" s="1935" t="s">
        <v>2781</v>
      </c>
      <c r="CD47" s="1935"/>
      <c r="CE47" s="1935"/>
      <c r="CF47" s="1935"/>
      <c r="CG47" s="1935"/>
      <c r="CH47" s="1935"/>
      <c r="CI47" s="1935"/>
      <c r="CJ47" s="1935"/>
      <c r="CK47" s="1935"/>
      <c r="CL47" s="1935"/>
      <c r="CM47" s="1935"/>
      <c r="CN47" s="1935"/>
      <c r="CO47" s="1935"/>
      <c r="CP47" s="1935"/>
      <c r="CQ47" s="1935"/>
      <c r="CR47" s="1935"/>
      <c r="CS47" s="1935"/>
      <c r="CT47" s="903"/>
      <c r="CU47" s="720"/>
      <c r="CV47" s="15"/>
      <c r="CW47" s="15"/>
      <c r="CX47" s="15"/>
      <c r="CY47" s="15"/>
      <c r="CZ47" s="15"/>
      <c r="DA47" s="15"/>
      <c r="DB47" s="15"/>
      <c r="DC47" s="35"/>
      <c r="DD47" s="25"/>
      <c r="DE47" s="25"/>
      <c r="DF47" s="178"/>
      <c r="DG47" s="178"/>
      <c r="DH47" s="178"/>
      <c r="DI47" s="178"/>
      <c r="DJ47" s="178"/>
      <c r="DK47" s="1068"/>
      <c r="DL47" s="1070"/>
      <c r="DM47" s="175"/>
      <c r="DN47" s="175"/>
      <c r="DO47" s="175"/>
      <c r="DP47" s="175"/>
      <c r="DQ47" s="175"/>
      <c r="DS47" s="427"/>
      <c r="DV47" s="176" t="s">
        <v>2416</v>
      </c>
      <c r="DW47" s="833" t="str">
        <f>TEXT(AB47,"")</f>
        <v/>
      </c>
      <c r="DY47" s="833" t="str">
        <f>DW47&amp;" "&amp;DW49&amp;" "&amp;DW51</f>
        <v xml:space="preserve">  </v>
      </c>
      <c r="DZ47" s="833" t="str">
        <f>DY47</f>
        <v xml:space="preserve">  </v>
      </c>
      <c r="FO47" s="1070"/>
      <c r="GA47" s="175"/>
    </row>
    <row r="48" spans="1:183" s="176" customFormat="1" ht="27" customHeight="1">
      <c r="A48" s="645"/>
      <c r="B48" s="645"/>
      <c r="C48" s="645"/>
      <c r="D48" s="645"/>
      <c r="E48" s="646"/>
      <c r="F48" s="381"/>
      <c r="G48" s="381"/>
      <c r="H48" s="381"/>
      <c r="I48" s="26"/>
      <c r="J48" s="82"/>
      <c r="K48" s="83"/>
      <c r="L48" s="83"/>
      <c r="M48" s="1836"/>
      <c r="N48" s="1836"/>
      <c r="O48" s="1836"/>
      <c r="P48" s="1836"/>
      <c r="Q48" s="1836"/>
      <c r="R48" s="1836"/>
      <c r="S48" s="1939" t="s">
        <v>337</v>
      </c>
      <c r="T48" s="1940"/>
      <c r="U48" s="1940"/>
      <c r="V48" s="1940"/>
      <c r="W48" s="1940"/>
      <c r="X48" s="1940"/>
      <c r="Y48" s="1940"/>
      <c r="Z48" s="1940"/>
      <c r="AA48" s="1940"/>
      <c r="AB48" s="1797"/>
      <c r="AC48" s="1797"/>
      <c r="AD48" s="1797"/>
      <c r="AE48" s="1797"/>
      <c r="AF48" s="1797"/>
      <c r="AG48" s="1797"/>
      <c r="AH48" s="1797"/>
      <c r="AI48" s="1797"/>
      <c r="AJ48" s="1797"/>
      <c r="AK48" s="1797"/>
      <c r="AL48" s="1797"/>
      <c r="AM48" s="1797"/>
      <c r="AN48" s="1797"/>
      <c r="AO48" s="1797"/>
      <c r="AP48" s="1797"/>
      <c r="AQ48" s="1797"/>
      <c r="AR48" s="1797"/>
      <c r="AS48" s="1797"/>
      <c r="AT48" s="1797"/>
      <c r="AU48" s="1797"/>
      <c r="AV48" s="1797"/>
      <c r="AW48" s="1797"/>
      <c r="AX48" s="1797"/>
      <c r="AY48" s="1797"/>
      <c r="AZ48" s="1797"/>
      <c r="BA48" s="1797"/>
      <c r="BB48" s="1797"/>
      <c r="BC48" s="1797"/>
      <c r="BD48" s="1797"/>
      <c r="BE48" s="1797"/>
      <c r="BF48" s="1797"/>
      <c r="BG48" s="1797"/>
      <c r="BH48" s="1797"/>
      <c r="BI48" s="1797"/>
      <c r="BJ48" s="1797"/>
      <c r="BK48" s="1797"/>
      <c r="BL48" s="1797"/>
      <c r="BM48" s="1797"/>
      <c r="BN48" s="1797"/>
      <c r="BO48" s="1797"/>
      <c r="BP48" s="1797"/>
      <c r="BQ48" s="1797"/>
      <c r="BR48" s="1797"/>
      <c r="BS48" s="1797"/>
      <c r="BT48" s="1797"/>
      <c r="BU48" s="1062"/>
      <c r="BV48" s="1062"/>
      <c r="BW48" s="1062"/>
      <c r="BX48" s="1062"/>
      <c r="BY48" s="1062"/>
      <c r="BZ48" s="1062"/>
      <c r="CA48" s="1062"/>
      <c r="CB48" s="1062"/>
      <c r="CC48" s="1935"/>
      <c r="CD48" s="1935"/>
      <c r="CE48" s="1935"/>
      <c r="CF48" s="1935"/>
      <c r="CG48" s="1935"/>
      <c r="CH48" s="1935"/>
      <c r="CI48" s="1935"/>
      <c r="CJ48" s="1935"/>
      <c r="CK48" s="1935"/>
      <c r="CL48" s="1935"/>
      <c r="CM48" s="1935"/>
      <c r="CN48" s="1935"/>
      <c r="CO48" s="1935"/>
      <c r="CP48" s="1935"/>
      <c r="CQ48" s="1935"/>
      <c r="CR48" s="1935"/>
      <c r="CS48" s="1935"/>
      <c r="CT48" s="903"/>
      <c r="CU48" s="720"/>
      <c r="CV48" s="15"/>
      <c r="CW48" s="15"/>
      <c r="CX48" s="15"/>
      <c r="CY48" s="15"/>
      <c r="CZ48" s="398"/>
      <c r="DA48" s="398"/>
      <c r="DB48" s="398"/>
      <c r="DC48" s="35"/>
      <c r="DD48" s="36"/>
      <c r="DE48" s="36"/>
      <c r="DF48" s="36"/>
      <c r="DG48" s="36"/>
      <c r="DH48" s="36"/>
      <c r="DI48" s="36"/>
      <c r="DJ48" s="36"/>
      <c r="DK48" s="1068"/>
      <c r="DL48" s="1070"/>
      <c r="DM48" s="175"/>
      <c r="DN48" s="175"/>
      <c r="DO48" s="175"/>
      <c r="DP48" s="175"/>
      <c r="DQ48" s="175"/>
      <c r="DS48" s="414"/>
      <c r="DV48" s="176" t="s">
        <v>2417</v>
      </c>
      <c r="DW48" s="833" t="str">
        <f t="shared" ref="DW48:DW52" si="2">TEXT(AB48,"")</f>
        <v/>
      </c>
      <c r="DY48" s="833" t="str">
        <f>DW48&amp;" "&amp;DW50&amp;" "&amp;DW52</f>
        <v xml:space="preserve">  </v>
      </c>
      <c r="DZ48" s="833" t="str">
        <f>DY48</f>
        <v xml:space="preserve">  </v>
      </c>
      <c r="FO48" s="1070"/>
      <c r="GA48" s="175"/>
    </row>
    <row r="49" spans="1:183" s="176" customFormat="1" ht="27" customHeight="1">
      <c r="A49" s="645"/>
      <c r="B49" s="645"/>
      <c r="C49" s="645"/>
      <c r="D49" s="645"/>
      <c r="E49" s="646"/>
      <c r="F49" s="381"/>
      <c r="G49" s="381"/>
      <c r="H49" s="381"/>
      <c r="I49" s="26"/>
      <c r="J49" s="82"/>
      <c r="K49" s="83"/>
      <c r="L49" s="83"/>
      <c r="M49" s="1836"/>
      <c r="N49" s="1836"/>
      <c r="O49" s="1836"/>
      <c r="P49" s="1836"/>
      <c r="Q49" s="1836"/>
      <c r="R49" s="1836"/>
      <c r="S49" s="1827" t="s">
        <v>697</v>
      </c>
      <c r="T49" s="1843"/>
      <c r="U49" s="1843"/>
      <c r="V49" s="1843"/>
      <c r="W49" s="1843"/>
      <c r="X49" s="1843"/>
      <c r="Y49" s="1843"/>
      <c r="Z49" s="1843"/>
      <c r="AA49" s="1843"/>
      <c r="AB49" s="1786"/>
      <c r="AC49" s="1786"/>
      <c r="AD49" s="1786"/>
      <c r="AE49" s="1786"/>
      <c r="AF49" s="1786"/>
      <c r="AG49" s="1786"/>
      <c r="AH49" s="1786"/>
      <c r="AI49" s="1786"/>
      <c r="AJ49" s="1786"/>
      <c r="AK49" s="1786"/>
      <c r="AL49" s="1786"/>
      <c r="AM49" s="1786"/>
      <c r="AN49" s="1786"/>
      <c r="AO49" s="1786"/>
      <c r="AP49" s="1786"/>
      <c r="AQ49" s="1786"/>
      <c r="AR49" s="1786"/>
      <c r="AS49" s="1786"/>
      <c r="AT49" s="1786"/>
      <c r="AU49" s="1786"/>
      <c r="AV49" s="1786"/>
      <c r="AW49" s="1786"/>
      <c r="AX49" s="1786"/>
      <c r="AY49" s="1786"/>
      <c r="AZ49" s="1786"/>
      <c r="BA49" s="1786"/>
      <c r="BB49" s="1786"/>
      <c r="BC49" s="1786"/>
      <c r="BD49" s="1786"/>
      <c r="BE49" s="1786"/>
      <c r="BF49" s="1786"/>
      <c r="BG49" s="1786"/>
      <c r="BH49" s="1786"/>
      <c r="BI49" s="1786"/>
      <c r="BJ49" s="1786"/>
      <c r="BK49" s="1786"/>
      <c r="BL49" s="1786"/>
      <c r="BM49" s="1786"/>
      <c r="BN49" s="1786"/>
      <c r="BO49" s="1786"/>
      <c r="BP49" s="1786"/>
      <c r="BQ49" s="1786"/>
      <c r="BR49" s="1786"/>
      <c r="BS49" s="1786"/>
      <c r="BT49" s="1786"/>
      <c r="BU49" s="1062"/>
      <c r="BV49" s="1062"/>
      <c r="BW49" s="1935" t="s">
        <v>2807</v>
      </c>
      <c r="BX49" s="1935"/>
      <c r="BY49" s="1935"/>
      <c r="BZ49" s="1935"/>
      <c r="CA49" s="1935"/>
      <c r="CB49" s="1935"/>
      <c r="CC49" s="1935"/>
      <c r="CD49" s="1935"/>
      <c r="CE49" s="1935"/>
      <c r="CF49" s="1935"/>
      <c r="CG49" s="1935"/>
      <c r="CH49" s="1935"/>
      <c r="CI49" s="1935"/>
      <c r="CJ49" s="1935"/>
      <c r="CK49" s="1935"/>
      <c r="CL49" s="1935"/>
      <c r="CM49" s="1935"/>
      <c r="CN49" s="1935"/>
      <c r="CO49" s="1935"/>
      <c r="CP49" s="1935"/>
      <c r="CQ49" s="1935"/>
      <c r="CR49" s="1935"/>
      <c r="CS49" s="1935"/>
      <c r="CT49" s="1071"/>
      <c r="CU49" s="1072"/>
      <c r="CV49" s="15"/>
      <c r="CW49" s="15"/>
      <c r="CX49" s="15"/>
      <c r="CY49" s="398"/>
      <c r="CZ49" s="398"/>
      <c r="DA49" s="398"/>
      <c r="DB49" s="398"/>
      <c r="DC49" s="35"/>
      <c r="DD49" s="36"/>
      <c r="DE49" s="36"/>
      <c r="DF49" s="36"/>
      <c r="DG49" s="36"/>
      <c r="DH49" s="36"/>
      <c r="DI49" s="36"/>
      <c r="DJ49" s="36"/>
      <c r="DK49" s="1068"/>
      <c r="DL49" s="1070"/>
      <c r="DM49" s="175"/>
      <c r="DN49" s="175"/>
      <c r="DO49" s="175"/>
      <c r="DP49" s="175"/>
      <c r="DQ49" s="175"/>
      <c r="DS49" s="414"/>
      <c r="DV49" s="176" t="s">
        <v>2416</v>
      </c>
      <c r="DW49" s="833" t="str">
        <f t="shared" si="2"/>
        <v/>
      </c>
      <c r="FO49" s="1070"/>
      <c r="GA49" s="175"/>
    </row>
    <row r="50" spans="1:183" s="176" customFormat="1" ht="27" customHeight="1">
      <c r="A50" s="645"/>
      <c r="B50" s="645"/>
      <c r="C50" s="645"/>
      <c r="D50" s="645"/>
      <c r="E50" s="646"/>
      <c r="F50" s="381"/>
      <c r="G50" s="381"/>
      <c r="H50" s="381"/>
      <c r="I50" s="26"/>
      <c r="J50" s="82"/>
      <c r="K50" s="83"/>
      <c r="L50" s="83"/>
      <c r="M50" s="1836"/>
      <c r="N50" s="1836"/>
      <c r="O50" s="1836"/>
      <c r="P50" s="1836"/>
      <c r="Q50" s="1836"/>
      <c r="R50" s="1836"/>
      <c r="S50" s="1939" t="s">
        <v>339</v>
      </c>
      <c r="T50" s="1940"/>
      <c r="U50" s="1940"/>
      <c r="V50" s="1940"/>
      <c r="W50" s="1940"/>
      <c r="X50" s="1940"/>
      <c r="Y50" s="1940"/>
      <c r="Z50" s="1940"/>
      <c r="AA50" s="1940"/>
      <c r="AB50" s="1797"/>
      <c r="AC50" s="1797"/>
      <c r="AD50" s="1797"/>
      <c r="AE50" s="1797"/>
      <c r="AF50" s="1797"/>
      <c r="AG50" s="1797"/>
      <c r="AH50" s="1797"/>
      <c r="AI50" s="1797"/>
      <c r="AJ50" s="1797"/>
      <c r="AK50" s="1797"/>
      <c r="AL50" s="1797"/>
      <c r="AM50" s="1797"/>
      <c r="AN50" s="1797"/>
      <c r="AO50" s="1797"/>
      <c r="AP50" s="1797"/>
      <c r="AQ50" s="1797"/>
      <c r="AR50" s="1797"/>
      <c r="AS50" s="1797"/>
      <c r="AT50" s="1797"/>
      <c r="AU50" s="1797"/>
      <c r="AV50" s="1797"/>
      <c r="AW50" s="1797"/>
      <c r="AX50" s="1797"/>
      <c r="AY50" s="1797"/>
      <c r="AZ50" s="1797"/>
      <c r="BA50" s="1797"/>
      <c r="BB50" s="1797"/>
      <c r="BC50" s="1797"/>
      <c r="BD50" s="1797"/>
      <c r="BE50" s="1797"/>
      <c r="BF50" s="1797"/>
      <c r="BG50" s="1797"/>
      <c r="BH50" s="1797"/>
      <c r="BI50" s="1797"/>
      <c r="BJ50" s="1797"/>
      <c r="BK50" s="1797"/>
      <c r="BL50" s="1797"/>
      <c r="BM50" s="1797"/>
      <c r="BN50" s="1797"/>
      <c r="BO50" s="1797"/>
      <c r="BP50" s="1797"/>
      <c r="BQ50" s="1797"/>
      <c r="BR50" s="1797"/>
      <c r="BS50" s="1797"/>
      <c r="BT50" s="1797"/>
      <c r="BU50" s="1062"/>
      <c r="BV50" s="903"/>
      <c r="BW50" s="1935"/>
      <c r="BX50" s="1935"/>
      <c r="BY50" s="1935"/>
      <c r="BZ50" s="1935"/>
      <c r="CA50" s="1935"/>
      <c r="CB50" s="1935"/>
      <c r="CC50" s="1935"/>
      <c r="CD50" s="1935"/>
      <c r="CE50" s="1935"/>
      <c r="CF50" s="1935"/>
      <c r="CG50" s="1935"/>
      <c r="CH50" s="1935"/>
      <c r="CI50" s="1935"/>
      <c r="CJ50" s="1935"/>
      <c r="CK50" s="1935"/>
      <c r="CL50" s="1935"/>
      <c r="CM50" s="1935"/>
      <c r="CN50" s="1935"/>
      <c r="CO50" s="1935"/>
      <c r="CP50" s="1935"/>
      <c r="CQ50" s="1935"/>
      <c r="CR50" s="1935"/>
      <c r="CS50" s="1935"/>
      <c r="CT50" s="1071"/>
      <c r="CU50" s="1072"/>
      <c r="CV50" s="398"/>
      <c r="CW50" s="398"/>
      <c r="CX50" s="398"/>
      <c r="CY50" s="398"/>
      <c r="CZ50" s="398"/>
      <c r="DA50" s="398"/>
      <c r="DB50" s="398"/>
      <c r="DC50" s="35"/>
      <c r="DD50" s="36"/>
      <c r="DE50" s="36"/>
      <c r="DF50" s="36"/>
      <c r="DG50" s="36"/>
      <c r="DH50" s="36"/>
      <c r="DI50" s="36"/>
      <c r="DJ50" s="36"/>
      <c r="DK50" s="1068"/>
      <c r="DL50" s="1070"/>
      <c r="DM50" s="175"/>
      <c r="DN50" s="175"/>
      <c r="DO50" s="175"/>
      <c r="DP50" s="175"/>
      <c r="DQ50" s="175"/>
      <c r="DS50" s="414"/>
      <c r="DV50" s="176" t="s">
        <v>2419</v>
      </c>
      <c r="DW50" s="833" t="str">
        <f t="shared" si="2"/>
        <v/>
      </c>
      <c r="DY50" s="836"/>
      <c r="FO50" s="1070"/>
      <c r="GA50" s="175"/>
    </row>
    <row r="51" spans="1:183" s="176" customFormat="1" ht="27" customHeight="1">
      <c r="A51" s="645"/>
      <c r="B51" s="645"/>
      <c r="C51" s="645"/>
      <c r="D51" s="645"/>
      <c r="E51" s="646"/>
      <c r="F51" s="381"/>
      <c r="G51" s="381"/>
      <c r="H51" s="381"/>
      <c r="I51" s="26"/>
      <c r="J51" s="82"/>
      <c r="K51" s="83"/>
      <c r="L51" s="83"/>
      <c r="M51" s="1836"/>
      <c r="N51" s="1836"/>
      <c r="O51" s="1836"/>
      <c r="P51" s="1836"/>
      <c r="Q51" s="1836"/>
      <c r="R51" s="1836"/>
      <c r="S51" s="1827" t="s">
        <v>699</v>
      </c>
      <c r="T51" s="1843"/>
      <c r="U51" s="1843"/>
      <c r="V51" s="1843"/>
      <c r="W51" s="1843"/>
      <c r="X51" s="1843"/>
      <c r="Y51" s="1843"/>
      <c r="Z51" s="1843"/>
      <c r="AA51" s="1843"/>
      <c r="AB51" s="1786"/>
      <c r="AC51" s="1783"/>
      <c r="AD51" s="1783"/>
      <c r="AE51" s="1783"/>
      <c r="AF51" s="1783"/>
      <c r="AG51" s="1783"/>
      <c r="AH51" s="1783"/>
      <c r="AI51" s="1783"/>
      <c r="AJ51" s="1783"/>
      <c r="AK51" s="1783"/>
      <c r="AL51" s="1783"/>
      <c r="AM51" s="1783"/>
      <c r="AN51" s="1783"/>
      <c r="AO51" s="1783"/>
      <c r="AP51" s="1783"/>
      <c r="AQ51" s="1783"/>
      <c r="AR51" s="1783"/>
      <c r="AS51" s="1783"/>
      <c r="AT51" s="1783"/>
      <c r="AU51" s="1783"/>
      <c r="AV51" s="1783"/>
      <c r="AW51" s="1783"/>
      <c r="AX51" s="1783"/>
      <c r="AY51" s="1783"/>
      <c r="AZ51" s="1783"/>
      <c r="BA51" s="1783"/>
      <c r="BB51" s="1783"/>
      <c r="BC51" s="1783"/>
      <c r="BD51" s="1783"/>
      <c r="BE51" s="1783"/>
      <c r="BF51" s="1783"/>
      <c r="BG51" s="1783"/>
      <c r="BH51" s="1783"/>
      <c r="BI51" s="1783"/>
      <c r="BJ51" s="1783"/>
      <c r="BK51" s="1783"/>
      <c r="BL51" s="1783"/>
      <c r="BM51" s="1783"/>
      <c r="BN51" s="1783"/>
      <c r="BO51" s="1783"/>
      <c r="BP51" s="1783"/>
      <c r="BQ51" s="1783"/>
      <c r="BR51" s="1783"/>
      <c r="BS51" s="1783"/>
      <c r="BT51" s="1783"/>
      <c r="BU51" s="1062"/>
      <c r="BV51" s="903"/>
      <c r="BW51" s="1935"/>
      <c r="BX51" s="1935"/>
      <c r="BY51" s="1935"/>
      <c r="BZ51" s="1935"/>
      <c r="CA51" s="1935"/>
      <c r="CB51" s="1935"/>
      <c r="CC51" s="1935"/>
      <c r="CD51" s="1935"/>
      <c r="CE51" s="1935"/>
      <c r="CF51" s="1935"/>
      <c r="CG51" s="1935"/>
      <c r="CH51" s="1935"/>
      <c r="CI51" s="1935"/>
      <c r="CJ51" s="1935"/>
      <c r="CK51" s="1935"/>
      <c r="CL51" s="1935"/>
      <c r="CM51" s="1935"/>
      <c r="CN51" s="1935"/>
      <c r="CO51" s="1935"/>
      <c r="CP51" s="1935"/>
      <c r="CQ51" s="1935"/>
      <c r="CR51" s="1935"/>
      <c r="CS51" s="1935"/>
      <c r="CT51" s="1071"/>
      <c r="CU51" s="1072"/>
      <c r="CV51" s="398"/>
      <c r="CW51" s="398"/>
      <c r="CX51" s="398"/>
      <c r="CY51" s="398"/>
      <c r="CZ51" s="398"/>
      <c r="DA51" s="398"/>
      <c r="DB51" s="398"/>
      <c r="DC51" s="35"/>
      <c r="DD51" s="36"/>
      <c r="DE51" s="36"/>
      <c r="DF51" s="36"/>
      <c r="DG51" s="36"/>
      <c r="DH51" s="36"/>
      <c r="DI51" s="36"/>
      <c r="DJ51" s="36"/>
      <c r="DK51" s="1068"/>
      <c r="DL51" s="1070"/>
      <c r="DM51" s="175"/>
      <c r="DN51" s="175"/>
      <c r="DO51" s="175"/>
      <c r="DP51" s="175"/>
      <c r="DQ51" s="175"/>
      <c r="DS51" s="414"/>
      <c r="DV51" s="176" t="s">
        <v>2416</v>
      </c>
      <c r="DW51" s="833" t="str">
        <f t="shared" si="2"/>
        <v/>
      </c>
      <c r="FO51" s="1070"/>
      <c r="GA51" s="175"/>
    </row>
    <row r="52" spans="1:183" s="176" customFormat="1" ht="27" customHeight="1">
      <c r="A52" s="645"/>
      <c r="B52" s="645"/>
      <c r="C52" s="645"/>
      <c r="D52" s="645"/>
      <c r="E52" s="646"/>
      <c r="F52" s="381"/>
      <c r="G52" s="381"/>
      <c r="H52" s="381"/>
      <c r="I52" s="26"/>
      <c r="J52" s="84"/>
      <c r="K52" s="85"/>
      <c r="L52" s="85"/>
      <c r="M52" s="1837"/>
      <c r="N52" s="1837"/>
      <c r="O52" s="1837"/>
      <c r="P52" s="1837"/>
      <c r="Q52" s="1837"/>
      <c r="R52" s="1837"/>
      <c r="S52" s="1939" t="s">
        <v>340</v>
      </c>
      <c r="T52" s="1940"/>
      <c r="U52" s="1940"/>
      <c r="V52" s="1940"/>
      <c r="W52" s="1940"/>
      <c r="X52" s="1940"/>
      <c r="Y52" s="1940"/>
      <c r="Z52" s="1940"/>
      <c r="AA52" s="1940"/>
      <c r="AB52" s="1767"/>
      <c r="AC52" s="1768"/>
      <c r="AD52" s="1768"/>
      <c r="AE52" s="1768"/>
      <c r="AF52" s="1768"/>
      <c r="AG52" s="1769"/>
      <c r="AH52" s="1769"/>
      <c r="AI52" s="1769"/>
      <c r="AJ52" s="1769"/>
      <c r="AK52" s="1769"/>
      <c r="AL52" s="1769"/>
      <c r="AM52" s="1769"/>
      <c r="AN52" s="1769"/>
      <c r="AO52" s="1769"/>
      <c r="AP52" s="1769"/>
      <c r="AQ52" s="1769"/>
      <c r="AR52" s="1769"/>
      <c r="AS52" s="1769"/>
      <c r="AT52" s="1769"/>
      <c r="AU52" s="1769"/>
      <c r="AV52" s="1769"/>
      <c r="AW52" s="1769"/>
      <c r="AX52" s="1769"/>
      <c r="AY52" s="1769"/>
      <c r="AZ52" s="1769"/>
      <c r="BA52" s="1769"/>
      <c r="BB52" s="1769"/>
      <c r="BC52" s="1769"/>
      <c r="BD52" s="1769"/>
      <c r="BE52" s="1769"/>
      <c r="BF52" s="1769"/>
      <c r="BG52" s="1769"/>
      <c r="BH52" s="1769"/>
      <c r="BI52" s="1769"/>
      <c r="BJ52" s="1769"/>
      <c r="BK52" s="1769"/>
      <c r="BL52" s="1769"/>
      <c r="BM52" s="1769"/>
      <c r="BN52" s="1769"/>
      <c r="BO52" s="1769"/>
      <c r="BP52" s="1769"/>
      <c r="BQ52" s="1769"/>
      <c r="BR52" s="1769"/>
      <c r="BS52" s="1769"/>
      <c r="BT52" s="1769"/>
      <c r="BU52" s="1062"/>
      <c r="BV52" s="903"/>
      <c r="BW52" s="1935"/>
      <c r="BX52" s="1935"/>
      <c r="BY52" s="1935"/>
      <c r="BZ52" s="1935"/>
      <c r="CA52" s="1935"/>
      <c r="CB52" s="1935"/>
      <c r="CC52" s="1935"/>
      <c r="CD52" s="1935"/>
      <c r="CE52" s="1935"/>
      <c r="CF52" s="1935"/>
      <c r="CG52" s="1935"/>
      <c r="CH52" s="1935"/>
      <c r="CI52" s="1935"/>
      <c r="CJ52" s="1935"/>
      <c r="CK52" s="1935"/>
      <c r="CL52" s="1935"/>
      <c r="CM52" s="1935"/>
      <c r="CN52" s="1935"/>
      <c r="CO52" s="1935"/>
      <c r="CP52" s="1935"/>
      <c r="CQ52" s="1935"/>
      <c r="CR52" s="1935"/>
      <c r="CS52" s="1935"/>
      <c r="CT52" s="1071"/>
      <c r="CU52" s="1072"/>
      <c r="CV52" s="398"/>
      <c r="CW52" s="398"/>
      <c r="CX52" s="398"/>
      <c r="CY52" s="398"/>
      <c r="CZ52" s="398"/>
      <c r="DA52" s="398"/>
      <c r="DB52" s="398"/>
      <c r="DC52" s="35"/>
      <c r="DD52" s="36"/>
      <c r="DE52" s="36"/>
      <c r="DF52" s="36"/>
      <c r="DG52" s="36"/>
      <c r="DH52" s="36"/>
      <c r="DI52" s="36"/>
      <c r="DJ52" s="36"/>
      <c r="DK52" s="1068"/>
      <c r="DL52" s="1070"/>
      <c r="DM52" s="408" t="s">
        <v>2487</v>
      </c>
      <c r="DN52" s="408"/>
      <c r="DO52" s="407"/>
      <c r="DP52" s="407"/>
      <c r="DQ52" s="175"/>
      <c r="DS52" s="414"/>
      <c r="DV52" s="176" t="s">
        <v>2420</v>
      </c>
      <c r="DW52" s="833" t="str">
        <f t="shared" si="2"/>
        <v/>
      </c>
      <c r="FO52" s="1070"/>
      <c r="GA52" s="175"/>
    </row>
    <row r="53" spans="1:183" s="176" customFormat="1" ht="27" customHeight="1">
      <c r="A53" s="645"/>
      <c r="B53" s="645"/>
      <c r="C53" s="645"/>
      <c r="D53" s="645"/>
      <c r="E53" s="646"/>
      <c r="F53" s="381"/>
      <c r="G53" s="381"/>
      <c r="H53" s="381"/>
      <c r="I53" s="68"/>
      <c r="J53" s="86"/>
      <c r="K53" s="87"/>
      <c r="L53" s="87"/>
      <c r="M53" s="1822" t="s">
        <v>1379</v>
      </c>
      <c r="N53" s="1822"/>
      <c r="O53" s="1822"/>
      <c r="P53" s="1822"/>
      <c r="Q53" s="1822"/>
      <c r="R53" s="1822"/>
      <c r="S53" s="1822"/>
      <c r="T53" s="1822"/>
      <c r="U53" s="1822"/>
      <c r="V53" s="1822"/>
      <c r="W53" s="1822"/>
      <c r="X53" s="1822"/>
      <c r="Y53" s="1822"/>
      <c r="Z53" s="1822"/>
      <c r="AA53" s="1822"/>
      <c r="AB53" s="1785"/>
      <c r="AC53" s="1785"/>
      <c r="AD53" s="1785"/>
      <c r="AE53" s="1785"/>
      <c r="AF53" s="1785"/>
      <c r="AG53" s="1785"/>
      <c r="AH53" s="1784" t="s">
        <v>1165</v>
      </c>
      <c r="AI53" s="1784"/>
      <c r="AJ53" s="1784"/>
      <c r="AK53" s="1785"/>
      <c r="AL53" s="1785"/>
      <c r="AM53" s="1785"/>
      <c r="AN53" s="1785"/>
      <c r="AO53" s="1785"/>
      <c r="AP53" s="1785"/>
      <c r="AQ53" s="1064"/>
      <c r="AR53" s="1064"/>
      <c r="AS53" s="1064"/>
      <c r="AT53" s="1064"/>
      <c r="AU53" s="1064"/>
      <c r="AV53" s="1064"/>
      <c r="AW53" s="1064"/>
      <c r="AX53" s="1064"/>
      <c r="AY53" s="1064"/>
      <c r="AZ53" s="1064"/>
      <c r="BA53" s="1064"/>
      <c r="BB53" s="1064"/>
      <c r="BC53" s="1064"/>
      <c r="BD53" s="1064"/>
      <c r="BE53" s="1064"/>
      <c r="BF53" s="1064"/>
      <c r="BG53" s="1064"/>
      <c r="BH53" s="1064"/>
      <c r="BI53" s="1064"/>
      <c r="BJ53" s="1064"/>
      <c r="BK53" s="1064"/>
      <c r="BL53" s="1064"/>
      <c r="BM53" s="1064"/>
      <c r="BN53" s="1064"/>
      <c r="BO53" s="1064"/>
      <c r="BP53" s="1064"/>
      <c r="BQ53" s="1064"/>
      <c r="BR53" s="1064"/>
      <c r="BS53" s="1064"/>
      <c r="BT53" s="1064"/>
      <c r="BU53" s="1062"/>
      <c r="BV53" s="903"/>
      <c r="BW53" s="903"/>
      <c r="BX53" s="903"/>
      <c r="BY53" s="903"/>
      <c r="BZ53" s="903"/>
      <c r="CA53" s="903"/>
      <c r="CB53" s="903"/>
      <c r="CC53" s="903"/>
      <c r="CD53" s="903"/>
      <c r="CE53" s="903"/>
      <c r="CF53" s="903"/>
      <c r="CG53" s="903"/>
      <c r="CH53" s="903"/>
      <c r="CI53" s="903"/>
      <c r="CJ53" s="903"/>
      <c r="CK53" s="903"/>
      <c r="CL53" s="903"/>
      <c r="CM53" s="903"/>
      <c r="CN53" s="903"/>
      <c r="CO53" s="903"/>
      <c r="CP53" s="903"/>
      <c r="CQ53" s="903"/>
      <c r="CR53" s="903"/>
      <c r="CS53" s="903"/>
      <c r="CT53" s="903"/>
      <c r="CU53" s="720"/>
      <c r="CV53" s="398"/>
      <c r="CW53" s="398"/>
      <c r="CX53" s="398"/>
      <c r="CY53" s="398"/>
      <c r="CZ53" s="398"/>
      <c r="DA53" s="398"/>
      <c r="DB53" s="398"/>
      <c r="DC53" s="35"/>
      <c r="DD53" s="36"/>
      <c r="DE53" s="36"/>
      <c r="DF53" s="36"/>
      <c r="DG53" s="36"/>
      <c r="DH53" s="36"/>
      <c r="DI53" s="36"/>
      <c r="DJ53" s="36"/>
      <c r="DK53" s="1068"/>
      <c r="DL53" s="1070"/>
      <c r="DM53" s="280" t="str">
        <f>CONCATENATE(AB53,"-",AK53)</f>
        <v>-</v>
      </c>
      <c r="DN53" s="280" t="str">
        <f>ASC(DM53)</f>
        <v>-</v>
      </c>
      <c r="DO53" s="406"/>
      <c r="DP53" s="407"/>
      <c r="DQ53" s="175"/>
      <c r="DS53" s="414"/>
      <c r="FO53" s="1070"/>
      <c r="GA53" s="175"/>
    </row>
    <row r="54" spans="1:183" s="176" customFormat="1" ht="27" customHeight="1">
      <c r="A54" s="645"/>
      <c r="B54" s="645"/>
      <c r="C54" s="645"/>
      <c r="D54" s="645"/>
      <c r="E54" s="646"/>
      <c r="F54" s="381"/>
      <c r="G54" s="381"/>
      <c r="H54" s="381"/>
      <c r="I54" s="68"/>
      <c r="J54" s="86"/>
      <c r="K54" s="87"/>
      <c r="L54" s="87"/>
      <c r="M54" s="1822" t="s">
        <v>243</v>
      </c>
      <c r="N54" s="1822"/>
      <c r="O54" s="1822"/>
      <c r="P54" s="1822"/>
      <c r="Q54" s="1822"/>
      <c r="R54" s="1822"/>
      <c r="S54" s="1822"/>
      <c r="T54" s="1822"/>
      <c r="U54" s="1822"/>
      <c r="V54" s="1822"/>
      <c r="W54" s="1822"/>
      <c r="X54" s="1822"/>
      <c r="Y54" s="1822"/>
      <c r="Z54" s="1822"/>
      <c r="AA54" s="1822"/>
      <c r="AB54" s="2282"/>
      <c r="AC54" s="2283"/>
      <c r="AD54" s="2283"/>
      <c r="AE54" s="2283"/>
      <c r="AF54" s="2283"/>
      <c r="AG54" s="2284"/>
      <c r="AH54" s="2284"/>
      <c r="AI54" s="2284"/>
      <c r="AJ54" s="2284"/>
      <c r="AK54" s="2284"/>
      <c r="AL54" s="2284"/>
      <c r="AM54" s="2284"/>
      <c r="AN54" s="2284"/>
      <c r="AO54" s="2284"/>
      <c r="AP54" s="2284"/>
      <c r="AQ54" s="2284"/>
      <c r="AR54" s="2284"/>
      <c r="AS54" s="2284"/>
      <c r="AT54" s="2284"/>
      <c r="AU54" s="2284"/>
      <c r="AV54" s="2284"/>
      <c r="AW54" s="2284"/>
      <c r="AX54" s="2284"/>
      <c r="AY54" s="2284"/>
      <c r="AZ54" s="2284"/>
      <c r="BA54" s="2284"/>
      <c r="BB54" s="2284"/>
      <c r="BC54" s="2284"/>
      <c r="BD54" s="2284"/>
      <c r="BE54" s="2284"/>
      <c r="BF54" s="2284"/>
      <c r="BG54" s="2284"/>
      <c r="BH54" s="2284"/>
      <c r="BI54" s="2284"/>
      <c r="BJ54" s="2284"/>
      <c r="BK54" s="2284"/>
      <c r="BL54" s="2284"/>
      <c r="BM54" s="2284"/>
      <c r="BN54" s="2284"/>
      <c r="BO54" s="2284"/>
      <c r="BP54" s="2284"/>
      <c r="BQ54" s="2284"/>
      <c r="BR54" s="2284"/>
      <c r="BS54" s="2284"/>
      <c r="BT54" s="2284"/>
      <c r="BU54" s="1062"/>
      <c r="BV54" s="903"/>
      <c r="BW54" s="903"/>
      <c r="BX54" s="903"/>
      <c r="BY54" s="903"/>
      <c r="BZ54" s="903"/>
      <c r="CA54" s="903"/>
      <c r="CB54" s="903"/>
      <c r="CC54" s="903"/>
      <c r="CD54" s="903"/>
      <c r="CE54" s="903"/>
      <c r="CF54" s="903"/>
      <c r="CG54" s="903"/>
      <c r="CH54" s="903"/>
      <c r="CI54" s="903"/>
      <c r="CJ54" s="903"/>
      <c r="CK54" s="903"/>
      <c r="CL54" s="903"/>
      <c r="CM54" s="903"/>
      <c r="CN54" s="903"/>
      <c r="CO54" s="903"/>
      <c r="CP54" s="903"/>
      <c r="CQ54" s="903"/>
      <c r="CR54" s="903"/>
      <c r="CS54" s="903"/>
      <c r="CT54" s="903"/>
      <c r="CU54" s="720"/>
      <c r="CV54" s="398"/>
      <c r="CW54" s="398"/>
      <c r="CX54" s="398"/>
      <c r="CY54" s="398"/>
      <c r="CZ54" s="398"/>
      <c r="DA54" s="398"/>
      <c r="DB54" s="398"/>
      <c r="DC54" s="35"/>
      <c r="DD54" s="36"/>
      <c r="DE54" s="36"/>
      <c r="DF54" s="36"/>
      <c r="DG54" s="36"/>
      <c r="DH54" s="36"/>
      <c r="DI54" s="36"/>
      <c r="DJ54" s="36"/>
      <c r="DK54" s="1068"/>
      <c r="DL54" s="1070"/>
      <c r="DM54" s="281" t="s">
        <v>2489</v>
      </c>
      <c r="DN54" s="281"/>
      <c r="DO54" s="175"/>
      <c r="DP54" s="175"/>
      <c r="DQ54" s="175"/>
      <c r="DS54" s="414"/>
      <c r="FO54" s="1070"/>
      <c r="GA54" s="175"/>
    </row>
    <row r="55" spans="1:183" s="176" customFormat="1" ht="27" customHeight="1">
      <c r="A55" s="645"/>
      <c r="B55" s="645"/>
      <c r="C55" s="645"/>
      <c r="D55" s="645"/>
      <c r="E55" s="646"/>
      <c r="F55" s="381"/>
      <c r="G55" s="381"/>
      <c r="H55" s="381"/>
      <c r="I55" s="68"/>
      <c r="J55" s="86"/>
      <c r="K55" s="87"/>
      <c r="L55" s="87"/>
      <c r="M55" s="1822" t="s">
        <v>1380</v>
      </c>
      <c r="N55" s="1822"/>
      <c r="O55" s="1822"/>
      <c r="P55" s="1822"/>
      <c r="Q55" s="1822"/>
      <c r="R55" s="1822"/>
      <c r="S55" s="1822"/>
      <c r="T55" s="1822"/>
      <c r="U55" s="1822"/>
      <c r="V55" s="1822"/>
      <c r="W55" s="1822"/>
      <c r="X55" s="1822"/>
      <c r="Y55" s="1822"/>
      <c r="Z55" s="1822"/>
      <c r="AA55" s="1822"/>
      <c r="AB55" s="1785"/>
      <c r="AC55" s="1785"/>
      <c r="AD55" s="1785"/>
      <c r="AE55" s="1785"/>
      <c r="AF55" s="1785"/>
      <c r="AG55" s="1785"/>
      <c r="AH55" s="1784" t="s">
        <v>1165</v>
      </c>
      <c r="AI55" s="1784"/>
      <c r="AJ55" s="1784"/>
      <c r="AK55" s="1785"/>
      <c r="AL55" s="1785"/>
      <c r="AM55" s="1785"/>
      <c r="AN55" s="1785"/>
      <c r="AO55" s="1785"/>
      <c r="AP55" s="1785"/>
      <c r="AQ55" s="1784" t="s">
        <v>1165</v>
      </c>
      <c r="AR55" s="1784"/>
      <c r="AS55" s="1784"/>
      <c r="AT55" s="1785"/>
      <c r="AU55" s="1785"/>
      <c r="AV55" s="1785"/>
      <c r="AW55" s="1785"/>
      <c r="AX55" s="1785"/>
      <c r="AY55" s="1785"/>
      <c r="AZ55" s="1064"/>
      <c r="BA55" s="1064"/>
      <c r="BB55" s="1064"/>
      <c r="BC55" s="1064"/>
      <c r="BD55" s="1064"/>
      <c r="BE55" s="1064"/>
      <c r="BF55" s="1064"/>
      <c r="BG55" s="1064"/>
      <c r="BH55" s="1064"/>
      <c r="BI55" s="1064"/>
      <c r="BJ55" s="1064"/>
      <c r="BK55" s="1064"/>
      <c r="BL55" s="1064"/>
      <c r="BM55" s="1064"/>
      <c r="BN55" s="1064"/>
      <c r="BO55" s="1064"/>
      <c r="BP55" s="1064"/>
      <c r="BQ55" s="1064"/>
      <c r="BR55" s="1064"/>
      <c r="BS55" s="1064"/>
      <c r="BT55" s="1064"/>
      <c r="BU55" s="1062"/>
      <c r="BV55" s="764" t="s">
        <v>2809</v>
      </c>
      <c r="BW55" s="765" t="s">
        <v>2810</v>
      </c>
      <c r="BX55" s="903"/>
      <c r="BY55" s="903"/>
      <c r="BZ55" s="903"/>
      <c r="CA55" s="903"/>
      <c r="CB55" s="903"/>
      <c r="CC55" s="903"/>
      <c r="CD55" s="903"/>
      <c r="CE55" s="903"/>
      <c r="CF55" s="903"/>
      <c r="CG55" s="903"/>
      <c r="CH55" s="903"/>
      <c r="CI55" s="903"/>
      <c r="CJ55" s="903"/>
      <c r="CK55" s="903"/>
      <c r="CL55" s="903"/>
      <c r="CM55" s="903"/>
      <c r="CN55" s="903"/>
      <c r="CO55" s="903"/>
      <c r="CP55" s="903"/>
      <c r="CQ55" s="903"/>
      <c r="CR55" s="903"/>
      <c r="CS55" s="903"/>
      <c r="CT55" s="903"/>
      <c r="CU55" s="720"/>
      <c r="CV55" s="398"/>
      <c r="CW55" s="398"/>
      <c r="CX55" s="398"/>
      <c r="CY55" s="398"/>
      <c r="CZ55" s="398"/>
      <c r="DA55" s="398"/>
      <c r="DB55" s="398"/>
      <c r="DC55" s="35"/>
      <c r="DD55" s="36"/>
      <c r="DE55" s="36"/>
      <c r="DF55" s="36"/>
      <c r="DG55" s="36"/>
      <c r="DH55" s="36"/>
      <c r="DI55" s="36"/>
      <c r="DJ55" s="36"/>
      <c r="DK55" s="1068"/>
      <c r="DL55" s="1070"/>
      <c r="DM55" s="280" t="str">
        <f>CONCATENATE(AB55,"-",AK55,"-",AT55)</f>
        <v>--</v>
      </c>
      <c r="DN55" s="280" t="str">
        <f>ASC(DM55)</f>
        <v>--</v>
      </c>
      <c r="DO55" s="406"/>
      <c r="DP55" s="407"/>
      <c r="DQ55" s="407"/>
      <c r="DS55" s="414"/>
      <c r="FO55" s="1070"/>
      <c r="GA55" s="175"/>
    </row>
    <row r="56" spans="1:183" ht="27" customHeight="1" thickBot="1">
      <c r="A56" s="645"/>
      <c r="B56" s="645"/>
      <c r="C56" s="645"/>
      <c r="D56" s="645"/>
      <c r="E56" s="646"/>
      <c r="J56" s="93"/>
      <c r="K56" s="125"/>
      <c r="L56" s="125"/>
      <c r="M56" s="1937" t="s">
        <v>3119</v>
      </c>
      <c r="N56" s="1937"/>
      <c r="O56" s="1937"/>
      <c r="P56" s="1937"/>
      <c r="Q56" s="1937"/>
      <c r="R56" s="1937"/>
      <c r="S56" s="1937"/>
      <c r="T56" s="1937"/>
      <c r="U56" s="1937"/>
      <c r="V56" s="1937"/>
      <c r="W56" s="1937"/>
      <c r="X56" s="1937"/>
      <c r="Y56" s="1937"/>
      <c r="Z56" s="1937"/>
      <c r="AA56" s="1937"/>
      <c r="AB56" s="2301"/>
      <c r="AC56" s="2301"/>
      <c r="AD56" s="2301"/>
      <c r="AE56" s="2301"/>
      <c r="AF56" s="2301"/>
      <c r="AG56" s="2301"/>
      <c r="AH56" s="2301"/>
      <c r="AI56" s="2301"/>
      <c r="AJ56" s="2301"/>
      <c r="AK56" s="2301"/>
      <c r="AL56" s="2301"/>
      <c r="AM56" s="2301"/>
      <c r="AN56" s="2301"/>
      <c r="AO56" s="2301"/>
      <c r="AP56" s="2301"/>
      <c r="AQ56" s="2301"/>
      <c r="AR56" s="2301"/>
      <c r="AS56" s="2301"/>
      <c r="AT56" s="2301"/>
      <c r="AU56" s="2301"/>
      <c r="AV56" s="2301"/>
      <c r="AW56" s="2301"/>
      <c r="AX56" s="2301"/>
      <c r="AY56" s="2301"/>
      <c r="AZ56" s="2301"/>
      <c r="BA56" s="2301"/>
      <c r="BB56" s="2301"/>
      <c r="BC56" s="2301"/>
      <c r="BD56" s="2301"/>
      <c r="BE56" s="2301"/>
      <c r="BF56" s="2301"/>
      <c r="BG56" s="2301"/>
      <c r="BH56" s="2301"/>
      <c r="BI56" s="2301"/>
      <c r="BJ56" s="2301"/>
      <c r="BK56" s="2301"/>
      <c r="BL56" s="2301"/>
      <c r="BM56" s="2301"/>
      <c r="BN56" s="2301"/>
      <c r="BO56" s="2301"/>
      <c r="BP56" s="2301"/>
      <c r="BQ56" s="2301"/>
      <c r="BR56" s="2301"/>
      <c r="BS56" s="2301"/>
      <c r="BT56" s="2301"/>
      <c r="BU56" s="1053"/>
      <c r="BV56" s="925" t="s">
        <v>2727</v>
      </c>
      <c r="BW56" s="2492" t="s">
        <v>3105</v>
      </c>
      <c r="BX56" s="2492"/>
      <c r="BY56" s="2492"/>
      <c r="BZ56" s="2492"/>
      <c r="CA56" s="2492"/>
      <c r="CB56" s="2492"/>
      <c r="CC56" s="2492"/>
      <c r="CD56" s="2492"/>
      <c r="CE56" s="2492"/>
      <c r="CF56" s="2492"/>
      <c r="CG56" s="2492"/>
      <c r="CH56" s="2492"/>
      <c r="CI56" s="2492"/>
      <c r="CJ56" s="2492"/>
      <c r="CK56" s="2492"/>
      <c r="CL56" s="2492"/>
      <c r="CM56" s="2492"/>
      <c r="CN56" s="2492"/>
      <c r="CO56" s="2492"/>
      <c r="CP56" s="2492"/>
      <c r="CQ56" s="2492"/>
      <c r="CR56" s="2492"/>
      <c r="CS56" s="2492"/>
      <c r="CT56" s="925"/>
      <c r="CU56" s="926"/>
      <c r="DD56" s="36"/>
      <c r="DE56" s="36"/>
      <c r="DF56" s="36"/>
      <c r="DG56" s="36"/>
      <c r="DH56" s="36"/>
      <c r="DI56" s="36"/>
      <c r="DJ56" s="36"/>
      <c r="EG56" s="167"/>
      <c r="EH56" s="167"/>
      <c r="EI56" s="167"/>
      <c r="EJ56" s="167"/>
      <c r="EK56" s="167"/>
      <c r="FV56" s="167"/>
      <c r="FW56" s="167"/>
      <c r="FX56" s="167"/>
      <c r="FY56" s="167"/>
      <c r="FZ56" s="167"/>
    </row>
    <row r="57" spans="1:183" ht="20.149999999999999" customHeight="1">
      <c r="A57" s="645"/>
      <c r="B57" s="645"/>
      <c r="C57" s="645"/>
      <c r="D57" s="645"/>
      <c r="E57" s="646"/>
      <c r="BU57" s="1044"/>
      <c r="DD57" s="36"/>
      <c r="DE57" s="36"/>
      <c r="DF57" s="36"/>
      <c r="DG57" s="36"/>
      <c r="DH57" s="36"/>
      <c r="DI57" s="36"/>
      <c r="DJ57" s="36"/>
      <c r="EG57" s="167"/>
      <c r="EH57" s="167"/>
      <c r="EI57" s="167"/>
      <c r="EJ57" s="167"/>
      <c r="EK57" s="167"/>
      <c r="FV57" s="167"/>
      <c r="FW57" s="167"/>
      <c r="FX57" s="167"/>
      <c r="FY57" s="167"/>
      <c r="FZ57" s="167"/>
    </row>
    <row r="58" spans="1:183" ht="2.15" customHeight="1">
      <c r="A58" s="645"/>
      <c r="B58" s="645"/>
      <c r="C58" s="645"/>
      <c r="D58" s="645"/>
      <c r="E58" s="646"/>
      <c r="BU58" s="1044"/>
      <c r="DD58" s="36"/>
      <c r="DE58" s="36"/>
      <c r="DF58" s="36"/>
      <c r="DG58" s="36"/>
      <c r="DH58" s="36"/>
      <c r="DI58" s="36"/>
      <c r="DJ58" s="36"/>
      <c r="EG58" s="167"/>
      <c r="EH58" s="167"/>
      <c r="EI58" s="167"/>
      <c r="EJ58" s="167"/>
      <c r="EK58" s="167"/>
      <c r="FV58" s="167"/>
      <c r="FW58" s="167"/>
      <c r="FX58" s="167"/>
      <c r="FY58" s="167"/>
      <c r="FZ58" s="167"/>
    </row>
    <row r="59" spans="1:183" ht="2.15" customHeight="1" thickBot="1">
      <c r="A59" s="645"/>
      <c r="B59" s="645"/>
      <c r="C59" s="645"/>
      <c r="D59" s="645"/>
      <c r="E59" s="646"/>
      <c r="BU59" s="1044"/>
      <c r="DD59" s="36"/>
      <c r="DE59" s="36"/>
      <c r="DF59" s="36"/>
      <c r="DG59" s="36"/>
      <c r="DH59" s="36"/>
      <c r="DI59" s="36"/>
      <c r="DJ59" s="36"/>
      <c r="EG59" s="167"/>
      <c r="EH59" s="167"/>
      <c r="EI59" s="167"/>
      <c r="EJ59" s="167"/>
      <c r="EK59" s="167"/>
      <c r="FV59" s="167"/>
      <c r="FW59" s="167"/>
      <c r="FX59" s="167"/>
      <c r="FY59" s="167"/>
      <c r="FZ59" s="167"/>
    </row>
    <row r="60" spans="1:183" s="174" customFormat="1" ht="35.15" customHeight="1" thickBot="1">
      <c r="A60" s="645"/>
      <c r="B60" s="645"/>
      <c r="C60" s="645"/>
      <c r="D60" s="645"/>
      <c r="E60" s="646"/>
      <c r="F60" s="381"/>
      <c r="G60" s="381"/>
      <c r="H60" s="381"/>
      <c r="I60" s="43"/>
      <c r="J60" s="1831" t="s">
        <v>1023</v>
      </c>
      <c r="K60" s="1832"/>
      <c r="L60" s="1832"/>
      <c r="M60" s="1832"/>
      <c r="N60" s="1832"/>
      <c r="O60" s="1832"/>
      <c r="P60" s="1832"/>
      <c r="Q60" s="1832"/>
      <c r="R60" s="1832"/>
      <c r="S60" s="1832"/>
      <c r="T60" s="1832"/>
      <c r="U60" s="1832"/>
      <c r="V60" s="1832"/>
      <c r="W60" s="1832"/>
      <c r="X60" s="1832"/>
      <c r="Y60" s="1832"/>
      <c r="Z60" s="1832"/>
      <c r="AA60" s="1832"/>
      <c r="AB60" s="1832"/>
      <c r="AC60" s="1832"/>
      <c r="AD60" s="1832"/>
      <c r="AE60" s="1832"/>
      <c r="AF60" s="1832"/>
      <c r="AG60" s="1832"/>
      <c r="AH60" s="1832"/>
      <c r="AI60" s="1832"/>
      <c r="AJ60" s="1832"/>
      <c r="AK60" s="1832"/>
      <c r="AL60" s="1832"/>
      <c r="AM60" s="1832"/>
      <c r="AN60" s="1832"/>
      <c r="AO60" s="1832"/>
      <c r="AP60" s="1832"/>
      <c r="AQ60" s="1832"/>
      <c r="AR60" s="1832"/>
      <c r="AS60" s="1832"/>
      <c r="AT60" s="1832"/>
      <c r="AU60" s="1832"/>
      <c r="AV60" s="1832"/>
      <c r="AW60" s="1832"/>
      <c r="AX60" s="1832"/>
      <c r="AY60" s="1832"/>
      <c r="AZ60" s="1832"/>
      <c r="BA60" s="1832"/>
      <c r="BB60" s="1832"/>
      <c r="BC60" s="1832"/>
      <c r="BD60" s="1832"/>
      <c r="BE60" s="1832"/>
      <c r="BF60" s="1832"/>
      <c r="BG60" s="1832"/>
      <c r="BH60" s="1832"/>
      <c r="BI60" s="1832"/>
      <c r="BJ60" s="1832"/>
      <c r="BK60" s="1832"/>
      <c r="BL60" s="1775" t="s">
        <v>370</v>
      </c>
      <c r="BM60" s="1776"/>
      <c r="BN60" s="1776"/>
      <c r="BO60" s="1776"/>
      <c r="BP60" s="1776"/>
      <c r="BQ60" s="1776"/>
      <c r="BR60" s="1776"/>
      <c r="BS60" s="1776"/>
      <c r="BT60" s="1776"/>
      <c r="BU60" s="1048"/>
      <c r="BV60" s="1048"/>
      <c r="BW60" s="1048"/>
      <c r="BX60" s="1048"/>
      <c r="BY60" s="725"/>
      <c r="BZ60" s="725"/>
      <c r="CA60" s="725"/>
      <c r="CB60" s="725"/>
      <c r="CC60" s="725"/>
      <c r="CD60" s="725"/>
      <c r="CE60" s="725"/>
      <c r="CF60" s="725"/>
      <c r="CG60" s="725"/>
      <c r="CH60" s="725"/>
      <c r="CI60" s="725"/>
      <c r="CJ60" s="725"/>
      <c r="CK60" s="725"/>
      <c r="CL60" s="725"/>
      <c r="CM60" s="725"/>
      <c r="CN60" s="711"/>
      <c r="CO60" s="711"/>
      <c r="CP60" s="711"/>
      <c r="CQ60" s="711"/>
      <c r="CR60" s="711"/>
      <c r="CS60" s="711"/>
      <c r="CT60" s="711"/>
      <c r="CU60" s="712"/>
      <c r="CV60" s="584"/>
      <c r="CW60" s="584"/>
      <c r="CX60" s="584"/>
      <c r="CY60" s="584"/>
      <c r="CZ60" s="584"/>
      <c r="DA60" s="584"/>
      <c r="DB60" s="584"/>
      <c r="DC60" s="599"/>
      <c r="DD60" s="584"/>
      <c r="DE60" s="36"/>
      <c r="DF60" s="178"/>
      <c r="DG60" s="178"/>
      <c r="DH60" s="178"/>
      <c r="DI60" s="178"/>
      <c r="DJ60" s="178"/>
      <c r="DK60" s="1068"/>
      <c r="DL60" s="1050"/>
      <c r="DM60" s="274"/>
      <c r="DN60" s="274"/>
      <c r="DO60" s="173"/>
      <c r="DP60" s="173"/>
      <c r="DQ60" s="173"/>
      <c r="EG60" s="167"/>
      <c r="EH60" s="167"/>
      <c r="EI60" s="167"/>
      <c r="EJ60" s="167"/>
      <c r="EK60" s="167"/>
      <c r="FO60" s="1050"/>
      <c r="FV60" s="167"/>
      <c r="FW60" s="167"/>
      <c r="FX60" s="167"/>
      <c r="FY60" s="167"/>
      <c r="FZ60" s="167"/>
      <c r="GA60" s="173"/>
    </row>
    <row r="61" spans="1:183" s="172" customFormat="1" ht="27" customHeight="1" thickBot="1">
      <c r="A61" s="645"/>
      <c r="B61" s="645"/>
      <c r="C61" s="645"/>
      <c r="D61" s="645"/>
      <c r="E61" s="646"/>
      <c r="F61" s="381"/>
      <c r="G61" s="381"/>
      <c r="H61" s="381"/>
      <c r="I61" s="251"/>
      <c r="J61" s="39"/>
      <c r="K61" s="896"/>
      <c r="L61" s="896"/>
      <c r="M61" s="1834" t="s">
        <v>926</v>
      </c>
      <c r="N61" s="1834"/>
      <c r="O61" s="1834"/>
      <c r="P61" s="1834"/>
      <c r="Q61" s="1834"/>
      <c r="R61" s="1834"/>
      <c r="S61" s="1827" t="s">
        <v>1087</v>
      </c>
      <c r="T61" s="1828"/>
      <c r="U61" s="1828"/>
      <c r="V61" s="1828"/>
      <c r="W61" s="1828"/>
      <c r="X61" s="1828"/>
      <c r="Y61" s="1828"/>
      <c r="Z61" s="1828"/>
      <c r="AA61" s="1828"/>
      <c r="AB61" s="1854"/>
      <c r="AC61" s="1855"/>
      <c r="AD61" s="1855"/>
      <c r="AE61" s="1855"/>
      <c r="AF61" s="1855"/>
      <c r="AG61" s="1855"/>
      <c r="AH61" s="1855"/>
      <c r="AI61" s="1855"/>
      <c r="AJ61" s="1855"/>
      <c r="AK61" s="1855"/>
      <c r="AL61" s="1855"/>
      <c r="AM61" s="1855"/>
      <c r="AN61" s="1855"/>
      <c r="AO61" s="1855"/>
      <c r="AP61" s="1855"/>
      <c r="AQ61" s="898"/>
      <c r="AR61" s="898"/>
      <c r="AS61" s="898"/>
      <c r="AT61" s="898"/>
      <c r="AU61" s="898"/>
      <c r="AV61" s="898"/>
      <c r="AW61" s="898"/>
      <c r="AX61" s="898"/>
      <c r="AY61" s="898"/>
      <c r="AZ61" s="92"/>
      <c r="BA61" s="898"/>
      <c r="BB61" s="898"/>
      <c r="BC61" s="898"/>
      <c r="BD61" s="898"/>
      <c r="BE61" s="898"/>
      <c r="BF61" s="898"/>
      <c r="BG61" s="898"/>
      <c r="BH61" s="898"/>
      <c r="BI61" s="898"/>
      <c r="BJ61" s="898"/>
      <c r="BK61" s="898"/>
      <c r="BL61" s="898"/>
      <c r="BM61" s="898"/>
      <c r="BN61" s="898"/>
      <c r="BO61" s="898"/>
      <c r="BP61" s="898"/>
      <c r="BQ61" s="898"/>
      <c r="BR61" s="898"/>
      <c r="BS61" s="898"/>
      <c r="BT61" s="898"/>
      <c r="BU61" s="1052"/>
      <c r="BV61" s="1052"/>
      <c r="BW61" s="1922" t="s">
        <v>2806</v>
      </c>
      <c r="BX61" s="1922"/>
      <c r="BY61" s="1922"/>
      <c r="BZ61" s="1922"/>
      <c r="CA61" s="1922"/>
      <c r="CB61" s="1922"/>
      <c r="CC61" s="1922"/>
      <c r="CD61" s="1922"/>
      <c r="CE61" s="1922"/>
      <c r="CF61" s="1922"/>
      <c r="CG61" s="1922"/>
      <c r="CH61" s="1922"/>
      <c r="CI61" s="1922"/>
      <c r="CJ61" s="1922"/>
      <c r="CK61" s="1922"/>
      <c r="CL61" s="1922"/>
      <c r="CM61" s="1922"/>
      <c r="CN61" s="1922"/>
      <c r="CO61" s="1922"/>
      <c r="CP61" s="1922"/>
      <c r="CQ61" s="1922"/>
      <c r="CR61" s="1922"/>
      <c r="CS61" s="1922"/>
      <c r="CT61" s="713"/>
      <c r="CU61" s="1073"/>
      <c r="CV61" s="1074"/>
      <c r="CW61" s="1074"/>
      <c r="CX61" s="1074"/>
      <c r="CY61" s="1074"/>
      <c r="CZ61" s="1074"/>
      <c r="DA61" s="1074"/>
      <c r="DB61" s="1074"/>
      <c r="DC61" s="369"/>
      <c r="DD61" s="1074"/>
      <c r="DE61" s="1074"/>
      <c r="DF61" s="1075"/>
      <c r="DG61" s="1075"/>
      <c r="DH61" s="1075"/>
      <c r="DI61" s="1075"/>
      <c r="DJ61" s="1075"/>
      <c r="DK61" s="1068"/>
      <c r="DL61" s="1046"/>
      <c r="DM61" s="177">
        <f>IF(AB61="",0,IF(AB61="特定建築物調査員",1,2))</f>
        <v>0</v>
      </c>
      <c r="DN61" s="171"/>
      <c r="DO61" s="171"/>
      <c r="DP61" s="171"/>
      <c r="DS61" s="424" t="str">
        <f>IF(DM61=2,LEFT($AB$61,2),"")</f>
        <v/>
      </c>
      <c r="DT61" s="167"/>
      <c r="DU61" s="167"/>
      <c r="FO61" s="1046"/>
      <c r="GA61" s="171"/>
    </row>
    <row r="62" spans="1:183" s="178" customFormat="1" ht="27" customHeight="1" thickBot="1">
      <c r="A62" s="645"/>
      <c r="B62" s="645"/>
      <c r="C62" s="645"/>
      <c r="D62" s="645"/>
      <c r="E62" s="646"/>
      <c r="F62" s="381"/>
      <c r="G62" s="381"/>
      <c r="H62" s="381"/>
      <c r="I62" s="906"/>
      <c r="J62" s="80"/>
      <c r="K62" s="51"/>
      <c r="L62" s="51"/>
      <c r="M62" s="1941"/>
      <c r="N62" s="1941"/>
      <c r="O62" s="1941"/>
      <c r="P62" s="1941"/>
      <c r="Q62" s="1941"/>
      <c r="R62" s="1941"/>
      <c r="S62" s="1800" t="s">
        <v>701</v>
      </c>
      <c r="T62" s="2268"/>
      <c r="U62" s="2268"/>
      <c r="V62" s="2268"/>
      <c r="W62" s="2268"/>
      <c r="X62" s="2268"/>
      <c r="Y62" s="895"/>
      <c r="Z62" s="1938"/>
      <c r="AA62" s="1938"/>
      <c r="AB62" s="1772"/>
      <c r="AC62" s="1774"/>
      <c r="AD62" s="1774"/>
      <c r="AE62" s="1774"/>
      <c r="AF62" s="1774"/>
      <c r="AG62" s="1774"/>
      <c r="AH62" s="1774"/>
      <c r="AI62" s="1774"/>
      <c r="AJ62" s="1774"/>
      <c r="AK62" s="1774"/>
      <c r="AL62" s="1774"/>
      <c r="AM62" s="1774"/>
      <c r="AN62" s="1774"/>
      <c r="AO62" s="1774"/>
      <c r="AP62" s="1774"/>
      <c r="AQ62" s="896" t="s">
        <v>687</v>
      </c>
      <c r="AR62" s="896"/>
      <c r="AS62" s="51"/>
      <c r="AT62" s="51"/>
      <c r="AU62" s="51"/>
      <c r="AV62" s="51"/>
      <c r="AW62" s="51"/>
      <c r="AX62" s="51"/>
      <c r="AY62" s="51"/>
      <c r="AZ62" s="51"/>
      <c r="BA62" s="51"/>
      <c r="BB62" s="51"/>
      <c r="BC62" s="51"/>
      <c r="BD62" s="51"/>
      <c r="BE62" s="51"/>
      <c r="BF62" s="51"/>
      <c r="BG62" s="51"/>
      <c r="BH62" s="51"/>
      <c r="BI62" s="51"/>
      <c r="BJ62" s="51"/>
      <c r="BK62" s="51"/>
      <c r="BL62" s="51"/>
      <c r="BM62" s="51"/>
      <c r="BN62" s="51"/>
      <c r="BO62" s="51"/>
      <c r="BP62" s="51"/>
      <c r="BQ62" s="51"/>
      <c r="BR62" s="51"/>
      <c r="BS62" s="51"/>
      <c r="BT62" s="51"/>
      <c r="BU62" s="713"/>
      <c r="BV62" s="713"/>
      <c r="BW62" s="1922"/>
      <c r="BX62" s="1922"/>
      <c r="BY62" s="1922"/>
      <c r="BZ62" s="1922"/>
      <c r="CA62" s="1922"/>
      <c r="CB62" s="1922"/>
      <c r="CC62" s="1922"/>
      <c r="CD62" s="1922"/>
      <c r="CE62" s="1922"/>
      <c r="CF62" s="1922"/>
      <c r="CG62" s="1922"/>
      <c r="CH62" s="1922"/>
      <c r="CI62" s="1922"/>
      <c r="CJ62" s="1922"/>
      <c r="CK62" s="1922"/>
      <c r="CL62" s="1922"/>
      <c r="CM62" s="1922"/>
      <c r="CN62" s="1922"/>
      <c r="CO62" s="1922"/>
      <c r="CP62" s="1922"/>
      <c r="CQ62" s="1922"/>
      <c r="CR62" s="1922"/>
      <c r="CS62" s="1922"/>
      <c r="CT62" s="713"/>
      <c r="CU62" s="1073"/>
      <c r="CV62" s="36"/>
      <c r="CW62" s="36"/>
      <c r="CX62" s="36"/>
      <c r="CY62" s="36"/>
      <c r="CZ62" s="36"/>
      <c r="DA62" s="36"/>
      <c r="DB62" s="36"/>
      <c r="DC62" s="35"/>
      <c r="DD62" s="36"/>
      <c r="DE62" s="36"/>
      <c r="DK62" s="1068"/>
      <c r="DL62" s="1076"/>
      <c r="DM62" s="259">
        <f>IF(OR($AB$61="一級建築士",$AB$61="二級建築士"),1,0)</f>
        <v>0</v>
      </c>
      <c r="DN62" s="36"/>
      <c r="DO62" s="36"/>
      <c r="DP62" s="36"/>
      <c r="DQ62" s="36"/>
      <c r="DS62" s="421" t="str">
        <f>IF($AB$62="","",$AB$62)</f>
        <v/>
      </c>
      <c r="DT62" s="420"/>
      <c r="DU62" s="167"/>
      <c r="EG62" s="172"/>
      <c r="EH62" s="172"/>
      <c r="EI62" s="172"/>
      <c r="EJ62" s="172"/>
      <c r="EK62" s="172"/>
      <c r="FO62" s="1076"/>
      <c r="FV62" s="172"/>
      <c r="FW62" s="172"/>
      <c r="FX62" s="172"/>
      <c r="FY62" s="172"/>
      <c r="FZ62" s="172"/>
      <c r="GA62" s="36"/>
    </row>
    <row r="63" spans="1:183" s="178" customFormat="1" ht="27" customHeight="1">
      <c r="A63" s="645"/>
      <c r="B63" s="645"/>
      <c r="C63" s="645"/>
      <c r="D63" s="645"/>
      <c r="E63" s="646"/>
      <c r="F63" s="381"/>
      <c r="G63" s="381"/>
      <c r="H63" s="381"/>
      <c r="I63" s="906"/>
      <c r="J63" s="80"/>
      <c r="K63" s="51"/>
      <c r="L63" s="51"/>
      <c r="M63" s="1941"/>
      <c r="N63" s="1941"/>
      <c r="O63" s="1941"/>
      <c r="P63" s="1941"/>
      <c r="Q63" s="1941"/>
      <c r="R63" s="1941"/>
      <c r="S63" s="2278"/>
      <c r="T63" s="2278"/>
      <c r="U63" s="2278"/>
      <c r="V63" s="2278"/>
      <c r="W63" s="2278"/>
      <c r="X63" s="2278"/>
      <c r="Y63" s="897"/>
      <c r="Z63" s="1943" t="s">
        <v>927</v>
      </c>
      <c r="AA63" s="1943"/>
      <c r="AB63" s="1833"/>
      <c r="AC63" s="1774"/>
      <c r="AD63" s="1774"/>
      <c r="AE63" s="1774"/>
      <c r="AF63" s="1774"/>
      <c r="AG63" s="1774"/>
      <c r="AH63" s="1774"/>
      <c r="AI63" s="1774"/>
      <c r="AJ63" s="1774"/>
      <c r="AK63" s="1774"/>
      <c r="AL63" s="1774"/>
      <c r="AM63" s="1774"/>
      <c r="AN63" s="1774"/>
      <c r="AO63" s="1774"/>
      <c r="AP63" s="1774"/>
      <c r="AQ63" s="896" t="s">
        <v>4</v>
      </c>
      <c r="AR63" s="896"/>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51"/>
      <c r="BQ63" s="51"/>
      <c r="BR63" s="51"/>
      <c r="BS63" s="51"/>
      <c r="BT63" s="51"/>
      <c r="BU63" s="713"/>
      <c r="BV63" s="726"/>
      <c r="BW63" s="1922"/>
      <c r="BX63" s="1922"/>
      <c r="BY63" s="1922"/>
      <c r="BZ63" s="1922"/>
      <c r="CA63" s="1922"/>
      <c r="CB63" s="1922"/>
      <c r="CC63" s="1922"/>
      <c r="CD63" s="1922"/>
      <c r="CE63" s="1922"/>
      <c r="CF63" s="1922"/>
      <c r="CG63" s="1922"/>
      <c r="CH63" s="1922"/>
      <c r="CI63" s="1922"/>
      <c r="CJ63" s="1922"/>
      <c r="CK63" s="1922"/>
      <c r="CL63" s="1922"/>
      <c r="CM63" s="1922"/>
      <c r="CN63" s="1922"/>
      <c r="CO63" s="1922"/>
      <c r="CP63" s="1922"/>
      <c r="CQ63" s="1922"/>
      <c r="CR63" s="1922"/>
      <c r="CS63" s="1922"/>
      <c r="CT63" s="713"/>
      <c r="CU63" s="1073"/>
      <c r="CV63" s="36"/>
      <c r="CW63" s="36"/>
      <c r="CX63" s="36"/>
      <c r="CY63" s="36"/>
      <c r="CZ63" s="36"/>
      <c r="DA63" s="36"/>
      <c r="DB63" s="36"/>
      <c r="DC63" s="35"/>
      <c r="DD63" s="36"/>
      <c r="DE63" s="36"/>
      <c r="DF63" s="36"/>
      <c r="DG63" s="36"/>
      <c r="DH63" s="36"/>
      <c r="DI63" s="36"/>
      <c r="DJ63" s="36"/>
      <c r="DK63" s="1068"/>
      <c r="DL63" s="1076"/>
      <c r="DM63" s="36"/>
      <c r="DN63" s="36"/>
      <c r="DO63" s="36"/>
      <c r="DP63" s="36"/>
      <c r="DQ63" s="36"/>
      <c r="DS63" s="378" t="str">
        <f>IF($AB$63="","",$AB$63)</f>
        <v/>
      </c>
      <c r="DT63" s="167"/>
      <c r="DU63" s="167"/>
      <c r="EG63" s="172"/>
      <c r="EH63" s="172"/>
      <c r="EI63" s="172"/>
      <c r="EJ63" s="172"/>
      <c r="EK63" s="172"/>
      <c r="FO63" s="1076"/>
      <c r="FV63" s="172"/>
      <c r="FW63" s="172"/>
      <c r="FX63" s="172"/>
      <c r="FY63" s="172"/>
      <c r="FZ63" s="172"/>
      <c r="GA63" s="36"/>
    </row>
    <row r="64" spans="1:183" s="178" customFormat="1" ht="27" customHeight="1">
      <c r="A64" s="645"/>
      <c r="B64" s="645"/>
      <c r="C64" s="645"/>
      <c r="D64" s="645"/>
      <c r="E64" s="646"/>
      <c r="F64" s="381"/>
      <c r="G64" s="381"/>
      <c r="H64" s="381"/>
      <c r="I64" s="906"/>
      <c r="J64" s="80"/>
      <c r="K64" s="51"/>
      <c r="L64" s="51"/>
      <c r="M64" s="2270"/>
      <c r="N64" s="2270"/>
      <c r="O64" s="2270"/>
      <c r="P64" s="2270"/>
      <c r="Q64" s="2270"/>
      <c r="R64" s="2270"/>
      <c r="S64" s="1839" t="s">
        <v>1166</v>
      </c>
      <c r="T64" s="1839"/>
      <c r="U64" s="1839"/>
      <c r="V64" s="1839"/>
      <c r="W64" s="1839"/>
      <c r="X64" s="1839"/>
      <c r="Y64" s="1839"/>
      <c r="Z64" s="1840" t="s">
        <v>927</v>
      </c>
      <c r="AA64" s="1840"/>
      <c r="AB64" s="2277"/>
      <c r="AC64" s="2258"/>
      <c r="AD64" s="2258"/>
      <c r="AE64" s="2258"/>
      <c r="AF64" s="2258"/>
      <c r="AG64" s="2258"/>
      <c r="AH64" s="2258"/>
      <c r="AI64" s="2258"/>
      <c r="AJ64" s="2258"/>
      <c r="AK64" s="2258"/>
      <c r="AL64" s="2258"/>
      <c r="AM64" s="2258"/>
      <c r="AN64" s="2258"/>
      <c r="AO64" s="2258"/>
      <c r="AP64" s="2258"/>
      <c r="AQ64" s="911" t="s">
        <v>4</v>
      </c>
      <c r="AR64" s="911"/>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713"/>
      <c r="BV64" s="713"/>
      <c r="BW64" s="1922"/>
      <c r="BX64" s="1922"/>
      <c r="BY64" s="1922"/>
      <c r="BZ64" s="1922"/>
      <c r="CA64" s="1922"/>
      <c r="CB64" s="1922"/>
      <c r="CC64" s="1922"/>
      <c r="CD64" s="1922"/>
      <c r="CE64" s="1922"/>
      <c r="CF64" s="1922"/>
      <c r="CG64" s="1922"/>
      <c r="CH64" s="1922"/>
      <c r="CI64" s="1922"/>
      <c r="CJ64" s="1922"/>
      <c r="CK64" s="1922"/>
      <c r="CL64" s="1922"/>
      <c r="CM64" s="1922"/>
      <c r="CN64" s="1922"/>
      <c r="CO64" s="1922"/>
      <c r="CP64" s="1922"/>
      <c r="CQ64" s="1922"/>
      <c r="CR64" s="1922"/>
      <c r="CS64" s="1922"/>
      <c r="CT64" s="713"/>
      <c r="CU64" s="1073"/>
      <c r="CV64" s="36"/>
      <c r="CW64" s="36"/>
      <c r="CX64" s="36"/>
      <c r="CY64" s="36"/>
      <c r="CZ64" s="36"/>
      <c r="DA64" s="36"/>
      <c r="DB64" s="36"/>
      <c r="DC64" s="35"/>
      <c r="DD64" s="36"/>
      <c r="DE64" s="36"/>
      <c r="DF64" s="36"/>
      <c r="DG64" s="36"/>
      <c r="DH64" s="36"/>
      <c r="DI64" s="36"/>
      <c r="DJ64" s="36"/>
      <c r="DK64" s="1068"/>
      <c r="DL64" s="1076"/>
      <c r="DM64" s="25"/>
      <c r="DN64" s="36"/>
      <c r="DO64" s="36"/>
      <c r="DP64" s="36"/>
      <c r="DQ64" s="36"/>
      <c r="DS64" s="429" t="str">
        <f>IF($AB$64="","",$AB$64)</f>
        <v/>
      </c>
      <c r="DT64" s="423"/>
      <c r="DU64" s="422"/>
      <c r="EG64" s="172"/>
      <c r="EH64" s="172"/>
      <c r="EI64" s="172"/>
      <c r="EJ64" s="172"/>
      <c r="EK64" s="172"/>
      <c r="FO64" s="1076"/>
      <c r="FV64" s="172"/>
      <c r="FW64" s="172"/>
      <c r="FX64" s="172"/>
      <c r="FY64" s="172"/>
      <c r="FZ64" s="172"/>
      <c r="GA64" s="36"/>
    </row>
    <row r="65" spans="1:183" s="172" customFormat="1" ht="27" customHeight="1">
      <c r="A65" s="645"/>
      <c r="B65" s="645"/>
      <c r="C65" s="645"/>
      <c r="D65" s="645"/>
      <c r="E65" s="646"/>
      <c r="F65" s="381"/>
      <c r="G65" s="381"/>
      <c r="H65" s="381"/>
      <c r="I65" s="251"/>
      <c r="J65" s="39"/>
      <c r="K65" s="896"/>
      <c r="L65" s="896"/>
      <c r="M65" s="1834" t="s">
        <v>340</v>
      </c>
      <c r="N65" s="1835"/>
      <c r="O65" s="1835"/>
      <c r="P65" s="1835"/>
      <c r="Q65" s="1835"/>
      <c r="R65" s="1835"/>
      <c r="S65" s="1827" t="s">
        <v>699</v>
      </c>
      <c r="T65" s="1843"/>
      <c r="U65" s="1843"/>
      <c r="V65" s="1843"/>
      <c r="W65" s="1843"/>
      <c r="X65" s="1843"/>
      <c r="Y65" s="1843"/>
      <c r="Z65" s="1843"/>
      <c r="AA65" s="1843"/>
      <c r="AB65" s="1786"/>
      <c r="AC65" s="1783"/>
      <c r="AD65" s="1783"/>
      <c r="AE65" s="1783"/>
      <c r="AF65" s="1783"/>
      <c r="AG65" s="1783"/>
      <c r="AH65" s="1783"/>
      <c r="AI65" s="1783"/>
      <c r="AJ65" s="1783"/>
      <c r="AK65" s="1783"/>
      <c r="AL65" s="1783"/>
      <c r="AM65" s="1783"/>
      <c r="AN65" s="1783"/>
      <c r="AO65" s="1783"/>
      <c r="AP65" s="1783"/>
      <c r="AQ65" s="1783"/>
      <c r="AR65" s="1783"/>
      <c r="AS65" s="1783"/>
      <c r="AT65" s="1783"/>
      <c r="AU65" s="1783"/>
      <c r="AV65" s="1783"/>
      <c r="AW65" s="1783"/>
      <c r="AX65" s="1783"/>
      <c r="AY65" s="1783"/>
      <c r="AZ65" s="1783"/>
      <c r="BA65" s="1783"/>
      <c r="BB65" s="1783"/>
      <c r="BC65" s="1783"/>
      <c r="BD65" s="1783"/>
      <c r="BE65" s="1783"/>
      <c r="BF65" s="1783"/>
      <c r="BG65" s="1783"/>
      <c r="BH65" s="1783"/>
      <c r="BI65" s="1783"/>
      <c r="BJ65" s="1783"/>
      <c r="BK65" s="1783"/>
      <c r="BL65" s="1783"/>
      <c r="BM65" s="1783"/>
      <c r="BN65" s="1783"/>
      <c r="BO65" s="1783"/>
      <c r="BP65" s="1783"/>
      <c r="BQ65" s="1783"/>
      <c r="BR65" s="1783"/>
      <c r="BS65" s="1783"/>
      <c r="BT65" s="1783"/>
      <c r="BU65" s="1052"/>
      <c r="BV65" s="1052"/>
      <c r="BW65" s="1052"/>
      <c r="BX65" s="1052"/>
      <c r="BY65" s="1052"/>
      <c r="BZ65" s="1052"/>
      <c r="CA65" s="1052"/>
      <c r="CB65" s="1052"/>
      <c r="CC65" s="1052"/>
      <c r="CD65" s="1052"/>
      <c r="CE65" s="1052"/>
      <c r="CF65" s="1052"/>
      <c r="CG65" s="1052"/>
      <c r="CH65" s="1052"/>
      <c r="CI65" s="1052"/>
      <c r="CJ65" s="1052"/>
      <c r="CK65" s="1052"/>
      <c r="CL65" s="1052"/>
      <c r="CM65" s="1052"/>
      <c r="CN65" s="1052"/>
      <c r="CO65" s="1052"/>
      <c r="CP65" s="1052"/>
      <c r="CQ65" s="1052"/>
      <c r="CR65" s="1052"/>
      <c r="CS65" s="1052"/>
      <c r="CT65" s="1052"/>
      <c r="CU65" s="1077"/>
      <c r="CV65" s="398"/>
      <c r="CW65" s="398"/>
      <c r="CX65" s="398"/>
      <c r="CY65" s="398"/>
      <c r="CZ65" s="398"/>
      <c r="DA65" s="398"/>
      <c r="DB65" s="398"/>
      <c r="DC65" s="35"/>
      <c r="DD65" s="36"/>
      <c r="DE65" s="36"/>
      <c r="DF65" s="36"/>
      <c r="DG65" s="36"/>
      <c r="DH65" s="36"/>
      <c r="DI65" s="36"/>
      <c r="DJ65" s="36"/>
      <c r="DK65" s="1068"/>
      <c r="DL65" s="1046"/>
      <c r="DM65" s="171"/>
      <c r="DN65" s="171"/>
      <c r="DO65" s="171"/>
      <c r="DP65" s="171"/>
      <c r="DQ65" s="171"/>
      <c r="DS65" s="273" t="str">
        <f>IF($AB$65="","",$AB$65)</f>
        <v/>
      </c>
      <c r="EG65" s="425"/>
      <c r="EH65" s="425"/>
      <c r="EI65" s="425"/>
      <c r="EJ65" s="425"/>
      <c r="EK65" s="425"/>
      <c r="FO65" s="1046"/>
      <c r="FV65" s="425"/>
      <c r="FW65" s="425"/>
      <c r="FX65" s="425"/>
      <c r="FY65" s="425"/>
      <c r="FZ65" s="425"/>
      <c r="GA65" s="171"/>
    </row>
    <row r="66" spans="1:183" s="172" customFormat="1" ht="27" customHeight="1">
      <c r="A66" s="645"/>
      <c r="B66" s="645"/>
      <c r="C66" s="645"/>
      <c r="D66" s="645"/>
      <c r="E66" s="646"/>
      <c r="F66" s="381"/>
      <c r="G66" s="381"/>
      <c r="H66" s="381"/>
      <c r="I66" s="251"/>
      <c r="J66" s="39"/>
      <c r="K66" s="896"/>
      <c r="L66" s="896"/>
      <c r="M66" s="1837"/>
      <c r="N66" s="1837"/>
      <c r="O66" s="1837"/>
      <c r="P66" s="1837"/>
      <c r="Q66" s="1837"/>
      <c r="R66" s="1837"/>
      <c r="S66" s="1939" t="s">
        <v>340</v>
      </c>
      <c r="T66" s="1940"/>
      <c r="U66" s="1940"/>
      <c r="V66" s="1940"/>
      <c r="W66" s="1940"/>
      <c r="X66" s="1940"/>
      <c r="Y66" s="1940"/>
      <c r="Z66" s="1940"/>
      <c r="AA66" s="1940"/>
      <c r="AB66" s="1797"/>
      <c r="AC66" s="1769"/>
      <c r="AD66" s="1769"/>
      <c r="AE66" s="1769"/>
      <c r="AF66" s="1769"/>
      <c r="AG66" s="1769"/>
      <c r="AH66" s="1769"/>
      <c r="AI66" s="1769"/>
      <c r="AJ66" s="1769"/>
      <c r="AK66" s="1769"/>
      <c r="AL66" s="1769"/>
      <c r="AM66" s="1769"/>
      <c r="AN66" s="1769"/>
      <c r="AO66" s="1769"/>
      <c r="AP66" s="1769"/>
      <c r="AQ66" s="1769"/>
      <c r="AR66" s="1769"/>
      <c r="AS66" s="1769"/>
      <c r="AT66" s="1769"/>
      <c r="AU66" s="1769"/>
      <c r="AV66" s="1769"/>
      <c r="AW66" s="1769"/>
      <c r="AX66" s="1769"/>
      <c r="AY66" s="1769"/>
      <c r="AZ66" s="1769"/>
      <c r="BA66" s="1769"/>
      <c r="BB66" s="1769"/>
      <c r="BC66" s="1769"/>
      <c r="BD66" s="1769"/>
      <c r="BE66" s="1769"/>
      <c r="BF66" s="1769"/>
      <c r="BG66" s="1769"/>
      <c r="BH66" s="1769"/>
      <c r="BI66" s="1769"/>
      <c r="BJ66" s="1769"/>
      <c r="BK66" s="1769"/>
      <c r="BL66" s="1769"/>
      <c r="BM66" s="1769"/>
      <c r="BN66" s="1769"/>
      <c r="BO66" s="1769"/>
      <c r="BP66" s="1769"/>
      <c r="BQ66" s="1769"/>
      <c r="BR66" s="1769"/>
      <c r="BS66" s="1769"/>
      <c r="BT66" s="1769"/>
      <c r="BU66" s="1052"/>
      <c r="BV66" s="1052"/>
      <c r="BW66" s="1052"/>
      <c r="BX66" s="1052"/>
      <c r="BY66" s="1052"/>
      <c r="BZ66" s="1052"/>
      <c r="CA66" s="1052"/>
      <c r="CB66" s="1052"/>
      <c r="CC66" s="1052"/>
      <c r="CD66" s="1052"/>
      <c r="CE66" s="1052"/>
      <c r="CF66" s="1052"/>
      <c r="CG66" s="1052"/>
      <c r="CH66" s="1052"/>
      <c r="CI66" s="1052"/>
      <c r="CJ66" s="1052"/>
      <c r="CK66" s="1052"/>
      <c r="CL66" s="1052"/>
      <c r="CM66" s="1052"/>
      <c r="CN66" s="1052"/>
      <c r="CO66" s="1052"/>
      <c r="CP66" s="1052"/>
      <c r="CQ66" s="1052"/>
      <c r="CR66" s="1052"/>
      <c r="CS66" s="1052"/>
      <c r="CT66" s="1052"/>
      <c r="CU66" s="1077"/>
      <c r="CV66" s="1074"/>
      <c r="CW66" s="1074"/>
      <c r="CX66" s="1074"/>
      <c r="CY66" s="1074"/>
      <c r="CZ66" s="1074"/>
      <c r="DA66" s="1074"/>
      <c r="DB66" s="1074"/>
      <c r="DC66" s="369"/>
      <c r="DD66" s="1074"/>
      <c r="DE66" s="1074"/>
      <c r="DF66" s="1075"/>
      <c r="DG66" s="1075"/>
      <c r="DH66" s="1075"/>
      <c r="DI66" s="1075"/>
      <c r="DJ66" s="1075"/>
      <c r="DK66" s="1068"/>
      <c r="DL66" s="1046"/>
      <c r="DM66" s="171"/>
      <c r="DN66" s="171"/>
      <c r="DO66" s="171"/>
      <c r="DP66" s="171"/>
      <c r="DQ66" s="171"/>
      <c r="DS66" s="273" t="str">
        <f>IF($AB$66="","",$AB$66)</f>
        <v/>
      </c>
      <c r="EG66" s="425"/>
      <c r="EH66" s="425"/>
      <c r="EI66" s="425"/>
      <c r="EJ66" s="425"/>
      <c r="EK66" s="425"/>
      <c r="FO66" s="1046"/>
      <c r="FV66" s="425"/>
      <c r="FW66" s="425"/>
      <c r="FX66" s="425"/>
      <c r="FY66" s="425"/>
      <c r="FZ66" s="425"/>
      <c r="GA66" s="171"/>
    </row>
    <row r="67" spans="1:183" s="172" customFormat="1" ht="27" customHeight="1" thickBot="1">
      <c r="A67" s="645"/>
      <c r="B67" s="645"/>
      <c r="C67" s="645"/>
      <c r="D67" s="645"/>
      <c r="E67" s="646"/>
      <c r="F67" s="381"/>
      <c r="G67" s="381"/>
      <c r="H67" s="381"/>
      <c r="I67" s="251"/>
      <c r="J67" s="39"/>
      <c r="K67" s="896"/>
      <c r="L67" s="896"/>
      <c r="M67" s="1834" t="s">
        <v>244</v>
      </c>
      <c r="N67" s="1835"/>
      <c r="O67" s="1835"/>
      <c r="P67" s="1835"/>
      <c r="Q67" s="1835"/>
      <c r="R67" s="1835"/>
      <c r="S67" s="1827" t="s">
        <v>702</v>
      </c>
      <c r="T67" s="1828"/>
      <c r="U67" s="1828"/>
      <c r="V67" s="1828"/>
      <c r="W67" s="1828"/>
      <c r="X67" s="1828"/>
      <c r="Y67" s="1828"/>
      <c r="Z67" s="1828"/>
      <c r="AA67" s="1828"/>
      <c r="AB67" s="1783"/>
      <c r="AC67" s="1783"/>
      <c r="AD67" s="1783"/>
      <c r="AE67" s="1783"/>
      <c r="AF67" s="1783"/>
      <c r="AG67" s="1783"/>
      <c r="AH67" s="1783"/>
      <c r="AI67" s="1783"/>
      <c r="AJ67" s="1783"/>
      <c r="AK67" s="1783"/>
      <c r="AL67" s="1783"/>
      <c r="AM67" s="1783"/>
      <c r="AN67" s="1783"/>
      <c r="AO67" s="1783"/>
      <c r="AP67" s="1783"/>
      <c r="AQ67" s="1783"/>
      <c r="AR67" s="1783"/>
      <c r="AS67" s="1783"/>
      <c r="AT67" s="1783"/>
      <c r="AU67" s="1783"/>
      <c r="AV67" s="1783"/>
      <c r="AW67" s="1783"/>
      <c r="AX67" s="1783"/>
      <c r="AY67" s="1783"/>
      <c r="AZ67" s="1783"/>
      <c r="BA67" s="1783"/>
      <c r="BB67" s="1783"/>
      <c r="BC67" s="1783"/>
      <c r="BD67" s="1783"/>
      <c r="BE67" s="1783"/>
      <c r="BF67" s="1783"/>
      <c r="BG67" s="1783"/>
      <c r="BH67" s="1783"/>
      <c r="BI67" s="1783"/>
      <c r="BJ67" s="1783"/>
      <c r="BK67" s="1783"/>
      <c r="BL67" s="1783"/>
      <c r="BM67" s="1783"/>
      <c r="BN67" s="1783"/>
      <c r="BO67" s="1783"/>
      <c r="BP67" s="1783"/>
      <c r="BQ67" s="1783"/>
      <c r="BR67" s="1783"/>
      <c r="BS67" s="1783"/>
      <c r="BT67" s="1783"/>
      <c r="BU67" s="1052"/>
      <c r="BV67" s="1052"/>
      <c r="BW67" s="1052"/>
      <c r="BX67" s="1052"/>
      <c r="BY67" s="1052"/>
      <c r="BZ67" s="1052"/>
      <c r="CA67" s="1052"/>
      <c r="CB67" s="1052"/>
      <c r="CC67" s="1052"/>
      <c r="CD67" s="1052"/>
      <c r="CE67" s="1052"/>
      <c r="CF67" s="1052"/>
      <c r="CG67" s="1052"/>
      <c r="CH67" s="1052"/>
      <c r="CI67" s="1052"/>
      <c r="CJ67" s="1052"/>
      <c r="CK67" s="1052"/>
      <c r="CL67" s="1052"/>
      <c r="CM67" s="1052"/>
      <c r="CN67" s="1052"/>
      <c r="CO67" s="1052"/>
      <c r="CP67" s="1052"/>
      <c r="CQ67" s="1052"/>
      <c r="CR67" s="1052"/>
      <c r="CS67" s="1052"/>
      <c r="CT67" s="1052"/>
      <c r="CU67" s="1077"/>
      <c r="CV67" s="138"/>
      <c r="CW67" s="138"/>
      <c r="CX67" s="138"/>
      <c r="CY67" s="138"/>
      <c r="CZ67" s="138"/>
      <c r="DA67" s="138"/>
      <c r="DB67" s="398"/>
      <c r="DC67" s="35"/>
      <c r="DD67" s="36"/>
      <c r="DE67" s="36"/>
      <c r="DF67" s="178"/>
      <c r="DG67" s="178"/>
      <c r="DH67" s="178"/>
      <c r="DI67" s="178"/>
      <c r="DJ67" s="178"/>
      <c r="DK67" s="1068"/>
      <c r="DL67" s="1046"/>
      <c r="DM67" s="171"/>
      <c r="DN67" s="171"/>
      <c r="DO67" s="171"/>
      <c r="DP67" s="171"/>
      <c r="DQ67" s="171"/>
      <c r="DS67" s="273" t="str">
        <f>IF($AB$67="","",$AB$67)</f>
        <v/>
      </c>
      <c r="EG67" s="425"/>
      <c r="EH67" s="425"/>
      <c r="EI67" s="425"/>
      <c r="EJ67" s="425"/>
      <c r="EK67" s="425"/>
      <c r="FO67" s="1046"/>
      <c r="FV67" s="425"/>
      <c r="FW67" s="425"/>
      <c r="FX67" s="425"/>
      <c r="FY67" s="425"/>
      <c r="FZ67" s="425"/>
      <c r="GA67" s="171"/>
    </row>
    <row r="68" spans="1:183" s="172" customFormat="1" ht="27" customHeight="1" thickBot="1">
      <c r="A68" s="645"/>
      <c r="B68" s="645"/>
      <c r="C68" s="645"/>
      <c r="D68" s="645"/>
      <c r="E68" s="646"/>
      <c r="F68" s="381"/>
      <c r="G68" s="381"/>
      <c r="H68" s="381"/>
      <c r="I68" s="251"/>
      <c r="J68" s="39"/>
      <c r="K68" s="896"/>
      <c r="L68" s="896"/>
      <c r="M68" s="1836"/>
      <c r="N68" s="1836"/>
      <c r="O68" s="1836"/>
      <c r="P68" s="1836"/>
      <c r="Q68" s="1836"/>
      <c r="R68" s="1836"/>
      <c r="S68" s="1800" t="s">
        <v>700</v>
      </c>
      <c r="T68" s="1800"/>
      <c r="U68" s="1800"/>
      <c r="V68" s="1800"/>
      <c r="W68" s="1800"/>
      <c r="X68" s="1800"/>
      <c r="Y68" s="1800"/>
      <c r="Z68" s="1938"/>
      <c r="AA68" s="1938"/>
      <c r="AB68" s="1772"/>
      <c r="AC68" s="1774"/>
      <c r="AD68" s="1774"/>
      <c r="AE68" s="1774"/>
      <c r="AF68" s="1774"/>
      <c r="AG68" s="1774"/>
      <c r="AH68" s="1774"/>
      <c r="AI68" s="1774"/>
      <c r="AJ68" s="1774"/>
      <c r="AK68" s="1774"/>
      <c r="AL68" s="1774"/>
      <c r="AM68" s="1774"/>
      <c r="AN68" s="1774"/>
      <c r="AO68" s="1774"/>
      <c r="AP68" s="1774"/>
      <c r="AQ68" s="895" t="s">
        <v>338</v>
      </c>
      <c r="AR68" s="895"/>
      <c r="AS68" s="895"/>
      <c r="AT68" s="895"/>
      <c r="AU68" s="895"/>
      <c r="AV68" s="895"/>
      <c r="AW68" s="895"/>
      <c r="AX68" s="895"/>
      <c r="AY68" s="1800"/>
      <c r="AZ68" s="2286"/>
      <c r="BA68" s="895"/>
      <c r="BB68" s="895"/>
      <c r="BC68" s="895"/>
      <c r="BD68" s="895"/>
      <c r="BE68" s="895"/>
      <c r="BF68" s="895"/>
      <c r="BG68" s="1800"/>
      <c r="BH68" s="1800"/>
      <c r="BI68" s="895"/>
      <c r="BJ68" s="895"/>
      <c r="BK68" s="895"/>
      <c r="BL68" s="895"/>
      <c r="BM68" s="895"/>
      <c r="BN68" s="895"/>
      <c r="BO68" s="895"/>
      <c r="BP68" s="895"/>
      <c r="BQ68" s="895"/>
      <c r="BR68" s="895"/>
      <c r="BS68" s="895"/>
      <c r="BT68" s="895"/>
      <c r="BU68" s="1052"/>
      <c r="BV68" s="731" t="s">
        <v>2782</v>
      </c>
      <c r="BW68" s="1764" t="s">
        <v>2785</v>
      </c>
      <c r="BX68" s="1764"/>
      <c r="BY68" s="1764"/>
      <c r="BZ68" s="1764"/>
      <c r="CA68" s="1764"/>
      <c r="CB68" s="1764"/>
      <c r="CC68" s="1764"/>
      <c r="CD68" s="1764"/>
      <c r="CE68" s="1764"/>
      <c r="CF68" s="1764"/>
      <c r="CG68" s="1764"/>
      <c r="CH68" s="1764"/>
      <c r="CI68" s="1764"/>
      <c r="CJ68" s="1764"/>
      <c r="CK68" s="1764"/>
      <c r="CL68" s="1764"/>
      <c r="CM68" s="1764"/>
      <c r="CN68" s="1764"/>
      <c r="CO68" s="1764"/>
      <c r="CP68" s="1764"/>
      <c r="CQ68" s="1764"/>
      <c r="CR68" s="1764"/>
      <c r="CS68" s="1764"/>
      <c r="CT68" s="891"/>
      <c r="CU68" s="918"/>
      <c r="CV68" s="138"/>
      <c r="CW68" s="138"/>
      <c r="CX68" s="138"/>
      <c r="CY68" s="138"/>
      <c r="CZ68" s="138"/>
      <c r="DA68" s="138"/>
      <c r="DB68" s="1074"/>
      <c r="DC68" s="369"/>
      <c r="DD68" s="1074"/>
      <c r="DE68" s="1074"/>
      <c r="DF68" s="1075"/>
      <c r="DG68" s="1075"/>
      <c r="DH68" s="1075"/>
      <c r="DI68" s="1075"/>
      <c r="DJ68" s="1075"/>
      <c r="DK68" s="1068"/>
      <c r="DL68" s="1046"/>
      <c r="DM68" s="177">
        <f>IF(OR(AB68="一級",AB68="二級"),1,0)</f>
        <v>0</v>
      </c>
      <c r="DN68" s="171"/>
      <c r="DO68" s="171"/>
      <c r="DP68" s="171"/>
      <c r="DS68" s="273" t="str">
        <f>IF($AB$68="","",$AB$68)</f>
        <v/>
      </c>
      <c r="EG68" s="425"/>
      <c r="EH68" s="425"/>
      <c r="EI68" s="425"/>
      <c r="EJ68" s="425"/>
      <c r="EK68" s="425"/>
      <c r="FO68" s="1046"/>
      <c r="FV68" s="425"/>
      <c r="FW68" s="425"/>
      <c r="FX68" s="425"/>
      <c r="FY68" s="425"/>
      <c r="FZ68" s="425"/>
      <c r="GA68" s="171"/>
    </row>
    <row r="69" spans="1:183" s="178" customFormat="1" ht="27" customHeight="1">
      <c r="A69" s="645"/>
      <c r="B69" s="645"/>
      <c r="C69" s="645"/>
      <c r="D69" s="645"/>
      <c r="E69" s="646"/>
      <c r="F69" s="381"/>
      <c r="G69" s="381"/>
      <c r="H69" s="381"/>
      <c r="I69" s="906"/>
      <c r="J69" s="80"/>
      <c r="K69" s="51"/>
      <c r="L69" s="51"/>
      <c r="M69" s="1836"/>
      <c r="N69" s="1836"/>
      <c r="O69" s="1836"/>
      <c r="P69" s="1836"/>
      <c r="Q69" s="1836"/>
      <c r="R69" s="1836"/>
      <c r="S69" s="1941"/>
      <c r="T69" s="1941"/>
      <c r="U69" s="1941"/>
      <c r="V69" s="1941"/>
      <c r="W69" s="1941"/>
      <c r="X69" s="1941"/>
      <c r="Y69" s="1941"/>
      <c r="Z69" s="1838"/>
      <c r="AA69" s="1838"/>
      <c r="AB69" s="1796"/>
      <c r="AC69" s="1774"/>
      <c r="AD69" s="1774"/>
      <c r="AE69" s="1774"/>
      <c r="AF69" s="1774"/>
      <c r="AG69" s="1774"/>
      <c r="AH69" s="1774"/>
      <c r="AI69" s="1774"/>
      <c r="AJ69" s="1774"/>
      <c r="AK69" s="1774"/>
      <c r="AL69" s="1774"/>
      <c r="AM69" s="1774"/>
      <c r="AN69" s="1774"/>
      <c r="AO69" s="1774"/>
      <c r="AP69" s="1774"/>
      <c r="AQ69" s="896" t="s">
        <v>686</v>
      </c>
      <c r="AR69" s="896"/>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1052"/>
      <c r="BV69" s="1052"/>
      <c r="BW69" s="1764"/>
      <c r="BX69" s="1764"/>
      <c r="BY69" s="1764"/>
      <c r="BZ69" s="1764"/>
      <c r="CA69" s="1764"/>
      <c r="CB69" s="1764"/>
      <c r="CC69" s="1764"/>
      <c r="CD69" s="1764"/>
      <c r="CE69" s="1764"/>
      <c r="CF69" s="1764"/>
      <c r="CG69" s="1764"/>
      <c r="CH69" s="1764"/>
      <c r="CI69" s="1764"/>
      <c r="CJ69" s="1764"/>
      <c r="CK69" s="1764"/>
      <c r="CL69" s="1764"/>
      <c r="CM69" s="1764"/>
      <c r="CN69" s="1764"/>
      <c r="CO69" s="1764"/>
      <c r="CP69" s="1764"/>
      <c r="CQ69" s="1764"/>
      <c r="CR69" s="1764"/>
      <c r="CS69" s="1764"/>
      <c r="CT69" s="891"/>
      <c r="CU69" s="918"/>
      <c r="CV69" s="138"/>
      <c r="CW69" s="138"/>
      <c r="CX69" s="138"/>
      <c r="CY69" s="138"/>
      <c r="CZ69" s="138"/>
      <c r="DA69" s="138"/>
      <c r="DB69" s="36"/>
      <c r="DC69" s="35"/>
      <c r="DD69" s="36"/>
      <c r="DE69" s="36"/>
      <c r="DF69" s="36"/>
      <c r="DG69" s="36"/>
      <c r="DH69" s="36"/>
      <c r="DI69" s="36"/>
      <c r="DJ69" s="36"/>
      <c r="DK69" s="1068"/>
      <c r="DL69" s="1076"/>
      <c r="DM69" s="36"/>
      <c r="DN69" s="36"/>
      <c r="DO69" s="36"/>
      <c r="DP69" s="36"/>
      <c r="DQ69" s="36"/>
      <c r="DS69" s="273" t="str">
        <f>IF($AB$69="","",$AB$69)</f>
        <v/>
      </c>
      <c r="EG69" s="425"/>
      <c r="EH69" s="425"/>
      <c r="EI69" s="425"/>
      <c r="EJ69" s="425"/>
      <c r="EK69" s="425"/>
      <c r="FO69" s="1076"/>
      <c r="FV69" s="425"/>
      <c r="FW69" s="425"/>
      <c r="FX69" s="425"/>
      <c r="FY69" s="425"/>
      <c r="FZ69" s="425"/>
      <c r="GA69" s="36"/>
    </row>
    <row r="70" spans="1:183" s="178" customFormat="1" ht="27" customHeight="1">
      <c r="A70" s="645"/>
      <c r="B70" s="645"/>
      <c r="C70" s="645"/>
      <c r="D70" s="645"/>
      <c r="E70" s="646"/>
      <c r="F70" s="381"/>
      <c r="G70" s="381"/>
      <c r="H70" s="381"/>
      <c r="I70" s="906"/>
      <c r="J70" s="80"/>
      <c r="K70" s="51"/>
      <c r="L70" s="51"/>
      <c r="M70" s="1836"/>
      <c r="N70" s="1836"/>
      <c r="O70" s="1836"/>
      <c r="P70" s="1836"/>
      <c r="Q70" s="1836"/>
      <c r="R70" s="1836"/>
      <c r="S70" s="1942"/>
      <c r="T70" s="1942"/>
      <c r="U70" s="1942"/>
      <c r="V70" s="1942"/>
      <c r="W70" s="1942"/>
      <c r="X70" s="1942"/>
      <c r="Y70" s="1942"/>
      <c r="Z70" s="1943" t="s">
        <v>927</v>
      </c>
      <c r="AA70" s="1943"/>
      <c r="AB70" s="2276"/>
      <c r="AC70" s="1774"/>
      <c r="AD70" s="1774"/>
      <c r="AE70" s="1774"/>
      <c r="AF70" s="1774"/>
      <c r="AG70" s="1774"/>
      <c r="AH70" s="1774"/>
      <c r="AI70" s="1774"/>
      <c r="AJ70" s="1774"/>
      <c r="AK70" s="1774"/>
      <c r="AL70" s="1774"/>
      <c r="AM70" s="1774"/>
      <c r="AN70" s="1774"/>
      <c r="AO70" s="1774"/>
      <c r="AP70" s="1774"/>
      <c r="AQ70" s="896" t="s">
        <v>4</v>
      </c>
      <c r="AR70" s="896"/>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1052"/>
      <c r="BV70" s="1052"/>
      <c r="BW70" s="1052"/>
      <c r="BX70" s="1052"/>
      <c r="BY70" s="1052"/>
      <c r="BZ70" s="1052"/>
      <c r="CA70" s="1052"/>
      <c r="CB70" s="1052"/>
      <c r="CC70" s="1052"/>
      <c r="CD70" s="1052"/>
      <c r="CE70" s="1052"/>
      <c r="CF70" s="1052"/>
      <c r="CG70" s="1052"/>
      <c r="CH70" s="1052"/>
      <c r="CI70" s="1052"/>
      <c r="CJ70" s="1052"/>
      <c r="CK70" s="1052"/>
      <c r="CL70" s="1052"/>
      <c r="CM70" s="1052"/>
      <c r="CN70" s="1052"/>
      <c r="CO70" s="1052"/>
      <c r="CP70" s="1052"/>
      <c r="CQ70" s="1052"/>
      <c r="CR70" s="1052"/>
      <c r="CS70" s="1052"/>
      <c r="CT70" s="1052"/>
      <c r="CU70" s="1077"/>
      <c r="CV70" s="138"/>
      <c r="CW70" s="138"/>
      <c r="CX70" s="138"/>
      <c r="CY70" s="138"/>
      <c r="CZ70" s="138"/>
      <c r="DA70" s="138"/>
      <c r="DB70" s="36"/>
      <c r="DC70" s="35"/>
      <c r="DD70" s="36"/>
      <c r="DE70" s="36"/>
      <c r="DF70" s="36"/>
      <c r="DG70" s="36"/>
      <c r="DH70" s="36"/>
      <c r="DI70" s="36"/>
      <c r="DJ70" s="36"/>
      <c r="DK70" s="1068"/>
      <c r="DL70" s="1076"/>
      <c r="DM70" s="408" t="s">
        <v>2438</v>
      </c>
      <c r="DN70" s="408"/>
      <c r="DO70" s="36"/>
      <c r="DP70" s="36"/>
      <c r="DQ70" s="36"/>
      <c r="DS70" s="273" t="str">
        <f>IF($AB$70="","",$AB$70)</f>
        <v/>
      </c>
      <c r="EG70" s="167"/>
      <c r="EH70" s="167"/>
      <c r="EI70" s="167"/>
      <c r="EJ70" s="167"/>
      <c r="EK70" s="167"/>
      <c r="FO70" s="1076"/>
      <c r="FV70" s="167"/>
      <c r="FW70" s="167"/>
      <c r="FX70" s="167"/>
      <c r="FY70" s="167"/>
      <c r="FZ70" s="167"/>
      <c r="GA70" s="36"/>
    </row>
    <row r="71" spans="1:183" s="172" customFormat="1" ht="27" customHeight="1">
      <c r="A71" s="645"/>
      <c r="B71" s="645"/>
      <c r="C71" s="645"/>
      <c r="D71" s="645"/>
      <c r="E71" s="646"/>
      <c r="F71" s="381"/>
      <c r="G71" s="381"/>
      <c r="H71" s="381"/>
      <c r="I71" s="251"/>
      <c r="J71" s="39"/>
      <c r="K71" s="896"/>
      <c r="L71" s="896"/>
      <c r="M71" s="1836"/>
      <c r="N71" s="1836"/>
      <c r="O71" s="1836"/>
      <c r="P71" s="1836"/>
      <c r="Q71" s="1836"/>
      <c r="R71" s="1836"/>
      <c r="S71" s="1825" t="s">
        <v>1379</v>
      </c>
      <c r="T71" s="1860"/>
      <c r="U71" s="1860"/>
      <c r="V71" s="1860"/>
      <c r="W71" s="1860"/>
      <c r="X71" s="1860"/>
      <c r="Y71" s="1860"/>
      <c r="Z71" s="1860"/>
      <c r="AA71" s="1860"/>
      <c r="AB71" s="1850"/>
      <c r="AC71" s="1850"/>
      <c r="AD71" s="1850"/>
      <c r="AE71" s="1850"/>
      <c r="AF71" s="1850"/>
      <c r="AG71" s="1850"/>
      <c r="AH71" s="1849" t="s">
        <v>1165</v>
      </c>
      <c r="AI71" s="1849"/>
      <c r="AJ71" s="1849"/>
      <c r="AK71" s="1850"/>
      <c r="AL71" s="1850"/>
      <c r="AM71" s="1850"/>
      <c r="AN71" s="1850"/>
      <c r="AO71" s="1850"/>
      <c r="AP71" s="1850"/>
      <c r="AQ71" s="1861"/>
      <c r="AR71" s="1861"/>
      <c r="AS71" s="1861"/>
      <c r="AT71" s="1861"/>
      <c r="AU71" s="1861"/>
      <c r="AV71" s="1861"/>
      <c r="AW71" s="1861"/>
      <c r="AX71" s="1861"/>
      <c r="AY71" s="1861"/>
      <c r="AZ71" s="1861"/>
      <c r="BA71" s="1861"/>
      <c r="BB71" s="1861"/>
      <c r="BC71" s="1861"/>
      <c r="BD71" s="1861"/>
      <c r="BE71" s="1861"/>
      <c r="BF71" s="1861"/>
      <c r="BG71" s="1861"/>
      <c r="BH71" s="1861"/>
      <c r="BI71" s="1861"/>
      <c r="BJ71" s="1861"/>
      <c r="BK71" s="1861"/>
      <c r="BL71" s="1861"/>
      <c r="BM71" s="1861"/>
      <c r="BN71" s="1861"/>
      <c r="BO71" s="1861"/>
      <c r="BP71" s="1861"/>
      <c r="BQ71" s="1861"/>
      <c r="BR71" s="1861"/>
      <c r="BS71" s="1861"/>
      <c r="BT71" s="1861"/>
      <c r="BU71" s="1052"/>
      <c r="BV71" s="1052"/>
      <c r="BW71" s="1052"/>
      <c r="BX71" s="1052"/>
      <c r="BY71" s="1052"/>
      <c r="BZ71" s="1052"/>
      <c r="CA71" s="1052"/>
      <c r="CB71" s="1052"/>
      <c r="CC71" s="1052"/>
      <c r="CD71" s="1052"/>
      <c r="CE71" s="1052"/>
      <c r="CF71" s="1052"/>
      <c r="CG71" s="1052"/>
      <c r="CH71" s="1052"/>
      <c r="CI71" s="1052"/>
      <c r="CJ71" s="1052"/>
      <c r="CK71" s="1052"/>
      <c r="CL71" s="1052"/>
      <c r="CM71" s="1052"/>
      <c r="CN71" s="1052"/>
      <c r="CO71" s="1052"/>
      <c r="CP71" s="1052"/>
      <c r="CQ71" s="1052"/>
      <c r="CR71" s="1052"/>
      <c r="CS71" s="1052"/>
      <c r="CT71" s="1052"/>
      <c r="CU71" s="1077"/>
      <c r="CV71" s="138"/>
      <c r="CW71" s="138"/>
      <c r="CX71" s="138"/>
      <c r="CY71" s="138"/>
      <c r="CZ71" s="138"/>
      <c r="DA71" s="138"/>
      <c r="DB71" s="398"/>
      <c r="DC71" s="35"/>
      <c r="DD71" s="36"/>
      <c r="DE71" s="36"/>
      <c r="DF71" s="178"/>
      <c r="DG71" s="178"/>
      <c r="DH71" s="178"/>
      <c r="DI71" s="178"/>
      <c r="DJ71" s="178"/>
      <c r="DK71" s="1068"/>
      <c r="DL71" s="1046"/>
      <c r="DM71" s="280" t="str">
        <f>CONCATENATE(AB71,"-",AK71)</f>
        <v>-</v>
      </c>
      <c r="DN71" s="280" t="str">
        <f>ASC(DM71)</f>
        <v>-</v>
      </c>
      <c r="DO71" s="171"/>
      <c r="DP71" s="171"/>
      <c r="DQ71" s="171"/>
      <c r="DS71" s="273" t="str">
        <f>IF($DN$71="","",$DN$71)</f>
        <v>-</v>
      </c>
      <c r="FO71" s="1046"/>
      <c r="GA71" s="171"/>
    </row>
    <row r="72" spans="1:183" s="172" customFormat="1" ht="27" customHeight="1">
      <c r="A72" s="645"/>
      <c r="B72" s="645"/>
      <c r="C72" s="645"/>
      <c r="D72" s="645"/>
      <c r="E72" s="646"/>
      <c r="F72" s="381"/>
      <c r="G72" s="381"/>
      <c r="H72" s="381"/>
      <c r="I72" s="251"/>
      <c r="J72" s="39"/>
      <c r="K72" s="896"/>
      <c r="L72" s="896"/>
      <c r="M72" s="1836"/>
      <c r="N72" s="1836"/>
      <c r="O72" s="1836"/>
      <c r="P72" s="1836"/>
      <c r="Q72" s="1836"/>
      <c r="R72" s="1836"/>
      <c r="S72" s="1846" t="s">
        <v>245</v>
      </c>
      <c r="T72" s="1848"/>
      <c r="U72" s="1848"/>
      <c r="V72" s="1848"/>
      <c r="W72" s="1848"/>
      <c r="X72" s="1848"/>
      <c r="Y72" s="1848"/>
      <c r="Z72" s="1848"/>
      <c r="AA72" s="1848"/>
      <c r="AB72" s="2295"/>
      <c r="AC72" s="2217"/>
      <c r="AD72" s="2217"/>
      <c r="AE72" s="2217"/>
      <c r="AF72" s="2217"/>
      <c r="AG72" s="2217"/>
      <c r="AH72" s="2217"/>
      <c r="AI72" s="2217"/>
      <c r="AJ72" s="2217"/>
      <c r="AK72" s="2217"/>
      <c r="AL72" s="2217"/>
      <c r="AM72" s="2217"/>
      <c r="AN72" s="2217"/>
      <c r="AO72" s="2217"/>
      <c r="AP72" s="2217"/>
      <c r="AQ72" s="2217"/>
      <c r="AR72" s="2217"/>
      <c r="AS72" s="2217"/>
      <c r="AT72" s="2217"/>
      <c r="AU72" s="2217"/>
      <c r="AV72" s="2217"/>
      <c r="AW72" s="2217"/>
      <c r="AX72" s="2217"/>
      <c r="AY72" s="2217"/>
      <c r="AZ72" s="2217"/>
      <c r="BA72" s="2217"/>
      <c r="BB72" s="2217"/>
      <c r="BC72" s="2217"/>
      <c r="BD72" s="2217"/>
      <c r="BE72" s="2217"/>
      <c r="BF72" s="2217"/>
      <c r="BG72" s="2217"/>
      <c r="BH72" s="2217"/>
      <c r="BI72" s="2217"/>
      <c r="BJ72" s="2217"/>
      <c r="BK72" s="2217"/>
      <c r="BL72" s="2217"/>
      <c r="BM72" s="2217"/>
      <c r="BN72" s="2217"/>
      <c r="BO72" s="2217"/>
      <c r="BP72" s="2217"/>
      <c r="BQ72" s="2217"/>
      <c r="BR72" s="2217"/>
      <c r="BS72" s="2217"/>
      <c r="BT72" s="2217"/>
      <c r="BU72" s="1052"/>
      <c r="BV72" s="731" t="s">
        <v>2782</v>
      </c>
      <c r="BW72" s="1764" t="s">
        <v>2786</v>
      </c>
      <c r="BX72" s="1764"/>
      <c r="BY72" s="1764"/>
      <c r="BZ72" s="1764"/>
      <c r="CA72" s="1764"/>
      <c r="CB72" s="1764"/>
      <c r="CC72" s="1764"/>
      <c r="CD72" s="1764"/>
      <c r="CE72" s="1764"/>
      <c r="CF72" s="1764"/>
      <c r="CG72" s="1764"/>
      <c r="CH72" s="1764"/>
      <c r="CI72" s="1764"/>
      <c r="CJ72" s="1764"/>
      <c r="CK72" s="1764"/>
      <c r="CL72" s="1764"/>
      <c r="CM72" s="1764"/>
      <c r="CN72" s="1764"/>
      <c r="CO72" s="1764"/>
      <c r="CP72" s="1764"/>
      <c r="CQ72" s="1764"/>
      <c r="CR72" s="1764"/>
      <c r="CS72" s="1764"/>
      <c r="CT72" s="891"/>
      <c r="CU72" s="918"/>
      <c r="CV72" s="138"/>
      <c r="CW72" s="138"/>
      <c r="CX72" s="138"/>
      <c r="CY72" s="138"/>
      <c r="CZ72" s="138"/>
      <c r="DA72" s="138"/>
      <c r="DB72" s="1074"/>
      <c r="DC72" s="369"/>
      <c r="DD72" s="1074"/>
      <c r="DE72" s="1074"/>
      <c r="DF72" s="1075"/>
      <c r="DG72" s="1075"/>
      <c r="DH72" s="1075"/>
      <c r="DI72" s="1075"/>
      <c r="DJ72" s="1075"/>
      <c r="DK72" s="1068"/>
      <c r="DL72" s="1046"/>
      <c r="DM72" s="281" t="s">
        <v>2439</v>
      </c>
      <c r="DN72" s="281"/>
      <c r="DO72" s="171"/>
      <c r="DP72" s="171"/>
      <c r="DQ72" s="171"/>
      <c r="DS72" s="273" t="str">
        <f>IF($AB$72="","",$AB$72)</f>
        <v/>
      </c>
      <c r="FO72" s="1046"/>
      <c r="GA72" s="171"/>
    </row>
    <row r="73" spans="1:183" s="172" customFormat="1" ht="27" customHeight="1" thickBot="1">
      <c r="A73" s="645"/>
      <c r="B73" s="645"/>
      <c r="C73" s="645"/>
      <c r="D73" s="645"/>
      <c r="E73" s="646"/>
      <c r="F73" s="381"/>
      <c r="G73" s="381"/>
      <c r="H73" s="381"/>
      <c r="I73" s="251"/>
      <c r="J73" s="40"/>
      <c r="K73" s="912"/>
      <c r="L73" s="912"/>
      <c r="M73" s="2285"/>
      <c r="N73" s="2285"/>
      <c r="O73" s="2285"/>
      <c r="P73" s="2285"/>
      <c r="Q73" s="2285"/>
      <c r="R73" s="2285"/>
      <c r="S73" s="1829" t="s">
        <v>1380</v>
      </c>
      <c r="T73" s="2300"/>
      <c r="U73" s="2300"/>
      <c r="V73" s="2300"/>
      <c r="W73" s="2300"/>
      <c r="X73" s="2300"/>
      <c r="Y73" s="2300"/>
      <c r="Z73" s="2300"/>
      <c r="AA73" s="2300"/>
      <c r="AB73" s="1799"/>
      <c r="AC73" s="1799"/>
      <c r="AD73" s="1799"/>
      <c r="AE73" s="1799"/>
      <c r="AF73" s="1799"/>
      <c r="AG73" s="1799"/>
      <c r="AH73" s="1841" t="s">
        <v>1165</v>
      </c>
      <c r="AI73" s="1841"/>
      <c r="AJ73" s="1841"/>
      <c r="AK73" s="1799"/>
      <c r="AL73" s="1799"/>
      <c r="AM73" s="1799"/>
      <c r="AN73" s="1799"/>
      <c r="AO73" s="1799"/>
      <c r="AP73" s="1799"/>
      <c r="AQ73" s="1841" t="s">
        <v>1165</v>
      </c>
      <c r="AR73" s="1841"/>
      <c r="AS73" s="1841"/>
      <c r="AT73" s="1799"/>
      <c r="AU73" s="1799"/>
      <c r="AV73" s="1799"/>
      <c r="AW73" s="1799"/>
      <c r="AX73" s="1799"/>
      <c r="AY73" s="1799"/>
      <c r="AZ73" s="2234"/>
      <c r="BA73" s="2234"/>
      <c r="BB73" s="2234"/>
      <c r="BC73" s="2234"/>
      <c r="BD73" s="2234"/>
      <c r="BE73" s="2234"/>
      <c r="BF73" s="2234"/>
      <c r="BG73" s="2234"/>
      <c r="BH73" s="2234"/>
      <c r="BI73" s="2234"/>
      <c r="BJ73" s="2234"/>
      <c r="BK73" s="2234"/>
      <c r="BL73" s="2234"/>
      <c r="BM73" s="2234"/>
      <c r="BN73" s="2234"/>
      <c r="BO73" s="2234"/>
      <c r="BP73" s="2234"/>
      <c r="BQ73" s="2234"/>
      <c r="BR73" s="2234"/>
      <c r="BS73" s="2234"/>
      <c r="BT73" s="2234"/>
      <c r="BU73" s="1067"/>
      <c r="BV73" s="723"/>
      <c r="BW73" s="1765"/>
      <c r="BX73" s="1765"/>
      <c r="BY73" s="1765"/>
      <c r="BZ73" s="1765"/>
      <c r="CA73" s="1765"/>
      <c r="CB73" s="1765"/>
      <c r="CC73" s="1765"/>
      <c r="CD73" s="1765"/>
      <c r="CE73" s="1765"/>
      <c r="CF73" s="1765"/>
      <c r="CG73" s="1765"/>
      <c r="CH73" s="1765"/>
      <c r="CI73" s="1765"/>
      <c r="CJ73" s="1765"/>
      <c r="CK73" s="1765"/>
      <c r="CL73" s="1765"/>
      <c r="CM73" s="1765"/>
      <c r="CN73" s="1765"/>
      <c r="CO73" s="1765"/>
      <c r="CP73" s="1765"/>
      <c r="CQ73" s="1765"/>
      <c r="CR73" s="1765"/>
      <c r="CS73" s="1765"/>
      <c r="CT73" s="925"/>
      <c r="CU73" s="926"/>
      <c r="CV73" s="138"/>
      <c r="CW73" s="138"/>
      <c r="CX73" s="138"/>
      <c r="CY73" s="138"/>
      <c r="CZ73" s="138"/>
      <c r="DA73" s="138"/>
      <c r="DB73" s="398"/>
      <c r="DC73" s="35"/>
      <c r="DD73" s="36"/>
      <c r="DE73" s="36"/>
      <c r="DF73" s="36"/>
      <c r="DG73" s="36"/>
      <c r="DH73" s="36"/>
      <c r="DI73" s="36"/>
      <c r="DJ73" s="36"/>
      <c r="DK73" s="1068"/>
      <c r="DL73" s="1046"/>
      <c r="DM73" s="280" t="str">
        <f>CONCATENATE(AB73,"-",AK73,"-",AT73)</f>
        <v>--</v>
      </c>
      <c r="DN73" s="280" t="str">
        <f>ASC(DM73)</f>
        <v>--</v>
      </c>
      <c r="DO73" s="171"/>
      <c r="DP73" s="171"/>
      <c r="DQ73" s="171"/>
      <c r="DS73" s="273" t="str">
        <f>IF($DN$73="","",$DN$73)</f>
        <v>--</v>
      </c>
      <c r="FO73" s="1046"/>
      <c r="GA73" s="171"/>
    </row>
    <row r="74" spans="1:183" ht="15" customHeight="1">
      <c r="A74" s="645"/>
      <c r="B74" s="645"/>
      <c r="C74" s="645"/>
      <c r="D74" s="645"/>
      <c r="E74" s="646"/>
      <c r="BU74" s="1044"/>
      <c r="BX74" s="727"/>
      <c r="DD74" s="36"/>
      <c r="DE74" s="36"/>
      <c r="DF74" s="36"/>
      <c r="DG74" s="36"/>
      <c r="DH74" s="36"/>
      <c r="DI74" s="36"/>
      <c r="DJ74" s="36"/>
      <c r="EG74" s="167"/>
      <c r="EH74" s="167"/>
      <c r="EI74" s="167"/>
      <c r="EJ74" s="167"/>
      <c r="EK74" s="167"/>
      <c r="FV74" s="167"/>
      <c r="FW74" s="167"/>
      <c r="FX74" s="167"/>
      <c r="FY74" s="167"/>
      <c r="FZ74" s="167"/>
    </row>
    <row r="75" spans="1:183" ht="2.15" customHeight="1">
      <c r="A75" s="645"/>
      <c r="B75" s="645"/>
      <c r="C75" s="645"/>
      <c r="D75" s="645"/>
      <c r="E75" s="646"/>
      <c r="BU75" s="1044"/>
      <c r="BX75" s="727"/>
      <c r="DD75" s="36"/>
      <c r="DE75" s="36"/>
      <c r="DF75" s="36"/>
      <c r="DG75" s="36"/>
      <c r="DH75" s="36"/>
      <c r="DI75" s="36"/>
      <c r="DJ75" s="36"/>
      <c r="EG75" s="167"/>
      <c r="EH75" s="167"/>
      <c r="EI75" s="167"/>
      <c r="EJ75" s="167"/>
      <c r="EK75" s="167"/>
      <c r="FV75" s="167"/>
      <c r="FW75" s="167"/>
      <c r="FX75" s="167"/>
      <c r="FY75" s="167"/>
      <c r="FZ75" s="167"/>
    </row>
    <row r="76" spans="1:183" ht="2.15" customHeight="1">
      <c r="A76" s="645"/>
      <c r="B76" s="645"/>
      <c r="C76" s="645"/>
      <c r="D76" s="645"/>
      <c r="E76" s="646"/>
      <c r="BU76" s="1044"/>
      <c r="BX76" s="727"/>
      <c r="DD76" s="36"/>
      <c r="DE76" s="36"/>
      <c r="DF76" s="36"/>
      <c r="DG76" s="36"/>
      <c r="DH76" s="36"/>
      <c r="DI76" s="36"/>
      <c r="DJ76" s="36"/>
      <c r="EG76" s="167"/>
      <c r="EH76" s="167"/>
      <c r="EI76" s="167"/>
      <c r="EJ76" s="167"/>
      <c r="EK76" s="167"/>
      <c r="FV76" s="167"/>
      <c r="FW76" s="167"/>
      <c r="FX76" s="167"/>
      <c r="FY76" s="167"/>
      <c r="FZ76" s="167"/>
    </row>
    <row r="77" spans="1:183" ht="2.15" customHeight="1" thickBot="1">
      <c r="A77" s="645"/>
      <c r="B77" s="645"/>
      <c r="C77" s="645"/>
      <c r="D77" s="645"/>
      <c r="E77" s="646"/>
      <c r="BU77" s="1044"/>
      <c r="BX77" s="727"/>
      <c r="DD77" s="36"/>
      <c r="DE77" s="36"/>
      <c r="DF77" s="36"/>
      <c r="DG77" s="36"/>
      <c r="DH77" s="36"/>
      <c r="DI77" s="36"/>
      <c r="DJ77" s="36"/>
      <c r="EG77" s="167"/>
      <c r="EH77" s="167"/>
      <c r="EI77" s="167"/>
      <c r="EJ77" s="167"/>
      <c r="EK77" s="167"/>
      <c r="FV77" s="167"/>
      <c r="FW77" s="167"/>
      <c r="FX77" s="167"/>
      <c r="FY77" s="167"/>
      <c r="FZ77" s="167"/>
    </row>
    <row r="78" spans="1:183" ht="35.15" customHeight="1" thickBot="1">
      <c r="A78" s="645"/>
      <c r="B78" s="645"/>
      <c r="C78" s="645"/>
      <c r="D78" s="645"/>
      <c r="E78" s="646"/>
      <c r="J78" s="1831" t="s">
        <v>1027</v>
      </c>
      <c r="K78" s="1832"/>
      <c r="L78" s="1832"/>
      <c r="M78" s="1832"/>
      <c r="N78" s="1832"/>
      <c r="O78" s="1832"/>
      <c r="P78" s="1832"/>
      <c r="Q78" s="1832"/>
      <c r="R78" s="1832"/>
      <c r="S78" s="1832"/>
      <c r="T78" s="1832"/>
      <c r="U78" s="1832"/>
      <c r="V78" s="1832"/>
      <c r="W78" s="1832"/>
      <c r="X78" s="1832"/>
      <c r="Y78" s="1832"/>
      <c r="Z78" s="1832"/>
      <c r="AA78" s="1832"/>
      <c r="AB78" s="914"/>
      <c r="AC78" s="914"/>
      <c r="AD78" s="914"/>
      <c r="AE78" s="914"/>
      <c r="AF78" s="914"/>
      <c r="AG78" s="914"/>
      <c r="AH78" s="914"/>
      <c r="AI78" s="914"/>
      <c r="AJ78" s="914"/>
      <c r="AK78" s="914"/>
      <c r="AL78" s="914"/>
      <c r="AM78" s="914"/>
      <c r="AN78" s="914" t="str">
        <f>IF($DS$78=TRUE,"→勤務先が同一の場合は勤務先欄は記入不要です","")</f>
        <v/>
      </c>
      <c r="AO78" s="914"/>
      <c r="AP78" s="914"/>
      <c r="AQ78" s="914"/>
      <c r="AR78" s="914"/>
      <c r="AS78" s="914"/>
      <c r="AT78" s="914"/>
      <c r="AU78" s="914"/>
      <c r="AV78" s="914"/>
      <c r="AW78" s="914"/>
      <c r="AX78" s="914"/>
      <c r="AY78" s="914"/>
      <c r="AZ78" s="914"/>
      <c r="BA78" s="914"/>
      <c r="BB78" s="914"/>
      <c r="BC78" s="914"/>
      <c r="BD78" s="914"/>
      <c r="BE78" s="914"/>
      <c r="BF78" s="914"/>
      <c r="BG78" s="914"/>
      <c r="BH78" s="914"/>
      <c r="BI78" s="914"/>
      <c r="BJ78" s="914"/>
      <c r="BK78" s="914"/>
      <c r="BL78" s="1775" t="s">
        <v>370</v>
      </c>
      <c r="BM78" s="1776"/>
      <c r="BN78" s="1776"/>
      <c r="BO78" s="1776"/>
      <c r="BP78" s="1776"/>
      <c r="BQ78" s="1776"/>
      <c r="BR78" s="1776"/>
      <c r="BS78" s="1776"/>
      <c r="BT78" s="1776"/>
      <c r="BU78" s="1078"/>
      <c r="BV78" s="728" t="s">
        <v>2782</v>
      </c>
      <c r="BW78" s="1911" t="s">
        <v>2784</v>
      </c>
      <c r="BX78" s="1911"/>
      <c r="BY78" s="1911"/>
      <c r="BZ78" s="1911"/>
      <c r="CA78" s="1911"/>
      <c r="CB78" s="1911"/>
      <c r="CC78" s="1911"/>
      <c r="CD78" s="1911"/>
      <c r="CE78" s="1911"/>
      <c r="CF78" s="1911"/>
      <c r="CG78" s="1911"/>
      <c r="CH78" s="1911"/>
      <c r="CI78" s="1911"/>
      <c r="CJ78" s="1911"/>
      <c r="CK78" s="1911"/>
      <c r="CL78" s="1911"/>
      <c r="CM78" s="1911"/>
      <c r="CN78" s="1911"/>
      <c r="CO78" s="1911"/>
      <c r="CP78" s="1911"/>
      <c r="CQ78" s="1911"/>
      <c r="CR78" s="1911"/>
      <c r="CS78" s="1911"/>
      <c r="CT78" s="728"/>
      <c r="CU78" s="729"/>
      <c r="DD78" s="36"/>
      <c r="DE78" s="36"/>
      <c r="DF78" s="36"/>
      <c r="DG78" s="36"/>
      <c r="DH78" s="36"/>
      <c r="DI78" s="36"/>
      <c r="DJ78" s="36"/>
      <c r="DK78" s="1068"/>
      <c r="DM78" s="274" t="s">
        <v>2428</v>
      </c>
      <c r="DN78" s="274"/>
      <c r="DS78" s="428" t="b">
        <v>0</v>
      </c>
      <c r="EG78" s="172"/>
      <c r="EH78" s="172"/>
      <c r="EI78" s="172"/>
      <c r="EJ78" s="172"/>
      <c r="EK78" s="172"/>
      <c r="FV78" s="172"/>
      <c r="FW78" s="172"/>
      <c r="FX78" s="172"/>
      <c r="FY78" s="172"/>
      <c r="FZ78" s="172"/>
    </row>
    <row r="79" spans="1:183" s="172" customFormat="1" ht="27" customHeight="1" thickBot="1">
      <c r="A79" s="645"/>
      <c r="B79" s="645"/>
      <c r="C79" s="645"/>
      <c r="D79" s="645"/>
      <c r="E79" s="646"/>
      <c r="F79" s="381"/>
      <c r="G79" s="381"/>
      <c r="H79" s="381"/>
      <c r="I79" s="251"/>
      <c r="J79" s="39"/>
      <c r="K79" s="896"/>
      <c r="L79" s="896"/>
      <c r="M79" s="1834" t="s">
        <v>926</v>
      </c>
      <c r="N79" s="1834"/>
      <c r="O79" s="1834"/>
      <c r="P79" s="1834"/>
      <c r="Q79" s="1834"/>
      <c r="R79" s="1834"/>
      <c r="S79" s="1827" t="s">
        <v>1087</v>
      </c>
      <c r="T79" s="1828"/>
      <c r="U79" s="1828"/>
      <c r="V79" s="1828"/>
      <c r="W79" s="1828"/>
      <c r="X79" s="1828"/>
      <c r="Y79" s="1828"/>
      <c r="Z79" s="1828"/>
      <c r="AA79" s="1828"/>
      <c r="AB79" s="1854"/>
      <c r="AC79" s="1854"/>
      <c r="AD79" s="1854"/>
      <c r="AE79" s="1854"/>
      <c r="AF79" s="1854"/>
      <c r="AG79" s="1854"/>
      <c r="AH79" s="1854"/>
      <c r="AI79" s="1854"/>
      <c r="AJ79" s="1854"/>
      <c r="AK79" s="1854"/>
      <c r="AL79" s="1854"/>
      <c r="AM79" s="1854"/>
      <c r="AN79" s="1854"/>
      <c r="AO79" s="1854"/>
      <c r="AP79" s="1854"/>
      <c r="AQ79" s="898"/>
      <c r="AR79" s="898"/>
      <c r="AS79" s="50"/>
      <c r="AT79" s="50"/>
      <c r="AU79" s="50"/>
      <c r="AV79" s="50"/>
      <c r="AW79" s="50"/>
      <c r="AX79" s="50"/>
      <c r="AY79" s="50"/>
      <c r="AZ79" s="1079"/>
      <c r="BA79" s="50"/>
      <c r="BB79" s="50"/>
      <c r="BC79" s="50"/>
      <c r="BD79" s="50"/>
      <c r="BE79" s="50"/>
      <c r="BF79" s="50"/>
      <c r="BG79" s="50"/>
      <c r="BH79" s="50"/>
      <c r="BI79" s="50"/>
      <c r="BJ79" s="50"/>
      <c r="BK79" s="50"/>
      <c r="BL79" s="50"/>
      <c r="BM79" s="50"/>
      <c r="BN79" s="50"/>
      <c r="BO79" s="50"/>
      <c r="BP79" s="50"/>
      <c r="BQ79" s="50"/>
      <c r="BR79" s="50"/>
      <c r="BS79" s="50"/>
      <c r="BT79" s="50"/>
      <c r="BU79" s="1080"/>
      <c r="BV79" s="1052"/>
      <c r="BW79" s="1764" t="s">
        <v>2783</v>
      </c>
      <c r="BX79" s="1764"/>
      <c r="BY79" s="1764"/>
      <c r="BZ79" s="1764"/>
      <c r="CA79" s="1764"/>
      <c r="CB79" s="1764"/>
      <c r="CC79" s="1764"/>
      <c r="CD79" s="1764"/>
      <c r="CE79" s="1764"/>
      <c r="CF79" s="1764"/>
      <c r="CG79" s="1764"/>
      <c r="CH79" s="1764"/>
      <c r="CI79" s="1764"/>
      <c r="CJ79" s="1764"/>
      <c r="CK79" s="1764"/>
      <c r="CL79" s="1764"/>
      <c r="CM79" s="1764"/>
      <c r="CN79" s="1764"/>
      <c r="CO79" s="1764"/>
      <c r="CP79" s="1764"/>
      <c r="CQ79" s="1764"/>
      <c r="CR79" s="1764"/>
      <c r="CS79" s="1764"/>
      <c r="CT79" s="891"/>
      <c r="CU79" s="918"/>
      <c r="CV79" s="398"/>
      <c r="CW79" s="398"/>
      <c r="CX79" s="398"/>
      <c r="CY79" s="398"/>
      <c r="CZ79" s="398"/>
      <c r="DA79" s="398"/>
      <c r="DB79" s="398"/>
      <c r="DC79" s="35"/>
      <c r="DD79" s="36"/>
      <c r="DE79" s="36"/>
      <c r="DF79" s="36"/>
      <c r="DG79" s="36"/>
      <c r="DH79" s="36"/>
      <c r="DI79" s="36"/>
      <c r="DJ79" s="36"/>
      <c r="DK79" s="1068"/>
      <c r="DL79" s="1046"/>
      <c r="DM79" s="177">
        <f>IF(AB79="",0,IF(AB79="特定建築物調査員",1,2))</f>
        <v>0</v>
      </c>
      <c r="DN79" s="171"/>
      <c r="DO79" s="171"/>
      <c r="DP79" s="171"/>
      <c r="DQ79" s="171"/>
      <c r="DS79" s="424" t="str">
        <f>IF(DM79=2,LEFT($AB79,2),"")</f>
        <v/>
      </c>
      <c r="DT79" s="167"/>
      <c r="FO79" s="1046"/>
      <c r="GA79" s="171"/>
    </row>
    <row r="80" spans="1:183" ht="27" customHeight="1" thickBot="1">
      <c r="A80" s="645"/>
      <c r="B80" s="645"/>
      <c r="C80" s="645"/>
      <c r="D80" s="645"/>
      <c r="E80" s="646"/>
      <c r="J80" s="88"/>
      <c r="K80" s="89"/>
      <c r="L80" s="89"/>
      <c r="M80" s="1941"/>
      <c r="N80" s="1941"/>
      <c r="O80" s="1941"/>
      <c r="P80" s="1941"/>
      <c r="Q80" s="1941"/>
      <c r="R80" s="1941"/>
      <c r="S80" s="1800" t="s">
        <v>701</v>
      </c>
      <c r="T80" s="2268"/>
      <c r="U80" s="2268"/>
      <c r="V80" s="2268"/>
      <c r="W80" s="2268"/>
      <c r="X80" s="2268"/>
      <c r="Y80" s="896"/>
      <c r="Z80" s="1838"/>
      <c r="AA80" s="1838"/>
      <c r="AB80" s="1772"/>
      <c r="AC80" s="1772"/>
      <c r="AD80" s="1772"/>
      <c r="AE80" s="1772"/>
      <c r="AF80" s="1772"/>
      <c r="AG80" s="1772"/>
      <c r="AH80" s="1773"/>
      <c r="AI80" s="1774"/>
      <c r="AJ80" s="1774"/>
      <c r="AK80" s="1774"/>
      <c r="AL80" s="1774"/>
      <c r="AM80" s="1774"/>
      <c r="AN80" s="1774"/>
      <c r="AO80" s="1774"/>
      <c r="AP80" s="1774"/>
      <c r="AQ80" s="896" t="s">
        <v>687</v>
      </c>
      <c r="AR80" s="896"/>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1062"/>
      <c r="BV80" s="1052"/>
      <c r="BW80" s="1764"/>
      <c r="BX80" s="1764"/>
      <c r="BY80" s="1764"/>
      <c r="BZ80" s="1764"/>
      <c r="CA80" s="1764"/>
      <c r="CB80" s="1764"/>
      <c r="CC80" s="1764"/>
      <c r="CD80" s="1764"/>
      <c r="CE80" s="1764"/>
      <c r="CF80" s="1764"/>
      <c r="CG80" s="1764"/>
      <c r="CH80" s="1764"/>
      <c r="CI80" s="1764"/>
      <c r="CJ80" s="1764"/>
      <c r="CK80" s="1764"/>
      <c r="CL80" s="1764"/>
      <c r="CM80" s="1764"/>
      <c r="CN80" s="1764"/>
      <c r="CO80" s="1764"/>
      <c r="CP80" s="1764"/>
      <c r="CQ80" s="1764"/>
      <c r="CR80" s="1764"/>
      <c r="CS80" s="1764"/>
      <c r="CT80" s="891"/>
      <c r="CU80" s="918"/>
      <c r="DD80" s="36"/>
      <c r="DE80" s="36"/>
      <c r="DF80" s="36"/>
      <c r="DG80" s="36"/>
      <c r="DH80" s="36"/>
      <c r="DI80" s="36"/>
      <c r="DJ80" s="36"/>
      <c r="DK80" s="1068"/>
      <c r="DM80" s="1081">
        <f>IF(OR(AB86="一級",AB86="二級"),1,0)</f>
        <v>0</v>
      </c>
      <c r="DN80" s="36"/>
      <c r="DO80" s="381"/>
      <c r="DS80" s="188" t="str">
        <f>IF($AB$80="","",$AB$80)</f>
        <v/>
      </c>
      <c r="EG80" s="172"/>
      <c r="EH80" s="172"/>
      <c r="EI80" s="172"/>
      <c r="EJ80" s="172"/>
      <c r="EK80" s="172"/>
      <c r="FV80" s="172"/>
      <c r="FW80" s="172"/>
      <c r="FX80" s="172"/>
      <c r="FY80" s="172"/>
      <c r="FZ80" s="172"/>
    </row>
    <row r="81" spans="1:183" ht="27" customHeight="1">
      <c r="A81" s="645"/>
      <c r="B81" s="645"/>
      <c r="C81" s="645"/>
      <c r="D81" s="645"/>
      <c r="E81" s="646"/>
      <c r="J81" s="88"/>
      <c r="K81" s="89"/>
      <c r="L81" s="89"/>
      <c r="M81" s="1941"/>
      <c r="N81" s="1941"/>
      <c r="O81" s="1941"/>
      <c r="P81" s="1941"/>
      <c r="Q81" s="1941"/>
      <c r="R81" s="1941"/>
      <c r="S81" s="2269"/>
      <c r="T81" s="2269"/>
      <c r="U81" s="2269"/>
      <c r="V81" s="2269"/>
      <c r="W81" s="2269"/>
      <c r="X81" s="2269"/>
      <c r="Y81" s="896"/>
      <c r="Z81" s="1838" t="s">
        <v>927</v>
      </c>
      <c r="AA81" s="1838"/>
      <c r="AB81" s="1833"/>
      <c r="AC81" s="1833"/>
      <c r="AD81" s="1833"/>
      <c r="AE81" s="1833"/>
      <c r="AF81" s="1833"/>
      <c r="AG81" s="1833"/>
      <c r="AH81" s="1833"/>
      <c r="AI81" s="1774"/>
      <c r="AJ81" s="1774"/>
      <c r="AK81" s="1774"/>
      <c r="AL81" s="1774"/>
      <c r="AM81" s="1774"/>
      <c r="AN81" s="1774"/>
      <c r="AO81" s="1774"/>
      <c r="AP81" s="1774"/>
      <c r="AQ81" s="94" t="s">
        <v>4</v>
      </c>
      <c r="AR81" s="94"/>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1062"/>
      <c r="BV81" s="1052"/>
      <c r="BW81" s="1052"/>
      <c r="BX81" s="1052"/>
      <c r="BY81" s="1052"/>
      <c r="BZ81" s="1052"/>
      <c r="CA81" s="1052"/>
      <c r="CB81" s="1052"/>
      <c r="CC81" s="1052"/>
      <c r="CD81" s="1052"/>
      <c r="CE81" s="1052"/>
      <c r="CF81" s="1052"/>
      <c r="CG81" s="1052"/>
      <c r="CH81" s="1052"/>
      <c r="CI81" s="1052"/>
      <c r="CJ81" s="1052"/>
      <c r="CK81" s="1052"/>
      <c r="CL81" s="1052"/>
      <c r="CM81" s="1052"/>
      <c r="CN81" s="1052"/>
      <c r="CO81" s="1052"/>
      <c r="CP81" s="1052"/>
      <c r="CQ81" s="1052"/>
      <c r="CR81" s="1052"/>
      <c r="CS81" s="1052"/>
      <c r="CT81" s="1052"/>
      <c r="CU81" s="1077"/>
      <c r="DD81" s="36"/>
      <c r="DE81" s="36"/>
      <c r="DF81" s="36"/>
      <c r="DG81" s="36"/>
      <c r="DH81" s="36"/>
      <c r="DI81" s="36"/>
      <c r="DJ81" s="36"/>
      <c r="DK81" s="1068"/>
      <c r="DM81" s="36"/>
      <c r="DN81" s="36"/>
      <c r="DO81" s="381"/>
      <c r="DS81" s="378" t="str">
        <f>IF($AB$81="","",$AB$81)</f>
        <v/>
      </c>
      <c r="EG81" s="172"/>
      <c r="EH81" s="172"/>
      <c r="EI81" s="172"/>
      <c r="EJ81" s="172"/>
      <c r="EK81" s="172"/>
      <c r="FV81" s="172"/>
      <c r="FW81" s="172"/>
      <c r="FX81" s="172"/>
      <c r="FY81" s="172"/>
      <c r="FZ81" s="172"/>
    </row>
    <row r="82" spans="1:183" s="172" customFormat="1" ht="27" customHeight="1">
      <c r="A82" s="645"/>
      <c r="B82" s="645"/>
      <c r="C82" s="645"/>
      <c r="D82" s="645"/>
      <c r="E82" s="646"/>
      <c r="F82" s="381"/>
      <c r="G82" s="381"/>
      <c r="H82" s="381"/>
      <c r="I82" s="251"/>
      <c r="J82" s="39"/>
      <c r="K82" s="896"/>
      <c r="L82" s="896"/>
      <c r="M82" s="2270"/>
      <c r="N82" s="2270"/>
      <c r="O82" s="2270"/>
      <c r="P82" s="2270"/>
      <c r="Q82" s="2270"/>
      <c r="R82" s="2270"/>
      <c r="S82" s="1839" t="s">
        <v>1167</v>
      </c>
      <c r="T82" s="1839"/>
      <c r="U82" s="1839"/>
      <c r="V82" s="1839"/>
      <c r="W82" s="1839"/>
      <c r="X82" s="1839"/>
      <c r="Y82" s="1839"/>
      <c r="Z82" s="1840" t="s">
        <v>927</v>
      </c>
      <c r="AA82" s="1840"/>
      <c r="AB82" s="1852"/>
      <c r="AC82" s="1852"/>
      <c r="AD82" s="1852"/>
      <c r="AE82" s="1852"/>
      <c r="AF82" s="1852"/>
      <c r="AG82" s="1852"/>
      <c r="AH82" s="1852"/>
      <c r="AI82" s="1853"/>
      <c r="AJ82" s="1853"/>
      <c r="AK82" s="1853"/>
      <c r="AL82" s="1853"/>
      <c r="AM82" s="1853"/>
      <c r="AN82" s="1853"/>
      <c r="AO82" s="1853"/>
      <c r="AP82" s="1853"/>
      <c r="AQ82" s="260" t="s">
        <v>2404</v>
      </c>
      <c r="AR82" s="260"/>
      <c r="AS82" s="260"/>
      <c r="AT82" s="260"/>
      <c r="AU82" s="260"/>
      <c r="AV82" s="260"/>
      <c r="AW82" s="260"/>
      <c r="AX82" s="260"/>
      <c r="AY82" s="260"/>
      <c r="AZ82" s="260"/>
      <c r="BA82" s="260"/>
      <c r="BB82" s="260"/>
      <c r="BC82" s="260"/>
      <c r="BD82" s="260"/>
      <c r="BE82" s="260"/>
      <c r="BF82" s="260"/>
      <c r="BG82" s="260"/>
      <c r="BH82" s="260"/>
      <c r="BI82" s="260"/>
      <c r="BJ82" s="260"/>
      <c r="BK82" s="260"/>
      <c r="BL82" s="260"/>
      <c r="BM82" s="260"/>
      <c r="BN82" s="260"/>
      <c r="BO82" s="260"/>
      <c r="BP82" s="260"/>
      <c r="BQ82" s="260"/>
      <c r="BR82" s="260"/>
      <c r="BS82" s="260"/>
      <c r="BT82" s="260"/>
      <c r="BU82" s="1080"/>
      <c r="BV82" s="1052"/>
      <c r="BW82" s="1052"/>
      <c r="BX82" s="1052"/>
      <c r="BY82" s="1052"/>
      <c r="BZ82" s="1052"/>
      <c r="CA82" s="1052"/>
      <c r="CB82" s="1052"/>
      <c r="CC82" s="1052"/>
      <c r="CD82" s="1052"/>
      <c r="CE82" s="1052"/>
      <c r="CF82" s="1052"/>
      <c r="CG82" s="1052"/>
      <c r="CH82" s="1052"/>
      <c r="CI82" s="1052"/>
      <c r="CJ82" s="1052"/>
      <c r="CK82" s="1052"/>
      <c r="CL82" s="1052"/>
      <c r="CM82" s="1052"/>
      <c r="CN82" s="1052"/>
      <c r="CO82" s="1052"/>
      <c r="CP82" s="1052"/>
      <c r="CQ82" s="1052"/>
      <c r="CR82" s="1052"/>
      <c r="CS82" s="1052"/>
      <c r="CT82" s="1052"/>
      <c r="CU82" s="1077"/>
      <c r="CV82" s="398"/>
      <c r="CW82" s="398"/>
      <c r="CX82" s="398"/>
      <c r="CY82" s="398"/>
      <c r="CZ82" s="398"/>
      <c r="DA82" s="398"/>
      <c r="DB82" s="398"/>
      <c r="DC82" s="35"/>
      <c r="DD82" s="36"/>
      <c r="DE82" s="36"/>
      <c r="DF82" s="36"/>
      <c r="DG82" s="36"/>
      <c r="DH82" s="36"/>
      <c r="DI82" s="36"/>
      <c r="DJ82" s="36"/>
      <c r="DK82" s="1068"/>
      <c r="DL82" s="1046"/>
      <c r="DM82" s="25"/>
      <c r="DN82" s="36"/>
      <c r="DO82" s="381"/>
      <c r="DP82" s="171"/>
      <c r="DQ82" s="171"/>
      <c r="DS82" s="378" t="str">
        <f>IF($AB$82="","",$AB$82)</f>
        <v/>
      </c>
      <c r="FO82" s="1046"/>
      <c r="GA82" s="171"/>
    </row>
    <row r="83" spans="1:183" s="172" customFormat="1" ht="27" customHeight="1">
      <c r="A83" s="645"/>
      <c r="B83" s="645"/>
      <c r="C83" s="645"/>
      <c r="D83" s="645"/>
      <c r="E83" s="646"/>
      <c r="F83" s="381"/>
      <c r="G83" s="381"/>
      <c r="H83" s="381"/>
      <c r="I83" s="251"/>
      <c r="J83" s="39"/>
      <c r="K83" s="896"/>
      <c r="L83" s="896"/>
      <c r="M83" s="1822" t="s">
        <v>340</v>
      </c>
      <c r="N83" s="1823"/>
      <c r="O83" s="1823"/>
      <c r="P83" s="1823"/>
      <c r="Q83" s="1823"/>
      <c r="R83" s="1823"/>
      <c r="S83" s="1827" t="s">
        <v>699</v>
      </c>
      <c r="T83" s="1843"/>
      <c r="U83" s="1843"/>
      <c r="V83" s="1843"/>
      <c r="W83" s="1843"/>
      <c r="X83" s="1843"/>
      <c r="Y83" s="1843"/>
      <c r="Z83" s="1843"/>
      <c r="AA83" s="1843"/>
      <c r="AB83" s="1786"/>
      <c r="AC83" s="1783"/>
      <c r="AD83" s="1783"/>
      <c r="AE83" s="1783"/>
      <c r="AF83" s="1783"/>
      <c r="AG83" s="1783"/>
      <c r="AH83" s="1783"/>
      <c r="AI83" s="1783"/>
      <c r="AJ83" s="1783"/>
      <c r="AK83" s="1783"/>
      <c r="AL83" s="1783"/>
      <c r="AM83" s="1783"/>
      <c r="AN83" s="1783"/>
      <c r="AO83" s="1783"/>
      <c r="AP83" s="1783"/>
      <c r="AQ83" s="1783"/>
      <c r="AR83" s="1783"/>
      <c r="AS83" s="1783"/>
      <c r="AT83" s="1783"/>
      <c r="AU83" s="1783"/>
      <c r="AV83" s="1783"/>
      <c r="AW83" s="1783"/>
      <c r="AX83" s="1783"/>
      <c r="AY83" s="1783"/>
      <c r="AZ83" s="1783"/>
      <c r="BA83" s="1783"/>
      <c r="BB83" s="1783"/>
      <c r="BC83" s="1783"/>
      <c r="BD83" s="1783"/>
      <c r="BE83" s="1783"/>
      <c r="BF83" s="1783"/>
      <c r="BG83" s="1783"/>
      <c r="BH83" s="1783"/>
      <c r="BI83" s="1783"/>
      <c r="BJ83" s="1783"/>
      <c r="BK83" s="1783"/>
      <c r="BL83" s="1783"/>
      <c r="BM83" s="1783"/>
      <c r="BN83" s="1783"/>
      <c r="BO83" s="1783"/>
      <c r="BP83" s="1783"/>
      <c r="BQ83" s="1783"/>
      <c r="BR83" s="1783"/>
      <c r="BS83" s="1783"/>
      <c r="BT83" s="1783"/>
      <c r="BU83" s="1080"/>
      <c r="BV83" s="1052"/>
      <c r="BW83" s="1052"/>
      <c r="BX83" s="1052"/>
      <c r="BY83" s="1052"/>
      <c r="BZ83" s="1052"/>
      <c r="CA83" s="1052"/>
      <c r="CB83" s="1052"/>
      <c r="CC83" s="1052"/>
      <c r="CD83" s="1052"/>
      <c r="CE83" s="1052"/>
      <c r="CF83" s="1052"/>
      <c r="CG83" s="1052"/>
      <c r="CH83" s="1052"/>
      <c r="CI83" s="1052"/>
      <c r="CJ83" s="1052"/>
      <c r="CK83" s="1052"/>
      <c r="CL83" s="1052"/>
      <c r="CM83" s="1052"/>
      <c r="CN83" s="1052"/>
      <c r="CO83" s="1052"/>
      <c r="CP83" s="1052"/>
      <c r="CQ83" s="1052"/>
      <c r="CR83" s="1052"/>
      <c r="CS83" s="1052"/>
      <c r="CT83" s="1052"/>
      <c r="CU83" s="1077"/>
      <c r="CV83" s="398"/>
      <c r="CW83" s="398"/>
      <c r="CX83" s="398"/>
      <c r="CY83" s="398"/>
      <c r="CZ83" s="398"/>
      <c r="DA83" s="398"/>
      <c r="DB83" s="398"/>
      <c r="DC83" s="35"/>
      <c r="DD83" s="36"/>
      <c r="DE83" s="36"/>
      <c r="DF83" s="36"/>
      <c r="DG83" s="36"/>
      <c r="DH83" s="36"/>
      <c r="DI83" s="36"/>
      <c r="DJ83" s="36"/>
      <c r="DK83" s="1068"/>
      <c r="DL83" s="1046"/>
      <c r="DM83" s="171"/>
      <c r="DN83" s="171"/>
      <c r="DO83" s="171"/>
      <c r="DP83" s="171"/>
      <c r="DQ83" s="171"/>
      <c r="DS83" s="273" t="str">
        <f>IF($AB$83="","",$AB$83)</f>
        <v/>
      </c>
      <c r="EG83" s="167"/>
      <c r="EH83" s="167"/>
      <c r="EI83" s="167"/>
      <c r="EJ83" s="167"/>
      <c r="EK83" s="167"/>
      <c r="FO83" s="1046"/>
      <c r="FV83" s="167"/>
      <c r="FW83" s="167"/>
      <c r="FX83" s="167"/>
      <c r="FY83" s="167"/>
      <c r="FZ83" s="167"/>
      <c r="GA83" s="171"/>
    </row>
    <row r="84" spans="1:183" s="172" customFormat="1" ht="27" customHeight="1">
      <c r="A84" s="645"/>
      <c r="B84" s="645"/>
      <c r="C84" s="645"/>
      <c r="D84" s="645"/>
      <c r="E84" s="646"/>
      <c r="F84" s="381"/>
      <c r="G84" s="381"/>
      <c r="H84" s="381"/>
      <c r="I84" s="251"/>
      <c r="J84" s="39"/>
      <c r="K84" s="896"/>
      <c r="L84" s="896"/>
      <c r="M84" s="1823"/>
      <c r="N84" s="1823"/>
      <c r="O84" s="1823"/>
      <c r="P84" s="1823"/>
      <c r="Q84" s="1823"/>
      <c r="R84" s="1823"/>
      <c r="S84" s="1939" t="s">
        <v>340</v>
      </c>
      <c r="T84" s="1940"/>
      <c r="U84" s="1940"/>
      <c r="V84" s="1940"/>
      <c r="W84" s="1940"/>
      <c r="X84" s="1940"/>
      <c r="Y84" s="1940"/>
      <c r="Z84" s="1940"/>
      <c r="AA84" s="1940"/>
      <c r="AB84" s="1767"/>
      <c r="AC84" s="1768"/>
      <c r="AD84" s="1768"/>
      <c r="AE84" s="1768"/>
      <c r="AF84" s="1768"/>
      <c r="AG84" s="1769"/>
      <c r="AH84" s="1769"/>
      <c r="AI84" s="1769"/>
      <c r="AJ84" s="1769"/>
      <c r="AK84" s="1769"/>
      <c r="AL84" s="1769"/>
      <c r="AM84" s="1769"/>
      <c r="AN84" s="1769"/>
      <c r="AO84" s="1769"/>
      <c r="AP84" s="1769"/>
      <c r="AQ84" s="1769"/>
      <c r="AR84" s="1769"/>
      <c r="AS84" s="1769"/>
      <c r="AT84" s="1769"/>
      <c r="AU84" s="1769"/>
      <c r="AV84" s="1769"/>
      <c r="AW84" s="1769"/>
      <c r="AX84" s="1769"/>
      <c r="AY84" s="1769"/>
      <c r="AZ84" s="1769"/>
      <c r="BA84" s="1769"/>
      <c r="BB84" s="1769"/>
      <c r="BC84" s="1769"/>
      <c r="BD84" s="1769"/>
      <c r="BE84" s="1769"/>
      <c r="BF84" s="1769"/>
      <c r="BG84" s="1769"/>
      <c r="BH84" s="1769"/>
      <c r="BI84" s="1769"/>
      <c r="BJ84" s="1769"/>
      <c r="BK84" s="1769"/>
      <c r="BL84" s="1769"/>
      <c r="BM84" s="1769"/>
      <c r="BN84" s="1769"/>
      <c r="BO84" s="1769"/>
      <c r="BP84" s="1769"/>
      <c r="BQ84" s="1769"/>
      <c r="BR84" s="1769"/>
      <c r="BS84" s="1769"/>
      <c r="BT84" s="1769"/>
      <c r="BU84" s="1080"/>
      <c r="BV84" s="1052"/>
      <c r="BW84" s="1052"/>
      <c r="BX84" s="1052"/>
      <c r="BY84" s="1052"/>
      <c r="BZ84" s="1052"/>
      <c r="CA84" s="1052"/>
      <c r="CB84" s="1052"/>
      <c r="CC84" s="1052"/>
      <c r="CD84" s="1052"/>
      <c r="CE84" s="1052"/>
      <c r="CF84" s="1052"/>
      <c r="CG84" s="1052"/>
      <c r="CH84" s="1052"/>
      <c r="CI84" s="1052"/>
      <c r="CJ84" s="1052"/>
      <c r="CK84" s="1052"/>
      <c r="CL84" s="1052"/>
      <c r="CM84" s="1052"/>
      <c r="CN84" s="1052"/>
      <c r="CO84" s="1052"/>
      <c r="CP84" s="1052"/>
      <c r="CQ84" s="1052"/>
      <c r="CR84" s="1052"/>
      <c r="CS84" s="1052"/>
      <c r="CT84" s="1052"/>
      <c r="CU84" s="1077"/>
      <c r="CV84" s="398"/>
      <c r="CW84" s="398"/>
      <c r="CX84" s="398"/>
      <c r="CY84" s="398"/>
      <c r="CZ84" s="398"/>
      <c r="DA84" s="398"/>
      <c r="DB84" s="398"/>
      <c r="DC84" s="35"/>
      <c r="DD84" s="36"/>
      <c r="DE84" s="36"/>
      <c r="DF84" s="36"/>
      <c r="DG84" s="36"/>
      <c r="DH84" s="36"/>
      <c r="DI84" s="36"/>
      <c r="DJ84" s="36"/>
      <c r="DK84" s="1068"/>
      <c r="DL84" s="1046"/>
      <c r="DM84" s="171"/>
      <c r="DN84" s="171"/>
      <c r="DO84" s="171"/>
      <c r="DP84" s="171"/>
      <c r="DQ84" s="171"/>
      <c r="DS84" s="273" t="str">
        <f>IF($AB$84="","",$AB$84)</f>
        <v/>
      </c>
      <c r="EG84" s="167"/>
      <c r="EH84" s="167"/>
      <c r="EI84" s="167"/>
      <c r="EJ84" s="167"/>
      <c r="EK84" s="167"/>
      <c r="FO84" s="1046"/>
      <c r="FV84" s="167"/>
      <c r="FW84" s="167"/>
      <c r="FX84" s="167"/>
      <c r="FY84" s="167"/>
      <c r="FZ84" s="167"/>
      <c r="GA84" s="171"/>
    </row>
    <row r="85" spans="1:183" s="172" customFormat="1" ht="27" customHeight="1">
      <c r="A85" s="645"/>
      <c r="B85" s="645"/>
      <c r="C85" s="645"/>
      <c r="D85" s="645"/>
      <c r="E85" s="646"/>
      <c r="F85" s="381"/>
      <c r="G85" s="381"/>
      <c r="H85" s="381"/>
      <c r="I85" s="251"/>
      <c r="J85" s="39"/>
      <c r="K85" s="896"/>
      <c r="L85" s="896"/>
      <c r="M85" s="1822" t="s">
        <v>244</v>
      </c>
      <c r="N85" s="1823"/>
      <c r="O85" s="1823"/>
      <c r="P85" s="1823"/>
      <c r="Q85" s="1823"/>
      <c r="R85" s="1823"/>
      <c r="S85" s="1827" t="s">
        <v>702</v>
      </c>
      <c r="T85" s="1828"/>
      <c r="U85" s="1828"/>
      <c r="V85" s="1828"/>
      <c r="W85" s="1828"/>
      <c r="X85" s="1828"/>
      <c r="Y85" s="1828"/>
      <c r="Z85" s="1828"/>
      <c r="AA85" s="1828"/>
      <c r="AB85" s="1783"/>
      <c r="AC85" s="1783"/>
      <c r="AD85" s="1783"/>
      <c r="AE85" s="1783"/>
      <c r="AF85" s="1783"/>
      <c r="AG85" s="1783"/>
      <c r="AH85" s="1783"/>
      <c r="AI85" s="1783"/>
      <c r="AJ85" s="1783"/>
      <c r="AK85" s="1783"/>
      <c r="AL85" s="1783"/>
      <c r="AM85" s="1783"/>
      <c r="AN85" s="1783"/>
      <c r="AO85" s="1783"/>
      <c r="AP85" s="1783"/>
      <c r="AQ85" s="1783"/>
      <c r="AR85" s="1783"/>
      <c r="AS85" s="1783"/>
      <c r="AT85" s="1783"/>
      <c r="AU85" s="1783"/>
      <c r="AV85" s="1783"/>
      <c r="AW85" s="1783"/>
      <c r="AX85" s="1783"/>
      <c r="AY85" s="1783"/>
      <c r="AZ85" s="1783"/>
      <c r="BA85" s="1783"/>
      <c r="BB85" s="1783"/>
      <c r="BC85" s="1783"/>
      <c r="BD85" s="1783"/>
      <c r="BE85" s="1783"/>
      <c r="BF85" s="1783"/>
      <c r="BG85" s="1783"/>
      <c r="BH85" s="1783"/>
      <c r="BI85" s="1783"/>
      <c r="BJ85" s="1783"/>
      <c r="BK85" s="1783"/>
      <c r="BL85" s="1783"/>
      <c r="BM85" s="1783"/>
      <c r="BN85" s="1783"/>
      <c r="BO85" s="1783"/>
      <c r="BP85" s="1783"/>
      <c r="BQ85" s="1783"/>
      <c r="BR85" s="1783"/>
      <c r="BS85" s="1783"/>
      <c r="BT85" s="1783"/>
      <c r="BU85" s="1080"/>
      <c r="BV85" s="1052"/>
      <c r="BW85" s="1052"/>
      <c r="BX85" s="1052"/>
      <c r="BY85" s="1052"/>
      <c r="BZ85" s="1052"/>
      <c r="CA85" s="1052"/>
      <c r="CB85" s="1052"/>
      <c r="CC85" s="1052"/>
      <c r="CD85" s="1052"/>
      <c r="CE85" s="1052"/>
      <c r="CF85" s="1052"/>
      <c r="CG85" s="1052"/>
      <c r="CH85" s="1052"/>
      <c r="CI85" s="1052"/>
      <c r="CJ85" s="1052"/>
      <c r="CK85" s="1052"/>
      <c r="CL85" s="1052"/>
      <c r="CM85" s="1052"/>
      <c r="CN85" s="1052"/>
      <c r="CO85" s="1052"/>
      <c r="CP85" s="1052"/>
      <c r="CQ85" s="1052"/>
      <c r="CR85" s="1052"/>
      <c r="CS85" s="1052"/>
      <c r="CT85" s="1052"/>
      <c r="CU85" s="1077"/>
      <c r="CV85" s="398"/>
      <c r="CW85" s="398"/>
      <c r="CX85" s="398"/>
      <c r="CY85" s="398"/>
      <c r="CZ85" s="398"/>
      <c r="DA85" s="398"/>
      <c r="DB85" s="398"/>
      <c r="DC85" s="35"/>
      <c r="DD85" s="36"/>
      <c r="DE85" s="36"/>
      <c r="DF85" s="36"/>
      <c r="DG85" s="36"/>
      <c r="DH85" s="36"/>
      <c r="DI85" s="36"/>
      <c r="DJ85" s="36"/>
      <c r="DK85" s="1068"/>
      <c r="DL85" s="1046"/>
      <c r="DM85" s="171"/>
      <c r="DN85" s="171"/>
      <c r="DO85" s="171"/>
      <c r="DP85" s="171"/>
      <c r="DQ85" s="171"/>
      <c r="DS85" s="273" t="str">
        <f>IF($AB$85="","",$AB$85)</f>
        <v/>
      </c>
      <c r="EG85" s="167"/>
      <c r="EH85" s="167"/>
      <c r="EI85" s="167"/>
      <c r="EJ85" s="167"/>
      <c r="EK85" s="167"/>
      <c r="FO85" s="1046"/>
      <c r="FV85" s="167"/>
      <c r="FW85" s="167"/>
      <c r="FX85" s="167"/>
      <c r="FY85" s="167"/>
      <c r="FZ85" s="167"/>
      <c r="GA85" s="171"/>
    </row>
    <row r="86" spans="1:183" ht="27" customHeight="1">
      <c r="A86" s="645"/>
      <c r="B86" s="645"/>
      <c r="C86" s="645"/>
      <c r="D86" s="645"/>
      <c r="E86" s="646"/>
      <c r="J86" s="88"/>
      <c r="K86" s="89"/>
      <c r="L86" s="89"/>
      <c r="M86" s="1823"/>
      <c r="N86" s="1823"/>
      <c r="O86" s="1823"/>
      <c r="P86" s="1823"/>
      <c r="Q86" s="1823"/>
      <c r="R86" s="1823"/>
      <c r="S86" s="1800" t="s">
        <v>700</v>
      </c>
      <c r="T86" s="1800"/>
      <c r="U86" s="1800"/>
      <c r="V86" s="1800"/>
      <c r="W86" s="1800"/>
      <c r="X86" s="1800"/>
      <c r="Y86" s="1800"/>
      <c r="Z86" s="1938"/>
      <c r="AA86" s="1938"/>
      <c r="AB86" s="2233"/>
      <c r="AC86" s="1772"/>
      <c r="AD86" s="1772"/>
      <c r="AE86" s="1772"/>
      <c r="AF86" s="1774"/>
      <c r="AG86" s="1774"/>
      <c r="AH86" s="1774"/>
      <c r="AI86" s="1774"/>
      <c r="AJ86" s="1774"/>
      <c r="AK86" s="1774"/>
      <c r="AL86" s="1774"/>
      <c r="AM86" s="1774"/>
      <c r="AN86" s="1774"/>
      <c r="AO86" s="1774"/>
      <c r="AP86" s="1774"/>
      <c r="AQ86" s="895" t="s">
        <v>338</v>
      </c>
      <c r="AR86" s="895"/>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1052"/>
      <c r="BV86" s="731" t="s">
        <v>2782</v>
      </c>
      <c r="BW86" s="1764" t="s">
        <v>2785</v>
      </c>
      <c r="BX86" s="1764"/>
      <c r="BY86" s="1764"/>
      <c r="BZ86" s="1764"/>
      <c r="CA86" s="1764"/>
      <c r="CB86" s="1764"/>
      <c r="CC86" s="1764"/>
      <c r="CD86" s="1764"/>
      <c r="CE86" s="1764"/>
      <c r="CF86" s="1764"/>
      <c r="CG86" s="1764"/>
      <c r="CH86" s="1764"/>
      <c r="CI86" s="1764"/>
      <c r="CJ86" s="1764"/>
      <c r="CK86" s="1764"/>
      <c r="CL86" s="1764"/>
      <c r="CM86" s="1764"/>
      <c r="CN86" s="1764"/>
      <c r="CO86" s="1764"/>
      <c r="CP86" s="1764"/>
      <c r="CQ86" s="1764"/>
      <c r="CR86" s="1764"/>
      <c r="CS86" s="1764"/>
      <c r="CT86" s="891"/>
      <c r="CU86" s="918"/>
      <c r="DD86" s="36"/>
      <c r="DE86" s="36"/>
      <c r="DF86" s="36"/>
      <c r="DG86" s="36"/>
      <c r="DH86" s="36"/>
      <c r="DI86" s="36"/>
      <c r="DJ86" s="36"/>
      <c r="DK86" s="1068"/>
      <c r="DS86" s="273" t="str">
        <f>IF($AB$86="","",$AB$86)</f>
        <v/>
      </c>
      <c r="EG86" s="167"/>
      <c r="EH86" s="167"/>
      <c r="EI86" s="167"/>
      <c r="EJ86" s="167"/>
      <c r="EK86" s="167"/>
      <c r="FV86" s="167"/>
      <c r="FW86" s="167"/>
      <c r="FX86" s="167"/>
      <c r="FY86" s="167"/>
      <c r="FZ86" s="167"/>
    </row>
    <row r="87" spans="1:183" ht="27" customHeight="1">
      <c r="A87" s="645"/>
      <c r="B87" s="645"/>
      <c r="C87" s="645"/>
      <c r="D87" s="645"/>
      <c r="E87" s="646"/>
      <c r="J87" s="88"/>
      <c r="K87" s="89"/>
      <c r="L87" s="89"/>
      <c r="M87" s="1823"/>
      <c r="N87" s="1823"/>
      <c r="O87" s="1823"/>
      <c r="P87" s="1823"/>
      <c r="Q87" s="1823"/>
      <c r="R87" s="1823"/>
      <c r="S87" s="1941"/>
      <c r="T87" s="1941"/>
      <c r="U87" s="1941"/>
      <c r="V87" s="1941"/>
      <c r="W87" s="1941"/>
      <c r="X87" s="1941"/>
      <c r="Y87" s="1941"/>
      <c r="Z87" s="1838"/>
      <c r="AA87" s="1838"/>
      <c r="AB87" s="1772"/>
      <c r="AC87" s="1772"/>
      <c r="AD87" s="1772"/>
      <c r="AE87" s="1772"/>
      <c r="AF87" s="1772"/>
      <c r="AG87" s="1772"/>
      <c r="AH87" s="1773"/>
      <c r="AI87" s="1774"/>
      <c r="AJ87" s="1774"/>
      <c r="AK87" s="1774"/>
      <c r="AL87" s="1774"/>
      <c r="AM87" s="1774"/>
      <c r="AN87" s="1774"/>
      <c r="AO87" s="1774"/>
      <c r="AP87" s="1774"/>
      <c r="AQ87" s="896" t="s">
        <v>686</v>
      </c>
      <c r="AR87" s="896"/>
      <c r="AS87" s="77"/>
      <c r="AT87" s="77"/>
      <c r="AU87" s="77"/>
      <c r="AV87" s="77"/>
      <c r="AW87" s="77"/>
      <c r="AX87" s="77"/>
      <c r="AY87" s="77"/>
      <c r="AZ87" s="77"/>
      <c r="BA87" s="77"/>
      <c r="BB87" s="77"/>
      <c r="BC87" s="77"/>
      <c r="BD87" s="77"/>
      <c r="BE87" s="77"/>
      <c r="BF87" s="77"/>
      <c r="BG87" s="77"/>
      <c r="BH87" s="77"/>
      <c r="BI87" s="77"/>
      <c r="BJ87" s="77"/>
      <c r="BK87" s="77"/>
      <c r="BL87" s="77"/>
      <c r="BM87" s="77"/>
      <c r="BN87" s="77"/>
      <c r="BO87" s="77"/>
      <c r="BP87" s="77"/>
      <c r="BQ87" s="77"/>
      <c r="BR87" s="77"/>
      <c r="BS87" s="77"/>
      <c r="BT87" s="77"/>
      <c r="BU87" s="1052"/>
      <c r="BV87" s="1052"/>
      <c r="BW87" s="1764"/>
      <c r="BX87" s="1764"/>
      <c r="BY87" s="1764"/>
      <c r="BZ87" s="1764"/>
      <c r="CA87" s="1764"/>
      <c r="CB87" s="1764"/>
      <c r="CC87" s="1764"/>
      <c r="CD87" s="1764"/>
      <c r="CE87" s="1764"/>
      <c r="CF87" s="1764"/>
      <c r="CG87" s="1764"/>
      <c r="CH87" s="1764"/>
      <c r="CI87" s="1764"/>
      <c r="CJ87" s="1764"/>
      <c r="CK87" s="1764"/>
      <c r="CL87" s="1764"/>
      <c r="CM87" s="1764"/>
      <c r="CN87" s="1764"/>
      <c r="CO87" s="1764"/>
      <c r="CP87" s="1764"/>
      <c r="CQ87" s="1764"/>
      <c r="CR87" s="1764"/>
      <c r="CS87" s="1764"/>
      <c r="CT87" s="891"/>
      <c r="CU87" s="918"/>
      <c r="DD87" s="36"/>
      <c r="DE87" s="36"/>
      <c r="DF87" s="36"/>
      <c r="DG87" s="36"/>
      <c r="DH87" s="36"/>
      <c r="DI87" s="36"/>
      <c r="DJ87" s="36"/>
      <c r="DK87" s="1068"/>
      <c r="DS87" s="273" t="str">
        <f>IF($AB$87="","",$AB$87)</f>
        <v/>
      </c>
      <c r="EG87" s="172"/>
      <c r="EH87" s="172"/>
      <c r="EI87" s="172"/>
      <c r="EJ87" s="172"/>
      <c r="EK87" s="172"/>
      <c r="FV87" s="172"/>
      <c r="FW87" s="172"/>
      <c r="FX87" s="172"/>
      <c r="FY87" s="172"/>
      <c r="FZ87" s="172"/>
    </row>
    <row r="88" spans="1:183" s="172" customFormat="1" ht="27" customHeight="1" thickBot="1">
      <c r="A88" s="645"/>
      <c r="B88" s="645"/>
      <c r="C88" s="645"/>
      <c r="D88" s="645"/>
      <c r="E88" s="646"/>
      <c r="F88" s="381"/>
      <c r="G88" s="381"/>
      <c r="H88" s="381"/>
      <c r="I88" s="251"/>
      <c r="J88" s="39"/>
      <c r="K88" s="896"/>
      <c r="L88" s="896"/>
      <c r="M88" s="1823"/>
      <c r="N88" s="1823"/>
      <c r="O88" s="1823"/>
      <c r="P88" s="1823"/>
      <c r="Q88" s="1823"/>
      <c r="R88" s="1823"/>
      <c r="S88" s="1942"/>
      <c r="T88" s="1942"/>
      <c r="U88" s="1942"/>
      <c r="V88" s="1942"/>
      <c r="W88" s="1942"/>
      <c r="X88" s="1942"/>
      <c r="Y88" s="1942"/>
      <c r="Z88" s="1943" t="s">
        <v>927</v>
      </c>
      <c r="AA88" s="1943"/>
      <c r="AB88" s="1833"/>
      <c r="AC88" s="1833"/>
      <c r="AD88" s="1833"/>
      <c r="AE88" s="1833"/>
      <c r="AF88" s="1833"/>
      <c r="AG88" s="1833"/>
      <c r="AH88" s="1833"/>
      <c r="AI88" s="1774"/>
      <c r="AJ88" s="1774"/>
      <c r="AK88" s="1774"/>
      <c r="AL88" s="1774"/>
      <c r="AM88" s="1774"/>
      <c r="AN88" s="1774"/>
      <c r="AO88" s="1774"/>
      <c r="AP88" s="1774"/>
      <c r="AQ88" s="896" t="s">
        <v>4</v>
      </c>
      <c r="AR88" s="94"/>
      <c r="AS88" s="94"/>
      <c r="AT88" s="94"/>
      <c r="AU88" s="94"/>
      <c r="AV88" s="94"/>
      <c r="AW88" s="94"/>
      <c r="AX88" s="94"/>
      <c r="AY88" s="94"/>
      <c r="AZ88" s="77"/>
      <c r="BA88" s="94"/>
      <c r="BB88" s="94"/>
      <c r="BC88" s="94"/>
      <c r="BD88" s="94"/>
      <c r="BE88" s="94"/>
      <c r="BF88" s="94"/>
      <c r="BG88" s="94"/>
      <c r="BH88" s="94"/>
      <c r="BI88" s="94"/>
      <c r="BJ88" s="94"/>
      <c r="BK88" s="94"/>
      <c r="BL88" s="94"/>
      <c r="BM88" s="94"/>
      <c r="BN88" s="94"/>
      <c r="BO88" s="94"/>
      <c r="BP88" s="94"/>
      <c r="BQ88" s="94"/>
      <c r="BR88" s="94"/>
      <c r="BS88" s="94"/>
      <c r="BT88" s="94"/>
      <c r="BU88" s="1052"/>
      <c r="BV88" s="1052"/>
      <c r="BW88" s="1052"/>
      <c r="BX88" s="1052"/>
      <c r="BY88" s="1052"/>
      <c r="BZ88" s="1052"/>
      <c r="CA88" s="1052"/>
      <c r="CB88" s="1052"/>
      <c r="CC88" s="1052"/>
      <c r="CD88" s="1052"/>
      <c r="CE88" s="1052"/>
      <c r="CF88" s="1052"/>
      <c r="CG88" s="1052"/>
      <c r="CH88" s="1052"/>
      <c r="CI88" s="1052"/>
      <c r="CJ88" s="1052"/>
      <c r="CK88" s="1052"/>
      <c r="CL88" s="1052"/>
      <c r="CM88" s="1052"/>
      <c r="CN88" s="1052"/>
      <c r="CO88" s="1052"/>
      <c r="CP88" s="1052"/>
      <c r="CQ88" s="1052"/>
      <c r="CR88" s="1052"/>
      <c r="CS88" s="1052"/>
      <c r="CT88" s="1052"/>
      <c r="CU88" s="1077"/>
      <c r="CV88" s="1074"/>
      <c r="CW88" s="1074"/>
      <c r="CX88" s="1074"/>
      <c r="CY88" s="1074"/>
      <c r="CZ88" s="1074"/>
      <c r="DA88" s="1074"/>
      <c r="DB88" s="1074"/>
      <c r="DC88" s="369"/>
      <c r="DD88" s="1074"/>
      <c r="DE88" s="1074"/>
      <c r="DF88" s="1075"/>
      <c r="DG88" s="1075"/>
      <c r="DH88" s="1075"/>
      <c r="DI88" s="1075"/>
      <c r="DJ88" s="1075"/>
      <c r="DL88" s="1046"/>
      <c r="DM88" s="430" t="s">
        <v>2487</v>
      </c>
      <c r="DN88" s="425"/>
      <c r="DO88" s="431"/>
      <c r="DP88" s="431"/>
      <c r="DQ88" s="175"/>
      <c r="DS88" s="273" t="str">
        <f>IF($AB$88="","",$AB$88)</f>
        <v/>
      </c>
      <c r="FO88" s="1046"/>
      <c r="GA88" s="171"/>
    </row>
    <row r="89" spans="1:183" s="172" customFormat="1" ht="27" customHeight="1">
      <c r="A89" s="645"/>
      <c r="B89" s="645"/>
      <c r="C89" s="645"/>
      <c r="D89" s="645"/>
      <c r="E89" s="646"/>
      <c r="F89" s="381"/>
      <c r="G89" s="381"/>
      <c r="H89" s="381"/>
      <c r="I89" s="251"/>
      <c r="J89" s="39"/>
      <c r="K89" s="896"/>
      <c r="L89" s="896"/>
      <c r="M89" s="1823"/>
      <c r="N89" s="1823"/>
      <c r="O89" s="1823"/>
      <c r="P89" s="1823"/>
      <c r="Q89" s="1823"/>
      <c r="R89" s="1823"/>
      <c r="S89" s="1825" t="s">
        <v>1379</v>
      </c>
      <c r="T89" s="1826"/>
      <c r="U89" s="1826"/>
      <c r="V89" s="1826"/>
      <c r="W89" s="1826"/>
      <c r="X89" s="1826"/>
      <c r="Y89" s="1826"/>
      <c r="Z89" s="1826"/>
      <c r="AA89" s="1826"/>
      <c r="AB89" s="1850"/>
      <c r="AC89" s="1850"/>
      <c r="AD89" s="1850"/>
      <c r="AE89" s="1850"/>
      <c r="AF89" s="1850"/>
      <c r="AG89" s="1850"/>
      <c r="AH89" s="1849" t="s">
        <v>1165</v>
      </c>
      <c r="AI89" s="1849"/>
      <c r="AJ89" s="1849"/>
      <c r="AK89" s="1850"/>
      <c r="AL89" s="1850"/>
      <c r="AM89" s="1850"/>
      <c r="AN89" s="1850"/>
      <c r="AO89" s="1850"/>
      <c r="AP89" s="1850"/>
      <c r="AQ89" s="1861"/>
      <c r="AR89" s="1861"/>
      <c r="AS89" s="1861"/>
      <c r="AT89" s="1861"/>
      <c r="AU89" s="1861"/>
      <c r="AV89" s="1861"/>
      <c r="AW89" s="1861"/>
      <c r="AX89" s="1861"/>
      <c r="AY89" s="1861"/>
      <c r="AZ89" s="1861"/>
      <c r="BA89" s="1861"/>
      <c r="BB89" s="1861"/>
      <c r="BC89" s="1861"/>
      <c r="BD89" s="1861"/>
      <c r="BE89" s="1861"/>
      <c r="BF89" s="1861"/>
      <c r="BG89" s="1861"/>
      <c r="BH89" s="1861"/>
      <c r="BI89" s="1861"/>
      <c r="BJ89" s="1861"/>
      <c r="BK89" s="1861"/>
      <c r="BL89" s="1861"/>
      <c r="BM89" s="1861"/>
      <c r="BN89" s="1861"/>
      <c r="BO89" s="1861"/>
      <c r="BP89" s="1861"/>
      <c r="BQ89" s="1861"/>
      <c r="BR89" s="1861"/>
      <c r="BS89" s="1861"/>
      <c r="BT89" s="1861"/>
      <c r="BU89" s="1052"/>
      <c r="BV89" s="1052"/>
      <c r="BW89" s="1052"/>
      <c r="BX89" s="1052"/>
      <c r="BY89" s="1052"/>
      <c r="BZ89" s="1052"/>
      <c r="CA89" s="1052"/>
      <c r="CB89" s="1052"/>
      <c r="CC89" s="1052"/>
      <c r="CD89" s="1052"/>
      <c r="CE89" s="1052"/>
      <c r="CF89" s="1052"/>
      <c r="CG89" s="1052"/>
      <c r="CH89" s="1052"/>
      <c r="CI89" s="1052"/>
      <c r="CJ89" s="1052"/>
      <c r="CK89" s="1052"/>
      <c r="CL89" s="1052"/>
      <c r="CM89" s="1052"/>
      <c r="CN89" s="1052"/>
      <c r="CO89" s="1052"/>
      <c r="CP89" s="1052"/>
      <c r="CQ89" s="1052"/>
      <c r="CR89" s="1052"/>
      <c r="CS89" s="1052"/>
      <c r="CT89" s="1052"/>
      <c r="CU89" s="1077"/>
      <c r="CV89" s="1074"/>
      <c r="CW89" s="1074"/>
      <c r="CX89" s="1074"/>
      <c r="CY89" s="1074"/>
      <c r="CZ89" s="1074"/>
      <c r="DA89" s="1074"/>
      <c r="DB89" s="1074"/>
      <c r="DC89" s="369"/>
      <c r="DD89" s="1074"/>
      <c r="DE89" s="1074"/>
      <c r="DF89" s="1075"/>
      <c r="DG89" s="1075"/>
      <c r="DH89" s="1075"/>
      <c r="DI89" s="1075"/>
      <c r="DJ89" s="1075"/>
      <c r="DL89" s="1046"/>
      <c r="DM89" s="280" t="str">
        <f>CONCATENATE(AB89,"-",AK89)</f>
        <v>-</v>
      </c>
      <c r="DN89" s="280" t="str">
        <f>ASC(DM89)</f>
        <v>-</v>
      </c>
      <c r="DO89" s="308">
        <f>IF(DS78=TRUE,DS62,AB89)</f>
        <v>0</v>
      </c>
      <c r="DP89" s="308">
        <f>IF(DS78=TRUE,DT62,AK89)</f>
        <v>0</v>
      </c>
      <c r="DQ89" s="175"/>
      <c r="DS89" s="273" t="str">
        <f>IF($DN$71="","",$DN$71)</f>
        <v>-</v>
      </c>
      <c r="EG89" s="167"/>
      <c r="EH89" s="167"/>
      <c r="EI89" s="167"/>
      <c r="EJ89" s="167"/>
      <c r="EK89" s="167"/>
      <c r="FO89" s="1046"/>
      <c r="FV89" s="167"/>
      <c r="FW89" s="167"/>
      <c r="FX89" s="167"/>
      <c r="FY89" s="167"/>
      <c r="FZ89" s="167"/>
      <c r="GA89" s="171"/>
    </row>
    <row r="90" spans="1:183" s="172" customFormat="1" ht="27" customHeight="1">
      <c r="A90" s="645"/>
      <c r="B90" s="645"/>
      <c r="C90" s="645"/>
      <c r="D90" s="645"/>
      <c r="E90" s="646"/>
      <c r="F90" s="381"/>
      <c r="G90" s="381"/>
      <c r="H90" s="381"/>
      <c r="I90" s="251"/>
      <c r="J90" s="39"/>
      <c r="K90" s="896"/>
      <c r="L90" s="896"/>
      <c r="M90" s="1823"/>
      <c r="N90" s="1823"/>
      <c r="O90" s="1823"/>
      <c r="P90" s="1823"/>
      <c r="Q90" s="1823"/>
      <c r="R90" s="1823"/>
      <c r="S90" s="1846" t="s">
        <v>245</v>
      </c>
      <c r="T90" s="1848"/>
      <c r="U90" s="1848"/>
      <c r="V90" s="1848"/>
      <c r="W90" s="1848"/>
      <c r="X90" s="1848"/>
      <c r="Y90" s="1848"/>
      <c r="Z90" s="1848"/>
      <c r="AA90" s="1848"/>
      <c r="AB90" s="2243"/>
      <c r="AC90" s="2243"/>
      <c r="AD90" s="2243"/>
      <c r="AE90" s="2243"/>
      <c r="AF90" s="2243"/>
      <c r="AG90" s="2243"/>
      <c r="AH90" s="2243"/>
      <c r="AI90" s="2243"/>
      <c r="AJ90" s="2243"/>
      <c r="AK90" s="2243"/>
      <c r="AL90" s="2243"/>
      <c r="AM90" s="2243"/>
      <c r="AN90" s="2295"/>
      <c r="AO90" s="2295"/>
      <c r="AP90" s="2295"/>
      <c r="AQ90" s="2295"/>
      <c r="AR90" s="2295"/>
      <c r="AS90" s="2295"/>
      <c r="AT90" s="2295"/>
      <c r="AU90" s="2295"/>
      <c r="AV90" s="2295"/>
      <c r="AW90" s="2295"/>
      <c r="AX90" s="2295"/>
      <c r="AY90" s="2295"/>
      <c r="AZ90" s="2295"/>
      <c r="BA90" s="2295"/>
      <c r="BB90" s="2295"/>
      <c r="BC90" s="2295"/>
      <c r="BD90" s="2295"/>
      <c r="BE90" s="2295"/>
      <c r="BF90" s="2295"/>
      <c r="BG90" s="2295"/>
      <c r="BH90" s="2295"/>
      <c r="BI90" s="2295"/>
      <c r="BJ90" s="2295"/>
      <c r="BK90" s="2295"/>
      <c r="BL90" s="2295"/>
      <c r="BM90" s="2295"/>
      <c r="BN90" s="2295"/>
      <c r="BO90" s="2295"/>
      <c r="BP90" s="2295"/>
      <c r="BQ90" s="2295"/>
      <c r="BR90" s="2295"/>
      <c r="BS90" s="2295"/>
      <c r="BT90" s="2295"/>
      <c r="BU90" s="1052"/>
      <c r="BV90" s="731" t="s">
        <v>2782</v>
      </c>
      <c r="BW90" s="1764" t="s">
        <v>2786</v>
      </c>
      <c r="BX90" s="1764"/>
      <c r="BY90" s="1764"/>
      <c r="BZ90" s="1764"/>
      <c r="CA90" s="1764"/>
      <c r="CB90" s="1764"/>
      <c r="CC90" s="1764"/>
      <c r="CD90" s="1764"/>
      <c r="CE90" s="1764"/>
      <c r="CF90" s="1764"/>
      <c r="CG90" s="1764"/>
      <c r="CH90" s="1764"/>
      <c r="CI90" s="1764"/>
      <c r="CJ90" s="1764"/>
      <c r="CK90" s="1764"/>
      <c r="CL90" s="1764"/>
      <c r="CM90" s="1764"/>
      <c r="CN90" s="1764"/>
      <c r="CO90" s="1764"/>
      <c r="CP90" s="1764"/>
      <c r="CQ90" s="1764"/>
      <c r="CR90" s="1764"/>
      <c r="CS90" s="1764"/>
      <c r="CT90" s="891"/>
      <c r="CU90" s="918"/>
      <c r="CV90" s="1074"/>
      <c r="CW90" s="1074"/>
      <c r="CX90" s="1074"/>
      <c r="CY90" s="1074"/>
      <c r="CZ90" s="1074"/>
      <c r="DA90" s="1074"/>
      <c r="DB90" s="1074"/>
      <c r="DC90" s="369"/>
      <c r="DD90" s="1074"/>
      <c r="DE90" s="1074"/>
      <c r="DF90" s="1075"/>
      <c r="DG90" s="1075"/>
      <c r="DH90" s="1075"/>
      <c r="DI90" s="1075"/>
      <c r="DJ90" s="1075"/>
      <c r="DL90" s="1046"/>
      <c r="DM90" s="281" t="s">
        <v>2488</v>
      </c>
      <c r="DN90" s="281"/>
      <c r="DO90" s="175"/>
      <c r="DP90" s="175"/>
      <c r="DQ90" s="175"/>
      <c r="DS90" s="273" t="str">
        <f>IF($AB$72="","",$AB$72)</f>
        <v/>
      </c>
      <c r="EG90" s="167"/>
      <c r="EH90" s="167"/>
      <c r="EI90" s="167"/>
      <c r="EJ90" s="167"/>
      <c r="EK90" s="167"/>
      <c r="FO90" s="1046"/>
      <c r="FV90" s="167"/>
      <c r="FW90" s="167"/>
      <c r="FX90" s="167"/>
      <c r="FY90" s="167"/>
      <c r="FZ90" s="167"/>
      <c r="GA90" s="171"/>
    </row>
    <row r="91" spans="1:183" s="172" customFormat="1" ht="27" customHeight="1" thickBot="1">
      <c r="A91" s="645"/>
      <c r="B91" s="645"/>
      <c r="C91" s="645"/>
      <c r="D91" s="645"/>
      <c r="E91" s="646"/>
      <c r="F91" s="381"/>
      <c r="G91" s="381"/>
      <c r="H91" s="381"/>
      <c r="I91" s="251"/>
      <c r="J91" s="40"/>
      <c r="K91" s="912"/>
      <c r="L91" s="912"/>
      <c r="M91" s="2271"/>
      <c r="N91" s="2271"/>
      <c r="O91" s="2271"/>
      <c r="P91" s="2271"/>
      <c r="Q91" s="2271"/>
      <c r="R91" s="2271"/>
      <c r="S91" s="1829" t="s">
        <v>1380</v>
      </c>
      <c r="T91" s="1830"/>
      <c r="U91" s="1830"/>
      <c r="V91" s="1830"/>
      <c r="W91" s="1830"/>
      <c r="X91" s="1830"/>
      <c r="Y91" s="1830"/>
      <c r="Z91" s="1830"/>
      <c r="AA91" s="1830"/>
      <c r="AB91" s="1799"/>
      <c r="AC91" s="1799"/>
      <c r="AD91" s="1799"/>
      <c r="AE91" s="1799"/>
      <c r="AF91" s="1799"/>
      <c r="AG91" s="1799"/>
      <c r="AH91" s="1841" t="s">
        <v>1165</v>
      </c>
      <c r="AI91" s="1841"/>
      <c r="AJ91" s="1841"/>
      <c r="AK91" s="1799"/>
      <c r="AL91" s="1799"/>
      <c r="AM91" s="1799"/>
      <c r="AN91" s="1799"/>
      <c r="AO91" s="1799"/>
      <c r="AP91" s="1799"/>
      <c r="AQ91" s="1841" t="s">
        <v>1165</v>
      </c>
      <c r="AR91" s="1841"/>
      <c r="AS91" s="1841"/>
      <c r="AT91" s="1799"/>
      <c r="AU91" s="1799"/>
      <c r="AV91" s="1799"/>
      <c r="AW91" s="1799"/>
      <c r="AX91" s="1799"/>
      <c r="AY91" s="1799"/>
      <c r="AZ91" s="2234"/>
      <c r="BA91" s="2234"/>
      <c r="BB91" s="2234"/>
      <c r="BC91" s="2234"/>
      <c r="BD91" s="2234"/>
      <c r="BE91" s="2234"/>
      <c r="BF91" s="2234"/>
      <c r="BG91" s="2234"/>
      <c r="BH91" s="2234"/>
      <c r="BI91" s="2234"/>
      <c r="BJ91" s="2234"/>
      <c r="BK91" s="2234"/>
      <c r="BL91" s="2234"/>
      <c r="BM91" s="2234"/>
      <c r="BN91" s="2234"/>
      <c r="BO91" s="2234"/>
      <c r="BP91" s="2234"/>
      <c r="BQ91" s="2234"/>
      <c r="BR91" s="2234"/>
      <c r="BS91" s="2234"/>
      <c r="BT91" s="2234"/>
      <c r="BU91" s="1067"/>
      <c r="BV91" s="723"/>
      <c r="BW91" s="1765"/>
      <c r="BX91" s="1765"/>
      <c r="BY91" s="1765"/>
      <c r="BZ91" s="1765"/>
      <c r="CA91" s="1765"/>
      <c r="CB91" s="1765"/>
      <c r="CC91" s="1765"/>
      <c r="CD91" s="1765"/>
      <c r="CE91" s="1765"/>
      <c r="CF91" s="1765"/>
      <c r="CG91" s="1765"/>
      <c r="CH91" s="1765"/>
      <c r="CI91" s="1765"/>
      <c r="CJ91" s="1765"/>
      <c r="CK91" s="1765"/>
      <c r="CL91" s="1765"/>
      <c r="CM91" s="1765"/>
      <c r="CN91" s="1765"/>
      <c r="CO91" s="1765"/>
      <c r="CP91" s="1765"/>
      <c r="CQ91" s="1765"/>
      <c r="CR91" s="1765"/>
      <c r="CS91" s="1765"/>
      <c r="CT91" s="925"/>
      <c r="CU91" s="926"/>
      <c r="CV91" s="398"/>
      <c r="CW91" s="398"/>
      <c r="CX91" s="398"/>
      <c r="CY91" s="398"/>
      <c r="CZ91" s="398"/>
      <c r="DA91" s="398"/>
      <c r="DB91" s="398"/>
      <c r="DC91" s="35"/>
      <c r="DD91" s="36"/>
      <c r="DE91" s="36"/>
      <c r="DF91" s="36"/>
      <c r="DG91" s="36"/>
      <c r="DH91" s="36"/>
      <c r="DI91" s="36"/>
      <c r="DJ91" s="36"/>
      <c r="DK91" s="1068"/>
      <c r="DL91" s="1046"/>
      <c r="DM91" s="280" t="str">
        <f>CONCATENATE(AB91,"-",AK91,"-",AT91)</f>
        <v>--</v>
      </c>
      <c r="DN91" s="280" t="str">
        <f>ASC(DM91)</f>
        <v>--</v>
      </c>
      <c r="DO91" s="308">
        <f>IF(DS78=TRUE,DS64,AB91)</f>
        <v>0</v>
      </c>
      <c r="DP91" s="308">
        <f>IF(DS78=TRUE,DT64,AK91)</f>
        <v>0</v>
      </c>
      <c r="DQ91" s="308">
        <f>IF(DS78=TRUE,DU64,AT91)</f>
        <v>0</v>
      </c>
      <c r="DS91" s="273" t="str">
        <f>IF($DN$73="","",$DN$73)</f>
        <v>--</v>
      </c>
      <c r="EG91" s="167"/>
      <c r="EH91" s="167"/>
      <c r="EI91" s="167"/>
      <c r="EJ91" s="167"/>
      <c r="EK91" s="167"/>
      <c r="FO91" s="1046"/>
      <c r="FV91" s="167"/>
      <c r="FW91" s="167"/>
      <c r="FX91" s="167"/>
      <c r="FY91" s="167"/>
      <c r="FZ91" s="167"/>
      <c r="GA91" s="171"/>
    </row>
    <row r="92" spans="1:183" ht="15" customHeight="1">
      <c r="A92" s="645"/>
      <c r="B92" s="645"/>
      <c r="C92" s="645"/>
      <c r="D92" s="645"/>
      <c r="E92" s="646"/>
      <c r="BU92" s="1044"/>
      <c r="BX92" s="727"/>
      <c r="DD92" s="36"/>
      <c r="DE92" s="36"/>
      <c r="DF92" s="36"/>
      <c r="DG92" s="36"/>
      <c r="DH92" s="36"/>
      <c r="DI92" s="36"/>
      <c r="DJ92" s="36"/>
      <c r="EG92" s="174"/>
      <c r="EH92" s="174"/>
      <c r="EI92" s="174"/>
      <c r="EJ92" s="174"/>
      <c r="EK92" s="174"/>
      <c r="FV92" s="174"/>
      <c r="FW92" s="174"/>
      <c r="FX92" s="174"/>
      <c r="FY92" s="174"/>
      <c r="FZ92" s="174"/>
    </row>
    <row r="93" spans="1:183" ht="2.15" customHeight="1">
      <c r="A93" s="645"/>
      <c r="B93" s="645"/>
      <c r="C93" s="645"/>
      <c r="D93" s="645"/>
      <c r="E93" s="646"/>
      <c r="BU93" s="1044"/>
      <c r="BX93" s="727"/>
      <c r="DD93" s="36"/>
      <c r="DE93" s="36"/>
      <c r="DF93" s="36"/>
      <c r="DG93" s="36"/>
      <c r="DH93" s="36"/>
      <c r="DI93" s="36"/>
      <c r="DJ93" s="36"/>
      <c r="EG93" s="174"/>
      <c r="EH93" s="174"/>
      <c r="EI93" s="174"/>
      <c r="EJ93" s="174"/>
      <c r="EK93" s="174"/>
      <c r="FV93" s="174"/>
      <c r="FW93" s="174"/>
      <c r="FX93" s="174"/>
      <c r="FY93" s="174"/>
      <c r="FZ93" s="174"/>
    </row>
    <row r="94" spans="1:183" ht="2.15" customHeight="1">
      <c r="A94" s="645"/>
      <c r="B94" s="645"/>
      <c r="C94" s="645"/>
      <c r="D94" s="645"/>
      <c r="E94" s="646"/>
      <c r="BU94" s="1044"/>
      <c r="BX94" s="727"/>
      <c r="DD94" s="36"/>
      <c r="DE94" s="36"/>
      <c r="DF94" s="36"/>
      <c r="DG94" s="36"/>
      <c r="DH94" s="36"/>
      <c r="DI94" s="36"/>
      <c r="DJ94" s="36"/>
      <c r="EG94" s="174"/>
      <c r="EH94" s="174"/>
      <c r="EI94" s="174"/>
      <c r="EJ94" s="174"/>
      <c r="EK94" s="174"/>
      <c r="FV94" s="174"/>
      <c r="FW94" s="174"/>
      <c r="FX94" s="174"/>
      <c r="FY94" s="174"/>
      <c r="FZ94" s="174"/>
    </row>
    <row r="95" spans="1:183" ht="2.15" customHeight="1" thickBot="1">
      <c r="A95" s="645"/>
      <c r="B95" s="645"/>
      <c r="C95" s="645"/>
      <c r="D95" s="645"/>
      <c r="E95" s="646"/>
      <c r="BU95" s="1044"/>
      <c r="BX95" s="727"/>
      <c r="DD95" s="36"/>
      <c r="DE95" s="36"/>
      <c r="DF95" s="36"/>
      <c r="DG95" s="36"/>
      <c r="DH95" s="36"/>
      <c r="DI95" s="36"/>
      <c r="DJ95" s="36"/>
      <c r="EG95" s="174"/>
      <c r="EH95" s="174"/>
      <c r="EI95" s="174"/>
      <c r="EJ95" s="174"/>
      <c r="EK95" s="174"/>
      <c r="FV95" s="174"/>
      <c r="FW95" s="174"/>
      <c r="FX95" s="174"/>
      <c r="FY95" s="174"/>
      <c r="FZ95" s="174"/>
    </row>
    <row r="96" spans="1:183" ht="35.15" customHeight="1" thickBot="1">
      <c r="A96" s="645"/>
      <c r="B96" s="645"/>
      <c r="C96" s="645"/>
      <c r="D96" s="645"/>
      <c r="E96" s="646"/>
      <c r="J96" s="1831" t="s">
        <v>1028</v>
      </c>
      <c r="K96" s="1832"/>
      <c r="L96" s="1832"/>
      <c r="M96" s="1832"/>
      <c r="N96" s="1832"/>
      <c r="O96" s="1832"/>
      <c r="P96" s="1832"/>
      <c r="Q96" s="1832"/>
      <c r="R96" s="1832"/>
      <c r="S96" s="1832"/>
      <c r="T96" s="1832"/>
      <c r="U96" s="1832"/>
      <c r="V96" s="1832"/>
      <c r="W96" s="1832"/>
      <c r="X96" s="1832"/>
      <c r="Y96" s="1832"/>
      <c r="Z96" s="1832"/>
      <c r="AA96" s="1832"/>
      <c r="AB96" s="2225"/>
      <c r="AC96" s="2225"/>
      <c r="AD96" s="2225"/>
      <c r="AE96" s="2225"/>
      <c r="AF96" s="2225"/>
      <c r="AG96" s="2225"/>
      <c r="AH96" s="2225"/>
      <c r="AI96" s="1858"/>
      <c r="AJ96" s="1859"/>
      <c r="AK96" s="1859"/>
      <c r="AL96" s="1859"/>
      <c r="AM96" s="1859"/>
      <c r="AN96" s="2293" t="str">
        <f>IF($DS$96=TRUE,"→勤務先が同一の場合は勤務先欄は記入不要です","")</f>
        <v/>
      </c>
      <c r="AO96" s="2294"/>
      <c r="AP96" s="2294"/>
      <c r="AQ96" s="2294"/>
      <c r="AR96" s="2294"/>
      <c r="AS96" s="2294"/>
      <c r="AT96" s="2294"/>
      <c r="AU96" s="2294"/>
      <c r="AV96" s="2294"/>
      <c r="AW96" s="2294"/>
      <c r="AX96" s="2294"/>
      <c r="AY96" s="2294"/>
      <c r="AZ96" s="2294"/>
      <c r="BA96" s="2294"/>
      <c r="BB96" s="2294"/>
      <c r="BC96" s="2294"/>
      <c r="BD96" s="2294"/>
      <c r="BE96" s="2294"/>
      <c r="BF96" s="2294"/>
      <c r="BG96" s="2294"/>
      <c r="BH96" s="2294"/>
      <c r="BI96" s="2294"/>
      <c r="BJ96" s="2294"/>
      <c r="BK96" s="2294"/>
      <c r="BL96" s="1775" t="s">
        <v>1699</v>
      </c>
      <c r="BM96" s="1776"/>
      <c r="BN96" s="1776"/>
      <c r="BO96" s="1776"/>
      <c r="BP96" s="1776"/>
      <c r="BQ96" s="1776"/>
      <c r="BR96" s="1776"/>
      <c r="BS96" s="1776"/>
      <c r="BT96" s="1776"/>
      <c r="BU96" s="1078"/>
      <c r="BV96" s="728" t="s">
        <v>2782</v>
      </c>
      <c r="BW96" s="1911" t="s">
        <v>2784</v>
      </c>
      <c r="BX96" s="1911"/>
      <c r="BY96" s="1911"/>
      <c r="BZ96" s="1911"/>
      <c r="CA96" s="1911"/>
      <c r="CB96" s="1911"/>
      <c r="CC96" s="1911"/>
      <c r="CD96" s="1911"/>
      <c r="CE96" s="1911"/>
      <c r="CF96" s="1911"/>
      <c r="CG96" s="1911"/>
      <c r="CH96" s="1911"/>
      <c r="CI96" s="1911"/>
      <c r="CJ96" s="1911"/>
      <c r="CK96" s="1911"/>
      <c r="CL96" s="1911"/>
      <c r="CM96" s="1911"/>
      <c r="CN96" s="1911"/>
      <c r="CO96" s="1911"/>
      <c r="CP96" s="1911"/>
      <c r="CQ96" s="1911"/>
      <c r="CR96" s="1911"/>
      <c r="CS96" s="1911"/>
      <c r="CT96" s="728"/>
      <c r="CU96" s="729"/>
      <c r="DD96" s="36"/>
      <c r="DE96" s="36"/>
      <c r="DF96" s="36"/>
      <c r="DG96" s="36"/>
      <c r="DH96" s="36"/>
      <c r="DI96" s="36"/>
      <c r="DJ96" s="36"/>
      <c r="DK96" s="1068"/>
      <c r="DM96" s="274" t="s">
        <v>1146</v>
      </c>
      <c r="DN96" s="274" t="s">
        <v>1147</v>
      </c>
      <c r="DS96" s="428" t="b">
        <v>0</v>
      </c>
      <c r="EG96" s="172"/>
      <c r="EH96" s="172"/>
      <c r="EI96" s="172"/>
      <c r="EJ96" s="172"/>
      <c r="EK96" s="172"/>
      <c r="FV96" s="172"/>
      <c r="FW96" s="172"/>
      <c r="FX96" s="172"/>
      <c r="FY96" s="172"/>
      <c r="FZ96" s="172"/>
    </row>
    <row r="97" spans="1:183" s="172" customFormat="1" ht="27" customHeight="1" thickBot="1">
      <c r="A97" s="645"/>
      <c r="B97" s="645"/>
      <c r="C97" s="645"/>
      <c r="D97" s="645"/>
      <c r="E97" s="646"/>
      <c r="F97" s="381"/>
      <c r="G97" s="381"/>
      <c r="H97" s="381"/>
      <c r="I97" s="251"/>
      <c r="J97" s="39"/>
      <c r="K97" s="896"/>
      <c r="L97" s="896"/>
      <c r="M97" s="1834" t="s">
        <v>926</v>
      </c>
      <c r="N97" s="1834"/>
      <c r="O97" s="1834"/>
      <c r="P97" s="1834"/>
      <c r="Q97" s="1834"/>
      <c r="R97" s="1834"/>
      <c r="S97" s="1827" t="s">
        <v>1087</v>
      </c>
      <c r="T97" s="1828"/>
      <c r="U97" s="1828"/>
      <c r="V97" s="1828"/>
      <c r="W97" s="1828"/>
      <c r="X97" s="1828"/>
      <c r="Y97" s="1828"/>
      <c r="Z97" s="1828"/>
      <c r="AA97" s="1828"/>
      <c r="AB97" s="1854"/>
      <c r="AC97" s="1854"/>
      <c r="AD97" s="1854"/>
      <c r="AE97" s="1854"/>
      <c r="AF97" s="1855"/>
      <c r="AG97" s="1855"/>
      <c r="AH97" s="1855"/>
      <c r="AI97" s="1855"/>
      <c r="AJ97" s="1855"/>
      <c r="AK97" s="1855"/>
      <c r="AL97" s="1855"/>
      <c r="AM97" s="1855"/>
      <c r="AN97" s="1855"/>
      <c r="AO97" s="1855"/>
      <c r="AP97" s="1855"/>
      <c r="AQ97" s="898"/>
      <c r="AR97" s="50"/>
      <c r="AS97" s="50"/>
      <c r="AT97" s="50"/>
      <c r="AU97" s="50"/>
      <c r="AV97" s="50"/>
      <c r="AW97" s="50"/>
      <c r="AX97" s="50"/>
      <c r="AY97" s="50"/>
      <c r="AZ97" s="1079"/>
      <c r="BA97" s="50"/>
      <c r="BB97" s="50"/>
      <c r="BC97" s="50"/>
      <c r="BD97" s="50"/>
      <c r="BE97" s="50"/>
      <c r="BF97" s="50"/>
      <c r="BG97" s="50"/>
      <c r="BH97" s="50"/>
      <c r="BI97" s="50"/>
      <c r="BJ97" s="50"/>
      <c r="BK97" s="50"/>
      <c r="BL97" s="50"/>
      <c r="BM97" s="50"/>
      <c r="BN97" s="50"/>
      <c r="BO97" s="50"/>
      <c r="BP97" s="50"/>
      <c r="BQ97" s="50"/>
      <c r="BR97" s="50"/>
      <c r="BS97" s="50"/>
      <c r="BT97" s="50"/>
      <c r="BU97" s="1080"/>
      <c r="BV97" s="1052"/>
      <c r="BW97" s="1764" t="s">
        <v>2783</v>
      </c>
      <c r="BX97" s="1764"/>
      <c r="BY97" s="1764"/>
      <c r="BZ97" s="1764"/>
      <c r="CA97" s="1764"/>
      <c r="CB97" s="1764"/>
      <c r="CC97" s="1764"/>
      <c r="CD97" s="1764"/>
      <c r="CE97" s="1764"/>
      <c r="CF97" s="1764"/>
      <c r="CG97" s="1764"/>
      <c r="CH97" s="1764"/>
      <c r="CI97" s="1764"/>
      <c r="CJ97" s="1764"/>
      <c r="CK97" s="1764"/>
      <c r="CL97" s="1764"/>
      <c r="CM97" s="1764"/>
      <c r="CN97" s="1764"/>
      <c r="CO97" s="1764"/>
      <c r="CP97" s="1764"/>
      <c r="CQ97" s="1764"/>
      <c r="CR97" s="1764"/>
      <c r="CS97" s="1764"/>
      <c r="CT97" s="891"/>
      <c r="CU97" s="918"/>
      <c r="CV97" s="398"/>
      <c r="CW97" s="398"/>
      <c r="CX97" s="398"/>
      <c r="CY97" s="398"/>
      <c r="CZ97" s="398"/>
      <c r="DA97" s="398"/>
      <c r="DB97" s="398"/>
      <c r="DC97" s="35"/>
      <c r="DD97" s="36"/>
      <c r="DE97" s="36"/>
      <c r="DF97" s="36"/>
      <c r="DG97" s="36"/>
      <c r="DH97" s="36"/>
      <c r="DI97" s="36"/>
      <c r="DJ97" s="36"/>
      <c r="DK97" s="1068"/>
      <c r="DL97" s="1046"/>
      <c r="DM97" s="177">
        <f>IF(AB97="",0,IF(AB97="特定建築物調査員",1,2))</f>
        <v>0</v>
      </c>
      <c r="DN97" s="36"/>
      <c r="DO97" s="171"/>
      <c r="DP97" s="171"/>
      <c r="DQ97" s="171"/>
      <c r="DS97" s="424" t="str">
        <f>IF(DM97=2,LEFT($AB97,2),"")</f>
        <v/>
      </c>
      <c r="DT97" s="167"/>
      <c r="FO97" s="1046"/>
      <c r="GA97" s="171"/>
    </row>
    <row r="98" spans="1:183" ht="27" customHeight="1" thickBot="1">
      <c r="A98" s="645"/>
      <c r="B98" s="645"/>
      <c r="C98" s="645"/>
      <c r="D98" s="645"/>
      <c r="E98" s="646"/>
      <c r="J98" s="88"/>
      <c r="K98" s="89"/>
      <c r="L98" s="89"/>
      <c r="M98" s="1941"/>
      <c r="N98" s="1941"/>
      <c r="O98" s="1941"/>
      <c r="P98" s="1941"/>
      <c r="Q98" s="1941"/>
      <c r="R98" s="1941"/>
      <c r="S98" s="1800" t="s">
        <v>701</v>
      </c>
      <c r="T98" s="2268"/>
      <c r="U98" s="2268"/>
      <c r="V98" s="2268"/>
      <c r="W98" s="2268"/>
      <c r="X98" s="2268"/>
      <c r="Y98" s="896"/>
      <c r="Z98" s="1838"/>
      <c r="AA98" s="1838"/>
      <c r="AB98" s="1772"/>
      <c r="AC98" s="1772"/>
      <c r="AD98" s="1772"/>
      <c r="AE98" s="1772"/>
      <c r="AF98" s="1772"/>
      <c r="AG98" s="1772"/>
      <c r="AH98" s="1773"/>
      <c r="AI98" s="1774"/>
      <c r="AJ98" s="1774"/>
      <c r="AK98" s="1774"/>
      <c r="AL98" s="1774"/>
      <c r="AM98" s="1774"/>
      <c r="AN98" s="1774"/>
      <c r="AO98" s="1774"/>
      <c r="AP98" s="1774"/>
      <c r="AQ98" s="896" t="s">
        <v>687</v>
      </c>
      <c r="AR98" s="77"/>
      <c r="AS98" s="77"/>
      <c r="AT98" s="77"/>
      <c r="AU98" s="77"/>
      <c r="AV98" s="77"/>
      <c r="AW98" s="77"/>
      <c r="AX98" s="77"/>
      <c r="AY98" s="77"/>
      <c r="AZ98" s="77"/>
      <c r="BA98" s="77"/>
      <c r="BB98" s="77"/>
      <c r="BC98" s="77"/>
      <c r="BD98" s="77"/>
      <c r="BE98" s="77"/>
      <c r="BF98" s="77"/>
      <c r="BG98" s="77"/>
      <c r="BH98" s="77"/>
      <c r="BI98" s="77"/>
      <c r="BJ98" s="77"/>
      <c r="BK98" s="77"/>
      <c r="BL98" s="77"/>
      <c r="BM98" s="77"/>
      <c r="BN98" s="77"/>
      <c r="BO98" s="77"/>
      <c r="BP98" s="77"/>
      <c r="BQ98" s="77"/>
      <c r="BR98" s="77"/>
      <c r="BS98" s="77"/>
      <c r="BT98" s="77"/>
      <c r="BU98" s="1062"/>
      <c r="BV98" s="1052"/>
      <c r="BW98" s="1764"/>
      <c r="BX98" s="1764"/>
      <c r="BY98" s="1764"/>
      <c r="BZ98" s="1764"/>
      <c r="CA98" s="1764"/>
      <c r="CB98" s="1764"/>
      <c r="CC98" s="1764"/>
      <c r="CD98" s="1764"/>
      <c r="CE98" s="1764"/>
      <c r="CF98" s="1764"/>
      <c r="CG98" s="1764"/>
      <c r="CH98" s="1764"/>
      <c r="CI98" s="1764"/>
      <c r="CJ98" s="1764"/>
      <c r="CK98" s="1764"/>
      <c r="CL98" s="1764"/>
      <c r="CM98" s="1764"/>
      <c r="CN98" s="1764"/>
      <c r="CO98" s="1764"/>
      <c r="CP98" s="1764"/>
      <c r="CQ98" s="1764"/>
      <c r="CR98" s="1764"/>
      <c r="CS98" s="1764"/>
      <c r="CT98" s="891"/>
      <c r="CU98" s="918"/>
      <c r="DD98" s="36"/>
      <c r="DE98" s="36"/>
      <c r="DF98" s="36"/>
      <c r="DG98" s="36"/>
      <c r="DH98" s="36"/>
      <c r="DI98" s="36"/>
      <c r="DJ98" s="36"/>
      <c r="DK98" s="1068"/>
      <c r="DM98" s="259">
        <f>IF(OR($AB$97="一級建築士",$AB$97="二級建築士"),1,0)</f>
        <v>0</v>
      </c>
      <c r="DN98" s="36" t="str">
        <f>LEFT(AB97,2)</f>
        <v/>
      </c>
      <c r="DO98" s="381"/>
      <c r="DP98" s="381"/>
      <c r="DQ98" s="381"/>
      <c r="DS98" s="190" t="str">
        <f>IF(AB98="","",AB98)</f>
        <v/>
      </c>
      <c r="EG98" s="172"/>
      <c r="EH98" s="172"/>
      <c r="EI98" s="172"/>
      <c r="EJ98" s="172"/>
      <c r="EK98" s="172"/>
      <c r="FV98" s="172"/>
      <c r="FW98" s="172"/>
      <c r="FX98" s="172"/>
      <c r="FY98" s="172"/>
      <c r="FZ98" s="172"/>
    </row>
    <row r="99" spans="1:183" ht="27" customHeight="1">
      <c r="A99" s="645"/>
      <c r="B99" s="645"/>
      <c r="C99" s="645"/>
      <c r="D99" s="645"/>
      <c r="E99" s="646"/>
      <c r="J99" s="88"/>
      <c r="K99" s="89"/>
      <c r="L99" s="89"/>
      <c r="M99" s="1941"/>
      <c r="N99" s="1941"/>
      <c r="O99" s="1941"/>
      <c r="P99" s="1941"/>
      <c r="Q99" s="1941"/>
      <c r="R99" s="1941"/>
      <c r="S99" s="2269"/>
      <c r="T99" s="2269"/>
      <c r="U99" s="2269"/>
      <c r="V99" s="2269"/>
      <c r="W99" s="2269"/>
      <c r="X99" s="2269"/>
      <c r="Y99" s="896"/>
      <c r="Z99" s="1838" t="s">
        <v>3</v>
      </c>
      <c r="AA99" s="1838"/>
      <c r="AB99" s="1770"/>
      <c r="AC99" s="1770"/>
      <c r="AD99" s="1770"/>
      <c r="AE99" s="1770"/>
      <c r="AF99" s="1770"/>
      <c r="AG99" s="1770"/>
      <c r="AH99" s="1770"/>
      <c r="AI99" s="1771"/>
      <c r="AJ99" s="1771"/>
      <c r="AK99" s="1771"/>
      <c r="AL99" s="1771"/>
      <c r="AM99" s="1771"/>
      <c r="AN99" s="1771"/>
      <c r="AO99" s="1771"/>
      <c r="AP99" s="1771"/>
      <c r="AQ99" s="94" t="s">
        <v>4</v>
      </c>
      <c r="AR99" s="77"/>
      <c r="AS99" s="77"/>
      <c r="AT99" s="77"/>
      <c r="AU99" s="77"/>
      <c r="AV99" s="77"/>
      <c r="AW99" s="77"/>
      <c r="AX99" s="77"/>
      <c r="AY99" s="77"/>
      <c r="AZ99" s="77"/>
      <c r="BA99" s="77"/>
      <c r="BB99" s="77"/>
      <c r="BC99" s="77"/>
      <c r="BD99" s="77"/>
      <c r="BE99" s="77"/>
      <c r="BF99" s="77"/>
      <c r="BG99" s="77"/>
      <c r="BH99" s="77"/>
      <c r="BI99" s="77"/>
      <c r="BJ99" s="77"/>
      <c r="BK99" s="77"/>
      <c r="BL99" s="77"/>
      <c r="BM99" s="77"/>
      <c r="BN99" s="77"/>
      <c r="BO99" s="77"/>
      <c r="BP99" s="77"/>
      <c r="BQ99" s="77"/>
      <c r="BR99" s="77"/>
      <c r="BS99" s="77"/>
      <c r="BT99" s="77"/>
      <c r="BU99" s="1062"/>
      <c r="BV99" s="1052"/>
      <c r="BW99" s="1052"/>
      <c r="BX99" s="1052"/>
      <c r="BY99" s="1052"/>
      <c r="BZ99" s="1052"/>
      <c r="CA99" s="1052"/>
      <c r="CB99" s="1052"/>
      <c r="CC99" s="1052"/>
      <c r="CD99" s="1052"/>
      <c r="CE99" s="1052"/>
      <c r="CF99" s="1052"/>
      <c r="CG99" s="1052"/>
      <c r="CH99" s="1052"/>
      <c r="CI99" s="1052"/>
      <c r="CJ99" s="1052"/>
      <c r="CK99" s="1052"/>
      <c r="CL99" s="1052"/>
      <c r="CM99" s="1052"/>
      <c r="CN99" s="1052"/>
      <c r="CO99" s="1052"/>
      <c r="CP99" s="1052"/>
      <c r="CQ99" s="1052"/>
      <c r="CR99" s="1052"/>
      <c r="CS99" s="1052"/>
      <c r="CT99" s="1052"/>
      <c r="CU99" s="1077"/>
      <c r="DD99" s="36"/>
      <c r="DE99" s="36"/>
      <c r="DF99" s="36"/>
      <c r="DG99" s="36"/>
      <c r="DH99" s="36"/>
      <c r="DI99" s="36"/>
      <c r="DJ99" s="36"/>
      <c r="DK99" s="1068"/>
      <c r="DM99" s="36"/>
      <c r="DN99" s="36"/>
      <c r="DO99" s="381"/>
      <c r="DP99" s="381"/>
      <c r="DQ99" s="381"/>
      <c r="DS99" s="190" t="str">
        <f>IF(AB99="","",AB99)</f>
        <v/>
      </c>
      <c r="EG99" s="172"/>
      <c r="EH99" s="172"/>
      <c r="EI99" s="172"/>
      <c r="EJ99" s="172"/>
      <c r="EK99" s="172"/>
      <c r="FV99" s="172"/>
      <c r="FW99" s="172"/>
      <c r="FX99" s="172"/>
      <c r="FY99" s="172"/>
      <c r="FZ99" s="172"/>
    </row>
    <row r="100" spans="1:183" s="172" customFormat="1" ht="27" customHeight="1">
      <c r="A100" s="645"/>
      <c r="B100" s="645"/>
      <c r="C100" s="645"/>
      <c r="D100" s="645"/>
      <c r="E100" s="646"/>
      <c r="F100" s="381"/>
      <c r="G100" s="381"/>
      <c r="H100" s="381"/>
      <c r="I100" s="251"/>
      <c r="J100" s="39"/>
      <c r="K100" s="896"/>
      <c r="L100" s="896"/>
      <c r="M100" s="2270"/>
      <c r="N100" s="2270"/>
      <c r="O100" s="2270"/>
      <c r="P100" s="2270"/>
      <c r="Q100" s="2270"/>
      <c r="R100" s="2270"/>
      <c r="S100" s="1839" t="s">
        <v>1171</v>
      </c>
      <c r="T100" s="1839"/>
      <c r="U100" s="1839"/>
      <c r="V100" s="1839"/>
      <c r="W100" s="1839"/>
      <c r="X100" s="1839"/>
      <c r="Y100" s="1839"/>
      <c r="Z100" s="1840" t="s">
        <v>3</v>
      </c>
      <c r="AA100" s="1840"/>
      <c r="AB100" s="1852"/>
      <c r="AC100" s="1852"/>
      <c r="AD100" s="1852"/>
      <c r="AE100" s="1852"/>
      <c r="AF100" s="1852"/>
      <c r="AG100" s="1852"/>
      <c r="AH100" s="1852"/>
      <c r="AI100" s="1853"/>
      <c r="AJ100" s="1853"/>
      <c r="AK100" s="1853"/>
      <c r="AL100" s="1853"/>
      <c r="AM100" s="1853"/>
      <c r="AN100" s="1853"/>
      <c r="AO100" s="1853"/>
      <c r="AP100" s="1853"/>
      <c r="AQ100" s="260" t="s">
        <v>4</v>
      </c>
      <c r="AR100" s="260"/>
      <c r="AS100" s="260"/>
      <c r="AT100" s="260"/>
      <c r="AU100" s="260"/>
      <c r="AV100" s="260"/>
      <c r="AW100" s="260"/>
      <c r="AX100" s="260"/>
      <c r="AY100" s="260"/>
      <c r="AZ100" s="260"/>
      <c r="BA100" s="260"/>
      <c r="BB100" s="260"/>
      <c r="BC100" s="260"/>
      <c r="BD100" s="260"/>
      <c r="BE100" s="260"/>
      <c r="BF100" s="260"/>
      <c r="BG100" s="260"/>
      <c r="BH100" s="260"/>
      <c r="BI100" s="260"/>
      <c r="BJ100" s="260"/>
      <c r="BK100" s="260"/>
      <c r="BL100" s="260"/>
      <c r="BM100" s="260"/>
      <c r="BN100" s="260"/>
      <c r="BO100" s="260"/>
      <c r="BP100" s="260"/>
      <c r="BQ100" s="260"/>
      <c r="BR100" s="260"/>
      <c r="BS100" s="260"/>
      <c r="BT100" s="260"/>
      <c r="BU100" s="1080"/>
      <c r="BV100" s="1052"/>
      <c r="BW100" s="1052"/>
      <c r="BX100" s="1052"/>
      <c r="BY100" s="1052"/>
      <c r="BZ100" s="1052"/>
      <c r="CA100" s="1052"/>
      <c r="CB100" s="1052"/>
      <c r="CC100" s="1052"/>
      <c r="CD100" s="1052"/>
      <c r="CE100" s="1052"/>
      <c r="CF100" s="1052"/>
      <c r="CG100" s="1052"/>
      <c r="CH100" s="1052"/>
      <c r="CI100" s="1052"/>
      <c r="CJ100" s="1052"/>
      <c r="CK100" s="1052"/>
      <c r="CL100" s="1052"/>
      <c r="CM100" s="1052"/>
      <c r="CN100" s="1052"/>
      <c r="CO100" s="1052"/>
      <c r="CP100" s="1052"/>
      <c r="CQ100" s="1052"/>
      <c r="CR100" s="1052"/>
      <c r="CS100" s="1052"/>
      <c r="CT100" s="1052"/>
      <c r="CU100" s="1077"/>
      <c r="CV100" s="398"/>
      <c r="CW100" s="398"/>
      <c r="CX100" s="398"/>
      <c r="CY100" s="398"/>
      <c r="CZ100" s="398"/>
      <c r="DA100" s="398"/>
      <c r="DB100" s="398"/>
      <c r="DC100" s="35"/>
      <c r="DD100" s="36"/>
      <c r="DE100" s="36"/>
      <c r="DF100" s="36"/>
      <c r="DG100" s="36"/>
      <c r="DH100" s="36"/>
      <c r="DI100" s="36"/>
      <c r="DJ100" s="36"/>
      <c r="DK100" s="1068"/>
      <c r="DL100" s="1046"/>
      <c r="DM100" s="25"/>
      <c r="DN100" s="36"/>
      <c r="DO100" s="381"/>
      <c r="DP100" s="381"/>
      <c r="DQ100" s="381"/>
      <c r="DS100" s="273" t="str">
        <f>IF(AB100="","",AB100)</f>
        <v/>
      </c>
      <c r="FO100" s="1046"/>
      <c r="GA100" s="171"/>
    </row>
    <row r="101" spans="1:183" s="172" customFormat="1" ht="27" customHeight="1">
      <c r="A101" s="645"/>
      <c r="B101" s="645"/>
      <c r="C101" s="645"/>
      <c r="D101" s="645"/>
      <c r="E101" s="646"/>
      <c r="F101" s="381"/>
      <c r="G101" s="381"/>
      <c r="H101" s="381"/>
      <c r="I101" s="251"/>
      <c r="J101" s="39"/>
      <c r="K101" s="896"/>
      <c r="L101" s="896"/>
      <c r="M101" s="1822" t="s">
        <v>340</v>
      </c>
      <c r="N101" s="1823"/>
      <c r="O101" s="1823"/>
      <c r="P101" s="1823"/>
      <c r="Q101" s="1823"/>
      <c r="R101" s="1823"/>
      <c r="S101" s="1827" t="s">
        <v>697</v>
      </c>
      <c r="T101" s="1843"/>
      <c r="U101" s="1843"/>
      <c r="V101" s="1843"/>
      <c r="W101" s="1843"/>
      <c r="X101" s="1843"/>
      <c r="Y101" s="1843"/>
      <c r="Z101" s="1843"/>
      <c r="AA101" s="1843"/>
      <c r="AB101" s="1793"/>
      <c r="AC101" s="1794"/>
      <c r="AD101" s="1794"/>
      <c r="AE101" s="1794"/>
      <c r="AF101" s="1794"/>
      <c r="AG101" s="1794"/>
      <c r="AH101" s="1794"/>
      <c r="AI101" s="1794"/>
      <c r="AJ101" s="1794"/>
      <c r="AK101" s="1794"/>
      <c r="AL101" s="1794"/>
      <c r="AM101" s="1794"/>
      <c r="AN101" s="1794"/>
      <c r="AO101" s="1794"/>
      <c r="AP101" s="1794"/>
      <c r="AQ101" s="1794"/>
      <c r="AR101" s="1794"/>
      <c r="AS101" s="1794"/>
      <c r="AT101" s="1794"/>
      <c r="AU101" s="1794"/>
      <c r="AV101" s="1794"/>
      <c r="AW101" s="1794"/>
      <c r="AX101" s="1794"/>
      <c r="AY101" s="1794"/>
      <c r="AZ101" s="1794"/>
      <c r="BA101" s="1794"/>
      <c r="BB101" s="1794"/>
      <c r="BC101" s="1794"/>
      <c r="BD101" s="1794"/>
      <c r="BE101" s="1794"/>
      <c r="BF101" s="1794"/>
      <c r="BG101" s="1794"/>
      <c r="BH101" s="1794"/>
      <c r="BI101" s="1794"/>
      <c r="BJ101" s="1794"/>
      <c r="BK101" s="1794"/>
      <c r="BL101" s="1794"/>
      <c r="BM101" s="1794"/>
      <c r="BN101" s="1794"/>
      <c r="BO101" s="1794"/>
      <c r="BP101" s="1794"/>
      <c r="BQ101" s="1795"/>
      <c r="BR101" s="1795"/>
      <c r="BS101" s="1795"/>
      <c r="BT101" s="1795"/>
      <c r="BU101" s="1080"/>
      <c r="BV101" s="903"/>
      <c r="BW101" s="903"/>
      <c r="BX101" s="903"/>
      <c r="BY101" s="903"/>
      <c r="BZ101" s="903"/>
      <c r="CA101" s="903"/>
      <c r="CB101" s="903"/>
      <c r="CC101" s="903"/>
      <c r="CD101" s="903"/>
      <c r="CE101" s="903"/>
      <c r="CF101" s="903"/>
      <c r="CG101" s="903"/>
      <c r="CH101" s="903"/>
      <c r="CI101" s="903"/>
      <c r="CJ101" s="903"/>
      <c r="CK101" s="903"/>
      <c r="CL101" s="903"/>
      <c r="CM101" s="903"/>
      <c r="CN101" s="903"/>
      <c r="CO101" s="903"/>
      <c r="CP101" s="903"/>
      <c r="CQ101" s="903"/>
      <c r="CR101" s="903"/>
      <c r="CS101" s="903"/>
      <c r="CT101" s="903"/>
      <c r="CU101" s="720"/>
      <c r="CV101" s="398"/>
      <c r="CW101" s="398"/>
      <c r="CX101" s="398"/>
      <c r="CY101" s="398"/>
      <c r="CZ101" s="398"/>
      <c r="DA101" s="398"/>
      <c r="DB101" s="398"/>
      <c r="DC101" s="35"/>
      <c r="DD101" s="36"/>
      <c r="DE101" s="36"/>
      <c r="DF101" s="36"/>
      <c r="DG101" s="36"/>
      <c r="DH101" s="36"/>
      <c r="DI101" s="36"/>
      <c r="DJ101" s="36"/>
      <c r="DK101" s="1068"/>
      <c r="DL101" s="1046"/>
      <c r="DM101" s="171"/>
      <c r="DN101" s="171"/>
      <c r="DO101" s="381"/>
      <c r="DP101" s="381"/>
      <c r="DQ101" s="381"/>
      <c r="DS101" s="273" t="str">
        <f t="shared" ref="DS101:DS102" si="3">IF(AB101="","",AB101)</f>
        <v/>
      </c>
      <c r="EG101" s="167"/>
      <c r="EH101" s="167"/>
      <c r="EI101" s="167"/>
      <c r="EJ101" s="167"/>
      <c r="EK101" s="167"/>
      <c r="FO101" s="1046"/>
      <c r="FV101" s="167"/>
      <c r="FW101" s="167"/>
      <c r="FX101" s="167"/>
      <c r="FY101" s="167"/>
      <c r="FZ101" s="167"/>
      <c r="GA101" s="171"/>
    </row>
    <row r="102" spans="1:183" s="172" customFormat="1" ht="27" customHeight="1">
      <c r="A102" s="645"/>
      <c r="B102" s="645"/>
      <c r="C102" s="645"/>
      <c r="D102" s="645"/>
      <c r="E102" s="646"/>
      <c r="F102" s="381"/>
      <c r="G102" s="381"/>
      <c r="H102" s="381"/>
      <c r="I102" s="251"/>
      <c r="J102" s="39"/>
      <c r="K102" s="896"/>
      <c r="L102" s="896"/>
      <c r="M102" s="1823"/>
      <c r="N102" s="1823"/>
      <c r="O102" s="1823"/>
      <c r="P102" s="1823"/>
      <c r="Q102" s="1823"/>
      <c r="R102" s="1823"/>
      <c r="S102" s="1939" t="s">
        <v>340</v>
      </c>
      <c r="T102" s="1940"/>
      <c r="U102" s="1940"/>
      <c r="V102" s="1940"/>
      <c r="W102" s="1940"/>
      <c r="X102" s="1940"/>
      <c r="Y102" s="1940"/>
      <c r="Z102" s="1940"/>
      <c r="AA102" s="1940"/>
      <c r="AB102" s="1862"/>
      <c r="AC102" s="1863"/>
      <c r="AD102" s="1863"/>
      <c r="AE102" s="1863"/>
      <c r="AF102" s="1863"/>
      <c r="AG102" s="1864"/>
      <c r="AH102" s="1864"/>
      <c r="AI102" s="1864"/>
      <c r="AJ102" s="1864"/>
      <c r="AK102" s="1864"/>
      <c r="AL102" s="1864"/>
      <c r="AM102" s="1864"/>
      <c r="AN102" s="1864"/>
      <c r="AO102" s="1864"/>
      <c r="AP102" s="1864"/>
      <c r="AQ102" s="1864"/>
      <c r="AR102" s="1864"/>
      <c r="AS102" s="1864"/>
      <c r="AT102" s="1864"/>
      <c r="AU102" s="1864"/>
      <c r="AV102" s="1864"/>
      <c r="AW102" s="1864"/>
      <c r="AX102" s="1864"/>
      <c r="AY102" s="1864"/>
      <c r="AZ102" s="1864"/>
      <c r="BA102" s="1864"/>
      <c r="BB102" s="1864"/>
      <c r="BC102" s="1864"/>
      <c r="BD102" s="1864"/>
      <c r="BE102" s="1864"/>
      <c r="BF102" s="1864"/>
      <c r="BG102" s="1864"/>
      <c r="BH102" s="1864"/>
      <c r="BI102" s="1864"/>
      <c r="BJ102" s="1864"/>
      <c r="BK102" s="1864"/>
      <c r="BL102" s="1864"/>
      <c r="BM102" s="1864"/>
      <c r="BN102" s="1864"/>
      <c r="BO102" s="1864"/>
      <c r="BP102" s="1864"/>
      <c r="BQ102" s="1865"/>
      <c r="BR102" s="1865"/>
      <c r="BS102" s="1865"/>
      <c r="BT102" s="1865"/>
      <c r="BU102" s="1080"/>
      <c r="BV102" s="903"/>
      <c r="BW102" s="903"/>
      <c r="BX102" s="903"/>
      <c r="BY102" s="903"/>
      <c r="BZ102" s="903"/>
      <c r="CA102" s="903"/>
      <c r="CB102" s="903"/>
      <c r="CC102" s="903"/>
      <c r="CD102" s="903"/>
      <c r="CE102" s="903"/>
      <c r="CF102" s="903"/>
      <c r="CG102" s="903"/>
      <c r="CH102" s="903"/>
      <c r="CI102" s="903"/>
      <c r="CJ102" s="903"/>
      <c r="CK102" s="903"/>
      <c r="CL102" s="903"/>
      <c r="CM102" s="903"/>
      <c r="CN102" s="903"/>
      <c r="CO102" s="903"/>
      <c r="CP102" s="903"/>
      <c r="CQ102" s="903"/>
      <c r="CR102" s="903"/>
      <c r="CS102" s="903"/>
      <c r="CT102" s="903"/>
      <c r="CU102" s="720"/>
      <c r="CV102" s="398"/>
      <c r="CW102" s="398"/>
      <c r="CX102" s="398"/>
      <c r="CY102" s="398"/>
      <c r="CZ102" s="398"/>
      <c r="DA102" s="398"/>
      <c r="DB102" s="398"/>
      <c r="DC102" s="35"/>
      <c r="DD102" s="36"/>
      <c r="DE102" s="36"/>
      <c r="DF102" s="36"/>
      <c r="DG102" s="36"/>
      <c r="DH102" s="36"/>
      <c r="DI102" s="36"/>
      <c r="DJ102" s="36"/>
      <c r="DK102" s="1068"/>
      <c r="DL102" s="1046"/>
      <c r="DN102" s="171"/>
      <c r="DO102" s="381"/>
      <c r="DP102" s="381"/>
      <c r="DQ102" s="381"/>
      <c r="DS102" s="273" t="str">
        <f t="shared" si="3"/>
        <v/>
      </c>
      <c r="EG102" s="167"/>
      <c r="EH102" s="167"/>
      <c r="EI102" s="167"/>
      <c r="EJ102" s="167"/>
      <c r="EK102" s="167"/>
      <c r="FO102" s="1046"/>
      <c r="FV102" s="167"/>
      <c r="FW102" s="167"/>
      <c r="FX102" s="167"/>
      <c r="FY102" s="167"/>
      <c r="FZ102" s="167"/>
      <c r="GA102" s="171"/>
    </row>
    <row r="103" spans="1:183" s="172" customFormat="1" ht="27" customHeight="1" thickBot="1">
      <c r="A103" s="645"/>
      <c r="B103" s="645"/>
      <c r="C103" s="645"/>
      <c r="D103" s="645"/>
      <c r="E103" s="646"/>
      <c r="F103" s="381"/>
      <c r="G103" s="381"/>
      <c r="H103" s="381"/>
      <c r="I103" s="251"/>
      <c r="J103" s="39"/>
      <c r="K103" s="896"/>
      <c r="L103" s="896"/>
      <c r="M103" s="1822" t="s">
        <v>244</v>
      </c>
      <c r="N103" s="1823"/>
      <c r="O103" s="1823"/>
      <c r="P103" s="1823"/>
      <c r="Q103" s="1823"/>
      <c r="R103" s="1823"/>
      <c r="S103" s="1827" t="s">
        <v>702</v>
      </c>
      <c r="T103" s="1828"/>
      <c r="U103" s="1828"/>
      <c r="V103" s="1828"/>
      <c r="W103" s="1828"/>
      <c r="X103" s="1828"/>
      <c r="Y103" s="1828"/>
      <c r="Z103" s="1828"/>
      <c r="AA103" s="1828"/>
      <c r="AB103" s="1783"/>
      <c r="AC103" s="1783"/>
      <c r="AD103" s="1783"/>
      <c r="AE103" s="1783"/>
      <c r="AF103" s="1783"/>
      <c r="AG103" s="1783"/>
      <c r="AH103" s="1783"/>
      <c r="AI103" s="1783"/>
      <c r="AJ103" s="1783"/>
      <c r="AK103" s="1783"/>
      <c r="AL103" s="1783"/>
      <c r="AM103" s="1783"/>
      <c r="AN103" s="1783"/>
      <c r="AO103" s="1783"/>
      <c r="AP103" s="1783"/>
      <c r="AQ103" s="1783"/>
      <c r="AR103" s="1783"/>
      <c r="AS103" s="1783"/>
      <c r="AT103" s="1783"/>
      <c r="AU103" s="1783"/>
      <c r="AV103" s="1783"/>
      <c r="AW103" s="1783"/>
      <c r="AX103" s="1783"/>
      <c r="AY103" s="1783"/>
      <c r="AZ103" s="1783"/>
      <c r="BA103" s="1783"/>
      <c r="BB103" s="1783"/>
      <c r="BC103" s="1783"/>
      <c r="BD103" s="1783"/>
      <c r="BE103" s="1783"/>
      <c r="BF103" s="1783"/>
      <c r="BG103" s="1783"/>
      <c r="BH103" s="1783"/>
      <c r="BI103" s="1783"/>
      <c r="BJ103" s="1783"/>
      <c r="BK103" s="1783"/>
      <c r="BL103" s="1783"/>
      <c r="BM103" s="1783"/>
      <c r="BN103" s="1783"/>
      <c r="BO103" s="1783"/>
      <c r="BP103" s="1783"/>
      <c r="BQ103" s="1783"/>
      <c r="BR103" s="1783"/>
      <c r="BS103" s="1783"/>
      <c r="BT103" s="1783"/>
      <c r="BU103" s="1080"/>
      <c r="BV103" s="903"/>
      <c r="BW103" s="903"/>
      <c r="BX103" s="903"/>
      <c r="BY103" s="903"/>
      <c r="BZ103" s="903"/>
      <c r="CA103" s="903"/>
      <c r="CB103" s="903"/>
      <c r="CC103" s="903"/>
      <c r="CD103" s="903"/>
      <c r="CE103" s="903"/>
      <c r="CF103" s="903"/>
      <c r="CG103" s="903"/>
      <c r="CH103" s="903"/>
      <c r="CI103" s="903"/>
      <c r="CJ103" s="903"/>
      <c r="CK103" s="903"/>
      <c r="CL103" s="903"/>
      <c r="CM103" s="903"/>
      <c r="CN103" s="903"/>
      <c r="CO103" s="903"/>
      <c r="CP103" s="903"/>
      <c r="CQ103" s="903"/>
      <c r="CR103" s="903"/>
      <c r="CS103" s="903"/>
      <c r="CT103" s="903"/>
      <c r="CU103" s="720"/>
      <c r="CV103" s="398"/>
      <c r="CW103" s="398"/>
      <c r="CX103" s="398"/>
      <c r="CY103" s="398"/>
      <c r="CZ103" s="398"/>
      <c r="DA103" s="398"/>
      <c r="DB103" s="398"/>
      <c r="DC103" s="35"/>
      <c r="DD103" s="36"/>
      <c r="DE103" s="36"/>
      <c r="DF103" s="36"/>
      <c r="DG103" s="36"/>
      <c r="DH103" s="36"/>
      <c r="DI103" s="36"/>
      <c r="DJ103" s="36"/>
      <c r="DK103" s="1068"/>
      <c r="DL103" s="1046"/>
      <c r="DN103" s="171"/>
      <c r="DO103" s="381"/>
      <c r="DP103" s="381"/>
      <c r="DQ103" s="381"/>
      <c r="DS103" s="273" t="str">
        <f>IF(AB103="","",AB103)</f>
        <v/>
      </c>
      <c r="EG103" s="167"/>
      <c r="EH103" s="167"/>
      <c r="EI103" s="167"/>
      <c r="EJ103" s="167"/>
      <c r="EK103" s="167"/>
      <c r="FO103" s="1046"/>
      <c r="FV103" s="167"/>
      <c r="FW103" s="167"/>
      <c r="FX103" s="167"/>
      <c r="FY103" s="167"/>
      <c r="FZ103" s="167"/>
      <c r="GA103" s="171"/>
    </row>
    <row r="104" spans="1:183" ht="27" customHeight="1" thickBot="1">
      <c r="A104" s="645"/>
      <c r="B104" s="645"/>
      <c r="C104" s="645"/>
      <c r="D104" s="645"/>
      <c r="E104" s="646"/>
      <c r="J104" s="88"/>
      <c r="K104" s="89"/>
      <c r="L104" s="89"/>
      <c r="M104" s="1823"/>
      <c r="N104" s="1823"/>
      <c r="O104" s="1823"/>
      <c r="P104" s="1823"/>
      <c r="Q104" s="1823"/>
      <c r="R104" s="1823"/>
      <c r="S104" s="1800" t="s">
        <v>700</v>
      </c>
      <c r="T104" s="1800"/>
      <c r="U104" s="1800"/>
      <c r="V104" s="1800"/>
      <c r="W104" s="1800"/>
      <c r="X104" s="1800"/>
      <c r="Y104" s="1800"/>
      <c r="Z104" s="1938"/>
      <c r="AA104" s="1938"/>
      <c r="AB104" s="2233"/>
      <c r="AC104" s="1772"/>
      <c r="AD104" s="1772"/>
      <c r="AE104" s="1772"/>
      <c r="AF104" s="1774"/>
      <c r="AG104" s="1774"/>
      <c r="AH104" s="1774"/>
      <c r="AI104" s="1774"/>
      <c r="AJ104" s="1774"/>
      <c r="AK104" s="1774"/>
      <c r="AL104" s="1774"/>
      <c r="AM104" s="1774"/>
      <c r="AN104" s="1774"/>
      <c r="AO104" s="1774"/>
      <c r="AP104" s="1774"/>
      <c r="AQ104" s="895" t="s">
        <v>338</v>
      </c>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1052"/>
      <c r="BV104" s="731" t="s">
        <v>2782</v>
      </c>
      <c r="BW104" s="1764" t="s">
        <v>2785</v>
      </c>
      <c r="BX104" s="1764"/>
      <c r="BY104" s="1764"/>
      <c r="BZ104" s="1764"/>
      <c r="CA104" s="1764"/>
      <c r="CB104" s="1764"/>
      <c r="CC104" s="1764"/>
      <c r="CD104" s="1764"/>
      <c r="CE104" s="1764"/>
      <c r="CF104" s="1764"/>
      <c r="CG104" s="1764"/>
      <c r="CH104" s="1764"/>
      <c r="CI104" s="1764"/>
      <c r="CJ104" s="1764"/>
      <c r="CK104" s="1764"/>
      <c r="CL104" s="1764"/>
      <c r="CM104" s="1764"/>
      <c r="CN104" s="1764"/>
      <c r="CO104" s="1764"/>
      <c r="CP104" s="1764"/>
      <c r="CQ104" s="1764"/>
      <c r="CR104" s="1764"/>
      <c r="CS104" s="1764"/>
      <c r="CT104" s="891"/>
      <c r="CU104" s="918"/>
      <c r="DD104" s="36"/>
      <c r="DE104" s="36"/>
      <c r="DF104" s="36"/>
      <c r="DG104" s="36"/>
      <c r="DH104" s="36"/>
      <c r="DI104" s="36"/>
      <c r="DJ104" s="36"/>
      <c r="DK104" s="1068"/>
      <c r="DM104" s="177">
        <f>IF(OR($AB$104="一級",$AB$104="二級"),1,0)</f>
        <v>0</v>
      </c>
      <c r="DO104" s="381"/>
      <c r="DP104" s="381"/>
      <c r="DQ104" s="381"/>
      <c r="DS104" s="273" t="str">
        <f>IF(AB104="","",AB104)</f>
        <v/>
      </c>
      <c r="EG104" s="167"/>
      <c r="EH104" s="167"/>
      <c r="EI104" s="167"/>
      <c r="EJ104" s="167"/>
      <c r="EK104" s="167"/>
      <c r="FV104" s="167"/>
      <c r="FW104" s="167"/>
      <c r="FX104" s="167"/>
      <c r="FY104" s="167"/>
      <c r="FZ104" s="167"/>
    </row>
    <row r="105" spans="1:183" ht="27" customHeight="1" thickBot="1">
      <c r="A105" s="645"/>
      <c r="B105" s="645"/>
      <c r="C105" s="645"/>
      <c r="D105" s="645"/>
      <c r="E105" s="646"/>
      <c r="J105" s="88"/>
      <c r="K105" s="89"/>
      <c r="L105" s="89"/>
      <c r="M105" s="1823"/>
      <c r="N105" s="1823"/>
      <c r="O105" s="1823"/>
      <c r="P105" s="1823"/>
      <c r="Q105" s="1823"/>
      <c r="R105" s="1823"/>
      <c r="S105" s="1941"/>
      <c r="T105" s="1941"/>
      <c r="U105" s="1941"/>
      <c r="V105" s="1941"/>
      <c r="W105" s="1941"/>
      <c r="X105" s="1941"/>
      <c r="Y105" s="1941"/>
      <c r="Z105" s="1838"/>
      <c r="AA105" s="1838"/>
      <c r="AB105" s="1772"/>
      <c r="AC105" s="1772"/>
      <c r="AD105" s="1772"/>
      <c r="AE105" s="1772"/>
      <c r="AF105" s="1772"/>
      <c r="AG105" s="1772"/>
      <c r="AH105" s="1773"/>
      <c r="AI105" s="1774"/>
      <c r="AJ105" s="1774"/>
      <c r="AK105" s="1774"/>
      <c r="AL105" s="1774"/>
      <c r="AM105" s="1774"/>
      <c r="AN105" s="1774"/>
      <c r="AO105" s="1774"/>
      <c r="AP105" s="1774"/>
      <c r="AQ105" s="896" t="s">
        <v>686</v>
      </c>
      <c r="AR105" s="77"/>
      <c r="AS105" s="77"/>
      <c r="AT105" s="77"/>
      <c r="AU105" s="77"/>
      <c r="AV105" s="77"/>
      <c r="AW105" s="77"/>
      <c r="AX105" s="77"/>
      <c r="AY105" s="77"/>
      <c r="AZ105" s="77"/>
      <c r="BA105" s="77"/>
      <c r="BB105" s="77"/>
      <c r="BC105" s="77"/>
      <c r="BD105" s="77"/>
      <c r="BE105" s="77"/>
      <c r="BF105" s="77"/>
      <c r="BG105" s="77"/>
      <c r="BH105" s="77"/>
      <c r="BI105" s="77"/>
      <c r="BJ105" s="77"/>
      <c r="BK105" s="77"/>
      <c r="BL105" s="77"/>
      <c r="BM105" s="77"/>
      <c r="BN105" s="77"/>
      <c r="BO105" s="77"/>
      <c r="BP105" s="77"/>
      <c r="BQ105" s="77"/>
      <c r="BR105" s="77"/>
      <c r="BS105" s="77"/>
      <c r="BT105" s="77"/>
      <c r="BU105" s="1052"/>
      <c r="BV105" s="1052"/>
      <c r="BW105" s="1764"/>
      <c r="BX105" s="1764"/>
      <c r="BY105" s="1764"/>
      <c r="BZ105" s="1764"/>
      <c r="CA105" s="1764"/>
      <c r="CB105" s="1764"/>
      <c r="CC105" s="1764"/>
      <c r="CD105" s="1764"/>
      <c r="CE105" s="1764"/>
      <c r="CF105" s="1764"/>
      <c r="CG105" s="1764"/>
      <c r="CH105" s="1764"/>
      <c r="CI105" s="1764"/>
      <c r="CJ105" s="1764"/>
      <c r="CK105" s="1764"/>
      <c r="CL105" s="1764"/>
      <c r="CM105" s="1764"/>
      <c r="CN105" s="1764"/>
      <c r="CO105" s="1764"/>
      <c r="CP105" s="1764"/>
      <c r="CQ105" s="1764"/>
      <c r="CR105" s="1764"/>
      <c r="CS105" s="1764"/>
      <c r="CT105" s="891"/>
      <c r="CU105" s="918"/>
      <c r="DD105" s="36"/>
      <c r="DE105" s="36"/>
      <c r="DF105" s="36"/>
      <c r="DG105" s="36"/>
      <c r="DH105" s="36"/>
      <c r="DI105" s="36"/>
      <c r="DJ105" s="36"/>
      <c r="DK105" s="1068"/>
      <c r="DO105" s="381"/>
      <c r="DP105" s="381"/>
      <c r="DQ105" s="381"/>
      <c r="DS105" s="432" t="str">
        <f>IF(AB105="","",AB105)</f>
        <v/>
      </c>
      <c r="EG105" s="172"/>
      <c r="EH105" s="172"/>
      <c r="EI105" s="172"/>
      <c r="EJ105" s="172"/>
      <c r="EK105" s="172"/>
      <c r="FV105" s="172"/>
      <c r="FW105" s="172"/>
      <c r="FX105" s="172"/>
      <c r="FY105" s="172"/>
      <c r="FZ105" s="172"/>
    </row>
    <row r="106" spans="1:183" s="172" customFormat="1" ht="27" customHeight="1" thickBot="1">
      <c r="A106" s="645"/>
      <c r="B106" s="645"/>
      <c r="C106" s="645"/>
      <c r="D106" s="645"/>
      <c r="E106" s="646"/>
      <c r="F106" s="381"/>
      <c r="G106" s="381"/>
      <c r="H106" s="381"/>
      <c r="I106" s="251"/>
      <c r="J106" s="39"/>
      <c r="K106" s="896"/>
      <c r="L106" s="896"/>
      <c r="M106" s="1823"/>
      <c r="N106" s="1823"/>
      <c r="O106" s="1823"/>
      <c r="P106" s="1823"/>
      <c r="Q106" s="1823"/>
      <c r="R106" s="1823"/>
      <c r="S106" s="1942"/>
      <c r="T106" s="1942"/>
      <c r="U106" s="1942"/>
      <c r="V106" s="1942"/>
      <c r="W106" s="1942"/>
      <c r="X106" s="1942"/>
      <c r="Y106" s="1942"/>
      <c r="Z106" s="1943" t="s">
        <v>3</v>
      </c>
      <c r="AA106" s="1943"/>
      <c r="AB106" s="1833"/>
      <c r="AC106" s="1833"/>
      <c r="AD106" s="1833"/>
      <c r="AE106" s="1833"/>
      <c r="AF106" s="1833"/>
      <c r="AG106" s="1833"/>
      <c r="AH106" s="1833"/>
      <c r="AI106" s="1774"/>
      <c r="AJ106" s="1774"/>
      <c r="AK106" s="1774"/>
      <c r="AL106" s="1774"/>
      <c r="AM106" s="1774"/>
      <c r="AN106" s="1774"/>
      <c r="AO106" s="1774"/>
      <c r="AP106" s="1774"/>
      <c r="AQ106" s="896" t="s">
        <v>4</v>
      </c>
      <c r="AR106" s="94"/>
      <c r="AS106" s="94"/>
      <c r="AT106" s="94"/>
      <c r="AU106" s="94"/>
      <c r="AV106" s="94"/>
      <c r="AW106" s="94"/>
      <c r="AX106" s="94"/>
      <c r="AY106" s="94"/>
      <c r="AZ106" s="77"/>
      <c r="BA106" s="94"/>
      <c r="BB106" s="94"/>
      <c r="BC106" s="94"/>
      <c r="BD106" s="94"/>
      <c r="BE106" s="94"/>
      <c r="BF106" s="94"/>
      <c r="BG106" s="94"/>
      <c r="BH106" s="94"/>
      <c r="BI106" s="94"/>
      <c r="BJ106" s="94"/>
      <c r="BK106" s="94"/>
      <c r="BL106" s="94"/>
      <c r="BM106" s="94"/>
      <c r="BN106" s="94"/>
      <c r="BO106" s="94"/>
      <c r="BP106" s="94"/>
      <c r="BQ106" s="94"/>
      <c r="BR106" s="94"/>
      <c r="BS106" s="94"/>
      <c r="BT106" s="94"/>
      <c r="BU106" s="1052"/>
      <c r="BV106" s="1052"/>
      <c r="BW106" s="1052"/>
      <c r="BX106" s="1052"/>
      <c r="BY106" s="1052"/>
      <c r="BZ106" s="1052"/>
      <c r="CA106" s="1052"/>
      <c r="CB106" s="1052"/>
      <c r="CC106" s="1052"/>
      <c r="CD106" s="1052"/>
      <c r="CE106" s="1052"/>
      <c r="CF106" s="1052"/>
      <c r="CG106" s="1052"/>
      <c r="CH106" s="1052"/>
      <c r="CI106" s="1052"/>
      <c r="CJ106" s="1052"/>
      <c r="CK106" s="1052"/>
      <c r="CL106" s="1052"/>
      <c r="CM106" s="1052"/>
      <c r="CN106" s="1052"/>
      <c r="CO106" s="1052"/>
      <c r="CP106" s="1052"/>
      <c r="CQ106" s="1052"/>
      <c r="CR106" s="1052"/>
      <c r="CS106" s="1052"/>
      <c r="CT106" s="1052"/>
      <c r="CU106" s="1077"/>
      <c r="CV106" s="1074"/>
      <c r="CW106" s="1074"/>
      <c r="CX106" s="1074"/>
      <c r="CY106" s="1074"/>
      <c r="CZ106" s="1074"/>
      <c r="DA106" s="1074"/>
      <c r="DB106" s="1074"/>
      <c r="DC106" s="369"/>
      <c r="DD106" s="1074"/>
      <c r="DE106" s="1074"/>
      <c r="DF106" s="1075"/>
      <c r="DG106" s="1075"/>
      <c r="DH106" s="1075"/>
      <c r="DI106" s="1075"/>
      <c r="DJ106" s="1075"/>
      <c r="DL106" s="1046"/>
      <c r="DM106" s="177"/>
      <c r="DN106" s="171" t="s">
        <v>2487</v>
      </c>
      <c r="DO106" s="381"/>
      <c r="DP106" s="381"/>
      <c r="DQ106" s="381"/>
      <c r="DS106" s="273" t="str">
        <f t="shared" ref="DS106:DS108" si="4">IF(AB106="","",AB106)</f>
        <v/>
      </c>
      <c r="FO106" s="1046"/>
      <c r="GA106" s="171"/>
    </row>
    <row r="107" spans="1:183" s="172" customFormat="1" ht="27" customHeight="1">
      <c r="A107" s="645"/>
      <c r="B107" s="645"/>
      <c r="C107" s="645"/>
      <c r="D107" s="645"/>
      <c r="E107" s="646"/>
      <c r="F107" s="381"/>
      <c r="G107" s="381"/>
      <c r="H107" s="381"/>
      <c r="I107" s="251"/>
      <c r="J107" s="39"/>
      <c r="K107" s="896"/>
      <c r="L107" s="896"/>
      <c r="M107" s="1823"/>
      <c r="N107" s="1823"/>
      <c r="O107" s="1823"/>
      <c r="P107" s="1823"/>
      <c r="Q107" s="1823"/>
      <c r="R107" s="1823"/>
      <c r="S107" s="1825" t="s">
        <v>1379</v>
      </c>
      <c r="T107" s="1826"/>
      <c r="U107" s="1826"/>
      <c r="V107" s="1826"/>
      <c r="W107" s="1826"/>
      <c r="X107" s="1826"/>
      <c r="Y107" s="1826"/>
      <c r="Z107" s="1826"/>
      <c r="AA107" s="1826"/>
      <c r="AB107" s="1850"/>
      <c r="AC107" s="1850"/>
      <c r="AD107" s="1850"/>
      <c r="AE107" s="1850"/>
      <c r="AF107" s="1850"/>
      <c r="AG107" s="1850"/>
      <c r="AH107" s="1849" t="s">
        <v>1165</v>
      </c>
      <c r="AI107" s="1849"/>
      <c r="AJ107" s="1849"/>
      <c r="AK107" s="1850"/>
      <c r="AL107" s="1850"/>
      <c r="AM107" s="1850"/>
      <c r="AN107" s="1850"/>
      <c r="AO107" s="1850"/>
      <c r="AP107" s="1850"/>
      <c r="AQ107" s="2287"/>
      <c r="AR107" s="2287"/>
      <c r="AS107" s="2287"/>
      <c r="AT107" s="2287"/>
      <c r="AU107" s="2287"/>
      <c r="AV107" s="2287"/>
      <c r="AW107" s="2287"/>
      <c r="AX107" s="2287"/>
      <c r="AY107" s="2287"/>
      <c r="AZ107" s="2287"/>
      <c r="BA107" s="2287"/>
      <c r="BB107" s="2287"/>
      <c r="BC107" s="2287"/>
      <c r="BD107" s="2287"/>
      <c r="BE107" s="2287"/>
      <c r="BF107" s="2287"/>
      <c r="BG107" s="2287"/>
      <c r="BH107" s="2287"/>
      <c r="BI107" s="2287"/>
      <c r="BJ107" s="2287"/>
      <c r="BK107" s="2287"/>
      <c r="BL107" s="2287"/>
      <c r="BM107" s="2287"/>
      <c r="BN107" s="2287"/>
      <c r="BO107" s="2287"/>
      <c r="BP107" s="2287"/>
      <c r="BQ107" s="2287"/>
      <c r="BR107" s="2287"/>
      <c r="BS107" s="2287"/>
      <c r="BT107" s="2287"/>
      <c r="BU107" s="1052"/>
      <c r="BV107" s="1052"/>
      <c r="BW107" s="1052"/>
      <c r="BX107" s="1052"/>
      <c r="BY107" s="1052"/>
      <c r="BZ107" s="1052"/>
      <c r="CA107" s="1052"/>
      <c r="CB107" s="1052"/>
      <c r="CC107" s="1052"/>
      <c r="CD107" s="1052"/>
      <c r="CE107" s="1052"/>
      <c r="CF107" s="1052"/>
      <c r="CG107" s="1052"/>
      <c r="CH107" s="1052"/>
      <c r="CI107" s="1052"/>
      <c r="CJ107" s="1052"/>
      <c r="CK107" s="1052"/>
      <c r="CL107" s="1052"/>
      <c r="CM107" s="1052"/>
      <c r="CN107" s="1052"/>
      <c r="CO107" s="1052"/>
      <c r="CP107" s="1052"/>
      <c r="CQ107" s="1052"/>
      <c r="CR107" s="1052"/>
      <c r="CS107" s="1052"/>
      <c r="CT107" s="1052"/>
      <c r="CU107" s="1077"/>
      <c r="CV107" s="1074"/>
      <c r="CW107" s="1074"/>
      <c r="CX107" s="1074"/>
      <c r="CY107" s="1074"/>
      <c r="CZ107" s="1074"/>
      <c r="DA107" s="1074"/>
      <c r="DB107" s="1074"/>
      <c r="DC107" s="369"/>
      <c r="DD107" s="1074"/>
      <c r="DE107" s="1074"/>
      <c r="DF107" s="1075"/>
      <c r="DG107" s="1075"/>
      <c r="DH107" s="1075"/>
      <c r="DI107" s="1075"/>
      <c r="DJ107" s="1075"/>
      <c r="DL107" s="1046"/>
      <c r="DM107" s="280" t="str">
        <f>CONCATENATE(AB107,"-",AK107)</f>
        <v>-</v>
      </c>
      <c r="DN107" s="280" t="str">
        <f>ASC(DM107)</f>
        <v>-</v>
      </c>
      <c r="DO107" s="381"/>
      <c r="DP107" s="381"/>
      <c r="DQ107" s="381"/>
      <c r="DS107" s="273" t="str">
        <f>IF(DN107="","",DN107)</f>
        <v>-</v>
      </c>
      <c r="EG107" s="167"/>
      <c r="EH107" s="167"/>
      <c r="EI107" s="167"/>
      <c r="EJ107" s="167"/>
      <c r="EK107" s="167"/>
      <c r="FO107" s="1046"/>
      <c r="FV107" s="167"/>
      <c r="FW107" s="167"/>
      <c r="FX107" s="167"/>
      <c r="FY107" s="167"/>
      <c r="FZ107" s="167"/>
      <c r="GA107" s="171"/>
    </row>
    <row r="108" spans="1:183" s="172" customFormat="1" ht="27" customHeight="1">
      <c r="A108" s="645"/>
      <c r="B108" s="645"/>
      <c r="C108" s="645"/>
      <c r="D108" s="645"/>
      <c r="E108" s="646"/>
      <c r="F108" s="381"/>
      <c r="G108" s="381"/>
      <c r="H108" s="381"/>
      <c r="I108" s="251"/>
      <c r="J108" s="39"/>
      <c r="K108" s="896"/>
      <c r="L108" s="896"/>
      <c r="M108" s="1823"/>
      <c r="N108" s="1823"/>
      <c r="O108" s="1823"/>
      <c r="P108" s="1823"/>
      <c r="Q108" s="1823"/>
      <c r="R108" s="1823"/>
      <c r="S108" s="1846" t="s">
        <v>245</v>
      </c>
      <c r="T108" s="1848"/>
      <c r="U108" s="1848"/>
      <c r="V108" s="1848"/>
      <c r="W108" s="1848"/>
      <c r="X108" s="1848"/>
      <c r="Y108" s="1848"/>
      <c r="Z108" s="1848"/>
      <c r="AA108" s="1848"/>
      <c r="AB108" s="2229"/>
      <c r="AC108" s="2230"/>
      <c r="AD108" s="2230"/>
      <c r="AE108" s="2230"/>
      <c r="AF108" s="2230"/>
      <c r="AG108" s="2230"/>
      <c r="AH108" s="2230"/>
      <c r="AI108" s="2230"/>
      <c r="AJ108" s="2230"/>
      <c r="AK108" s="2230"/>
      <c r="AL108" s="2230"/>
      <c r="AM108" s="2230"/>
      <c r="AN108" s="2231"/>
      <c r="AO108" s="2231"/>
      <c r="AP108" s="2231"/>
      <c r="AQ108" s="2231"/>
      <c r="AR108" s="2231"/>
      <c r="AS108" s="2231"/>
      <c r="AT108" s="2231"/>
      <c r="AU108" s="2231"/>
      <c r="AV108" s="2231"/>
      <c r="AW108" s="2231"/>
      <c r="AX108" s="2231"/>
      <c r="AY108" s="2231"/>
      <c r="AZ108" s="2231"/>
      <c r="BA108" s="2231"/>
      <c r="BB108" s="2231"/>
      <c r="BC108" s="2231"/>
      <c r="BD108" s="2231"/>
      <c r="BE108" s="2231"/>
      <c r="BF108" s="2231"/>
      <c r="BG108" s="2231"/>
      <c r="BH108" s="2231"/>
      <c r="BI108" s="2231"/>
      <c r="BJ108" s="2231"/>
      <c r="BK108" s="2231"/>
      <c r="BL108" s="2231"/>
      <c r="BM108" s="2231"/>
      <c r="BN108" s="2231"/>
      <c r="BO108" s="2231"/>
      <c r="BP108" s="2231"/>
      <c r="BQ108" s="2232"/>
      <c r="BR108" s="2232"/>
      <c r="BS108" s="2232"/>
      <c r="BT108" s="2232"/>
      <c r="BU108" s="1052"/>
      <c r="BV108" s="731" t="s">
        <v>2782</v>
      </c>
      <c r="BW108" s="1764" t="s">
        <v>2786</v>
      </c>
      <c r="BX108" s="1764"/>
      <c r="BY108" s="1764"/>
      <c r="BZ108" s="1764"/>
      <c r="CA108" s="1764"/>
      <c r="CB108" s="1764"/>
      <c r="CC108" s="1764"/>
      <c r="CD108" s="1764"/>
      <c r="CE108" s="1764"/>
      <c r="CF108" s="1764"/>
      <c r="CG108" s="1764"/>
      <c r="CH108" s="1764"/>
      <c r="CI108" s="1764"/>
      <c r="CJ108" s="1764"/>
      <c r="CK108" s="1764"/>
      <c r="CL108" s="1764"/>
      <c r="CM108" s="1764"/>
      <c r="CN108" s="1764"/>
      <c r="CO108" s="1764"/>
      <c r="CP108" s="1764"/>
      <c r="CQ108" s="1764"/>
      <c r="CR108" s="1764"/>
      <c r="CS108" s="1764"/>
      <c r="CT108" s="891"/>
      <c r="CU108" s="918"/>
      <c r="CV108" s="1074"/>
      <c r="CW108" s="1074"/>
      <c r="CX108" s="1074"/>
      <c r="CY108" s="1074"/>
      <c r="CZ108" s="1074"/>
      <c r="DA108" s="1074"/>
      <c r="DB108" s="1074"/>
      <c r="DC108" s="369"/>
      <c r="DD108" s="1074"/>
      <c r="DE108" s="1074"/>
      <c r="DF108" s="1075"/>
      <c r="DG108" s="1075"/>
      <c r="DH108" s="1075"/>
      <c r="DI108" s="1075"/>
      <c r="DJ108" s="1075"/>
      <c r="DL108" s="1046"/>
      <c r="DM108" s="281" t="s">
        <v>2489</v>
      </c>
      <c r="DN108" s="281"/>
      <c r="DO108" s="381"/>
      <c r="DP108" s="381"/>
      <c r="DQ108" s="381"/>
      <c r="DS108" s="273" t="str">
        <f t="shared" si="4"/>
        <v/>
      </c>
      <c r="EG108" s="167"/>
      <c r="EH108" s="167"/>
      <c r="EI108" s="167"/>
      <c r="EJ108" s="167"/>
      <c r="EK108" s="167"/>
      <c r="FO108" s="1046"/>
      <c r="FV108" s="167"/>
      <c r="FW108" s="167"/>
      <c r="FX108" s="167"/>
      <c r="FY108" s="167"/>
      <c r="FZ108" s="167"/>
      <c r="GA108" s="171"/>
    </row>
    <row r="109" spans="1:183" s="172" customFormat="1" ht="27" customHeight="1" thickBot="1">
      <c r="A109" s="645"/>
      <c r="B109" s="645"/>
      <c r="C109" s="645"/>
      <c r="D109" s="645"/>
      <c r="E109" s="646"/>
      <c r="F109" s="381"/>
      <c r="G109" s="381"/>
      <c r="H109" s="381"/>
      <c r="I109" s="251"/>
      <c r="J109" s="40"/>
      <c r="K109" s="912"/>
      <c r="L109" s="912"/>
      <c r="M109" s="2271"/>
      <c r="N109" s="2271"/>
      <c r="O109" s="2271"/>
      <c r="P109" s="2271"/>
      <c r="Q109" s="2271"/>
      <c r="R109" s="2271"/>
      <c r="S109" s="1829" t="s">
        <v>1380</v>
      </c>
      <c r="T109" s="1830"/>
      <c r="U109" s="1830"/>
      <c r="V109" s="1830"/>
      <c r="W109" s="1830"/>
      <c r="X109" s="1830"/>
      <c r="Y109" s="1830"/>
      <c r="Z109" s="1830"/>
      <c r="AA109" s="1830"/>
      <c r="AB109" s="1799"/>
      <c r="AC109" s="1799"/>
      <c r="AD109" s="1799"/>
      <c r="AE109" s="1799"/>
      <c r="AF109" s="1799"/>
      <c r="AG109" s="1799"/>
      <c r="AH109" s="1841" t="s">
        <v>1165</v>
      </c>
      <c r="AI109" s="1841"/>
      <c r="AJ109" s="1841"/>
      <c r="AK109" s="1799"/>
      <c r="AL109" s="1799"/>
      <c r="AM109" s="1799"/>
      <c r="AN109" s="1799"/>
      <c r="AO109" s="1799"/>
      <c r="AP109" s="1799"/>
      <c r="AQ109" s="1841" t="s">
        <v>1165</v>
      </c>
      <c r="AR109" s="1841"/>
      <c r="AS109" s="1841"/>
      <c r="AT109" s="1799"/>
      <c r="AU109" s="1799"/>
      <c r="AV109" s="1799"/>
      <c r="AW109" s="1799"/>
      <c r="AX109" s="1799"/>
      <c r="AY109" s="1799"/>
      <c r="AZ109" s="2234"/>
      <c r="BA109" s="2234"/>
      <c r="BB109" s="2234"/>
      <c r="BC109" s="2234"/>
      <c r="BD109" s="2234"/>
      <c r="BE109" s="2234"/>
      <c r="BF109" s="2234"/>
      <c r="BG109" s="2234"/>
      <c r="BH109" s="2234"/>
      <c r="BI109" s="2234"/>
      <c r="BJ109" s="2234"/>
      <c r="BK109" s="2234"/>
      <c r="BL109" s="2234"/>
      <c r="BM109" s="2234"/>
      <c r="BN109" s="2234"/>
      <c r="BO109" s="2234"/>
      <c r="BP109" s="2234"/>
      <c r="BQ109" s="2234"/>
      <c r="BR109" s="2234"/>
      <c r="BS109" s="2234"/>
      <c r="BT109" s="2234"/>
      <c r="BU109" s="1067"/>
      <c r="BV109" s="723"/>
      <c r="BW109" s="1765"/>
      <c r="BX109" s="1765"/>
      <c r="BY109" s="1765"/>
      <c r="BZ109" s="1765"/>
      <c r="CA109" s="1765"/>
      <c r="CB109" s="1765"/>
      <c r="CC109" s="1765"/>
      <c r="CD109" s="1765"/>
      <c r="CE109" s="1765"/>
      <c r="CF109" s="1765"/>
      <c r="CG109" s="1765"/>
      <c r="CH109" s="1765"/>
      <c r="CI109" s="1765"/>
      <c r="CJ109" s="1765"/>
      <c r="CK109" s="1765"/>
      <c r="CL109" s="1765"/>
      <c r="CM109" s="1765"/>
      <c r="CN109" s="1765"/>
      <c r="CO109" s="1765"/>
      <c r="CP109" s="1765"/>
      <c r="CQ109" s="1765"/>
      <c r="CR109" s="1765"/>
      <c r="CS109" s="1765"/>
      <c r="CT109" s="925"/>
      <c r="CU109" s="926"/>
      <c r="CV109" s="398"/>
      <c r="CW109" s="398"/>
      <c r="CX109" s="398"/>
      <c r="CY109" s="398"/>
      <c r="CZ109" s="398"/>
      <c r="DA109" s="398"/>
      <c r="DB109" s="398"/>
      <c r="DC109" s="35"/>
      <c r="DD109" s="36"/>
      <c r="DE109" s="36"/>
      <c r="DF109" s="36"/>
      <c r="DG109" s="36"/>
      <c r="DH109" s="36"/>
      <c r="DI109" s="36"/>
      <c r="DJ109" s="36"/>
      <c r="DK109" s="1068"/>
      <c r="DL109" s="1046"/>
      <c r="DM109" s="280" t="str">
        <f>CONCATENATE(AB109,"-",AK109,"-",AT109)</f>
        <v>--</v>
      </c>
      <c r="DN109" s="280" t="str">
        <f>ASC(DM109)</f>
        <v>--</v>
      </c>
      <c r="DO109" s="381"/>
      <c r="DP109" s="381"/>
      <c r="DQ109" s="381"/>
      <c r="DS109" s="273" t="str">
        <f>IF(DN109="","",DN109)</f>
        <v>--</v>
      </c>
      <c r="EG109" s="167"/>
      <c r="EH109" s="167"/>
      <c r="EI109" s="167"/>
      <c r="EJ109" s="167"/>
      <c r="EK109" s="167"/>
      <c r="FO109" s="1046"/>
      <c r="FV109" s="167"/>
      <c r="FW109" s="167"/>
      <c r="FX109" s="167"/>
      <c r="FY109" s="167"/>
      <c r="FZ109" s="167"/>
      <c r="GA109" s="171"/>
    </row>
    <row r="110" spans="1:183" ht="15" customHeight="1">
      <c r="A110" s="645"/>
      <c r="B110" s="645"/>
      <c r="C110" s="645"/>
      <c r="D110" s="645"/>
      <c r="E110" s="646"/>
      <c r="BU110" s="1044"/>
      <c r="BX110" s="727"/>
      <c r="DD110" s="36"/>
      <c r="DE110" s="36"/>
      <c r="DF110" s="36"/>
      <c r="DG110" s="36"/>
      <c r="DH110" s="36"/>
      <c r="DI110" s="36"/>
      <c r="DJ110" s="36"/>
      <c r="EG110" s="174"/>
      <c r="EH110" s="174"/>
      <c r="EI110" s="174"/>
      <c r="EJ110" s="174"/>
      <c r="EK110" s="174"/>
      <c r="FV110" s="174"/>
      <c r="FW110" s="174"/>
      <c r="FX110" s="174"/>
      <c r="FY110" s="174"/>
      <c r="FZ110" s="174"/>
    </row>
    <row r="111" spans="1:183" ht="2.15" customHeight="1">
      <c r="A111" s="645"/>
      <c r="B111" s="645"/>
      <c r="C111" s="645"/>
      <c r="D111" s="645"/>
      <c r="E111" s="646"/>
      <c r="BU111" s="1044"/>
      <c r="BX111" s="727"/>
      <c r="DD111" s="36"/>
      <c r="DE111" s="36"/>
      <c r="DF111" s="36"/>
      <c r="DG111" s="36"/>
      <c r="DH111" s="36"/>
      <c r="DI111" s="36"/>
      <c r="DJ111" s="36"/>
      <c r="EG111" s="174"/>
      <c r="EH111" s="174"/>
      <c r="EI111" s="174"/>
      <c r="EJ111" s="174"/>
      <c r="EK111" s="174"/>
      <c r="FV111" s="174"/>
      <c r="FW111" s="174"/>
      <c r="FX111" s="174"/>
      <c r="FY111" s="174"/>
      <c r="FZ111" s="174"/>
    </row>
    <row r="112" spans="1:183" ht="2.15" customHeight="1">
      <c r="A112" s="645"/>
      <c r="B112" s="645"/>
      <c r="C112" s="645"/>
      <c r="D112" s="645"/>
      <c r="E112" s="646"/>
      <c r="BU112" s="1044"/>
      <c r="BX112" s="727"/>
      <c r="DD112" s="36"/>
      <c r="DE112" s="36"/>
      <c r="DF112" s="36"/>
      <c r="DG112" s="36"/>
      <c r="DH112" s="36"/>
      <c r="DI112" s="36"/>
      <c r="DJ112" s="36"/>
      <c r="EG112" s="174"/>
      <c r="EH112" s="174"/>
      <c r="EI112" s="174"/>
      <c r="EJ112" s="174"/>
      <c r="EK112" s="174"/>
      <c r="FV112" s="174"/>
      <c r="FW112" s="174"/>
      <c r="FX112" s="174"/>
      <c r="FY112" s="174"/>
      <c r="FZ112" s="174"/>
    </row>
    <row r="113" spans="1:183" ht="2.15" customHeight="1" thickBot="1">
      <c r="A113" s="645"/>
      <c r="B113" s="645"/>
      <c r="C113" s="645"/>
      <c r="D113" s="645"/>
      <c r="E113" s="646"/>
      <c r="BU113" s="1044"/>
      <c r="BX113" s="727"/>
      <c r="DD113" s="36"/>
      <c r="DE113" s="36"/>
      <c r="DF113" s="36"/>
      <c r="DG113" s="36"/>
      <c r="DH113" s="36"/>
      <c r="DI113" s="36"/>
      <c r="DJ113" s="36"/>
      <c r="EG113" s="174"/>
      <c r="EH113" s="174"/>
      <c r="EI113" s="174"/>
      <c r="EJ113" s="174"/>
      <c r="EK113" s="174"/>
      <c r="FV113" s="174"/>
      <c r="FW113" s="174"/>
      <c r="FX113" s="174"/>
      <c r="FY113" s="174"/>
      <c r="FZ113" s="174"/>
    </row>
    <row r="114" spans="1:183" s="174" customFormat="1" ht="35.15" customHeight="1">
      <c r="A114" s="645"/>
      <c r="B114" s="645"/>
      <c r="C114" s="645"/>
      <c r="D114" s="645"/>
      <c r="E114" s="646"/>
      <c r="F114" s="381"/>
      <c r="G114" s="381"/>
      <c r="H114" s="381"/>
      <c r="I114" s="43"/>
      <c r="J114" s="1831" t="s">
        <v>1029</v>
      </c>
      <c r="K114" s="1832"/>
      <c r="L114" s="1832"/>
      <c r="M114" s="1832"/>
      <c r="N114" s="1832"/>
      <c r="O114" s="1832"/>
      <c r="P114" s="1832"/>
      <c r="Q114" s="1832"/>
      <c r="R114" s="1832"/>
      <c r="S114" s="1832"/>
      <c r="T114" s="1832"/>
      <c r="U114" s="1832"/>
      <c r="V114" s="1832"/>
      <c r="W114" s="1832"/>
      <c r="X114" s="1832"/>
      <c r="Y114" s="1832"/>
      <c r="Z114" s="1832"/>
      <c r="AA114" s="1832"/>
      <c r="AB114" s="1832"/>
      <c r="AC114" s="1832"/>
      <c r="AD114" s="1832"/>
      <c r="AE114" s="1832"/>
      <c r="AF114" s="1832"/>
      <c r="AG114" s="1832"/>
      <c r="AH114" s="1832"/>
      <c r="AI114" s="1832"/>
      <c r="AJ114" s="1832"/>
      <c r="AK114" s="1832"/>
      <c r="AL114" s="1832"/>
      <c r="AM114" s="1832"/>
      <c r="AN114" s="1832"/>
      <c r="AO114" s="1832"/>
      <c r="AP114" s="1832"/>
      <c r="AQ114" s="1832"/>
      <c r="AR114" s="1832"/>
      <c r="AS114" s="1832"/>
      <c r="AT114" s="1832"/>
      <c r="AU114" s="1832"/>
      <c r="AV114" s="1832"/>
      <c r="AW114" s="1832"/>
      <c r="AX114" s="1832"/>
      <c r="AY114" s="1832"/>
      <c r="AZ114" s="1832"/>
      <c r="BA114" s="1832"/>
      <c r="BB114" s="1832"/>
      <c r="BC114" s="1832"/>
      <c r="BD114" s="1832"/>
      <c r="BE114" s="1832"/>
      <c r="BF114" s="1832"/>
      <c r="BG114" s="1832"/>
      <c r="BH114" s="1832"/>
      <c r="BI114" s="1832"/>
      <c r="BJ114" s="1832"/>
      <c r="BK114" s="1832"/>
      <c r="BL114" s="1775" t="s">
        <v>371</v>
      </c>
      <c r="BM114" s="1776"/>
      <c r="BN114" s="1776"/>
      <c r="BO114" s="1776"/>
      <c r="BP114" s="1776"/>
      <c r="BQ114" s="1776"/>
      <c r="BR114" s="1776"/>
      <c r="BS114" s="1776"/>
      <c r="BT114" s="1776"/>
      <c r="BU114" s="1048"/>
      <c r="BV114" s="730"/>
      <c r="BW114" s="1915" t="s">
        <v>2789</v>
      </c>
      <c r="BX114" s="1915"/>
      <c r="BY114" s="1915"/>
      <c r="BZ114" s="1915"/>
      <c r="CA114" s="1915"/>
      <c r="CB114" s="1915"/>
      <c r="CC114" s="1915"/>
      <c r="CD114" s="1915"/>
      <c r="CE114" s="1915"/>
      <c r="CF114" s="1915"/>
      <c r="CG114" s="1915"/>
      <c r="CH114" s="1915"/>
      <c r="CI114" s="1915"/>
      <c r="CJ114" s="1915"/>
      <c r="CK114" s="1915"/>
      <c r="CL114" s="1915"/>
      <c r="CM114" s="1915"/>
      <c r="CN114" s="1915"/>
      <c r="CO114" s="1915"/>
      <c r="CP114" s="1915"/>
      <c r="CQ114" s="1915"/>
      <c r="CR114" s="1915"/>
      <c r="CS114" s="1915"/>
      <c r="CT114" s="1082"/>
      <c r="CU114" s="1083"/>
      <c r="CV114" s="398"/>
      <c r="CW114" s="398"/>
      <c r="CX114" s="398"/>
      <c r="CY114" s="398"/>
      <c r="CZ114" s="398"/>
      <c r="DA114" s="398"/>
      <c r="DB114" s="398"/>
      <c r="DC114" s="35"/>
      <c r="DD114" s="36"/>
      <c r="DE114" s="36"/>
      <c r="DF114" s="36"/>
      <c r="DG114" s="36"/>
      <c r="DH114" s="36"/>
      <c r="DI114" s="36"/>
      <c r="DJ114" s="36"/>
      <c r="DK114" s="1068"/>
      <c r="DL114" s="1050"/>
      <c r="DM114" s="173"/>
      <c r="DN114" s="173"/>
      <c r="DO114" s="173"/>
      <c r="DP114" s="173"/>
      <c r="DQ114" s="173"/>
      <c r="FO114" s="1050"/>
      <c r="GA114" s="173"/>
    </row>
    <row r="115" spans="1:183" s="172" customFormat="1" ht="27" customHeight="1" thickBot="1">
      <c r="A115" s="645"/>
      <c r="B115" s="645"/>
      <c r="C115" s="645"/>
      <c r="D115" s="645"/>
      <c r="E115" s="646"/>
      <c r="F115" s="381"/>
      <c r="G115" s="381"/>
      <c r="H115" s="381"/>
      <c r="I115" s="251"/>
      <c r="J115" s="39"/>
      <c r="K115" s="896"/>
      <c r="L115" s="896"/>
      <c r="M115" s="1809" t="s">
        <v>246</v>
      </c>
      <c r="N115" s="2215"/>
      <c r="O115" s="2215"/>
      <c r="P115" s="2215"/>
      <c r="Q115" s="2215"/>
      <c r="R115" s="2215"/>
      <c r="S115" s="1960" t="s">
        <v>704</v>
      </c>
      <c r="T115" s="2227"/>
      <c r="U115" s="2227"/>
      <c r="V115" s="2227"/>
      <c r="W115" s="2227"/>
      <c r="X115" s="2227"/>
      <c r="Y115" s="2227"/>
      <c r="Z115" s="2227"/>
      <c r="AA115" s="2227"/>
      <c r="AB115" s="1854"/>
      <c r="AC115" s="2220"/>
      <c r="AD115" s="2220"/>
      <c r="AE115" s="2220"/>
      <c r="AF115" s="2220"/>
      <c r="AG115" s="2220"/>
      <c r="AH115" s="2220"/>
      <c r="AI115" s="2220"/>
      <c r="AJ115" s="2220"/>
      <c r="AK115" s="2220"/>
      <c r="AL115" s="2220"/>
      <c r="AM115" s="2220"/>
      <c r="AN115" s="2220"/>
      <c r="AO115" s="2220"/>
      <c r="AP115" s="2220"/>
      <c r="AQ115" s="101" t="str">
        <f>IF(AB115="","←どれか１つ以上選んでください","")</f>
        <v>←どれか１つ以上選んでください</v>
      </c>
      <c r="AR115" s="898"/>
      <c r="AS115" s="898"/>
      <c r="AT115" s="898"/>
      <c r="AU115" s="898"/>
      <c r="AV115" s="898"/>
      <c r="AW115" s="898"/>
      <c r="AX115" s="898"/>
      <c r="AY115" s="898"/>
      <c r="AZ115" s="898"/>
      <c r="BA115" s="898"/>
      <c r="BB115" s="898"/>
      <c r="BC115" s="898"/>
      <c r="BD115" s="898"/>
      <c r="BE115" s="898"/>
      <c r="BF115" s="898"/>
      <c r="BG115" s="898"/>
      <c r="BH115" s="898"/>
      <c r="BI115" s="898"/>
      <c r="BJ115" s="898"/>
      <c r="BK115" s="898"/>
      <c r="BL115" s="898"/>
      <c r="BM115" s="898"/>
      <c r="BN115" s="898"/>
      <c r="BO115" s="898"/>
      <c r="BP115" s="898"/>
      <c r="BQ115" s="898"/>
      <c r="BR115" s="898"/>
      <c r="BS115" s="898"/>
      <c r="BT115" s="898"/>
      <c r="BU115" s="718"/>
      <c r="BV115" s="1052" t="s">
        <v>2782</v>
      </c>
      <c r="BW115" s="1916"/>
      <c r="BX115" s="1916"/>
      <c r="BY115" s="1916"/>
      <c r="BZ115" s="1916"/>
      <c r="CA115" s="1916"/>
      <c r="CB115" s="1916"/>
      <c r="CC115" s="1916"/>
      <c r="CD115" s="1916"/>
      <c r="CE115" s="1916"/>
      <c r="CF115" s="1916"/>
      <c r="CG115" s="1916"/>
      <c r="CH115" s="1916"/>
      <c r="CI115" s="1916"/>
      <c r="CJ115" s="1916"/>
      <c r="CK115" s="1916"/>
      <c r="CL115" s="1916"/>
      <c r="CM115" s="1916"/>
      <c r="CN115" s="1916"/>
      <c r="CO115" s="1916"/>
      <c r="CP115" s="1916"/>
      <c r="CQ115" s="1916"/>
      <c r="CR115" s="1916"/>
      <c r="CS115" s="1916"/>
      <c r="CT115" s="718"/>
      <c r="CU115" s="718"/>
      <c r="CV115" s="398"/>
      <c r="CW115" s="398"/>
      <c r="CX115" s="398"/>
      <c r="CY115" s="398"/>
      <c r="CZ115" s="398"/>
      <c r="DA115" s="398"/>
      <c r="DB115" s="398"/>
      <c r="DC115" s="35"/>
      <c r="DD115" s="36"/>
      <c r="DE115" s="36"/>
      <c r="DF115" s="1075"/>
      <c r="DG115" s="1075"/>
      <c r="DH115" s="1075"/>
      <c r="DI115" s="1075"/>
      <c r="DJ115" s="1075"/>
      <c r="DL115" s="1046"/>
      <c r="DM115" s="171" t="s">
        <v>696</v>
      </c>
      <c r="DN115" s="171"/>
      <c r="DO115" s="179" t="s">
        <v>267</v>
      </c>
      <c r="DP115" s="179" t="s">
        <v>346</v>
      </c>
      <c r="DQ115" s="179" t="s">
        <v>2502</v>
      </c>
      <c r="DR115" s="179" t="s">
        <v>144</v>
      </c>
      <c r="DS115" s="179" t="s">
        <v>270</v>
      </c>
      <c r="FO115" s="1046"/>
      <c r="GA115" s="171"/>
    </row>
    <row r="116" spans="1:183" s="172" customFormat="1" ht="27" customHeight="1" thickBot="1">
      <c r="A116" s="645"/>
      <c r="B116" s="645"/>
      <c r="C116" s="645"/>
      <c r="D116" s="645"/>
      <c r="E116" s="646"/>
      <c r="F116" s="381"/>
      <c r="G116" s="381"/>
      <c r="H116" s="381"/>
      <c r="I116" s="251"/>
      <c r="J116" s="39"/>
      <c r="K116" s="896"/>
      <c r="L116" s="896"/>
      <c r="M116" s="2215"/>
      <c r="N116" s="2215"/>
      <c r="O116" s="2215"/>
      <c r="P116" s="2215"/>
      <c r="Q116" s="2215"/>
      <c r="R116" s="2215"/>
      <c r="S116" s="1866" t="s">
        <v>705</v>
      </c>
      <c r="T116" s="1867"/>
      <c r="U116" s="1867"/>
      <c r="V116" s="1867"/>
      <c r="W116" s="1867"/>
      <c r="X116" s="1867"/>
      <c r="Y116" s="1867"/>
      <c r="Z116" s="1867"/>
      <c r="AA116" s="1867"/>
      <c r="AB116" s="1772"/>
      <c r="AC116" s="1796"/>
      <c r="AD116" s="1796"/>
      <c r="AE116" s="1796"/>
      <c r="AF116" s="1796"/>
      <c r="AG116" s="1796"/>
      <c r="AH116" s="1796"/>
      <c r="AI116" s="1796"/>
      <c r="AJ116" s="1796"/>
      <c r="AK116" s="1796"/>
      <c r="AL116" s="1796"/>
      <c r="AM116" s="1796"/>
      <c r="AN116" s="1796"/>
      <c r="AO116" s="1796"/>
      <c r="AP116" s="1796"/>
      <c r="AQ116" s="896"/>
      <c r="AR116" s="896"/>
      <c r="AS116" s="896"/>
      <c r="AT116" s="896"/>
      <c r="AU116" s="896"/>
      <c r="AV116" s="896"/>
      <c r="AW116" s="896"/>
      <c r="AX116" s="896"/>
      <c r="AY116" s="896"/>
      <c r="AZ116" s="896"/>
      <c r="BA116" s="896"/>
      <c r="BB116" s="896"/>
      <c r="BC116" s="896"/>
      <c r="BD116" s="896"/>
      <c r="BE116" s="896"/>
      <c r="BF116" s="896"/>
      <c r="BG116" s="896"/>
      <c r="BH116" s="896"/>
      <c r="BI116" s="896"/>
      <c r="BJ116" s="896"/>
      <c r="BK116" s="896"/>
      <c r="BL116" s="896"/>
      <c r="BM116" s="896"/>
      <c r="BN116" s="896"/>
      <c r="BO116" s="896"/>
      <c r="BP116" s="896"/>
      <c r="BQ116" s="896"/>
      <c r="BR116" s="896"/>
      <c r="BS116" s="896"/>
      <c r="BT116" s="896"/>
      <c r="BU116" s="718"/>
      <c r="BV116" s="731" t="s">
        <v>2782</v>
      </c>
      <c r="BW116" s="1764" t="s">
        <v>2787</v>
      </c>
      <c r="BX116" s="1764"/>
      <c r="BY116" s="1764"/>
      <c r="BZ116" s="1764"/>
      <c r="CA116" s="1764"/>
      <c r="CB116" s="1764"/>
      <c r="CC116" s="1764"/>
      <c r="CD116" s="1764"/>
      <c r="CE116" s="1764"/>
      <c r="CF116" s="1764"/>
      <c r="CG116" s="1764"/>
      <c r="CH116" s="1764"/>
      <c r="CI116" s="1764"/>
      <c r="CJ116" s="1764"/>
      <c r="CK116" s="1764"/>
      <c r="CL116" s="1764"/>
      <c r="CM116" s="1764"/>
      <c r="CN116" s="1764"/>
      <c r="CO116" s="1764"/>
      <c r="CP116" s="1764"/>
      <c r="CQ116" s="1764"/>
      <c r="CR116" s="1764"/>
      <c r="CS116" s="1764"/>
      <c r="CT116" s="718"/>
      <c r="CU116" s="718"/>
      <c r="CV116" s="398"/>
      <c r="CW116" s="398"/>
      <c r="CX116" s="398"/>
      <c r="CY116" s="398"/>
      <c r="CZ116" s="398"/>
      <c r="DA116" s="398"/>
      <c r="DB116" s="398"/>
      <c r="DC116" s="35"/>
      <c r="DD116" s="36"/>
      <c r="DE116" s="36"/>
      <c r="DF116" s="1075"/>
      <c r="DG116" s="1075"/>
      <c r="DH116" s="1075"/>
      <c r="DI116" s="1075"/>
      <c r="DJ116" s="1075"/>
      <c r="DL116" s="1046"/>
      <c r="DM116" s="177">
        <f>COUNTIFS(AB115:AP117,"その他")</f>
        <v>0</v>
      </c>
      <c r="DO116" s="180" t="str">
        <f>IF(COUNTIF($AB$115:$AP$117,DO115)=1,"レ","")</f>
        <v/>
      </c>
      <c r="DP116" s="180" t="str">
        <f t="shared" ref="DP116:DS116" si="5">IF(COUNTIF($AB$115:$AP$117,DP115)=1,"レ","")</f>
        <v/>
      </c>
      <c r="DQ116" s="180" t="str">
        <f t="shared" si="5"/>
        <v/>
      </c>
      <c r="DR116" s="180" t="str">
        <f t="shared" si="5"/>
        <v/>
      </c>
      <c r="DS116" s="180" t="str">
        <f t="shared" si="5"/>
        <v/>
      </c>
      <c r="EG116" s="178"/>
      <c r="EH116" s="178"/>
      <c r="EI116" s="178"/>
      <c r="EJ116" s="178"/>
      <c r="EK116" s="178"/>
      <c r="FO116" s="1046"/>
      <c r="FV116" s="178"/>
      <c r="FW116" s="178"/>
      <c r="FX116" s="178"/>
      <c r="FY116" s="178"/>
      <c r="FZ116" s="178"/>
      <c r="GA116" s="171"/>
    </row>
    <row r="117" spans="1:183" s="172" customFormat="1" ht="27" customHeight="1">
      <c r="A117" s="645"/>
      <c r="B117" s="645"/>
      <c r="C117" s="645"/>
      <c r="D117" s="645"/>
      <c r="E117" s="646"/>
      <c r="F117" s="381"/>
      <c r="G117" s="381"/>
      <c r="H117" s="381"/>
      <c r="I117" s="251"/>
      <c r="J117" s="39"/>
      <c r="K117" s="896"/>
      <c r="L117" s="896"/>
      <c r="M117" s="2215"/>
      <c r="N117" s="2215"/>
      <c r="O117" s="2215"/>
      <c r="P117" s="2215"/>
      <c r="Q117" s="2215"/>
      <c r="R117" s="2215"/>
      <c r="S117" s="1866" t="s">
        <v>706</v>
      </c>
      <c r="T117" s="1867"/>
      <c r="U117" s="1867"/>
      <c r="V117" s="1867"/>
      <c r="W117" s="1867"/>
      <c r="X117" s="1867"/>
      <c r="Y117" s="1867"/>
      <c r="Z117" s="1867"/>
      <c r="AA117" s="1867"/>
      <c r="AB117" s="1772"/>
      <c r="AC117" s="1796"/>
      <c r="AD117" s="1796"/>
      <c r="AE117" s="1796"/>
      <c r="AF117" s="1796"/>
      <c r="AG117" s="1796"/>
      <c r="AH117" s="1796"/>
      <c r="AI117" s="1796"/>
      <c r="AJ117" s="1796"/>
      <c r="AK117" s="1796"/>
      <c r="AL117" s="1796"/>
      <c r="AM117" s="1796"/>
      <c r="AN117" s="1796"/>
      <c r="AO117" s="1796"/>
      <c r="AP117" s="1796"/>
      <c r="AQ117" s="896"/>
      <c r="AR117" s="896"/>
      <c r="AS117" s="896"/>
      <c r="AT117" s="896"/>
      <c r="AU117" s="896"/>
      <c r="AV117" s="896"/>
      <c r="AW117" s="896"/>
      <c r="AX117" s="896"/>
      <c r="AY117" s="896"/>
      <c r="AZ117" s="896"/>
      <c r="BA117" s="896"/>
      <c r="BB117" s="896"/>
      <c r="BC117" s="896"/>
      <c r="BD117" s="896"/>
      <c r="BE117" s="896"/>
      <c r="BF117" s="896"/>
      <c r="BG117" s="896"/>
      <c r="BH117" s="896"/>
      <c r="BI117" s="896"/>
      <c r="BJ117" s="896"/>
      <c r="BK117" s="896"/>
      <c r="BL117" s="896"/>
      <c r="BM117" s="896"/>
      <c r="BN117" s="896"/>
      <c r="BO117" s="896"/>
      <c r="BP117" s="896"/>
      <c r="BQ117" s="896"/>
      <c r="BR117" s="896"/>
      <c r="BS117" s="896"/>
      <c r="BT117" s="896"/>
      <c r="BU117" s="718"/>
      <c r="BV117" s="718"/>
      <c r="BW117" s="1764"/>
      <c r="BX117" s="1764"/>
      <c r="BY117" s="1764"/>
      <c r="BZ117" s="1764"/>
      <c r="CA117" s="1764"/>
      <c r="CB117" s="1764"/>
      <c r="CC117" s="1764"/>
      <c r="CD117" s="1764"/>
      <c r="CE117" s="1764"/>
      <c r="CF117" s="1764"/>
      <c r="CG117" s="1764"/>
      <c r="CH117" s="1764"/>
      <c r="CI117" s="1764"/>
      <c r="CJ117" s="1764"/>
      <c r="CK117" s="1764"/>
      <c r="CL117" s="1764"/>
      <c r="CM117" s="1764"/>
      <c r="CN117" s="1764"/>
      <c r="CO117" s="1764"/>
      <c r="CP117" s="1764"/>
      <c r="CQ117" s="1764"/>
      <c r="CR117" s="1764"/>
      <c r="CS117" s="1764"/>
      <c r="CT117" s="718"/>
      <c r="CU117" s="718"/>
      <c r="CV117" s="398"/>
      <c r="CW117" s="398"/>
      <c r="CX117" s="398"/>
      <c r="CY117" s="398"/>
      <c r="CZ117" s="398"/>
      <c r="DA117" s="398"/>
      <c r="DB117" s="398"/>
      <c r="DC117" s="35"/>
      <c r="DD117" s="36"/>
      <c r="DE117" s="36"/>
      <c r="DF117" s="178"/>
      <c r="DG117" s="178"/>
      <c r="DH117" s="178"/>
      <c r="DI117" s="178"/>
      <c r="DJ117" s="178"/>
      <c r="DK117" s="1068"/>
      <c r="DL117" s="1046"/>
      <c r="DM117" s="171"/>
      <c r="DN117" s="171"/>
      <c r="DO117" s="171"/>
      <c r="DP117" s="171"/>
      <c r="DQ117" s="171"/>
      <c r="EG117" s="178"/>
      <c r="EH117" s="178"/>
      <c r="EI117" s="178"/>
      <c r="EJ117" s="178"/>
      <c r="EK117" s="178"/>
      <c r="FO117" s="1046"/>
      <c r="FV117" s="178"/>
      <c r="FW117" s="178"/>
      <c r="FX117" s="178"/>
      <c r="FY117" s="178"/>
      <c r="FZ117" s="178"/>
      <c r="GA117" s="171"/>
    </row>
    <row r="118" spans="1:183" ht="27" customHeight="1">
      <c r="A118" s="645"/>
      <c r="B118" s="645"/>
      <c r="C118" s="645"/>
      <c r="D118" s="645"/>
      <c r="E118" s="646"/>
      <c r="J118" s="88"/>
      <c r="K118" s="89"/>
      <c r="L118" s="89"/>
      <c r="M118" s="2215"/>
      <c r="N118" s="2215"/>
      <c r="O118" s="2215"/>
      <c r="P118" s="2215"/>
      <c r="Q118" s="2215"/>
      <c r="R118" s="2215"/>
      <c r="S118" s="1939" t="s">
        <v>144</v>
      </c>
      <c r="T118" s="1940"/>
      <c r="U118" s="1940"/>
      <c r="V118" s="1940"/>
      <c r="W118" s="1940"/>
      <c r="X118" s="1940"/>
      <c r="Y118" s="1940"/>
      <c r="Z118" s="1940"/>
      <c r="AA118" s="1940"/>
      <c r="AB118" s="1797"/>
      <c r="AC118" s="1769"/>
      <c r="AD118" s="1769"/>
      <c r="AE118" s="1769"/>
      <c r="AF118" s="1769"/>
      <c r="AG118" s="1769"/>
      <c r="AH118" s="1769"/>
      <c r="AI118" s="1769"/>
      <c r="AJ118" s="1769"/>
      <c r="AK118" s="1769"/>
      <c r="AL118" s="1769"/>
      <c r="AM118" s="1769"/>
      <c r="AN118" s="1769"/>
      <c r="AO118" s="2105"/>
      <c r="AP118" s="2105"/>
      <c r="AQ118" s="98" t="str">
        <f>IF(AND(DM116&gt;0,AB118=""),"←その他の場合、説明を入力してください","")</f>
        <v/>
      </c>
      <c r="AR118" s="59"/>
      <c r="AS118" s="59"/>
      <c r="AT118" s="59"/>
      <c r="AU118" s="59"/>
      <c r="AV118" s="911"/>
      <c r="AW118" s="52"/>
      <c r="AX118" s="911"/>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1052"/>
      <c r="BV118" s="718"/>
      <c r="BW118" s="718"/>
      <c r="BX118" s="718"/>
      <c r="BY118" s="718"/>
      <c r="BZ118" s="718"/>
      <c r="CA118" s="718"/>
      <c r="CB118" s="718"/>
      <c r="CC118" s="718"/>
      <c r="CD118" s="718"/>
      <c r="CE118" s="718"/>
      <c r="CF118" s="718"/>
      <c r="CG118" s="718"/>
      <c r="CH118" s="718"/>
      <c r="CI118" s="718"/>
      <c r="CJ118" s="718"/>
      <c r="CK118" s="718"/>
      <c r="CL118" s="718"/>
      <c r="CM118" s="718"/>
      <c r="CN118" s="718"/>
      <c r="CO118" s="718"/>
      <c r="CP118" s="718"/>
      <c r="CQ118" s="718"/>
      <c r="CR118" s="718"/>
      <c r="CS118" s="718"/>
      <c r="CT118" s="718"/>
      <c r="CU118" s="718"/>
      <c r="DD118" s="36"/>
      <c r="DE118" s="36"/>
      <c r="DF118" s="178"/>
      <c r="DG118" s="178"/>
      <c r="DH118" s="178"/>
      <c r="DI118" s="178"/>
      <c r="DJ118" s="178"/>
      <c r="DK118" s="1068"/>
      <c r="EG118" s="178"/>
      <c r="EH118" s="178"/>
      <c r="EI118" s="178"/>
      <c r="EJ118" s="178"/>
      <c r="EK118" s="178"/>
      <c r="FV118" s="178"/>
      <c r="FW118" s="178"/>
      <c r="FX118" s="178"/>
      <c r="FY118" s="178"/>
      <c r="FZ118" s="178"/>
    </row>
    <row r="119" spans="1:183" s="172" customFormat="1" ht="27" customHeight="1">
      <c r="A119" s="645"/>
      <c r="B119" s="645"/>
      <c r="C119" s="645"/>
      <c r="D119" s="645"/>
      <c r="E119" s="646"/>
      <c r="F119" s="381"/>
      <c r="G119" s="381"/>
      <c r="H119" s="381"/>
      <c r="I119" s="251"/>
      <c r="J119" s="39"/>
      <c r="K119" s="896"/>
      <c r="L119" s="896"/>
      <c r="M119" s="1809" t="s">
        <v>710</v>
      </c>
      <c r="N119" s="2215"/>
      <c r="O119" s="2215"/>
      <c r="P119" s="2215"/>
      <c r="Q119" s="2215"/>
      <c r="R119" s="2215"/>
      <c r="S119" s="1827" t="s">
        <v>707</v>
      </c>
      <c r="T119" s="1843"/>
      <c r="U119" s="1843"/>
      <c r="V119" s="1843"/>
      <c r="W119" s="1843"/>
      <c r="X119" s="1843"/>
      <c r="Y119" s="1843"/>
      <c r="Z119" s="1843"/>
      <c r="AA119" s="1843"/>
      <c r="AB119" s="1854"/>
      <c r="AC119" s="2220"/>
      <c r="AD119" s="2220"/>
      <c r="AE119" s="2220"/>
      <c r="AF119" s="2220"/>
      <c r="AG119" s="2220"/>
      <c r="AH119" s="2220"/>
      <c r="AI119" s="2220"/>
      <c r="AJ119" s="2220"/>
      <c r="AK119" s="2220"/>
      <c r="AL119" s="2220"/>
      <c r="AM119" s="2220"/>
      <c r="AN119" s="2220"/>
      <c r="AO119" s="2220"/>
      <c r="AP119" s="2220"/>
      <c r="AQ119" s="101" t="str">
        <f>IF(AB119="","←どれか１つ以上選んでください","")</f>
        <v>←どれか１つ以上選んでください</v>
      </c>
      <c r="AR119" s="92"/>
      <c r="AS119" s="92"/>
      <c r="AT119" s="92"/>
      <c r="AU119" s="92"/>
      <c r="AV119" s="92"/>
      <c r="AW119" s="92"/>
      <c r="AX119" s="92"/>
      <c r="AY119" s="92"/>
      <c r="AZ119" s="92"/>
      <c r="BA119" s="92"/>
      <c r="BB119" s="92"/>
      <c r="BC119" s="92"/>
      <c r="BD119" s="92"/>
      <c r="BE119" s="92"/>
      <c r="BF119" s="92"/>
      <c r="BG119" s="92"/>
      <c r="BH119" s="92"/>
      <c r="BI119" s="92"/>
      <c r="BJ119" s="92"/>
      <c r="BK119" s="92"/>
      <c r="BL119" s="92"/>
      <c r="BM119" s="92"/>
      <c r="BN119" s="92"/>
      <c r="BO119" s="92"/>
      <c r="BP119" s="92"/>
      <c r="BQ119" s="92"/>
      <c r="BR119" s="92"/>
      <c r="BS119" s="92"/>
      <c r="BT119" s="92"/>
      <c r="BU119" s="718"/>
      <c r="BV119" s="731" t="s">
        <v>2782</v>
      </c>
      <c r="BW119" s="1764" t="s">
        <v>2788</v>
      </c>
      <c r="BX119" s="1764"/>
      <c r="BY119" s="1764"/>
      <c r="BZ119" s="1764"/>
      <c r="CA119" s="1764"/>
      <c r="CB119" s="1764"/>
      <c r="CC119" s="1764"/>
      <c r="CD119" s="1764"/>
      <c r="CE119" s="1764"/>
      <c r="CF119" s="1764"/>
      <c r="CG119" s="1764"/>
      <c r="CH119" s="1764"/>
      <c r="CI119" s="1764"/>
      <c r="CJ119" s="1764"/>
      <c r="CK119" s="1764"/>
      <c r="CL119" s="1764"/>
      <c r="CM119" s="1764"/>
      <c r="CN119" s="1764"/>
      <c r="CO119" s="1764"/>
      <c r="CP119" s="1764"/>
      <c r="CQ119" s="1764"/>
      <c r="CR119" s="1764"/>
      <c r="CS119" s="1764"/>
      <c r="CT119" s="718"/>
      <c r="CU119" s="718"/>
      <c r="CV119" s="1074"/>
      <c r="CW119" s="1074"/>
      <c r="CX119" s="1074"/>
      <c r="CY119" s="1074"/>
      <c r="CZ119" s="1074"/>
      <c r="DA119" s="1074"/>
      <c r="DB119" s="1074"/>
      <c r="DC119" s="369"/>
      <c r="DD119" s="36"/>
      <c r="DE119" s="36"/>
      <c r="DF119" s="178"/>
      <c r="DG119" s="178"/>
      <c r="DH119" s="178"/>
      <c r="DI119" s="178"/>
      <c r="DJ119" s="178"/>
      <c r="DK119" s="1068"/>
      <c r="DL119" s="1046"/>
      <c r="DM119" s="171"/>
      <c r="DN119" s="171"/>
      <c r="DO119" s="171"/>
      <c r="DP119" s="171"/>
      <c r="DQ119" s="171"/>
      <c r="FO119" s="1046"/>
      <c r="GA119" s="171"/>
    </row>
    <row r="120" spans="1:183" s="172" customFormat="1" ht="27" customHeight="1">
      <c r="A120" s="645"/>
      <c r="B120" s="645"/>
      <c r="C120" s="645"/>
      <c r="D120" s="645"/>
      <c r="E120" s="646"/>
      <c r="F120" s="381"/>
      <c r="G120" s="381"/>
      <c r="H120" s="381"/>
      <c r="I120" s="251"/>
      <c r="J120" s="39"/>
      <c r="K120" s="896"/>
      <c r="L120" s="896"/>
      <c r="M120" s="2215"/>
      <c r="N120" s="2215"/>
      <c r="O120" s="2215"/>
      <c r="P120" s="2215"/>
      <c r="Q120" s="2215"/>
      <c r="R120" s="2215"/>
      <c r="S120" s="1846" t="s">
        <v>708</v>
      </c>
      <c r="T120" s="1848"/>
      <c r="U120" s="1848"/>
      <c r="V120" s="1848"/>
      <c r="W120" s="1848"/>
      <c r="X120" s="1848"/>
      <c r="Y120" s="1848"/>
      <c r="Z120" s="1848"/>
      <c r="AA120" s="1848"/>
      <c r="AB120" s="1772"/>
      <c r="AC120" s="1796"/>
      <c r="AD120" s="1796"/>
      <c r="AE120" s="1796"/>
      <c r="AF120" s="1796"/>
      <c r="AG120" s="1796"/>
      <c r="AH120" s="1796"/>
      <c r="AI120" s="1796"/>
      <c r="AJ120" s="1796"/>
      <c r="AK120" s="1796"/>
      <c r="AL120" s="1796"/>
      <c r="AM120" s="1796"/>
      <c r="AN120" s="1796"/>
      <c r="AO120" s="1796"/>
      <c r="AP120" s="1796"/>
      <c r="AQ120" s="896"/>
      <c r="AR120" s="896"/>
      <c r="AS120" s="896"/>
      <c r="AT120" s="896"/>
      <c r="AU120" s="896"/>
      <c r="AV120" s="896"/>
      <c r="AW120" s="896"/>
      <c r="AX120" s="896"/>
      <c r="AY120" s="896"/>
      <c r="AZ120" s="896"/>
      <c r="BA120" s="896"/>
      <c r="BB120" s="896"/>
      <c r="BC120" s="896"/>
      <c r="BD120" s="896"/>
      <c r="BE120" s="896"/>
      <c r="BF120" s="896"/>
      <c r="BG120" s="896"/>
      <c r="BH120" s="896"/>
      <c r="BI120" s="896"/>
      <c r="BJ120" s="896"/>
      <c r="BK120" s="896"/>
      <c r="BL120" s="896"/>
      <c r="BM120" s="896"/>
      <c r="BN120" s="896"/>
      <c r="BO120" s="896"/>
      <c r="BP120" s="896"/>
      <c r="BQ120" s="896"/>
      <c r="BR120" s="896"/>
      <c r="BS120" s="896"/>
      <c r="BT120" s="896"/>
      <c r="BU120" s="718"/>
      <c r="BV120" s="718"/>
      <c r="BW120" s="1764"/>
      <c r="BX120" s="1764"/>
      <c r="BY120" s="1764"/>
      <c r="BZ120" s="1764"/>
      <c r="CA120" s="1764"/>
      <c r="CB120" s="1764"/>
      <c r="CC120" s="1764"/>
      <c r="CD120" s="1764"/>
      <c r="CE120" s="1764"/>
      <c r="CF120" s="1764"/>
      <c r="CG120" s="1764"/>
      <c r="CH120" s="1764"/>
      <c r="CI120" s="1764"/>
      <c r="CJ120" s="1764"/>
      <c r="CK120" s="1764"/>
      <c r="CL120" s="1764"/>
      <c r="CM120" s="1764"/>
      <c r="CN120" s="1764"/>
      <c r="CO120" s="1764"/>
      <c r="CP120" s="1764"/>
      <c r="CQ120" s="1764"/>
      <c r="CR120" s="1764"/>
      <c r="CS120" s="1764"/>
      <c r="CT120" s="718"/>
      <c r="CU120" s="718"/>
      <c r="CV120" s="1074"/>
      <c r="CW120" s="1074"/>
      <c r="CX120" s="1074"/>
      <c r="CY120" s="1074"/>
      <c r="CZ120" s="1074"/>
      <c r="DA120" s="1074"/>
      <c r="DB120" s="1074"/>
      <c r="DC120" s="369"/>
      <c r="DD120" s="1074"/>
      <c r="DE120" s="1074"/>
      <c r="DF120" s="1075"/>
      <c r="DG120" s="1075"/>
      <c r="DH120" s="178"/>
      <c r="DI120" s="178"/>
      <c r="DJ120" s="178"/>
      <c r="DK120" s="1068"/>
      <c r="DL120" s="1046"/>
      <c r="DM120" s="171"/>
      <c r="DN120" s="171"/>
      <c r="DO120" s="171"/>
      <c r="DP120" s="171"/>
      <c r="DQ120" s="171"/>
      <c r="FO120" s="1046"/>
      <c r="GA120" s="171"/>
    </row>
    <row r="121" spans="1:183" ht="27" customHeight="1" thickBot="1">
      <c r="A121" s="645"/>
      <c r="B121" s="645"/>
      <c r="C121" s="645"/>
      <c r="D121" s="645"/>
      <c r="E121" s="646"/>
      <c r="J121" s="93"/>
      <c r="K121" s="125"/>
      <c r="L121" s="125"/>
      <c r="M121" s="2248"/>
      <c r="N121" s="2248"/>
      <c r="O121" s="2248"/>
      <c r="P121" s="2248"/>
      <c r="Q121" s="2248"/>
      <c r="R121" s="2248"/>
      <c r="S121" s="1815" t="s">
        <v>709</v>
      </c>
      <c r="T121" s="1816"/>
      <c r="U121" s="1816"/>
      <c r="V121" s="1816"/>
      <c r="W121" s="1816"/>
      <c r="X121" s="1816"/>
      <c r="Y121" s="1816"/>
      <c r="Z121" s="1816"/>
      <c r="AA121" s="1816"/>
      <c r="AB121" s="2191"/>
      <c r="AC121" s="2240"/>
      <c r="AD121" s="2240"/>
      <c r="AE121" s="2240"/>
      <c r="AF121" s="2240"/>
      <c r="AG121" s="2240"/>
      <c r="AH121" s="2240"/>
      <c r="AI121" s="2240"/>
      <c r="AJ121" s="2240"/>
      <c r="AK121" s="2240"/>
      <c r="AL121" s="2240"/>
      <c r="AM121" s="2240"/>
      <c r="AN121" s="2240"/>
      <c r="AO121" s="2240"/>
      <c r="AP121" s="2240"/>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1084"/>
      <c r="BV121" s="925"/>
      <c r="BW121" s="925"/>
      <c r="BX121" s="925"/>
      <c r="BY121" s="925"/>
      <c r="BZ121" s="925"/>
      <c r="CA121" s="925"/>
      <c r="CB121" s="925"/>
      <c r="CC121" s="925"/>
      <c r="CD121" s="925"/>
      <c r="CE121" s="925"/>
      <c r="CF121" s="925"/>
      <c r="CG121" s="925"/>
      <c r="CH121" s="925"/>
      <c r="CI121" s="925"/>
      <c r="CJ121" s="925"/>
      <c r="CK121" s="925"/>
      <c r="CL121" s="925"/>
      <c r="CM121" s="925"/>
      <c r="CN121" s="925"/>
      <c r="CO121" s="925"/>
      <c r="CP121" s="925"/>
      <c r="CQ121" s="925"/>
      <c r="CR121" s="925"/>
      <c r="CS121" s="925"/>
      <c r="CT121" s="925"/>
      <c r="CU121" s="926"/>
      <c r="DD121" s="36"/>
      <c r="DE121" s="36"/>
      <c r="DF121" s="36"/>
      <c r="DG121" s="36"/>
      <c r="DH121" s="36"/>
      <c r="DI121" s="36"/>
      <c r="DJ121" s="36"/>
      <c r="DK121" s="1068"/>
      <c r="EG121" s="172"/>
      <c r="EH121" s="172"/>
      <c r="EI121" s="172"/>
      <c r="EJ121" s="172"/>
      <c r="EK121" s="172"/>
      <c r="FV121" s="172"/>
      <c r="FW121" s="172"/>
      <c r="FX121" s="172"/>
      <c r="FY121" s="172"/>
      <c r="FZ121" s="172"/>
    </row>
    <row r="122" spans="1:183" ht="15" customHeight="1">
      <c r="A122" s="645"/>
      <c r="B122" s="645"/>
      <c r="C122" s="645"/>
      <c r="D122" s="645"/>
      <c r="E122" s="646"/>
      <c r="BU122" s="1044"/>
      <c r="BX122" s="727"/>
      <c r="DD122" s="36"/>
      <c r="DE122" s="36"/>
      <c r="DF122" s="36"/>
      <c r="DG122" s="36"/>
      <c r="DH122" s="36"/>
      <c r="DI122" s="36"/>
      <c r="DJ122" s="36"/>
      <c r="EG122" s="172"/>
      <c r="EH122" s="172"/>
      <c r="EI122" s="172"/>
      <c r="EJ122" s="172"/>
      <c r="EK122" s="172"/>
      <c r="FV122" s="172"/>
      <c r="FW122" s="172"/>
      <c r="FX122" s="172"/>
      <c r="FY122" s="172"/>
      <c r="FZ122" s="172"/>
    </row>
    <row r="123" spans="1:183" ht="2.15" customHeight="1">
      <c r="A123" s="645"/>
      <c r="B123" s="645"/>
      <c r="C123" s="645"/>
      <c r="D123" s="645"/>
      <c r="E123" s="646"/>
      <c r="BU123" s="1044"/>
      <c r="BX123" s="727"/>
      <c r="DD123" s="36"/>
      <c r="DE123" s="36"/>
      <c r="DF123" s="36"/>
      <c r="DG123" s="36"/>
      <c r="DH123" s="36"/>
      <c r="DI123" s="36"/>
      <c r="DJ123" s="36"/>
      <c r="EG123" s="172"/>
      <c r="EH123" s="172"/>
      <c r="EI123" s="172"/>
      <c r="EJ123" s="172"/>
      <c r="EK123" s="172"/>
      <c r="FV123" s="172"/>
      <c r="FW123" s="172"/>
      <c r="FX123" s="172"/>
      <c r="FY123" s="172"/>
      <c r="FZ123" s="172"/>
    </row>
    <row r="124" spans="1:183" ht="2.15" customHeight="1">
      <c r="A124" s="645"/>
      <c r="B124" s="645"/>
      <c r="C124" s="645"/>
      <c r="D124" s="645"/>
      <c r="E124" s="646"/>
      <c r="BU124" s="1044"/>
      <c r="BX124" s="727"/>
      <c r="DD124" s="36"/>
      <c r="DE124" s="36"/>
      <c r="DF124" s="36"/>
      <c r="DG124" s="36"/>
      <c r="DH124" s="36"/>
      <c r="DI124" s="36"/>
      <c r="DJ124" s="36"/>
      <c r="EG124" s="172"/>
      <c r="EH124" s="172"/>
      <c r="EI124" s="172"/>
      <c r="EJ124" s="172"/>
      <c r="EK124" s="172"/>
      <c r="FV124" s="172"/>
      <c r="FW124" s="172"/>
      <c r="FX124" s="172"/>
      <c r="FY124" s="172"/>
      <c r="FZ124" s="172"/>
    </row>
    <row r="125" spans="1:183" ht="2.15" customHeight="1" thickBot="1">
      <c r="A125" s="645"/>
      <c r="B125" s="645"/>
      <c r="C125" s="645"/>
      <c r="D125" s="645"/>
      <c r="E125" s="646"/>
      <c r="BU125" s="1044"/>
      <c r="BX125" s="727"/>
      <c r="DD125" s="36"/>
      <c r="DE125" s="36"/>
      <c r="DF125" s="36"/>
      <c r="DG125" s="36"/>
      <c r="DH125" s="36"/>
      <c r="DI125" s="36"/>
      <c r="DJ125" s="36"/>
      <c r="EG125" s="172"/>
      <c r="EH125" s="172"/>
      <c r="EI125" s="172"/>
      <c r="EJ125" s="172"/>
      <c r="EK125" s="172"/>
      <c r="FV125" s="172"/>
      <c r="FW125" s="172"/>
      <c r="FX125" s="172"/>
      <c r="FY125" s="172"/>
      <c r="FZ125" s="172"/>
    </row>
    <row r="126" spans="1:183" ht="35.15" customHeight="1">
      <c r="A126" s="645"/>
      <c r="B126" s="645"/>
      <c r="C126" s="645"/>
      <c r="D126" s="645"/>
      <c r="E126" s="646"/>
      <c r="J126" s="1831" t="s">
        <v>1030</v>
      </c>
      <c r="K126" s="1832"/>
      <c r="L126" s="1832"/>
      <c r="M126" s="1832"/>
      <c r="N126" s="1832"/>
      <c r="O126" s="1832"/>
      <c r="P126" s="1832"/>
      <c r="Q126" s="1832"/>
      <c r="R126" s="1832"/>
      <c r="S126" s="1832"/>
      <c r="T126" s="1832"/>
      <c r="U126" s="1832"/>
      <c r="V126" s="1832"/>
      <c r="W126" s="1832"/>
      <c r="X126" s="1832"/>
      <c r="Y126" s="1832"/>
      <c r="Z126" s="1832"/>
      <c r="AA126" s="1832"/>
      <c r="AB126" s="1832"/>
      <c r="AC126" s="1832"/>
      <c r="AD126" s="1832"/>
      <c r="AE126" s="1832"/>
      <c r="AF126" s="1832"/>
      <c r="AG126" s="1832"/>
      <c r="AH126" s="1832"/>
      <c r="AI126" s="1832"/>
      <c r="AJ126" s="1832"/>
      <c r="AK126" s="1832"/>
      <c r="AL126" s="1832"/>
      <c r="AM126" s="1832"/>
      <c r="AN126" s="1832"/>
      <c r="AO126" s="1832"/>
      <c r="AP126" s="1832"/>
      <c r="AQ126" s="1832"/>
      <c r="AR126" s="1832"/>
      <c r="AS126" s="1832"/>
      <c r="AT126" s="1832"/>
      <c r="AU126" s="1832"/>
      <c r="AV126" s="1832"/>
      <c r="AW126" s="1832"/>
      <c r="AX126" s="1832"/>
      <c r="AY126" s="1832"/>
      <c r="AZ126" s="1832"/>
      <c r="BA126" s="1832"/>
      <c r="BB126" s="1832"/>
      <c r="BC126" s="1832"/>
      <c r="BD126" s="1832"/>
      <c r="BE126" s="1832"/>
      <c r="BF126" s="1832"/>
      <c r="BG126" s="1832"/>
      <c r="BH126" s="1832"/>
      <c r="BI126" s="1832"/>
      <c r="BJ126" s="1832"/>
      <c r="BK126" s="1832"/>
      <c r="BL126" s="1775" t="s">
        <v>372</v>
      </c>
      <c r="BM126" s="1776"/>
      <c r="BN126" s="1776"/>
      <c r="BO126" s="1776"/>
      <c r="BP126" s="1776"/>
      <c r="BQ126" s="1776"/>
      <c r="BR126" s="1776"/>
      <c r="BS126" s="1776"/>
      <c r="BT126" s="1776"/>
      <c r="BU126" s="1085"/>
      <c r="BV126" s="711"/>
      <c r="BW126" s="711"/>
      <c r="BX126" s="711"/>
      <c r="BY126" s="711"/>
      <c r="BZ126" s="711"/>
      <c r="CA126" s="711"/>
      <c r="CB126" s="711"/>
      <c r="CC126" s="711"/>
      <c r="CD126" s="711"/>
      <c r="CE126" s="711"/>
      <c r="CF126" s="711"/>
      <c r="CG126" s="711"/>
      <c r="CH126" s="711"/>
      <c r="CI126" s="711"/>
      <c r="CJ126" s="711"/>
      <c r="CK126" s="711"/>
      <c r="CL126" s="711"/>
      <c r="CM126" s="711"/>
      <c r="CN126" s="711"/>
      <c r="CO126" s="711"/>
      <c r="CP126" s="711"/>
      <c r="CQ126" s="711"/>
      <c r="CR126" s="711"/>
      <c r="CS126" s="711"/>
      <c r="CT126" s="711"/>
      <c r="CU126" s="712"/>
      <c r="DD126" s="36"/>
      <c r="DE126" s="36"/>
      <c r="DF126" s="36"/>
      <c r="DG126" s="36"/>
      <c r="DH126" s="36"/>
      <c r="DI126" s="36"/>
      <c r="DJ126" s="36"/>
      <c r="DK126" s="1068"/>
      <c r="DO126" s="167"/>
      <c r="DP126" s="167"/>
      <c r="EG126" s="178"/>
      <c r="EH126" s="178"/>
      <c r="EI126" s="178"/>
      <c r="EJ126" s="178"/>
      <c r="EK126" s="178"/>
      <c r="FV126" s="178"/>
      <c r="FW126" s="178"/>
      <c r="FX126" s="178"/>
      <c r="FY126" s="178"/>
      <c r="FZ126" s="178"/>
    </row>
    <row r="127" spans="1:183" s="172" customFormat="1" ht="27" customHeight="1" thickBot="1">
      <c r="A127" s="645"/>
      <c r="B127" s="645"/>
      <c r="C127" s="645"/>
      <c r="D127" s="645"/>
      <c r="E127" s="646"/>
      <c r="F127" s="381"/>
      <c r="G127" s="381"/>
      <c r="H127" s="381"/>
      <c r="I127" s="251"/>
      <c r="J127" s="39"/>
      <c r="K127" s="896"/>
      <c r="L127" s="896"/>
      <c r="M127" s="1809" t="s">
        <v>247</v>
      </c>
      <c r="N127" s="2215"/>
      <c r="O127" s="2215"/>
      <c r="P127" s="2215"/>
      <c r="Q127" s="2215"/>
      <c r="R127" s="2215"/>
      <c r="S127" s="1960" t="s">
        <v>711</v>
      </c>
      <c r="T127" s="2244"/>
      <c r="U127" s="2244"/>
      <c r="V127" s="2244"/>
      <c r="W127" s="2244"/>
      <c r="X127" s="2244"/>
      <c r="Y127" s="2244"/>
      <c r="Z127" s="2244"/>
      <c r="AA127" s="2244"/>
      <c r="AB127" s="1854"/>
      <c r="AC127" s="2220"/>
      <c r="AD127" s="2220"/>
      <c r="AE127" s="2220"/>
      <c r="AF127" s="2220"/>
      <c r="AG127" s="2220"/>
      <c r="AH127" s="2220"/>
      <c r="AI127" s="2220"/>
      <c r="AJ127" s="2220"/>
      <c r="AK127" s="2220"/>
      <c r="AL127" s="2220"/>
      <c r="AM127" s="2220"/>
      <c r="AN127" s="2220"/>
      <c r="AO127" s="2220"/>
      <c r="AP127" s="2220"/>
      <c r="AQ127" s="101" t="str">
        <f>IF(AB127="","←どれか１つ以上選んでください","")</f>
        <v>←どれか１つ以上選んでください</v>
      </c>
      <c r="AR127" s="50"/>
      <c r="AS127" s="50"/>
      <c r="AT127" s="50"/>
      <c r="AU127" s="50"/>
      <c r="AV127" s="50"/>
      <c r="AW127" s="50"/>
      <c r="AX127" s="50"/>
      <c r="AY127" s="50"/>
      <c r="AZ127" s="50"/>
      <c r="BA127" s="50"/>
      <c r="BB127" s="50"/>
      <c r="BC127" s="50"/>
      <c r="BD127" s="50"/>
      <c r="BE127" s="50"/>
      <c r="BF127" s="50"/>
      <c r="BG127" s="50"/>
      <c r="BH127" s="50"/>
      <c r="BI127" s="50"/>
      <c r="BJ127" s="50"/>
      <c r="BK127" s="50"/>
      <c r="BL127" s="50"/>
      <c r="BM127" s="50"/>
      <c r="BN127" s="50"/>
      <c r="BO127" s="50"/>
      <c r="BP127" s="50"/>
      <c r="BQ127" s="50"/>
      <c r="BR127" s="50"/>
      <c r="BS127" s="50"/>
      <c r="BT127" s="50"/>
      <c r="BU127" s="718"/>
      <c r="BV127" s="731" t="s">
        <v>2782</v>
      </c>
      <c r="BW127" s="731" t="s">
        <v>2790</v>
      </c>
      <c r="BX127" s="731"/>
      <c r="BY127" s="731"/>
      <c r="BZ127" s="731"/>
      <c r="CA127" s="731"/>
      <c r="CB127" s="731"/>
      <c r="CC127" s="731"/>
      <c r="CD127" s="731"/>
      <c r="CE127" s="731"/>
      <c r="CF127" s="731"/>
      <c r="CG127" s="731"/>
      <c r="CH127" s="731"/>
      <c r="CI127" s="731"/>
      <c r="CJ127" s="731"/>
      <c r="CK127" s="731"/>
      <c r="CL127" s="731"/>
      <c r="CM127" s="731"/>
      <c r="CN127" s="731"/>
      <c r="CO127" s="731"/>
      <c r="CP127" s="731"/>
      <c r="CQ127" s="731"/>
      <c r="CR127" s="731"/>
      <c r="CS127" s="731"/>
      <c r="CT127" s="891"/>
      <c r="CU127" s="891"/>
      <c r="CV127" s="398"/>
      <c r="CW127" s="398"/>
      <c r="CX127" s="398"/>
      <c r="CY127" s="398"/>
      <c r="CZ127" s="398"/>
      <c r="DA127" s="398"/>
      <c r="DB127" s="398"/>
      <c r="DC127" s="35"/>
      <c r="DD127" s="36"/>
      <c r="DE127" s="36"/>
      <c r="DF127" s="178"/>
      <c r="DG127" s="178"/>
      <c r="DH127" s="178"/>
      <c r="DI127" s="178"/>
      <c r="DJ127" s="178"/>
      <c r="DK127" s="1068"/>
      <c r="DL127" s="1046"/>
      <c r="DM127" s="172" t="s">
        <v>696</v>
      </c>
      <c r="DN127" s="171"/>
      <c r="DO127" s="179" t="s">
        <v>2506</v>
      </c>
      <c r="DP127" s="179" t="s">
        <v>2507</v>
      </c>
      <c r="DQ127" s="179" t="s">
        <v>689</v>
      </c>
      <c r="DR127" s="179" t="s">
        <v>690</v>
      </c>
      <c r="EG127" s="178"/>
      <c r="EH127" s="178"/>
      <c r="EI127" s="178"/>
      <c r="EJ127" s="178"/>
      <c r="EK127" s="178"/>
      <c r="FO127" s="1046"/>
      <c r="FV127" s="178"/>
      <c r="FW127" s="178"/>
      <c r="FX127" s="178"/>
      <c r="FY127" s="178"/>
      <c r="FZ127" s="178"/>
      <c r="GA127" s="171"/>
    </row>
    <row r="128" spans="1:183" s="172" customFormat="1" ht="27" customHeight="1" thickBot="1">
      <c r="A128" s="645"/>
      <c r="B128" s="645"/>
      <c r="C128" s="645"/>
      <c r="D128" s="645"/>
      <c r="E128" s="646"/>
      <c r="F128" s="381"/>
      <c r="G128" s="381"/>
      <c r="H128" s="381"/>
      <c r="I128" s="251"/>
      <c r="J128" s="39"/>
      <c r="K128" s="896"/>
      <c r="L128" s="896"/>
      <c r="M128" s="2215"/>
      <c r="N128" s="2215"/>
      <c r="O128" s="2215"/>
      <c r="P128" s="2215"/>
      <c r="Q128" s="2215"/>
      <c r="R128" s="2215"/>
      <c r="S128" s="1866" t="s">
        <v>713</v>
      </c>
      <c r="T128" s="2062"/>
      <c r="U128" s="2062"/>
      <c r="V128" s="2062"/>
      <c r="W128" s="2062"/>
      <c r="X128" s="2062"/>
      <c r="Y128" s="2062"/>
      <c r="Z128" s="2062"/>
      <c r="AA128" s="2062"/>
      <c r="AB128" s="1772"/>
      <c r="AC128" s="1796"/>
      <c r="AD128" s="1796"/>
      <c r="AE128" s="1796"/>
      <c r="AF128" s="1796"/>
      <c r="AG128" s="1796"/>
      <c r="AH128" s="1796"/>
      <c r="AI128" s="1796"/>
      <c r="AJ128" s="1796"/>
      <c r="AK128" s="1796"/>
      <c r="AL128" s="1796"/>
      <c r="AM128" s="1796"/>
      <c r="AN128" s="1796"/>
      <c r="AO128" s="1796"/>
      <c r="AP128" s="1796"/>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718"/>
      <c r="BV128" s="891"/>
      <c r="BW128" s="1764" t="s">
        <v>2791</v>
      </c>
      <c r="BX128" s="1764"/>
      <c r="BY128" s="1764"/>
      <c r="BZ128" s="1764"/>
      <c r="CA128" s="1764"/>
      <c r="CB128" s="1764"/>
      <c r="CC128" s="1764"/>
      <c r="CD128" s="1764"/>
      <c r="CE128" s="1764"/>
      <c r="CF128" s="1764"/>
      <c r="CG128" s="1764"/>
      <c r="CH128" s="1764"/>
      <c r="CI128" s="1764"/>
      <c r="CJ128" s="1764"/>
      <c r="CK128" s="1764"/>
      <c r="CL128" s="1764"/>
      <c r="CM128" s="1764"/>
      <c r="CN128" s="1764"/>
      <c r="CO128" s="1764"/>
      <c r="CP128" s="1764"/>
      <c r="CQ128" s="1764"/>
      <c r="CR128" s="1764"/>
      <c r="CS128" s="1764"/>
      <c r="CT128" s="891"/>
      <c r="CU128" s="891"/>
      <c r="CV128" s="398"/>
      <c r="CW128" s="398"/>
      <c r="CX128" s="398"/>
      <c r="CY128" s="398"/>
      <c r="CZ128" s="398"/>
      <c r="DA128" s="398"/>
      <c r="DB128" s="398"/>
      <c r="DC128" s="35"/>
      <c r="DD128" s="36"/>
      <c r="DE128" s="36"/>
      <c r="DF128" s="178"/>
      <c r="DG128" s="178"/>
      <c r="DH128" s="178"/>
      <c r="DI128" s="178"/>
      <c r="DJ128" s="178"/>
      <c r="DK128" s="1045"/>
      <c r="DL128" s="1046"/>
      <c r="DM128" s="177">
        <f>COUNTIFS(AB127:AP129,"その他")</f>
        <v>0</v>
      </c>
      <c r="DO128" s="180" t="str">
        <f>IF(COUNTIF($AB$127:$AP$129,DO127)=1,"レ","")</f>
        <v/>
      </c>
      <c r="DP128" s="180" t="str">
        <f t="shared" ref="DP128:DR128" si="6">IF(COUNTIF($AB$127:$AP$129,DP127)=1,"レ","")</f>
        <v/>
      </c>
      <c r="DQ128" s="180" t="str">
        <f t="shared" si="6"/>
        <v/>
      </c>
      <c r="DR128" s="180" t="str">
        <f t="shared" si="6"/>
        <v/>
      </c>
      <c r="FO128" s="1046"/>
      <c r="GA128" s="171"/>
    </row>
    <row r="129" spans="1:183" s="172" customFormat="1" ht="27" customHeight="1">
      <c r="A129" s="645"/>
      <c r="B129" s="645"/>
      <c r="C129" s="645"/>
      <c r="D129" s="645"/>
      <c r="E129" s="646"/>
      <c r="F129" s="381"/>
      <c r="G129" s="381"/>
      <c r="H129" s="381"/>
      <c r="I129" s="251"/>
      <c r="J129" s="39"/>
      <c r="K129" s="896"/>
      <c r="L129" s="896"/>
      <c r="M129" s="2215"/>
      <c r="N129" s="2215"/>
      <c r="O129" s="2215"/>
      <c r="P129" s="2215"/>
      <c r="Q129" s="2215"/>
      <c r="R129" s="2215"/>
      <c r="S129" s="1866" t="s">
        <v>714</v>
      </c>
      <c r="T129" s="2062"/>
      <c r="U129" s="2062"/>
      <c r="V129" s="2062"/>
      <c r="W129" s="2062"/>
      <c r="X129" s="2062"/>
      <c r="Y129" s="2062"/>
      <c r="Z129" s="2062"/>
      <c r="AA129" s="2062"/>
      <c r="AB129" s="1772"/>
      <c r="AC129" s="1796"/>
      <c r="AD129" s="1796"/>
      <c r="AE129" s="1796"/>
      <c r="AF129" s="1796"/>
      <c r="AG129" s="1796"/>
      <c r="AH129" s="1796"/>
      <c r="AI129" s="1796"/>
      <c r="AJ129" s="1796"/>
      <c r="AK129" s="1796"/>
      <c r="AL129" s="1796"/>
      <c r="AM129" s="1796"/>
      <c r="AN129" s="1796"/>
      <c r="AO129" s="1796"/>
      <c r="AP129" s="1796"/>
      <c r="AQ129" s="94"/>
      <c r="AR129" s="94"/>
      <c r="AS129" s="94"/>
      <c r="AT129" s="94"/>
      <c r="AU129" s="94"/>
      <c r="AV129" s="94"/>
      <c r="AW129" s="95"/>
      <c r="AX129" s="94"/>
      <c r="AY129" s="94"/>
      <c r="AZ129" s="94"/>
      <c r="BA129" s="94"/>
      <c r="BB129" s="94"/>
      <c r="BC129" s="94"/>
      <c r="BD129" s="94"/>
      <c r="BE129" s="94"/>
      <c r="BF129" s="94"/>
      <c r="BG129" s="94"/>
      <c r="BH129" s="94"/>
      <c r="BI129" s="94"/>
      <c r="BJ129" s="94"/>
      <c r="BK129" s="94"/>
      <c r="BL129" s="94"/>
      <c r="BM129" s="94"/>
      <c r="BN129" s="94"/>
      <c r="BO129" s="94"/>
      <c r="BP129" s="94"/>
      <c r="BQ129" s="94"/>
      <c r="BR129" s="94"/>
      <c r="BS129" s="94"/>
      <c r="BT129" s="94"/>
      <c r="BU129" s="718"/>
      <c r="BV129" s="891"/>
      <c r="BW129" s="1764"/>
      <c r="BX129" s="1764"/>
      <c r="BY129" s="1764"/>
      <c r="BZ129" s="1764"/>
      <c r="CA129" s="1764"/>
      <c r="CB129" s="1764"/>
      <c r="CC129" s="1764"/>
      <c r="CD129" s="1764"/>
      <c r="CE129" s="1764"/>
      <c r="CF129" s="1764"/>
      <c r="CG129" s="1764"/>
      <c r="CH129" s="1764"/>
      <c r="CI129" s="1764"/>
      <c r="CJ129" s="1764"/>
      <c r="CK129" s="1764"/>
      <c r="CL129" s="1764"/>
      <c r="CM129" s="1764"/>
      <c r="CN129" s="1764"/>
      <c r="CO129" s="1764"/>
      <c r="CP129" s="1764"/>
      <c r="CQ129" s="1764"/>
      <c r="CR129" s="1764"/>
      <c r="CS129" s="1764"/>
      <c r="CT129" s="891"/>
      <c r="CU129" s="891"/>
      <c r="CV129" s="398"/>
      <c r="CW129" s="398"/>
      <c r="CX129" s="398"/>
      <c r="CY129" s="398"/>
      <c r="CZ129" s="398"/>
      <c r="DA129" s="398"/>
      <c r="DB129" s="398"/>
      <c r="DC129" s="35"/>
      <c r="DD129" s="36"/>
      <c r="DE129" s="36"/>
      <c r="DF129" s="1075"/>
      <c r="DG129" s="1075"/>
      <c r="DH129" s="1075"/>
      <c r="DI129" s="1075"/>
      <c r="DJ129" s="1075"/>
      <c r="DK129" s="1045"/>
      <c r="DL129" s="1046"/>
      <c r="DM129" s="181"/>
      <c r="DQ129" s="171"/>
      <c r="FO129" s="1046"/>
      <c r="GA129" s="171"/>
    </row>
    <row r="130" spans="1:183" ht="27" customHeight="1">
      <c r="A130" s="645"/>
      <c r="B130" s="645"/>
      <c r="C130" s="645"/>
      <c r="D130" s="645"/>
      <c r="E130" s="646"/>
      <c r="J130" s="88"/>
      <c r="K130" s="89"/>
      <c r="L130" s="89"/>
      <c r="M130" s="2215"/>
      <c r="N130" s="2215"/>
      <c r="O130" s="2215"/>
      <c r="P130" s="2215"/>
      <c r="Q130" s="2215"/>
      <c r="R130" s="2215"/>
      <c r="S130" s="2185" t="s">
        <v>712</v>
      </c>
      <c r="T130" s="2186"/>
      <c r="U130" s="2186"/>
      <c r="V130" s="2186"/>
      <c r="W130" s="2186"/>
      <c r="X130" s="2186"/>
      <c r="Y130" s="2186"/>
      <c r="Z130" s="2186"/>
      <c r="AA130" s="2186"/>
      <c r="AB130" s="1797"/>
      <c r="AC130" s="1769"/>
      <c r="AD130" s="1769"/>
      <c r="AE130" s="1769"/>
      <c r="AF130" s="1769"/>
      <c r="AG130" s="1769"/>
      <c r="AH130" s="1769"/>
      <c r="AI130" s="1769"/>
      <c r="AJ130" s="1769"/>
      <c r="AK130" s="1769"/>
      <c r="AL130" s="1769"/>
      <c r="AM130" s="1769"/>
      <c r="AN130" s="1769"/>
      <c r="AO130" s="2105"/>
      <c r="AP130" s="2105"/>
      <c r="AQ130" s="98" t="str">
        <f>IF(AND(DM128&gt;0,AB130=""),"←その他の場合、説明を入力してください","")</f>
        <v/>
      </c>
      <c r="AR130" s="90"/>
      <c r="AS130" s="90"/>
      <c r="AT130" s="90"/>
      <c r="AU130" s="90"/>
      <c r="AV130" s="90"/>
      <c r="AW130" s="90"/>
      <c r="AX130" s="90"/>
      <c r="AY130" s="90"/>
      <c r="AZ130" s="90"/>
      <c r="BA130" s="90"/>
      <c r="BB130" s="90"/>
      <c r="BC130" s="90"/>
      <c r="BD130" s="90"/>
      <c r="BE130" s="90"/>
      <c r="BF130" s="90"/>
      <c r="BG130" s="90"/>
      <c r="BH130" s="90"/>
      <c r="BI130" s="90"/>
      <c r="BJ130" s="90"/>
      <c r="BK130" s="90"/>
      <c r="BL130" s="90"/>
      <c r="BM130" s="90"/>
      <c r="BN130" s="90"/>
      <c r="BO130" s="90"/>
      <c r="BP130" s="90"/>
      <c r="BQ130" s="90"/>
      <c r="BR130" s="90"/>
      <c r="BS130" s="90"/>
      <c r="BT130" s="90"/>
      <c r="BU130" s="1052"/>
      <c r="BV130" s="891"/>
      <c r="BW130" s="891"/>
      <c r="BX130" s="891"/>
      <c r="BY130" s="891"/>
      <c r="BZ130" s="891"/>
      <c r="CA130" s="891"/>
      <c r="CB130" s="891"/>
      <c r="CC130" s="891"/>
      <c r="CD130" s="891"/>
      <c r="CE130" s="891"/>
      <c r="CF130" s="891"/>
      <c r="CG130" s="891"/>
      <c r="CH130" s="891"/>
      <c r="CI130" s="891"/>
      <c r="CJ130" s="891"/>
      <c r="CK130" s="891"/>
      <c r="CL130" s="891"/>
      <c r="CM130" s="891"/>
      <c r="CN130" s="891"/>
      <c r="CO130" s="891"/>
      <c r="CP130" s="891"/>
      <c r="CQ130" s="891"/>
      <c r="CR130" s="891"/>
      <c r="CS130" s="891"/>
      <c r="CT130" s="891"/>
      <c r="CU130" s="891"/>
      <c r="DD130" s="36"/>
      <c r="DE130" s="36"/>
      <c r="DF130" s="36"/>
      <c r="DG130" s="36"/>
      <c r="DH130" s="36"/>
      <c r="DI130" s="36"/>
      <c r="DJ130" s="36"/>
      <c r="DK130" s="1068"/>
      <c r="EG130" s="172"/>
      <c r="EH130" s="172"/>
      <c r="EI130" s="172"/>
      <c r="EJ130" s="172"/>
      <c r="EK130" s="172"/>
      <c r="FV130" s="172"/>
      <c r="FW130" s="172"/>
      <c r="FX130" s="172"/>
      <c r="FY130" s="172"/>
      <c r="FZ130" s="172"/>
    </row>
    <row r="131" spans="1:183" s="172" customFormat="1" ht="27" customHeight="1">
      <c r="A131" s="645"/>
      <c r="B131" s="645"/>
      <c r="C131" s="645"/>
      <c r="D131" s="645"/>
      <c r="E131" s="646"/>
      <c r="F131" s="381"/>
      <c r="G131" s="381"/>
      <c r="H131" s="381"/>
      <c r="I131" s="251"/>
      <c r="J131" s="39"/>
      <c r="K131" s="896"/>
      <c r="L131" s="896"/>
      <c r="M131" s="1809" t="s">
        <v>248</v>
      </c>
      <c r="N131" s="2215"/>
      <c r="O131" s="2215"/>
      <c r="P131" s="2215"/>
      <c r="Q131" s="2215"/>
      <c r="R131" s="2215"/>
      <c r="S131" s="1827" t="s">
        <v>283</v>
      </c>
      <c r="T131" s="1931"/>
      <c r="U131" s="1931"/>
      <c r="V131" s="1843"/>
      <c r="W131" s="1843"/>
      <c r="X131" s="1843"/>
      <c r="Y131" s="1843"/>
      <c r="Z131" s="1843"/>
      <c r="AA131" s="1843"/>
      <c r="AB131" s="2249"/>
      <c r="AC131" s="2249"/>
      <c r="AD131" s="2249"/>
      <c r="AE131" s="2250"/>
      <c r="AF131" s="2250"/>
      <c r="AG131" s="2250"/>
      <c r="AH131" s="898" t="s">
        <v>17</v>
      </c>
      <c r="AI131" s="898"/>
      <c r="AJ131" s="898"/>
      <c r="AK131" s="898"/>
      <c r="AL131" s="898"/>
      <c r="AM131" s="898"/>
      <c r="AN131" s="898"/>
      <c r="AO131" s="898"/>
      <c r="AP131" s="898"/>
      <c r="AQ131" s="898"/>
      <c r="AR131" s="898"/>
      <c r="AS131" s="898"/>
      <c r="AT131" s="898"/>
      <c r="AU131" s="898"/>
      <c r="AV131" s="898"/>
      <c r="AW131" s="898"/>
      <c r="AX131" s="898"/>
      <c r="AY131" s="898"/>
      <c r="AZ131" s="898"/>
      <c r="BA131" s="898"/>
      <c r="BB131" s="898"/>
      <c r="BC131" s="898"/>
      <c r="BD131" s="898"/>
      <c r="BE131" s="898"/>
      <c r="BF131" s="898"/>
      <c r="BG131" s="898"/>
      <c r="BH131" s="898"/>
      <c r="BI131" s="898"/>
      <c r="BJ131" s="898"/>
      <c r="BK131" s="898"/>
      <c r="BL131" s="898"/>
      <c r="BM131" s="898"/>
      <c r="BN131" s="898"/>
      <c r="BO131" s="898"/>
      <c r="BP131" s="898"/>
      <c r="BQ131" s="898"/>
      <c r="BR131" s="898"/>
      <c r="BS131" s="898"/>
      <c r="BT131" s="898"/>
      <c r="BU131" s="718"/>
      <c r="BV131" s="731" t="s">
        <v>2782</v>
      </c>
      <c r="BW131" s="1764" t="s">
        <v>2792</v>
      </c>
      <c r="BX131" s="1764"/>
      <c r="BY131" s="1764"/>
      <c r="BZ131" s="1764"/>
      <c r="CA131" s="1764"/>
      <c r="CB131" s="1764"/>
      <c r="CC131" s="1764"/>
      <c r="CD131" s="1764"/>
      <c r="CE131" s="1764"/>
      <c r="CF131" s="1764"/>
      <c r="CG131" s="1764"/>
      <c r="CH131" s="1764"/>
      <c r="CI131" s="1764"/>
      <c r="CJ131" s="1764"/>
      <c r="CK131" s="1764"/>
      <c r="CL131" s="1764"/>
      <c r="CM131" s="1764"/>
      <c r="CN131" s="1764"/>
      <c r="CO131" s="1764"/>
      <c r="CP131" s="1764"/>
      <c r="CQ131" s="1764"/>
      <c r="CR131" s="1764"/>
      <c r="CS131" s="1764"/>
      <c r="CT131" s="891"/>
      <c r="CU131" s="891"/>
      <c r="CV131" s="398"/>
      <c r="CW131" s="398"/>
      <c r="CX131" s="398"/>
      <c r="CY131" s="398"/>
      <c r="CZ131" s="398"/>
      <c r="DA131" s="398"/>
      <c r="DB131" s="398"/>
      <c r="DC131" s="35"/>
      <c r="DD131" s="36"/>
      <c r="DE131" s="36"/>
      <c r="DF131" s="36"/>
      <c r="DG131" s="36"/>
      <c r="DH131" s="36"/>
      <c r="DI131" s="36"/>
      <c r="DJ131" s="36"/>
      <c r="DK131" s="1045"/>
      <c r="DL131" s="1046"/>
      <c r="DM131" s="171"/>
      <c r="DQ131" s="171"/>
      <c r="EG131" s="167"/>
      <c r="EH131" s="167"/>
      <c r="EI131" s="167"/>
      <c r="EJ131" s="167"/>
      <c r="EK131" s="167"/>
      <c r="FO131" s="1046"/>
      <c r="FV131" s="167"/>
      <c r="FW131" s="167"/>
      <c r="FX131" s="167"/>
      <c r="FY131" s="167"/>
      <c r="FZ131" s="167"/>
      <c r="GA131" s="171"/>
    </row>
    <row r="132" spans="1:183" s="172" customFormat="1" ht="27" customHeight="1">
      <c r="A132" s="645"/>
      <c r="B132" s="645"/>
      <c r="C132" s="645"/>
      <c r="D132" s="645"/>
      <c r="E132" s="646"/>
      <c r="F132" s="381"/>
      <c r="G132" s="381"/>
      <c r="H132" s="381"/>
      <c r="I132" s="251"/>
      <c r="J132" s="39"/>
      <c r="K132" s="896"/>
      <c r="L132" s="896"/>
      <c r="M132" s="2215"/>
      <c r="N132" s="2215"/>
      <c r="O132" s="2215"/>
      <c r="P132" s="2215"/>
      <c r="Q132" s="2215"/>
      <c r="R132" s="2215"/>
      <c r="S132" s="1939" t="s">
        <v>284</v>
      </c>
      <c r="T132" s="2200"/>
      <c r="U132" s="2200"/>
      <c r="V132" s="1940"/>
      <c r="W132" s="1940"/>
      <c r="X132" s="1940"/>
      <c r="Y132" s="1940"/>
      <c r="Z132" s="1940"/>
      <c r="AA132" s="1940"/>
      <c r="AB132" s="1852"/>
      <c r="AC132" s="1852"/>
      <c r="AD132" s="1852"/>
      <c r="AE132" s="2222"/>
      <c r="AF132" s="2222"/>
      <c r="AG132" s="2222"/>
      <c r="AH132" s="911" t="s">
        <v>17</v>
      </c>
      <c r="AI132" s="911"/>
      <c r="AJ132" s="52" t="str">
        <f>IF(AB132="","←地下がない場合は、0と入力してください","")</f>
        <v>←地下がない場合は、0と入力してください</v>
      </c>
      <c r="AK132" s="911"/>
      <c r="AL132" s="911"/>
      <c r="AM132" s="911"/>
      <c r="AN132" s="911"/>
      <c r="AO132" s="911"/>
      <c r="AP132" s="911"/>
      <c r="AQ132" s="911"/>
      <c r="AR132" s="911"/>
      <c r="AS132" s="911"/>
      <c r="AT132" s="911"/>
      <c r="AU132" s="911"/>
      <c r="AV132" s="911"/>
      <c r="AW132" s="911"/>
      <c r="AX132" s="911"/>
      <c r="AY132" s="911"/>
      <c r="AZ132" s="911"/>
      <c r="BA132" s="911"/>
      <c r="BB132" s="911"/>
      <c r="BC132" s="911"/>
      <c r="BD132" s="911"/>
      <c r="BE132" s="911"/>
      <c r="BF132" s="911"/>
      <c r="BG132" s="911"/>
      <c r="BH132" s="911"/>
      <c r="BI132" s="911"/>
      <c r="BJ132" s="911"/>
      <c r="BK132" s="911"/>
      <c r="BL132" s="911"/>
      <c r="BM132" s="911"/>
      <c r="BN132" s="911"/>
      <c r="BO132" s="911"/>
      <c r="BP132" s="911"/>
      <c r="BQ132" s="911"/>
      <c r="BR132" s="911"/>
      <c r="BS132" s="911"/>
      <c r="BT132" s="911"/>
      <c r="BU132" s="718"/>
      <c r="BV132" s="891"/>
      <c r="BW132" s="1764"/>
      <c r="BX132" s="1764"/>
      <c r="BY132" s="1764"/>
      <c r="BZ132" s="1764"/>
      <c r="CA132" s="1764"/>
      <c r="CB132" s="1764"/>
      <c r="CC132" s="1764"/>
      <c r="CD132" s="1764"/>
      <c r="CE132" s="1764"/>
      <c r="CF132" s="1764"/>
      <c r="CG132" s="1764"/>
      <c r="CH132" s="1764"/>
      <c r="CI132" s="1764"/>
      <c r="CJ132" s="1764"/>
      <c r="CK132" s="1764"/>
      <c r="CL132" s="1764"/>
      <c r="CM132" s="1764"/>
      <c r="CN132" s="1764"/>
      <c r="CO132" s="1764"/>
      <c r="CP132" s="1764"/>
      <c r="CQ132" s="1764"/>
      <c r="CR132" s="1764"/>
      <c r="CS132" s="1764"/>
      <c r="CT132" s="891"/>
      <c r="CU132" s="918"/>
      <c r="CV132" s="398"/>
      <c r="CW132" s="398"/>
      <c r="CX132" s="398"/>
      <c r="CY132" s="398"/>
      <c r="CZ132" s="398"/>
      <c r="DA132" s="398"/>
      <c r="DB132" s="398"/>
      <c r="DC132" s="35"/>
      <c r="DD132" s="36"/>
      <c r="DE132" s="36"/>
      <c r="DF132" s="36"/>
      <c r="DG132" s="36"/>
      <c r="DH132" s="36"/>
      <c r="DI132" s="36"/>
      <c r="DJ132" s="36"/>
      <c r="DK132" s="1045"/>
      <c r="DL132" s="1046"/>
      <c r="DM132" s="171"/>
      <c r="DO132" s="171"/>
      <c r="DP132" s="171"/>
      <c r="DQ132" s="171"/>
      <c r="EG132" s="167"/>
      <c r="EH132" s="167"/>
      <c r="EI132" s="167"/>
      <c r="EJ132" s="167"/>
      <c r="EK132" s="167"/>
      <c r="FO132" s="1046"/>
      <c r="FV132" s="167"/>
      <c r="FW132" s="167"/>
      <c r="FX132" s="167"/>
      <c r="FY132" s="167"/>
      <c r="FZ132" s="167"/>
      <c r="GA132" s="171"/>
    </row>
    <row r="133" spans="1:183" s="172" customFormat="1" ht="27" customHeight="1">
      <c r="A133" s="645"/>
      <c r="B133" s="645"/>
      <c r="C133" s="645"/>
      <c r="D133" s="645"/>
      <c r="E133" s="646"/>
      <c r="F133" s="381"/>
      <c r="G133" s="381"/>
      <c r="H133" s="381"/>
      <c r="I133" s="251"/>
      <c r="J133" s="39"/>
      <c r="K133" s="896"/>
      <c r="L133" s="896"/>
      <c r="M133" s="1809" t="s">
        <v>249</v>
      </c>
      <c r="N133" s="2173"/>
      <c r="O133" s="2173"/>
      <c r="P133" s="2173"/>
      <c r="Q133" s="2173"/>
      <c r="R133" s="2173"/>
      <c r="S133" s="2173"/>
      <c r="T133" s="2173"/>
      <c r="U133" s="2173"/>
      <c r="V133" s="2173"/>
      <c r="W133" s="2173"/>
      <c r="X133" s="2173"/>
      <c r="Y133" s="2173"/>
      <c r="Z133" s="2173"/>
      <c r="AA133" s="2173"/>
      <c r="AB133" s="2221"/>
      <c r="AC133" s="2221"/>
      <c r="AD133" s="2221"/>
      <c r="AE133" s="2221"/>
      <c r="AF133" s="2221"/>
      <c r="AG133" s="2221"/>
      <c r="AH133" s="900" t="s">
        <v>28</v>
      </c>
      <c r="AI133" s="900"/>
      <c r="AJ133" s="96" t="str">
        <f>IF(OR($DM$133&gt;1,$DM$133=0),"","←建築物の申請ですので敷地・建物それぞれの面積が必要です。")</f>
        <v/>
      </c>
      <c r="AK133" s="900"/>
      <c r="AL133" s="900"/>
      <c r="AM133" s="96"/>
      <c r="AN133" s="96"/>
      <c r="AO133" s="96"/>
      <c r="AP133" s="96"/>
      <c r="AQ133" s="900"/>
      <c r="AR133" s="900"/>
      <c r="AS133" s="900"/>
      <c r="AT133" s="900"/>
      <c r="AU133" s="900"/>
      <c r="AV133" s="900"/>
      <c r="AW133" s="900"/>
      <c r="AX133" s="900"/>
      <c r="AY133" s="900"/>
      <c r="AZ133" s="900"/>
      <c r="BA133" s="900"/>
      <c r="BB133" s="900"/>
      <c r="BC133" s="900"/>
      <c r="BD133" s="900"/>
      <c r="BE133" s="900"/>
      <c r="BF133" s="900"/>
      <c r="BG133" s="900"/>
      <c r="BH133" s="900"/>
      <c r="BI133" s="900"/>
      <c r="BJ133" s="900"/>
      <c r="BK133" s="900"/>
      <c r="BL133" s="900"/>
      <c r="BM133" s="900"/>
      <c r="BN133" s="900"/>
      <c r="BO133" s="900"/>
      <c r="BP133" s="900"/>
      <c r="BQ133" s="900"/>
      <c r="BR133" s="900"/>
      <c r="BS133" s="900"/>
      <c r="BT133" s="900"/>
      <c r="BU133" s="718"/>
      <c r="BV133" s="891"/>
      <c r="BW133" s="891"/>
      <c r="BX133" s="891"/>
      <c r="BY133" s="891"/>
      <c r="BZ133" s="891"/>
      <c r="CA133" s="891"/>
      <c r="CB133" s="891"/>
      <c r="CC133" s="891"/>
      <c r="CD133" s="891"/>
      <c r="CE133" s="891"/>
      <c r="CF133" s="891"/>
      <c r="CG133" s="891"/>
      <c r="CH133" s="891"/>
      <c r="CI133" s="891"/>
      <c r="CJ133" s="891"/>
      <c r="CK133" s="891"/>
      <c r="CL133" s="891"/>
      <c r="CM133" s="891"/>
      <c r="CN133" s="891"/>
      <c r="CO133" s="891"/>
      <c r="CP133" s="891"/>
      <c r="CQ133" s="891"/>
      <c r="CR133" s="891"/>
      <c r="CS133" s="891"/>
      <c r="CT133" s="891"/>
      <c r="CU133" s="918"/>
      <c r="CV133" s="398"/>
      <c r="CW133" s="398"/>
      <c r="CX133" s="398"/>
      <c r="CY133" s="398"/>
      <c r="CZ133" s="398"/>
      <c r="DA133" s="398"/>
      <c r="DB133" s="398"/>
      <c r="DC133" s="35"/>
      <c r="DD133" s="36"/>
      <c r="DE133" s="36"/>
      <c r="DF133" s="36"/>
      <c r="DG133" s="36"/>
      <c r="DH133" s="36"/>
      <c r="DI133" s="36"/>
      <c r="DJ133" s="36"/>
      <c r="DK133" s="1045"/>
      <c r="DL133" s="1046"/>
      <c r="DM133" s="171"/>
      <c r="DN133" s="171"/>
      <c r="DO133" s="171"/>
      <c r="DP133" s="171"/>
      <c r="DQ133" s="171"/>
      <c r="FO133" s="1046"/>
      <c r="GA133" s="171"/>
    </row>
    <row r="134" spans="1:183" s="172" customFormat="1" ht="27" customHeight="1" thickBot="1">
      <c r="A134" s="645"/>
      <c r="B134" s="645"/>
      <c r="C134" s="645"/>
      <c r="D134" s="645"/>
      <c r="E134" s="646"/>
      <c r="F134" s="381"/>
      <c r="G134" s="381"/>
      <c r="H134" s="381"/>
      <c r="I134" s="251"/>
      <c r="J134" s="40"/>
      <c r="K134" s="912"/>
      <c r="L134" s="912"/>
      <c r="M134" s="2237" t="s">
        <v>341</v>
      </c>
      <c r="N134" s="2238"/>
      <c r="O134" s="2238"/>
      <c r="P134" s="2238"/>
      <c r="Q134" s="2238"/>
      <c r="R134" s="2238"/>
      <c r="S134" s="2238"/>
      <c r="T134" s="2238"/>
      <c r="U134" s="2238"/>
      <c r="V134" s="2238"/>
      <c r="W134" s="2238"/>
      <c r="X134" s="2238"/>
      <c r="Y134" s="2238"/>
      <c r="Z134" s="2238"/>
      <c r="AA134" s="2238"/>
      <c r="AB134" s="2201"/>
      <c r="AC134" s="2201"/>
      <c r="AD134" s="2201"/>
      <c r="AE134" s="2201"/>
      <c r="AF134" s="2201"/>
      <c r="AG134" s="2201"/>
      <c r="AH134" s="893" t="s">
        <v>28</v>
      </c>
      <c r="AI134" s="893"/>
      <c r="AJ134" s="893"/>
      <c r="AK134" s="893"/>
      <c r="AL134" s="893"/>
      <c r="AM134" s="893"/>
      <c r="AN134" s="893"/>
      <c r="AO134" s="893"/>
      <c r="AP134" s="766" t="s">
        <v>3106</v>
      </c>
      <c r="AQ134" s="1934" t="s">
        <v>3107</v>
      </c>
      <c r="AR134" s="1934"/>
      <c r="AS134" s="1934"/>
      <c r="AT134" s="1934"/>
      <c r="AU134" s="1934"/>
      <c r="AV134" s="1934"/>
      <c r="AW134" s="1934"/>
      <c r="AX134" s="1934"/>
      <c r="AY134" s="1934"/>
      <c r="AZ134" s="1934"/>
      <c r="BA134" s="1934"/>
      <c r="BB134" s="1934"/>
      <c r="BC134" s="1934"/>
      <c r="BD134" s="1934"/>
      <c r="BE134" s="1934"/>
      <c r="BF134" s="1934"/>
      <c r="BG134" s="1934"/>
      <c r="BH134" s="1934"/>
      <c r="BI134" s="1934"/>
      <c r="BJ134" s="893"/>
      <c r="BK134" s="893"/>
      <c r="BL134" s="893"/>
      <c r="BM134" s="893"/>
      <c r="BN134" s="893"/>
      <c r="BO134" s="893"/>
      <c r="BP134" s="893"/>
      <c r="BQ134" s="893"/>
      <c r="BR134" s="893"/>
      <c r="BS134" s="893"/>
      <c r="BT134" s="893"/>
      <c r="BU134" s="1053"/>
      <c r="BV134" s="925"/>
      <c r="BW134" s="925"/>
      <c r="BX134" s="925"/>
      <c r="BY134" s="925"/>
      <c r="BZ134" s="925"/>
      <c r="CA134" s="925"/>
      <c r="CB134" s="925"/>
      <c r="CC134" s="925"/>
      <c r="CD134" s="925"/>
      <c r="CE134" s="925"/>
      <c r="CF134" s="925"/>
      <c r="CG134" s="925"/>
      <c r="CH134" s="925"/>
      <c r="CI134" s="925"/>
      <c r="CJ134" s="925"/>
      <c r="CK134" s="925"/>
      <c r="CL134" s="925"/>
      <c r="CM134" s="925"/>
      <c r="CN134" s="925"/>
      <c r="CO134" s="925"/>
      <c r="CP134" s="925"/>
      <c r="CQ134" s="925"/>
      <c r="CR134" s="925"/>
      <c r="CS134" s="925"/>
      <c r="CT134" s="925"/>
      <c r="CU134" s="926"/>
      <c r="CV134" s="398"/>
      <c r="CW134" s="398"/>
      <c r="CX134" s="398"/>
      <c r="CY134" s="398"/>
      <c r="CZ134" s="398"/>
      <c r="DA134" s="398"/>
      <c r="DB134" s="398"/>
      <c r="DC134" s="35"/>
      <c r="DD134" s="36"/>
      <c r="DE134" s="36"/>
      <c r="DF134" s="36"/>
      <c r="DG134" s="36"/>
      <c r="DH134" s="36"/>
      <c r="DI134" s="36"/>
      <c r="DJ134" s="36"/>
      <c r="DK134" s="1045"/>
      <c r="DL134" s="1046"/>
      <c r="DM134" s="171"/>
      <c r="DN134" s="171"/>
      <c r="DO134" s="171"/>
      <c r="DP134" s="171"/>
      <c r="DQ134" s="171"/>
      <c r="EG134" s="167"/>
      <c r="EH134" s="167"/>
      <c r="EI134" s="167"/>
      <c r="EJ134" s="167"/>
      <c r="EK134" s="167"/>
      <c r="FO134" s="1046"/>
      <c r="FV134" s="167"/>
      <c r="FW134" s="167"/>
      <c r="FX134" s="167"/>
      <c r="FY134" s="167"/>
      <c r="FZ134" s="167"/>
      <c r="GA134" s="171"/>
    </row>
    <row r="135" spans="1:183" ht="15" customHeight="1">
      <c r="A135" s="645"/>
      <c r="B135" s="645"/>
      <c r="C135" s="645"/>
      <c r="D135" s="645"/>
      <c r="E135" s="646"/>
      <c r="BU135" s="1044"/>
      <c r="BX135" s="727"/>
      <c r="DD135" s="36"/>
      <c r="DE135" s="36"/>
      <c r="DF135" s="36"/>
      <c r="DG135" s="36"/>
      <c r="DH135" s="36"/>
      <c r="DI135" s="36"/>
      <c r="DJ135" s="36"/>
      <c r="EG135" s="167"/>
      <c r="EH135" s="167"/>
      <c r="EI135" s="167"/>
      <c r="EJ135" s="167"/>
      <c r="EK135" s="167"/>
      <c r="FV135" s="167"/>
      <c r="FW135" s="167"/>
      <c r="FX135" s="167"/>
      <c r="FY135" s="167"/>
      <c r="FZ135" s="167"/>
    </row>
    <row r="136" spans="1:183" ht="2.15" customHeight="1">
      <c r="A136" s="645"/>
      <c r="B136" s="645"/>
      <c r="C136" s="645"/>
      <c r="D136" s="645"/>
      <c r="E136" s="646"/>
      <c r="BU136" s="1044"/>
      <c r="BX136" s="727"/>
      <c r="DD136" s="36"/>
      <c r="DE136" s="36"/>
      <c r="DF136" s="36"/>
      <c r="DG136" s="36"/>
      <c r="DH136" s="36"/>
      <c r="DI136" s="36"/>
      <c r="DJ136" s="36"/>
      <c r="EG136" s="167"/>
      <c r="EH136" s="167"/>
      <c r="EI136" s="167"/>
      <c r="EJ136" s="167"/>
      <c r="EK136" s="167"/>
      <c r="FV136" s="167"/>
      <c r="FW136" s="167"/>
      <c r="FX136" s="167"/>
      <c r="FY136" s="167"/>
      <c r="FZ136" s="167"/>
    </row>
    <row r="137" spans="1:183" ht="2.15" customHeight="1">
      <c r="A137" s="645"/>
      <c r="B137" s="645"/>
      <c r="C137" s="645"/>
      <c r="D137" s="645"/>
      <c r="E137" s="646"/>
      <c r="BU137" s="1044"/>
      <c r="BX137" s="727"/>
      <c r="DD137" s="36"/>
      <c r="DE137" s="36"/>
      <c r="DF137" s="36"/>
      <c r="DG137" s="36"/>
      <c r="DH137" s="36"/>
      <c r="DI137" s="36"/>
      <c r="DJ137" s="36"/>
      <c r="EG137" s="167"/>
      <c r="EH137" s="167"/>
      <c r="EI137" s="167"/>
      <c r="EJ137" s="167"/>
      <c r="EK137" s="167"/>
      <c r="FV137" s="167"/>
      <c r="FW137" s="167"/>
      <c r="FX137" s="167"/>
      <c r="FY137" s="167"/>
      <c r="FZ137" s="167"/>
    </row>
    <row r="138" spans="1:183" ht="2.15" customHeight="1" thickBot="1">
      <c r="A138" s="645"/>
      <c r="B138" s="645"/>
      <c r="C138" s="645"/>
      <c r="D138" s="645"/>
      <c r="E138" s="646"/>
      <c r="BU138" s="1044"/>
      <c r="BX138" s="727"/>
      <c r="DD138" s="36"/>
      <c r="DE138" s="36"/>
      <c r="DF138" s="36"/>
      <c r="DG138" s="36"/>
      <c r="DH138" s="36"/>
      <c r="DI138" s="36"/>
      <c r="DJ138" s="36"/>
      <c r="EG138" s="167"/>
      <c r="EH138" s="167"/>
      <c r="EI138" s="167"/>
      <c r="EJ138" s="167"/>
      <c r="EK138" s="167"/>
      <c r="FV138" s="167"/>
      <c r="FW138" s="167"/>
      <c r="FX138" s="167"/>
      <c r="FY138" s="167"/>
      <c r="FZ138" s="167"/>
    </row>
    <row r="139" spans="1:183" ht="35.15" customHeight="1" thickBot="1">
      <c r="A139" s="645"/>
      <c r="B139" s="645"/>
      <c r="C139" s="645"/>
      <c r="D139" s="645"/>
      <c r="E139" s="646"/>
      <c r="J139" s="1831" t="s">
        <v>1153</v>
      </c>
      <c r="K139" s="2225"/>
      <c r="L139" s="2225"/>
      <c r="M139" s="2225"/>
      <c r="N139" s="2225"/>
      <c r="O139" s="2225"/>
      <c r="P139" s="2225"/>
      <c r="Q139" s="2225"/>
      <c r="R139" s="2225"/>
      <c r="S139" s="2225"/>
      <c r="T139" s="2225"/>
      <c r="U139" s="2225"/>
      <c r="V139" s="2225"/>
      <c r="W139" s="2225"/>
      <c r="X139" s="2225"/>
      <c r="Y139" s="2225"/>
      <c r="Z139" s="2225"/>
      <c r="AA139" s="2225"/>
      <c r="AB139" s="2225"/>
      <c r="AC139" s="2225"/>
      <c r="AD139" s="2225"/>
      <c r="AE139" s="2225"/>
      <c r="AF139" s="2225"/>
      <c r="AG139" s="2225"/>
      <c r="AH139" s="2225"/>
      <c r="AI139" s="921"/>
      <c r="AJ139" s="921"/>
      <c r="AK139" s="921"/>
      <c r="AL139" s="921"/>
      <c r="AM139" s="614"/>
      <c r="AN139" s="614"/>
      <c r="AO139" s="614"/>
      <c r="AP139" s="614"/>
      <c r="AQ139" s="614"/>
      <c r="AR139" s="614"/>
      <c r="AS139" s="614"/>
      <c r="AT139" s="614"/>
      <c r="AU139" s="614"/>
      <c r="AV139" s="614"/>
      <c r="AW139" s="614"/>
      <c r="AX139" s="614"/>
      <c r="AY139" s="614"/>
      <c r="AZ139" s="614"/>
      <c r="BA139" s="614"/>
      <c r="BB139" s="614"/>
      <c r="BC139" s="614"/>
      <c r="BD139" s="614"/>
      <c r="BE139" s="614"/>
      <c r="BF139" s="614"/>
      <c r="BG139" s="614"/>
      <c r="BH139" s="614"/>
      <c r="BI139" s="614"/>
      <c r="BJ139" s="614"/>
      <c r="BK139" s="614"/>
      <c r="BL139" s="1775" t="s">
        <v>373</v>
      </c>
      <c r="BM139" s="2228"/>
      <c r="BN139" s="2228"/>
      <c r="BO139" s="2228"/>
      <c r="BP139" s="2228"/>
      <c r="BQ139" s="2228"/>
      <c r="BR139" s="2228"/>
      <c r="BS139" s="2228"/>
      <c r="BT139" s="2228"/>
      <c r="BU139" s="1085"/>
      <c r="BV139" s="711"/>
      <c r="BW139" s="711"/>
      <c r="BX139" s="711"/>
      <c r="BY139" s="711"/>
      <c r="BZ139" s="711"/>
      <c r="CA139" s="711"/>
      <c r="CB139" s="711"/>
      <c r="CC139" s="711"/>
      <c r="CD139" s="711"/>
      <c r="CE139" s="711"/>
      <c r="CF139" s="711"/>
      <c r="CG139" s="711"/>
      <c r="CH139" s="711"/>
      <c r="CI139" s="711"/>
      <c r="CJ139" s="711"/>
      <c r="CK139" s="711"/>
      <c r="CL139" s="711"/>
      <c r="CM139" s="711"/>
      <c r="CN139" s="711"/>
      <c r="CO139" s="711"/>
      <c r="CP139" s="711"/>
      <c r="CQ139" s="711"/>
      <c r="CR139" s="711"/>
      <c r="CS139" s="711"/>
      <c r="CT139" s="711"/>
      <c r="CU139" s="712"/>
      <c r="DD139" s="36"/>
      <c r="DE139" s="36"/>
      <c r="DF139" s="36"/>
      <c r="DG139" s="36"/>
      <c r="DH139" s="36"/>
      <c r="DI139" s="36"/>
      <c r="DJ139" s="36"/>
      <c r="DM139" s="166" t="s">
        <v>2630</v>
      </c>
      <c r="DN139" s="166" t="s">
        <v>2635</v>
      </c>
      <c r="EG139" s="172"/>
      <c r="EH139" s="172"/>
      <c r="EI139" s="172"/>
      <c r="EJ139" s="172"/>
      <c r="EK139" s="172"/>
      <c r="FV139" s="172"/>
      <c r="FW139" s="172"/>
      <c r="FX139" s="172"/>
      <c r="FY139" s="172"/>
      <c r="FZ139" s="172"/>
    </row>
    <row r="140" spans="1:183" s="172" customFormat="1" ht="27" customHeight="1" thickBot="1">
      <c r="A140" s="645"/>
      <c r="B140" s="645"/>
      <c r="C140" s="645"/>
      <c r="D140" s="645"/>
      <c r="E140" s="646"/>
      <c r="F140" s="381"/>
      <c r="G140" s="381"/>
      <c r="H140" s="381"/>
      <c r="I140" s="251"/>
      <c r="J140" s="39"/>
      <c r="K140" s="896"/>
      <c r="L140" s="896"/>
      <c r="M140" s="892" t="s">
        <v>285</v>
      </c>
      <c r="N140" s="892"/>
      <c r="O140" s="892"/>
      <c r="P140" s="892"/>
      <c r="Q140" s="892"/>
      <c r="R140" s="892"/>
      <c r="S140" s="892"/>
      <c r="T140" s="892"/>
      <c r="U140" s="892"/>
      <c r="V140" s="892"/>
      <c r="W140" s="892"/>
      <c r="X140" s="892"/>
      <c r="Y140" s="892"/>
      <c r="Z140" s="892"/>
      <c r="AA140" s="892"/>
      <c r="AB140" s="2220"/>
      <c r="AC140" s="2220"/>
      <c r="AD140" s="2220"/>
      <c r="AE140" s="1834"/>
      <c r="AF140" s="1834"/>
      <c r="AG140" s="1834"/>
      <c r="AH140" s="1834"/>
      <c r="AI140" s="1834"/>
      <c r="AJ140" s="1834"/>
      <c r="AK140" s="1834"/>
      <c r="AL140" s="1834"/>
      <c r="AM140" s="896"/>
      <c r="AN140" s="896"/>
      <c r="AO140" s="603"/>
      <c r="AP140" s="896"/>
      <c r="AQ140" s="896"/>
      <c r="AR140" s="896"/>
      <c r="AS140" s="896"/>
      <c r="AT140" s="896"/>
      <c r="AU140" s="896"/>
      <c r="AV140" s="896"/>
      <c r="AW140" s="896"/>
      <c r="AX140" s="896"/>
      <c r="AY140" s="896"/>
      <c r="AZ140" s="896"/>
      <c r="BA140" s="896"/>
      <c r="BB140" s="896"/>
      <c r="BC140" s="896"/>
      <c r="BD140" s="896"/>
      <c r="BE140" s="896"/>
      <c r="BF140" s="896"/>
      <c r="BG140" s="896"/>
      <c r="BH140" s="896"/>
      <c r="BI140" s="896"/>
      <c r="BJ140" s="896"/>
      <c r="BK140" s="896"/>
      <c r="BL140" s="898"/>
      <c r="BM140" s="898"/>
      <c r="BN140" s="898"/>
      <c r="BO140" s="898"/>
      <c r="BP140" s="898"/>
      <c r="BQ140" s="898"/>
      <c r="BR140" s="898"/>
      <c r="BS140" s="898"/>
      <c r="BT140" s="898"/>
      <c r="BU140" s="718"/>
      <c r="BV140" s="731" t="s">
        <v>2782</v>
      </c>
      <c r="BW140" s="731" t="s">
        <v>2793</v>
      </c>
      <c r="BX140" s="891"/>
      <c r="BY140" s="891"/>
      <c r="BZ140" s="891"/>
      <c r="CA140" s="891"/>
      <c r="CB140" s="891"/>
      <c r="CC140" s="891"/>
      <c r="CD140" s="891"/>
      <c r="CE140" s="891"/>
      <c r="CF140" s="891"/>
      <c r="CG140" s="891"/>
      <c r="CH140" s="891"/>
      <c r="CI140" s="891"/>
      <c r="CJ140" s="891"/>
      <c r="CK140" s="891"/>
      <c r="CL140" s="891"/>
      <c r="CM140" s="891"/>
      <c r="CN140" s="891"/>
      <c r="CO140" s="891"/>
      <c r="CP140" s="891"/>
      <c r="CQ140" s="891"/>
      <c r="CR140" s="891"/>
      <c r="CS140" s="891"/>
      <c r="CT140" s="891"/>
      <c r="CU140" s="918"/>
      <c r="CV140" s="398"/>
      <c r="CW140" s="398"/>
      <c r="CX140" s="398"/>
      <c r="CY140" s="398"/>
      <c r="CZ140" s="398"/>
      <c r="DA140" s="398"/>
      <c r="DB140" s="398"/>
      <c r="DC140" s="35"/>
      <c r="DD140" s="36"/>
      <c r="DE140" s="36"/>
      <c r="DF140" s="36"/>
      <c r="DG140" s="36"/>
      <c r="DH140" s="36"/>
      <c r="DI140" s="36"/>
      <c r="DJ140" s="36"/>
      <c r="DK140" s="1045"/>
      <c r="DL140" s="1046"/>
      <c r="DM140" s="191">
        <f>COUNTIFS(AB140:AD145,"適用")</f>
        <v>0</v>
      </c>
      <c r="DN140" s="180">
        <f>IF(AB140="適用",1,0)</f>
        <v>0</v>
      </c>
      <c r="DO140" s="267" t="s">
        <v>285</v>
      </c>
      <c r="DP140" s="150" t="s">
        <v>286</v>
      </c>
      <c r="DQ140" s="150" t="s">
        <v>287</v>
      </c>
      <c r="DR140" s="150" t="s">
        <v>288</v>
      </c>
      <c r="DS140" s="150" t="s">
        <v>289</v>
      </c>
      <c r="DT140" s="150" t="s">
        <v>269</v>
      </c>
      <c r="FO140" s="1046"/>
      <c r="GA140" s="171"/>
    </row>
    <row r="141" spans="1:183" s="172" customFormat="1" ht="27" customHeight="1">
      <c r="A141" s="645"/>
      <c r="B141" s="645"/>
      <c r="C141" s="645"/>
      <c r="D141" s="645"/>
      <c r="E141" s="646"/>
      <c r="F141" s="381"/>
      <c r="G141" s="381"/>
      <c r="H141" s="381"/>
      <c r="I141" s="251"/>
      <c r="J141" s="39"/>
      <c r="K141" s="896"/>
      <c r="L141" s="896"/>
      <c r="M141" s="901" t="s">
        <v>286</v>
      </c>
      <c r="N141" s="901"/>
      <c r="O141" s="901"/>
      <c r="P141" s="901"/>
      <c r="Q141" s="901"/>
      <c r="R141" s="901"/>
      <c r="S141" s="901"/>
      <c r="T141" s="901"/>
      <c r="U141" s="901"/>
      <c r="V141" s="901"/>
      <c r="W141" s="901"/>
      <c r="X141" s="901"/>
      <c r="Y141" s="901"/>
      <c r="Z141" s="901"/>
      <c r="AA141" s="901"/>
      <c r="AB141" s="1772"/>
      <c r="AC141" s="1772"/>
      <c r="AD141" s="1772"/>
      <c r="AE141" s="896"/>
      <c r="AF141" s="896"/>
      <c r="AG141" s="896"/>
      <c r="AH141" s="896"/>
      <c r="AI141" s="896"/>
      <c r="AJ141" s="896"/>
      <c r="AK141" s="896"/>
      <c r="AL141" s="896"/>
      <c r="AM141" s="896"/>
      <c r="AN141" s="896"/>
      <c r="AO141" s="896"/>
      <c r="AP141" s="896"/>
      <c r="AQ141" s="896"/>
      <c r="AR141" s="896"/>
      <c r="AS141" s="896"/>
      <c r="AT141" s="896"/>
      <c r="AU141" s="896"/>
      <c r="AV141" s="896"/>
      <c r="AW141" s="896"/>
      <c r="AX141" s="896"/>
      <c r="AY141" s="896"/>
      <c r="AZ141" s="896"/>
      <c r="BA141" s="896"/>
      <c r="BB141" s="896"/>
      <c r="BC141" s="896"/>
      <c r="BD141" s="896"/>
      <c r="BE141" s="896"/>
      <c r="BF141" s="896"/>
      <c r="BG141" s="896"/>
      <c r="BH141" s="896"/>
      <c r="BI141" s="896"/>
      <c r="BJ141" s="896"/>
      <c r="BK141" s="896"/>
      <c r="BL141" s="896"/>
      <c r="BM141" s="896"/>
      <c r="BN141" s="896"/>
      <c r="BO141" s="896"/>
      <c r="BP141" s="896"/>
      <c r="BQ141" s="896"/>
      <c r="BR141" s="896"/>
      <c r="BS141" s="896"/>
      <c r="BT141" s="896"/>
      <c r="BU141" s="718"/>
      <c r="BV141" s="891"/>
      <c r="BW141" s="891"/>
      <c r="BX141" s="891"/>
      <c r="BY141" s="891"/>
      <c r="BZ141" s="891"/>
      <c r="CA141" s="891"/>
      <c r="CB141" s="891"/>
      <c r="CC141" s="891"/>
      <c r="CD141" s="891"/>
      <c r="CE141" s="891"/>
      <c r="CF141" s="891"/>
      <c r="CG141" s="891"/>
      <c r="CH141" s="891"/>
      <c r="CI141" s="891"/>
      <c r="CJ141" s="891"/>
      <c r="CK141" s="891"/>
      <c r="CL141" s="891"/>
      <c r="CM141" s="891"/>
      <c r="CN141" s="891"/>
      <c r="CO141" s="891"/>
      <c r="CP141" s="891"/>
      <c r="CQ141" s="891"/>
      <c r="CR141" s="891"/>
      <c r="CS141" s="891"/>
      <c r="CT141" s="891"/>
      <c r="CU141" s="918"/>
      <c r="CV141" s="398"/>
      <c r="CW141" s="398"/>
      <c r="CX141" s="398"/>
      <c r="CY141" s="398"/>
      <c r="CZ141" s="398"/>
      <c r="DA141" s="398"/>
      <c r="DB141" s="398"/>
      <c r="DC141" s="35"/>
      <c r="DD141" s="36"/>
      <c r="DE141" s="36"/>
      <c r="DF141" s="36"/>
      <c r="DG141" s="36"/>
      <c r="DH141" s="36"/>
      <c r="DI141" s="36"/>
      <c r="DJ141" s="36"/>
      <c r="DK141" s="1045"/>
      <c r="DL141" s="1046"/>
      <c r="DM141" s="171"/>
      <c r="DN141" s="180">
        <f t="shared" ref="DN141:DN145" si="7">IF(AB141="適用",1,0)</f>
        <v>0</v>
      </c>
      <c r="DO141" s="209" t="str">
        <f>IF($AB140="適用","レ","")</f>
        <v/>
      </c>
      <c r="DP141" s="180" t="str">
        <f>IF($AB141="適用","レ","")</f>
        <v/>
      </c>
      <c r="DQ141" s="180" t="str">
        <f>IF($AB142="適用","レ","")</f>
        <v/>
      </c>
      <c r="DR141" s="180" t="str">
        <f>IF($AB143="適用","レ","")</f>
        <v/>
      </c>
      <c r="DS141" s="180" t="str">
        <f>IF($AB144="適用","レ","")</f>
        <v/>
      </c>
      <c r="DT141" s="180" t="str">
        <f>IF($AB145="適用","レ","")</f>
        <v/>
      </c>
      <c r="FO141" s="1046"/>
      <c r="GA141" s="171"/>
    </row>
    <row r="142" spans="1:183" s="172" customFormat="1" ht="27" customHeight="1">
      <c r="A142" s="645"/>
      <c r="B142" s="645"/>
      <c r="C142" s="645"/>
      <c r="D142" s="645"/>
      <c r="E142" s="646"/>
      <c r="F142" s="381"/>
      <c r="G142" s="381"/>
      <c r="H142" s="381"/>
      <c r="I142" s="251"/>
      <c r="J142" s="39"/>
      <c r="K142" s="896"/>
      <c r="L142" s="896"/>
      <c r="M142" s="901" t="s">
        <v>287</v>
      </c>
      <c r="N142" s="901"/>
      <c r="O142" s="901"/>
      <c r="P142" s="901"/>
      <c r="Q142" s="901"/>
      <c r="R142" s="901"/>
      <c r="S142" s="901"/>
      <c r="T142" s="901"/>
      <c r="U142" s="901"/>
      <c r="V142" s="901"/>
      <c r="W142" s="901"/>
      <c r="X142" s="901"/>
      <c r="Y142" s="901"/>
      <c r="Z142" s="901"/>
      <c r="AA142" s="901"/>
      <c r="AB142" s="1772"/>
      <c r="AC142" s="1772"/>
      <c r="AD142" s="1772"/>
      <c r="AE142" s="896" t="s">
        <v>467</v>
      </c>
      <c r="AF142" s="2239"/>
      <c r="AG142" s="2239"/>
      <c r="AH142" s="2239"/>
      <c r="AI142" s="2239"/>
      <c r="AJ142" s="2239"/>
      <c r="AK142" s="2239"/>
      <c r="AL142" s="896" t="s">
        <v>388</v>
      </c>
      <c r="AM142" s="896"/>
      <c r="AN142" s="268" t="str">
        <f>IF(AND(AB142="適用",AF142=""),"←対象階を入力してください","")</f>
        <v/>
      </c>
      <c r="AO142" s="896"/>
      <c r="AP142" s="896"/>
      <c r="AQ142" s="896"/>
      <c r="AR142" s="896"/>
      <c r="AS142" s="896"/>
      <c r="AT142" s="896"/>
      <c r="AU142" s="896"/>
      <c r="AV142" s="896"/>
      <c r="AW142" s="268"/>
      <c r="AX142" s="896"/>
      <c r="AY142" s="896"/>
      <c r="AZ142" s="896"/>
      <c r="BA142" s="896"/>
      <c r="BB142" s="896"/>
      <c r="BC142" s="896"/>
      <c r="BD142" s="896"/>
      <c r="BE142" s="896"/>
      <c r="BF142" s="896"/>
      <c r="BG142" s="896"/>
      <c r="BH142" s="896"/>
      <c r="BI142" s="896"/>
      <c r="BJ142" s="896"/>
      <c r="BK142" s="896"/>
      <c r="BL142" s="896"/>
      <c r="BM142" s="896"/>
      <c r="BN142" s="896"/>
      <c r="BO142" s="896"/>
      <c r="BP142" s="896"/>
      <c r="BQ142" s="896"/>
      <c r="BR142" s="896"/>
      <c r="BS142" s="896"/>
      <c r="BT142" s="896"/>
      <c r="BU142" s="718"/>
      <c r="BV142" s="891"/>
      <c r="BW142" s="891"/>
      <c r="BX142" s="891"/>
      <c r="BY142" s="891"/>
      <c r="BZ142" s="891"/>
      <c r="CA142" s="891"/>
      <c r="CB142" s="891"/>
      <c r="CC142" s="891"/>
      <c r="CD142" s="891"/>
      <c r="CE142" s="891"/>
      <c r="CF142" s="891"/>
      <c r="CG142" s="891"/>
      <c r="CH142" s="891"/>
      <c r="CI142" s="891"/>
      <c r="CJ142" s="891"/>
      <c r="CK142" s="891"/>
      <c r="CL142" s="891"/>
      <c r="CM142" s="891"/>
      <c r="CN142" s="891"/>
      <c r="CO142" s="891"/>
      <c r="CP142" s="891"/>
      <c r="CQ142" s="891"/>
      <c r="CR142" s="891"/>
      <c r="CS142" s="891"/>
      <c r="CT142" s="891"/>
      <c r="CU142" s="918"/>
      <c r="CV142" s="398"/>
      <c r="CW142" s="398"/>
      <c r="CX142" s="398"/>
      <c r="CY142" s="398"/>
      <c r="CZ142" s="398"/>
      <c r="DA142" s="398"/>
      <c r="DB142" s="398"/>
      <c r="DC142" s="35"/>
      <c r="DD142" s="36"/>
      <c r="DE142" s="36"/>
      <c r="DF142" s="36"/>
      <c r="DG142" s="36"/>
      <c r="DH142" s="36"/>
      <c r="DI142" s="36"/>
      <c r="DJ142" s="36"/>
      <c r="DK142" s="1045"/>
      <c r="DL142" s="1046"/>
      <c r="DM142" s="171"/>
      <c r="DN142" s="180">
        <f t="shared" si="7"/>
        <v>0</v>
      </c>
      <c r="DO142" s="171"/>
      <c r="DP142" s="171"/>
      <c r="DQ142" s="171"/>
      <c r="FO142" s="1046"/>
      <c r="GA142" s="171"/>
    </row>
    <row r="143" spans="1:183" s="172" customFormat="1" ht="27" customHeight="1">
      <c r="A143" s="645"/>
      <c r="B143" s="645"/>
      <c r="C143" s="645"/>
      <c r="D143" s="645"/>
      <c r="E143" s="646"/>
      <c r="F143" s="381"/>
      <c r="G143" s="381"/>
      <c r="H143" s="381"/>
      <c r="I143" s="251"/>
      <c r="J143" s="39"/>
      <c r="K143" s="896"/>
      <c r="L143" s="896"/>
      <c r="M143" s="901" t="s">
        <v>288</v>
      </c>
      <c r="N143" s="901"/>
      <c r="O143" s="901"/>
      <c r="P143" s="901"/>
      <c r="Q143" s="901"/>
      <c r="R143" s="901"/>
      <c r="S143" s="901"/>
      <c r="T143" s="901"/>
      <c r="U143" s="901"/>
      <c r="V143" s="901"/>
      <c r="W143" s="901"/>
      <c r="X143" s="901"/>
      <c r="Y143" s="901"/>
      <c r="Z143" s="901"/>
      <c r="AA143" s="901"/>
      <c r="AB143" s="1772"/>
      <c r="AC143" s="1772"/>
      <c r="AD143" s="1772"/>
      <c r="AE143" s="896" t="s">
        <v>467</v>
      </c>
      <c r="AF143" s="2239"/>
      <c r="AG143" s="2239"/>
      <c r="AH143" s="2239"/>
      <c r="AI143" s="2239"/>
      <c r="AJ143" s="2239"/>
      <c r="AK143" s="2239"/>
      <c r="AL143" s="896" t="s">
        <v>388</v>
      </c>
      <c r="AM143" s="896"/>
      <c r="AN143" s="268" t="str">
        <f>IF(AND(AB143="適用",AF143=""),"←対象階を入力してください","")</f>
        <v/>
      </c>
      <c r="AO143" s="896"/>
      <c r="AP143" s="896"/>
      <c r="AQ143" s="896"/>
      <c r="AR143" s="896"/>
      <c r="AS143" s="896"/>
      <c r="AT143" s="896"/>
      <c r="AU143" s="896"/>
      <c r="AV143" s="896"/>
      <c r="AW143" s="268"/>
      <c r="AX143" s="896"/>
      <c r="AY143" s="896"/>
      <c r="AZ143" s="896"/>
      <c r="BA143" s="896"/>
      <c r="BB143" s="896"/>
      <c r="BC143" s="896"/>
      <c r="BD143" s="896"/>
      <c r="BE143" s="896"/>
      <c r="BF143" s="896"/>
      <c r="BG143" s="896"/>
      <c r="BH143" s="896"/>
      <c r="BI143" s="896"/>
      <c r="BJ143" s="896"/>
      <c r="BK143" s="896"/>
      <c r="BL143" s="896"/>
      <c r="BM143" s="896"/>
      <c r="BN143" s="896"/>
      <c r="BO143" s="896"/>
      <c r="BP143" s="896"/>
      <c r="BQ143" s="896"/>
      <c r="BR143" s="896"/>
      <c r="BS143" s="896"/>
      <c r="BT143" s="896"/>
      <c r="BU143" s="718"/>
      <c r="BV143" s="891"/>
      <c r="BW143" s="891"/>
      <c r="BX143" s="891"/>
      <c r="BY143" s="891"/>
      <c r="BZ143" s="891"/>
      <c r="CA143" s="891"/>
      <c r="CB143" s="891"/>
      <c r="CC143" s="891"/>
      <c r="CD143" s="891"/>
      <c r="CE143" s="891"/>
      <c r="CF143" s="891"/>
      <c r="CG143" s="891"/>
      <c r="CH143" s="891"/>
      <c r="CI143" s="891"/>
      <c r="CJ143" s="891"/>
      <c r="CK143" s="891"/>
      <c r="CL143" s="891"/>
      <c r="CM143" s="891"/>
      <c r="CN143" s="891"/>
      <c r="CO143" s="891"/>
      <c r="CP143" s="891"/>
      <c r="CQ143" s="891"/>
      <c r="CR143" s="891"/>
      <c r="CS143" s="891"/>
      <c r="CT143" s="891"/>
      <c r="CU143" s="918"/>
      <c r="CV143" s="398"/>
      <c r="CW143" s="398"/>
      <c r="CX143" s="398"/>
      <c r="CY143" s="398"/>
      <c r="CZ143" s="398"/>
      <c r="DA143" s="398"/>
      <c r="DB143" s="398"/>
      <c r="DC143" s="35"/>
      <c r="DD143" s="36"/>
      <c r="DE143" s="36"/>
      <c r="DF143" s="36"/>
      <c r="DG143" s="36"/>
      <c r="DH143" s="36"/>
      <c r="DI143" s="36"/>
      <c r="DJ143" s="36"/>
      <c r="DK143" s="1045"/>
      <c r="DL143" s="1046"/>
      <c r="DM143" s="171"/>
      <c r="DN143" s="180">
        <f t="shared" si="7"/>
        <v>0</v>
      </c>
      <c r="DO143" s="171"/>
      <c r="DP143" s="171"/>
      <c r="DQ143" s="171"/>
      <c r="EG143" s="167"/>
      <c r="EH143" s="167"/>
      <c r="EI143" s="167"/>
      <c r="EJ143" s="167"/>
      <c r="EK143" s="167"/>
      <c r="FO143" s="1046"/>
      <c r="FV143" s="167"/>
      <c r="FW143" s="167"/>
      <c r="FX143" s="167"/>
      <c r="FY143" s="167"/>
      <c r="FZ143" s="167"/>
      <c r="GA143" s="171"/>
    </row>
    <row r="144" spans="1:183" s="172" customFormat="1" ht="27" customHeight="1">
      <c r="A144" s="645"/>
      <c r="B144" s="645"/>
      <c r="C144" s="645"/>
      <c r="D144" s="645"/>
      <c r="E144" s="646"/>
      <c r="F144" s="381"/>
      <c r="G144" s="381"/>
      <c r="H144" s="381"/>
      <c r="I144" s="251"/>
      <c r="J144" s="39"/>
      <c r="K144" s="896"/>
      <c r="L144" s="896"/>
      <c r="M144" s="901" t="s">
        <v>289</v>
      </c>
      <c r="N144" s="901"/>
      <c r="O144" s="901"/>
      <c r="P144" s="901"/>
      <c r="Q144" s="901"/>
      <c r="R144" s="901"/>
      <c r="S144" s="901"/>
      <c r="T144" s="901"/>
      <c r="U144" s="901"/>
      <c r="V144" s="901"/>
      <c r="W144" s="901"/>
      <c r="X144" s="901"/>
      <c r="Y144" s="901"/>
      <c r="Z144" s="901"/>
      <c r="AA144" s="901"/>
      <c r="AB144" s="1772"/>
      <c r="AC144" s="1772"/>
      <c r="AD144" s="1772"/>
      <c r="AE144" s="896"/>
      <c r="AF144" s="896"/>
      <c r="AG144" s="896"/>
      <c r="AH144" s="896"/>
      <c r="AI144" s="896"/>
      <c r="AJ144" s="896"/>
      <c r="AK144" s="896"/>
      <c r="AL144" s="896"/>
      <c r="AM144" s="896"/>
      <c r="AN144" s="896"/>
      <c r="AO144" s="896"/>
      <c r="AP144" s="896"/>
      <c r="AQ144" s="896"/>
      <c r="AR144" s="896"/>
      <c r="AS144" s="896"/>
      <c r="AT144" s="896"/>
      <c r="AU144" s="896"/>
      <c r="AV144" s="896"/>
      <c r="AW144" s="896"/>
      <c r="AX144" s="896"/>
      <c r="AY144" s="896"/>
      <c r="AZ144" s="896"/>
      <c r="BA144" s="896"/>
      <c r="BB144" s="896"/>
      <c r="BC144" s="896"/>
      <c r="BD144" s="896"/>
      <c r="BE144" s="896"/>
      <c r="BF144" s="896"/>
      <c r="BG144" s="896"/>
      <c r="BH144" s="896"/>
      <c r="BI144" s="896"/>
      <c r="BJ144" s="896"/>
      <c r="BK144" s="896"/>
      <c r="BL144" s="896"/>
      <c r="BM144" s="896"/>
      <c r="BN144" s="896"/>
      <c r="BO144" s="896"/>
      <c r="BP144" s="896"/>
      <c r="BQ144" s="896"/>
      <c r="BR144" s="896"/>
      <c r="BS144" s="896"/>
      <c r="BT144" s="896"/>
      <c r="BU144" s="718"/>
      <c r="BV144" s="891"/>
      <c r="BW144" s="891"/>
      <c r="BX144" s="891"/>
      <c r="BY144" s="891"/>
      <c r="BZ144" s="891"/>
      <c r="CA144" s="891"/>
      <c r="CB144" s="891"/>
      <c r="CC144" s="891"/>
      <c r="CD144" s="891"/>
      <c r="CE144" s="891"/>
      <c r="CF144" s="891"/>
      <c r="CG144" s="891"/>
      <c r="CH144" s="891"/>
      <c r="CI144" s="891"/>
      <c r="CJ144" s="891"/>
      <c r="CK144" s="891"/>
      <c r="CL144" s="891"/>
      <c r="CM144" s="891"/>
      <c r="CN144" s="891"/>
      <c r="CO144" s="891"/>
      <c r="CP144" s="891"/>
      <c r="CQ144" s="891"/>
      <c r="CR144" s="891"/>
      <c r="CS144" s="891"/>
      <c r="CT144" s="891"/>
      <c r="CU144" s="918"/>
      <c r="CV144" s="398"/>
      <c r="CW144" s="398"/>
      <c r="CX144" s="398"/>
      <c r="CY144" s="398"/>
      <c r="CZ144" s="398"/>
      <c r="DA144" s="398"/>
      <c r="DB144" s="398"/>
      <c r="DC144" s="35"/>
      <c r="DD144" s="36"/>
      <c r="DE144" s="36"/>
      <c r="DF144" s="36"/>
      <c r="DG144" s="36"/>
      <c r="DH144" s="36"/>
      <c r="DI144" s="36"/>
      <c r="DJ144" s="36"/>
      <c r="DK144" s="1045"/>
      <c r="DL144" s="1046"/>
      <c r="DM144" s="171"/>
      <c r="DN144" s="180">
        <f t="shared" si="7"/>
        <v>0</v>
      </c>
      <c r="DO144" s="171"/>
      <c r="DP144" s="171"/>
      <c r="DQ144" s="171"/>
      <c r="EG144" s="167"/>
      <c r="EH144" s="167"/>
      <c r="EI144" s="167"/>
      <c r="EJ144" s="167"/>
      <c r="EK144" s="167"/>
      <c r="FO144" s="1046"/>
      <c r="FV144" s="167"/>
      <c r="FW144" s="167"/>
      <c r="FX144" s="167"/>
      <c r="FY144" s="167"/>
      <c r="FZ144" s="167"/>
      <c r="GA144" s="171"/>
    </row>
    <row r="145" spans="1:183" s="172" customFormat="1" ht="27" customHeight="1" thickBot="1">
      <c r="A145" s="645"/>
      <c r="B145" s="645"/>
      <c r="C145" s="645"/>
      <c r="D145" s="645"/>
      <c r="E145" s="646"/>
      <c r="F145" s="381"/>
      <c r="G145" s="381"/>
      <c r="H145" s="381"/>
      <c r="I145" s="251"/>
      <c r="J145" s="40"/>
      <c r="K145" s="912"/>
      <c r="L145" s="912"/>
      <c r="M145" s="902" t="s">
        <v>269</v>
      </c>
      <c r="N145" s="902"/>
      <c r="O145" s="902"/>
      <c r="P145" s="902"/>
      <c r="Q145" s="902"/>
      <c r="R145" s="902"/>
      <c r="S145" s="902"/>
      <c r="T145" s="902"/>
      <c r="U145" s="902"/>
      <c r="V145" s="902"/>
      <c r="W145" s="902"/>
      <c r="X145" s="902"/>
      <c r="Y145" s="902"/>
      <c r="Z145" s="902"/>
      <c r="AA145" s="902"/>
      <c r="AB145" s="2191"/>
      <c r="AC145" s="2191"/>
      <c r="AD145" s="2191"/>
      <c r="AE145" s="912" t="s">
        <v>467</v>
      </c>
      <c r="AF145" s="2235"/>
      <c r="AG145" s="2236"/>
      <c r="AH145" s="2236"/>
      <c r="AI145" s="2236"/>
      <c r="AJ145" s="2236"/>
      <c r="AK145" s="2236"/>
      <c r="AL145" s="2236"/>
      <c r="AM145" s="2236"/>
      <c r="AN145" s="2236"/>
      <c r="AO145" s="2236"/>
      <c r="AP145" s="2236"/>
      <c r="AQ145" s="2236"/>
      <c r="AR145" s="2236"/>
      <c r="AS145" s="2236"/>
      <c r="AT145" s="2236"/>
      <c r="AU145" s="2236"/>
      <c r="AV145" s="2236"/>
      <c r="AW145" s="2236"/>
      <c r="AX145" s="2236"/>
      <c r="AY145" s="2236"/>
      <c r="AZ145" s="2236"/>
      <c r="BA145" s="912" t="s">
        <v>263</v>
      </c>
      <c r="BB145" s="2204" t="str">
        <f>IF(AND(AB145="適用",AF145=""),"←「その他」の場合、検証法の入力が必要です","")</f>
        <v/>
      </c>
      <c r="BC145" s="2205"/>
      <c r="BD145" s="2205"/>
      <c r="BE145" s="2205"/>
      <c r="BF145" s="2205"/>
      <c r="BG145" s="2205"/>
      <c r="BH145" s="2205"/>
      <c r="BI145" s="2205"/>
      <c r="BJ145" s="2205"/>
      <c r="BK145" s="2205"/>
      <c r="BL145" s="2205"/>
      <c r="BM145" s="2205"/>
      <c r="BN145" s="2205"/>
      <c r="BO145" s="2205"/>
      <c r="BP145" s="2205"/>
      <c r="BQ145" s="2205"/>
      <c r="BR145" s="2205"/>
      <c r="BS145" s="2205"/>
      <c r="BT145" s="2205"/>
      <c r="BU145" s="1053"/>
      <c r="BV145" s="925"/>
      <c r="BW145" s="925"/>
      <c r="BX145" s="925"/>
      <c r="BY145" s="925"/>
      <c r="BZ145" s="925"/>
      <c r="CA145" s="925"/>
      <c r="CB145" s="925"/>
      <c r="CC145" s="925"/>
      <c r="CD145" s="925"/>
      <c r="CE145" s="925"/>
      <c r="CF145" s="925"/>
      <c r="CG145" s="925"/>
      <c r="CH145" s="925"/>
      <c r="CI145" s="925"/>
      <c r="CJ145" s="925"/>
      <c r="CK145" s="925"/>
      <c r="CL145" s="925"/>
      <c r="CM145" s="925"/>
      <c r="CN145" s="925"/>
      <c r="CO145" s="925"/>
      <c r="CP145" s="925"/>
      <c r="CQ145" s="925"/>
      <c r="CR145" s="925"/>
      <c r="CS145" s="925"/>
      <c r="CT145" s="925"/>
      <c r="CU145" s="926"/>
      <c r="CV145" s="398"/>
      <c r="CW145" s="398"/>
      <c r="CX145" s="398"/>
      <c r="CY145" s="398"/>
      <c r="CZ145" s="398"/>
      <c r="DA145" s="398"/>
      <c r="DB145" s="398"/>
      <c r="DC145" s="35"/>
      <c r="DD145" s="36"/>
      <c r="DE145" s="36"/>
      <c r="DF145" s="36"/>
      <c r="DG145" s="36"/>
      <c r="DH145" s="36"/>
      <c r="DI145" s="36"/>
      <c r="DJ145" s="36"/>
      <c r="DK145" s="1045"/>
      <c r="DL145" s="1046"/>
      <c r="DM145" s="171"/>
      <c r="DN145" s="180">
        <f t="shared" si="7"/>
        <v>0</v>
      </c>
      <c r="DO145" s="171"/>
      <c r="DP145" s="171"/>
      <c r="DQ145" s="171"/>
      <c r="FO145" s="1046"/>
      <c r="GA145" s="171"/>
    </row>
    <row r="146" spans="1:183" ht="15" customHeight="1">
      <c r="A146" s="645"/>
      <c r="B146" s="645"/>
      <c r="C146" s="645"/>
      <c r="D146" s="645"/>
      <c r="E146" s="646"/>
      <c r="BU146" s="1044"/>
      <c r="BX146" s="727"/>
      <c r="DD146" s="36"/>
      <c r="DE146" s="36"/>
      <c r="DF146" s="36"/>
      <c r="DG146" s="36"/>
      <c r="DH146" s="36"/>
      <c r="DI146" s="36"/>
      <c r="DJ146" s="36"/>
      <c r="EG146" s="172"/>
      <c r="EH146" s="172"/>
      <c r="EI146" s="172"/>
      <c r="EJ146" s="172"/>
      <c r="EK146" s="172"/>
      <c r="FV146" s="172"/>
      <c r="FW146" s="172"/>
      <c r="FX146" s="172"/>
      <c r="FY146" s="172"/>
      <c r="FZ146" s="172"/>
    </row>
    <row r="147" spans="1:183" ht="2.15" customHeight="1">
      <c r="A147" s="645"/>
      <c r="B147" s="645"/>
      <c r="C147" s="645"/>
      <c r="D147" s="645"/>
      <c r="E147" s="646"/>
      <c r="BU147" s="1044"/>
      <c r="BX147" s="727"/>
      <c r="DD147" s="36"/>
      <c r="DE147" s="36"/>
      <c r="DF147" s="36"/>
      <c r="DG147" s="36"/>
      <c r="DH147" s="36"/>
      <c r="DI147" s="36"/>
      <c r="DJ147" s="36"/>
      <c r="EG147" s="172"/>
      <c r="EH147" s="172"/>
      <c r="EI147" s="172"/>
      <c r="EJ147" s="172"/>
      <c r="EK147" s="172"/>
      <c r="FV147" s="172"/>
      <c r="FW147" s="172"/>
      <c r="FX147" s="172"/>
      <c r="FY147" s="172"/>
      <c r="FZ147" s="172"/>
    </row>
    <row r="148" spans="1:183" ht="2.15" customHeight="1">
      <c r="A148" s="645"/>
      <c r="B148" s="645"/>
      <c r="C148" s="645"/>
      <c r="D148" s="645"/>
      <c r="E148" s="646"/>
      <c r="BU148" s="1044"/>
      <c r="BX148" s="727"/>
      <c r="DD148" s="36"/>
      <c r="DE148" s="36"/>
      <c r="DF148" s="36"/>
      <c r="DG148" s="36"/>
      <c r="DH148" s="36"/>
      <c r="DI148" s="36"/>
      <c r="DJ148" s="36"/>
      <c r="EG148" s="172"/>
      <c r="EH148" s="172"/>
      <c r="EI148" s="172"/>
      <c r="EJ148" s="172"/>
      <c r="EK148" s="172"/>
      <c r="FV148" s="172"/>
      <c r="FW148" s="172"/>
      <c r="FX148" s="172"/>
      <c r="FY148" s="172"/>
      <c r="FZ148" s="172"/>
    </row>
    <row r="149" spans="1:183" ht="2.15" customHeight="1" thickBot="1">
      <c r="A149" s="645"/>
      <c r="B149" s="645"/>
      <c r="C149" s="645"/>
      <c r="D149" s="645"/>
      <c r="E149" s="646"/>
      <c r="BU149" s="1044"/>
      <c r="BX149" s="727"/>
      <c r="DD149" s="36"/>
      <c r="DE149" s="36"/>
      <c r="DF149" s="36"/>
      <c r="DG149" s="36"/>
      <c r="DH149" s="36"/>
      <c r="DI149" s="36"/>
      <c r="DJ149" s="36"/>
      <c r="EG149" s="172"/>
      <c r="EH149" s="172"/>
      <c r="EI149" s="172"/>
      <c r="EJ149" s="172"/>
      <c r="EK149" s="172"/>
      <c r="FV149" s="172"/>
      <c r="FW149" s="172"/>
      <c r="FX149" s="172"/>
      <c r="FY149" s="172"/>
      <c r="FZ149" s="172"/>
    </row>
    <row r="150" spans="1:183" ht="35.15" customHeight="1" thickBot="1">
      <c r="A150" s="645"/>
      <c r="B150" s="645"/>
      <c r="C150" s="645"/>
      <c r="D150" s="645"/>
      <c r="E150" s="646"/>
      <c r="J150" s="1831" t="s">
        <v>1154</v>
      </c>
      <c r="K150" s="2225"/>
      <c r="L150" s="2225"/>
      <c r="M150" s="2225"/>
      <c r="N150" s="2225"/>
      <c r="O150" s="2225"/>
      <c r="P150" s="2225"/>
      <c r="Q150" s="2225"/>
      <c r="R150" s="2225"/>
      <c r="S150" s="2225"/>
      <c r="T150" s="2225"/>
      <c r="U150" s="2225"/>
      <c r="V150" s="2225"/>
      <c r="W150" s="2225"/>
      <c r="X150" s="2225"/>
      <c r="Y150" s="2225"/>
      <c r="Z150" s="2225"/>
      <c r="AA150" s="2225"/>
      <c r="AB150" s="2225"/>
      <c r="AC150" s="2225"/>
      <c r="AD150" s="2225"/>
      <c r="AE150" s="2225"/>
      <c r="AF150" s="2225"/>
      <c r="AG150" s="2225"/>
      <c r="AH150" s="1086" t="s">
        <v>1088</v>
      </c>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86"/>
      <c r="BF150" s="1086"/>
      <c r="BG150" s="1086"/>
      <c r="BH150" s="1086"/>
      <c r="BI150" s="1086"/>
      <c r="BJ150" s="1086"/>
      <c r="BK150" s="1086"/>
      <c r="BL150" s="2171" t="s">
        <v>382</v>
      </c>
      <c r="BM150" s="2226"/>
      <c r="BN150" s="2226"/>
      <c r="BO150" s="2226"/>
      <c r="BP150" s="2226"/>
      <c r="BQ150" s="2226"/>
      <c r="BR150" s="2226"/>
      <c r="BS150" s="2226"/>
      <c r="BT150" s="2226"/>
      <c r="BU150" s="1078"/>
      <c r="BV150" s="728"/>
      <c r="BW150" s="728"/>
      <c r="BX150" s="728"/>
      <c r="BY150" s="728"/>
      <c r="BZ150" s="728"/>
      <c r="CA150" s="728"/>
      <c r="CB150" s="728"/>
      <c r="CC150" s="728"/>
      <c r="CD150" s="728"/>
      <c r="CE150" s="728"/>
      <c r="CF150" s="728"/>
      <c r="CG150" s="728"/>
      <c r="CH150" s="728"/>
      <c r="CI150" s="728"/>
      <c r="CJ150" s="728"/>
      <c r="CK150" s="728"/>
      <c r="CL150" s="728"/>
      <c r="CM150" s="728"/>
      <c r="CN150" s="728"/>
      <c r="CO150" s="728"/>
      <c r="CP150" s="728"/>
      <c r="CQ150" s="728"/>
      <c r="CR150" s="728"/>
      <c r="CS150" s="728"/>
      <c r="CT150" s="728"/>
      <c r="CU150" s="729"/>
      <c r="DD150" s="36"/>
      <c r="DE150" s="36"/>
      <c r="DF150" s="178"/>
      <c r="DG150" s="178"/>
      <c r="DH150" s="178"/>
      <c r="DI150" s="178"/>
      <c r="DJ150" s="178"/>
      <c r="DN150" s="166" t="s">
        <v>2493</v>
      </c>
      <c r="EG150" s="172"/>
      <c r="EH150" s="172"/>
      <c r="EI150" s="172"/>
      <c r="EJ150" s="172"/>
      <c r="EK150" s="172"/>
      <c r="FV150" s="172"/>
      <c r="FW150" s="172"/>
      <c r="FX150" s="172"/>
      <c r="FY150" s="172"/>
      <c r="FZ150" s="172"/>
    </row>
    <row r="151" spans="1:183" s="172" customFormat="1" ht="27" customHeight="1" thickBot="1">
      <c r="A151" s="645"/>
      <c r="B151" s="645"/>
      <c r="C151" s="645"/>
      <c r="D151" s="645"/>
      <c r="E151" s="646"/>
      <c r="F151" s="381"/>
      <c r="G151" s="381"/>
      <c r="H151" s="381"/>
      <c r="I151" s="16"/>
      <c r="J151" s="253"/>
      <c r="K151" s="254"/>
      <c r="L151" s="254"/>
      <c r="M151" s="1960" t="s">
        <v>744</v>
      </c>
      <c r="N151" s="1961"/>
      <c r="O151" s="1961"/>
      <c r="P151" s="1961"/>
      <c r="Q151" s="1961"/>
      <c r="R151" s="1961"/>
      <c r="S151" s="1961"/>
      <c r="T151" s="1961"/>
      <c r="U151" s="1961"/>
      <c r="V151" s="1961"/>
      <c r="W151" s="1961"/>
      <c r="X151" s="1961"/>
      <c r="Y151" s="1961"/>
      <c r="Z151" s="1961"/>
      <c r="AA151" s="1961"/>
      <c r="AB151" s="2223"/>
      <c r="AC151" s="2224"/>
      <c r="AD151" s="2224"/>
      <c r="AE151" s="2202"/>
      <c r="AF151" s="2202"/>
      <c r="AG151" s="2203"/>
      <c r="AH151" s="608" t="s">
        <v>12</v>
      </c>
      <c r="AI151" s="609"/>
      <c r="AJ151" s="1854"/>
      <c r="AK151" s="1854"/>
      <c r="AL151" s="1854"/>
      <c r="AM151" s="892" t="s">
        <v>383</v>
      </c>
      <c r="AN151" s="892"/>
      <c r="AO151" s="1854"/>
      <c r="AP151" s="1854"/>
      <c r="AQ151" s="1854"/>
      <c r="AR151" s="898" t="s">
        <v>171</v>
      </c>
      <c r="AS151" s="898"/>
      <c r="AT151" s="898"/>
      <c r="AU151" s="898"/>
      <c r="AV151" s="898"/>
      <c r="AW151" s="898"/>
      <c r="AX151" s="898"/>
      <c r="AY151" s="898"/>
      <c r="AZ151" s="898"/>
      <c r="BA151" s="898"/>
      <c r="BB151" s="898"/>
      <c r="BC151" s="898"/>
      <c r="BD151" s="898"/>
      <c r="BE151" s="898"/>
      <c r="BF151" s="898"/>
      <c r="BG151" s="898"/>
      <c r="BH151" s="898"/>
      <c r="BI151" s="898"/>
      <c r="BJ151" s="898"/>
      <c r="BK151" s="898"/>
      <c r="BL151" s="898"/>
      <c r="BM151" s="898"/>
      <c r="BN151" s="898"/>
      <c r="BO151" s="898"/>
      <c r="BP151" s="898"/>
      <c r="BQ151" s="898"/>
      <c r="BR151" s="898"/>
      <c r="BS151" s="898"/>
      <c r="BT151" s="898"/>
      <c r="BU151" s="1080"/>
      <c r="BV151" s="731" t="s">
        <v>2782</v>
      </c>
      <c r="BW151" s="1952" t="s">
        <v>3351</v>
      </c>
      <c r="BX151" s="1952"/>
      <c r="BY151" s="1952"/>
      <c r="BZ151" s="1952"/>
      <c r="CA151" s="1952"/>
      <c r="CB151" s="1952"/>
      <c r="CC151" s="1952"/>
      <c r="CD151" s="1952"/>
      <c r="CE151" s="1952"/>
      <c r="CF151" s="1952"/>
      <c r="CG151" s="1952"/>
      <c r="CH151" s="1952"/>
      <c r="CI151" s="1952"/>
      <c r="CJ151" s="1952"/>
      <c r="CK151" s="1952"/>
      <c r="CL151" s="1952"/>
      <c r="CM151" s="1952"/>
      <c r="CN151" s="1952"/>
      <c r="CO151" s="1952"/>
      <c r="CP151" s="1952"/>
      <c r="CQ151" s="1952"/>
      <c r="CR151" s="1952"/>
      <c r="CS151" s="1952"/>
      <c r="CT151" s="732"/>
      <c r="CU151" s="733"/>
      <c r="CV151" s="398"/>
      <c r="CW151" s="398"/>
      <c r="CX151" s="398"/>
      <c r="CY151" s="398"/>
      <c r="CZ151" s="398"/>
      <c r="DA151" s="398"/>
      <c r="DB151" s="398"/>
      <c r="DC151" s="35"/>
      <c r="DD151" s="36"/>
      <c r="DE151" s="36"/>
      <c r="DF151" s="178"/>
      <c r="DG151" s="178"/>
      <c r="DH151" s="178"/>
      <c r="DI151" s="178"/>
      <c r="DJ151" s="178"/>
      <c r="DK151" s="1068"/>
      <c r="DL151" s="1046"/>
      <c r="DM151" s="381"/>
      <c r="DN151" s="177">
        <f>COUNTBLANK(AB151:AQ151)</f>
        <v>14</v>
      </c>
      <c r="DO151" s="171"/>
      <c r="DP151" s="171"/>
      <c r="DQ151" s="171"/>
      <c r="DS151" s="374"/>
      <c r="FO151" s="1046"/>
      <c r="GA151" s="171"/>
    </row>
    <row r="152" spans="1:183" ht="27" customHeight="1">
      <c r="A152" s="645"/>
      <c r="B152" s="645"/>
      <c r="C152" s="645"/>
      <c r="D152" s="645"/>
      <c r="E152" s="646"/>
      <c r="J152" s="252"/>
      <c r="K152" s="1087"/>
      <c r="L152" s="1087"/>
      <c r="M152" s="1866" t="s">
        <v>1089</v>
      </c>
      <c r="N152" s="1958"/>
      <c r="O152" s="1958"/>
      <c r="P152" s="1958"/>
      <c r="Q152" s="1958"/>
      <c r="R152" s="1958"/>
      <c r="S152" s="1958"/>
      <c r="T152" s="1958"/>
      <c r="U152" s="1958"/>
      <c r="V152" s="1958"/>
      <c r="W152" s="1958"/>
      <c r="X152" s="1958"/>
      <c r="Y152" s="1958"/>
      <c r="Z152" s="1958"/>
      <c r="AA152" s="1958"/>
      <c r="AB152" s="2217"/>
      <c r="AC152" s="2217"/>
      <c r="AD152" s="2217"/>
      <c r="AE152" s="2217"/>
      <c r="AF152" s="2217"/>
      <c r="AG152" s="2217"/>
      <c r="AH152" s="2217"/>
      <c r="AI152" s="2217"/>
      <c r="AJ152" s="2217"/>
      <c r="AK152" s="2217"/>
      <c r="AL152" s="2217"/>
      <c r="AM152" s="2217"/>
      <c r="AN152" s="2217"/>
      <c r="AO152" s="2217"/>
      <c r="AP152" s="2217"/>
      <c r="AQ152" s="2217"/>
      <c r="AR152" s="1088" t="s">
        <v>2412</v>
      </c>
      <c r="AS152" s="1089"/>
      <c r="AT152" s="1088"/>
      <c r="AU152" s="1090"/>
      <c r="AV152" s="1090"/>
      <c r="AW152" s="1090"/>
      <c r="AX152" s="1090"/>
      <c r="AY152" s="1090"/>
      <c r="AZ152" s="1090"/>
      <c r="BA152" s="1090"/>
      <c r="BB152" s="1090"/>
      <c r="BC152" s="1090"/>
      <c r="BD152" s="1090"/>
      <c r="BE152" s="1090"/>
      <c r="BF152" s="1090"/>
      <c r="BG152" s="1090"/>
      <c r="BH152" s="1090"/>
      <c r="BI152" s="1090"/>
      <c r="BJ152" s="1090"/>
      <c r="BK152" s="1090"/>
      <c r="BL152" s="1090"/>
      <c r="BM152" s="1090"/>
      <c r="BN152" s="1090"/>
      <c r="BO152" s="1090"/>
      <c r="BP152" s="1090"/>
      <c r="BQ152" s="1090"/>
      <c r="BR152" s="1090"/>
      <c r="BS152" s="1090"/>
      <c r="BT152" s="1090"/>
      <c r="BU152" s="1062"/>
      <c r="BV152" s="732"/>
      <c r="BW152" s="1952"/>
      <c r="BX152" s="1952"/>
      <c r="BY152" s="1952"/>
      <c r="BZ152" s="1952"/>
      <c r="CA152" s="1952"/>
      <c r="CB152" s="1952"/>
      <c r="CC152" s="1952"/>
      <c r="CD152" s="1952"/>
      <c r="CE152" s="1952"/>
      <c r="CF152" s="1952"/>
      <c r="CG152" s="1952"/>
      <c r="CH152" s="1952"/>
      <c r="CI152" s="1952"/>
      <c r="CJ152" s="1952"/>
      <c r="CK152" s="1952"/>
      <c r="CL152" s="1952"/>
      <c r="CM152" s="1952"/>
      <c r="CN152" s="1952"/>
      <c r="CO152" s="1952"/>
      <c r="CP152" s="1952"/>
      <c r="CQ152" s="1952"/>
      <c r="CR152" s="1952"/>
      <c r="CS152" s="1952"/>
      <c r="CT152" s="732"/>
      <c r="CU152" s="733"/>
      <c r="DD152" s="36"/>
      <c r="DE152" s="36"/>
      <c r="DF152" s="178"/>
      <c r="DG152" s="178"/>
      <c r="DH152" s="178"/>
      <c r="DI152" s="178"/>
      <c r="DJ152" s="178"/>
      <c r="DM152" s="381"/>
      <c r="EG152" s="172"/>
      <c r="EH152" s="172"/>
      <c r="EI152" s="172"/>
      <c r="EJ152" s="172"/>
      <c r="EK152" s="172"/>
      <c r="FV152" s="172"/>
      <c r="FW152" s="172"/>
      <c r="FX152" s="172"/>
      <c r="FY152" s="172"/>
      <c r="FZ152" s="172"/>
    </row>
    <row r="153" spans="1:183" s="172" customFormat="1" ht="27" customHeight="1" thickBot="1">
      <c r="A153" s="645"/>
      <c r="B153" s="645"/>
      <c r="C153" s="645"/>
      <c r="D153" s="645"/>
      <c r="E153" s="646"/>
      <c r="F153" s="381"/>
      <c r="G153" s="381"/>
      <c r="H153" s="381"/>
      <c r="I153" s="16"/>
      <c r="J153" s="253"/>
      <c r="K153" s="254"/>
      <c r="L153" s="254"/>
      <c r="M153" s="2185" t="s">
        <v>745</v>
      </c>
      <c r="N153" s="2211"/>
      <c r="O153" s="2211"/>
      <c r="P153" s="2211"/>
      <c r="Q153" s="2211"/>
      <c r="R153" s="2211"/>
      <c r="S153" s="2211"/>
      <c r="T153" s="2211"/>
      <c r="U153" s="2211"/>
      <c r="V153" s="2211"/>
      <c r="W153" s="2211"/>
      <c r="X153" s="2211"/>
      <c r="Y153" s="2211"/>
      <c r="Z153" s="2211"/>
      <c r="AA153" s="2211"/>
      <c r="AB153" s="2212"/>
      <c r="AC153" s="2212"/>
      <c r="AD153" s="2212"/>
      <c r="AE153" s="2212"/>
      <c r="AF153" s="2212"/>
      <c r="AG153" s="2212"/>
      <c r="AH153" s="2212"/>
      <c r="AI153" s="2212"/>
      <c r="AJ153" s="2212"/>
      <c r="AK153" s="2212"/>
      <c r="AL153" s="2212"/>
      <c r="AM153" s="2212"/>
      <c r="AN153" s="2212"/>
      <c r="AO153" s="2212"/>
      <c r="AP153" s="2212"/>
      <c r="AQ153" s="2212"/>
      <c r="AR153" s="1797"/>
      <c r="AS153" s="1797"/>
      <c r="AT153" s="1797"/>
      <c r="AU153" s="1797"/>
      <c r="AV153" s="1797"/>
      <c r="AW153" s="1797"/>
      <c r="AX153" s="2105"/>
      <c r="AY153" s="2105"/>
      <c r="AZ153" s="2105"/>
      <c r="BA153" s="2105"/>
      <c r="BB153" s="2105"/>
      <c r="BC153" s="2105"/>
      <c r="BD153" s="2105"/>
      <c r="BE153" s="2105"/>
      <c r="BF153" s="2105"/>
      <c r="BG153" s="2105"/>
      <c r="BH153" s="2105"/>
      <c r="BI153" s="2105"/>
      <c r="BJ153" s="2105"/>
      <c r="BK153" s="2105"/>
      <c r="BL153" s="2105"/>
      <c r="BM153" s="2105"/>
      <c r="BN153" s="2105"/>
      <c r="BO153" s="2105"/>
      <c r="BP153" s="2105"/>
      <c r="BQ153" s="2105"/>
      <c r="BR153" s="2105"/>
      <c r="BS153" s="2105"/>
      <c r="BT153" s="2105"/>
      <c r="BU153" s="1080"/>
      <c r="BV153" s="732"/>
      <c r="BW153" s="1952"/>
      <c r="BX153" s="1952"/>
      <c r="BY153" s="1952"/>
      <c r="BZ153" s="1952"/>
      <c r="CA153" s="1952"/>
      <c r="CB153" s="1952"/>
      <c r="CC153" s="1952"/>
      <c r="CD153" s="1952"/>
      <c r="CE153" s="1952"/>
      <c r="CF153" s="1952"/>
      <c r="CG153" s="1952"/>
      <c r="CH153" s="1952"/>
      <c r="CI153" s="1952"/>
      <c r="CJ153" s="1952"/>
      <c r="CK153" s="1952"/>
      <c r="CL153" s="1952"/>
      <c r="CM153" s="1952"/>
      <c r="CN153" s="1952"/>
      <c r="CO153" s="1952"/>
      <c r="CP153" s="1952"/>
      <c r="CQ153" s="1952"/>
      <c r="CR153" s="1952"/>
      <c r="CS153" s="1952"/>
      <c r="CT153" s="732"/>
      <c r="CU153" s="733"/>
      <c r="CV153" s="398"/>
      <c r="CW153" s="398"/>
      <c r="CX153" s="398"/>
      <c r="CY153" s="398"/>
      <c r="CZ153" s="398"/>
      <c r="DA153" s="398"/>
      <c r="DB153" s="398"/>
      <c r="DC153" s="35"/>
      <c r="DD153" s="36"/>
      <c r="DE153" s="36"/>
      <c r="DF153" s="178"/>
      <c r="DG153" s="178"/>
      <c r="DH153" s="178"/>
      <c r="DI153" s="178"/>
      <c r="DJ153" s="178"/>
      <c r="DK153" s="1068"/>
      <c r="DL153" s="1046"/>
      <c r="DM153" s="381"/>
      <c r="DN153" s="166" t="s">
        <v>2493</v>
      </c>
      <c r="DO153" s="171"/>
      <c r="DP153" s="171"/>
      <c r="DQ153" s="171"/>
      <c r="EG153" s="167"/>
      <c r="EH153" s="167"/>
      <c r="EI153" s="167"/>
      <c r="EJ153" s="167"/>
      <c r="EK153" s="167"/>
      <c r="FO153" s="1046"/>
      <c r="FV153" s="167"/>
      <c r="FW153" s="167"/>
      <c r="FX153" s="167"/>
      <c r="FY153" s="167"/>
      <c r="FZ153" s="167"/>
      <c r="GA153" s="171"/>
    </row>
    <row r="154" spans="1:183" s="172" customFormat="1" ht="27" customHeight="1" thickBot="1">
      <c r="A154" s="645"/>
      <c r="B154" s="645"/>
      <c r="C154" s="645"/>
      <c r="D154" s="645"/>
      <c r="E154" s="646"/>
      <c r="F154" s="381"/>
      <c r="G154" s="381"/>
      <c r="H154" s="381"/>
      <c r="I154" s="16"/>
      <c r="J154" s="253"/>
      <c r="K154" s="254"/>
      <c r="L154" s="254"/>
      <c r="M154" s="1866" t="s">
        <v>744</v>
      </c>
      <c r="N154" s="1958"/>
      <c r="O154" s="1958"/>
      <c r="P154" s="1958"/>
      <c r="Q154" s="1958"/>
      <c r="R154" s="1958"/>
      <c r="S154" s="1958"/>
      <c r="T154" s="1958"/>
      <c r="U154" s="1958"/>
      <c r="V154" s="1958"/>
      <c r="W154" s="1958"/>
      <c r="X154" s="1958"/>
      <c r="Y154" s="1958"/>
      <c r="Z154" s="1958"/>
      <c r="AA154" s="1958"/>
      <c r="AB154" s="2223"/>
      <c r="AC154" s="2224"/>
      <c r="AD154" s="2224"/>
      <c r="AE154" s="2202"/>
      <c r="AF154" s="2202"/>
      <c r="AG154" s="2203"/>
      <c r="AH154" s="608" t="s">
        <v>12</v>
      </c>
      <c r="AI154" s="609"/>
      <c r="AJ154" s="1854"/>
      <c r="AK154" s="1854"/>
      <c r="AL154" s="1854"/>
      <c r="AM154" s="892" t="s">
        <v>383</v>
      </c>
      <c r="AN154" s="892"/>
      <c r="AO154" s="1854"/>
      <c r="AP154" s="1854"/>
      <c r="AQ154" s="1854"/>
      <c r="AR154" s="898" t="s">
        <v>171</v>
      </c>
      <c r="AS154" s="898"/>
      <c r="AT154" s="898"/>
      <c r="AU154" s="898"/>
      <c r="AV154" s="898"/>
      <c r="AW154" s="898"/>
      <c r="AX154" s="898"/>
      <c r="AY154" s="898"/>
      <c r="AZ154" s="898"/>
      <c r="BA154" s="898"/>
      <c r="BB154" s="898"/>
      <c r="BC154" s="898"/>
      <c r="BD154" s="898"/>
      <c r="BE154" s="898"/>
      <c r="BF154" s="898"/>
      <c r="BG154" s="898"/>
      <c r="BH154" s="898"/>
      <c r="BI154" s="898"/>
      <c r="BJ154" s="898"/>
      <c r="BK154" s="898"/>
      <c r="BL154" s="898"/>
      <c r="BM154" s="898"/>
      <c r="BN154" s="898"/>
      <c r="BO154" s="898"/>
      <c r="BP154" s="898"/>
      <c r="BQ154" s="898"/>
      <c r="BR154" s="898"/>
      <c r="BS154" s="898"/>
      <c r="BT154" s="898"/>
      <c r="BU154" s="1080"/>
      <c r="BV154" s="732"/>
      <c r="BW154" s="1952"/>
      <c r="BX154" s="1952"/>
      <c r="BY154" s="1952"/>
      <c r="BZ154" s="1952"/>
      <c r="CA154" s="1952"/>
      <c r="CB154" s="1952"/>
      <c r="CC154" s="1952"/>
      <c r="CD154" s="1952"/>
      <c r="CE154" s="1952"/>
      <c r="CF154" s="1952"/>
      <c r="CG154" s="1952"/>
      <c r="CH154" s="1952"/>
      <c r="CI154" s="1952"/>
      <c r="CJ154" s="1952"/>
      <c r="CK154" s="1952"/>
      <c r="CL154" s="1952"/>
      <c r="CM154" s="1952"/>
      <c r="CN154" s="1952"/>
      <c r="CO154" s="1952"/>
      <c r="CP154" s="1952"/>
      <c r="CQ154" s="1952"/>
      <c r="CR154" s="1952"/>
      <c r="CS154" s="1952"/>
      <c r="CT154" s="732"/>
      <c r="CU154" s="733"/>
      <c r="CV154" s="398"/>
      <c r="CW154" s="398"/>
      <c r="CX154" s="398"/>
      <c r="CY154" s="398"/>
      <c r="CZ154" s="398"/>
      <c r="DA154" s="398"/>
      <c r="DB154" s="398"/>
      <c r="DC154" s="35"/>
      <c r="DD154" s="36"/>
      <c r="DE154" s="36"/>
      <c r="DF154" s="178"/>
      <c r="DG154" s="178"/>
      <c r="DH154" s="178"/>
      <c r="DI154" s="178"/>
      <c r="DJ154" s="178"/>
      <c r="DK154" s="1039"/>
      <c r="DL154" s="1046"/>
      <c r="DM154" s="381"/>
      <c r="DN154" s="177">
        <f>COUNTBLANK(AB154:AQ154)</f>
        <v>14</v>
      </c>
      <c r="DO154" s="171"/>
      <c r="DP154" s="171"/>
      <c r="DQ154" s="171"/>
      <c r="EG154" s="167"/>
      <c r="EH154" s="167"/>
      <c r="EI154" s="167"/>
      <c r="EJ154" s="167"/>
      <c r="EK154" s="167"/>
      <c r="FO154" s="1046"/>
      <c r="FV154" s="167"/>
      <c r="FW154" s="167"/>
      <c r="FX154" s="167"/>
      <c r="FY154" s="167"/>
      <c r="FZ154" s="167"/>
      <c r="GA154" s="171"/>
    </row>
    <row r="155" spans="1:183" ht="27" customHeight="1">
      <c r="A155" s="645"/>
      <c r="B155" s="645"/>
      <c r="C155" s="645"/>
      <c r="D155" s="645"/>
      <c r="E155" s="646"/>
      <c r="J155" s="252"/>
      <c r="K155" s="1087"/>
      <c r="L155" s="1087"/>
      <c r="M155" s="1866" t="s">
        <v>1089</v>
      </c>
      <c r="N155" s="1958"/>
      <c r="O155" s="1958"/>
      <c r="P155" s="1958"/>
      <c r="Q155" s="1958"/>
      <c r="R155" s="1958"/>
      <c r="S155" s="1958"/>
      <c r="T155" s="1958"/>
      <c r="U155" s="1958"/>
      <c r="V155" s="1958"/>
      <c r="W155" s="1958"/>
      <c r="X155" s="1958"/>
      <c r="Y155" s="1958"/>
      <c r="Z155" s="1958"/>
      <c r="AA155" s="1958"/>
      <c r="AB155" s="2243"/>
      <c r="AC155" s="2243"/>
      <c r="AD155" s="2243"/>
      <c r="AE155" s="2243"/>
      <c r="AF155" s="2243"/>
      <c r="AG155" s="2243"/>
      <c r="AH155" s="2243"/>
      <c r="AI155" s="2243"/>
      <c r="AJ155" s="2243"/>
      <c r="AK155" s="2243"/>
      <c r="AL155" s="2243"/>
      <c r="AM155" s="2243"/>
      <c r="AN155" s="2243"/>
      <c r="AO155" s="2243"/>
      <c r="AP155" s="2243"/>
      <c r="AQ155" s="2243"/>
      <c r="AR155" s="1088" t="s">
        <v>2412</v>
      </c>
      <c r="AS155" s="1089"/>
      <c r="AT155" s="1088"/>
      <c r="AU155" s="1089"/>
      <c r="AV155" s="1089"/>
      <c r="AW155" s="1089"/>
      <c r="AX155" s="1089"/>
      <c r="AY155" s="1089"/>
      <c r="AZ155" s="1089"/>
      <c r="BA155" s="1089"/>
      <c r="BB155" s="1089"/>
      <c r="BC155" s="1089"/>
      <c r="BD155" s="1089"/>
      <c r="BE155" s="1089"/>
      <c r="BF155" s="1089"/>
      <c r="BG155" s="1089"/>
      <c r="BH155" s="1089"/>
      <c r="BI155" s="1089"/>
      <c r="BJ155" s="1089"/>
      <c r="BK155" s="1089"/>
      <c r="BL155" s="266"/>
      <c r="BM155" s="265"/>
      <c r="BN155" s="265"/>
      <c r="BO155" s="265"/>
      <c r="BP155" s="265"/>
      <c r="BQ155" s="265"/>
      <c r="BR155" s="265"/>
      <c r="BS155" s="265"/>
      <c r="BT155" s="265"/>
      <c r="BU155" s="1062"/>
      <c r="BV155" s="732"/>
      <c r="BW155" s="732"/>
      <c r="BX155" s="732"/>
      <c r="BY155" s="732"/>
      <c r="BZ155" s="732"/>
      <c r="CA155" s="732"/>
      <c r="CB155" s="732"/>
      <c r="CC155" s="732"/>
      <c r="CD155" s="732"/>
      <c r="CE155" s="732"/>
      <c r="CF155" s="732"/>
      <c r="CG155" s="732"/>
      <c r="CH155" s="732"/>
      <c r="CI155" s="732"/>
      <c r="CJ155" s="732"/>
      <c r="CK155" s="732"/>
      <c r="CL155" s="732"/>
      <c r="CM155" s="732"/>
      <c r="CN155" s="732"/>
      <c r="CO155" s="732"/>
      <c r="CP155" s="732"/>
      <c r="CQ155" s="732"/>
      <c r="CR155" s="732"/>
      <c r="CS155" s="732"/>
      <c r="CT155" s="732"/>
      <c r="CU155" s="733"/>
      <c r="DD155" s="36"/>
      <c r="DE155" s="36"/>
      <c r="DF155" s="178"/>
      <c r="DG155" s="178"/>
      <c r="DH155" s="178"/>
      <c r="DI155" s="178"/>
      <c r="DJ155" s="178"/>
      <c r="DM155" s="381"/>
      <c r="EG155" s="172"/>
      <c r="EH155" s="172"/>
      <c r="EI155" s="172"/>
      <c r="EJ155" s="172"/>
      <c r="EK155" s="172"/>
      <c r="FV155" s="172"/>
      <c r="FW155" s="172"/>
      <c r="FX155" s="172"/>
      <c r="FY155" s="172"/>
      <c r="FZ155" s="172"/>
    </row>
    <row r="156" spans="1:183" s="172" customFormat="1" ht="27" customHeight="1" thickBot="1">
      <c r="A156" s="645"/>
      <c r="B156" s="645"/>
      <c r="C156" s="645"/>
      <c r="D156" s="645"/>
      <c r="E156" s="646"/>
      <c r="F156" s="381"/>
      <c r="G156" s="381"/>
      <c r="H156" s="381"/>
      <c r="I156" s="16"/>
      <c r="J156" s="253"/>
      <c r="K156" s="254"/>
      <c r="L156" s="254"/>
      <c r="M156" s="2185" t="s">
        <v>745</v>
      </c>
      <c r="N156" s="2211"/>
      <c r="O156" s="2211"/>
      <c r="P156" s="2211"/>
      <c r="Q156" s="2211"/>
      <c r="R156" s="2211"/>
      <c r="S156" s="2211"/>
      <c r="T156" s="2211"/>
      <c r="U156" s="2211"/>
      <c r="V156" s="2211"/>
      <c r="W156" s="2211"/>
      <c r="X156" s="2211"/>
      <c r="Y156" s="2211"/>
      <c r="Z156" s="2211"/>
      <c r="AA156" s="2211"/>
      <c r="AB156" s="1797"/>
      <c r="AC156" s="1797"/>
      <c r="AD156" s="1797"/>
      <c r="AE156" s="1797"/>
      <c r="AF156" s="1797"/>
      <c r="AG156" s="1797"/>
      <c r="AH156" s="1797"/>
      <c r="AI156" s="1797"/>
      <c r="AJ156" s="1797"/>
      <c r="AK156" s="1797"/>
      <c r="AL156" s="1797"/>
      <c r="AM156" s="1797"/>
      <c r="AN156" s="1797"/>
      <c r="AO156" s="1797"/>
      <c r="AP156" s="1797"/>
      <c r="AQ156" s="1797"/>
      <c r="AR156" s="1797"/>
      <c r="AS156" s="1797"/>
      <c r="AT156" s="1797"/>
      <c r="AU156" s="1797"/>
      <c r="AV156" s="1797"/>
      <c r="AW156" s="1797"/>
      <c r="AX156" s="2105"/>
      <c r="AY156" s="2105"/>
      <c r="AZ156" s="2105"/>
      <c r="BA156" s="2105"/>
      <c r="BB156" s="2105"/>
      <c r="BC156" s="2105"/>
      <c r="BD156" s="2105"/>
      <c r="BE156" s="2105"/>
      <c r="BF156" s="2105"/>
      <c r="BG156" s="2105"/>
      <c r="BH156" s="2105"/>
      <c r="BI156" s="2105"/>
      <c r="BJ156" s="2105"/>
      <c r="BK156" s="2105"/>
      <c r="BL156" s="2105"/>
      <c r="BM156" s="2105"/>
      <c r="BN156" s="2105"/>
      <c r="BO156" s="2105"/>
      <c r="BP156" s="2105"/>
      <c r="BQ156" s="2105"/>
      <c r="BR156" s="2105"/>
      <c r="BS156" s="2105"/>
      <c r="BT156" s="2105"/>
      <c r="BU156" s="1080"/>
      <c r="BV156" s="1062"/>
      <c r="BW156" s="1080"/>
      <c r="BX156" s="1080"/>
      <c r="BY156" s="734"/>
      <c r="BZ156" s="734"/>
      <c r="CA156" s="734"/>
      <c r="CB156" s="734"/>
      <c r="CC156" s="734"/>
      <c r="CD156" s="734"/>
      <c r="CE156" s="734"/>
      <c r="CF156" s="734"/>
      <c r="CG156" s="734"/>
      <c r="CH156" s="734"/>
      <c r="CI156" s="734"/>
      <c r="CJ156" s="734"/>
      <c r="CK156" s="734"/>
      <c r="CL156" s="734"/>
      <c r="CM156" s="734"/>
      <c r="CN156" s="903"/>
      <c r="CO156" s="903"/>
      <c r="CP156" s="903"/>
      <c r="CQ156" s="903"/>
      <c r="CR156" s="903"/>
      <c r="CS156" s="903"/>
      <c r="CT156" s="903"/>
      <c r="CU156" s="720"/>
      <c r="CV156" s="398"/>
      <c r="CW156" s="398"/>
      <c r="CX156" s="398"/>
      <c r="CY156" s="398"/>
      <c r="CZ156" s="398"/>
      <c r="DA156" s="398"/>
      <c r="DB156" s="398"/>
      <c r="DC156" s="35"/>
      <c r="DD156" s="36"/>
      <c r="DE156" s="36"/>
      <c r="DF156" s="178"/>
      <c r="DG156" s="178"/>
      <c r="DH156" s="178"/>
      <c r="DI156" s="178"/>
      <c r="DJ156" s="178"/>
      <c r="DK156" s="1068"/>
      <c r="DL156" s="1046"/>
      <c r="DM156" s="381"/>
      <c r="DN156" s="166" t="s">
        <v>2493</v>
      </c>
      <c r="DO156" s="171"/>
      <c r="DP156" s="171"/>
      <c r="DQ156" s="171"/>
      <c r="FO156" s="1046"/>
      <c r="GA156" s="171"/>
    </row>
    <row r="157" spans="1:183" s="172" customFormat="1" ht="27" customHeight="1" thickBot="1">
      <c r="A157" s="645"/>
      <c r="B157" s="645"/>
      <c r="C157" s="645"/>
      <c r="D157" s="645"/>
      <c r="E157" s="646"/>
      <c r="F157" s="381"/>
      <c r="G157" s="381"/>
      <c r="H157" s="381"/>
      <c r="I157" s="16"/>
      <c r="J157" s="253"/>
      <c r="K157" s="254"/>
      <c r="L157" s="254"/>
      <c r="M157" s="1960" t="s">
        <v>744</v>
      </c>
      <c r="N157" s="1961"/>
      <c r="O157" s="1961"/>
      <c r="P157" s="1961"/>
      <c r="Q157" s="1961"/>
      <c r="R157" s="1961"/>
      <c r="S157" s="1961"/>
      <c r="T157" s="1961"/>
      <c r="U157" s="1961"/>
      <c r="V157" s="1961"/>
      <c r="W157" s="1961"/>
      <c r="X157" s="1961"/>
      <c r="Y157" s="1961"/>
      <c r="Z157" s="1961"/>
      <c r="AA157" s="1961"/>
      <c r="AB157" s="2223"/>
      <c r="AC157" s="2224"/>
      <c r="AD157" s="2224"/>
      <c r="AE157" s="2202"/>
      <c r="AF157" s="2202"/>
      <c r="AG157" s="2203"/>
      <c r="AH157" s="608" t="s">
        <v>12</v>
      </c>
      <c r="AI157" s="609"/>
      <c r="AJ157" s="1854"/>
      <c r="AK157" s="1854"/>
      <c r="AL157" s="1854"/>
      <c r="AM157" s="892" t="s">
        <v>383</v>
      </c>
      <c r="AN157" s="892"/>
      <c r="AO157" s="1854"/>
      <c r="AP157" s="1854"/>
      <c r="AQ157" s="1854"/>
      <c r="AR157" s="898" t="s">
        <v>171</v>
      </c>
      <c r="AS157" s="898"/>
      <c r="AT157" s="898"/>
      <c r="AU157" s="898"/>
      <c r="AV157" s="898"/>
      <c r="AW157" s="898"/>
      <c r="AX157" s="898"/>
      <c r="AY157" s="898"/>
      <c r="AZ157" s="898"/>
      <c r="BA157" s="898"/>
      <c r="BB157" s="898"/>
      <c r="BC157" s="898"/>
      <c r="BD157" s="898"/>
      <c r="BE157" s="898"/>
      <c r="BF157" s="898"/>
      <c r="BG157" s="898"/>
      <c r="BH157" s="898"/>
      <c r="BI157" s="898"/>
      <c r="BJ157" s="898"/>
      <c r="BK157" s="898"/>
      <c r="BL157" s="898"/>
      <c r="BM157" s="898"/>
      <c r="BN157" s="898"/>
      <c r="BO157" s="898"/>
      <c r="BP157" s="898"/>
      <c r="BQ157" s="898"/>
      <c r="BR157" s="898"/>
      <c r="BS157" s="898"/>
      <c r="BT157" s="898"/>
      <c r="BU157" s="1080"/>
      <c r="BV157" s="1062"/>
      <c r="BW157" s="1080"/>
      <c r="BX157" s="1080"/>
      <c r="BY157" s="734"/>
      <c r="BZ157" s="734"/>
      <c r="CA157" s="734"/>
      <c r="CB157" s="734"/>
      <c r="CC157" s="734"/>
      <c r="CD157" s="734"/>
      <c r="CE157" s="734"/>
      <c r="CF157" s="734"/>
      <c r="CG157" s="734"/>
      <c r="CH157" s="734"/>
      <c r="CI157" s="734"/>
      <c r="CJ157" s="734"/>
      <c r="CK157" s="734"/>
      <c r="CL157" s="734"/>
      <c r="CM157" s="734"/>
      <c r="CN157" s="1080"/>
      <c r="CO157" s="1080"/>
      <c r="CP157" s="1080"/>
      <c r="CQ157" s="1080"/>
      <c r="CR157" s="1091"/>
      <c r="CS157" s="1091"/>
      <c r="CT157" s="1091"/>
      <c r="CU157" s="1092"/>
      <c r="CV157" s="1074"/>
      <c r="CW157" s="1074"/>
      <c r="CX157" s="1074"/>
      <c r="CY157" s="1074"/>
      <c r="CZ157" s="1074"/>
      <c r="DA157" s="1074"/>
      <c r="DB157" s="1074"/>
      <c r="DC157" s="369"/>
      <c r="DD157" s="1074"/>
      <c r="DE157" s="1074"/>
      <c r="DF157" s="1075"/>
      <c r="DG157" s="1075"/>
      <c r="DH157" s="178"/>
      <c r="DI157" s="178"/>
      <c r="DJ157" s="178"/>
      <c r="DK157" s="1039"/>
      <c r="DL157" s="1046"/>
      <c r="DM157" s="381"/>
      <c r="DN157" s="177">
        <f>COUNTBLANK(AB157:AQ157)</f>
        <v>14</v>
      </c>
      <c r="DO157" s="171"/>
      <c r="DP157" s="171"/>
      <c r="DQ157" s="171"/>
      <c r="FO157" s="1046"/>
      <c r="GA157" s="171"/>
    </row>
    <row r="158" spans="1:183" ht="27" customHeight="1">
      <c r="A158" s="645"/>
      <c r="B158" s="645"/>
      <c r="C158" s="645"/>
      <c r="D158" s="645"/>
      <c r="E158" s="646"/>
      <c r="J158" s="252"/>
      <c r="K158" s="1087"/>
      <c r="L158" s="1087"/>
      <c r="M158" s="1866" t="s">
        <v>1089</v>
      </c>
      <c r="N158" s="1958"/>
      <c r="O158" s="1958"/>
      <c r="P158" s="1958"/>
      <c r="Q158" s="1958"/>
      <c r="R158" s="1958"/>
      <c r="S158" s="1958"/>
      <c r="T158" s="1958"/>
      <c r="U158" s="1958"/>
      <c r="V158" s="1958"/>
      <c r="W158" s="1958"/>
      <c r="X158" s="1958"/>
      <c r="Y158" s="1958"/>
      <c r="Z158" s="1958"/>
      <c r="AA158" s="1958"/>
      <c r="AB158" s="2217"/>
      <c r="AC158" s="2217"/>
      <c r="AD158" s="2217"/>
      <c r="AE158" s="2217"/>
      <c r="AF158" s="2217"/>
      <c r="AG158" s="2217"/>
      <c r="AH158" s="2217"/>
      <c r="AI158" s="2217"/>
      <c r="AJ158" s="2217"/>
      <c r="AK158" s="2217"/>
      <c r="AL158" s="2217"/>
      <c r="AM158" s="2217"/>
      <c r="AN158" s="2217"/>
      <c r="AO158" s="2217"/>
      <c r="AP158" s="2217"/>
      <c r="AQ158" s="2217"/>
      <c r="AR158" s="1088" t="s">
        <v>2412</v>
      </c>
      <c r="AS158" s="1089"/>
      <c r="AT158" s="1088"/>
      <c r="AU158" s="1089"/>
      <c r="AV158" s="1089"/>
      <c r="AW158" s="1089"/>
      <c r="AX158" s="1089"/>
      <c r="AY158" s="1089"/>
      <c r="AZ158" s="1089"/>
      <c r="BA158" s="1089"/>
      <c r="BB158" s="1089"/>
      <c r="BC158" s="1089"/>
      <c r="BD158" s="1089"/>
      <c r="BE158" s="1089"/>
      <c r="BF158" s="1089"/>
      <c r="BG158" s="1089"/>
      <c r="BH158" s="1089"/>
      <c r="BI158" s="1089"/>
      <c r="BJ158" s="1089"/>
      <c r="BK158" s="1089"/>
      <c r="BL158" s="264"/>
      <c r="BM158" s="265"/>
      <c r="BN158" s="265"/>
      <c r="BO158" s="265"/>
      <c r="BP158" s="265"/>
      <c r="BQ158" s="265"/>
      <c r="BR158" s="265"/>
      <c r="BS158" s="265"/>
      <c r="BT158" s="265"/>
      <c r="BU158" s="1062"/>
      <c r="BV158" s="903"/>
      <c r="BW158" s="903"/>
      <c r="BX158" s="903"/>
      <c r="BY158" s="903"/>
      <c r="BZ158" s="903"/>
      <c r="CA158" s="903"/>
      <c r="CB158" s="903"/>
      <c r="CC158" s="903"/>
      <c r="CD158" s="903"/>
      <c r="CE158" s="903"/>
      <c r="CF158" s="903"/>
      <c r="CG158" s="903"/>
      <c r="CH158" s="903"/>
      <c r="CI158" s="903"/>
      <c r="CJ158" s="903"/>
      <c r="CK158" s="903"/>
      <c r="CL158" s="903"/>
      <c r="CM158" s="903"/>
      <c r="CN158" s="903"/>
      <c r="CO158" s="903"/>
      <c r="CP158" s="903"/>
      <c r="CQ158" s="903"/>
      <c r="CR158" s="903"/>
      <c r="CS158" s="903"/>
      <c r="CT158" s="903"/>
      <c r="CU158" s="720"/>
      <c r="DD158" s="36"/>
      <c r="DE158" s="36"/>
      <c r="DF158" s="178"/>
      <c r="DG158" s="178"/>
      <c r="DH158" s="178"/>
      <c r="DI158" s="178"/>
      <c r="DJ158" s="178"/>
      <c r="DM158" s="381"/>
      <c r="EG158" s="172"/>
      <c r="EH158" s="172"/>
      <c r="EI158" s="172"/>
      <c r="EJ158" s="172"/>
      <c r="EK158" s="172"/>
      <c r="FV158" s="172"/>
      <c r="FW158" s="172"/>
      <c r="FX158" s="172"/>
      <c r="FY158" s="172"/>
      <c r="FZ158" s="172"/>
    </row>
    <row r="159" spans="1:183" s="172" customFormat="1" ht="27" customHeight="1" thickBot="1">
      <c r="A159" s="645"/>
      <c r="B159" s="645"/>
      <c r="C159" s="645"/>
      <c r="D159" s="645"/>
      <c r="E159" s="646"/>
      <c r="F159" s="381"/>
      <c r="G159" s="381"/>
      <c r="H159" s="381"/>
      <c r="I159" s="16"/>
      <c r="J159" s="253"/>
      <c r="K159" s="254"/>
      <c r="L159" s="254"/>
      <c r="M159" s="2185" t="s">
        <v>745</v>
      </c>
      <c r="N159" s="2211"/>
      <c r="O159" s="2211"/>
      <c r="P159" s="2211"/>
      <c r="Q159" s="2211"/>
      <c r="R159" s="2211"/>
      <c r="S159" s="2211"/>
      <c r="T159" s="2211"/>
      <c r="U159" s="2211"/>
      <c r="V159" s="2211"/>
      <c r="W159" s="2211"/>
      <c r="X159" s="2211"/>
      <c r="Y159" s="2211"/>
      <c r="Z159" s="2211"/>
      <c r="AA159" s="2211"/>
      <c r="AB159" s="1797"/>
      <c r="AC159" s="1797"/>
      <c r="AD159" s="1797"/>
      <c r="AE159" s="1797"/>
      <c r="AF159" s="1797"/>
      <c r="AG159" s="1797"/>
      <c r="AH159" s="1797"/>
      <c r="AI159" s="1797"/>
      <c r="AJ159" s="1797"/>
      <c r="AK159" s="1797"/>
      <c r="AL159" s="1797"/>
      <c r="AM159" s="1797"/>
      <c r="AN159" s="1797"/>
      <c r="AO159" s="1797"/>
      <c r="AP159" s="1797"/>
      <c r="AQ159" s="1797"/>
      <c r="AR159" s="1797"/>
      <c r="AS159" s="1797"/>
      <c r="AT159" s="1797"/>
      <c r="AU159" s="1797"/>
      <c r="AV159" s="1797"/>
      <c r="AW159" s="1797"/>
      <c r="AX159" s="2105"/>
      <c r="AY159" s="2105"/>
      <c r="AZ159" s="2105"/>
      <c r="BA159" s="2105"/>
      <c r="BB159" s="2105"/>
      <c r="BC159" s="2105"/>
      <c r="BD159" s="2105"/>
      <c r="BE159" s="2105"/>
      <c r="BF159" s="2105"/>
      <c r="BG159" s="2105"/>
      <c r="BH159" s="2105"/>
      <c r="BI159" s="2105"/>
      <c r="BJ159" s="2105"/>
      <c r="BK159" s="2105"/>
      <c r="BL159" s="2105"/>
      <c r="BM159" s="2105"/>
      <c r="BN159" s="2105"/>
      <c r="BO159" s="2105"/>
      <c r="BP159" s="2105"/>
      <c r="BQ159" s="2105"/>
      <c r="BR159" s="2105"/>
      <c r="BS159" s="2105"/>
      <c r="BT159" s="2105"/>
      <c r="BU159" s="1080"/>
      <c r="BV159" s="1062"/>
      <c r="BW159" s="1080"/>
      <c r="BX159" s="1080"/>
      <c r="BY159" s="1080"/>
      <c r="BZ159" s="1080"/>
      <c r="CA159" s="1080"/>
      <c r="CB159" s="1080"/>
      <c r="CC159" s="1080"/>
      <c r="CD159" s="1080"/>
      <c r="CE159" s="1080"/>
      <c r="CF159" s="1080"/>
      <c r="CG159" s="1080"/>
      <c r="CH159" s="1080"/>
      <c r="CI159" s="1080"/>
      <c r="CJ159" s="1080"/>
      <c r="CK159" s="1080"/>
      <c r="CL159" s="1080"/>
      <c r="CM159" s="1080"/>
      <c r="CN159" s="903"/>
      <c r="CO159" s="903"/>
      <c r="CP159" s="903"/>
      <c r="CQ159" s="903"/>
      <c r="CR159" s="903"/>
      <c r="CS159" s="903"/>
      <c r="CT159" s="903"/>
      <c r="CU159" s="720"/>
      <c r="CV159" s="398"/>
      <c r="CW159" s="398"/>
      <c r="CX159" s="398"/>
      <c r="CY159" s="398"/>
      <c r="CZ159" s="398"/>
      <c r="DA159" s="398"/>
      <c r="DB159" s="398"/>
      <c r="DC159" s="35"/>
      <c r="DD159" s="36"/>
      <c r="DE159" s="36"/>
      <c r="DF159" s="178"/>
      <c r="DG159" s="178"/>
      <c r="DH159" s="178"/>
      <c r="DI159" s="178"/>
      <c r="DJ159" s="178"/>
      <c r="DK159" s="1068"/>
      <c r="DL159" s="1046"/>
      <c r="DM159" s="381"/>
      <c r="DN159" s="166" t="s">
        <v>2493</v>
      </c>
      <c r="DO159" s="171"/>
      <c r="DP159" s="171"/>
      <c r="DQ159" s="171"/>
      <c r="FO159" s="1046"/>
      <c r="GA159" s="171"/>
    </row>
    <row r="160" spans="1:183" s="172" customFormat="1" ht="27" customHeight="1" thickBot="1">
      <c r="A160" s="645"/>
      <c r="B160" s="645"/>
      <c r="C160" s="645"/>
      <c r="D160" s="645"/>
      <c r="E160" s="646"/>
      <c r="F160" s="381"/>
      <c r="G160" s="381"/>
      <c r="H160" s="381"/>
      <c r="I160" s="16"/>
      <c r="J160" s="253"/>
      <c r="K160" s="254"/>
      <c r="L160" s="254"/>
      <c r="M160" s="1960" t="s">
        <v>744</v>
      </c>
      <c r="N160" s="1961"/>
      <c r="O160" s="1961"/>
      <c r="P160" s="1961"/>
      <c r="Q160" s="1961"/>
      <c r="R160" s="1961"/>
      <c r="S160" s="1961"/>
      <c r="T160" s="1961"/>
      <c r="U160" s="1961"/>
      <c r="V160" s="1961"/>
      <c r="W160" s="1961"/>
      <c r="X160" s="1961"/>
      <c r="Y160" s="1961"/>
      <c r="Z160" s="1961"/>
      <c r="AA160" s="1961"/>
      <c r="AB160" s="2223"/>
      <c r="AC160" s="2224"/>
      <c r="AD160" s="2224"/>
      <c r="AE160" s="2202"/>
      <c r="AF160" s="2202"/>
      <c r="AG160" s="2203"/>
      <c r="AH160" s="608" t="s">
        <v>12</v>
      </c>
      <c r="AI160" s="609"/>
      <c r="AJ160" s="1854"/>
      <c r="AK160" s="1854"/>
      <c r="AL160" s="1854"/>
      <c r="AM160" s="892" t="s">
        <v>383</v>
      </c>
      <c r="AN160" s="892"/>
      <c r="AO160" s="1854"/>
      <c r="AP160" s="1854"/>
      <c r="AQ160" s="1854"/>
      <c r="AR160" s="898" t="s">
        <v>171</v>
      </c>
      <c r="AS160" s="898"/>
      <c r="AT160" s="898"/>
      <c r="AU160" s="898"/>
      <c r="AV160" s="898"/>
      <c r="AW160" s="898"/>
      <c r="AX160" s="898"/>
      <c r="AY160" s="898"/>
      <c r="AZ160" s="898"/>
      <c r="BA160" s="898"/>
      <c r="BB160" s="898"/>
      <c r="BC160" s="898"/>
      <c r="BD160" s="898"/>
      <c r="BE160" s="898"/>
      <c r="BF160" s="898"/>
      <c r="BG160" s="898"/>
      <c r="BH160" s="898"/>
      <c r="BI160" s="898"/>
      <c r="BJ160" s="898"/>
      <c r="BK160" s="898"/>
      <c r="BL160" s="898"/>
      <c r="BM160" s="898"/>
      <c r="BN160" s="898"/>
      <c r="BO160" s="898"/>
      <c r="BP160" s="898"/>
      <c r="BQ160" s="898"/>
      <c r="BR160" s="898"/>
      <c r="BS160" s="898"/>
      <c r="BT160" s="898"/>
      <c r="BU160" s="1080"/>
      <c r="BV160" s="903"/>
      <c r="BW160" s="903"/>
      <c r="BX160" s="903"/>
      <c r="BY160" s="1080"/>
      <c r="BZ160" s="1080"/>
      <c r="CA160" s="1080"/>
      <c r="CB160" s="1080"/>
      <c r="CC160" s="1080"/>
      <c r="CD160" s="1080"/>
      <c r="CE160" s="1080"/>
      <c r="CF160" s="1080"/>
      <c r="CG160" s="1080"/>
      <c r="CH160" s="1080"/>
      <c r="CI160" s="1080"/>
      <c r="CJ160" s="1080"/>
      <c r="CK160" s="1080"/>
      <c r="CL160" s="1080"/>
      <c r="CM160" s="1080"/>
      <c r="CN160" s="1080"/>
      <c r="CO160" s="1080"/>
      <c r="CP160" s="1080"/>
      <c r="CQ160" s="1080"/>
      <c r="CR160" s="1091"/>
      <c r="CS160" s="1091"/>
      <c r="CT160" s="1091"/>
      <c r="CU160" s="1092"/>
      <c r="CV160" s="1074"/>
      <c r="CW160" s="1074"/>
      <c r="CX160" s="1074"/>
      <c r="CY160" s="1074"/>
      <c r="CZ160" s="1074"/>
      <c r="DA160" s="1074"/>
      <c r="DB160" s="1074"/>
      <c r="DC160" s="369"/>
      <c r="DD160" s="1074"/>
      <c r="DE160" s="1074"/>
      <c r="DF160" s="1075"/>
      <c r="DG160" s="1075"/>
      <c r="DH160" s="1075"/>
      <c r="DI160" s="1075"/>
      <c r="DJ160" s="1075"/>
      <c r="DK160" s="1039"/>
      <c r="DL160" s="1046"/>
      <c r="DM160" s="381"/>
      <c r="DN160" s="177">
        <f>COUNTBLANK(AB160:AQ160)</f>
        <v>14</v>
      </c>
      <c r="DO160" s="171"/>
      <c r="DP160" s="171"/>
      <c r="DQ160" s="171"/>
      <c r="FO160" s="1046"/>
      <c r="GA160" s="171"/>
    </row>
    <row r="161" spans="1:183" ht="27" customHeight="1">
      <c r="A161" s="645"/>
      <c r="B161" s="645"/>
      <c r="C161" s="645"/>
      <c r="D161" s="645"/>
      <c r="E161" s="646"/>
      <c r="J161" s="252"/>
      <c r="K161" s="1087"/>
      <c r="L161" s="1087"/>
      <c r="M161" s="1866" t="s">
        <v>1089</v>
      </c>
      <c r="N161" s="1958"/>
      <c r="O161" s="1958"/>
      <c r="P161" s="1958"/>
      <c r="Q161" s="1958"/>
      <c r="R161" s="1958"/>
      <c r="S161" s="1958"/>
      <c r="T161" s="1958"/>
      <c r="U161" s="1958"/>
      <c r="V161" s="1958"/>
      <c r="W161" s="1958"/>
      <c r="X161" s="1958"/>
      <c r="Y161" s="1958"/>
      <c r="Z161" s="1958"/>
      <c r="AA161" s="1958"/>
      <c r="AB161" s="2217"/>
      <c r="AC161" s="2217"/>
      <c r="AD161" s="2217"/>
      <c r="AE161" s="2217"/>
      <c r="AF161" s="2217"/>
      <c r="AG161" s="2217"/>
      <c r="AH161" s="2217"/>
      <c r="AI161" s="2217"/>
      <c r="AJ161" s="2217"/>
      <c r="AK161" s="2217"/>
      <c r="AL161" s="2217"/>
      <c r="AM161" s="2217"/>
      <c r="AN161" s="2217"/>
      <c r="AO161" s="2217"/>
      <c r="AP161" s="2217"/>
      <c r="AQ161" s="2217"/>
      <c r="AR161" s="1088" t="s">
        <v>2412</v>
      </c>
      <c r="AS161" s="1089"/>
      <c r="AT161" s="1088"/>
      <c r="AU161" s="1089"/>
      <c r="AV161" s="1089"/>
      <c r="AW161" s="1089"/>
      <c r="AX161" s="1089"/>
      <c r="AY161" s="1089"/>
      <c r="AZ161" s="1089"/>
      <c r="BA161" s="1089"/>
      <c r="BB161" s="1089"/>
      <c r="BC161" s="1089"/>
      <c r="BD161" s="1089"/>
      <c r="BE161" s="1089"/>
      <c r="BF161" s="1089"/>
      <c r="BG161" s="1089"/>
      <c r="BH161" s="1089"/>
      <c r="BI161" s="1089"/>
      <c r="BJ161" s="1089"/>
      <c r="BK161" s="1089"/>
      <c r="BL161" s="264"/>
      <c r="BM161" s="265"/>
      <c r="BN161" s="265"/>
      <c r="BO161" s="265"/>
      <c r="BP161" s="265"/>
      <c r="BQ161" s="265"/>
      <c r="BR161" s="265"/>
      <c r="BS161" s="265"/>
      <c r="BT161" s="265"/>
      <c r="BU161" s="1062"/>
      <c r="BV161" s="903"/>
      <c r="BW161" s="903"/>
      <c r="BX161" s="903"/>
      <c r="BY161" s="903"/>
      <c r="BZ161" s="903"/>
      <c r="CA161" s="903"/>
      <c r="CB161" s="903"/>
      <c r="CC161" s="903"/>
      <c r="CD161" s="903"/>
      <c r="CE161" s="903"/>
      <c r="CF161" s="903"/>
      <c r="CG161" s="903"/>
      <c r="CH161" s="903"/>
      <c r="CI161" s="903"/>
      <c r="CJ161" s="903"/>
      <c r="CK161" s="903"/>
      <c r="CL161" s="903"/>
      <c r="CM161" s="903"/>
      <c r="CN161" s="903"/>
      <c r="CO161" s="903"/>
      <c r="CP161" s="903"/>
      <c r="CQ161" s="903"/>
      <c r="CR161" s="903"/>
      <c r="CS161" s="903"/>
      <c r="CT161" s="903"/>
      <c r="CU161" s="720"/>
      <c r="DD161" s="36"/>
      <c r="DE161" s="36"/>
      <c r="DF161" s="178"/>
      <c r="DG161" s="178"/>
      <c r="DH161" s="178"/>
      <c r="DI161" s="178"/>
      <c r="DJ161" s="178"/>
      <c r="DM161" s="381"/>
      <c r="EG161" s="172"/>
      <c r="EH161" s="172"/>
      <c r="EI161" s="172"/>
      <c r="EJ161" s="172"/>
      <c r="EK161" s="172"/>
      <c r="FV161" s="172"/>
      <c r="FW161" s="172"/>
      <c r="FX161" s="172"/>
      <c r="FY161" s="172"/>
      <c r="FZ161" s="172"/>
    </row>
    <row r="162" spans="1:183" s="172" customFormat="1" ht="27" customHeight="1" thickBot="1">
      <c r="A162" s="645"/>
      <c r="B162" s="645"/>
      <c r="C162" s="645"/>
      <c r="D162" s="645"/>
      <c r="E162" s="646"/>
      <c r="F162" s="381"/>
      <c r="G162" s="381"/>
      <c r="H162" s="381"/>
      <c r="I162" s="16"/>
      <c r="J162" s="255"/>
      <c r="K162" s="256"/>
      <c r="L162" s="256"/>
      <c r="M162" s="2147" t="s">
        <v>745</v>
      </c>
      <c r="N162" s="2311"/>
      <c r="O162" s="2311"/>
      <c r="P162" s="2311"/>
      <c r="Q162" s="2311"/>
      <c r="R162" s="2311"/>
      <c r="S162" s="2311"/>
      <c r="T162" s="2311"/>
      <c r="U162" s="2311"/>
      <c r="V162" s="2311"/>
      <c r="W162" s="2311"/>
      <c r="X162" s="2311"/>
      <c r="Y162" s="2311"/>
      <c r="Z162" s="2311"/>
      <c r="AA162" s="2311"/>
      <c r="AB162" s="2246"/>
      <c r="AC162" s="2246"/>
      <c r="AD162" s="2246"/>
      <c r="AE162" s="2246"/>
      <c r="AF162" s="2246"/>
      <c r="AG162" s="2246"/>
      <c r="AH162" s="2246"/>
      <c r="AI162" s="2246"/>
      <c r="AJ162" s="2246"/>
      <c r="AK162" s="2246"/>
      <c r="AL162" s="2246"/>
      <c r="AM162" s="2246"/>
      <c r="AN162" s="2246"/>
      <c r="AO162" s="2246"/>
      <c r="AP162" s="2246"/>
      <c r="AQ162" s="2246"/>
      <c r="AR162" s="2246"/>
      <c r="AS162" s="2246"/>
      <c r="AT162" s="2246"/>
      <c r="AU162" s="2246"/>
      <c r="AV162" s="2246"/>
      <c r="AW162" s="2246"/>
      <c r="AX162" s="2247"/>
      <c r="AY162" s="2247"/>
      <c r="AZ162" s="2247"/>
      <c r="BA162" s="2247"/>
      <c r="BB162" s="2247"/>
      <c r="BC162" s="2247"/>
      <c r="BD162" s="2247"/>
      <c r="BE162" s="2247"/>
      <c r="BF162" s="2247"/>
      <c r="BG162" s="2247"/>
      <c r="BH162" s="2247"/>
      <c r="BI162" s="2247"/>
      <c r="BJ162" s="2247"/>
      <c r="BK162" s="2247"/>
      <c r="BL162" s="2247"/>
      <c r="BM162" s="2247"/>
      <c r="BN162" s="2247"/>
      <c r="BO162" s="2247"/>
      <c r="BP162" s="2247"/>
      <c r="BQ162" s="2247"/>
      <c r="BR162" s="2247"/>
      <c r="BS162" s="2247"/>
      <c r="BT162" s="2247"/>
      <c r="BU162" s="1093"/>
      <c r="BV162" s="1067"/>
      <c r="BW162" s="1093"/>
      <c r="BX162" s="1093"/>
      <c r="BY162" s="1093"/>
      <c r="BZ162" s="1093"/>
      <c r="CA162" s="1093"/>
      <c r="CB162" s="1093"/>
      <c r="CC162" s="1093"/>
      <c r="CD162" s="1093"/>
      <c r="CE162" s="1093"/>
      <c r="CF162" s="1093"/>
      <c r="CG162" s="1093"/>
      <c r="CH162" s="1093"/>
      <c r="CI162" s="1093"/>
      <c r="CJ162" s="1093"/>
      <c r="CK162" s="1093"/>
      <c r="CL162" s="1093"/>
      <c r="CM162" s="1093"/>
      <c r="CN162" s="723"/>
      <c r="CO162" s="723"/>
      <c r="CP162" s="723"/>
      <c r="CQ162" s="723"/>
      <c r="CR162" s="723"/>
      <c r="CS162" s="723"/>
      <c r="CT162" s="723"/>
      <c r="CU162" s="724"/>
      <c r="CV162" s="398"/>
      <c r="CW162" s="398"/>
      <c r="CX162" s="398"/>
      <c r="CY162" s="398"/>
      <c r="CZ162" s="398"/>
      <c r="DA162" s="398"/>
      <c r="DB162" s="398"/>
      <c r="DC162" s="35"/>
      <c r="DD162" s="36"/>
      <c r="DE162" s="36"/>
      <c r="DF162" s="178"/>
      <c r="DG162" s="178"/>
      <c r="DH162" s="178"/>
      <c r="DI162" s="178"/>
      <c r="DJ162" s="178"/>
      <c r="DK162" s="1068"/>
      <c r="DL162" s="1046"/>
      <c r="DM162" s="381"/>
      <c r="DN162" s="171"/>
      <c r="DO162" s="171"/>
      <c r="DP162" s="171"/>
      <c r="DQ162" s="171"/>
      <c r="FO162" s="1046"/>
      <c r="GA162" s="171"/>
    </row>
    <row r="163" spans="1:183" ht="15" customHeight="1">
      <c r="A163" s="645"/>
      <c r="B163" s="645"/>
      <c r="C163" s="645"/>
      <c r="D163" s="645"/>
      <c r="E163" s="646"/>
      <c r="BU163" s="1044"/>
      <c r="DD163" s="36"/>
      <c r="DE163" s="36"/>
      <c r="DF163" s="36"/>
      <c r="DG163" s="36"/>
      <c r="DH163" s="36"/>
      <c r="DI163" s="36"/>
      <c r="DJ163" s="36"/>
      <c r="EG163" s="172"/>
      <c r="EH163" s="172"/>
      <c r="EI163" s="172"/>
      <c r="EJ163" s="172"/>
      <c r="EK163" s="172"/>
      <c r="FV163" s="172"/>
      <c r="FW163" s="172"/>
      <c r="FX163" s="172"/>
      <c r="FY163" s="172"/>
      <c r="FZ163" s="172"/>
    </row>
    <row r="164" spans="1:183" ht="2.15" customHeight="1">
      <c r="A164" s="645"/>
      <c r="B164" s="645"/>
      <c r="C164" s="645"/>
      <c r="D164" s="645"/>
      <c r="E164" s="646"/>
      <c r="BU164" s="1044"/>
      <c r="DD164" s="36"/>
      <c r="DE164" s="36"/>
      <c r="DF164" s="36"/>
      <c r="DG164" s="36"/>
      <c r="DH164" s="36"/>
      <c r="DI164" s="36"/>
      <c r="DJ164" s="36"/>
      <c r="EG164" s="172"/>
      <c r="EH164" s="172"/>
      <c r="EI164" s="172"/>
      <c r="EJ164" s="172"/>
      <c r="EK164" s="172"/>
      <c r="FV164" s="172"/>
      <c r="FW164" s="172"/>
      <c r="FX164" s="172"/>
      <c r="FY164" s="172"/>
      <c r="FZ164" s="172"/>
    </row>
    <row r="165" spans="1:183" ht="2.15" customHeight="1">
      <c r="A165" s="645"/>
      <c r="B165" s="645"/>
      <c r="C165" s="645"/>
      <c r="D165" s="645"/>
      <c r="E165" s="646"/>
      <c r="BU165" s="1044"/>
      <c r="DD165" s="36"/>
      <c r="DE165" s="36"/>
      <c r="DF165" s="36"/>
      <c r="DG165" s="36"/>
      <c r="DH165" s="36"/>
      <c r="DI165" s="36"/>
      <c r="DJ165" s="36"/>
      <c r="EG165" s="172"/>
      <c r="EH165" s="172"/>
      <c r="EI165" s="172"/>
      <c r="EJ165" s="172"/>
      <c r="EK165" s="172"/>
      <c r="FV165" s="172"/>
      <c r="FW165" s="172"/>
      <c r="FX165" s="172"/>
      <c r="FY165" s="172"/>
      <c r="FZ165" s="172"/>
    </row>
    <row r="166" spans="1:183" ht="2.15" customHeight="1" thickBot="1">
      <c r="A166" s="645"/>
      <c r="B166" s="645"/>
      <c r="C166" s="645"/>
      <c r="D166" s="645"/>
      <c r="E166" s="646"/>
      <c r="BU166" s="1044"/>
      <c r="DD166" s="36"/>
      <c r="DE166" s="36"/>
      <c r="DF166" s="36"/>
      <c r="DG166" s="36"/>
      <c r="DH166" s="36"/>
      <c r="DI166" s="36"/>
      <c r="DJ166" s="36"/>
      <c r="EG166" s="172"/>
      <c r="EH166" s="172"/>
      <c r="EI166" s="172"/>
      <c r="EJ166" s="172"/>
      <c r="EK166" s="172"/>
      <c r="FV166" s="172"/>
      <c r="FW166" s="172"/>
      <c r="FX166" s="172"/>
      <c r="FY166" s="172"/>
      <c r="FZ166" s="172"/>
    </row>
    <row r="167" spans="1:183" ht="35.15" customHeight="1">
      <c r="A167" s="645"/>
      <c r="B167" s="645"/>
      <c r="C167" s="645"/>
      <c r="D167" s="645"/>
      <c r="E167" s="646"/>
      <c r="J167" s="637" t="s">
        <v>1155</v>
      </c>
      <c r="K167" s="767"/>
      <c r="L167" s="767"/>
      <c r="M167" s="767"/>
      <c r="N167" s="767"/>
      <c r="O167" s="767"/>
      <c r="P167" s="767"/>
      <c r="Q167" s="767"/>
      <c r="R167" s="767"/>
      <c r="S167" s="767"/>
      <c r="T167" s="767"/>
      <c r="U167" s="767"/>
      <c r="V167" s="767"/>
      <c r="W167" s="767"/>
      <c r="X167" s="767"/>
      <c r="Y167" s="767"/>
      <c r="Z167" s="767"/>
      <c r="AA167" s="767"/>
      <c r="AB167" s="767"/>
      <c r="AC167" s="767"/>
      <c r="AD167" s="767"/>
      <c r="AE167" s="767"/>
      <c r="AF167" s="767"/>
      <c r="AG167" s="767"/>
      <c r="AH167" s="767"/>
      <c r="AI167" s="767"/>
      <c r="AJ167" s="767"/>
      <c r="AK167" s="767"/>
      <c r="AL167" s="767"/>
      <c r="AM167" s="767"/>
      <c r="AN167" s="767"/>
      <c r="AO167" s="767"/>
      <c r="AP167" s="767"/>
      <c r="AQ167" s="767"/>
      <c r="AR167" s="767"/>
      <c r="AS167" s="767"/>
      <c r="AT167" s="767"/>
      <c r="AU167" s="767"/>
      <c r="AV167" s="767"/>
      <c r="AW167" s="767"/>
      <c r="AX167" s="767"/>
      <c r="AY167" s="767"/>
      <c r="AZ167" s="767"/>
      <c r="BA167" s="767"/>
      <c r="BB167" s="767"/>
      <c r="BC167" s="767"/>
      <c r="BD167" s="767"/>
      <c r="BE167" s="767"/>
      <c r="BF167" s="767"/>
      <c r="BG167" s="767"/>
      <c r="BH167" s="767"/>
      <c r="BI167" s="639"/>
      <c r="BJ167" s="639"/>
      <c r="BK167" s="639"/>
      <c r="BL167" s="639"/>
      <c r="BM167" s="639"/>
      <c r="BN167" s="639"/>
      <c r="BO167" s="639"/>
      <c r="BP167" s="639"/>
      <c r="BQ167" s="639"/>
      <c r="BR167" s="639"/>
      <c r="BS167" s="639"/>
      <c r="BT167" s="910" t="s">
        <v>5682</v>
      </c>
      <c r="BU167" s="710"/>
      <c r="BV167" s="710"/>
      <c r="BW167" s="710"/>
      <c r="BX167" s="711"/>
      <c r="BY167" s="1085"/>
      <c r="BZ167" s="1085"/>
      <c r="CA167" s="1085"/>
      <c r="CB167" s="1085"/>
      <c r="CC167" s="1085"/>
      <c r="CD167" s="1085"/>
      <c r="CE167" s="1085"/>
      <c r="CF167" s="1085"/>
      <c r="CG167" s="1085"/>
      <c r="CH167" s="1085"/>
      <c r="CI167" s="1085"/>
      <c r="CJ167" s="1085"/>
      <c r="CK167" s="1085"/>
      <c r="CL167" s="1085"/>
      <c r="CM167" s="1085"/>
      <c r="CN167" s="711"/>
      <c r="CO167" s="711"/>
      <c r="CP167" s="711"/>
      <c r="CQ167" s="711"/>
      <c r="CR167" s="711"/>
      <c r="CS167" s="711"/>
      <c r="CT167" s="711"/>
      <c r="CU167" s="712"/>
      <c r="DD167" s="36"/>
      <c r="DE167" s="36"/>
      <c r="DF167" s="36"/>
      <c r="DG167" s="36"/>
      <c r="DH167" s="36"/>
      <c r="DI167" s="36"/>
      <c r="DJ167" s="36"/>
      <c r="EG167" s="172"/>
      <c r="EH167" s="172"/>
      <c r="EI167" s="172"/>
      <c r="EJ167" s="172"/>
      <c r="EK167" s="172"/>
      <c r="FV167" s="172"/>
      <c r="FW167" s="172"/>
      <c r="FX167" s="172"/>
      <c r="FY167" s="172"/>
      <c r="FZ167" s="172"/>
    </row>
    <row r="168" spans="1:183" ht="33" customHeight="1">
      <c r="A168" s="645"/>
      <c r="B168" s="645"/>
      <c r="C168" s="645"/>
      <c r="D168" s="645"/>
      <c r="E168" s="646"/>
      <c r="J168" s="88"/>
      <c r="K168" s="89"/>
      <c r="L168" s="89"/>
      <c r="M168" s="1713" t="s">
        <v>5659</v>
      </c>
      <c r="N168" s="1713"/>
      <c r="O168" s="1713"/>
      <c r="P168" s="636"/>
      <c r="Q168" s="636"/>
      <c r="R168" s="636"/>
      <c r="S168" s="636"/>
      <c r="T168" s="636"/>
      <c r="U168" s="636"/>
      <c r="V168" s="636"/>
      <c r="W168" s="636"/>
      <c r="X168" s="636"/>
      <c r="Y168" s="636"/>
      <c r="Z168" s="636"/>
      <c r="AA168" s="636"/>
      <c r="AB168" s="636"/>
      <c r="AC168" s="636"/>
      <c r="AD168" s="636"/>
      <c r="AE168" s="636"/>
      <c r="AF168" s="636"/>
      <c r="AG168" s="636"/>
      <c r="AH168" s="636"/>
      <c r="AI168" s="636"/>
      <c r="AJ168" s="636"/>
      <c r="AK168" s="636"/>
      <c r="AL168" s="636"/>
      <c r="AM168" s="636"/>
      <c r="AN168" s="636"/>
      <c r="AO168" s="636"/>
      <c r="AP168" s="636"/>
      <c r="AQ168" s="636"/>
      <c r="AR168" s="636"/>
      <c r="AS168" s="636"/>
      <c r="AT168" s="636"/>
      <c r="AU168" s="636"/>
      <c r="AV168" s="636"/>
      <c r="AW168" s="636"/>
      <c r="AX168" s="636"/>
      <c r="AY168" s="636"/>
      <c r="AZ168" s="636"/>
      <c r="BA168" s="636"/>
      <c r="BB168" s="636"/>
      <c r="BC168" s="636"/>
      <c r="BD168" s="636"/>
      <c r="BE168" s="636"/>
      <c r="BF168" s="636"/>
      <c r="BG168" s="636"/>
      <c r="BH168" s="636"/>
      <c r="BI168" s="636"/>
      <c r="BJ168" s="636"/>
      <c r="BK168" s="636"/>
      <c r="BL168" s="636"/>
      <c r="BM168" s="636"/>
      <c r="BN168" s="636"/>
      <c r="BO168" s="636"/>
      <c r="BP168" s="636"/>
      <c r="BQ168" s="636"/>
      <c r="BR168" s="636"/>
      <c r="BS168" s="636"/>
      <c r="BT168" s="636"/>
      <c r="BU168" s="1094"/>
      <c r="BV168" s="1095" t="s">
        <v>5686</v>
      </c>
      <c r="BW168" s="1096"/>
      <c r="BX168" s="1097"/>
      <c r="BY168" s="1097"/>
      <c r="BZ168" s="1097"/>
      <c r="CA168" s="1097"/>
      <c r="CB168" s="1097"/>
      <c r="CC168" s="1097"/>
      <c r="CD168" s="1097"/>
      <c r="CE168" s="1097"/>
      <c r="CF168" s="1097"/>
      <c r="CG168" s="1097"/>
      <c r="CH168" s="1097"/>
      <c r="CI168" s="1097"/>
      <c r="CJ168" s="1097"/>
      <c r="CK168" s="1097"/>
      <c r="CL168" s="1097"/>
      <c r="CM168" s="1097"/>
      <c r="CN168" s="1097"/>
      <c r="CO168" s="1097"/>
      <c r="CP168" s="1097"/>
      <c r="CQ168" s="1097"/>
      <c r="CR168" s="1097"/>
      <c r="CS168" s="1097"/>
      <c r="CT168" s="1097"/>
      <c r="CU168" s="918"/>
      <c r="DD168" s="36"/>
      <c r="DE168" s="36"/>
      <c r="DF168" s="36"/>
      <c r="DG168" s="36"/>
      <c r="DH168" s="36"/>
      <c r="DI168" s="36"/>
      <c r="DJ168" s="36"/>
      <c r="DO168" s="186" t="s">
        <v>866</v>
      </c>
      <c r="DP168" s="186" t="s">
        <v>868</v>
      </c>
      <c r="DQ168" s="186" t="s">
        <v>867</v>
      </c>
      <c r="EG168" s="172"/>
      <c r="EH168" s="172"/>
      <c r="EI168" s="172"/>
      <c r="EJ168" s="172"/>
      <c r="EK168" s="172"/>
      <c r="FV168" s="172"/>
      <c r="FW168" s="172"/>
      <c r="FX168" s="172"/>
      <c r="FY168" s="172"/>
      <c r="FZ168" s="172"/>
    </row>
    <row r="169" spans="1:183" s="172" customFormat="1" ht="27" customHeight="1" thickBot="1">
      <c r="A169" s="645"/>
      <c r="B169" s="645"/>
      <c r="C169" s="645"/>
      <c r="D169" s="645"/>
      <c r="E169" s="646"/>
      <c r="F169" s="381"/>
      <c r="G169" s="381"/>
      <c r="H169" s="381"/>
      <c r="I169" s="251"/>
      <c r="J169" s="39"/>
      <c r="K169" s="896"/>
      <c r="L169" s="896"/>
      <c r="M169" s="2192"/>
      <c r="N169" s="2193"/>
      <c r="O169" s="2193"/>
      <c r="P169" s="2216" t="s">
        <v>716</v>
      </c>
      <c r="Q169" s="2245"/>
      <c r="R169" s="2245"/>
      <c r="S169" s="2245"/>
      <c r="T169" s="2245"/>
      <c r="U169" s="2245"/>
      <c r="V169" s="2245"/>
      <c r="W169" s="2245"/>
      <c r="X169" s="2245"/>
      <c r="Y169" s="2245"/>
      <c r="Z169" s="2245"/>
      <c r="AA169" s="2245"/>
      <c r="AB169" s="2218"/>
      <c r="AC169" s="2218"/>
      <c r="AD169" s="2218"/>
      <c r="AE169" s="2219"/>
      <c r="AF169" s="2219"/>
      <c r="AG169" s="2219"/>
      <c r="AH169" s="2219"/>
      <c r="AI169" s="2219"/>
      <c r="AJ169" s="2219"/>
      <c r="AK169" s="2219"/>
      <c r="AL169" s="268" t="str">
        <f>IF(AND(DN169=FALSE,AB169=""),"←どれか１つ選んでください","")</f>
        <v>←どれか１つ選んでください</v>
      </c>
      <c r="AM169" s="897"/>
      <c r="AN169" s="897"/>
      <c r="AO169" s="897"/>
      <c r="AP169" s="897"/>
      <c r="AQ169" s="897"/>
      <c r="AR169" s="897"/>
      <c r="AS169" s="897"/>
      <c r="AT169" s="897"/>
      <c r="AU169" s="897"/>
      <c r="AV169" s="897"/>
      <c r="AW169" s="897"/>
      <c r="AX169" s="270"/>
      <c r="AY169" s="897"/>
      <c r="AZ169" s="897"/>
      <c r="BA169" s="897"/>
      <c r="BB169" s="897"/>
      <c r="BC169" s="897"/>
      <c r="BD169" s="897"/>
      <c r="BE169" s="897"/>
      <c r="BF169" s="897"/>
      <c r="BG169" s="897"/>
      <c r="BH169" s="897"/>
      <c r="BI169" s="897"/>
      <c r="BJ169" s="897"/>
      <c r="BK169" s="897"/>
      <c r="BL169" s="897"/>
      <c r="BM169" s="897"/>
      <c r="BN169" s="911"/>
      <c r="BO169" s="911"/>
      <c r="BP169" s="911"/>
      <c r="BQ169" s="911"/>
      <c r="BR169" s="911"/>
      <c r="BS169" s="911"/>
      <c r="BT169" s="911"/>
      <c r="BU169" s="1098"/>
      <c r="BV169" s="1099" t="s">
        <v>2727</v>
      </c>
      <c r="BW169" s="1919" t="s">
        <v>2794</v>
      </c>
      <c r="BX169" s="1919"/>
      <c r="BY169" s="1919"/>
      <c r="BZ169" s="1919"/>
      <c r="CA169" s="1919"/>
      <c r="CB169" s="1919"/>
      <c r="CC169" s="1919"/>
      <c r="CD169" s="1919"/>
      <c r="CE169" s="1919"/>
      <c r="CF169" s="1919"/>
      <c r="CG169" s="1919"/>
      <c r="CH169" s="1919"/>
      <c r="CI169" s="1919"/>
      <c r="CJ169" s="1919"/>
      <c r="CK169" s="1919"/>
      <c r="CL169" s="1919"/>
      <c r="CM169" s="1919"/>
      <c r="CN169" s="1919"/>
      <c r="CO169" s="1919"/>
      <c r="CP169" s="1919"/>
      <c r="CQ169" s="1919"/>
      <c r="CR169" s="1919"/>
      <c r="CS169" s="1919"/>
      <c r="CT169" s="1100"/>
      <c r="CU169" s="735"/>
      <c r="CV169" s="398"/>
      <c r="CW169" s="398"/>
      <c r="CX169" s="398"/>
      <c r="CY169" s="398"/>
      <c r="CZ169" s="398"/>
      <c r="DA169" s="398"/>
      <c r="DB169" s="398"/>
      <c r="DC169" s="35"/>
      <c r="DD169" s="36"/>
      <c r="DE169" s="36"/>
      <c r="DF169" s="178"/>
      <c r="DG169" s="178"/>
      <c r="DH169" s="178"/>
      <c r="DI169" s="178"/>
      <c r="DJ169" s="178"/>
      <c r="DK169" s="1045"/>
      <c r="DL169" s="1046"/>
      <c r="DM169" s="171"/>
      <c r="DN169" s="430"/>
      <c r="DO169" s="180" t="str">
        <f>IF($AB$169="有","レ","")</f>
        <v/>
      </c>
      <c r="DP169" s="180" t="str">
        <f>IF($AB$169="有(各階平面図のみあり)","レ","")</f>
        <v/>
      </c>
      <c r="DQ169" s="180" t="str">
        <f>IF($AB$169="無","レ","")</f>
        <v/>
      </c>
      <c r="FO169" s="1046"/>
      <c r="GA169" s="171"/>
    </row>
    <row r="170" spans="1:183" s="172" customFormat="1" ht="27" customHeight="1" thickBot="1">
      <c r="A170" s="645"/>
      <c r="B170" s="645"/>
      <c r="C170" s="645"/>
      <c r="D170" s="645"/>
      <c r="E170" s="646"/>
      <c r="F170" s="381"/>
      <c r="G170" s="381"/>
      <c r="H170" s="381"/>
      <c r="I170" s="251"/>
      <c r="J170" s="39"/>
      <c r="K170" s="896"/>
      <c r="L170" s="896"/>
      <c r="M170" s="2183"/>
      <c r="N170" s="2184"/>
      <c r="O170" s="2184"/>
      <c r="P170" s="2154" t="s">
        <v>1031</v>
      </c>
      <c r="Q170" s="2179"/>
      <c r="R170" s="2179"/>
      <c r="S170" s="2179"/>
      <c r="T170" s="2179"/>
      <c r="U170" s="2175" t="s">
        <v>1173</v>
      </c>
      <c r="V170" s="2175"/>
      <c r="W170" s="2175"/>
      <c r="X170" s="2175"/>
      <c r="Y170" s="2175"/>
      <c r="Z170" s="2175"/>
      <c r="AA170" s="2175"/>
      <c r="AB170" s="1854"/>
      <c r="AC170" s="1950"/>
      <c r="AD170" s="1950"/>
      <c r="AE170" s="54" t="str">
        <f>IF(AND(AB170="", DN169=FALSE),"←どちらかは必ず選んでください","")</f>
        <v>←どちらかは必ず選んでください</v>
      </c>
      <c r="AF170" s="57"/>
      <c r="AG170" s="57"/>
      <c r="AH170" s="57"/>
      <c r="AI170" s="57"/>
      <c r="AJ170" s="57"/>
      <c r="AK170" s="57"/>
      <c r="AL170" s="899"/>
      <c r="AM170" s="899"/>
      <c r="AN170" s="899"/>
      <c r="AO170" s="899"/>
      <c r="AP170" s="899"/>
      <c r="AQ170" s="899"/>
      <c r="AR170" s="899"/>
      <c r="AS170" s="899"/>
      <c r="AT170" s="899"/>
      <c r="AU170" s="899"/>
      <c r="AV170" s="899"/>
      <c r="AW170" s="899"/>
      <c r="AX170" s="899"/>
      <c r="AY170" s="899"/>
      <c r="AZ170" s="899"/>
      <c r="BA170" s="899"/>
      <c r="BB170" s="899"/>
      <c r="BC170" s="899"/>
      <c r="BD170" s="899"/>
      <c r="BE170" s="899"/>
      <c r="BF170" s="899"/>
      <c r="BG170" s="899"/>
      <c r="BH170" s="899"/>
      <c r="BI170" s="899"/>
      <c r="BJ170" s="899"/>
      <c r="BK170" s="899"/>
      <c r="BL170" s="899"/>
      <c r="BM170" s="899"/>
      <c r="BN170" s="899"/>
      <c r="BO170" s="899"/>
      <c r="BP170" s="899"/>
      <c r="BQ170" s="899"/>
      <c r="BR170" s="899"/>
      <c r="BS170" s="898"/>
      <c r="BT170" s="898"/>
      <c r="BU170" s="718"/>
      <c r="BV170" s="1100"/>
      <c r="BW170" s="1919"/>
      <c r="BX170" s="1919"/>
      <c r="BY170" s="1919"/>
      <c r="BZ170" s="1919"/>
      <c r="CA170" s="1919"/>
      <c r="CB170" s="1919"/>
      <c r="CC170" s="1919"/>
      <c r="CD170" s="1919"/>
      <c r="CE170" s="1919"/>
      <c r="CF170" s="1919"/>
      <c r="CG170" s="1919"/>
      <c r="CH170" s="1919"/>
      <c r="CI170" s="1919"/>
      <c r="CJ170" s="1919"/>
      <c r="CK170" s="1919"/>
      <c r="CL170" s="1919"/>
      <c r="CM170" s="1919"/>
      <c r="CN170" s="1919"/>
      <c r="CO170" s="1919"/>
      <c r="CP170" s="1919"/>
      <c r="CQ170" s="1919"/>
      <c r="CR170" s="1919"/>
      <c r="CS170" s="1919"/>
      <c r="CT170" s="1100"/>
      <c r="CU170" s="735"/>
      <c r="CV170" s="398"/>
      <c r="CW170" s="398"/>
      <c r="CX170" s="398"/>
      <c r="CY170" s="398"/>
      <c r="CZ170" s="398"/>
      <c r="DA170" s="398"/>
      <c r="DB170" s="398"/>
      <c r="DC170" s="35"/>
      <c r="DD170" s="36"/>
      <c r="DE170" s="36"/>
      <c r="DF170" s="178"/>
      <c r="DG170" s="178"/>
      <c r="DH170" s="178"/>
      <c r="DI170" s="178"/>
      <c r="DJ170" s="178"/>
      <c r="DK170" s="1045"/>
      <c r="DL170" s="1046"/>
      <c r="DM170" s="184"/>
      <c r="DN170" s="183">
        <f>COUNTA(AB171,AB172,AE172,AJ172,AO172,AB173,AB174,AB175)</f>
        <v>0</v>
      </c>
      <c r="DO170" s="186" t="s">
        <v>869</v>
      </c>
      <c r="DP170" s="186" t="s">
        <v>871</v>
      </c>
      <c r="DR170" s="186" t="s">
        <v>872</v>
      </c>
      <c r="DS170" s="186" t="s">
        <v>873</v>
      </c>
      <c r="DT170" s="186" t="s">
        <v>877</v>
      </c>
      <c r="DU170" s="186" t="s">
        <v>878</v>
      </c>
      <c r="DV170" s="186" t="s">
        <v>875</v>
      </c>
      <c r="DW170" s="186" t="s">
        <v>876</v>
      </c>
      <c r="DX170" s="186" t="s">
        <v>874</v>
      </c>
      <c r="DY170" s="186" t="s">
        <v>874</v>
      </c>
      <c r="FO170" s="1046"/>
      <c r="GA170" s="171"/>
    </row>
    <row r="171" spans="1:183" s="172" customFormat="1" ht="27" customHeight="1">
      <c r="A171" s="645"/>
      <c r="B171" s="645"/>
      <c r="C171" s="645"/>
      <c r="D171" s="645"/>
      <c r="E171" s="646"/>
      <c r="F171" s="381"/>
      <c r="G171" s="381"/>
      <c r="H171" s="381"/>
      <c r="I171" s="251"/>
      <c r="J171" s="39"/>
      <c r="K171" s="896"/>
      <c r="L171" s="896"/>
      <c r="M171" s="2184"/>
      <c r="N171" s="2184"/>
      <c r="O171" s="2184"/>
      <c r="P171" s="2180"/>
      <c r="Q171" s="2180"/>
      <c r="R171" s="2180"/>
      <c r="S171" s="2180"/>
      <c r="T171" s="2180"/>
      <c r="U171" s="1866" t="s">
        <v>1033</v>
      </c>
      <c r="V171" s="2062"/>
      <c r="W171" s="2062"/>
      <c r="X171" s="2062"/>
      <c r="Y171" s="2062"/>
      <c r="Z171" s="2062"/>
      <c r="AA171" s="2062"/>
      <c r="AB171" s="1772"/>
      <c r="AC171" s="1772"/>
      <c r="AD171" s="1772"/>
      <c r="AE171" s="1772"/>
      <c r="AF171" s="1772"/>
      <c r="AG171" s="1772"/>
      <c r="AH171" s="1772"/>
      <c r="AI171" s="1772"/>
      <c r="AJ171" s="1772"/>
      <c r="AK171" s="1774"/>
      <c r="AL171" s="897"/>
      <c r="AM171" s="897"/>
      <c r="AN171" s="897"/>
      <c r="AO171" s="897"/>
      <c r="AP171" s="897"/>
      <c r="AQ171" s="897"/>
      <c r="AR171" s="896"/>
      <c r="AS171" s="62" t="str">
        <f>IF(AND(AB170="有",DN170&lt;7),"←確認済証が有る場合、種別と交付番号等の入力が必要です","")</f>
        <v/>
      </c>
      <c r="AT171" s="896"/>
      <c r="AU171" s="896"/>
      <c r="AV171" s="896"/>
      <c r="AW171" s="896"/>
      <c r="AX171" s="896"/>
      <c r="AY171" s="896"/>
      <c r="AZ171" s="896"/>
      <c r="BA171" s="896"/>
      <c r="BB171" s="896"/>
      <c r="BC171" s="896"/>
      <c r="BD171" s="896"/>
      <c r="BE171" s="896"/>
      <c r="BF171" s="896"/>
      <c r="BG171" s="896"/>
      <c r="BH171" s="896"/>
      <c r="BI171" s="896"/>
      <c r="BJ171" s="896"/>
      <c r="BK171" s="896"/>
      <c r="BL171" s="896"/>
      <c r="BM171" s="896"/>
      <c r="BN171" s="896"/>
      <c r="BO171" s="896"/>
      <c r="BP171" s="896"/>
      <c r="BQ171" s="896"/>
      <c r="BR171" s="896"/>
      <c r="BS171" s="896"/>
      <c r="BT171" s="896"/>
      <c r="BU171" s="718"/>
      <c r="BV171" s="1100"/>
      <c r="BW171" s="1100"/>
      <c r="BX171" s="1100"/>
      <c r="BY171" s="1100"/>
      <c r="BZ171" s="1100"/>
      <c r="CA171" s="1100"/>
      <c r="CB171" s="1100"/>
      <c r="CC171" s="1100"/>
      <c r="CD171" s="1100"/>
      <c r="CE171" s="1100"/>
      <c r="CF171" s="1100"/>
      <c r="CG171" s="1100"/>
      <c r="CH171" s="1100"/>
      <c r="CI171" s="1100"/>
      <c r="CJ171" s="1100"/>
      <c r="CK171" s="1100"/>
      <c r="CL171" s="1100"/>
      <c r="CM171" s="1100"/>
      <c r="CN171" s="1100"/>
      <c r="CO171" s="1100"/>
      <c r="CP171" s="1100"/>
      <c r="CQ171" s="1100"/>
      <c r="CR171" s="1100"/>
      <c r="CS171" s="1100"/>
      <c r="CT171" s="1100"/>
      <c r="CU171" s="735"/>
      <c r="CV171" s="398"/>
      <c r="CW171" s="398"/>
      <c r="CX171" s="398"/>
      <c r="CY171" s="398"/>
      <c r="CZ171" s="398"/>
      <c r="DA171" s="398"/>
      <c r="DB171" s="398"/>
      <c r="DC171" s="35"/>
      <c r="DD171" s="36"/>
      <c r="DE171" s="36"/>
      <c r="DF171" s="178"/>
      <c r="DG171" s="178"/>
      <c r="DH171" s="178"/>
      <c r="DI171" s="178"/>
      <c r="DJ171" s="178"/>
      <c r="DK171" s="1045"/>
      <c r="DL171" s="1046"/>
      <c r="DM171" s="171"/>
      <c r="DN171" s="171"/>
      <c r="DO171" s="180" t="str">
        <f>IF($AB$170="有","レ","")</f>
        <v/>
      </c>
      <c r="DP171" s="180" t="str">
        <f>IF($AB$170="無","レ","")</f>
        <v/>
      </c>
      <c r="DQ171" s="171"/>
      <c r="DR171" s="180" t="str">
        <f>IF($AB$171="新築","レ","")</f>
        <v/>
      </c>
      <c r="DS171" s="180" t="str">
        <f>IF($AB$171="増築","レ","")</f>
        <v/>
      </c>
      <c r="DT171" s="180" t="str">
        <f>IF($AB$171="改築","レ","")</f>
        <v/>
      </c>
      <c r="DU171" s="180" t="str">
        <f>IF($AB$171="移転","レ","")</f>
        <v/>
      </c>
      <c r="DV171" s="180" t="str">
        <f>IF($AB$171="用途変更","レ","")</f>
        <v/>
      </c>
      <c r="DW171" s="180" t="str">
        <f>IF($AB$171="大規模の修繕","レ","")</f>
        <v/>
      </c>
      <c r="DX171" s="180" t="str">
        <f>IF($AB$171="大規模の模様替","レ","")</f>
        <v/>
      </c>
      <c r="DY171" s="180" t="str">
        <f>IF($AB$171="大規模の模様替","レ","")</f>
        <v/>
      </c>
      <c r="FO171" s="1046"/>
      <c r="GA171" s="171"/>
    </row>
    <row r="172" spans="1:183" s="172" customFormat="1" ht="27" customHeight="1">
      <c r="A172" s="645"/>
      <c r="B172" s="645"/>
      <c r="C172" s="645"/>
      <c r="D172" s="645"/>
      <c r="E172" s="646"/>
      <c r="F172" s="381"/>
      <c r="G172" s="381"/>
      <c r="H172" s="381"/>
      <c r="I172" s="251"/>
      <c r="J172" s="39"/>
      <c r="K172" s="896"/>
      <c r="L172" s="896"/>
      <c r="M172" s="2184"/>
      <c r="N172" s="2184"/>
      <c r="O172" s="2184"/>
      <c r="P172" s="2180"/>
      <c r="Q172" s="2180"/>
      <c r="R172" s="2180"/>
      <c r="S172" s="2180"/>
      <c r="T172" s="2180"/>
      <c r="U172" s="1866" t="s">
        <v>722</v>
      </c>
      <c r="V172" s="2062"/>
      <c r="W172" s="2062"/>
      <c r="X172" s="2062"/>
      <c r="Y172" s="2062"/>
      <c r="Z172" s="2062"/>
      <c r="AA172" s="2062"/>
      <c r="AB172" s="2060"/>
      <c r="AC172" s="2061"/>
      <c r="AD172" s="2061"/>
      <c r="AE172" s="2209"/>
      <c r="AF172" s="2209"/>
      <c r="AG172" s="2210"/>
      <c r="AH172" s="642" t="s">
        <v>12</v>
      </c>
      <c r="AI172" s="643"/>
      <c r="AJ172" s="1951"/>
      <c r="AK172" s="1951"/>
      <c r="AL172" s="1951"/>
      <c r="AM172" s="895" t="s">
        <v>170</v>
      </c>
      <c r="AN172" s="895"/>
      <c r="AO172" s="1951"/>
      <c r="AP172" s="1951"/>
      <c r="AQ172" s="1951"/>
      <c r="AR172" s="896" t="s">
        <v>171</v>
      </c>
      <c r="AS172" s="896"/>
      <c r="AT172" s="896"/>
      <c r="AU172" s="896"/>
      <c r="AV172" s="896"/>
      <c r="AW172" s="896"/>
      <c r="AX172" s="896"/>
      <c r="AY172" s="896"/>
      <c r="AZ172" s="896"/>
      <c r="BA172" s="896"/>
      <c r="BB172" s="896"/>
      <c r="BC172" s="896"/>
      <c r="BD172" s="896"/>
      <c r="BE172" s="896"/>
      <c r="BF172" s="896"/>
      <c r="BG172" s="896"/>
      <c r="BH172" s="896"/>
      <c r="BI172" s="896"/>
      <c r="BJ172" s="896"/>
      <c r="BK172" s="896"/>
      <c r="BL172" s="896"/>
      <c r="BM172" s="896"/>
      <c r="BN172" s="896"/>
      <c r="BO172" s="896"/>
      <c r="BP172" s="896"/>
      <c r="BQ172" s="896"/>
      <c r="BR172" s="896"/>
      <c r="BS172" s="896"/>
      <c r="BT172" s="896"/>
      <c r="BU172" s="718"/>
      <c r="BV172" s="1101" t="s">
        <v>5684</v>
      </c>
      <c r="BW172" s="1102"/>
      <c r="BX172" s="1102"/>
      <c r="BY172" s="1102"/>
      <c r="BZ172" s="1102"/>
      <c r="CA172" s="1102"/>
      <c r="CB172" s="1102"/>
      <c r="CC172" s="1102"/>
      <c r="CD172" s="1102"/>
      <c r="CE172" s="1102"/>
      <c r="CF172" s="1102"/>
      <c r="CG172" s="1102"/>
      <c r="CH172" s="1102"/>
      <c r="CI172" s="1102"/>
      <c r="CJ172" s="1102"/>
      <c r="CK172" s="1102"/>
      <c r="CL172" s="1102"/>
      <c r="CM172" s="1102"/>
      <c r="CN172" s="1102"/>
      <c r="CO172" s="1102"/>
      <c r="CP172" s="1102"/>
      <c r="CQ172" s="1102"/>
      <c r="CR172" s="1102"/>
      <c r="CS172" s="1102"/>
      <c r="CT172" s="1102"/>
      <c r="CU172" s="735"/>
      <c r="CV172" s="398"/>
      <c r="CW172" s="398"/>
      <c r="CX172" s="398"/>
      <c r="CY172" s="398"/>
      <c r="CZ172" s="398"/>
      <c r="DA172" s="398"/>
      <c r="DB172" s="398"/>
      <c r="DC172" s="35"/>
      <c r="DD172" s="36"/>
      <c r="DE172" s="36"/>
      <c r="DF172" s="178"/>
      <c r="DG172" s="178"/>
      <c r="DH172" s="178"/>
      <c r="DI172" s="178"/>
      <c r="DJ172" s="178"/>
      <c r="DK172" s="1045"/>
      <c r="DL172" s="1046"/>
      <c r="DM172" s="171"/>
      <c r="DN172" s="171"/>
      <c r="DZ172" s="172" t="s">
        <v>4633</v>
      </c>
      <c r="EA172" s="837" t="e">
        <f>DATE(VLOOKUP(AB172,$EB$172:$EC$175,2,FALSE)+AE172,AJ172,AO172)</f>
        <v>#N/A</v>
      </c>
      <c r="EB172" s="273" t="str">
        <f t="shared" ref="EB172:EB173" si="8">DT6</f>
        <v>昭和</v>
      </c>
      <c r="EC172" s="273">
        <f t="shared" ref="EC172:EC173" si="9">DV6</f>
        <v>1925</v>
      </c>
      <c r="FO172" s="1046"/>
      <c r="GA172" s="171"/>
    </row>
    <row r="173" spans="1:183" s="172" customFormat="1" ht="27" customHeight="1">
      <c r="A173" s="645"/>
      <c r="B173" s="645"/>
      <c r="C173" s="645"/>
      <c r="D173" s="645"/>
      <c r="E173" s="646"/>
      <c r="F173" s="381"/>
      <c r="G173" s="381"/>
      <c r="H173" s="381"/>
      <c r="I173" s="251"/>
      <c r="J173" s="39"/>
      <c r="K173" s="896"/>
      <c r="L173" s="896"/>
      <c r="M173" s="2184"/>
      <c r="N173" s="2184"/>
      <c r="O173" s="2184"/>
      <c r="P173" s="2180"/>
      <c r="Q173" s="2180"/>
      <c r="R173" s="2180"/>
      <c r="S173" s="2180"/>
      <c r="T173" s="2180"/>
      <c r="U173" s="1866" t="s">
        <v>718</v>
      </c>
      <c r="V173" s="2062"/>
      <c r="W173" s="2062"/>
      <c r="X173" s="2062"/>
      <c r="Y173" s="2062"/>
      <c r="Z173" s="2062"/>
      <c r="AA173" s="2062"/>
      <c r="AB173" s="2176"/>
      <c r="AC173" s="2176"/>
      <c r="AD173" s="2176"/>
      <c r="AE173" s="2176"/>
      <c r="AF173" s="2176"/>
      <c r="AG173" s="2176"/>
      <c r="AH173" s="2176"/>
      <c r="AI173" s="2176"/>
      <c r="AJ173" s="2176"/>
      <c r="AK173" s="2176"/>
      <c r="AL173" s="2176"/>
      <c r="AM173" s="2176"/>
      <c r="AN173" s="2176"/>
      <c r="AO173" s="2176"/>
      <c r="AP173" s="2176"/>
      <c r="AQ173" s="2176"/>
      <c r="AR173" s="2176"/>
      <c r="AS173" s="2176"/>
      <c r="AT173" s="2176"/>
      <c r="AU173" s="2176"/>
      <c r="AV173" s="896" t="s">
        <v>4</v>
      </c>
      <c r="AW173" s="913"/>
      <c r="AX173" s="913"/>
      <c r="AY173" s="913"/>
      <c r="AZ173" s="913"/>
      <c r="BA173" s="913"/>
      <c r="BB173" s="913"/>
      <c r="BC173" s="913"/>
      <c r="BD173" s="913"/>
      <c r="BE173" s="913"/>
      <c r="BF173" s="913"/>
      <c r="BG173" s="913"/>
      <c r="BH173" s="913"/>
      <c r="BI173" s="913"/>
      <c r="BJ173" s="913"/>
      <c r="BK173" s="913"/>
      <c r="BL173" s="913"/>
      <c r="BM173" s="913"/>
      <c r="BN173" s="913"/>
      <c r="BO173" s="913"/>
      <c r="BP173" s="913"/>
      <c r="BQ173" s="913"/>
      <c r="BR173" s="913"/>
      <c r="BS173" s="913"/>
      <c r="BT173" s="913"/>
      <c r="BU173" s="718"/>
      <c r="BV173" s="1100"/>
      <c r="BW173" s="1919" t="s">
        <v>3322</v>
      </c>
      <c r="BX173" s="1919"/>
      <c r="BY173" s="1919"/>
      <c r="BZ173" s="1919"/>
      <c r="CA173" s="1919"/>
      <c r="CB173" s="1919"/>
      <c r="CC173" s="1919"/>
      <c r="CD173" s="1919"/>
      <c r="CE173" s="1919"/>
      <c r="CF173" s="1919"/>
      <c r="CG173" s="1919"/>
      <c r="CH173" s="1919"/>
      <c r="CI173" s="1919"/>
      <c r="CJ173" s="1919"/>
      <c r="CK173" s="1919"/>
      <c r="CL173" s="1919"/>
      <c r="CM173" s="1919"/>
      <c r="CN173" s="1919"/>
      <c r="CO173" s="1919"/>
      <c r="CP173" s="1919"/>
      <c r="CQ173" s="1919"/>
      <c r="CR173" s="1919"/>
      <c r="CS173" s="1919"/>
      <c r="CT173" s="1100"/>
      <c r="CU173" s="735"/>
      <c r="CV173" s="398"/>
      <c r="CW173" s="398"/>
      <c r="CX173" s="398"/>
      <c r="CY173" s="398"/>
      <c r="CZ173" s="398"/>
      <c r="DA173" s="398"/>
      <c r="DB173" s="398"/>
      <c r="DC173" s="35"/>
      <c r="DD173" s="36"/>
      <c r="DE173" s="36"/>
      <c r="DF173" s="36"/>
      <c r="DG173" s="36"/>
      <c r="DH173" s="36"/>
      <c r="DI173" s="36"/>
      <c r="DJ173" s="36"/>
      <c r="DK173" s="1045"/>
      <c r="DL173" s="1046"/>
      <c r="DM173" s="171"/>
      <c r="DN173" s="171"/>
      <c r="EA173" s="374"/>
      <c r="EB173" s="273" t="str">
        <f t="shared" si="8"/>
        <v>平成</v>
      </c>
      <c r="EC173" s="273">
        <f t="shared" si="9"/>
        <v>1988</v>
      </c>
      <c r="EG173" s="167"/>
      <c r="EH173" s="167"/>
      <c r="EI173" s="167"/>
      <c r="EJ173" s="167"/>
      <c r="EK173" s="167"/>
      <c r="FO173" s="1046"/>
      <c r="FV173" s="167"/>
      <c r="FW173" s="167"/>
      <c r="FX173" s="167"/>
      <c r="FY173" s="167"/>
      <c r="FZ173" s="167"/>
      <c r="GA173" s="171"/>
    </row>
    <row r="174" spans="1:183" s="25" customFormat="1" ht="27" customHeight="1">
      <c r="A174" s="645"/>
      <c r="B174" s="645"/>
      <c r="C174" s="645"/>
      <c r="D174" s="645"/>
      <c r="E174" s="646"/>
      <c r="F174" s="381"/>
      <c r="G174" s="381"/>
      <c r="H174" s="381"/>
      <c r="I174" s="905"/>
      <c r="J174" s="88"/>
      <c r="K174" s="89"/>
      <c r="L174" s="89"/>
      <c r="M174" s="2184"/>
      <c r="N174" s="2184"/>
      <c r="O174" s="2184"/>
      <c r="P174" s="2180"/>
      <c r="Q174" s="2180"/>
      <c r="R174" s="2180"/>
      <c r="S174" s="2180"/>
      <c r="T174" s="2180"/>
      <c r="U174" s="1866" t="s">
        <v>719</v>
      </c>
      <c r="V174" s="2062"/>
      <c r="W174" s="2062"/>
      <c r="X174" s="2062"/>
      <c r="Y174" s="2062"/>
      <c r="Z174" s="2062"/>
      <c r="AA174" s="2062"/>
      <c r="AB174" s="2176"/>
      <c r="AC174" s="2176"/>
      <c r="AD174" s="2176"/>
      <c r="AE174" s="2176"/>
      <c r="AF174" s="2176"/>
      <c r="AG174" s="2176"/>
      <c r="AH174" s="2176"/>
      <c r="AI174" s="2176"/>
      <c r="AJ174" s="2176"/>
      <c r="AK174" s="2176"/>
      <c r="AL174" s="2176"/>
      <c r="AM174" s="2176"/>
      <c r="AN174" s="2176"/>
      <c r="AO174" s="2176"/>
      <c r="AP174" s="2176"/>
      <c r="AQ174" s="2176"/>
      <c r="AR174" s="2176"/>
      <c r="AS174" s="2176"/>
      <c r="AT174" s="2176"/>
      <c r="AU174" s="2176"/>
      <c r="AV174" s="913"/>
      <c r="AW174" s="913"/>
      <c r="AX174" s="913"/>
      <c r="AY174" s="913"/>
      <c r="AZ174" s="913"/>
      <c r="BA174" s="913"/>
      <c r="BB174" s="913"/>
      <c r="BC174" s="913"/>
      <c r="BD174" s="913"/>
      <c r="BE174" s="913"/>
      <c r="BF174" s="913"/>
      <c r="BG174" s="913"/>
      <c r="BH174" s="913"/>
      <c r="BI174" s="913"/>
      <c r="BJ174" s="913"/>
      <c r="BK174" s="913"/>
      <c r="BL174" s="913"/>
      <c r="BM174" s="913"/>
      <c r="BN174" s="913"/>
      <c r="BO174" s="913"/>
      <c r="BP174" s="913"/>
      <c r="BQ174" s="913"/>
      <c r="BR174" s="913"/>
      <c r="BS174" s="913"/>
      <c r="BT174" s="913"/>
      <c r="BU174" s="736"/>
      <c r="BV174" s="1100"/>
      <c r="BW174" s="1919"/>
      <c r="BX174" s="1919"/>
      <c r="BY174" s="1919"/>
      <c r="BZ174" s="1919"/>
      <c r="CA174" s="1919"/>
      <c r="CB174" s="1919"/>
      <c r="CC174" s="1919"/>
      <c r="CD174" s="1919"/>
      <c r="CE174" s="1919"/>
      <c r="CF174" s="1919"/>
      <c r="CG174" s="1919"/>
      <c r="CH174" s="1919"/>
      <c r="CI174" s="1919"/>
      <c r="CJ174" s="1919"/>
      <c r="CK174" s="1919"/>
      <c r="CL174" s="1919"/>
      <c r="CM174" s="1919"/>
      <c r="CN174" s="1919"/>
      <c r="CO174" s="1919"/>
      <c r="CP174" s="1919"/>
      <c r="CQ174" s="1919"/>
      <c r="CR174" s="1919"/>
      <c r="CS174" s="1919"/>
      <c r="CT174" s="1100"/>
      <c r="CU174" s="735"/>
      <c r="CV174" s="398"/>
      <c r="CW174" s="398"/>
      <c r="CX174" s="398"/>
      <c r="CY174" s="398"/>
      <c r="CZ174" s="398"/>
      <c r="DA174" s="398"/>
      <c r="DB174" s="398"/>
      <c r="DC174" s="35"/>
      <c r="DD174" s="36"/>
      <c r="DE174" s="36"/>
      <c r="DF174" s="47"/>
      <c r="DG174" s="47"/>
      <c r="DH174" s="47"/>
      <c r="DI174" s="47"/>
      <c r="DJ174" s="47"/>
      <c r="DK174" s="47"/>
      <c r="DL174" s="41"/>
      <c r="DO174" s="187" t="s">
        <v>879</v>
      </c>
      <c r="DP174" s="187" t="s">
        <v>880</v>
      </c>
      <c r="EA174" s="374"/>
      <c r="EB174" s="273" t="str">
        <f>DT8</f>
        <v>令和</v>
      </c>
      <c r="EC174" s="273">
        <f>DV8</f>
        <v>2018</v>
      </c>
      <c r="EG174" s="174"/>
      <c r="EH174" s="174"/>
      <c r="EI174" s="174"/>
      <c r="EJ174" s="174"/>
      <c r="EK174" s="174"/>
      <c r="FO174" s="1103"/>
      <c r="FV174" s="174"/>
      <c r="FW174" s="174"/>
      <c r="FX174" s="174"/>
      <c r="FY174" s="174"/>
      <c r="FZ174" s="174"/>
    </row>
    <row r="175" spans="1:183" ht="27" customHeight="1">
      <c r="A175" s="645"/>
      <c r="B175" s="645"/>
      <c r="C175" s="645"/>
      <c r="D175" s="645"/>
      <c r="E175" s="646"/>
      <c r="J175" s="88"/>
      <c r="K175" s="89"/>
      <c r="L175" s="89"/>
      <c r="M175" s="2184"/>
      <c r="N175" s="2184"/>
      <c r="O175" s="2184"/>
      <c r="P175" s="2181"/>
      <c r="Q175" s="2181"/>
      <c r="R175" s="2181"/>
      <c r="S175" s="2181"/>
      <c r="T175" s="2181"/>
      <c r="U175" s="2185" t="s">
        <v>721</v>
      </c>
      <c r="V175" s="2186"/>
      <c r="W175" s="2186"/>
      <c r="X175" s="2186"/>
      <c r="Y175" s="2186"/>
      <c r="Z175" s="2186"/>
      <c r="AA175" s="2186"/>
      <c r="AB175" s="1797"/>
      <c r="AC175" s="1797"/>
      <c r="AD175" s="1797"/>
      <c r="AE175" s="1769"/>
      <c r="AF175" s="1769"/>
      <c r="AG175" s="1769"/>
      <c r="AH175" s="1769"/>
      <c r="AI175" s="1769"/>
      <c r="AJ175" s="1769"/>
      <c r="AK175" s="1769"/>
      <c r="AL175" s="1769"/>
      <c r="AM175" s="1769"/>
      <c r="AN175" s="1769"/>
      <c r="AO175" s="1769"/>
      <c r="AP175" s="1769"/>
      <c r="AQ175" s="1769"/>
      <c r="AR175" s="1769"/>
      <c r="AS175" s="1769"/>
      <c r="AT175" s="1769"/>
      <c r="AU175" s="1769"/>
      <c r="AV175" s="98" t="str">
        <f>IF(AND(AB170="有",AB174="指定確認検査機関",AB175=""),"←指定確認検査機関名が必要です","")</f>
        <v/>
      </c>
      <c r="AW175" s="53"/>
      <c r="AX175" s="53"/>
      <c r="AY175" s="53"/>
      <c r="AZ175" s="53"/>
      <c r="BA175" s="53"/>
      <c r="BB175" s="53"/>
      <c r="BC175" s="53"/>
      <c r="BD175" s="53"/>
      <c r="BE175" s="53"/>
      <c r="BF175" s="53"/>
      <c r="BG175" s="53"/>
      <c r="BH175" s="53"/>
      <c r="BI175" s="53"/>
      <c r="BJ175" s="53"/>
      <c r="BK175" s="53"/>
      <c r="BL175" s="53"/>
      <c r="BM175" s="53"/>
      <c r="BN175" s="53"/>
      <c r="BO175" s="53"/>
      <c r="BP175" s="53"/>
      <c r="BQ175" s="53"/>
      <c r="BR175" s="53"/>
      <c r="BS175" s="53"/>
      <c r="BT175" s="53"/>
      <c r="BU175" s="1052"/>
      <c r="BV175" s="1100"/>
      <c r="BW175" s="1919"/>
      <c r="BX175" s="1919"/>
      <c r="BY175" s="1919"/>
      <c r="BZ175" s="1919"/>
      <c r="CA175" s="1919"/>
      <c r="CB175" s="1919"/>
      <c r="CC175" s="1919"/>
      <c r="CD175" s="1919"/>
      <c r="CE175" s="1919"/>
      <c r="CF175" s="1919"/>
      <c r="CG175" s="1919"/>
      <c r="CH175" s="1919"/>
      <c r="CI175" s="1919"/>
      <c r="CJ175" s="1919"/>
      <c r="CK175" s="1919"/>
      <c r="CL175" s="1919"/>
      <c r="CM175" s="1919"/>
      <c r="CN175" s="1919"/>
      <c r="CO175" s="1919"/>
      <c r="CP175" s="1919"/>
      <c r="CQ175" s="1919"/>
      <c r="CR175" s="1919"/>
      <c r="CS175" s="1919"/>
      <c r="CT175" s="1100"/>
      <c r="CU175" s="735"/>
      <c r="DD175" s="36"/>
      <c r="DE175" s="36"/>
      <c r="DF175" s="36"/>
      <c r="DG175" s="36"/>
      <c r="DH175" s="36"/>
      <c r="DI175" s="36"/>
      <c r="DJ175" s="36"/>
      <c r="DO175" s="188" t="str">
        <f>IF(AB174="建築主事","レ","")</f>
        <v/>
      </c>
      <c r="DP175" s="188" t="str">
        <f>IF(AB174="指定確認検査機関","レ","")</f>
        <v/>
      </c>
      <c r="EA175" s="374"/>
      <c r="EB175" s="273" t="str">
        <f>DT9</f>
        <v>(予備)</v>
      </c>
      <c r="EC175" s="273">
        <f>DV9</f>
        <v>2099</v>
      </c>
      <c r="EG175" s="174"/>
      <c r="EH175" s="174"/>
      <c r="EI175" s="174"/>
      <c r="EJ175" s="174"/>
      <c r="EK175" s="174"/>
      <c r="FV175" s="174"/>
      <c r="FW175" s="174"/>
      <c r="FX175" s="174"/>
      <c r="FY175" s="174"/>
      <c r="FZ175" s="174"/>
    </row>
    <row r="176" spans="1:183" s="172" customFormat="1" ht="27" customHeight="1" thickBot="1">
      <c r="A176" s="645"/>
      <c r="B176" s="645"/>
      <c r="C176" s="645"/>
      <c r="D176" s="645"/>
      <c r="E176" s="646"/>
      <c r="F176" s="381"/>
      <c r="G176" s="381"/>
      <c r="H176" s="381"/>
      <c r="I176" s="251"/>
      <c r="J176" s="39"/>
      <c r="K176" s="896"/>
      <c r="L176" s="896"/>
      <c r="M176" s="2184"/>
      <c r="N176" s="2184"/>
      <c r="O176" s="2184"/>
      <c r="P176" s="1809" t="s">
        <v>717</v>
      </c>
      <c r="Q176" s="2173"/>
      <c r="R176" s="2173"/>
      <c r="S176" s="2173"/>
      <c r="T176" s="2173"/>
      <c r="U176" s="2173"/>
      <c r="V176" s="2173"/>
      <c r="W176" s="2173"/>
      <c r="X176" s="2173"/>
      <c r="Y176" s="2173"/>
      <c r="Z176" s="2173"/>
      <c r="AA176" s="2173"/>
      <c r="AB176" s="2213"/>
      <c r="AC176" s="2213"/>
      <c r="AD176" s="2213"/>
      <c r="AE176" s="46" t="str">
        <f>IF(AND(DN169=FALSE,AB176="",$AB$171&lt;&gt;"用途変更"),"←どちらかは必ず選んでください","")</f>
        <v>←どちらかは必ず選んでください</v>
      </c>
      <c r="AF176" s="900"/>
      <c r="AG176" s="900"/>
      <c r="AH176" s="900"/>
      <c r="AI176" s="900"/>
      <c r="AJ176" s="900"/>
      <c r="AK176" s="900"/>
      <c r="AL176" s="900"/>
      <c r="AM176" s="900"/>
      <c r="AN176" s="900"/>
      <c r="AO176" s="900"/>
      <c r="AP176" s="900"/>
      <c r="AQ176" s="900"/>
      <c r="AR176" s="900"/>
      <c r="AS176" s="900"/>
      <c r="AT176" s="900"/>
      <c r="AU176" s="900"/>
      <c r="AV176" s="900"/>
      <c r="AW176" s="900"/>
      <c r="AX176" s="900"/>
      <c r="AY176" s="900"/>
      <c r="AZ176" s="900"/>
      <c r="BA176" s="900"/>
      <c r="BB176" s="900"/>
      <c r="BC176" s="900"/>
      <c r="BD176" s="900"/>
      <c r="BE176" s="900"/>
      <c r="BF176" s="900"/>
      <c r="BG176" s="900"/>
      <c r="BH176" s="900"/>
      <c r="BI176" s="900"/>
      <c r="BJ176" s="900"/>
      <c r="BK176" s="900"/>
      <c r="BL176" s="900"/>
      <c r="BM176" s="900"/>
      <c r="BN176" s="900"/>
      <c r="BO176" s="900"/>
      <c r="BP176" s="900"/>
      <c r="BQ176" s="900"/>
      <c r="BR176" s="900"/>
      <c r="BS176" s="900"/>
      <c r="BT176" s="900"/>
      <c r="BU176" s="718"/>
      <c r="BV176" s="1100"/>
      <c r="BW176" s="1919"/>
      <c r="BX176" s="1919"/>
      <c r="BY176" s="1919"/>
      <c r="BZ176" s="1919"/>
      <c r="CA176" s="1919"/>
      <c r="CB176" s="1919"/>
      <c r="CC176" s="1919"/>
      <c r="CD176" s="1919"/>
      <c r="CE176" s="1919"/>
      <c r="CF176" s="1919"/>
      <c r="CG176" s="1919"/>
      <c r="CH176" s="1919"/>
      <c r="CI176" s="1919"/>
      <c r="CJ176" s="1919"/>
      <c r="CK176" s="1919"/>
      <c r="CL176" s="1919"/>
      <c r="CM176" s="1919"/>
      <c r="CN176" s="1919"/>
      <c r="CO176" s="1919"/>
      <c r="CP176" s="1919"/>
      <c r="CQ176" s="1919"/>
      <c r="CR176" s="1919"/>
      <c r="CS176" s="1919"/>
      <c r="CT176" s="1100"/>
      <c r="CU176" s="918"/>
      <c r="CV176" s="398"/>
      <c r="CW176" s="398"/>
      <c r="CX176" s="398"/>
      <c r="CY176" s="398"/>
      <c r="CZ176" s="398"/>
      <c r="DA176" s="398"/>
      <c r="DB176" s="398"/>
      <c r="DC176" s="35"/>
      <c r="DD176" s="36"/>
      <c r="DE176" s="36"/>
      <c r="DF176" s="178"/>
      <c r="DG176" s="178"/>
      <c r="DH176" s="178"/>
      <c r="DI176" s="178"/>
      <c r="DJ176" s="178"/>
      <c r="DK176" s="1045"/>
      <c r="DL176" s="1046"/>
      <c r="DM176" s="171"/>
      <c r="DN176" s="171"/>
      <c r="DO176" s="186" t="s">
        <v>869</v>
      </c>
      <c r="DP176" s="186" t="s">
        <v>871</v>
      </c>
      <c r="DQ176" s="171"/>
      <c r="DR176" s="186" t="s">
        <v>869</v>
      </c>
      <c r="DS176" s="186" t="s">
        <v>871</v>
      </c>
      <c r="EA176" s="374"/>
      <c r="EB176" s="374"/>
      <c r="EC176" s="374"/>
      <c r="FO176" s="1046"/>
      <c r="GA176" s="171"/>
    </row>
    <row r="177" spans="1:183" s="172" customFormat="1" ht="27" customHeight="1" thickBot="1">
      <c r="A177" s="645"/>
      <c r="B177" s="645"/>
      <c r="C177" s="645"/>
      <c r="D177" s="645"/>
      <c r="E177" s="646"/>
      <c r="F177" s="381"/>
      <c r="G177" s="381"/>
      <c r="H177" s="381"/>
      <c r="I177" s="251"/>
      <c r="J177" s="39"/>
      <c r="K177" s="896"/>
      <c r="L177" s="896"/>
      <c r="M177" s="2184"/>
      <c r="N177" s="2184"/>
      <c r="O177" s="2184"/>
      <c r="P177" s="1809" t="s">
        <v>1034</v>
      </c>
      <c r="Q177" s="2214"/>
      <c r="R177" s="2214"/>
      <c r="S177" s="2214"/>
      <c r="T177" s="2214"/>
      <c r="U177" s="2175" t="s">
        <v>2644</v>
      </c>
      <c r="V177" s="2175"/>
      <c r="W177" s="2175"/>
      <c r="X177" s="2175"/>
      <c r="Y177" s="2175"/>
      <c r="Z177" s="2175"/>
      <c r="AA177" s="2175"/>
      <c r="AB177" s="1854"/>
      <c r="AC177" s="1950"/>
      <c r="AD177" s="1950"/>
      <c r="AE177" s="54" t="str">
        <f>IF(AND(DN169=FALSE,AB177="",$AB$171&lt;&gt;"用途変更"),"←どちらかは必ず選んでください","")</f>
        <v>←どちらかは必ず選んでください</v>
      </c>
      <c r="AF177" s="892"/>
      <c r="AG177" s="892"/>
      <c r="AH177" s="892"/>
      <c r="AI177" s="892"/>
      <c r="AJ177" s="892"/>
      <c r="AK177" s="892"/>
      <c r="AL177" s="892"/>
      <c r="AM177" s="892"/>
      <c r="AN177" s="892"/>
      <c r="AO177" s="892"/>
      <c r="AP177" s="892"/>
      <c r="AQ177" s="892"/>
      <c r="AR177" s="898"/>
      <c r="AS177" s="898"/>
      <c r="AT177" s="898"/>
      <c r="AU177" s="898"/>
      <c r="AV177" s="898"/>
      <c r="AW177" s="898"/>
      <c r="AX177" s="898"/>
      <c r="AY177" s="898"/>
      <c r="AZ177" s="898"/>
      <c r="BA177" s="898"/>
      <c r="BB177" s="898"/>
      <c r="BC177" s="898"/>
      <c r="BD177" s="898"/>
      <c r="BE177" s="898"/>
      <c r="BF177" s="898"/>
      <c r="BG177" s="898"/>
      <c r="BH177" s="898"/>
      <c r="BI177" s="898"/>
      <c r="BJ177" s="898"/>
      <c r="BK177" s="898"/>
      <c r="BL177" s="898"/>
      <c r="BM177" s="898"/>
      <c r="BN177" s="898"/>
      <c r="BO177" s="898"/>
      <c r="BP177" s="898"/>
      <c r="BQ177" s="898"/>
      <c r="BR177" s="898"/>
      <c r="BS177" s="898"/>
      <c r="BT177" s="898"/>
      <c r="BU177" s="718"/>
      <c r="BV177" s="891"/>
      <c r="BW177" s="1919"/>
      <c r="BX177" s="1919"/>
      <c r="BY177" s="1919"/>
      <c r="BZ177" s="1919"/>
      <c r="CA177" s="1919"/>
      <c r="CB177" s="1919"/>
      <c r="CC177" s="1919"/>
      <c r="CD177" s="1919"/>
      <c r="CE177" s="1919"/>
      <c r="CF177" s="1919"/>
      <c r="CG177" s="1919"/>
      <c r="CH177" s="1919"/>
      <c r="CI177" s="1919"/>
      <c r="CJ177" s="1919"/>
      <c r="CK177" s="1919"/>
      <c r="CL177" s="1919"/>
      <c r="CM177" s="1919"/>
      <c r="CN177" s="1919"/>
      <c r="CO177" s="1919"/>
      <c r="CP177" s="1919"/>
      <c r="CQ177" s="1919"/>
      <c r="CR177" s="1919"/>
      <c r="CS177" s="1919"/>
      <c r="CT177" s="891"/>
      <c r="CU177" s="918"/>
      <c r="CV177" s="398"/>
      <c r="CW177" s="398"/>
      <c r="CX177" s="398"/>
      <c r="CY177" s="398"/>
      <c r="CZ177" s="398"/>
      <c r="DA177" s="398"/>
      <c r="DB177" s="398"/>
      <c r="DC177" s="35"/>
      <c r="DD177" s="36"/>
      <c r="DE177" s="36"/>
      <c r="DF177" s="36"/>
      <c r="DG177" s="36"/>
      <c r="DH177" s="36"/>
      <c r="DI177" s="36"/>
      <c r="DJ177" s="36"/>
      <c r="DK177" s="1045"/>
      <c r="DL177" s="1046"/>
      <c r="DM177" s="171"/>
      <c r="DN177" s="177">
        <f>COUNTA(AB178,AE178,AJ178,AO178,AB179,AB180,AB181)</f>
        <v>0</v>
      </c>
      <c r="DO177" s="180" t="str">
        <f>IF($AB$176="有","レ","")</f>
        <v/>
      </c>
      <c r="DP177" s="180" t="str">
        <f>IF($AB$176="無","レ","")</f>
        <v/>
      </c>
      <c r="DQ177" s="171"/>
      <c r="DR177" s="180" t="str">
        <f>IF($AB$177="有","レ","")</f>
        <v/>
      </c>
      <c r="DS177" s="180" t="str">
        <f>IF($AB$177="無","レ","")</f>
        <v/>
      </c>
      <c r="EA177" s="374"/>
      <c r="EB177" s="374"/>
      <c r="EC177" s="374"/>
      <c r="EG177" s="178"/>
      <c r="EH177" s="178"/>
      <c r="EI177" s="178"/>
      <c r="EJ177" s="178"/>
      <c r="EK177" s="178"/>
      <c r="FO177" s="1046"/>
      <c r="FV177" s="178"/>
      <c r="FW177" s="178"/>
      <c r="FX177" s="178"/>
      <c r="FY177" s="178"/>
      <c r="FZ177" s="178"/>
      <c r="GA177" s="171"/>
    </row>
    <row r="178" spans="1:183" s="172" customFormat="1" ht="27" customHeight="1">
      <c r="A178" s="645"/>
      <c r="B178" s="645"/>
      <c r="C178" s="645"/>
      <c r="D178" s="645"/>
      <c r="E178" s="646"/>
      <c r="F178" s="381"/>
      <c r="G178" s="381"/>
      <c r="H178" s="381"/>
      <c r="I178" s="251"/>
      <c r="J178" s="39"/>
      <c r="K178" s="896"/>
      <c r="L178" s="896"/>
      <c r="M178" s="2184"/>
      <c r="N178" s="2184"/>
      <c r="O178" s="2184"/>
      <c r="P178" s="2215"/>
      <c r="Q178" s="2215"/>
      <c r="R178" s="2215"/>
      <c r="S178" s="2215"/>
      <c r="T178" s="2215"/>
      <c r="U178" s="1866" t="s">
        <v>722</v>
      </c>
      <c r="V178" s="2062"/>
      <c r="W178" s="2062"/>
      <c r="X178" s="2062"/>
      <c r="Y178" s="2062"/>
      <c r="Z178" s="2062"/>
      <c r="AA178" s="2062"/>
      <c r="AB178" s="2060"/>
      <c r="AC178" s="2061"/>
      <c r="AD178" s="2061"/>
      <c r="AE178" s="2209"/>
      <c r="AF178" s="2209"/>
      <c r="AG178" s="2210"/>
      <c r="AH178" s="895" t="s">
        <v>12</v>
      </c>
      <c r="AI178" s="895"/>
      <c r="AJ178" s="1951"/>
      <c r="AK178" s="1951"/>
      <c r="AL178" s="1951"/>
      <c r="AM178" s="895" t="s">
        <v>170</v>
      </c>
      <c r="AN178" s="895"/>
      <c r="AO178" s="1951"/>
      <c r="AP178" s="1951"/>
      <c r="AQ178" s="1951"/>
      <c r="AR178" s="896" t="s">
        <v>171</v>
      </c>
      <c r="AS178" s="896"/>
      <c r="AT178" s="896"/>
      <c r="AU178" s="896"/>
      <c r="AV178" s="896"/>
      <c r="AW178" s="896"/>
      <c r="AX178" s="896"/>
      <c r="AY178" s="896"/>
      <c r="AZ178" s="896"/>
      <c r="BA178" s="896"/>
      <c r="BB178" s="896"/>
      <c r="BC178" s="896"/>
      <c r="BD178" s="896"/>
      <c r="BE178" s="896"/>
      <c r="BF178" s="896"/>
      <c r="BG178" s="896"/>
      <c r="BH178" s="896"/>
      <c r="BI178" s="896"/>
      <c r="BJ178" s="896"/>
      <c r="BK178" s="896"/>
      <c r="BL178" s="896"/>
      <c r="BM178" s="896"/>
      <c r="BN178" s="896"/>
      <c r="BO178" s="896"/>
      <c r="BP178" s="896"/>
      <c r="BQ178" s="896"/>
      <c r="BR178" s="896"/>
      <c r="BS178" s="896"/>
      <c r="BT178" s="896"/>
      <c r="BU178" s="718"/>
      <c r="BV178" s="891"/>
      <c r="BW178" s="1919"/>
      <c r="BX178" s="1919"/>
      <c r="BY178" s="1919"/>
      <c r="BZ178" s="1919"/>
      <c r="CA178" s="1919"/>
      <c r="CB178" s="1919"/>
      <c r="CC178" s="1919"/>
      <c r="CD178" s="1919"/>
      <c r="CE178" s="1919"/>
      <c r="CF178" s="1919"/>
      <c r="CG178" s="1919"/>
      <c r="CH178" s="1919"/>
      <c r="CI178" s="1919"/>
      <c r="CJ178" s="1919"/>
      <c r="CK178" s="1919"/>
      <c r="CL178" s="1919"/>
      <c r="CM178" s="1919"/>
      <c r="CN178" s="1919"/>
      <c r="CO178" s="1919"/>
      <c r="CP178" s="1919"/>
      <c r="CQ178" s="1919"/>
      <c r="CR178" s="1919"/>
      <c r="CS178" s="1919"/>
      <c r="CT178" s="891"/>
      <c r="CU178" s="918"/>
      <c r="CV178" s="398"/>
      <c r="CW178" s="398"/>
      <c r="CX178" s="398"/>
      <c r="CY178" s="398"/>
      <c r="CZ178" s="398"/>
      <c r="DA178" s="398"/>
      <c r="DB178" s="398"/>
      <c r="DC178" s="35"/>
      <c r="DD178" s="36"/>
      <c r="DE178" s="36"/>
      <c r="DF178" s="36"/>
      <c r="DG178" s="36"/>
      <c r="DH178" s="36"/>
      <c r="DI178" s="36"/>
      <c r="DJ178" s="36"/>
      <c r="DK178" s="1068"/>
      <c r="DL178" s="1046"/>
      <c r="DM178" s="171"/>
      <c r="DN178" s="171"/>
      <c r="DO178" s="171"/>
      <c r="DP178" s="171"/>
      <c r="DQ178" s="171"/>
      <c r="DZ178" s="172" t="s">
        <v>4634</v>
      </c>
      <c r="EA178" s="837" t="e">
        <f>DATE(VLOOKUP(AB178,$EB$172:$EC$175,2,FALSE)+AE178,AJ178,AO178)</f>
        <v>#N/A</v>
      </c>
      <c r="EG178" s="178"/>
      <c r="EH178" s="178"/>
      <c r="EI178" s="178"/>
      <c r="EJ178" s="178"/>
      <c r="EK178" s="178"/>
      <c r="FO178" s="1046"/>
      <c r="FV178" s="178"/>
      <c r="FW178" s="178"/>
      <c r="FX178" s="178"/>
      <c r="FY178" s="178"/>
      <c r="FZ178" s="178"/>
      <c r="GA178" s="171"/>
    </row>
    <row r="179" spans="1:183" s="172" customFormat="1" ht="27" customHeight="1">
      <c r="A179" s="645"/>
      <c r="B179" s="645"/>
      <c r="C179" s="645"/>
      <c r="D179" s="645"/>
      <c r="E179" s="646"/>
      <c r="F179" s="381"/>
      <c r="G179" s="381"/>
      <c r="H179" s="381"/>
      <c r="I179" s="251"/>
      <c r="J179" s="39"/>
      <c r="K179" s="896"/>
      <c r="L179" s="896"/>
      <c r="M179" s="2184"/>
      <c r="N179" s="2184"/>
      <c r="O179" s="2184"/>
      <c r="P179" s="2215"/>
      <c r="Q179" s="2215"/>
      <c r="R179" s="2215"/>
      <c r="S179" s="2215"/>
      <c r="T179" s="2215"/>
      <c r="U179" s="1866" t="s">
        <v>718</v>
      </c>
      <c r="V179" s="2062"/>
      <c r="W179" s="2062"/>
      <c r="X179" s="2062"/>
      <c r="Y179" s="2062"/>
      <c r="Z179" s="2062"/>
      <c r="AA179" s="2062"/>
      <c r="AB179" s="2176"/>
      <c r="AC179" s="2176"/>
      <c r="AD179" s="2176"/>
      <c r="AE179" s="2176"/>
      <c r="AF179" s="2176"/>
      <c r="AG179" s="2176"/>
      <c r="AH179" s="2176"/>
      <c r="AI179" s="2176"/>
      <c r="AJ179" s="2176"/>
      <c r="AK179" s="2176"/>
      <c r="AL179" s="2176"/>
      <c r="AM179" s="2176"/>
      <c r="AN179" s="2176"/>
      <c r="AO179" s="2176"/>
      <c r="AP179" s="2176"/>
      <c r="AQ179" s="2176"/>
      <c r="AR179" s="2176"/>
      <c r="AS179" s="2176"/>
      <c r="AT179" s="2176"/>
      <c r="AU179" s="2176"/>
      <c r="AV179" s="896" t="s">
        <v>4</v>
      </c>
      <c r="AW179" s="896"/>
      <c r="AX179" s="896"/>
      <c r="AY179" s="896"/>
      <c r="AZ179" s="896"/>
      <c r="BA179" s="896"/>
      <c r="BB179" s="896"/>
      <c r="BC179" s="896"/>
      <c r="BD179" s="896"/>
      <c r="BE179" s="896"/>
      <c r="BF179" s="55"/>
      <c r="BG179" s="55"/>
      <c r="BH179" s="55"/>
      <c r="BI179" s="55"/>
      <c r="BJ179" s="55"/>
      <c r="BK179" s="913"/>
      <c r="BL179" s="913"/>
      <c r="BM179" s="913"/>
      <c r="BN179" s="913"/>
      <c r="BO179" s="913"/>
      <c r="BP179" s="913"/>
      <c r="BQ179" s="913"/>
      <c r="BR179" s="913"/>
      <c r="BS179" s="913"/>
      <c r="BT179" s="913"/>
      <c r="BU179" s="718"/>
      <c r="BV179" s="891"/>
      <c r="BW179" s="1919"/>
      <c r="BX179" s="1919"/>
      <c r="BY179" s="1919"/>
      <c r="BZ179" s="1919"/>
      <c r="CA179" s="1919"/>
      <c r="CB179" s="1919"/>
      <c r="CC179" s="1919"/>
      <c r="CD179" s="1919"/>
      <c r="CE179" s="1919"/>
      <c r="CF179" s="1919"/>
      <c r="CG179" s="1919"/>
      <c r="CH179" s="1919"/>
      <c r="CI179" s="1919"/>
      <c r="CJ179" s="1919"/>
      <c r="CK179" s="1919"/>
      <c r="CL179" s="1919"/>
      <c r="CM179" s="1919"/>
      <c r="CN179" s="1919"/>
      <c r="CO179" s="1919"/>
      <c r="CP179" s="1919"/>
      <c r="CQ179" s="1919"/>
      <c r="CR179" s="1919"/>
      <c r="CS179" s="1919"/>
      <c r="CT179" s="891"/>
      <c r="CU179" s="918"/>
      <c r="CV179" s="398"/>
      <c r="CW179" s="398"/>
      <c r="CX179" s="398"/>
      <c r="CY179" s="398"/>
      <c r="CZ179" s="398"/>
      <c r="DA179" s="398"/>
      <c r="DB179" s="398"/>
      <c r="DC179" s="35"/>
      <c r="DD179" s="36"/>
      <c r="DE179" s="36"/>
      <c r="DF179" s="36"/>
      <c r="DG179" s="36"/>
      <c r="DH179" s="36"/>
      <c r="DI179" s="36"/>
      <c r="DJ179" s="36"/>
      <c r="DK179" s="1068"/>
      <c r="DL179" s="1046"/>
      <c r="DM179" s="171"/>
      <c r="DN179" s="171"/>
      <c r="DO179" s="171"/>
      <c r="DP179" s="171"/>
      <c r="DQ179" s="171"/>
      <c r="EG179" s="178"/>
      <c r="EH179" s="178"/>
      <c r="EI179" s="178"/>
      <c r="EJ179" s="178"/>
      <c r="EK179" s="178"/>
      <c r="FO179" s="1046"/>
      <c r="FV179" s="178"/>
      <c r="FW179" s="178"/>
      <c r="FX179" s="178"/>
      <c r="FY179" s="178"/>
      <c r="FZ179" s="178"/>
      <c r="GA179" s="171"/>
    </row>
    <row r="180" spans="1:183" ht="27" customHeight="1">
      <c r="A180" s="645"/>
      <c r="B180" s="645"/>
      <c r="C180" s="645"/>
      <c r="D180" s="645"/>
      <c r="E180" s="646"/>
      <c r="J180" s="39"/>
      <c r="K180" s="896"/>
      <c r="L180" s="896"/>
      <c r="M180" s="2184"/>
      <c r="N180" s="2184"/>
      <c r="O180" s="2184"/>
      <c r="P180" s="2215"/>
      <c r="Q180" s="2215"/>
      <c r="R180" s="2215"/>
      <c r="S180" s="2215"/>
      <c r="T180" s="2215"/>
      <c r="U180" s="1866" t="s">
        <v>719</v>
      </c>
      <c r="V180" s="2062"/>
      <c r="W180" s="2062"/>
      <c r="X180" s="2062"/>
      <c r="Y180" s="2062"/>
      <c r="Z180" s="2062"/>
      <c r="AA180" s="2062"/>
      <c r="AB180" s="2176"/>
      <c r="AC180" s="2176"/>
      <c r="AD180" s="2176"/>
      <c r="AE180" s="2176"/>
      <c r="AF180" s="2176"/>
      <c r="AG180" s="2176"/>
      <c r="AH180" s="2176"/>
      <c r="AI180" s="2176"/>
      <c r="AJ180" s="2176"/>
      <c r="AK180" s="2176"/>
      <c r="AL180" s="2176"/>
      <c r="AM180" s="2176"/>
      <c r="AN180" s="2176"/>
      <c r="AO180" s="2176"/>
      <c r="AP180" s="2176"/>
      <c r="AQ180" s="2176"/>
      <c r="AR180" s="2176"/>
      <c r="AS180" s="2176"/>
      <c r="AT180" s="2176"/>
      <c r="AU180" s="2176"/>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1052"/>
      <c r="BV180" s="891"/>
      <c r="BW180" s="1919"/>
      <c r="BX180" s="1919"/>
      <c r="BY180" s="1919"/>
      <c r="BZ180" s="1919"/>
      <c r="CA180" s="1919"/>
      <c r="CB180" s="1919"/>
      <c r="CC180" s="1919"/>
      <c r="CD180" s="1919"/>
      <c r="CE180" s="1919"/>
      <c r="CF180" s="1919"/>
      <c r="CG180" s="1919"/>
      <c r="CH180" s="1919"/>
      <c r="CI180" s="1919"/>
      <c r="CJ180" s="1919"/>
      <c r="CK180" s="1919"/>
      <c r="CL180" s="1919"/>
      <c r="CM180" s="1919"/>
      <c r="CN180" s="1919"/>
      <c r="CO180" s="1919"/>
      <c r="CP180" s="1919"/>
      <c r="CQ180" s="1919"/>
      <c r="CR180" s="1919"/>
      <c r="CS180" s="1919"/>
      <c r="CT180" s="891"/>
      <c r="CU180" s="918"/>
      <c r="DD180" s="36"/>
      <c r="DE180" s="36"/>
      <c r="DF180" s="36"/>
      <c r="DG180" s="36"/>
      <c r="DH180" s="36"/>
      <c r="DI180" s="36"/>
      <c r="DJ180" s="36"/>
      <c r="DO180" s="187" t="s">
        <v>879</v>
      </c>
      <c r="DP180" s="187" t="s">
        <v>880</v>
      </c>
      <c r="EG180" s="172"/>
      <c r="EH180" s="172"/>
      <c r="EI180" s="172"/>
      <c r="EJ180" s="172"/>
      <c r="EK180" s="172"/>
      <c r="FV180" s="172"/>
      <c r="FW180" s="172"/>
      <c r="FX180" s="172"/>
      <c r="FY180" s="172"/>
      <c r="FZ180" s="172"/>
    </row>
    <row r="181" spans="1:183" ht="27" customHeight="1" thickBot="1">
      <c r="A181" s="645"/>
      <c r="B181" s="645"/>
      <c r="C181" s="645"/>
      <c r="D181" s="645"/>
      <c r="E181" s="646"/>
      <c r="J181" s="39"/>
      <c r="K181" s="896"/>
      <c r="L181" s="896"/>
      <c r="M181" s="2184"/>
      <c r="N181" s="2184"/>
      <c r="O181" s="2184"/>
      <c r="P181" s="2155"/>
      <c r="Q181" s="2155"/>
      <c r="R181" s="2155"/>
      <c r="S181" s="2155"/>
      <c r="T181" s="2155"/>
      <c r="U181" s="2206" t="s">
        <v>721</v>
      </c>
      <c r="V181" s="2207"/>
      <c r="W181" s="2207"/>
      <c r="X181" s="2207"/>
      <c r="Y181" s="2207"/>
      <c r="Z181" s="2207"/>
      <c r="AA181" s="2207"/>
      <c r="AB181" s="2190"/>
      <c r="AC181" s="2190"/>
      <c r="AD181" s="2190"/>
      <c r="AE181" s="2190"/>
      <c r="AF181" s="2190"/>
      <c r="AG181" s="2190"/>
      <c r="AH181" s="2190"/>
      <c r="AI181" s="2190"/>
      <c r="AJ181" s="2190"/>
      <c r="AK181" s="2190"/>
      <c r="AL181" s="2190"/>
      <c r="AM181" s="2190"/>
      <c r="AN181" s="2190"/>
      <c r="AO181" s="2190"/>
      <c r="AP181" s="2190"/>
      <c r="AQ181" s="2190"/>
      <c r="AR181" s="2190"/>
      <c r="AS181" s="2190"/>
      <c r="AT181" s="2190"/>
      <c r="AU181" s="2190"/>
      <c r="AV181" s="268" t="str">
        <f>IF(AND(AB177="有",AB180="指定確認検査機関",AB181=""),"←指定確認検査機関名が必要です","")</f>
        <v/>
      </c>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1052"/>
      <c r="BV181" s="1959" t="s">
        <v>5685</v>
      </c>
      <c r="BW181" s="1959"/>
      <c r="BX181" s="1959"/>
      <c r="BY181" s="1959"/>
      <c r="BZ181" s="1959"/>
      <c r="CA181" s="1959"/>
      <c r="CB181" s="1959"/>
      <c r="CC181" s="1959"/>
      <c r="CD181" s="1959"/>
      <c r="CE181" s="1959"/>
      <c r="CF181" s="1959"/>
      <c r="CG181" s="1959"/>
      <c r="CH181" s="1959"/>
      <c r="CI181" s="1959"/>
      <c r="CJ181" s="1959"/>
      <c r="CK181" s="1959"/>
      <c r="CL181" s="1959"/>
      <c r="CM181" s="1959"/>
      <c r="CN181" s="1959"/>
      <c r="CO181" s="1959"/>
      <c r="CP181" s="1959"/>
      <c r="CQ181" s="1959"/>
      <c r="CR181" s="1959"/>
      <c r="CS181" s="1959"/>
      <c r="CT181" s="891"/>
      <c r="CU181" s="918"/>
      <c r="DD181" s="36"/>
      <c r="DE181" s="36"/>
      <c r="DF181" s="36"/>
      <c r="DG181" s="36"/>
      <c r="DH181" s="36"/>
      <c r="DI181" s="36"/>
      <c r="DJ181" s="36"/>
      <c r="DO181" s="188" t="str">
        <f>IF(AB180="建築主事","レ","")</f>
        <v/>
      </c>
      <c r="DP181" s="188" t="str">
        <f>IF(AB180="指定確認検査機関","レ","")</f>
        <v/>
      </c>
      <c r="EG181" s="172"/>
      <c r="EH181" s="172"/>
      <c r="EI181" s="172"/>
      <c r="EJ181" s="172"/>
      <c r="EK181" s="172"/>
      <c r="FV181" s="172"/>
      <c r="FW181" s="172"/>
      <c r="FX181" s="172"/>
      <c r="FY181" s="172"/>
      <c r="FZ181" s="172"/>
    </row>
    <row r="182" spans="1:183" ht="33" customHeight="1" thickBot="1">
      <c r="A182" s="645"/>
      <c r="B182" s="645"/>
      <c r="C182" s="645"/>
      <c r="D182" s="645"/>
      <c r="E182" s="646"/>
      <c r="J182" s="38"/>
      <c r="K182" s="51"/>
      <c r="L182" s="51"/>
      <c r="M182" s="915" t="s">
        <v>5660</v>
      </c>
      <c r="N182" s="915"/>
      <c r="O182" s="915"/>
      <c r="P182" s="636"/>
      <c r="Q182" s="636"/>
      <c r="R182" s="636"/>
      <c r="S182" s="636"/>
      <c r="T182" s="636"/>
      <c r="U182" s="636"/>
      <c r="V182" s="636"/>
      <c r="W182" s="636"/>
      <c r="X182" s="636"/>
      <c r="Y182" s="636"/>
      <c r="Z182" s="636"/>
      <c r="AA182" s="636"/>
      <c r="AB182" s="636"/>
      <c r="AC182" s="636"/>
      <c r="AD182" s="636"/>
      <c r="AE182" s="636"/>
      <c r="AF182" s="636"/>
      <c r="AG182" s="636"/>
      <c r="AH182" s="636"/>
      <c r="AI182" s="636"/>
      <c r="AJ182" s="636"/>
      <c r="AK182" s="636"/>
      <c r="AL182" s="1104" t="str">
        <f>IF(AB171="新築","←新築時以降、増築や用途変更等で建築確認を受けていない場合、チェックを入れてください","")</f>
        <v/>
      </c>
      <c r="AM182" s="636"/>
      <c r="AN182" s="636"/>
      <c r="AO182" s="636"/>
      <c r="AP182" s="636"/>
      <c r="AQ182" s="636"/>
      <c r="AR182" s="636"/>
      <c r="AS182" s="636"/>
      <c r="AT182" s="636"/>
      <c r="AU182" s="636"/>
      <c r="AV182" s="636"/>
      <c r="AW182" s="636"/>
      <c r="AX182" s="636"/>
      <c r="AY182" s="636"/>
      <c r="AZ182" s="636"/>
      <c r="BA182" s="636"/>
      <c r="BB182" s="636"/>
      <c r="BC182" s="636"/>
      <c r="BD182" s="636"/>
      <c r="BE182" s="636"/>
      <c r="BF182" s="636"/>
      <c r="BG182" s="636"/>
      <c r="BH182" s="636"/>
      <c r="BI182" s="636"/>
      <c r="BJ182" s="636"/>
      <c r="BK182" s="636"/>
      <c r="BL182" s="636"/>
      <c r="BM182" s="636"/>
      <c r="BN182" s="636"/>
      <c r="BO182" s="636"/>
      <c r="BP182" s="636"/>
      <c r="BQ182" s="636"/>
      <c r="BR182" s="636"/>
      <c r="BS182" s="636"/>
      <c r="BT182" s="636"/>
      <c r="BU182" s="1052"/>
      <c r="BV182" s="1959"/>
      <c r="BW182" s="1959"/>
      <c r="BX182" s="1959"/>
      <c r="BY182" s="1959"/>
      <c r="BZ182" s="1959"/>
      <c r="CA182" s="1959"/>
      <c r="CB182" s="1959"/>
      <c r="CC182" s="1959"/>
      <c r="CD182" s="1959"/>
      <c r="CE182" s="1959"/>
      <c r="CF182" s="1959"/>
      <c r="CG182" s="1959"/>
      <c r="CH182" s="1959"/>
      <c r="CI182" s="1959"/>
      <c r="CJ182" s="1959"/>
      <c r="CK182" s="1959"/>
      <c r="CL182" s="1959"/>
      <c r="CM182" s="1959"/>
      <c r="CN182" s="1959"/>
      <c r="CO182" s="1959"/>
      <c r="CP182" s="1959"/>
      <c r="CQ182" s="1959"/>
      <c r="CR182" s="1959"/>
      <c r="CS182" s="1959"/>
      <c r="CT182" s="891"/>
      <c r="CU182" s="918"/>
      <c r="DD182" s="36"/>
      <c r="DE182" s="36"/>
      <c r="DF182" s="36"/>
      <c r="DG182" s="36"/>
      <c r="DH182" s="36"/>
      <c r="DI182" s="36"/>
      <c r="DJ182" s="36"/>
      <c r="DN182" s="343" t="b">
        <v>0</v>
      </c>
      <c r="DO182" s="684"/>
      <c r="DP182" s="685"/>
      <c r="DQ182" s="687"/>
      <c r="EG182" s="172"/>
      <c r="EH182" s="172"/>
      <c r="EI182" s="172"/>
      <c r="EJ182" s="172"/>
      <c r="EK182" s="172"/>
      <c r="FV182" s="172"/>
      <c r="FW182" s="172"/>
      <c r="FX182" s="172"/>
      <c r="FY182" s="172"/>
      <c r="FZ182" s="172"/>
    </row>
    <row r="183" spans="1:183" s="172" customFormat="1" ht="27" customHeight="1" thickBot="1">
      <c r="A183" s="645"/>
      <c r="B183" s="645"/>
      <c r="C183" s="645"/>
      <c r="D183" s="645"/>
      <c r="E183" s="646"/>
      <c r="F183" s="381"/>
      <c r="G183" s="381"/>
      <c r="H183" s="381"/>
      <c r="I183" s="251"/>
      <c r="J183" s="39"/>
      <c r="K183" s="896"/>
      <c r="L183" s="896"/>
      <c r="M183" s="2192"/>
      <c r="N183" s="2193"/>
      <c r="O183" s="2193"/>
      <c r="P183" s="2216" t="s">
        <v>716</v>
      </c>
      <c r="Q183" s="2216"/>
      <c r="R183" s="2216"/>
      <c r="S183" s="2216"/>
      <c r="T183" s="2216"/>
      <c r="U183" s="2216"/>
      <c r="V183" s="2216"/>
      <c r="W183" s="2216"/>
      <c r="X183" s="2216"/>
      <c r="Y183" s="2216"/>
      <c r="Z183" s="2216"/>
      <c r="AA183" s="2216"/>
      <c r="AB183" s="2218"/>
      <c r="AC183" s="2218"/>
      <c r="AD183" s="2218"/>
      <c r="AE183" s="2219"/>
      <c r="AF183" s="2219"/>
      <c r="AG183" s="2219"/>
      <c r="AH183" s="2219"/>
      <c r="AI183" s="2219"/>
      <c r="AJ183" s="2219"/>
      <c r="AK183" s="2219"/>
      <c r="AL183" s="268" t="str">
        <f>IF(AND(DN182=FALSE,AB183=""),"←どれか１つ選んでください","")</f>
        <v>←どれか１つ選んでください</v>
      </c>
      <c r="AM183" s="896"/>
      <c r="AN183" s="896"/>
      <c r="AO183" s="896"/>
      <c r="AP183" s="896"/>
      <c r="AQ183" s="896"/>
      <c r="AR183" s="896"/>
      <c r="AS183" s="896"/>
      <c r="AT183" s="896"/>
      <c r="AU183" s="896"/>
      <c r="AV183" s="896"/>
      <c r="AW183" s="896"/>
      <c r="AX183" s="896"/>
      <c r="AY183" s="896"/>
      <c r="AZ183" s="896"/>
      <c r="BA183" s="896"/>
      <c r="BB183" s="896"/>
      <c r="BC183" s="896"/>
      <c r="BD183" s="896"/>
      <c r="BE183" s="896"/>
      <c r="BF183" s="897"/>
      <c r="BG183" s="897"/>
      <c r="BH183" s="897"/>
      <c r="BI183" s="897"/>
      <c r="BJ183" s="897"/>
      <c r="BK183" s="897"/>
      <c r="BL183" s="897"/>
      <c r="BM183" s="897"/>
      <c r="BN183" s="911"/>
      <c r="BO183" s="911"/>
      <c r="BP183" s="911"/>
      <c r="BQ183" s="911"/>
      <c r="BR183" s="911"/>
      <c r="BS183" s="911"/>
      <c r="BT183" s="911"/>
      <c r="BU183" s="717"/>
      <c r="BV183" s="1099" t="s">
        <v>2727</v>
      </c>
      <c r="BW183" s="1919" t="s">
        <v>2794</v>
      </c>
      <c r="BX183" s="1919"/>
      <c r="BY183" s="1919"/>
      <c r="BZ183" s="1919"/>
      <c r="CA183" s="1919"/>
      <c r="CB183" s="1919"/>
      <c r="CC183" s="1919"/>
      <c r="CD183" s="1919"/>
      <c r="CE183" s="1919"/>
      <c r="CF183" s="1919"/>
      <c r="CG183" s="1919"/>
      <c r="CH183" s="1919"/>
      <c r="CI183" s="1919"/>
      <c r="CJ183" s="1919"/>
      <c r="CK183" s="1919"/>
      <c r="CL183" s="1919"/>
      <c r="CM183" s="1919"/>
      <c r="CN183" s="1919"/>
      <c r="CO183" s="1919"/>
      <c r="CP183" s="1919"/>
      <c r="CQ183" s="1919"/>
      <c r="CR183" s="1919"/>
      <c r="CS183" s="1919"/>
      <c r="CT183" s="718"/>
      <c r="CU183" s="1105"/>
      <c r="CV183" s="171"/>
      <c r="CW183" s="171"/>
      <c r="CX183" s="171"/>
      <c r="CY183" s="171"/>
      <c r="CZ183" s="171"/>
      <c r="DA183" s="171"/>
      <c r="DB183" s="171"/>
      <c r="DC183" s="369"/>
      <c r="DD183" s="1074"/>
      <c r="DE183" s="1074"/>
      <c r="DF183" s="1075"/>
      <c r="DG183" s="1075"/>
      <c r="DH183" s="1075"/>
      <c r="DI183" s="1075"/>
      <c r="DJ183" s="1075"/>
      <c r="DK183" s="1045"/>
      <c r="DL183" s="1046"/>
      <c r="DM183" s="171"/>
      <c r="DN183" s="275" t="s">
        <v>2440</v>
      </c>
      <c r="DO183" s="686"/>
      <c r="DP183" s="425"/>
      <c r="DQ183" s="425"/>
      <c r="DS183" s="374"/>
      <c r="DT183" s="374"/>
      <c r="DV183" s="172" t="s">
        <v>2732</v>
      </c>
      <c r="DW183" s="273" t="str">
        <f>IF($DN$182,IF(AB169="","",AB169),IF(AB183="","",AB183))</f>
        <v/>
      </c>
      <c r="FO183" s="1046"/>
      <c r="GA183" s="171"/>
    </row>
    <row r="184" spans="1:183" s="172" customFormat="1" ht="27" customHeight="1" thickBot="1">
      <c r="A184" s="645"/>
      <c r="B184" s="645"/>
      <c r="C184" s="645"/>
      <c r="D184" s="645"/>
      <c r="E184" s="646"/>
      <c r="F184" s="381"/>
      <c r="G184" s="381"/>
      <c r="H184" s="381"/>
      <c r="I184" s="251"/>
      <c r="J184" s="39"/>
      <c r="K184" s="896"/>
      <c r="L184" s="896"/>
      <c r="M184" s="2187"/>
      <c r="N184" s="2188"/>
      <c r="O184" s="2188"/>
      <c r="P184" s="2154" t="s">
        <v>1031</v>
      </c>
      <c r="Q184" s="2179"/>
      <c r="R184" s="2179"/>
      <c r="S184" s="2179"/>
      <c r="T184" s="2179"/>
      <c r="U184" s="2175" t="s">
        <v>1032</v>
      </c>
      <c r="V184" s="2175"/>
      <c r="W184" s="2175"/>
      <c r="X184" s="2175"/>
      <c r="Y184" s="2175"/>
      <c r="Z184" s="2175"/>
      <c r="AA184" s="2175"/>
      <c r="AB184" s="1854"/>
      <c r="AC184" s="1950"/>
      <c r="AD184" s="1950"/>
      <c r="AE184" s="54" t="str">
        <f>IF(AND(DN182=FALSE,AB185=""),"←どれか１つ選んでください","")</f>
        <v>←どれか１つ選んでください</v>
      </c>
      <c r="AF184" s="49"/>
      <c r="AG184" s="49"/>
      <c r="AH184" s="49"/>
      <c r="AI184" s="1106"/>
      <c r="AJ184" s="49"/>
      <c r="AK184" s="50"/>
      <c r="AL184" s="50"/>
      <c r="AM184" s="50"/>
      <c r="AN184" s="50"/>
      <c r="AO184" s="50"/>
      <c r="AP184" s="50"/>
      <c r="AQ184" s="50"/>
      <c r="AR184" s="50"/>
      <c r="AS184" s="263"/>
      <c r="AT184" s="50"/>
      <c r="AU184" s="263"/>
      <c r="AV184" s="50"/>
      <c r="AW184" s="50"/>
      <c r="AX184" s="50"/>
      <c r="AY184" s="50"/>
      <c r="AZ184" s="50"/>
      <c r="BA184" s="50"/>
      <c r="BB184" s="50"/>
      <c r="BC184" s="50"/>
      <c r="BD184" s="50"/>
      <c r="BE184" s="50"/>
      <c r="BF184" s="899"/>
      <c r="BG184" s="899"/>
      <c r="BH184" s="899"/>
      <c r="BI184" s="899"/>
      <c r="BJ184" s="899"/>
      <c r="BK184" s="899"/>
      <c r="BL184" s="899"/>
      <c r="BM184" s="899"/>
      <c r="BN184" s="899"/>
      <c r="BO184" s="899"/>
      <c r="BP184" s="899"/>
      <c r="BQ184" s="899"/>
      <c r="BR184" s="899"/>
      <c r="BS184" s="898"/>
      <c r="BT184" s="898"/>
      <c r="BU184" s="1094"/>
      <c r="BV184" s="1107"/>
      <c r="BW184" s="1919"/>
      <c r="BX184" s="1919"/>
      <c r="BY184" s="1919"/>
      <c r="BZ184" s="1919"/>
      <c r="CA184" s="1919"/>
      <c r="CB184" s="1919"/>
      <c r="CC184" s="1919"/>
      <c r="CD184" s="1919"/>
      <c r="CE184" s="1919"/>
      <c r="CF184" s="1919"/>
      <c r="CG184" s="1919"/>
      <c r="CH184" s="1919"/>
      <c r="CI184" s="1919"/>
      <c r="CJ184" s="1919"/>
      <c r="CK184" s="1919"/>
      <c r="CL184" s="1919"/>
      <c r="CM184" s="1919"/>
      <c r="CN184" s="1919"/>
      <c r="CO184" s="1919"/>
      <c r="CP184" s="1919"/>
      <c r="CQ184" s="1919"/>
      <c r="CR184" s="1919"/>
      <c r="CS184" s="1919"/>
      <c r="CT184" s="891"/>
      <c r="CU184" s="918"/>
      <c r="CV184" s="398"/>
      <c r="CW184" s="398"/>
      <c r="CX184" s="398"/>
      <c r="CY184" s="398"/>
      <c r="CZ184" s="398"/>
      <c r="DA184" s="398"/>
      <c r="DB184" s="398"/>
      <c r="DC184" s="35"/>
      <c r="DD184" s="36"/>
      <c r="DE184" s="36"/>
      <c r="DF184" s="36"/>
      <c r="DG184" s="36"/>
      <c r="DH184" s="36"/>
      <c r="DI184" s="36"/>
      <c r="DJ184" s="36"/>
      <c r="DK184" s="1045"/>
      <c r="DL184" s="1046"/>
      <c r="DM184" s="184"/>
      <c r="DN184" s="185">
        <f>COUNTA(AB185,AB186,AE186,AJ186,AO186,AB187,AB188,AB189)</f>
        <v>0</v>
      </c>
      <c r="DO184" s="171"/>
      <c r="DP184" s="171"/>
      <c r="DQ184" s="171"/>
      <c r="DS184" s="374"/>
      <c r="DT184" s="374"/>
      <c r="DV184" s="172" t="s">
        <v>2733</v>
      </c>
      <c r="DW184" s="273" t="str">
        <f t="shared" ref="DW184:DW195" si="10">IF($DN$182,IF(AB170="","",AB170),IF(AB184="","",AB184))</f>
        <v/>
      </c>
      <c r="FO184" s="1046"/>
      <c r="GA184" s="171"/>
    </row>
    <row r="185" spans="1:183" s="172" customFormat="1" ht="27" customHeight="1">
      <c r="A185" s="645"/>
      <c r="B185" s="645"/>
      <c r="C185" s="645"/>
      <c r="D185" s="645"/>
      <c r="E185" s="646"/>
      <c r="F185" s="381"/>
      <c r="G185" s="381"/>
      <c r="H185" s="381"/>
      <c r="I185" s="251"/>
      <c r="J185" s="39"/>
      <c r="K185" s="896"/>
      <c r="L185" s="896"/>
      <c r="M185" s="2188"/>
      <c r="N185" s="2188"/>
      <c r="O185" s="2188"/>
      <c r="P185" s="2180"/>
      <c r="Q185" s="2180"/>
      <c r="R185" s="2180"/>
      <c r="S185" s="2180"/>
      <c r="T185" s="2180"/>
      <c r="U185" s="1866" t="s">
        <v>1033</v>
      </c>
      <c r="V185" s="2062"/>
      <c r="W185" s="2062"/>
      <c r="X185" s="2062"/>
      <c r="Y185" s="2062"/>
      <c r="Z185" s="2062"/>
      <c r="AA185" s="2062"/>
      <c r="AB185" s="1951"/>
      <c r="AC185" s="1951"/>
      <c r="AD185" s="1951"/>
      <c r="AE185" s="1951"/>
      <c r="AF185" s="1951"/>
      <c r="AG185" s="1951"/>
      <c r="AH185" s="1951"/>
      <c r="AI185" s="1951"/>
      <c r="AJ185" s="1951"/>
      <c r="AK185" s="896"/>
      <c r="AL185" s="896"/>
      <c r="AM185" s="896"/>
      <c r="AN185" s="896"/>
      <c r="AO185" s="896"/>
      <c r="AP185" s="896"/>
      <c r="AQ185" s="896"/>
      <c r="AR185" s="896"/>
      <c r="AS185" s="62" t="str">
        <f>IF(AND(AB184="有",DN184&lt;7),"←確認済証が有る場合、種別と交付番号等の入力が必要です","")</f>
        <v/>
      </c>
      <c r="AT185" s="896"/>
      <c r="AU185" s="896"/>
      <c r="AV185" s="896"/>
      <c r="AW185" s="896"/>
      <c r="AX185" s="896"/>
      <c r="AY185" s="896"/>
      <c r="AZ185" s="896"/>
      <c r="BA185" s="896"/>
      <c r="BB185" s="896"/>
      <c r="BC185" s="896"/>
      <c r="BD185" s="896"/>
      <c r="BE185" s="896"/>
      <c r="BF185" s="896"/>
      <c r="BG185" s="896"/>
      <c r="BH185" s="896"/>
      <c r="BI185" s="896"/>
      <c r="BJ185" s="896"/>
      <c r="BK185" s="896"/>
      <c r="BL185" s="896"/>
      <c r="BM185" s="896"/>
      <c r="BN185" s="896"/>
      <c r="BO185" s="896"/>
      <c r="BP185" s="896"/>
      <c r="BQ185" s="896"/>
      <c r="BR185" s="896"/>
      <c r="BS185" s="896"/>
      <c r="BT185" s="896"/>
      <c r="BU185" s="1094"/>
      <c r="BV185" s="1096"/>
      <c r="BW185" s="1920" t="s">
        <v>5683</v>
      </c>
      <c r="BX185" s="1920"/>
      <c r="BY185" s="1920"/>
      <c r="BZ185" s="1920"/>
      <c r="CA185" s="1920"/>
      <c r="CB185" s="1920"/>
      <c r="CC185" s="1920"/>
      <c r="CD185" s="1920"/>
      <c r="CE185" s="1920"/>
      <c r="CF185" s="1920"/>
      <c r="CG185" s="1920"/>
      <c r="CH185" s="1920"/>
      <c r="CI185" s="1920"/>
      <c r="CJ185" s="1920"/>
      <c r="CK185" s="1920"/>
      <c r="CL185" s="1920"/>
      <c r="CM185" s="1920"/>
      <c r="CN185" s="1920"/>
      <c r="CO185" s="1920"/>
      <c r="CP185" s="1920"/>
      <c r="CQ185" s="1920"/>
      <c r="CR185" s="1920"/>
      <c r="CS185" s="1920"/>
      <c r="CT185" s="891"/>
      <c r="CU185" s="918"/>
      <c r="CV185" s="398"/>
      <c r="CW185" s="398"/>
      <c r="CX185" s="398"/>
      <c r="CY185" s="398"/>
      <c r="CZ185" s="398"/>
      <c r="DA185" s="398"/>
      <c r="DB185" s="398"/>
      <c r="DC185" s="35"/>
      <c r="DD185" s="36"/>
      <c r="DE185" s="36"/>
      <c r="DF185" s="36"/>
      <c r="DG185" s="36"/>
      <c r="DH185" s="36"/>
      <c r="DI185" s="36"/>
      <c r="DJ185" s="36"/>
      <c r="DK185" s="1045"/>
      <c r="DL185" s="1046"/>
      <c r="DM185" s="171"/>
      <c r="DN185" s="171"/>
      <c r="DO185" s="171"/>
      <c r="DP185" s="171"/>
      <c r="DQ185" s="171"/>
      <c r="DS185" s="374"/>
      <c r="DT185" s="374"/>
      <c r="DV185" s="172" t="s">
        <v>2734</v>
      </c>
      <c r="DW185" s="688" t="str">
        <f t="shared" si="10"/>
        <v/>
      </c>
      <c r="EB185" s="172" t="s">
        <v>4635</v>
      </c>
      <c r="FO185" s="1046"/>
      <c r="GA185" s="171"/>
    </row>
    <row r="186" spans="1:183" s="172" customFormat="1" ht="27" customHeight="1">
      <c r="A186" s="645"/>
      <c r="B186" s="645"/>
      <c r="C186" s="645"/>
      <c r="D186" s="645"/>
      <c r="E186" s="646"/>
      <c r="F186" s="381"/>
      <c r="G186" s="381"/>
      <c r="H186" s="381"/>
      <c r="I186" s="251"/>
      <c r="J186" s="39"/>
      <c r="K186" s="896"/>
      <c r="L186" s="896"/>
      <c r="M186" s="2188"/>
      <c r="N186" s="2188"/>
      <c r="O186" s="2188"/>
      <c r="P186" s="2180"/>
      <c r="Q186" s="2180"/>
      <c r="R186" s="2180"/>
      <c r="S186" s="2180"/>
      <c r="T186" s="2180"/>
      <c r="U186" s="1866" t="s">
        <v>722</v>
      </c>
      <c r="V186" s="2062"/>
      <c r="W186" s="2062"/>
      <c r="X186" s="2062"/>
      <c r="Y186" s="2062"/>
      <c r="Z186" s="2062"/>
      <c r="AA186" s="2062"/>
      <c r="AB186" s="2060"/>
      <c r="AC186" s="2061"/>
      <c r="AD186" s="2061"/>
      <c r="AE186" s="2209"/>
      <c r="AF186" s="2209"/>
      <c r="AG186" s="2210"/>
      <c r="AH186" s="642" t="s">
        <v>12</v>
      </c>
      <c r="AI186" s="643"/>
      <c r="AJ186" s="1951"/>
      <c r="AK186" s="1951"/>
      <c r="AL186" s="1951"/>
      <c r="AM186" s="895" t="s">
        <v>170</v>
      </c>
      <c r="AN186" s="895"/>
      <c r="AO186" s="1951"/>
      <c r="AP186" s="1951"/>
      <c r="AQ186" s="1951"/>
      <c r="AR186" s="896" t="s">
        <v>171</v>
      </c>
      <c r="AS186" s="896"/>
      <c r="AT186" s="896"/>
      <c r="AU186" s="896"/>
      <c r="AV186" s="896"/>
      <c r="AW186" s="896"/>
      <c r="AX186" s="896"/>
      <c r="AY186" s="896"/>
      <c r="AZ186" s="896"/>
      <c r="BA186" s="896"/>
      <c r="BB186" s="896"/>
      <c r="BC186" s="896"/>
      <c r="BD186" s="896"/>
      <c r="BE186" s="896"/>
      <c r="BF186" s="896"/>
      <c r="BG186" s="896"/>
      <c r="BH186" s="896"/>
      <c r="BI186" s="896"/>
      <c r="BJ186" s="896"/>
      <c r="BK186" s="896"/>
      <c r="BL186" s="896"/>
      <c r="BM186" s="896"/>
      <c r="BN186" s="896"/>
      <c r="BO186" s="896"/>
      <c r="BP186" s="896"/>
      <c r="BQ186" s="896"/>
      <c r="BR186" s="896"/>
      <c r="BS186" s="896"/>
      <c r="BT186" s="896"/>
      <c r="BU186" s="1094"/>
      <c r="BV186" s="1096"/>
      <c r="BW186" s="1920"/>
      <c r="BX186" s="1920"/>
      <c r="BY186" s="1920"/>
      <c r="BZ186" s="1920"/>
      <c r="CA186" s="1920"/>
      <c r="CB186" s="1920"/>
      <c r="CC186" s="1920"/>
      <c r="CD186" s="1920"/>
      <c r="CE186" s="1920"/>
      <c r="CF186" s="1920"/>
      <c r="CG186" s="1920"/>
      <c r="CH186" s="1920"/>
      <c r="CI186" s="1920"/>
      <c r="CJ186" s="1920"/>
      <c r="CK186" s="1920"/>
      <c r="CL186" s="1920"/>
      <c r="CM186" s="1920"/>
      <c r="CN186" s="1920"/>
      <c r="CO186" s="1920"/>
      <c r="CP186" s="1920"/>
      <c r="CQ186" s="1920"/>
      <c r="CR186" s="1920"/>
      <c r="CS186" s="1920"/>
      <c r="CT186" s="891"/>
      <c r="CU186" s="918"/>
      <c r="CV186" s="398"/>
      <c r="CW186" s="398"/>
      <c r="CX186" s="398"/>
      <c r="CY186" s="398"/>
      <c r="CZ186" s="398"/>
      <c r="DA186" s="398"/>
      <c r="DB186" s="398"/>
      <c r="DC186" s="35"/>
      <c r="DD186" s="36"/>
      <c r="DE186" s="36"/>
      <c r="DF186" s="36"/>
      <c r="DG186" s="36"/>
      <c r="DH186" s="36"/>
      <c r="DI186" s="36"/>
      <c r="DJ186" s="36"/>
      <c r="DK186" s="1045"/>
      <c r="DL186" s="1046"/>
      <c r="DM186" s="171"/>
      <c r="DN186" s="171"/>
      <c r="DO186" s="171"/>
      <c r="DP186" s="171"/>
      <c r="DQ186" s="171"/>
      <c r="DS186" s="374"/>
      <c r="DT186" s="374"/>
      <c r="DV186" s="172" t="s">
        <v>2735</v>
      </c>
      <c r="DW186" s="273" t="str">
        <f t="shared" si="10"/>
        <v/>
      </c>
      <c r="DX186" s="273" t="str">
        <f>IF($DN$182,IF(AE172="","",AE172),IF(AE186="","",AE186))</f>
        <v/>
      </c>
      <c r="DY186" s="273" t="str">
        <f>IF($DN$182,IF(AJ172="","",AJ172),IF(AJ186="","",AJ186))</f>
        <v/>
      </c>
      <c r="DZ186" s="273" t="str">
        <f>IF($DN$182,IF(AO172="","",AO172),IF(AO186="","",AO186))</f>
        <v/>
      </c>
      <c r="EA186" s="838" t="e">
        <f>DATE(VLOOKUP(AB186,$EB$172:$EC$175,2,FALSE)+AE186,AJ186,AO186)</f>
        <v>#N/A</v>
      </c>
      <c r="EB186" s="838" t="e">
        <f>IF($DN$182,EA172,EA186)</f>
        <v>#N/A</v>
      </c>
      <c r="EG186" s="167"/>
      <c r="EH186" s="167"/>
      <c r="EI186" s="167"/>
      <c r="EJ186" s="167"/>
      <c r="EK186" s="167"/>
      <c r="FO186" s="1046"/>
      <c r="FV186" s="167"/>
      <c r="FW186" s="167"/>
      <c r="FX186" s="167"/>
      <c r="FY186" s="167"/>
      <c r="FZ186" s="167"/>
      <c r="GA186" s="171"/>
    </row>
    <row r="187" spans="1:183" ht="27" customHeight="1">
      <c r="A187" s="645"/>
      <c r="B187" s="645"/>
      <c r="C187" s="645"/>
      <c r="D187" s="645"/>
      <c r="E187" s="646"/>
      <c r="J187" s="88"/>
      <c r="K187" s="89"/>
      <c r="L187" s="89"/>
      <c r="M187" s="2188"/>
      <c r="N187" s="2188"/>
      <c r="O187" s="2188"/>
      <c r="P187" s="2180"/>
      <c r="Q187" s="2180"/>
      <c r="R187" s="2180"/>
      <c r="S187" s="2180"/>
      <c r="T187" s="2180"/>
      <c r="U187" s="1866" t="s">
        <v>718</v>
      </c>
      <c r="V187" s="2062"/>
      <c r="W187" s="2062"/>
      <c r="X187" s="2062"/>
      <c r="Y187" s="2062"/>
      <c r="Z187" s="2062"/>
      <c r="AA187" s="2062"/>
      <c r="AB187" s="2176"/>
      <c r="AC187" s="2176"/>
      <c r="AD187" s="2176"/>
      <c r="AE187" s="2176"/>
      <c r="AF187" s="2176"/>
      <c r="AG187" s="2176"/>
      <c r="AH187" s="2176"/>
      <c r="AI187" s="2176"/>
      <c r="AJ187" s="2176"/>
      <c r="AK187" s="2176"/>
      <c r="AL187" s="2176"/>
      <c r="AM187" s="2176"/>
      <c r="AN187" s="2176"/>
      <c r="AO187" s="2176"/>
      <c r="AP187" s="2176"/>
      <c r="AQ187" s="2176"/>
      <c r="AR187" s="2176"/>
      <c r="AS187" s="2176"/>
      <c r="AT187" s="2176"/>
      <c r="AU187" s="2176"/>
      <c r="AV187" s="896" t="s">
        <v>4</v>
      </c>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1094"/>
      <c r="BV187" s="1097"/>
      <c r="BW187" s="1920"/>
      <c r="BX187" s="1920"/>
      <c r="BY187" s="1920"/>
      <c r="BZ187" s="1920"/>
      <c r="CA187" s="1920"/>
      <c r="CB187" s="1920"/>
      <c r="CC187" s="1920"/>
      <c r="CD187" s="1920"/>
      <c r="CE187" s="1920"/>
      <c r="CF187" s="1920"/>
      <c r="CG187" s="1920"/>
      <c r="CH187" s="1920"/>
      <c r="CI187" s="1920"/>
      <c r="CJ187" s="1920"/>
      <c r="CK187" s="1920"/>
      <c r="CL187" s="1920"/>
      <c r="CM187" s="1920"/>
      <c r="CN187" s="1920"/>
      <c r="CO187" s="1920"/>
      <c r="CP187" s="1920"/>
      <c r="CQ187" s="1920"/>
      <c r="CR187" s="1920"/>
      <c r="CS187" s="1920"/>
      <c r="CT187" s="891"/>
      <c r="CU187" s="918"/>
      <c r="DD187" s="36"/>
      <c r="DE187" s="36"/>
      <c r="DF187" s="36"/>
      <c r="DG187" s="36"/>
      <c r="DH187" s="36"/>
      <c r="DI187" s="36"/>
      <c r="DJ187" s="36"/>
      <c r="DS187" s="374"/>
      <c r="DT187" s="374"/>
      <c r="DV187" s="167" t="s">
        <v>1401</v>
      </c>
      <c r="DW187" s="689" t="str">
        <f t="shared" si="10"/>
        <v/>
      </c>
      <c r="EB187" s="1108">
        <f>IF($DN$182,AB173,AB187)</f>
        <v>0</v>
      </c>
      <c r="EG187" s="167"/>
      <c r="EH187" s="167"/>
      <c r="EI187" s="167"/>
      <c r="EJ187" s="167"/>
      <c r="EK187" s="167"/>
      <c r="FV187" s="167"/>
      <c r="FW187" s="167"/>
      <c r="FX187" s="167"/>
      <c r="FY187" s="167"/>
      <c r="FZ187" s="167"/>
    </row>
    <row r="188" spans="1:183" s="172" customFormat="1" ht="27" customHeight="1">
      <c r="A188" s="645"/>
      <c r="B188" s="645"/>
      <c r="C188" s="645"/>
      <c r="D188" s="645"/>
      <c r="E188" s="646"/>
      <c r="F188" s="381"/>
      <c r="G188" s="381"/>
      <c r="H188" s="381"/>
      <c r="I188" s="251"/>
      <c r="J188" s="39"/>
      <c r="K188" s="896"/>
      <c r="L188" s="896"/>
      <c r="M188" s="2188"/>
      <c r="N188" s="2188"/>
      <c r="O188" s="2188"/>
      <c r="P188" s="2180"/>
      <c r="Q188" s="2180"/>
      <c r="R188" s="2180"/>
      <c r="S188" s="2180"/>
      <c r="T188" s="2180"/>
      <c r="U188" s="1866" t="s">
        <v>719</v>
      </c>
      <c r="V188" s="2062"/>
      <c r="W188" s="2062"/>
      <c r="X188" s="2062"/>
      <c r="Y188" s="2062"/>
      <c r="Z188" s="2062"/>
      <c r="AA188" s="2062"/>
      <c r="AB188" s="2176"/>
      <c r="AC188" s="2176"/>
      <c r="AD188" s="2176"/>
      <c r="AE188" s="2176"/>
      <c r="AF188" s="2176"/>
      <c r="AG188" s="2176"/>
      <c r="AH188" s="2176"/>
      <c r="AI188" s="2176"/>
      <c r="AJ188" s="2176"/>
      <c r="AK188" s="2176"/>
      <c r="AL188" s="2176"/>
      <c r="AM188" s="2176"/>
      <c r="AN188" s="2176"/>
      <c r="AO188" s="2176"/>
      <c r="AP188" s="2176"/>
      <c r="AQ188" s="2176"/>
      <c r="AR188" s="2176"/>
      <c r="AS188" s="2176"/>
      <c r="AT188" s="2176"/>
      <c r="AU188" s="2176"/>
      <c r="AV188" s="896"/>
      <c r="AW188" s="896"/>
      <c r="AX188" s="896"/>
      <c r="AY188" s="896"/>
      <c r="AZ188" s="896"/>
      <c r="BA188" s="896"/>
      <c r="BB188" s="896"/>
      <c r="BC188" s="896"/>
      <c r="BD188" s="896"/>
      <c r="BE188" s="896"/>
      <c r="BF188" s="896"/>
      <c r="BG188" s="896"/>
      <c r="BH188" s="896"/>
      <c r="BI188" s="896"/>
      <c r="BJ188" s="896"/>
      <c r="BK188" s="896"/>
      <c r="BL188" s="913"/>
      <c r="BM188" s="913"/>
      <c r="BN188" s="913"/>
      <c r="BO188" s="913"/>
      <c r="BP188" s="913"/>
      <c r="BQ188" s="913"/>
      <c r="BR188" s="913"/>
      <c r="BS188" s="913"/>
      <c r="BT188" s="913"/>
      <c r="BU188" s="1094"/>
      <c r="BV188" s="1097"/>
      <c r="BW188" s="1920"/>
      <c r="BX188" s="1920"/>
      <c r="BY188" s="1920"/>
      <c r="BZ188" s="1920"/>
      <c r="CA188" s="1920"/>
      <c r="CB188" s="1920"/>
      <c r="CC188" s="1920"/>
      <c r="CD188" s="1920"/>
      <c r="CE188" s="1920"/>
      <c r="CF188" s="1920"/>
      <c r="CG188" s="1920"/>
      <c r="CH188" s="1920"/>
      <c r="CI188" s="1920"/>
      <c r="CJ188" s="1920"/>
      <c r="CK188" s="1920"/>
      <c r="CL188" s="1920"/>
      <c r="CM188" s="1920"/>
      <c r="CN188" s="1920"/>
      <c r="CO188" s="1920"/>
      <c r="CP188" s="1920"/>
      <c r="CQ188" s="1920"/>
      <c r="CR188" s="1920"/>
      <c r="CS188" s="1920"/>
      <c r="CT188" s="891"/>
      <c r="CU188" s="918"/>
      <c r="CV188" s="398"/>
      <c r="CW188" s="398"/>
      <c r="CX188" s="398"/>
      <c r="CY188" s="398"/>
      <c r="CZ188" s="398"/>
      <c r="DA188" s="398"/>
      <c r="DB188" s="398"/>
      <c r="DC188" s="35"/>
      <c r="DD188" s="36"/>
      <c r="DE188" s="36"/>
      <c r="DF188" s="36"/>
      <c r="DG188" s="36"/>
      <c r="DH188" s="36"/>
      <c r="DI188" s="36"/>
      <c r="DJ188" s="36"/>
      <c r="DK188" s="1045"/>
      <c r="DL188" s="1046"/>
      <c r="DM188" s="171"/>
      <c r="DN188" s="171"/>
      <c r="DO188" s="171"/>
      <c r="DP188" s="171"/>
      <c r="DQ188" s="171"/>
      <c r="DV188" s="172" t="s">
        <v>1402</v>
      </c>
      <c r="DW188" s="273" t="str">
        <f t="shared" si="10"/>
        <v/>
      </c>
      <c r="EG188" s="167"/>
      <c r="EH188" s="167"/>
      <c r="EI188" s="167"/>
      <c r="EJ188" s="167"/>
      <c r="EK188" s="167"/>
      <c r="FO188" s="1046"/>
      <c r="FV188" s="167"/>
      <c r="FW188" s="167"/>
      <c r="FX188" s="167"/>
      <c r="FY188" s="167"/>
      <c r="FZ188" s="167"/>
      <c r="GA188" s="171"/>
    </row>
    <row r="189" spans="1:183" s="172" customFormat="1" ht="27" customHeight="1">
      <c r="A189" s="645"/>
      <c r="B189" s="645"/>
      <c r="C189" s="645"/>
      <c r="D189" s="645"/>
      <c r="E189" s="646"/>
      <c r="F189" s="381"/>
      <c r="G189" s="381"/>
      <c r="H189" s="381"/>
      <c r="I189" s="251"/>
      <c r="J189" s="39"/>
      <c r="K189" s="896"/>
      <c r="L189" s="896"/>
      <c r="M189" s="2188"/>
      <c r="N189" s="2188"/>
      <c r="O189" s="2188"/>
      <c r="P189" s="2181"/>
      <c r="Q189" s="2181"/>
      <c r="R189" s="2181"/>
      <c r="S189" s="2181"/>
      <c r="T189" s="2181"/>
      <c r="U189" s="2185" t="s">
        <v>721</v>
      </c>
      <c r="V189" s="2186"/>
      <c r="W189" s="2186"/>
      <c r="X189" s="2186"/>
      <c r="Y189" s="2186"/>
      <c r="Z189" s="2186"/>
      <c r="AA189" s="2186"/>
      <c r="AB189" s="1949"/>
      <c r="AC189" s="1949"/>
      <c r="AD189" s="1949"/>
      <c r="AE189" s="2208"/>
      <c r="AF189" s="2208"/>
      <c r="AG189" s="2208"/>
      <c r="AH189" s="2208"/>
      <c r="AI189" s="2208"/>
      <c r="AJ189" s="2208"/>
      <c r="AK189" s="2208"/>
      <c r="AL189" s="2208"/>
      <c r="AM189" s="2208"/>
      <c r="AN189" s="2208"/>
      <c r="AO189" s="2208"/>
      <c r="AP189" s="2208"/>
      <c r="AQ189" s="2208"/>
      <c r="AR189" s="2208"/>
      <c r="AS189" s="2208"/>
      <c r="AT189" s="2208"/>
      <c r="AU189" s="2208"/>
      <c r="AV189" s="98" t="str">
        <f>IF(AND(AB184="有",AB188="指定確認検査機関",AB189=""),"←指定確認検査機関名が必要です","")</f>
        <v/>
      </c>
      <c r="AW189" s="911"/>
      <c r="AX189" s="911"/>
      <c r="AY189" s="911"/>
      <c r="AZ189" s="911"/>
      <c r="BA189" s="911"/>
      <c r="BB189" s="911"/>
      <c r="BC189" s="911"/>
      <c r="BD189" s="911"/>
      <c r="BE189" s="911"/>
      <c r="BF189" s="52"/>
      <c r="BG189" s="911"/>
      <c r="BH189" s="911"/>
      <c r="BI189" s="53"/>
      <c r="BJ189" s="53"/>
      <c r="BK189" s="53"/>
      <c r="BL189" s="53"/>
      <c r="BM189" s="53"/>
      <c r="BN189" s="53"/>
      <c r="BO189" s="53"/>
      <c r="BP189" s="53"/>
      <c r="BQ189" s="53"/>
      <c r="BR189" s="53"/>
      <c r="BS189" s="53"/>
      <c r="BT189" s="53"/>
      <c r="BU189" s="1094"/>
      <c r="BV189" s="1094"/>
      <c r="BW189" s="1920"/>
      <c r="BX189" s="1920"/>
      <c r="BY189" s="1920"/>
      <c r="BZ189" s="1920"/>
      <c r="CA189" s="1920"/>
      <c r="CB189" s="1920"/>
      <c r="CC189" s="1920"/>
      <c r="CD189" s="1920"/>
      <c r="CE189" s="1920"/>
      <c r="CF189" s="1920"/>
      <c r="CG189" s="1920"/>
      <c r="CH189" s="1920"/>
      <c r="CI189" s="1920"/>
      <c r="CJ189" s="1920"/>
      <c r="CK189" s="1920"/>
      <c r="CL189" s="1920"/>
      <c r="CM189" s="1920"/>
      <c r="CN189" s="1920"/>
      <c r="CO189" s="1920"/>
      <c r="CP189" s="1920"/>
      <c r="CQ189" s="1920"/>
      <c r="CR189" s="1920"/>
      <c r="CS189" s="1920"/>
      <c r="CT189" s="891"/>
      <c r="CU189" s="918"/>
      <c r="CV189" s="398"/>
      <c r="CW189" s="398"/>
      <c r="CX189" s="398"/>
      <c r="CY189" s="398"/>
      <c r="CZ189" s="398"/>
      <c r="DA189" s="398"/>
      <c r="DB189" s="398"/>
      <c r="DC189" s="35"/>
      <c r="DD189" s="36"/>
      <c r="DE189" s="36"/>
      <c r="DF189" s="36"/>
      <c r="DG189" s="36"/>
      <c r="DH189" s="36"/>
      <c r="DI189" s="36"/>
      <c r="DJ189" s="36"/>
      <c r="DK189" s="1045"/>
      <c r="DL189" s="1046"/>
      <c r="DM189" s="171"/>
      <c r="DN189" s="171"/>
      <c r="DO189" s="171"/>
      <c r="DP189" s="171"/>
      <c r="DQ189" s="171"/>
      <c r="DV189" s="172" t="s">
        <v>2736</v>
      </c>
      <c r="DW189" s="273" t="str">
        <f t="shared" si="10"/>
        <v/>
      </c>
      <c r="EG189" s="167"/>
      <c r="EH189" s="167"/>
      <c r="EI189" s="167"/>
      <c r="EJ189" s="167"/>
      <c r="EK189" s="167"/>
      <c r="FO189" s="1046"/>
      <c r="FV189" s="167"/>
      <c r="FW189" s="167"/>
      <c r="FX189" s="167"/>
      <c r="FY189" s="167"/>
      <c r="FZ189" s="167"/>
      <c r="GA189" s="171"/>
    </row>
    <row r="190" spans="1:183" s="172" customFormat="1" ht="27" customHeight="1" thickBot="1">
      <c r="A190" s="645"/>
      <c r="B190" s="645"/>
      <c r="C190" s="645"/>
      <c r="D190" s="645"/>
      <c r="E190" s="646"/>
      <c r="F190" s="381"/>
      <c r="G190" s="381"/>
      <c r="H190" s="381"/>
      <c r="I190" s="251"/>
      <c r="J190" s="39"/>
      <c r="K190" s="896"/>
      <c r="L190" s="896"/>
      <c r="M190" s="2188"/>
      <c r="N190" s="2188"/>
      <c r="O190" s="2188"/>
      <c r="P190" s="1809" t="s">
        <v>717</v>
      </c>
      <c r="Q190" s="1809"/>
      <c r="R190" s="1809"/>
      <c r="S190" s="1809"/>
      <c r="T190" s="1809"/>
      <c r="U190" s="1809"/>
      <c r="V190" s="1809"/>
      <c r="W190" s="1809"/>
      <c r="X190" s="1809"/>
      <c r="Y190" s="1809"/>
      <c r="Z190" s="1809"/>
      <c r="AA190" s="1809"/>
      <c r="AB190" s="1803"/>
      <c r="AC190" s="1803"/>
      <c r="AD190" s="1803"/>
      <c r="AE190" s="46" t="str">
        <f>IF(AND(DN182=FALSE,AB190=""),"←どちらかは必ず選んでください","")</f>
        <v>←どちらかは必ず選んでください</v>
      </c>
      <c r="AF190" s="900"/>
      <c r="AG190" s="900"/>
      <c r="AH190" s="900"/>
      <c r="AI190" s="900"/>
      <c r="AJ190" s="900"/>
      <c r="AK190" s="900"/>
      <c r="AL190" s="900"/>
      <c r="AM190" s="900"/>
      <c r="AN190" s="900"/>
      <c r="AO190" s="900"/>
      <c r="AP190" s="900"/>
      <c r="AQ190" s="900"/>
      <c r="AR190" s="900"/>
      <c r="AS190" s="900"/>
      <c r="AT190" s="900"/>
      <c r="AU190" s="900"/>
      <c r="AV190" s="900"/>
      <c r="AW190" s="900"/>
      <c r="AX190" s="900"/>
      <c r="AY190" s="900"/>
      <c r="AZ190" s="900"/>
      <c r="BA190" s="900"/>
      <c r="BB190" s="900"/>
      <c r="BC190" s="900"/>
      <c r="BD190" s="900"/>
      <c r="BE190" s="900"/>
      <c r="BF190" s="900"/>
      <c r="BG190" s="900"/>
      <c r="BH190" s="900"/>
      <c r="BI190" s="900"/>
      <c r="BJ190" s="900"/>
      <c r="BK190" s="900"/>
      <c r="BL190" s="900"/>
      <c r="BM190" s="900"/>
      <c r="BN190" s="900"/>
      <c r="BO190" s="900"/>
      <c r="BP190" s="900"/>
      <c r="BQ190" s="900"/>
      <c r="BR190" s="900"/>
      <c r="BS190" s="900"/>
      <c r="BT190" s="900"/>
      <c r="BU190" s="1094"/>
      <c r="BV190" s="1094"/>
      <c r="BW190" s="1920"/>
      <c r="BX190" s="1920"/>
      <c r="BY190" s="1920"/>
      <c r="BZ190" s="1920"/>
      <c r="CA190" s="1920"/>
      <c r="CB190" s="1920"/>
      <c r="CC190" s="1920"/>
      <c r="CD190" s="1920"/>
      <c r="CE190" s="1920"/>
      <c r="CF190" s="1920"/>
      <c r="CG190" s="1920"/>
      <c r="CH190" s="1920"/>
      <c r="CI190" s="1920"/>
      <c r="CJ190" s="1920"/>
      <c r="CK190" s="1920"/>
      <c r="CL190" s="1920"/>
      <c r="CM190" s="1920"/>
      <c r="CN190" s="1920"/>
      <c r="CO190" s="1920"/>
      <c r="CP190" s="1920"/>
      <c r="CQ190" s="1920"/>
      <c r="CR190" s="1920"/>
      <c r="CS190" s="1920"/>
      <c r="CT190" s="891"/>
      <c r="CU190" s="918"/>
      <c r="CV190" s="398"/>
      <c r="CW190" s="398"/>
      <c r="CX190" s="398"/>
      <c r="CY190" s="398"/>
      <c r="CZ190" s="398"/>
      <c r="DA190" s="398"/>
      <c r="DB190" s="398"/>
      <c r="DC190" s="35"/>
      <c r="DD190" s="36"/>
      <c r="DE190" s="36"/>
      <c r="DF190" s="36"/>
      <c r="DG190" s="36"/>
      <c r="DH190" s="36"/>
      <c r="DI190" s="36"/>
      <c r="DJ190" s="36"/>
      <c r="DK190" s="1045"/>
      <c r="DL190" s="1046"/>
      <c r="DM190" s="171"/>
      <c r="DN190" s="171"/>
      <c r="DO190" s="171"/>
      <c r="DP190" s="171"/>
      <c r="DQ190" s="171"/>
      <c r="DV190" s="172" t="s">
        <v>1400</v>
      </c>
      <c r="DW190" s="273" t="str">
        <f t="shared" si="10"/>
        <v/>
      </c>
      <c r="EG190" s="167"/>
      <c r="EH190" s="167"/>
      <c r="EI190" s="167"/>
      <c r="EJ190" s="167"/>
      <c r="EK190" s="167"/>
      <c r="FO190" s="1046"/>
      <c r="FV190" s="167"/>
      <c r="FW190" s="167"/>
      <c r="FX190" s="167"/>
      <c r="FY190" s="167"/>
      <c r="FZ190" s="167"/>
      <c r="GA190" s="171"/>
    </row>
    <row r="191" spans="1:183" s="172" customFormat="1" ht="27" customHeight="1" thickBot="1">
      <c r="A191" s="645"/>
      <c r="B191" s="645"/>
      <c r="C191" s="645"/>
      <c r="D191" s="645"/>
      <c r="E191" s="646"/>
      <c r="F191" s="381"/>
      <c r="G191" s="381"/>
      <c r="H191" s="381"/>
      <c r="I191" s="251"/>
      <c r="J191" s="39"/>
      <c r="K191" s="896"/>
      <c r="L191" s="896"/>
      <c r="M191" s="2188"/>
      <c r="N191" s="2188"/>
      <c r="O191" s="2188"/>
      <c r="P191" s="1809" t="s">
        <v>1034</v>
      </c>
      <c r="Q191" s="2214"/>
      <c r="R191" s="2214"/>
      <c r="S191" s="2214"/>
      <c r="T191" s="2214"/>
      <c r="U191" s="2182" t="s">
        <v>1178</v>
      </c>
      <c r="V191" s="2182"/>
      <c r="W191" s="2182"/>
      <c r="X191" s="2182"/>
      <c r="Y191" s="2182"/>
      <c r="Z191" s="2182"/>
      <c r="AA191" s="2182"/>
      <c r="AB191" s="1854"/>
      <c r="AC191" s="1950"/>
      <c r="AD191" s="1950"/>
      <c r="AE191" s="54" t="str">
        <f>IF(AND(DN182=FALSE,AB191=""),"←どちらかは必ず選んでください","")</f>
        <v>←どちらかは必ず選んでください</v>
      </c>
      <c r="AF191" s="892"/>
      <c r="AG191" s="892"/>
      <c r="AH191" s="892"/>
      <c r="AI191" s="892"/>
      <c r="AJ191" s="892"/>
      <c r="AK191" s="892"/>
      <c r="AL191" s="892"/>
      <c r="AM191" s="892"/>
      <c r="AN191" s="892"/>
      <c r="AO191" s="892"/>
      <c r="AP191" s="892"/>
      <c r="AQ191" s="892"/>
      <c r="AR191" s="898"/>
      <c r="AS191" s="898"/>
      <c r="AT191" s="898"/>
      <c r="AU191" s="898"/>
      <c r="AV191" s="898"/>
      <c r="AW191" s="898"/>
      <c r="AX191" s="898"/>
      <c r="AY191" s="898"/>
      <c r="AZ191" s="898"/>
      <c r="BA191" s="898"/>
      <c r="BB191" s="898"/>
      <c r="BC191" s="898"/>
      <c r="BD191" s="898"/>
      <c r="BE191" s="898"/>
      <c r="BF191" s="898"/>
      <c r="BG191" s="898"/>
      <c r="BH191" s="898"/>
      <c r="BI191" s="898"/>
      <c r="BJ191" s="898"/>
      <c r="BK191" s="898"/>
      <c r="BL191" s="898"/>
      <c r="BM191" s="898"/>
      <c r="BN191" s="898"/>
      <c r="BO191" s="898"/>
      <c r="BP191" s="898"/>
      <c r="BQ191" s="898"/>
      <c r="BR191" s="898"/>
      <c r="BS191" s="898"/>
      <c r="BT191" s="898"/>
      <c r="BU191" s="1094"/>
      <c r="BV191" s="1094"/>
      <c r="BW191" s="1920"/>
      <c r="BX191" s="1920"/>
      <c r="BY191" s="1920"/>
      <c r="BZ191" s="1920"/>
      <c r="CA191" s="1920"/>
      <c r="CB191" s="1920"/>
      <c r="CC191" s="1920"/>
      <c r="CD191" s="1920"/>
      <c r="CE191" s="1920"/>
      <c r="CF191" s="1920"/>
      <c r="CG191" s="1920"/>
      <c r="CH191" s="1920"/>
      <c r="CI191" s="1920"/>
      <c r="CJ191" s="1920"/>
      <c r="CK191" s="1920"/>
      <c r="CL191" s="1920"/>
      <c r="CM191" s="1920"/>
      <c r="CN191" s="1920"/>
      <c r="CO191" s="1920"/>
      <c r="CP191" s="1920"/>
      <c r="CQ191" s="1920"/>
      <c r="CR191" s="1920"/>
      <c r="CS191" s="1920"/>
      <c r="CT191" s="891"/>
      <c r="CU191" s="918"/>
      <c r="CV191" s="398"/>
      <c r="CW191" s="398"/>
      <c r="CX191" s="398"/>
      <c r="CY191" s="398"/>
      <c r="CZ191" s="398"/>
      <c r="DA191" s="398"/>
      <c r="DB191" s="398"/>
      <c r="DC191" s="35"/>
      <c r="DD191" s="36"/>
      <c r="DE191" s="36"/>
      <c r="DF191" s="36"/>
      <c r="DG191" s="36"/>
      <c r="DH191" s="36"/>
      <c r="DI191" s="36"/>
      <c r="DJ191" s="36"/>
      <c r="DK191" s="1045"/>
      <c r="DL191" s="1046"/>
      <c r="DM191" s="171"/>
      <c r="DN191" s="177">
        <f>COUNTA(AB192,AE192,AJ192,AO192,AB193,AB194,AB195)</f>
        <v>0</v>
      </c>
      <c r="DO191" s="171"/>
      <c r="DP191" s="171"/>
      <c r="DQ191" s="171"/>
      <c r="DV191" s="172" t="s">
        <v>2737</v>
      </c>
      <c r="DW191" s="688" t="str">
        <f t="shared" si="10"/>
        <v/>
      </c>
      <c r="FO191" s="1046"/>
      <c r="GA191" s="171"/>
    </row>
    <row r="192" spans="1:183" s="172" customFormat="1" ht="27" customHeight="1">
      <c r="A192" s="645"/>
      <c r="B192" s="645"/>
      <c r="C192" s="645"/>
      <c r="D192" s="645"/>
      <c r="E192" s="646"/>
      <c r="F192" s="381"/>
      <c r="G192" s="381"/>
      <c r="H192" s="381"/>
      <c r="I192" s="251"/>
      <c r="J192" s="39"/>
      <c r="K192" s="896"/>
      <c r="L192" s="896"/>
      <c r="M192" s="2188"/>
      <c r="N192" s="2188"/>
      <c r="O192" s="2188"/>
      <c r="P192" s="2215"/>
      <c r="Q192" s="2215"/>
      <c r="R192" s="2215"/>
      <c r="S192" s="2215"/>
      <c r="T192" s="2215"/>
      <c r="U192" s="1866" t="s">
        <v>722</v>
      </c>
      <c r="V192" s="2062"/>
      <c r="W192" s="2062"/>
      <c r="X192" s="2062"/>
      <c r="Y192" s="2062"/>
      <c r="Z192" s="2062"/>
      <c r="AA192" s="2062"/>
      <c r="AB192" s="2060"/>
      <c r="AC192" s="2061"/>
      <c r="AD192" s="2061"/>
      <c r="AE192" s="2209"/>
      <c r="AF192" s="2209"/>
      <c r="AG192" s="2210"/>
      <c r="AH192" s="642" t="s">
        <v>12</v>
      </c>
      <c r="AI192" s="643"/>
      <c r="AJ192" s="1951"/>
      <c r="AK192" s="1951"/>
      <c r="AL192" s="1951"/>
      <c r="AM192" s="895" t="s">
        <v>170</v>
      </c>
      <c r="AN192" s="895"/>
      <c r="AO192" s="1951"/>
      <c r="AP192" s="1951"/>
      <c r="AQ192" s="1951"/>
      <c r="AR192" s="896" t="s">
        <v>171</v>
      </c>
      <c r="AS192" s="896"/>
      <c r="AT192" s="896"/>
      <c r="AU192" s="896"/>
      <c r="AV192" s="896"/>
      <c r="AW192" s="896"/>
      <c r="AX192" s="896"/>
      <c r="AY192" s="896"/>
      <c r="AZ192" s="896"/>
      <c r="BA192" s="896"/>
      <c r="BB192" s="896"/>
      <c r="BC192" s="896"/>
      <c r="BD192" s="896"/>
      <c r="BE192" s="896"/>
      <c r="BF192" s="896"/>
      <c r="BG192" s="896"/>
      <c r="BH192" s="896"/>
      <c r="BI192" s="896"/>
      <c r="BJ192" s="896"/>
      <c r="BK192" s="896"/>
      <c r="BL192" s="896"/>
      <c r="BM192" s="896"/>
      <c r="BN192" s="896"/>
      <c r="BO192" s="896"/>
      <c r="BP192" s="896"/>
      <c r="BQ192" s="896"/>
      <c r="BR192" s="896"/>
      <c r="BS192" s="896"/>
      <c r="BT192" s="896"/>
      <c r="BU192" s="1094"/>
      <c r="BV192" s="1094"/>
      <c r="BW192" s="1920"/>
      <c r="BX192" s="1920"/>
      <c r="BY192" s="1920"/>
      <c r="BZ192" s="1920"/>
      <c r="CA192" s="1920"/>
      <c r="CB192" s="1920"/>
      <c r="CC192" s="1920"/>
      <c r="CD192" s="1920"/>
      <c r="CE192" s="1920"/>
      <c r="CF192" s="1920"/>
      <c r="CG192" s="1920"/>
      <c r="CH192" s="1920"/>
      <c r="CI192" s="1920"/>
      <c r="CJ192" s="1920"/>
      <c r="CK192" s="1920"/>
      <c r="CL192" s="1920"/>
      <c r="CM192" s="1920"/>
      <c r="CN192" s="1920"/>
      <c r="CO192" s="1920"/>
      <c r="CP192" s="1920"/>
      <c r="CQ192" s="1920"/>
      <c r="CR192" s="1920"/>
      <c r="CS192" s="1920"/>
      <c r="CT192" s="891"/>
      <c r="CU192" s="918"/>
      <c r="CV192" s="398"/>
      <c r="CW192" s="398"/>
      <c r="CX192" s="398"/>
      <c r="CY192" s="398"/>
      <c r="CZ192" s="398"/>
      <c r="DA192" s="398"/>
      <c r="DB192" s="398"/>
      <c r="DC192" s="35"/>
      <c r="DD192" s="36"/>
      <c r="DE192" s="36"/>
      <c r="DF192" s="36"/>
      <c r="DG192" s="36"/>
      <c r="DH192" s="36"/>
      <c r="DI192" s="36"/>
      <c r="DJ192" s="36"/>
      <c r="DK192" s="1068"/>
      <c r="DL192" s="1046"/>
      <c r="DM192" s="171"/>
      <c r="DN192" s="171"/>
      <c r="DO192" s="171"/>
      <c r="DP192" s="171"/>
      <c r="DQ192" s="171"/>
      <c r="DV192" s="172" t="s">
        <v>2735</v>
      </c>
      <c r="DW192" s="273" t="str">
        <f t="shared" ref="DW192" si="11">IF($DN$182,IF(AB178="","",AB178),IF(AB192="","",AB192))</f>
        <v/>
      </c>
      <c r="DX192" s="273" t="str">
        <f>IF($DN$182,IF(AE178="","",AE178),IF(AE192="","",AE192))</f>
        <v/>
      </c>
      <c r="DY192" s="273" t="str">
        <f>IF($DN$182,IF(AJ178="","",AJ178),IF(AJ192="","",AJ192))</f>
        <v/>
      </c>
      <c r="DZ192" s="273" t="str">
        <f>IF($DN$182,IF(AO178="","",AO178),IF(AO192="","",AO192))</f>
        <v/>
      </c>
      <c r="EA192" s="838" t="e">
        <f>DATE(VLOOKUP(AB192,$EB$172:$EC$175,2,FALSE)+AE192,AJ192,AO192)</f>
        <v>#N/A</v>
      </c>
      <c r="EB192" s="838" t="e">
        <f>IF($DN$182,EA178,EA192)</f>
        <v>#N/A</v>
      </c>
      <c r="FO192" s="1046"/>
      <c r="GA192" s="171"/>
    </row>
    <row r="193" spans="1:183" s="172" customFormat="1" ht="27" customHeight="1">
      <c r="A193" s="645"/>
      <c r="B193" s="645"/>
      <c r="C193" s="645"/>
      <c r="D193" s="645"/>
      <c r="E193" s="646"/>
      <c r="F193" s="381"/>
      <c r="G193" s="381"/>
      <c r="H193" s="381"/>
      <c r="I193" s="251"/>
      <c r="J193" s="39"/>
      <c r="K193" s="896"/>
      <c r="L193" s="896"/>
      <c r="M193" s="2188"/>
      <c r="N193" s="2188"/>
      <c r="O193" s="2188"/>
      <c r="P193" s="2215"/>
      <c r="Q193" s="2215"/>
      <c r="R193" s="2215"/>
      <c r="S193" s="2215"/>
      <c r="T193" s="2215"/>
      <c r="U193" s="1866" t="s">
        <v>718</v>
      </c>
      <c r="V193" s="2062"/>
      <c r="W193" s="2062"/>
      <c r="X193" s="2062"/>
      <c r="Y193" s="2062"/>
      <c r="Z193" s="2062"/>
      <c r="AA193" s="2062"/>
      <c r="AB193" s="2176"/>
      <c r="AC193" s="2176"/>
      <c r="AD193" s="2176"/>
      <c r="AE193" s="2176"/>
      <c r="AF193" s="2176"/>
      <c r="AG193" s="2176"/>
      <c r="AH193" s="2176"/>
      <c r="AI193" s="2176"/>
      <c r="AJ193" s="2176"/>
      <c r="AK193" s="2176"/>
      <c r="AL193" s="2176"/>
      <c r="AM193" s="2176"/>
      <c r="AN193" s="2176"/>
      <c r="AO193" s="2176"/>
      <c r="AP193" s="2176"/>
      <c r="AQ193" s="2176"/>
      <c r="AR193" s="2176"/>
      <c r="AS193" s="2176"/>
      <c r="AT193" s="2176"/>
      <c r="AU193" s="2176"/>
      <c r="AV193" s="896" t="s">
        <v>4</v>
      </c>
      <c r="AW193" s="896"/>
      <c r="AX193" s="896"/>
      <c r="AY193" s="896"/>
      <c r="AZ193" s="896"/>
      <c r="BA193" s="896"/>
      <c r="BB193" s="896"/>
      <c r="BC193" s="896"/>
      <c r="BD193" s="896"/>
      <c r="BE193" s="896"/>
      <c r="BF193" s="55"/>
      <c r="BG193" s="55"/>
      <c r="BH193" s="55"/>
      <c r="BI193" s="55"/>
      <c r="BJ193" s="55"/>
      <c r="BK193" s="913"/>
      <c r="BL193" s="913"/>
      <c r="BM193" s="913"/>
      <c r="BN193" s="913"/>
      <c r="BO193" s="913"/>
      <c r="BP193" s="913"/>
      <c r="BQ193" s="913"/>
      <c r="BR193" s="913"/>
      <c r="BS193" s="913"/>
      <c r="BT193" s="913"/>
      <c r="BU193" s="1094"/>
      <c r="BV193" s="1094"/>
      <c r="BW193" s="1920"/>
      <c r="BX193" s="1920"/>
      <c r="BY193" s="1920"/>
      <c r="BZ193" s="1920"/>
      <c r="CA193" s="1920"/>
      <c r="CB193" s="1920"/>
      <c r="CC193" s="1920"/>
      <c r="CD193" s="1920"/>
      <c r="CE193" s="1920"/>
      <c r="CF193" s="1920"/>
      <c r="CG193" s="1920"/>
      <c r="CH193" s="1920"/>
      <c r="CI193" s="1920"/>
      <c r="CJ193" s="1920"/>
      <c r="CK193" s="1920"/>
      <c r="CL193" s="1920"/>
      <c r="CM193" s="1920"/>
      <c r="CN193" s="1920"/>
      <c r="CO193" s="1920"/>
      <c r="CP193" s="1920"/>
      <c r="CQ193" s="1920"/>
      <c r="CR193" s="1920"/>
      <c r="CS193" s="1920"/>
      <c r="CT193" s="891"/>
      <c r="CU193" s="918"/>
      <c r="CV193" s="398"/>
      <c r="CW193" s="398"/>
      <c r="CX193" s="398"/>
      <c r="CY193" s="398"/>
      <c r="CZ193" s="398"/>
      <c r="DA193" s="398"/>
      <c r="DB193" s="398"/>
      <c r="DC193" s="35"/>
      <c r="DD193" s="36"/>
      <c r="DE193" s="36"/>
      <c r="DF193" s="36"/>
      <c r="DG193" s="36"/>
      <c r="DH193" s="36"/>
      <c r="DI193" s="36"/>
      <c r="DJ193" s="36"/>
      <c r="DK193" s="1068"/>
      <c r="DL193" s="1046"/>
      <c r="DM193" s="171"/>
      <c r="DN193" s="171"/>
      <c r="DO193" s="171"/>
      <c r="DP193" s="171"/>
      <c r="DQ193" s="171"/>
      <c r="DV193" s="172" t="s">
        <v>1401</v>
      </c>
      <c r="DW193" s="689" t="str">
        <f t="shared" si="10"/>
        <v/>
      </c>
      <c r="EB193" s="1108">
        <f>IF($DN$182,AB179,AB193)</f>
        <v>0</v>
      </c>
      <c r="FO193" s="1046"/>
      <c r="GA193" s="171"/>
    </row>
    <row r="194" spans="1:183" ht="27" customHeight="1">
      <c r="A194" s="645"/>
      <c r="B194" s="645"/>
      <c r="C194" s="645"/>
      <c r="D194" s="645"/>
      <c r="E194" s="646"/>
      <c r="J194" s="88"/>
      <c r="K194" s="89"/>
      <c r="L194" s="89"/>
      <c r="M194" s="2188"/>
      <c r="N194" s="2188"/>
      <c r="O194" s="2188"/>
      <c r="P194" s="2215"/>
      <c r="Q194" s="2215"/>
      <c r="R194" s="2215"/>
      <c r="S194" s="2215"/>
      <c r="T194" s="2215"/>
      <c r="U194" s="1866" t="s">
        <v>719</v>
      </c>
      <c r="V194" s="2062"/>
      <c r="W194" s="2062"/>
      <c r="X194" s="2062"/>
      <c r="Y194" s="2062"/>
      <c r="Z194" s="2062"/>
      <c r="AA194" s="2062"/>
      <c r="AB194" s="2176"/>
      <c r="AC194" s="2176"/>
      <c r="AD194" s="2176"/>
      <c r="AE194" s="2176"/>
      <c r="AF194" s="2176"/>
      <c r="AG194" s="2176"/>
      <c r="AH194" s="2176"/>
      <c r="AI194" s="2176"/>
      <c r="AJ194" s="2176"/>
      <c r="AK194" s="2176"/>
      <c r="AL194" s="2176"/>
      <c r="AM194" s="2176"/>
      <c r="AN194" s="2176"/>
      <c r="AO194" s="2176"/>
      <c r="AP194" s="2176"/>
      <c r="AQ194" s="2176"/>
      <c r="AR194" s="2176"/>
      <c r="AS194" s="2176"/>
      <c r="AT194" s="2176"/>
      <c r="AU194" s="2176"/>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1094"/>
      <c r="BV194" s="1094"/>
      <c r="BW194" s="1920"/>
      <c r="BX194" s="1920"/>
      <c r="BY194" s="1920"/>
      <c r="BZ194" s="1920"/>
      <c r="CA194" s="1920"/>
      <c r="CB194" s="1920"/>
      <c r="CC194" s="1920"/>
      <c r="CD194" s="1920"/>
      <c r="CE194" s="1920"/>
      <c r="CF194" s="1920"/>
      <c r="CG194" s="1920"/>
      <c r="CH194" s="1920"/>
      <c r="CI194" s="1920"/>
      <c r="CJ194" s="1920"/>
      <c r="CK194" s="1920"/>
      <c r="CL194" s="1920"/>
      <c r="CM194" s="1920"/>
      <c r="CN194" s="1920"/>
      <c r="CO194" s="1920"/>
      <c r="CP194" s="1920"/>
      <c r="CQ194" s="1920"/>
      <c r="CR194" s="1920"/>
      <c r="CS194" s="1920"/>
      <c r="CT194" s="891"/>
      <c r="CU194" s="918"/>
      <c r="DD194" s="36"/>
      <c r="DE194" s="36"/>
      <c r="DF194" s="36"/>
      <c r="DG194" s="36"/>
      <c r="DH194" s="36"/>
      <c r="DI194" s="36"/>
      <c r="DJ194" s="36"/>
      <c r="DV194" s="167" t="s">
        <v>1402</v>
      </c>
      <c r="DW194" s="273" t="str">
        <f t="shared" si="10"/>
        <v/>
      </c>
      <c r="EG194" s="172"/>
      <c r="EH194" s="172"/>
      <c r="EI194" s="172"/>
      <c r="EJ194" s="172"/>
      <c r="EK194" s="172"/>
      <c r="FV194" s="172"/>
      <c r="FW194" s="172"/>
      <c r="FX194" s="172"/>
      <c r="FY194" s="172"/>
      <c r="FZ194" s="172"/>
    </row>
    <row r="195" spans="1:183" ht="27" customHeight="1">
      <c r="A195" s="645"/>
      <c r="B195" s="645"/>
      <c r="C195" s="645"/>
      <c r="D195" s="645"/>
      <c r="E195" s="646"/>
      <c r="J195" s="88"/>
      <c r="K195" s="89"/>
      <c r="L195" s="89"/>
      <c r="M195" s="2189"/>
      <c r="N195" s="2189"/>
      <c r="O195" s="2189"/>
      <c r="P195" s="2215"/>
      <c r="Q195" s="2215"/>
      <c r="R195" s="2215"/>
      <c r="S195" s="2215"/>
      <c r="T195" s="2215"/>
      <c r="U195" s="2185" t="s">
        <v>721</v>
      </c>
      <c r="V195" s="2186"/>
      <c r="W195" s="2186"/>
      <c r="X195" s="2186"/>
      <c r="Y195" s="2186"/>
      <c r="Z195" s="2186"/>
      <c r="AA195" s="2186"/>
      <c r="AB195" s="1949"/>
      <c r="AC195" s="1949"/>
      <c r="AD195" s="1949"/>
      <c r="AE195" s="1949"/>
      <c r="AF195" s="1949"/>
      <c r="AG195" s="1949"/>
      <c r="AH195" s="1949"/>
      <c r="AI195" s="1949"/>
      <c r="AJ195" s="1949"/>
      <c r="AK195" s="1949"/>
      <c r="AL195" s="1949"/>
      <c r="AM195" s="1949"/>
      <c r="AN195" s="1949"/>
      <c r="AO195" s="1949"/>
      <c r="AP195" s="1949"/>
      <c r="AQ195" s="1949"/>
      <c r="AR195" s="1949"/>
      <c r="AS195" s="1949"/>
      <c r="AT195" s="1949"/>
      <c r="AU195" s="1949"/>
      <c r="AV195" s="98" t="str">
        <f>IF(AND(AB191="有",AB194="指定確認検査機関",AB195=""),"←指定確認検査機関名が必要です","")</f>
        <v/>
      </c>
      <c r="AW195" s="59"/>
      <c r="AX195" s="59"/>
      <c r="AY195" s="59"/>
      <c r="AZ195" s="59"/>
      <c r="BA195" s="59"/>
      <c r="BB195" s="59"/>
      <c r="BC195" s="59"/>
      <c r="BD195" s="59"/>
      <c r="BE195" s="59"/>
      <c r="BF195" s="59"/>
      <c r="BG195" s="59"/>
      <c r="BH195" s="59"/>
      <c r="BI195" s="59"/>
      <c r="BJ195" s="59"/>
      <c r="BK195" s="59"/>
      <c r="BL195" s="59"/>
      <c r="BM195" s="59"/>
      <c r="BN195" s="59"/>
      <c r="BO195" s="59"/>
      <c r="BP195" s="59"/>
      <c r="BQ195" s="59"/>
      <c r="BR195" s="59"/>
      <c r="BS195" s="59"/>
      <c r="BT195" s="59"/>
      <c r="BU195" s="1094"/>
      <c r="BV195" s="1096"/>
      <c r="BW195" s="1953" t="s">
        <v>2796</v>
      </c>
      <c r="BX195" s="1953"/>
      <c r="BY195" s="1953"/>
      <c r="BZ195" s="1953"/>
      <c r="CA195" s="1953"/>
      <c r="CB195" s="1953"/>
      <c r="CC195" s="1953"/>
      <c r="CD195" s="1953"/>
      <c r="CE195" s="1953"/>
      <c r="CF195" s="1953"/>
      <c r="CG195" s="1953"/>
      <c r="CH195" s="1953"/>
      <c r="CI195" s="1953"/>
      <c r="CJ195" s="1953"/>
      <c r="CK195" s="1953"/>
      <c r="CL195" s="1953"/>
      <c r="CM195" s="1953"/>
      <c r="CN195" s="1953"/>
      <c r="CO195" s="1953"/>
      <c r="CP195" s="1953"/>
      <c r="CQ195" s="1953"/>
      <c r="CR195" s="1953"/>
      <c r="CS195" s="1953"/>
      <c r="CT195" s="891"/>
      <c r="CU195" s="918"/>
      <c r="DD195" s="36"/>
      <c r="DE195" s="36"/>
      <c r="DF195" s="36"/>
      <c r="DG195" s="36"/>
      <c r="DH195" s="36"/>
      <c r="DI195" s="36"/>
      <c r="DJ195" s="36"/>
      <c r="DO195" s="269"/>
      <c r="DP195" s="269"/>
      <c r="DQ195" s="269"/>
      <c r="DR195" s="31"/>
      <c r="DV195" s="167" t="s">
        <v>2736</v>
      </c>
      <c r="DW195" s="273" t="str">
        <f t="shared" si="10"/>
        <v/>
      </c>
      <c r="EG195" s="172"/>
      <c r="EH195" s="172"/>
      <c r="EI195" s="172"/>
      <c r="EJ195" s="172"/>
      <c r="EK195" s="172"/>
      <c r="FV195" s="172"/>
      <c r="FW195" s="172"/>
      <c r="FX195" s="172"/>
      <c r="FY195" s="172"/>
      <c r="FZ195" s="172"/>
    </row>
    <row r="196" spans="1:183" s="172" customFormat="1" ht="27" customHeight="1">
      <c r="A196" s="645"/>
      <c r="B196" s="645"/>
      <c r="C196" s="645"/>
      <c r="D196" s="645"/>
      <c r="E196" s="646"/>
      <c r="F196" s="381"/>
      <c r="G196" s="381"/>
      <c r="H196" s="381"/>
      <c r="I196" s="251"/>
      <c r="J196" s="39"/>
      <c r="K196" s="896"/>
      <c r="L196" s="896"/>
      <c r="M196" s="2309" t="s">
        <v>292</v>
      </c>
      <c r="N196" s="2310"/>
      <c r="O196" s="2310"/>
      <c r="P196" s="2310"/>
      <c r="Q196" s="2310"/>
      <c r="R196" s="2310"/>
      <c r="S196" s="2310"/>
      <c r="T196" s="2310"/>
      <c r="U196" s="2310"/>
      <c r="V196" s="2310"/>
      <c r="W196" s="2310"/>
      <c r="X196" s="2310"/>
      <c r="Y196" s="2310"/>
      <c r="Z196" s="2310"/>
      <c r="AA196" s="2310"/>
      <c r="AB196" s="2177"/>
      <c r="AC196" s="2177"/>
      <c r="AD196" s="2177"/>
      <c r="AE196" s="2178"/>
      <c r="AF196" s="2178"/>
      <c r="AG196" s="2178"/>
      <c r="AH196" s="63" t="str">
        <f>IF(AB196="","←どちらかは必ず選んでください","")</f>
        <v>←どちらかは必ず選んでください</v>
      </c>
      <c r="AI196" s="911"/>
      <c r="AJ196" s="911"/>
      <c r="AK196" s="911"/>
      <c r="AL196" s="52"/>
      <c r="AM196" s="911"/>
      <c r="AN196" s="911"/>
      <c r="AO196" s="52"/>
      <c r="AP196" s="911"/>
      <c r="AQ196" s="911"/>
      <c r="AR196" s="911"/>
      <c r="AS196" s="911"/>
      <c r="AT196" s="911"/>
      <c r="AU196" s="911"/>
      <c r="AV196" s="911"/>
      <c r="AW196" s="911"/>
      <c r="AX196" s="911"/>
      <c r="AY196" s="911"/>
      <c r="AZ196" s="911"/>
      <c r="BA196" s="911"/>
      <c r="BB196" s="911"/>
      <c r="BC196" s="911"/>
      <c r="BD196" s="911"/>
      <c r="BE196" s="911"/>
      <c r="BF196" s="911"/>
      <c r="BG196" s="911"/>
      <c r="BH196" s="911"/>
      <c r="BI196" s="911"/>
      <c r="BJ196" s="911"/>
      <c r="BK196" s="911"/>
      <c r="BL196" s="911"/>
      <c r="BM196" s="911"/>
      <c r="BN196" s="911"/>
      <c r="BO196" s="911"/>
      <c r="BP196" s="911"/>
      <c r="BQ196" s="911"/>
      <c r="BR196" s="911"/>
      <c r="BS196" s="911"/>
      <c r="BT196" s="911"/>
      <c r="BU196" s="718"/>
      <c r="BV196" s="1099" t="s">
        <v>2727</v>
      </c>
      <c r="BW196" s="1953"/>
      <c r="BX196" s="1953"/>
      <c r="BY196" s="1953"/>
      <c r="BZ196" s="1953"/>
      <c r="CA196" s="1953"/>
      <c r="CB196" s="1953"/>
      <c r="CC196" s="1953"/>
      <c r="CD196" s="1953"/>
      <c r="CE196" s="1953"/>
      <c r="CF196" s="1953"/>
      <c r="CG196" s="1953"/>
      <c r="CH196" s="1953"/>
      <c r="CI196" s="1953"/>
      <c r="CJ196" s="1953"/>
      <c r="CK196" s="1953"/>
      <c r="CL196" s="1953"/>
      <c r="CM196" s="1953"/>
      <c r="CN196" s="1953"/>
      <c r="CO196" s="1953"/>
      <c r="CP196" s="1953"/>
      <c r="CQ196" s="1953"/>
      <c r="CR196" s="1953"/>
      <c r="CS196" s="1953"/>
      <c r="CT196" s="903"/>
      <c r="CU196" s="720"/>
      <c r="CV196" s="398"/>
      <c r="CW196" s="398"/>
      <c r="CX196" s="398"/>
      <c r="CY196" s="398"/>
      <c r="CZ196" s="398"/>
      <c r="DA196" s="398"/>
      <c r="DB196" s="398"/>
      <c r="DC196" s="35"/>
      <c r="DD196" s="36"/>
      <c r="DE196" s="36"/>
      <c r="DF196" s="178"/>
      <c r="DG196" s="178"/>
      <c r="DH196" s="178"/>
      <c r="DI196" s="178"/>
      <c r="DJ196" s="178"/>
      <c r="DK196" s="1068"/>
      <c r="DL196" s="1046"/>
      <c r="DM196" s="171"/>
      <c r="DN196" s="171"/>
      <c r="DO196" s="186" t="s">
        <v>869</v>
      </c>
      <c r="DP196" s="186" t="s">
        <v>871</v>
      </c>
      <c r="DQ196" s="171"/>
      <c r="DR196" s="186" t="s">
        <v>869</v>
      </c>
      <c r="DS196" s="186" t="s">
        <v>871</v>
      </c>
      <c r="DT196" s="186" t="s">
        <v>881</v>
      </c>
      <c r="FO196" s="1046"/>
      <c r="GA196" s="171"/>
    </row>
    <row r="197" spans="1:183" s="172" customFormat="1" ht="27" customHeight="1" thickBot="1">
      <c r="A197" s="645"/>
      <c r="B197" s="645"/>
      <c r="C197" s="645"/>
      <c r="D197" s="645"/>
      <c r="E197" s="646"/>
      <c r="F197" s="381"/>
      <c r="G197" s="381"/>
      <c r="H197" s="381"/>
      <c r="I197" s="251"/>
      <c r="J197" s="40"/>
      <c r="K197" s="912"/>
      <c r="L197" s="912"/>
      <c r="M197" s="2241" t="s">
        <v>294</v>
      </c>
      <c r="N197" s="2242"/>
      <c r="O197" s="2242"/>
      <c r="P197" s="2242"/>
      <c r="Q197" s="2242"/>
      <c r="R197" s="2242"/>
      <c r="S197" s="2242"/>
      <c r="T197" s="2242"/>
      <c r="U197" s="2242"/>
      <c r="V197" s="2242"/>
      <c r="W197" s="2242"/>
      <c r="X197" s="2242"/>
      <c r="Y197" s="2242"/>
      <c r="Z197" s="2242"/>
      <c r="AA197" s="2242"/>
      <c r="AB197" s="2307"/>
      <c r="AC197" s="2307"/>
      <c r="AD197" s="2307"/>
      <c r="AE197" s="2308"/>
      <c r="AF197" s="2308"/>
      <c r="AG197" s="2308"/>
      <c r="AH197" s="298" t="str">
        <f>IF(AB197="","←どちらかは必ず選んでください","")</f>
        <v>←どちらかは必ず選んでください</v>
      </c>
      <c r="AI197" s="893"/>
      <c r="AJ197" s="893"/>
      <c r="AK197" s="893"/>
      <c r="AL197" s="97"/>
      <c r="AM197" s="893"/>
      <c r="AN197" s="893"/>
      <c r="AO197" s="97"/>
      <c r="AP197" s="893"/>
      <c r="AQ197" s="893"/>
      <c r="AR197" s="893"/>
      <c r="AS197" s="893"/>
      <c r="AT197" s="893"/>
      <c r="AU197" s="893"/>
      <c r="AV197" s="893"/>
      <c r="AW197" s="893"/>
      <c r="AX197" s="893"/>
      <c r="AY197" s="893"/>
      <c r="AZ197" s="893"/>
      <c r="BA197" s="893"/>
      <c r="BB197" s="893"/>
      <c r="BC197" s="893"/>
      <c r="BD197" s="893"/>
      <c r="BE197" s="893"/>
      <c r="BF197" s="893"/>
      <c r="BG197" s="893"/>
      <c r="BH197" s="893"/>
      <c r="BI197" s="893"/>
      <c r="BJ197" s="893"/>
      <c r="BK197" s="893"/>
      <c r="BL197" s="893"/>
      <c r="BM197" s="893"/>
      <c r="BN197" s="893"/>
      <c r="BO197" s="893"/>
      <c r="BP197" s="893"/>
      <c r="BQ197" s="893"/>
      <c r="BR197" s="893"/>
      <c r="BS197" s="893"/>
      <c r="BT197" s="893"/>
      <c r="BU197" s="1053"/>
      <c r="BV197" s="1109" t="s">
        <v>2726</v>
      </c>
      <c r="BW197" s="1110" t="s">
        <v>2795</v>
      </c>
      <c r="BX197" s="1111"/>
      <c r="BY197" s="1111"/>
      <c r="BZ197" s="1111"/>
      <c r="CA197" s="1111"/>
      <c r="CB197" s="1111"/>
      <c r="CC197" s="1111"/>
      <c r="CD197" s="1111"/>
      <c r="CE197" s="1111"/>
      <c r="CF197" s="1111"/>
      <c r="CG197" s="1111"/>
      <c r="CH197" s="1111"/>
      <c r="CI197" s="1111"/>
      <c r="CJ197" s="1111"/>
      <c r="CK197" s="1111"/>
      <c r="CL197" s="1111"/>
      <c r="CM197" s="1111"/>
      <c r="CN197" s="1111"/>
      <c r="CO197" s="1111"/>
      <c r="CP197" s="1111"/>
      <c r="CQ197" s="1111"/>
      <c r="CR197" s="1111"/>
      <c r="CS197" s="1111"/>
      <c r="CT197" s="723"/>
      <c r="CU197" s="724"/>
      <c r="CV197" s="398"/>
      <c r="CW197" s="398"/>
      <c r="CX197" s="398"/>
      <c r="CY197" s="398"/>
      <c r="CZ197" s="398"/>
      <c r="DA197" s="398"/>
      <c r="DB197" s="398"/>
      <c r="DC197" s="35"/>
      <c r="DD197" s="36"/>
      <c r="DE197" s="36"/>
      <c r="DF197" s="178"/>
      <c r="DG197" s="178"/>
      <c r="DH197" s="178"/>
      <c r="DI197" s="178"/>
      <c r="DJ197" s="178"/>
      <c r="DK197" s="1045"/>
      <c r="DL197" s="1046"/>
      <c r="DM197" s="171"/>
      <c r="DN197" s="171"/>
      <c r="DO197" s="180" t="str">
        <f>IF(AB196="有","レ","")</f>
        <v/>
      </c>
      <c r="DP197" s="180" t="str">
        <f>IF(AB196="無","レ","")</f>
        <v/>
      </c>
      <c r="DQ197" s="171"/>
      <c r="DR197" s="180" t="str">
        <f>IF(AB197="有","レ","")</f>
        <v/>
      </c>
      <c r="DS197" s="180" t="str">
        <f>IF(AB197="無","レ","")</f>
        <v/>
      </c>
      <c r="DT197" s="180" t="str">
        <f>IF(AB197="対象外","レ","")</f>
        <v/>
      </c>
      <c r="FO197" s="1046"/>
      <c r="GA197" s="171"/>
    </row>
    <row r="198" spans="1:183" ht="25" customHeight="1" thickBot="1">
      <c r="A198" s="645"/>
      <c r="B198" s="645"/>
      <c r="C198" s="645"/>
      <c r="D198" s="645"/>
      <c r="E198" s="646"/>
      <c r="BU198" s="1044"/>
      <c r="DD198" s="36"/>
      <c r="DE198" s="36"/>
      <c r="DF198" s="36"/>
      <c r="DG198" s="36"/>
      <c r="DH198" s="36"/>
      <c r="DI198" s="36"/>
      <c r="DJ198" s="36"/>
      <c r="EG198" s="178"/>
      <c r="EH198" s="178"/>
      <c r="EI198" s="178"/>
      <c r="EJ198" s="178"/>
      <c r="EK198" s="178"/>
      <c r="FV198" s="178"/>
      <c r="FW198" s="178"/>
      <c r="FX198" s="178"/>
      <c r="FY198" s="178"/>
      <c r="FZ198" s="178"/>
    </row>
    <row r="199" spans="1:183" ht="35.15" customHeight="1">
      <c r="A199" s="645"/>
      <c r="B199" s="645"/>
      <c r="C199" s="645"/>
      <c r="D199" s="645"/>
      <c r="E199" s="646"/>
      <c r="J199" s="1831" t="s">
        <v>3350</v>
      </c>
      <c r="K199" s="1832"/>
      <c r="L199" s="1832"/>
      <c r="M199" s="1832"/>
      <c r="N199" s="1832"/>
      <c r="O199" s="1832"/>
      <c r="P199" s="1832"/>
      <c r="Q199" s="1832"/>
      <c r="R199" s="1832"/>
      <c r="S199" s="1832"/>
      <c r="T199" s="1832"/>
      <c r="U199" s="1832"/>
      <c r="V199" s="1832"/>
      <c r="W199" s="1832"/>
      <c r="X199" s="1832"/>
      <c r="Y199" s="1832"/>
      <c r="Z199" s="1832"/>
      <c r="AA199" s="1832"/>
      <c r="AB199" s="1832"/>
      <c r="AC199" s="1832"/>
      <c r="AD199" s="1832"/>
      <c r="AE199" s="1832"/>
      <c r="AF199" s="1832"/>
      <c r="AG199" s="1832"/>
      <c r="AH199" s="1832"/>
      <c r="AI199" s="1832"/>
      <c r="AJ199" s="1832"/>
      <c r="AK199" s="1832"/>
      <c r="AL199" s="1832"/>
      <c r="AM199" s="1832"/>
      <c r="AN199" s="1832"/>
      <c r="AO199" s="1832"/>
      <c r="AP199" s="1832"/>
      <c r="AQ199" s="1832"/>
      <c r="AR199" s="1832"/>
      <c r="AS199" s="1832"/>
      <c r="AT199" s="1832"/>
      <c r="AU199" s="1832"/>
      <c r="AV199" s="1832"/>
      <c r="AW199" s="1832"/>
      <c r="AX199" s="1832"/>
      <c r="AY199" s="1832"/>
      <c r="AZ199" s="1832"/>
      <c r="BA199" s="1832"/>
      <c r="BB199" s="1832"/>
      <c r="BC199" s="1832"/>
      <c r="BD199" s="1832"/>
      <c r="BE199" s="1832"/>
      <c r="BF199" s="1832"/>
      <c r="BG199" s="1832"/>
      <c r="BH199" s="1832"/>
      <c r="BI199" s="1832"/>
      <c r="BJ199" s="1832"/>
      <c r="BK199" s="1832"/>
      <c r="BL199" s="1775" t="s">
        <v>377</v>
      </c>
      <c r="BM199" s="1776"/>
      <c r="BN199" s="1776"/>
      <c r="BO199" s="1776"/>
      <c r="BP199" s="1776"/>
      <c r="BQ199" s="1776"/>
      <c r="BR199" s="1776"/>
      <c r="BS199" s="1776"/>
      <c r="BT199" s="1776"/>
      <c r="BU199" s="1085"/>
      <c r="BV199" s="711"/>
      <c r="BW199" s="1915" t="s">
        <v>3352</v>
      </c>
      <c r="BX199" s="1915"/>
      <c r="BY199" s="1915"/>
      <c r="BZ199" s="1915"/>
      <c r="CA199" s="1915"/>
      <c r="CB199" s="1915"/>
      <c r="CC199" s="1915"/>
      <c r="CD199" s="1915"/>
      <c r="CE199" s="1915"/>
      <c r="CF199" s="1915"/>
      <c r="CG199" s="1915"/>
      <c r="CH199" s="1915"/>
      <c r="CI199" s="1915"/>
      <c r="CJ199" s="1915"/>
      <c r="CK199" s="1915"/>
      <c r="CL199" s="1915"/>
      <c r="CM199" s="1915"/>
      <c r="CN199" s="1915"/>
      <c r="CO199" s="1915"/>
      <c r="CP199" s="1915"/>
      <c r="CQ199" s="1915"/>
      <c r="CR199" s="1915"/>
      <c r="CS199" s="1915"/>
      <c r="CT199" s="711"/>
      <c r="CU199" s="712"/>
      <c r="DD199" s="36"/>
      <c r="DE199" s="36"/>
      <c r="DF199" s="36"/>
      <c r="DG199" s="36"/>
      <c r="DH199" s="36"/>
      <c r="DI199" s="36"/>
      <c r="DJ199" s="36"/>
      <c r="DK199" s="1112"/>
      <c r="EG199" s="178"/>
      <c r="EH199" s="178"/>
      <c r="EI199" s="178"/>
      <c r="EJ199" s="178"/>
      <c r="EK199" s="178"/>
      <c r="FV199" s="178"/>
      <c r="FW199" s="178"/>
      <c r="FX199" s="178"/>
      <c r="FY199" s="178"/>
      <c r="FZ199" s="178"/>
    </row>
    <row r="200" spans="1:183" s="172" customFormat="1" ht="31.5" customHeight="1">
      <c r="A200" s="645"/>
      <c r="B200" s="645"/>
      <c r="C200" s="645"/>
      <c r="D200" s="645"/>
      <c r="E200" s="646"/>
      <c r="F200" s="381"/>
      <c r="G200" s="381"/>
      <c r="H200" s="381"/>
      <c r="I200" s="251"/>
      <c r="J200" s="39"/>
      <c r="K200" s="896"/>
      <c r="L200" s="896"/>
      <c r="M200" s="2154" t="s">
        <v>692</v>
      </c>
      <c r="N200" s="2264"/>
      <c r="O200" s="2264"/>
      <c r="P200" s="2264"/>
      <c r="Q200" s="2264"/>
      <c r="R200" s="2264"/>
      <c r="S200" s="2264"/>
      <c r="T200" s="2264"/>
      <c r="U200" s="2264"/>
      <c r="V200" s="2264"/>
      <c r="W200" s="2264"/>
      <c r="X200" s="2264"/>
      <c r="Y200" s="2264"/>
      <c r="Z200" s="2264"/>
      <c r="AA200" s="2264"/>
      <c r="AB200" s="2194"/>
      <c r="AC200" s="2195"/>
      <c r="AD200" s="2195"/>
      <c r="AE200" s="2195"/>
      <c r="AF200" s="2195"/>
      <c r="AG200" s="2195"/>
      <c r="AH200" s="2195"/>
      <c r="AI200" s="2195"/>
      <c r="AJ200" s="2195"/>
      <c r="AK200" s="2195"/>
      <c r="AL200" s="2195"/>
      <c r="AM200" s="2195"/>
      <c r="AN200" s="2195"/>
      <c r="AO200" s="2195"/>
      <c r="AP200" s="2195"/>
      <c r="AQ200" s="2195"/>
      <c r="AR200" s="2195"/>
      <c r="AS200" s="2195"/>
      <c r="AT200" s="2195"/>
      <c r="AU200" s="2195"/>
      <c r="AV200" s="2195"/>
      <c r="AW200" s="2195"/>
      <c r="AX200" s="2195"/>
      <c r="AY200" s="2195"/>
      <c r="AZ200" s="2195"/>
      <c r="BA200" s="2195"/>
      <c r="BB200" s="2195"/>
      <c r="BC200" s="2195"/>
      <c r="BD200" s="2195"/>
      <c r="BE200" s="2195"/>
      <c r="BF200" s="2195"/>
      <c r="BG200" s="2195"/>
      <c r="BH200" s="2195"/>
      <c r="BI200" s="2195"/>
      <c r="BJ200" s="2195"/>
      <c r="BK200" s="2195"/>
      <c r="BL200" s="2195"/>
      <c r="BM200" s="2195"/>
      <c r="BN200" s="2195"/>
      <c r="BO200" s="2195"/>
      <c r="BP200" s="2195"/>
      <c r="BQ200" s="2195"/>
      <c r="BR200" s="2195"/>
      <c r="BS200" s="2195"/>
      <c r="BT200" s="2196"/>
      <c r="BU200" s="718"/>
      <c r="BV200" s="1099" t="s">
        <v>2727</v>
      </c>
      <c r="BW200" s="1916"/>
      <c r="BX200" s="1916"/>
      <c r="BY200" s="1916"/>
      <c r="BZ200" s="1916"/>
      <c r="CA200" s="1916"/>
      <c r="CB200" s="1916"/>
      <c r="CC200" s="1916"/>
      <c r="CD200" s="1916"/>
      <c r="CE200" s="1916"/>
      <c r="CF200" s="1916"/>
      <c r="CG200" s="1916"/>
      <c r="CH200" s="1916"/>
      <c r="CI200" s="1916"/>
      <c r="CJ200" s="1916"/>
      <c r="CK200" s="1916"/>
      <c r="CL200" s="1916"/>
      <c r="CM200" s="1916"/>
      <c r="CN200" s="1916"/>
      <c r="CO200" s="1916"/>
      <c r="CP200" s="1916"/>
      <c r="CQ200" s="1916"/>
      <c r="CR200" s="1916"/>
      <c r="CS200" s="1916"/>
      <c r="CT200" s="737"/>
      <c r="CU200" s="735"/>
      <c r="CV200" s="398"/>
      <c r="CW200" s="398"/>
      <c r="CX200" s="398"/>
      <c r="CY200" s="398"/>
      <c r="CZ200" s="398"/>
      <c r="DA200" s="398"/>
      <c r="DB200" s="398"/>
      <c r="DC200" s="35"/>
      <c r="DD200" s="36"/>
      <c r="DE200" s="36"/>
      <c r="DF200" s="178"/>
      <c r="DG200" s="178"/>
      <c r="DH200" s="178"/>
      <c r="DI200" s="178"/>
      <c r="DJ200" s="178"/>
      <c r="DK200" s="1068"/>
      <c r="DL200" s="1046"/>
      <c r="DM200" s="171"/>
      <c r="DN200" s="171"/>
      <c r="DO200" s="171"/>
      <c r="DP200" s="171"/>
      <c r="DQ200" s="171"/>
      <c r="DW200" s="273" t="str">
        <f>IF(DN182,"",IF(DW185="","","新築")&amp;IF(AB186="",""," 確認 "&amp;DW186&amp;DX186&amp;"."&amp;DY186&amp;"."&amp;DZ186&amp;" "&amp;DW187)&amp;IF(AB192="","","、完了 "&amp;DW192&amp;DX192&amp;"."&amp;DY192&amp;"."&amp;DZ192&amp;" "&amp;DW193))</f>
        <v/>
      </c>
      <c r="FO200" s="1046"/>
      <c r="GA200" s="171"/>
    </row>
    <row r="201" spans="1:183" s="172" customFormat="1" ht="31.5" customHeight="1">
      <c r="A201" s="645"/>
      <c r="B201" s="645"/>
      <c r="C201" s="645"/>
      <c r="D201" s="645"/>
      <c r="E201" s="646"/>
      <c r="F201" s="381"/>
      <c r="G201" s="381"/>
      <c r="H201" s="381"/>
      <c r="I201" s="251"/>
      <c r="J201" s="39"/>
      <c r="K201" s="896"/>
      <c r="L201" s="896"/>
      <c r="M201" s="2167"/>
      <c r="N201" s="2265"/>
      <c r="O201" s="2265"/>
      <c r="P201" s="2265"/>
      <c r="Q201" s="2265"/>
      <c r="R201" s="2265"/>
      <c r="S201" s="2265"/>
      <c r="T201" s="2265"/>
      <c r="U201" s="2265"/>
      <c r="V201" s="2265"/>
      <c r="W201" s="2265"/>
      <c r="X201" s="2265"/>
      <c r="Y201" s="2265"/>
      <c r="Z201" s="2265"/>
      <c r="AA201" s="2265"/>
      <c r="AB201" s="2194"/>
      <c r="AC201" s="2195"/>
      <c r="AD201" s="2195"/>
      <c r="AE201" s="2195"/>
      <c r="AF201" s="2195"/>
      <c r="AG201" s="2195"/>
      <c r="AH201" s="2195"/>
      <c r="AI201" s="2195"/>
      <c r="AJ201" s="2195"/>
      <c r="AK201" s="2195"/>
      <c r="AL201" s="2195"/>
      <c r="AM201" s="2195"/>
      <c r="AN201" s="2195"/>
      <c r="AO201" s="2195"/>
      <c r="AP201" s="2195"/>
      <c r="AQ201" s="2195"/>
      <c r="AR201" s="2195"/>
      <c r="AS201" s="2195"/>
      <c r="AT201" s="2195"/>
      <c r="AU201" s="2195"/>
      <c r="AV201" s="2195"/>
      <c r="AW201" s="2195"/>
      <c r="AX201" s="2195"/>
      <c r="AY201" s="2195"/>
      <c r="AZ201" s="2195"/>
      <c r="BA201" s="2195"/>
      <c r="BB201" s="2195"/>
      <c r="BC201" s="2195"/>
      <c r="BD201" s="2195"/>
      <c r="BE201" s="2195"/>
      <c r="BF201" s="2195"/>
      <c r="BG201" s="2195"/>
      <c r="BH201" s="2195"/>
      <c r="BI201" s="2195"/>
      <c r="BJ201" s="2195"/>
      <c r="BK201" s="2195"/>
      <c r="BL201" s="2195"/>
      <c r="BM201" s="2195"/>
      <c r="BN201" s="2195"/>
      <c r="BO201" s="2195"/>
      <c r="BP201" s="2195"/>
      <c r="BQ201" s="2195"/>
      <c r="BR201" s="2195"/>
      <c r="BS201" s="2195"/>
      <c r="BT201" s="2196"/>
      <c r="BU201" s="718"/>
      <c r="BV201" s="737"/>
      <c r="BW201" s="1916"/>
      <c r="BX201" s="1916"/>
      <c r="BY201" s="1916"/>
      <c r="BZ201" s="1916"/>
      <c r="CA201" s="1916"/>
      <c r="CB201" s="1916"/>
      <c r="CC201" s="1916"/>
      <c r="CD201" s="1916"/>
      <c r="CE201" s="1916"/>
      <c r="CF201" s="1916"/>
      <c r="CG201" s="1916"/>
      <c r="CH201" s="1916"/>
      <c r="CI201" s="1916"/>
      <c r="CJ201" s="1916"/>
      <c r="CK201" s="1916"/>
      <c r="CL201" s="1916"/>
      <c r="CM201" s="1916"/>
      <c r="CN201" s="1916"/>
      <c r="CO201" s="1916"/>
      <c r="CP201" s="1916"/>
      <c r="CQ201" s="1916"/>
      <c r="CR201" s="1916"/>
      <c r="CS201" s="1916"/>
      <c r="CT201" s="737"/>
      <c r="CU201" s="735"/>
      <c r="CV201" s="398"/>
      <c r="CW201" s="398"/>
      <c r="CX201" s="398"/>
      <c r="CY201" s="398"/>
      <c r="CZ201" s="398"/>
      <c r="DA201" s="398"/>
      <c r="DB201" s="398"/>
      <c r="DC201" s="35"/>
      <c r="DD201" s="36"/>
      <c r="DE201" s="36"/>
      <c r="DF201" s="178"/>
      <c r="DG201" s="178"/>
      <c r="DH201" s="178"/>
      <c r="DI201" s="178"/>
      <c r="DJ201" s="178"/>
      <c r="DK201" s="1068"/>
      <c r="DL201" s="1046"/>
      <c r="DM201" s="171"/>
      <c r="DN201" s="171"/>
      <c r="DO201" s="171"/>
      <c r="DP201" s="171"/>
      <c r="DQ201" s="171"/>
      <c r="FO201" s="1046"/>
      <c r="GA201" s="171"/>
    </row>
    <row r="202" spans="1:183" s="172" customFormat="1" ht="31.5" customHeight="1" thickBot="1">
      <c r="A202" s="645"/>
      <c r="B202" s="645"/>
      <c r="C202" s="645"/>
      <c r="D202" s="645"/>
      <c r="E202" s="646"/>
      <c r="F202" s="381"/>
      <c r="G202" s="381"/>
      <c r="H202" s="381"/>
      <c r="I202" s="251"/>
      <c r="J202" s="39"/>
      <c r="K202" s="896"/>
      <c r="L202" s="896"/>
      <c r="M202" s="2167"/>
      <c r="N202" s="2265"/>
      <c r="O202" s="2265"/>
      <c r="P202" s="2265"/>
      <c r="Q202" s="2265"/>
      <c r="R202" s="2265"/>
      <c r="S202" s="2265"/>
      <c r="T202" s="2265"/>
      <c r="U202" s="2265"/>
      <c r="V202" s="2265"/>
      <c r="W202" s="2265"/>
      <c r="X202" s="2265"/>
      <c r="Y202" s="2265"/>
      <c r="Z202" s="2265"/>
      <c r="AA202" s="2265"/>
      <c r="AB202" s="2194"/>
      <c r="AC202" s="2195"/>
      <c r="AD202" s="2195"/>
      <c r="AE202" s="2195"/>
      <c r="AF202" s="2195"/>
      <c r="AG202" s="2195"/>
      <c r="AH202" s="2195"/>
      <c r="AI202" s="2195"/>
      <c r="AJ202" s="2195"/>
      <c r="AK202" s="2195"/>
      <c r="AL202" s="2195"/>
      <c r="AM202" s="2195"/>
      <c r="AN202" s="2195"/>
      <c r="AO202" s="2195"/>
      <c r="AP202" s="2195"/>
      <c r="AQ202" s="2195"/>
      <c r="AR202" s="2195"/>
      <c r="AS202" s="2195"/>
      <c r="AT202" s="2195"/>
      <c r="AU202" s="2195"/>
      <c r="AV202" s="2195"/>
      <c r="AW202" s="2195"/>
      <c r="AX202" s="2195"/>
      <c r="AY202" s="2195"/>
      <c r="AZ202" s="2195"/>
      <c r="BA202" s="2195"/>
      <c r="BB202" s="2195"/>
      <c r="BC202" s="2195"/>
      <c r="BD202" s="2195"/>
      <c r="BE202" s="2195"/>
      <c r="BF202" s="2195"/>
      <c r="BG202" s="2195"/>
      <c r="BH202" s="2195"/>
      <c r="BI202" s="2195"/>
      <c r="BJ202" s="2195"/>
      <c r="BK202" s="2195"/>
      <c r="BL202" s="2195"/>
      <c r="BM202" s="2195"/>
      <c r="BN202" s="2195"/>
      <c r="BO202" s="2195"/>
      <c r="BP202" s="2195"/>
      <c r="BQ202" s="2195"/>
      <c r="BR202" s="2195"/>
      <c r="BS202" s="2195"/>
      <c r="BT202" s="2196"/>
      <c r="BU202" s="718"/>
      <c r="BV202" s="1113"/>
      <c r="BW202" s="1916"/>
      <c r="BX202" s="1916"/>
      <c r="BY202" s="1916"/>
      <c r="BZ202" s="1916"/>
      <c r="CA202" s="1916"/>
      <c r="CB202" s="1916"/>
      <c r="CC202" s="1916"/>
      <c r="CD202" s="1916"/>
      <c r="CE202" s="1916"/>
      <c r="CF202" s="1916"/>
      <c r="CG202" s="1916"/>
      <c r="CH202" s="1916"/>
      <c r="CI202" s="1916"/>
      <c r="CJ202" s="1916"/>
      <c r="CK202" s="1916"/>
      <c r="CL202" s="1916"/>
      <c r="CM202" s="1916"/>
      <c r="CN202" s="1916"/>
      <c r="CO202" s="1916"/>
      <c r="CP202" s="1916"/>
      <c r="CQ202" s="1916"/>
      <c r="CR202" s="1916"/>
      <c r="CS202" s="1916"/>
      <c r="CT202" s="737"/>
      <c r="CU202" s="735"/>
      <c r="CV202" s="171"/>
      <c r="CW202" s="171"/>
      <c r="CX202" s="171"/>
      <c r="CY202" s="171"/>
      <c r="CZ202" s="171"/>
      <c r="DA202" s="171"/>
      <c r="DB202" s="171"/>
      <c r="DC202" s="369"/>
      <c r="DD202" s="1074"/>
      <c r="DE202" s="1074"/>
      <c r="DF202" s="1075"/>
      <c r="DG202" s="1075"/>
      <c r="DH202" s="1075"/>
      <c r="DI202" s="1075"/>
      <c r="DJ202" s="1075"/>
      <c r="DL202" s="1046"/>
      <c r="DM202" s="171"/>
      <c r="DN202" s="171" t="s">
        <v>4663</v>
      </c>
      <c r="DO202" s="171"/>
      <c r="DP202" s="171"/>
      <c r="DQ202" s="171"/>
      <c r="FO202" s="1046"/>
      <c r="GA202" s="171"/>
    </row>
    <row r="203" spans="1:183" s="172" customFormat="1" ht="13.5" customHeight="1" thickBot="1">
      <c r="A203" s="645"/>
      <c r="B203" s="645"/>
      <c r="C203" s="645"/>
      <c r="D203" s="645"/>
      <c r="E203" s="646"/>
      <c r="F203" s="381"/>
      <c r="G203" s="381"/>
      <c r="H203" s="381"/>
      <c r="I203" s="251"/>
      <c r="J203" s="40"/>
      <c r="K203" s="912"/>
      <c r="L203" s="912"/>
      <c r="M203" s="2266"/>
      <c r="N203" s="2267"/>
      <c r="O203" s="2267"/>
      <c r="P203" s="2267"/>
      <c r="Q203" s="2267"/>
      <c r="R203" s="2267"/>
      <c r="S203" s="2267"/>
      <c r="T203" s="2267"/>
      <c r="U203" s="2267"/>
      <c r="V203" s="2267"/>
      <c r="W203" s="2267"/>
      <c r="X203" s="2267"/>
      <c r="Y203" s="2267"/>
      <c r="Z203" s="2267"/>
      <c r="AA203" s="2267"/>
      <c r="AB203" s="2197"/>
      <c r="AC203" s="2198"/>
      <c r="AD203" s="2198"/>
      <c r="AE203" s="2198"/>
      <c r="AF203" s="2198"/>
      <c r="AG203" s="2198"/>
      <c r="AH203" s="2198"/>
      <c r="AI203" s="2198"/>
      <c r="AJ203" s="2198"/>
      <c r="AK203" s="2198"/>
      <c r="AL203" s="2198"/>
      <c r="AM203" s="2198"/>
      <c r="AN203" s="2198"/>
      <c r="AO203" s="2198"/>
      <c r="AP203" s="2198"/>
      <c r="AQ203" s="2198"/>
      <c r="AR203" s="2198"/>
      <c r="AS203" s="2198"/>
      <c r="AT203" s="2198"/>
      <c r="AU203" s="2198"/>
      <c r="AV203" s="2198"/>
      <c r="AW203" s="2198"/>
      <c r="AX203" s="2198"/>
      <c r="AY203" s="2198"/>
      <c r="AZ203" s="2198"/>
      <c r="BA203" s="2198"/>
      <c r="BB203" s="2198"/>
      <c r="BC203" s="2198"/>
      <c r="BD203" s="2198"/>
      <c r="BE203" s="2198"/>
      <c r="BF203" s="2198"/>
      <c r="BG203" s="2198"/>
      <c r="BH203" s="2198"/>
      <c r="BI203" s="2198"/>
      <c r="BJ203" s="2198"/>
      <c r="BK203" s="2198"/>
      <c r="BL203" s="2198"/>
      <c r="BM203" s="2198"/>
      <c r="BN203" s="2198"/>
      <c r="BO203" s="2198"/>
      <c r="BP203" s="2198"/>
      <c r="BQ203" s="2198"/>
      <c r="BR203" s="2198"/>
      <c r="BS203" s="2198"/>
      <c r="BT203" s="2199"/>
      <c r="BU203" s="1053"/>
      <c r="BV203" s="2491" t="str">
        <f>IF(DN203,"←第二面7欄に納まっているか確認してください。","←")</f>
        <v>←</v>
      </c>
      <c r="BW203" s="2491"/>
      <c r="BX203" s="2491"/>
      <c r="BY203" s="2491"/>
      <c r="BZ203" s="2491"/>
      <c r="CA203" s="2491"/>
      <c r="CB203" s="2491"/>
      <c r="CC203" s="2491"/>
      <c r="CD203" s="2491"/>
      <c r="CE203" s="2491"/>
      <c r="CF203" s="2491"/>
      <c r="CG203" s="2491"/>
      <c r="CH203" s="2491"/>
      <c r="CI203" s="2491"/>
      <c r="CJ203" s="2491"/>
      <c r="CK203" s="2491"/>
      <c r="CL203" s="2491"/>
      <c r="CM203" s="2491"/>
      <c r="CN203" s="2491"/>
      <c r="CO203" s="2491"/>
      <c r="CP203" s="2491"/>
      <c r="CQ203" s="2491"/>
      <c r="CR203" s="2491"/>
      <c r="CS203" s="2491"/>
      <c r="CT203" s="738"/>
      <c r="CU203" s="739"/>
      <c r="CV203" s="171"/>
      <c r="CW203" s="171"/>
      <c r="CX203" s="171"/>
      <c r="CY203" s="171"/>
      <c r="CZ203" s="171"/>
      <c r="DA203" s="171"/>
      <c r="DB203" s="171"/>
      <c r="DC203" s="369"/>
      <c r="DD203" s="1074"/>
      <c r="DE203" s="1074"/>
      <c r="DF203" s="1075"/>
      <c r="DG203" s="1075"/>
      <c r="DH203" s="1075"/>
      <c r="DI203" s="1075"/>
      <c r="DJ203" s="1075"/>
      <c r="DL203" s="1046"/>
      <c r="DM203" s="171"/>
      <c r="DN203" s="177" t="b">
        <f>LENB(SUBSTITUTE(AB200,CHAR(10),REPT("A",90))&amp;DW200)&gt;560</f>
        <v>0</v>
      </c>
      <c r="DO203" s="171"/>
      <c r="DP203" s="171"/>
      <c r="DQ203" s="171"/>
      <c r="EG203" s="167"/>
      <c r="EH203" s="167"/>
      <c r="EI203" s="167"/>
      <c r="EJ203" s="167"/>
      <c r="EK203" s="167"/>
      <c r="FO203" s="1046"/>
      <c r="FV203" s="167"/>
      <c r="FW203" s="167"/>
      <c r="FX203" s="167"/>
      <c r="FY203" s="167"/>
      <c r="FZ203" s="167"/>
      <c r="GA203" s="171"/>
    </row>
    <row r="204" spans="1:183" ht="15" customHeight="1">
      <c r="A204" s="645"/>
      <c r="B204" s="645"/>
      <c r="C204" s="645"/>
      <c r="D204" s="645"/>
      <c r="E204" s="646"/>
      <c r="BU204" s="1044"/>
      <c r="DD204" s="36"/>
      <c r="DE204" s="36"/>
      <c r="DF204" s="36"/>
      <c r="DG204" s="36"/>
      <c r="DH204" s="36"/>
      <c r="DI204" s="36"/>
      <c r="DJ204" s="36"/>
      <c r="EG204" s="167"/>
      <c r="EH204" s="167"/>
      <c r="EI204" s="167"/>
      <c r="EJ204" s="167"/>
      <c r="EK204" s="167"/>
      <c r="FV204" s="167"/>
      <c r="FW204" s="167"/>
      <c r="FX204" s="167"/>
      <c r="FY204" s="167"/>
      <c r="FZ204" s="167"/>
    </row>
    <row r="205" spans="1:183" ht="2.15" customHeight="1">
      <c r="A205" s="645"/>
      <c r="B205" s="645"/>
      <c r="C205" s="645"/>
      <c r="D205" s="645"/>
      <c r="E205" s="646"/>
      <c r="BU205" s="1044"/>
      <c r="DD205" s="36"/>
      <c r="DE205" s="36"/>
      <c r="DF205" s="36"/>
      <c r="DG205" s="36"/>
      <c r="DH205" s="36"/>
      <c r="DI205" s="36"/>
      <c r="DJ205" s="36"/>
      <c r="EG205" s="167"/>
      <c r="EH205" s="167"/>
      <c r="EI205" s="167"/>
      <c r="EJ205" s="167"/>
      <c r="EK205" s="167"/>
      <c r="FV205" s="167"/>
      <c r="FW205" s="167"/>
      <c r="FX205" s="167"/>
      <c r="FY205" s="167"/>
      <c r="FZ205" s="167"/>
    </row>
    <row r="206" spans="1:183" ht="2.15" customHeight="1">
      <c r="A206" s="645"/>
      <c r="B206" s="645"/>
      <c r="C206" s="645"/>
      <c r="D206" s="645"/>
      <c r="E206" s="646"/>
      <c r="BU206" s="1044"/>
      <c r="DD206" s="36"/>
      <c r="DE206" s="36"/>
      <c r="DF206" s="36"/>
      <c r="DG206" s="36"/>
      <c r="DH206" s="36"/>
      <c r="DI206" s="36"/>
      <c r="DJ206" s="36"/>
      <c r="EG206" s="167"/>
      <c r="EH206" s="167"/>
      <c r="EI206" s="167"/>
      <c r="EJ206" s="167"/>
      <c r="EK206" s="167"/>
      <c r="FV206" s="167"/>
      <c r="FW206" s="167"/>
      <c r="FX206" s="167"/>
      <c r="FY206" s="167"/>
      <c r="FZ206" s="167"/>
    </row>
    <row r="207" spans="1:183" ht="2.15" customHeight="1" thickBot="1">
      <c r="A207" s="645"/>
      <c r="B207" s="645"/>
      <c r="C207" s="645"/>
      <c r="D207" s="645"/>
      <c r="E207" s="646"/>
      <c r="BU207" s="1044"/>
      <c r="DD207" s="36"/>
      <c r="DE207" s="36"/>
      <c r="DF207" s="36"/>
      <c r="DG207" s="36"/>
      <c r="DH207" s="36"/>
      <c r="DI207" s="36"/>
      <c r="DJ207" s="36"/>
      <c r="EG207" s="167"/>
      <c r="EH207" s="167"/>
      <c r="EI207" s="167"/>
      <c r="EJ207" s="167"/>
      <c r="EK207" s="167"/>
      <c r="FV207" s="167"/>
      <c r="FW207" s="167"/>
      <c r="FX207" s="167"/>
      <c r="FY207" s="167"/>
      <c r="FZ207" s="167"/>
    </row>
    <row r="208" spans="1:183" ht="35.15" customHeight="1" thickBot="1">
      <c r="A208" s="645"/>
      <c r="B208" s="645"/>
      <c r="C208" s="645"/>
      <c r="D208" s="645"/>
      <c r="E208" s="646"/>
      <c r="J208" s="1831" t="s">
        <v>1156</v>
      </c>
      <c r="K208" s="2225"/>
      <c r="L208" s="2225"/>
      <c r="M208" s="2225"/>
      <c r="N208" s="2225"/>
      <c r="O208" s="2225"/>
      <c r="P208" s="2225"/>
      <c r="Q208" s="2225"/>
      <c r="R208" s="2225"/>
      <c r="S208" s="2225"/>
      <c r="T208" s="2225"/>
      <c r="U208" s="2225"/>
      <c r="V208" s="2225"/>
      <c r="W208" s="2225"/>
      <c r="X208" s="2225"/>
      <c r="Y208" s="2225"/>
      <c r="Z208" s="2225"/>
      <c r="AA208" s="2225"/>
      <c r="AB208" s="258" t="s">
        <v>2631</v>
      </c>
      <c r="AC208" s="257"/>
      <c r="AD208" s="257"/>
      <c r="AE208" s="257"/>
      <c r="AF208" s="257"/>
      <c r="AG208" s="257"/>
      <c r="AH208" s="257"/>
      <c r="AI208" s="257"/>
      <c r="AJ208" s="257"/>
      <c r="AK208" s="257"/>
      <c r="AL208" s="257"/>
      <c r="AM208" s="257"/>
      <c r="AN208" s="257"/>
      <c r="AO208" s="257"/>
      <c r="AP208" s="257"/>
      <c r="AQ208" s="257"/>
      <c r="AR208" s="257"/>
      <c r="AS208" s="257"/>
      <c r="AT208" s="257"/>
      <c r="AU208" s="257"/>
      <c r="AV208" s="257"/>
      <c r="AW208" s="257"/>
      <c r="AX208" s="257"/>
      <c r="AY208" s="257"/>
      <c r="AZ208" s="257"/>
      <c r="BA208" s="257"/>
      <c r="BB208" s="257"/>
      <c r="BC208" s="257"/>
      <c r="BD208" s="257"/>
      <c r="BE208" s="257"/>
      <c r="BF208" s="257"/>
      <c r="BG208" s="257"/>
      <c r="BH208" s="257"/>
      <c r="BI208" s="257"/>
      <c r="BJ208" s="257"/>
      <c r="BK208" s="257"/>
      <c r="BL208" s="2171" t="s">
        <v>374</v>
      </c>
      <c r="BM208" s="2171"/>
      <c r="BN208" s="2171"/>
      <c r="BO208" s="2171"/>
      <c r="BP208" s="2171"/>
      <c r="BQ208" s="2171"/>
      <c r="BR208" s="2171"/>
      <c r="BS208" s="2171"/>
      <c r="BT208" s="2171"/>
      <c r="BU208" s="1085"/>
      <c r="BV208" s="711"/>
      <c r="BW208" s="711"/>
      <c r="BX208" s="711"/>
      <c r="BY208" s="711"/>
      <c r="BZ208" s="711"/>
      <c r="CA208" s="711"/>
      <c r="CB208" s="711"/>
      <c r="CC208" s="711"/>
      <c r="CD208" s="711"/>
      <c r="CE208" s="711"/>
      <c r="CF208" s="711"/>
      <c r="CG208" s="711"/>
      <c r="CH208" s="711"/>
      <c r="CI208" s="711"/>
      <c r="CJ208" s="711"/>
      <c r="CK208" s="711"/>
      <c r="CL208" s="711"/>
      <c r="CM208" s="711"/>
      <c r="CN208" s="711"/>
      <c r="CO208" s="711"/>
      <c r="CP208" s="711"/>
      <c r="CQ208" s="711"/>
      <c r="CR208" s="711"/>
      <c r="CS208" s="711"/>
      <c r="CT208" s="711"/>
      <c r="CU208" s="712"/>
      <c r="DD208" s="36"/>
      <c r="DE208" s="36"/>
      <c r="DF208" s="36"/>
      <c r="DG208" s="36"/>
      <c r="DH208" s="36"/>
      <c r="DI208" s="36"/>
      <c r="DJ208" s="36"/>
      <c r="DK208" s="1068"/>
      <c r="DN208" s="166" t="s">
        <v>2441</v>
      </c>
      <c r="EG208" s="172"/>
      <c r="EH208" s="172"/>
      <c r="EI208" s="172"/>
      <c r="EJ208" s="172"/>
      <c r="EK208" s="172"/>
      <c r="FV208" s="172"/>
      <c r="FW208" s="172"/>
      <c r="FX208" s="172"/>
      <c r="FY208" s="172"/>
      <c r="FZ208" s="172"/>
    </row>
    <row r="209" spans="1:183" s="172" customFormat="1" ht="27" customHeight="1" thickBot="1">
      <c r="A209" s="645"/>
      <c r="B209" s="645"/>
      <c r="C209" s="645"/>
      <c r="D209" s="645"/>
      <c r="E209" s="646"/>
      <c r="F209" s="381"/>
      <c r="G209" s="381"/>
      <c r="H209" s="381"/>
      <c r="I209" s="251"/>
      <c r="J209" s="99"/>
      <c r="K209" s="94"/>
      <c r="L209" s="94"/>
      <c r="M209" s="1809" t="s">
        <v>723</v>
      </c>
      <c r="N209" s="2173"/>
      <c r="O209" s="2173"/>
      <c r="P209" s="2173"/>
      <c r="Q209" s="2173"/>
      <c r="R209" s="2173"/>
      <c r="S209" s="2173"/>
      <c r="T209" s="2173"/>
      <c r="U209" s="2173"/>
      <c r="V209" s="2173"/>
      <c r="W209" s="2173"/>
      <c r="X209" s="2173"/>
      <c r="Y209" s="2173"/>
      <c r="Z209" s="2173"/>
      <c r="AA209" s="2173"/>
      <c r="AB209" s="1822" t="s">
        <v>316</v>
      </c>
      <c r="AC209" s="2263"/>
      <c r="AD209" s="2263"/>
      <c r="AE209" s="1803"/>
      <c r="AF209" s="1803"/>
      <c r="AG209" s="1803"/>
      <c r="AH209" s="900" t="s">
        <v>12</v>
      </c>
      <c r="AI209" s="900"/>
      <c r="AJ209" s="1803"/>
      <c r="AK209" s="1803"/>
      <c r="AL209" s="1803"/>
      <c r="AM209" s="900" t="s">
        <v>170</v>
      </c>
      <c r="AN209" s="900"/>
      <c r="AO209" s="1803"/>
      <c r="AP209" s="1803"/>
      <c r="AQ209" s="1803"/>
      <c r="AR209" s="900" t="s">
        <v>5657</v>
      </c>
      <c r="AS209" s="900"/>
      <c r="AT209" s="1705"/>
      <c r="AU209" s="96"/>
      <c r="AV209" s="96" t="s">
        <v>1035</v>
      </c>
      <c r="AW209" s="900"/>
      <c r="AX209" s="900"/>
      <c r="AY209" s="900"/>
      <c r="AZ209" s="900"/>
      <c r="BA209" s="900"/>
      <c r="BB209" s="900"/>
      <c r="BC209" s="900"/>
      <c r="BD209" s="900"/>
      <c r="BE209" s="900"/>
      <c r="BF209" s="900"/>
      <c r="BG209" s="900"/>
      <c r="BH209" s="900"/>
      <c r="BI209" s="900"/>
      <c r="BJ209" s="900"/>
      <c r="BK209" s="900"/>
      <c r="BL209" s="900"/>
      <c r="BM209" s="900"/>
      <c r="BN209" s="900"/>
      <c r="BO209" s="900"/>
      <c r="BP209" s="900"/>
      <c r="BQ209" s="900"/>
      <c r="BR209" s="900"/>
      <c r="BS209" s="900"/>
      <c r="BT209" s="900"/>
      <c r="BU209" s="718"/>
      <c r="BV209" s="1099" t="s">
        <v>2727</v>
      </c>
      <c r="BW209" s="731" t="s">
        <v>2797</v>
      </c>
      <c r="BX209" s="891"/>
      <c r="BY209" s="891"/>
      <c r="BZ209" s="891"/>
      <c r="CA209" s="891"/>
      <c r="CB209" s="891"/>
      <c r="CC209" s="891"/>
      <c r="CD209" s="891"/>
      <c r="CE209" s="891"/>
      <c r="CF209" s="891"/>
      <c r="CG209" s="891"/>
      <c r="CH209" s="891"/>
      <c r="CI209" s="891"/>
      <c r="CJ209" s="891"/>
      <c r="CK209" s="891"/>
      <c r="CL209" s="891"/>
      <c r="CM209" s="891"/>
      <c r="CN209" s="891"/>
      <c r="CO209" s="891"/>
      <c r="CP209" s="891"/>
      <c r="CQ209" s="891"/>
      <c r="CR209" s="891"/>
      <c r="CS209" s="891"/>
      <c r="CT209" s="891"/>
      <c r="CU209" s="918"/>
      <c r="CV209" s="398"/>
      <c r="CW209" s="398"/>
      <c r="CX209" s="398"/>
      <c r="CY209" s="398"/>
      <c r="CZ209" s="398"/>
      <c r="DA209" s="398"/>
      <c r="DB209" s="398"/>
      <c r="DC209" s="35"/>
      <c r="DD209" s="36"/>
      <c r="DE209" s="36"/>
      <c r="DF209" s="178"/>
      <c r="DG209" s="178"/>
      <c r="DH209" s="178"/>
      <c r="DI209" s="178"/>
      <c r="DJ209" s="178"/>
      <c r="DK209" s="1068"/>
      <c r="DL209" s="1046"/>
      <c r="DM209" s="171"/>
      <c r="DN209" s="182">
        <f>COUNTA(AE209,AJ209,AO209)</f>
        <v>0</v>
      </c>
      <c r="DO209" s="171"/>
      <c r="DP209" s="171"/>
      <c r="DQ209" s="171"/>
      <c r="EG209" s="167"/>
      <c r="EH209" s="167"/>
      <c r="EI209" s="167"/>
      <c r="EJ209" s="167"/>
      <c r="EK209" s="167"/>
      <c r="FO209" s="1046"/>
      <c r="FV209" s="167"/>
      <c r="FW209" s="167"/>
      <c r="FX209" s="167"/>
      <c r="FY209" s="167"/>
      <c r="FZ209" s="167"/>
      <c r="GA209" s="171"/>
    </row>
    <row r="210" spans="1:183" s="172" customFormat="1" ht="27" customHeight="1" thickBot="1">
      <c r="A210" s="645"/>
      <c r="B210" s="645"/>
      <c r="C210" s="645"/>
      <c r="D210" s="645"/>
      <c r="E210" s="646"/>
      <c r="F210" s="381"/>
      <c r="G210" s="381"/>
      <c r="H210" s="381"/>
      <c r="I210" s="251"/>
      <c r="J210" s="99"/>
      <c r="K210" s="94"/>
      <c r="L210" s="94"/>
      <c r="M210" s="2154" t="s">
        <v>295</v>
      </c>
      <c r="N210" s="2155"/>
      <c r="O210" s="2155"/>
      <c r="P210" s="2155"/>
      <c r="Q210" s="2155"/>
      <c r="R210" s="2155"/>
      <c r="S210" s="1960" t="s">
        <v>720</v>
      </c>
      <c r="T210" s="2227"/>
      <c r="U210" s="2227"/>
      <c r="V210" s="2227"/>
      <c r="W210" s="2227"/>
      <c r="X210" s="2227"/>
      <c r="Y210" s="2227"/>
      <c r="Z210" s="2227"/>
      <c r="AA210" s="2227"/>
      <c r="AB210" s="1854"/>
      <c r="AC210" s="1854"/>
      <c r="AD210" s="1854"/>
      <c r="AE210" s="1950"/>
      <c r="AF210" s="1950"/>
      <c r="AG210" s="1950"/>
      <c r="AH210" s="58" t="str">
        <f>IF(AB210="","←どれか１つ選んでください","")</f>
        <v>←どれか１つ選んでください</v>
      </c>
      <c r="AI210" s="892"/>
      <c r="AJ210" s="892"/>
      <c r="AK210" s="892"/>
      <c r="AL210" s="892"/>
      <c r="AM210" s="892"/>
      <c r="AN210" s="892"/>
      <c r="AO210" s="892"/>
      <c r="AP210" s="892"/>
      <c r="AQ210" s="892"/>
      <c r="AR210" s="898"/>
      <c r="AS210" s="898"/>
      <c r="AT210" s="898"/>
      <c r="AU210" s="898"/>
      <c r="AV210" s="898"/>
      <c r="AW210" s="898"/>
      <c r="AX210" s="898"/>
      <c r="AY210" s="898"/>
      <c r="AZ210" s="898"/>
      <c r="BA210" s="101"/>
      <c r="BB210" s="898"/>
      <c r="BC210" s="898"/>
      <c r="BD210" s="898"/>
      <c r="BE210" s="898"/>
      <c r="BF210" s="898"/>
      <c r="BG210" s="898"/>
      <c r="BH210" s="898"/>
      <c r="BI210" s="898"/>
      <c r="BJ210" s="898"/>
      <c r="BK210" s="898"/>
      <c r="BL210" s="898"/>
      <c r="BM210" s="898"/>
      <c r="BN210" s="898"/>
      <c r="BO210" s="898"/>
      <c r="BP210" s="898"/>
      <c r="BQ210" s="898"/>
      <c r="BR210" s="898"/>
      <c r="BS210" s="898"/>
      <c r="BT210" s="898"/>
      <c r="BU210" s="718"/>
      <c r="BV210" s="1099" t="s">
        <v>2727</v>
      </c>
      <c r="BW210" s="731" t="s">
        <v>3323</v>
      </c>
      <c r="BX210" s="891"/>
      <c r="BY210" s="891"/>
      <c r="BZ210" s="891"/>
      <c r="CA210" s="891"/>
      <c r="CB210" s="891"/>
      <c r="CC210" s="891"/>
      <c r="CD210" s="891"/>
      <c r="CE210" s="891"/>
      <c r="CF210" s="891"/>
      <c r="CG210" s="891"/>
      <c r="CH210" s="891"/>
      <c r="CI210" s="891"/>
      <c r="CJ210" s="891"/>
      <c r="CK210" s="891"/>
      <c r="CL210" s="891"/>
      <c r="CM210" s="891"/>
      <c r="CN210" s="891"/>
      <c r="CO210" s="891"/>
      <c r="CP210" s="891"/>
      <c r="CQ210" s="891"/>
      <c r="CR210" s="891"/>
      <c r="CS210" s="891"/>
      <c r="CT210" s="891"/>
      <c r="CU210" s="918"/>
      <c r="CV210" s="398"/>
      <c r="CW210" s="398"/>
      <c r="CX210" s="398"/>
      <c r="CY210" s="398"/>
      <c r="CZ210" s="398"/>
      <c r="DA210" s="398"/>
      <c r="DB210" s="398"/>
      <c r="DC210" s="35"/>
      <c r="DD210" s="36"/>
      <c r="DE210" s="36"/>
      <c r="DF210" s="36"/>
      <c r="DG210" s="36"/>
      <c r="DH210" s="36"/>
      <c r="DI210" s="36"/>
      <c r="DJ210" s="36"/>
      <c r="DK210" s="1045"/>
      <c r="DL210" s="1046"/>
      <c r="DM210" s="171"/>
      <c r="DO210" s="186" t="s">
        <v>882</v>
      </c>
      <c r="DP210" s="208" t="s">
        <v>935</v>
      </c>
      <c r="EG210" s="167"/>
      <c r="EH210" s="167"/>
      <c r="EI210" s="167"/>
      <c r="EJ210" s="167"/>
      <c r="EK210" s="167"/>
      <c r="FO210" s="1046"/>
      <c r="FV210" s="167"/>
      <c r="FW210" s="167"/>
      <c r="FX210" s="167"/>
      <c r="FY210" s="167"/>
      <c r="FZ210" s="167"/>
      <c r="GA210" s="171"/>
    </row>
    <row r="211" spans="1:183" ht="27" customHeight="1" thickBot="1">
      <c r="A211" s="645"/>
      <c r="B211" s="645"/>
      <c r="C211" s="645"/>
      <c r="D211" s="645"/>
      <c r="E211" s="646"/>
      <c r="J211" s="102"/>
      <c r="K211" s="103"/>
      <c r="L211" s="103"/>
      <c r="M211" s="2156"/>
      <c r="N211" s="2156"/>
      <c r="O211" s="2156"/>
      <c r="P211" s="2156"/>
      <c r="Q211" s="2156"/>
      <c r="R211" s="2156"/>
      <c r="S211" s="2185" t="s">
        <v>688</v>
      </c>
      <c r="T211" s="2251"/>
      <c r="U211" s="2251"/>
      <c r="V211" s="2251"/>
      <c r="W211" s="2251"/>
      <c r="X211" s="2251"/>
      <c r="Y211" s="2251"/>
      <c r="Z211" s="2251"/>
      <c r="AA211" s="2251"/>
      <c r="AB211" s="2152"/>
      <c r="AC211" s="2153"/>
      <c r="AD211" s="2153"/>
      <c r="AE211" s="2256"/>
      <c r="AF211" s="2256"/>
      <c r="AG211" s="2257"/>
      <c r="AH211" s="610" t="s">
        <v>12</v>
      </c>
      <c r="AI211" s="611"/>
      <c r="AJ211" s="2174"/>
      <c r="AK211" s="2174"/>
      <c r="AL211" s="2174"/>
      <c r="AM211" s="894" t="s">
        <v>170</v>
      </c>
      <c r="AN211" s="894"/>
      <c r="AO211" s="2174"/>
      <c r="AP211" s="2174"/>
      <c r="AQ211" s="2174"/>
      <c r="AR211" s="911" t="s">
        <v>5656</v>
      </c>
      <c r="AS211" s="911"/>
      <c r="AT211" s="59"/>
      <c r="AU211" s="59"/>
      <c r="AV211" s="59"/>
      <c r="AW211" s="59"/>
      <c r="AX211" s="59"/>
      <c r="AY211" s="59"/>
      <c r="AZ211" s="59"/>
      <c r="BA211" s="98" t="str">
        <f>IF(AND(AB210="実施",DN211&lt;&gt;4),"←実施日を入力してください","")</f>
        <v/>
      </c>
      <c r="BB211" s="59"/>
      <c r="BC211" s="59"/>
      <c r="BD211" s="59"/>
      <c r="BE211" s="59"/>
      <c r="BF211" s="59"/>
      <c r="BG211" s="59"/>
      <c r="BH211" s="59"/>
      <c r="BI211" s="59"/>
      <c r="BJ211" s="59"/>
      <c r="BK211" s="59"/>
      <c r="BL211" s="59"/>
      <c r="BM211" s="59"/>
      <c r="BN211" s="59"/>
      <c r="BO211" s="59"/>
      <c r="BP211" s="59"/>
      <c r="BQ211" s="59"/>
      <c r="BR211" s="59"/>
      <c r="BS211" s="59"/>
      <c r="BT211" s="59"/>
      <c r="BU211" s="1052"/>
      <c r="BV211" s="891"/>
      <c r="BW211" s="891"/>
      <c r="BX211" s="891"/>
      <c r="BY211" s="891"/>
      <c r="BZ211" s="891"/>
      <c r="CA211" s="891"/>
      <c r="CB211" s="891"/>
      <c r="CC211" s="891"/>
      <c r="CD211" s="891"/>
      <c r="CE211" s="891"/>
      <c r="CF211" s="891"/>
      <c r="CG211" s="891"/>
      <c r="CH211" s="891"/>
      <c r="CI211" s="891"/>
      <c r="CJ211" s="891"/>
      <c r="CK211" s="891"/>
      <c r="CL211" s="891"/>
      <c r="CM211" s="891"/>
      <c r="CN211" s="891"/>
      <c r="CO211" s="891"/>
      <c r="CP211" s="891"/>
      <c r="CQ211" s="891"/>
      <c r="CR211" s="891"/>
      <c r="CS211" s="891"/>
      <c r="CT211" s="891"/>
      <c r="CU211" s="918"/>
      <c r="DD211" s="36"/>
      <c r="DE211" s="36"/>
      <c r="DF211" s="36"/>
      <c r="DG211" s="36"/>
      <c r="DH211" s="36"/>
      <c r="DI211" s="36"/>
      <c r="DJ211" s="36"/>
      <c r="DK211" s="1068"/>
      <c r="DN211" s="182">
        <f>COUNTA(AB211,AE211,AJ211,AO211)</f>
        <v>0</v>
      </c>
      <c r="DO211" s="180" t="str">
        <f>IF(AB210="実施","レ","")</f>
        <v/>
      </c>
      <c r="DP211" s="180" t="str">
        <f>IF(OR(AB210="未実施",AB210="対象外"),"レ","")</f>
        <v/>
      </c>
      <c r="DQ211" s="167"/>
      <c r="EG211" s="172"/>
      <c r="EH211" s="172"/>
      <c r="EI211" s="172"/>
      <c r="EJ211" s="172"/>
      <c r="EK211" s="172"/>
      <c r="FV211" s="172"/>
      <c r="FW211" s="172"/>
      <c r="FX211" s="172"/>
      <c r="FY211" s="172"/>
      <c r="FZ211" s="172"/>
    </row>
    <row r="212" spans="1:183" s="172" customFormat="1" ht="27" customHeight="1" thickBot="1">
      <c r="A212" s="645"/>
      <c r="B212" s="645"/>
      <c r="C212" s="645"/>
      <c r="D212" s="645"/>
      <c r="E212" s="646"/>
      <c r="F212" s="381"/>
      <c r="G212" s="381"/>
      <c r="H212" s="381"/>
      <c r="I212" s="251"/>
      <c r="J212" s="99"/>
      <c r="K212" s="94"/>
      <c r="L212" s="94"/>
      <c r="M212" s="2154" t="s">
        <v>296</v>
      </c>
      <c r="N212" s="2155"/>
      <c r="O212" s="2155"/>
      <c r="P212" s="2155"/>
      <c r="Q212" s="2155"/>
      <c r="R212" s="2155"/>
      <c r="S212" s="1960" t="s">
        <v>720</v>
      </c>
      <c r="T212" s="2227"/>
      <c r="U212" s="2227"/>
      <c r="V212" s="2227"/>
      <c r="W212" s="2227"/>
      <c r="X212" s="2227"/>
      <c r="Y212" s="2227"/>
      <c r="Z212" s="2227"/>
      <c r="AA212" s="2227"/>
      <c r="AB212" s="1854"/>
      <c r="AC212" s="1854"/>
      <c r="AD212" s="1854"/>
      <c r="AE212" s="1950"/>
      <c r="AF212" s="1950"/>
      <c r="AG212" s="1950"/>
      <c r="AH212" s="58" t="str">
        <f>IF(AB212="","←どれか１つ選んでください","")</f>
        <v>←どれか１つ選んでください</v>
      </c>
      <c r="AI212" s="892"/>
      <c r="AJ212" s="892"/>
      <c r="AK212" s="892"/>
      <c r="AL212" s="892"/>
      <c r="AM212" s="892"/>
      <c r="AN212" s="892"/>
      <c r="AO212" s="892"/>
      <c r="AP212" s="892"/>
      <c r="AQ212" s="892"/>
      <c r="AR212" s="898"/>
      <c r="AS212" s="898"/>
      <c r="AT212" s="898"/>
      <c r="AU212" s="898"/>
      <c r="AV212" s="898"/>
      <c r="AW212" s="898"/>
      <c r="AX212" s="898"/>
      <c r="AY212" s="898"/>
      <c r="AZ212" s="898"/>
      <c r="BA212" s="101"/>
      <c r="BB212" s="898"/>
      <c r="BC212" s="898"/>
      <c r="BD212" s="898"/>
      <c r="BE212" s="898"/>
      <c r="BF212" s="898"/>
      <c r="BG212" s="898"/>
      <c r="BH212" s="898"/>
      <c r="BI212" s="898"/>
      <c r="BJ212" s="898"/>
      <c r="BK212" s="898"/>
      <c r="BL212" s="898"/>
      <c r="BM212" s="898"/>
      <c r="BN212" s="898"/>
      <c r="BO212" s="898"/>
      <c r="BP212" s="898"/>
      <c r="BQ212" s="898"/>
      <c r="BR212" s="898"/>
      <c r="BS212" s="898"/>
      <c r="BT212" s="898"/>
      <c r="BU212" s="718"/>
      <c r="BV212" s="891"/>
      <c r="BW212" s="891"/>
      <c r="BX212" s="891"/>
      <c r="BY212" s="891"/>
      <c r="BZ212" s="891"/>
      <c r="CA212" s="891"/>
      <c r="CB212" s="891"/>
      <c r="CC212" s="891"/>
      <c r="CD212" s="891"/>
      <c r="CE212" s="891"/>
      <c r="CF212" s="891"/>
      <c r="CG212" s="891"/>
      <c r="CH212" s="891"/>
      <c r="CI212" s="891"/>
      <c r="CJ212" s="891"/>
      <c r="CK212" s="891"/>
      <c r="CL212" s="891"/>
      <c r="CM212" s="891"/>
      <c r="CN212" s="891"/>
      <c r="CO212" s="891"/>
      <c r="CP212" s="891"/>
      <c r="CQ212" s="891"/>
      <c r="CR212" s="891"/>
      <c r="CS212" s="891"/>
      <c r="CT212" s="891"/>
      <c r="CU212" s="918"/>
      <c r="CV212" s="398"/>
      <c r="CW212" s="398"/>
      <c r="CX212" s="398"/>
      <c r="CY212" s="398"/>
      <c r="CZ212" s="398"/>
      <c r="DA212" s="398"/>
      <c r="DB212" s="398"/>
      <c r="DC212" s="35"/>
      <c r="DD212" s="36"/>
      <c r="DE212" s="36"/>
      <c r="DF212" s="36"/>
      <c r="DG212" s="36"/>
      <c r="DH212" s="36"/>
      <c r="DI212" s="36"/>
      <c r="DJ212" s="36"/>
      <c r="DK212" s="1045"/>
      <c r="DL212" s="1046"/>
      <c r="DM212" s="171"/>
      <c r="DO212" s="186" t="s">
        <v>882</v>
      </c>
      <c r="DP212" s="208" t="s">
        <v>935</v>
      </c>
      <c r="FO212" s="1046"/>
      <c r="GA212" s="171"/>
    </row>
    <row r="213" spans="1:183" ht="27" customHeight="1" thickBot="1">
      <c r="A213" s="645"/>
      <c r="B213" s="645"/>
      <c r="C213" s="645"/>
      <c r="D213" s="645"/>
      <c r="E213" s="646"/>
      <c r="J213" s="102"/>
      <c r="K213" s="103"/>
      <c r="L213" s="103"/>
      <c r="M213" s="2156"/>
      <c r="N213" s="2156"/>
      <c r="O213" s="2156"/>
      <c r="P213" s="2156"/>
      <c r="Q213" s="2156"/>
      <c r="R213" s="2156"/>
      <c r="S213" s="2185" t="s">
        <v>5615</v>
      </c>
      <c r="T213" s="2251"/>
      <c r="U213" s="2251"/>
      <c r="V213" s="2251"/>
      <c r="W213" s="2251"/>
      <c r="X213" s="2251"/>
      <c r="Y213" s="2251"/>
      <c r="Z213" s="2251"/>
      <c r="AA213" s="2251"/>
      <c r="AB213" s="2152"/>
      <c r="AC213" s="2153"/>
      <c r="AD213" s="2153"/>
      <c r="AE213" s="2256"/>
      <c r="AF213" s="2256"/>
      <c r="AG213" s="2257"/>
      <c r="AH213" s="610" t="s">
        <v>12</v>
      </c>
      <c r="AI213" s="611"/>
      <c r="AJ213" s="2174"/>
      <c r="AK213" s="2174"/>
      <c r="AL213" s="2174"/>
      <c r="AM213" s="894" t="s">
        <v>170</v>
      </c>
      <c r="AN213" s="894"/>
      <c r="AO213" s="2174"/>
      <c r="AP213" s="2174"/>
      <c r="AQ213" s="2174"/>
      <c r="AR213" s="911" t="s">
        <v>5656</v>
      </c>
      <c r="AS213" s="59"/>
      <c r="AT213" s="59"/>
      <c r="AU213" s="59"/>
      <c r="AV213" s="59"/>
      <c r="AW213" s="59"/>
      <c r="AX213" s="59"/>
      <c r="AY213" s="59"/>
      <c r="AZ213" s="59"/>
      <c r="BA213" s="98" t="str">
        <f>IF(AND(AB212="実施",DN213&lt;&gt;4),"←実施日を入力してください","")</f>
        <v/>
      </c>
      <c r="BB213" s="59"/>
      <c r="BC213" s="59"/>
      <c r="BD213" s="59"/>
      <c r="BE213" s="59"/>
      <c r="BF213" s="59"/>
      <c r="BG213" s="59"/>
      <c r="BH213" s="59"/>
      <c r="BI213" s="59"/>
      <c r="BJ213" s="59"/>
      <c r="BK213" s="59"/>
      <c r="BL213" s="59"/>
      <c r="BM213" s="59"/>
      <c r="BN213" s="59"/>
      <c r="BO213" s="59"/>
      <c r="BP213" s="59"/>
      <c r="BQ213" s="59"/>
      <c r="BR213" s="59"/>
      <c r="BS213" s="59"/>
      <c r="BT213" s="59"/>
      <c r="BU213" s="1052"/>
      <c r="BV213" s="891"/>
      <c r="BW213" s="891"/>
      <c r="BX213" s="891"/>
      <c r="BY213" s="891"/>
      <c r="BZ213" s="891"/>
      <c r="CA213" s="891"/>
      <c r="CB213" s="891"/>
      <c r="CC213" s="891"/>
      <c r="CD213" s="891"/>
      <c r="CE213" s="891"/>
      <c r="CF213" s="891"/>
      <c r="CG213" s="891"/>
      <c r="CH213" s="891"/>
      <c r="CI213" s="891"/>
      <c r="CJ213" s="891"/>
      <c r="CK213" s="891"/>
      <c r="CL213" s="891"/>
      <c r="CM213" s="891"/>
      <c r="CN213" s="891"/>
      <c r="CO213" s="891"/>
      <c r="CP213" s="891"/>
      <c r="CQ213" s="891"/>
      <c r="CR213" s="891"/>
      <c r="CS213" s="891"/>
      <c r="CT213" s="891"/>
      <c r="CU213" s="918"/>
      <c r="DD213" s="36"/>
      <c r="DE213" s="36"/>
      <c r="DF213" s="36"/>
      <c r="DG213" s="36"/>
      <c r="DH213" s="36"/>
      <c r="DI213" s="36"/>
      <c r="DJ213" s="36"/>
      <c r="DK213" s="1068"/>
      <c r="DN213" s="182">
        <f>COUNTA(AB213,AE213,AJ213,AO213)</f>
        <v>0</v>
      </c>
      <c r="DO213" s="180" t="str">
        <f>IF(AB212="実施","レ","")</f>
        <v/>
      </c>
      <c r="DP213" s="180" t="str">
        <f>IF(OR(AB212="未実施",AB212="対象外"),"レ","")</f>
        <v/>
      </c>
      <c r="DQ213" s="167"/>
      <c r="EG213" s="172"/>
      <c r="EH213" s="172"/>
      <c r="EI213" s="172"/>
      <c r="EJ213" s="172"/>
      <c r="EK213" s="172"/>
      <c r="FV213" s="172"/>
      <c r="FW213" s="172"/>
      <c r="FX213" s="172"/>
      <c r="FY213" s="172"/>
      <c r="FZ213" s="172"/>
    </row>
    <row r="214" spans="1:183" s="172" customFormat="1" ht="27" customHeight="1" thickBot="1">
      <c r="A214" s="645"/>
      <c r="B214" s="645"/>
      <c r="C214" s="645"/>
      <c r="D214" s="645"/>
      <c r="E214" s="646"/>
      <c r="F214" s="381"/>
      <c r="G214" s="381"/>
      <c r="H214" s="381"/>
      <c r="I214" s="251"/>
      <c r="J214" s="99"/>
      <c r="K214" s="94"/>
      <c r="L214" s="94"/>
      <c r="M214" s="2154" t="s">
        <v>724</v>
      </c>
      <c r="N214" s="2155"/>
      <c r="O214" s="2155"/>
      <c r="P214" s="2155"/>
      <c r="Q214" s="2155"/>
      <c r="R214" s="2155"/>
      <c r="S214" s="1960" t="s">
        <v>720</v>
      </c>
      <c r="T214" s="2227"/>
      <c r="U214" s="2227"/>
      <c r="V214" s="2227"/>
      <c r="W214" s="2227"/>
      <c r="X214" s="2227"/>
      <c r="Y214" s="2227"/>
      <c r="Z214" s="2227"/>
      <c r="AA214" s="2227"/>
      <c r="AB214" s="1854"/>
      <c r="AC214" s="1854"/>
      <c r="AD214" s="1854"/>
      <c r="AE214" s="1950"/>
      <c r="AF214" s="1950"/>
      <c r="AG214" s="1950"/>
      <c r="AH214" s="58" t="str">
        <f>IF(AB214="","←どれか１つ選んでください","")</f>
        <v>←どれか１つ選んでください</v>
      </c>
      <c r="AI214" s="892"/>
      <c r="AJ214" s="892"/>
      <c r="AK214" s="892"/>
      <c r="AL214" s="892"/>
      <c r="AM214" s="892"/>
      <c r="AN214" s="892"/>
      <c r="AO214" s="892"/>
      <c r="AP214" s="892"/>
      <c r="AQ214" s="892"/>
      <c r="AR214" s="898"/>
      <c r="AS214" s="898"/>
      <c r="AT214" s="898"/>
      <c r="AU214" s="898"/>
      <c r="AV214" s="898"/>
      <c r="AW214" s="898"/>
      <c r="AX214" s="898"/>
      <c r="AY214" s="898"/>
      <c r="AZ214" s="898"/>
      <c r="BA214" s="101"/>
      <c r="BB214" s="898"/>
      <c r="BC214" s="898"/>
      <c r="BD214" s="898"/>
      <c r="BE214" s="898"/>
      <c r="BF214" s="898"/>
      <c r="BG214" s="898"/>
      <c r="BH214" s="898"/>
      <c r="BI214" s="898"/>
      <c r="BJ214" s="898"/>
      <c r="BK214" s="898"/>
      <c r="BL214" s="898"/>
      <c r="BM214" s="898"/>
      <c r="BN214" s="898"/>
      <c r="BO214" s="898"/>
      <c r="BP214" s="898"/>
      <c r="BQ214" s="898"/>
      <c r="BR214" s="898"/>
      <c r="BS214" s="898"/>
      <c r="BT214" s="898"/>
      <c r="BU214" s="718"/>
      <c r="BV214" s="891"/>
      <c r="BW214" s="1922" t="s">
        <v>2798</v>
      </c>
      <c r="BX214" s="1922"/>
      <c r="BY214" s="1922"/>
      <c r="BZ214" s="1922"/>
      <c r="CA214" s="1922"/>
      <c r="CB214" s="1922"/>
      <c r="CC214" s="1922"/>
      <c r="CD214" s="1922"/>
      <c r="CE214" s="1922"/>
      <c r="CF214" s="1922"/>
      <c r="CG214" s="1922"/>
      <c r="CH214" s="1922"/>
      <c r="CI214" s="1922"/>
      <c r="CJ214" s="1922"/>
      <c r="CK214" s="1922"/>
      <c r="CL214" s="1922"/>
      <c r="CM214" s="1922"/>
      <c r="CN214" s="1922"/>
      <c r="CO214" s="1922"/>
      <c r="CP214" s="1922"/>
      <c r="CQ214" s="1922"/>
      <c r="CR214" s="1922"/>
      <c r="CS214" s="1922"/>
      <c r="CT214" s="891"/>
      <c r="CU214" s="918"/>
      <c r="CV214" s="398"/>
      <c r="CW214" s="398"/>
      <c r="CX214" s="398"/>
      <c r="CY214" s="398"/>
      <c r="CZ214" s="398"/>
      <c r="DA214" s="398"/>
      <c r="DB214" s="398"/>
      <c r="DC214" s="35"/>
      <c r="DD214" s="36"/>
      <c r="DE214" s="36"/>
      <c r="DF214" s="36"/>
      <c r="DG214" s="36"/>
      <c r="DH214" s="36"/>
      <c r="DI214" s="36"/>
      <c r="DJ214" s="36"/>
      <c r="DK214" s="1045"/>
      <c r="DL214" s="1046"/>
      <c r="DM214" s="171"/>
      <c r="DO214" s="186" t="s">
        <v>882</v>
      </c>
      <c r="DP214" s="208" t="s">
        <v>935</v>
      </c>
      <c r="FO214" s="1046"/>
      <c r="GA214" s="171"/>
    </row>
    <row r="215" spans="1:183" ht="27" customHeight="1" thickBot="1">
      <c r="A215" s="645"/>
      <c r="B215" s="645"/>
      <c r="C215" s="645"/>
      <c r="D215" s="645"/>
      <c r="E215" s="646"/>
      <c r="J215" s="102"/>
      <c r="K215" s="103"/>
      <c r="L215" s="103"/>
      <c r="M215" s="2156"/>
      <c r="N215" s="2156"/>
      <c r="O215" s="2156"/>
      <c r="P215" s="2156"/>
      <c r="Q215" s="2156"/>
      <c r="R215" s="2156"/>
      <c r="S215" s="2185" t="s">
        <v>5615</v>
      </c>
      <c r="T215" s="2251"/>
      <c r="U215" s="2251"/>
      <c r="V215" s="2251"/>
      <c r="W215" s="2251"/>
      <c r="X215" s="2251"/>
      <c r="Y215" s="2251"/>
      <c r="Z215" s="2251"/>
      <c r="AA215" s="2251"/>
      <c r="AB215" s="2152"/>
      <c r="AC215" s="2153"/>
      <c r="AD215" s="2153"/>
      <c r="AE215" s="2256"/>
      <c r="AF215" s="2256"/>
      <c r="AG215" s="2257"/>
      <c r="AH215" s="390" t="s">
        <v>12</v>
      </c>
      <c r="AI215" s="392"/>
      <c r="AJ215" s="2174"/>
      <c r="AK215" s="2174"/>
      <c r="AL215" s="2174"/>
      <c r="AM215" s="894" t="s">
        <v>170</v>
      </c>
      <c r="AN215" s="894"/>
      <c r="AO215" s="2174"/>
      <c r="AP215" s="2174"/>
      <c r="AQ215" s="2174"/>
      <c r="AR215" s="911" t="s">
        <v>5656</v>
      </c>
      <c r="AS215" s="59"/>
      <c r="AT215" s="59"/>
      <c r="AU215" s="59"/>
      <c r="AV215" s="59"/>
      <c r="AW215" s="59"/>
      <c r="AX215" s="59"/>
      <c r="AY215" s="59"/>
      <c r="AZ215" s="59"/>
      <c r="BA215" s="98" t="str">
        <f>IF(AND(AB214="実施",DN215&lt;&gt;4),"←実施日を入力してください","")</f>
        <v/>
      </c>
      <c r="BB215" s="59"/>
      <c r="BC215" s="59"/>
      <c r="BD215" s="59"/>
      <c r="BE215" s="59"/>
      <c r="BF215" s="59"/>
      <c r="BG215" s="59"/>
      <c r="BH215" s="59"/>
      <c r="BI215" s="59"/>
      <c r="BJ215" s="59"/>
      <c r="BK215" s="59"/>
      <c r="BL215" s="59"/>
      <c r="BM215" s="59"/>
      <c r="BN215" s="59"/>
      <c r="BO215" s="59"/>
      <c r="BP215" s="59"/>
      <c r="BQ215" s="59"/>
      <c r="BR215" s="59"/>
      <c r="BS215" s="59"/>
      <c r="BT215" s="59"/>
      <c r="BU215" s="1052"/>
      <c r="BV215" s="891"/>
      <c r="BW215" s="1922"/>
      <c r="BX215" s="1922"/>
      <c r="BY215" s="1922"/>
      <c r="BZ215" s="1922"/>
      <c r="CA215" s="1922"/>
      <c r="CB215" s="1922"/>
      <c r="CC215" s="1922"/>
      <c r="CD215" s="1922"/>
      <c r="CE215" s="1922"/>
      <c r="CF215" s="1922"/>
      <c r="CG215" s="1922"/>
      <c r="CH215" s="1922"/>
      <c r="CI215" s="1922"/>
      <c r="CJ215" s="1922"/>
      <c r="CK215" s="1922"/>
      <c r="CL215" s="1922"/>
      <c r="CM215" s="1922"/>
      <c r="CN215" s="1922"/>
      <c r="CO215" s="1922"/>
      <c r="CP215" s="1922"/>
      <c r="CQ215" s="1922"/>
      <c r="CR215" s="1922"/>
      <c r="CS215" s="1922"/>
      <c r="CT215" s="891"/>
      <c r="CU215" s="918"/>
      <c r="DD215" s="36"/>
      <c r="DE215" s="36"/>
      <c r="DF215" s="36"/>
      <c r="DG215" s="36"/>
      <c r="DH215" s="36"/>
      <c r="DI215" s="36"/>
      <c r="DJ215" s="36"/>
      <c r="DK215" s="1068"/>
      <c r="DN215" s="182">
        <f>COUNTA(AB215,AE215,AJ215,AO215)</f>
        <v>0</v>
      </c>
      <c r="DO215" s="180" t="str">
        <f>IF(AB214="実施","レ","")</f>
        <v/>
      </c>
      <c r="DP215" s="180" t="str">
        <f>IF(OR(AB214="未実施",AB214="対象外"),"レ","")</f>
        <v/>
      </c>
      <c r="DQ215" s="167"/>
      <c r="EG215" s="167"/>
      <c r="EH215" s="167"/>
      <c r="EI215" s="167"/>
      <c r="EJ215" s="167"/>
      <c r="EK215" s="167"/>
      <c r="FV215" s="167"/>
      <c r="FW215" s="167"/>
      <c r="FX215" s="167"/>
      <c r="FY215" s="167"/>
      <c r="FZ215" s="167"/>
    </row>
    <row r="216" spans="1:183" s="172" customFormat="1" ht="27" customHeight="1" thickBot="1">
      <c r="A216" s="645"/>
      <c r="B216" s="645"/>
      <c r="C216" s="645"/>
      <c r="D216" s="645"/>
      <c r="E216" s="646"/>
      <c r="F216" s="381"/>
      <c r="G216" s="381"/>
      <c r="H216" s="381"/>
      <c r="I216" s="251"/>
      <c r="J216" s="99"/>
      <c r="K216" s="94"/>
      <c r="L216" s="94"/>
      <c r="M216" s="2154" t="s">
        <v>725</v>
      </c>
      <c r="N216" s="2155"/>
      <c r="O216" s="2155"/>
      <c r="P216" s="2155"/>
      <c r="Q216" s="2155"/>
      <c r="R216" s="2155"/>
      <c r="S216" s="1960" t="s">
        <v>720</v>
      </c>
      <c r="T216" s="2227"/>
      <c r="U216" s="2227"/>
      <c r="V216" s="2227"/>
      <c r="W216" s="2227"/>
      <c r="X216" s="2227"/>
      <c r="Y216" s="2227"/>
      <c r="Z216" s="2227"/>
      <c r="AA216" s="2227"/>
      <c r="AB216" s="1854"/>
      <c r="AC216" s="1854"/>
      <c r="AD216" s="1854"/>
      <c r="AE216" s="1950"/>
      <c r="AF216" s="1950"/>
      <c r="AG216" s="1950"/>
      <c r="AH216" s="58" t="str">
        <f>IF(AB216="","←どれか１つ選んでください","")</f>
        <v>←どれか１つ選んでください</v>
      </c>
      <c r="AI216" s="892"/>
      <c r="AJ216" s="892"/>
      <c r="AK216" s="892"/>
      <c r="AL216" s="892"/>
      <c r="AM216" s="892"/>
      <c r="AN216" s="892"/>
      <c r="AO216" s="892"/>
      <c r="AP216" s="892"/>
      <c r="AQ216" s="892"/>
      <c r="AR216" s="898"/>
      <c r="AS216" s="898"/>
      <c r="AT216" s="898"/>
      <c r="AU216" s="898"/>
      <c r="AV216" s="898"/>
      <c r="AW216" s="898"/>
      <c r="AX216" s="898"/>
      <c r="AY216" s="898"/>
      <c r="AZ216" s="898"/>
      <c r="BA216" s="101"/>
      <c r="BB216" s="898"/>
      <c r="BC216" s="898"/>
      <c r="BD216" s="898"/>
      <c r="BE216" s="898"/>
      <c r="BF216" s="898"/>
      <c r="BG216" s="898"/>
      <c r="BH216" s="898"/>
      <c r="BI216" s="898"/>
      <c r="BJ216" s="898"/>
      <c r="BK216" s="898"/>
      <c r="BL216" s="898"/>
      <c r="BM216" s="898"/>
      <c r="BN216" s="898"/>
      <c r="BO216" s="898"/>
      <c r="BP216" s="898"/>
      <c r="BQ216" s="898"/>
      <c r="BR216" s="898"/>
      <c r="BS216" s="898"/>
      <c r="BT216" s="898"/>
      <c r="BU216" s="718"/>
      <c r="BV216" s="891"/>
      <c r="BW216" s="891"/>
      <c r="BX216" s="891"/>
      <c r="BY216" s="891"/>
      <c r="BZ216" s="891"/>
      <c r="CA216" s="891"/>
      <c r="CB216" s="891"/>
      <c r="CC216" s="891"/>
      <c r="CD216" s="891"/>
      <c r="CE216" s="891"/>
      <c r="CF216" s="891"/>
      <c r="CG216" s="891"/>
      <c r="CH216" s="891"/>
      <c r="CI216" s="891"/>
      <c r="CJ216" s="891"/>
      <c r="CK216" s="891"/>
      <c r="CL216" s="891"/>
      <c r="CM216" s="891"/>
      <c r="CN216" s="891"/>
      <c r="CO216" s="891"/>
      <c r="CP216" s="891"/>
      <c r="CQ216" s="891"/>
      <c r="CR216" s="891"/>
      <c r="CS216" s="891"/>
      <c r="CT216" s="891"/>
      <c r="CU216" s="918"/>
      <c r="CV216" s="398"/>
      <c r="CW216" s="398"/>
      <c r="CX216" s="398"/>
      <c r="CY216" s="398"/>
      <c r="CZ216" s="398"/>
      <c r="DA216" s="398"/>
      <c r="DB216" s="398"/>
      <c r="DC216" s="35"/>
      <c r="DD216" s="36"/>
      <c r="DE216" s="36"/>
      <c r="DF216" s="36"/>
      <c r="DG216" s="36"/>
      <c r="DH216" s="36"/>
      <c r="DI216" s="36"/>
      <c r="DJ216" s="36"/>
      <c r="DK216" s="1045"/>
      <c r="DL216" s="1046"/>
      <c r="DM216" s="171"/>
      <c r="DO216" s="186" t="s">
        <v>882</v>
      </c>
      <c r="DP216" s="208" t="s">
        <v>935</v>
      </c>
      <c r="EG216" s="167"/>
      <c r="EH216" s="167"/>
      <c r="EI216" s="167"/>
      <c r="EJ216" s="167"/>
      <c r="EK216" s="167"/>
      <c r="FO216" s="1046"/>
      <c r="FV216" s="167"/>
      <c r="FW216" s="167"/>
      <c r="FX216" s="167"/>
      <c r="FY216" s="167"/>
      <c r="FZ216" s="167"/>
      <c r="GA216" s="171"/>
    </row>
    <row r="217" spans="1:183" ht="27" customHeight="1" thickBot="1">
      <c r="A217" s="645"/>
      <c r="B217" s="645"/>
      <c r="C217" s="645"/>
      <c r="D217" s="645"/>
      <c r="E217" s="646"/>
      <c r="J217" s="104"/>
      <c r="K217" s="105"/>
      <c r="L217" s="105"/>
      <c r="M217" s="2165"/>
      <c r="N217" s="2165"/>
      <c r="O217" s="2165"/>
      <c r="P217" s="2165"/>
      <c r="Q217" s="2165"/>
      <c r="R217" s="2165"/>
      <c r="S217" s="2147" t="s">
        <v>5615</v>
      </c>
      <c r="T217" s="2148"/>
      <c r="U217" s="2148"/>
      <c r="V217" s="2148"/>
      <c r="W217" s="2148"/>
      <c r="X217" s="2148"/>
      <c r="Y217" s="2148"/>
      <c r="Z217" s="2148"/>
      <c r="AA217" s="2148"/>
      <c r="AB217" s="2066"/>
      <c r="AC217" s="2067"/>
      <c r="AD217" s="2067"/>
      <c r="AE217" s="2261"/>
      <c r="AF217" s="2261"/>
      <c r="AG217" s="2262"/>
      <c r="AH217" s="391" t="s">
        <v>12</v>
      </c>
      <c r="AI217" s="393"/>
      <c r="AJ217" s="2191"/>
      <c r="AK217" s="2191"/>
      <c r="AL217" s="2191"/>
      <c r="AM217" s="902" t="s">
        <v>170</v>
      </c>
      <c r="AN217" s="902"/>
      <c r="AO217" s="2191"/>
      <c r="AP217" s="2191"/>
      <c r="AQ217" s="2191"/>
      <c r="AR217" s="912" t="s">
        <v>5656</v>
      </c>
      <c r="AS217" s="56"/>
      <c r="AT217" s="56"/>
      <c r="AU217" s="56"/>
      <c r="AV217" s="56"/>
      <c r="AW217" s="56"/>
      <c r="AX217" s="56"/>
      <c r="AY217" s="56"/>
      <c r="AZ217" s="56"/>
      <c r="BA217" s="919" t="str">
        <f>IF(AND(AB216="実施",DN217&lt;&gt;4),"←実施日を入力してください","")</f>
        <v/>
      </c>
      <c r="BB217" s="56"/>
      <c r="BC217" s="56"/>
      <c r="BD217" s="56"/>
      <c r="BE217" s="56"/>
      <c r="BF217" s="56"/>
      <c r="BG217" s="56"/>
      <c r="BH217" s="56"/>
      <c r="BI217" s="56"/>
      <c r="BJ217" s="56"/>
      <c r="BK217" s="56"/>
      <c r="BL217" s="56"/>
      <c r="BM217" s="56"/>
      <c r="BN217" s="56"/>
      <c r="BO217" s="56"/>
      <c r="BP217" s="56"/>
      <c r="BQ217" s="56"/>
      <c r="BR217" s="56"/>
      <c r="BS217" s="56"/>
      <c r="BT217" s="56"/>
      <c r="BU217" s="1084"/>
      <c r="BV217" s="925"/>
      <c r="BW217" s="925"/>
      <c r="BX217" s="925"/>
      <c r="BY217" s="925"/>
      <c r="BZ217" s="925"/>
      <c r="CA217" s="925"/>
      <c r="CB217" s="925"/>
      <c r="CC217" s="925"/>
      <c r="CD217" s="925"/>
      <c r="CE217" s="925"/>
      <c r="CF217" s="925"/>
      <c r="CG217" s="925"/>
      <c r="CH217" s="925"/>
      <c r="CI217" s="925"/>
      <c r="CJ217" s="925"/>
      <c r="CK217" s="925"/>
      <c r="CL217" s="925"/>
      <c r="CM217" s="925"/>
      <c r="CN217" s="925"/>
      <c r="CO217" s="925"/>
      <c r="CP217" s="925"/>
      <c r="CQ217" s="925"/>
      <c r="CR217" s="925"/>
      <c r="CS217" s="925"/>
      <c r="CT217" s="925"/>
      <c r="CU217" s="926"/>
      <c r="DD217" s="36"/>
      <c r="DE217" s="36"/>
      <c r="DF217" s="36"/>
      <c r="DG217" s="36"/>
      <c r="DH217" s="36"/>
      <c r="DI217" s="36"/>
      <c r="DJ217" s="36"/>
      <c r="DN217" s="182">
        <f>COUNTA(AB217,AE217,AJ217,AO217)</f>
        <v>0</v>
      </c>
      <c r="DO217" s="180" t="str">
        <f>IF(AB216="実施","レ","")</f>
        <v/>
      </c>
      <c r="DP217" s="180" t="str">
        <f>IF(OR(AB216="未実施",AB216="対象外"),"レ","")</f>
        <v/>
      </c>
      <c r="DQ217" s="167"/>
      <c r="EG217" s="172"/>
      <c r="EH217" s="172"/>
      <c r="EI217" s="172"/>
      <c r="EJ217" s="172"/>
      <c r="EK217" s="172"/>
      <c r="FV217" s="172"/>
      <c r="FW217" s="172"/>
      <c r="FX217" s="172"/>
      <c r="FY217" s="172"/>
      <c r="FZ217" s="172"/>
    </row>
    <row r="218" spans="1:183" ht="15" customHeight="1">
      <c r="A218" s="645"/>
      <c r="B218" s="645"/>
      <c r="C218" s="645"/>
      <c r="D218" s="645"/>
      <c r="E218" s="646"/>
      <c r="BU218" s="1044"/>
      <c r="DD218" s="36"/>
      <c r="DE218" s="36"/>
      <c r="DF218" s="36"/>
      <c r="DG218" s="36"/>
      <c r="DH218" s="36"/>
      <c r="DI218" s="36"/>
      <c r="DJ218" s="36"/>
      <c r="EG218" s="172"/>
      <c r="EH218" s="172"/>
      <c r="EI218" s="172"/>
      <c r="EJ218" s="172"/>
      <c r="EK218" s="172"/>
      <c r="FV218" s="172"/>
      <c r="FW218" s="172"/>
      <c r="FX218" s="172"/>
      <c r="FY218" s="172"/>
      <c r="FZ218" s="172"/>
    </row>
    <row r="219" spans="1:183" ht="2.15" customHeight="1">
      <c r="A219" s="645"/>
      <c r="B219" s="645"/>
      <c r="C219" s="645"/>
      <c r="D219" s="645"/>
      <c r="E219" s="646"/>
      <c r="BU219" s="1044"/>
      <c r="DD219" s="36"/>
      <c r="DE219" s="36"/>
      <c r="DF219" s="36"/>
      <c r="DG219" s="36"/>
      <c r="DH219" s="36"/>
      <c r="DI219" s="36"/>
      <c r="DJ219" s="36"/>
      <c r="EG219" s="172"/>
      <c r="EH219" s="172"/>
      <c r="EI219" s="172"/>
      <c r="EJ219" s="172"/>
      <c r="EK219" s="172"/>
      <c r="FV219" s="172"/>
      <c r="FW219" s="172"/>
      <c r="FX219" s="172"/>
      <c r="FY219" s="172"/>
      <c r="FZ219" s="172"/>
    </row>
    <row r="220" spans="1:183" ht="2.15" customHeight="1">
      <c r="A220" s="645"/>
      <c r="B220" s="645"/>
      <c r="C220" s="645"/>
      <c r="D220" s="645"/>
      <c r="E220" s="646"/>
      <c r="BU220" s="1044"/>
      <c r="DD220" s="36"/>
      <c r="DE220" s="36"/>
      <c r="DF220" s="36"/>
      <c r="DG220" s="36"/>
      <c r="DH220" s="36"/>
      <c r="DI220" s="36"/>
      <c r="DJ220" s="36"/>
      <c r="EG220" s="172"/>
      <c r="EH220" s="172"/>
      <c r="EI220" s="172"/>
      <c r="EJ220" s="172"/>
      <c r="EK220" s="172"/>
      <c r="FV220" s="172"/>
      <c r="FW220" s="172"/>
      <c r="FX220" s="172"/>
      <c r="FY220" s="172"/>
      <c r="FZ220" s="172"/>
    </row>
    <row r="221" spans="1:183" ht="2.15" customHeight="1" thickBot="1">
      <c r="A221" s="645"/>
      <c r="B221" s="645"/>
      <c r="C221" s="645"/>
      <c r="D221" s="645"/>
      <c r="E221" s="646"/>
      <c r="BU221" s="1044"/>
      <c r="DD221" s="36"/>
      <c r="DE221" s="36"/>
      <c r="DF221" s="36"/>
      <c r="DG221" s="36"/>
      <c r="DH221" s="36"/>
      <c r="DI221" s="36"/>
      <c r="DJ221" s="36"/>
      <c r="EG221" s="172"/>
      <c r="EH221" s="172"/>
      <c r="EI221" s="172"/>
      <c r="EJ221" s="172"/>
      <c r="EK221" s="172"/>
      <c r="FV221" s="172"/>
      <c r="FW221" s="172"/>
      <c r="FX221" s="172"/>
      <c r="FY221" s="172"/>
      <c r="FZ221" s="172"/>
    </row>
    <row r="222" spans="1:183" ht="35.15" customHeight="1">
      <c r="A222" s="645"/>
      <c r="B222" s="645"/>
      <c r="C222" s="645"/>
      <c r="D222" s="645"/>
      <c r="E222" s="646"/>
      <c r="J222" s="1831" t="s">
        <v>1157</v>
      </c>
      <c r="K222" s="1832"/>
      <c r="L222" s="1832"/>
      <c r="M222" s="1832"/>
      <c r="N222" s="1832"/>
      <c r="O222" s="1832"/>
      <c r="P222" s="1832"/>
      <c r="Q222" s="1832"/>
      <c r="R222" s="1832"/>
      <c r="S222" s="1832"/>
      <c r="T222" s="1832"/>
      <c r="U222" s="1832"/>
      <c r="V222" s="1832"/>
      <c r="W222" s="1832"/>
      <c r="X222" s="1832"/>
      <c r="Y222" s="1832"/>
      <c r="Z222" s="1832"/>
      <c r="AA222" s="1832"/>
      <c r="AB222" s="1832"/>
      <c r="AC222" s="1832"/>
      <c r="AD222" s="1832"/>
      <c r="AE222" s="1832"/>
      <c r="AF222" s="1832"/>
      <c r="AG222" s="1832"/>
      <c r="AH222" s="1832"/>
      <c r="AI222" s="1832"/>
      <c r="AJ222" s="1832"/>
      <c r="AK222" s="1832"/>
      <c r="AL222" s="1832"/>
      <c r="AM222" s="1832"/>
      <c r="AN222" s="1832"/>
      <c r="AO222" s="1832"/>
      <c r="AP222" s="1832"/>
      <c r="AQ222" s="1832"/>
      <c r="AR222" s="1832"/>
      <c r="AS222" s="1832"/>
      <c r="AT222" s="1832"/>
      <c r="AU222" s="1832"/>
      <c r="AV222" s="1832"/>
      <c r="AW222" s="1832"/>
      <c r="AX222" s="1832"/>
      <c r="AY222" s="1832"/>
      <c r="AZ222" s="1832"/>
      <c r="BA222" s="1832"/>
      <c r="BB222" s="1832"/>
      <c r="BC222" s="1832"/>
      <c r="BD222" s="1832"/>
      <c r="BE222" s="1832"/>
      <c r="BF222" s="1832"/>
      <c r="BG222" s="1832"/>
      <c r="BH222" s="1832"/>
      <c r="BI222" s="1832"/>
      <c r="BJ222" s="1832"/>
      <c r="BK222" s="1832"/>
      <c r="BL222" s="1775" t="s">
        <v>375</v>
      </c>
      <c r="BM222" s="1776"/>
      <c r="BN222" s="1776"/>
      <c r="BO222" s="1776"/>
      <c r="BP222" s="1776"/>
      <c r="BQ222" s="1776"/>
      <c r="BR222" s="1776"/>
      <c r="BS222" s="1776"/>
      <c r="BT222" s="1776"/>
      <c r="BU222" s="1085"/>
      <c r="BV222" s="711"/>
      <c r="BW222" s="711"/>
      <c r="BX222" s="711"/>
      <c r="BY222" s="725"/>
      <c r="BZ222" s="725"/>
      <c r="CA222" s="725"/>
      <c r="CB222" s="725"/>
      <c r="CC222" s="725"/>
      <c r="CD222" s="725"/>
      <c r="CE222" s="725"/>
      <c r="CF222" s="725"/>
      <c r="CG222" s="725"/>
      <c r="CH222" s="725"/>
      <c r="CI222" s="725"/>
      <c r="CJ222" s="725"/>
      <c r="CK222" s="725"/>
      <c r="CL222" s="725"/>
      <c r="CM222" s="725"/>
      <c r="CN222" s="711"/>
      <c r="CO222" s="711"/>
      <c r="CP222" s="711"/>
      <c r="CQ222" s="711"/>
      <c r="CR222" s="711"/>
      <c r="CS222" s="711"/>
      <c r="CT222" s="711"/>
      <c r="CU222" s="712"/>
      <c r="DD222" s="36"/>
      <c r="DE222" s="36"/>
      <c r="DF222" s="36"/>
      <c r="DG222" s="36"/>
      <c r="DH222" s="36"/>
      <c r="DI222" s="36"/>
      <c r="DJ222" s="36"/>
      <c r="EG222" s="172"/>
      <c r="EH222" s="172"/>
      <c r="EI222" s="172"/>
      <c r="EJ222" s="172"/>
      <c r="EK222" s="172"/>
      <c r="FV222" s="172"/>
      <c r="FW222" s="172"/>
      <c r="FX222" s="172"/>
      <c r="FY222" s="172"/>
      <c r="FZ222" s="172"/>
    </row>
    <row r="223" spans="1:183" s="172" customFormat="1" ht="27" customHeight="1">
      <c r="A223" s="645"/>
      <c r="B223" s="645"/>
      <c r="C223" s="645"/>
      <c r="D223" s="645"/>
      <c r="E223" s="646"/>
      <c r="F223" s="381"/>
      <c r="G223" s="381"/>
      <c r="H223" s="381"/>
      <c r="I223" s="251"/>
      <c r="J223" s="39"/>
      <c r="K223" s="896"/>
      <c r="L223" s="896"/>
      <c r="M223" s="2154" t="s">
        <v>739</v>
      </c>
      <c r="N223" s="2155"/>
      <c r="O223" s="2155"/>
      <c r="P223" s="2155"/>
      <c r="Q223" s="2155"/>
      <c r="R223" s="2155"/>
      <c r="S223" s="1960" t="s">
        <v>738</v>
      </c>
      <c r="T223" s="2227"/>
      <c r="U223" s="2227"/>
      <c r="V223" s="2227"/>
      <c r="W223" s="2227"/>
      <c r="X223" s="2227"/>
      <c r="Y223" s="2227"/>
      <c r="Z223" s="2227"/>
      <c r="AA223" s="2227"/>
      <c r="AB223" s="1854"/>
      <c r="AC223" s="1854"/>
      <c r="AD223" s="1854"/>
      <c r="AE223" s="1854"/>
      <c r="AF223" s="1854"/>
      <c r="AG223" s="1854"/>
      <c r="AH223" s="1854"/>
      <c r="AI223" s="1854"/>
      <c r="AJ223" s="1854"/>
      <c r="AK223" s="1854"/>
      <c r="AL223" s="1854"/>
      <c r="AM223" s="1854"/>
      <c r="AN223" s="1854"/>
      <c r="AO223" s="58" t="str">
        <f>IF(AB223="","←どれか１つ選んでください","")</f>
        <v>←どれか１つ選んでください</v>
      </c>
      <c r="AP223" s="892"/>
      <c r="AQ223" s="892"/>
      <c r="AR223" s="892"/>
      <c r="AS223" s="892"/>
      <c r="AT223" s="892"/>
      <c r="AU223" s="892"/>
      <c r="AV223" s="898"/>
      <c r="AW223" s="898"/>
      <c r="AX223" s="898"/>
      <c r="AY223" s="898"/>
      <c r="AZ223" s="898"/>
      <c r="BA223" s="898"/>
      <c r="BB223" s="42"/>
      <c r="BC223" s="42"/>
      <c r="BD223" s="42"/>
      <c r="BE223" s="42"/>
      <c r="BF223" s="42"/>
      <c r="BG223" s="42"/>
      <c r="BH223" s="42"/>
      <c r="BI223" s="42"/>
      <c r="BJ223" s="42"/>
      <c r="BK223" s="42"/>
      <c r="BL223" s="42"/>
      <c r="BM223" s="42"/>
      <c r="BN223" s="42"/>
      <c r="BO223" s="42"/>
      <c r="BP223" s="42"/>
      <c r="BQ223" s="42"/>
      <c r="BR223" s="42"/>
      <c r="BS223" s="42"/>
      <c r="BT223" s="42"/>
      <c r="BU223" s="718"/>
      <c r="BV223" s="1099" t="s">
        <v>2727</v>
      </c>
      <c r="BW223" s="1954" t="s">
        <v>2799</v>
      </c>
      <c r="BX223" s="1954"/>
      <c r="BY223" s="1954"/>
      <c r="BZ223" s="1954"/>
      <c r="CA223" s="1954"/>
      <c r="CB223" s="1954"/>
      <c r="CC223" s="1954"/>
      <c r="CD223" s="1954"/>
      <c r="CE223" s="1954"/>
      <c r="CF223" s="1954"/>
      <c r="CG223" s="1954"/>
      <c r="CH223" s="1954"/>
      <c r="CI223" s="1954"/>
      <c r="CJ223" s="1954"/>
      <c r="CK223" s="1954"/>
      <c r="CL223" s="1954"/>
      <c r="CM223" s="1954"/>
      <c r="CN223" s="1954"/>
      <c r="CO223" s="1954"/>
      <c r="CP223" s="1954"/>
      <c r="CQ223" s="1954"/>
      <c r="CR223" s="1954"/>
      <c r="CS223" s="1954"/>
      <c r="CT223" s="1114"/>
      <c r="CU223" s="1115"/>
      <c r="CV223" s="398"/>
      <c r="CW223" s="398"/>
      <c r="CX223" s="398"/>
      <c r="CY223" s="398"/>
      <c r="CZ223" s="398"/>
      <c r="DA223" s="398"/>
      <c r="DB223" s="398"/>
      <c r="DC223" s="35"/>
      <c r="DD223" s="36"/>
      <c r="DE223" s="36"/>
      <c r="DF223" s="178"/>
      <c r="DG223" s="178"/>
      <c r="DH223" s="178"/>
      <c r="DI223" s="178"/>
      <c r="DJ223" s="178"/>
      <c r="DK223" s="1068"/>
      <c r="DL223" s="1046"/>
      <c r="DM223" s="171"/>
      <c r="DN223" s="171"/>
      <c r="DO223" s="186" t="s">
        <v>883</v>
      </c>
      <c r="DP223" s="186" t="s">
        <v>885</v>
      </c>
      <c r="DQ223" s="186" t="s">
        <v>870</v>
      </c>
      <c r="DR223" s="189" t="s">
        <v>884</v>
      </c>
      <c r="DS223" s="348" t="s">
        <v>1696</v>
      </c>
      <c r="DT223" s="381"/>
      <c r="DU223" s="381"/>
      <c r="DX223" s="317" t="s">
        <v>1375</v>
      </c>
      <c r="FO223" s="1046"/>
      <c r="GA223" s="171"/>
    </row>
    <row r="224" spans="1:183" ht="27" customHeight="1">
      <c r="A224" s="645"/>
      <c r="B224" s="645"/>
      <c r="C224" s="645"/>
      <c r="D224" s="645"/>
      <c r="E224" s="646"/>
      <c r="J224" s="88"/>
      <c r="K224" s="89"/>
      <c r="L224" s="89"/>
      <c r="M224" s="1837"/>
      <c r="N224" s="1837"/>
      <c r="O224" s="1837"/>
      <c r="P224" s="1837"/>
      <c r="Q224" s="1837"/>
      <c r="R224" s="1837"/>
      <c r="S224" s="1939" t="s">
        <v>298</v>
      </c>
      <c r="T224" s="1940"/>
      <c r="U224" s="1940"/>
      <c r="V224" s="1940"/>
      <c r="W224" s="1940"/>
      <c r="X224" s="1940"/>
      <c r="Y224" s="1940"/>
      <c r="Z224" s="1940"/>
      <c r="AA224" s="1940"/>
      <c r="AB224" s="2177"/>
      <c r="AC224" s="2177"/>
      <c r="AD224" s="2177"/>
      <c r="AE224" s="2177"/>
      <c r="AF224" s="2177"/>
      <c r="AG224" s="2177"/>
      <c r="AH224" s="2258"/>
      <c r="AI224" s="2258"/>
      <c r="AJ224" s="2258"/>
      <c r="AK224" s="2258"/>
      <c r="AL224" s="2258"/>
      <c r="AM224" s="2258"/>
      <c r="AN224" s="2258"/>
      <c r="AO224" s="2258"/>
      <c r="AP224" s="2258"/>
      <c r="AQ224" s="2258"/>
      <c r="AR224" s="2258"/>
      <c r="AS224" s="2258"/>
      <c r="AT224" s="2258"/>
      <c r="AU224" s="2258"/>
      <c r="AV224" s="98" t="str">
        <f>IF(AND(AB223&lt;&gt;"無",AB223&lt;&gt;"",AB224=""),"←該当する部屋・室名を入力してください","")</f>
        <v/>
      </c>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1052"/>
      <c r="BV224" s="1114"/>
      <c r="BW224" s="1954"/>
      <c r="BX224" s="1954"/>
      <c r="BY224" s="1954"/>
      <c r="BZ224" s="1954"/>
      <c r="CA224" s="1954"/>
      <c r="CB224" s="1954"/>
      <c r="CC224" s="1954"/>
      <c r="CD224" s="1954"/>
      <c r="CE224" s="1954"/>
      <c r="CF224" s="1954"/>
      <c r="CG224" s="1954"/>
      <c r="CH224" s="1954"/>
      <c r="CI224" s="1954"/>
      <c r="CJ224" s="1954"/>
      <c r="CK224" s="1954"/>
      <c r="CL224" s="1954"/>
      <c r="CM224" s="1954"/>
      <c r="CN224" s="1954"/>
      <c r="CO224" s="1954"/>
      <c r="CP224" s="1954"/>
      <c r="CQ224" s="1954"/>
      <c r="CR224" s="1954"/>
      <c r="CS224" s="1954"/>
      <c r="CT224" s="1114"/>
      <c r="CU224" s="1115"/>
      <c r="DD224" s="36"/>
      <c r="DE224" s="36"/>
      <c r="DF224" s="36"/>
      <c r="DG224" s="36"/>
      <c r="DH224" s="36"/>
      <c r="DI224" s="36"/>
      <c r="DJ224" s="36"/>
      <c r="DK224" s="1068"/>
      <c r="DO224" s="180" t="str">
        <f>IF($AB223="有（飛散防止措置無）","レ","")</f>
        <v/>
      </c>
      <c r="DP224" s="180" t="str">
        <f>IF($AB223="有（飛散防止措置有）","レ","")</f>
        <v/>
      </c>
      <c r="DQ224" s="180" t="str">
        <f>IF($AB223="無","レ","")</f>
        <v/>
      </c>
      <c r="DR224" s="180" t="str">
        <f>IF($AB223="未調査","レ","")</f>
        <v/>
      </c>
      <c r="DS224" s="190">
        <f>IF(OR(AB223="有（飛散防止措置無）",AB223="未調査"),IF(AB223="有（飛散防止措置無）",1,2),0)</f>
        <v>0</v>
      </c>
      <c r="DT224" s="381"/>
      <c r="DU224" s="381"/>
      <c r="DX224" s="318">
        <f>IF(AB223="無",1,0)</f>
        <v>0</v>
      </c>
      <c r="EG224" s="167"/>
      <c r="EH224" s="167"/>
      <c r="EI224" s="167"/>
      <c r="EJ224" s="167"/>
      <c r="EK224" s="167"/>
      <c r="FV224" s="167"/>
      <c r="FW224" s="167"/>
      <c r="FX224" s="167"/>
      <c r="FY224" s="167"/>
      <c r="FZ224" s="167"/>
    </row>
    <row r="225" spans="1:183" s="172" customFormat="1" ht="27" customHeight="1" thickBot="1">
      <c r="A225" s="645"/>
      <c r="B225" s="645"/>
      <c r="C225" s="645"/>
      <c r="D225" s="645"/>
      <c r="E225" s="646"/>
      <c r="F225" s="381"/>
      <c r="G225" s="381"/>
      <c r="H225" s="381"/>
      <c r="I225" s="251"/>
      <c r="J225" s="39"/>
      <c r="K225" s="896"/>
      <c r="L225" s="896"/>
      <c r="M225" s="2154" t="s">
        <v>741</v>
      </c>
      <c r="N225" s="1835"/>
      <c r="O225" s="1835"/>
      <c r="P225" s="1835"/>
      <c r="Q225" s="1835"/>
      <c r="R225" s="1835"/>
      <c r="S225" s="1960" t="s">
        <v>738</v>
      </c>
      <c r="T225" s="2227"/>
      <c r="U225" s="2227"/>
      <c r="V225" s="2227"/>
      <c r="W225" s="2227"/>
      <c r="X225" s="2227"/>
      <c r="Y225" s="2227"/>
      <c r="Z225" s="2227"/>
      <c r="AA225" s="2227"/>
      <c r="AB225" s="1854"/>
      <c r="AC225" s="1854"/>
      <c r="AD225" s="1854"/>
      <c r="AE225" s="1950"/>
      <c r="AF225" s="1950"/>
      <c r="AG225" s="1950"/>
      <c r="AH225" s="54" t="str">
        <f>IF(AND(AB225="",AB223&lt;&gt;"無"),"←どれか１つ選んでください","")</f>
        <v>←どれか１つ選んでください</v>
      </c>
      <c r="AI225" s="892"/>
      <c r="AJ225" s="892"/>
      <c r="AK225" s="892"/>
      <c r="AL225" s="892"/>
      <c r="AM225" s="898"/>
      <c r="AN225" s="898"/>
      <c r="AO225" s="898"/>
      <c r="AP225" s="898"/>
      <c r="AQ225" s="898"/>
      <c r="AR225" s="898"/>
      <c r="AS225" s="898"/>
      <c r="AT225" s="898"/>
      <c r="AU225" s="898"/>
      <c r="AV225" s="898"/>
      <c r="AW225" s="898"/>
      <c r="AX225" s="898"/>
      <c r="AY225" s="898"/>
      <c r="AZ225" s="898"/>
      <c r="BA225" s="898"/>
      <c r="BB225" s="898"/>
      <c r="BC225" s="898"/>
      <c r="BD225" s="898"/>
      <c r="BE225" s="898"/>
      <c r="BF225" s="898"/>
      <c r="BG225" s="898"/>
      <c r="BH225" s="898"/>
      <c r="BI225" s="898"/>
      <c r="BJ225" s="898"/>
      <c r="BK225" s="898"/>
      <c r="BL225" s="898"/>
      <c r="BM225" s="898"/>
      <c r="BN225" s="898"/>
      <c r="BO225" s="898"/>
      <c r="BP225" s="898"/>
      <c r="BQ225" s="898"/>
      <c r="BR225" s="898"/>
      <c r="BS225" s="898"/>
      <c r="BT225" s="898"/>
      <c r="BU225" s="718"/>
      <c r="BV225" s="1116" t="s">
        <v>2727</v>
      </c>
      <c r="BW225" s="1955" t="s">
        <v>2801</v>
      </c>
      <c r="BX225" s="1955"/>
      <c r="BY225" s="1955"/>
      <c r="BZ225" s="1955"/>
      <c r="CA225" s="1955"/>
      <c r="CB225" s="1955"/>
      <c r="CC225" s="1955"/>
      <c r="CD225" s="1955"/>
      <c r="CE225" s="1955"/>
      <c r="CF225" s="1955"/>
      <c r="CG225" s="1955"/>
      <c r="CH225" s="1955"/>
      <c r="CI225" s="1955"/>
      <c r="CJ225" s="1955"/>
      <c r="CK225" s="1955"/>
      <c r="CL225" s="1955"/>
      <c r="CM225" s="1955"/>
      <c r="CN225" s="1955"/>
      <c r="CO225" s="1955"/>
      <c r="CP225" s="1955"/>
      <c r="CQ225" s="1955"/>
      <c r="CR225" s="1955"/>
      <c r="CS225" s="1955"/>
      <c r="CT225" s="1117"/>
      <c r="CU225" s="1118"/>
      <c r="CV225" s="398"/>
      <c r="CW225" s="398"/>
      <c r="CX225" s="398"/>
      <c r="CY225" s="398"/>
      <c r="CZ225" s="398"/>
      <c r="DA225" s="398"/>
      <c r="DB225" s="398"/>
      <c r="DC225" s="35"/>
      <c r="DD225" s="36"/>
      <c r="DE225" s="36"/>
      <c r="DF225" s="178"/>
      <c r="DG225" s="178"/>
      <c r="DH225" s="178"/>
      <c r="DI225" s="178"/>
      <c r="DJ225" s="178"/>
      <c r="DK225" s="1068"/>
      <c r="DL225" s="1046"/>
      <c r="DM225" s="171"/>
      <c r="DO225" s="186" t="s">
        <v>869</v>
      </c>
      <c r="DP225" s="186" t="s">
        <v>1698</v>
      </c>
      <c r="DQ225" s="171"/>
      <c r="DR225" s="273" t="str">
        <f>IF(DR224="レ",AB224 &amp; "(未調査)","")</f>
        <v/>
      </c>
      <c r="EG225" s="167"/>
      <c r="EH225" s="167"/>
      <c r="EI225" s="167"/>
      <c r="EJ225" s="167"/>
      <c r="EK225" s="167"/>
      <c r="FO225" s="1046"/>
      <c r="FV225" s="167"/>
      <c r="FW225" s="167"/>
      <c r="FX225" s="167"/>
      <c r="FY225" s="167"/>
      <c r="FZ225" s="167"/>
      <c r="GA225" s="171"/>
    </row>
    <row r="226" spans="1:183" ht="27" customHeight="1" thickBot="1">
      <c r="A226" s="645"/>
      <c r="B226" s="645"/>
      <c r="C226" s="645"/>
      <c r="D226" s="645"/>
      <c r="E226" s="646"/>
      <c r="J226" s="93"/>
      <c r="K226" s="125"/>
      <c r="L226" s="125"/>
      <c r="M226" s="2285"/>
      <c r="N226" s="2285"/>
      <c r="O226" s="2285"/>
      <c r="P226" s="2285"/>
      <c r="Q226" s="2285"/>
      <c r="R226" s="2285"/>
      <c r="S226" s="2147" t="s">
        <v>740</v>
      </c>
      <c r="T226" s="2148"/>
      <c r="U226" s="2148"/>
      <c r="V226" s="2148"/>
      <c r="W226" s="2148"/>
      <c r="X226" s="2148"/>
      <c r="Y226" s="2148"/>
      <c r="Z226" s="2148"/>
      <c r="AA226" s="2148"/>
      <c r="AB226" s="1815" t="s">
        <v>316</v>
      </c>
      <c r="AC226" s="2501"/>
      <c r="AD226" s="2501"/>
      <c r="AE226" s="2191"/>
      <c r="AF226" s="2191"/>
      <c r="AG226" s="2191"/>
      <c r="AH226" s="902" t="s">
        <v>12</v>
      </c>
      <c r="AI226" s="902"/>
      <c r="AJ226" s="2191"/>
      <c r="AK226" s="2191"/>
      <c r="AL226" s="2191"/>
      <c r="AM226" s="912" t="s">
        <v>170</v>
      </c>
      <c r="AN226" s="56"/>
      <c r="AO226" s="60" t="str">
        <f>IF(AND(AB225="有",DN226&lt;2),IF(DS224=1,"←改善予定年月を入力してください",IF(DS224=2,"←調査予定年月を入力してください","")),"")</f>
        <v/>
      </c>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1084"/>
      <c r="BV226" s="1119"/>
      <c r="BW226" s="1765" t="s">
        <v>2802</v>
      </c>
      <c r="BX226" s="1765"/>
      <c r="BY226" s="1765"/>
      <c r="BZ226" s="1765"/>
      <c r="CA226" s="1765"/>
      <c r="CB226" s="1765"/>
      <c r="CC226" s="1765"/>
      <c r="CD226" s="1765"/>
      <c r="CE226" s="1765"/>
      <c r="CF226" s="1765"/>
      <c r="CG226" s="1765"/>
      <c r="CH226" s="1765"/>
      <c r="CI226" s="1765"/>
      <c r="CJ226" s="1765"/>
      <c r="CK226" s="1765"/>
      <c r="CL226" s="1765"/>
      <c r="CM226" s="1765"/>
      <c r="CN226" s="1765"/>
      <c r="CO226" s="1765"/>
      <c r="CP226" s="1765"/>
      <c r="CQ226" s="1765"/>
      <c r="CR226" s="1765"/>
      <c r="CS226" s="1765"/>
      <c r="CT226" s="1120"/>
      <c r="CU226" s="1121"/>
      <c r="DD226" s="36"/>
      <c r="DE226" s="36"/>
      <c r="DF226" s="178"/>
      <c r="DG226" s="178"/>
      <c r="DH226" s="178"/>
      <c r="DI226" s="178"/>
      <c r="DJ226" s="178"/>
      <c r="DK226" s="1068"/>
      <c r="DN226" s="1081">
        <f>COUNTA(AE226,AJ226)</f>
        <v>0</v>
      </c>
      <c r="DO226" s="209" t="str">
        <f>IF($AB225="有","レ","")</f>
        <v/>
      </c>
      <c r="DP226" s="180" t="str">
        <f>IF(OR($AB225="無",$AB225="未定"),"レ","")</f>
        <v/>
      </c>
      <c r="EG226" s="172"/>
      <c r="EH226" s="172"/>
      <c r="EI226" s="172"/>
      <c r="EJ226" s="172"/>
      <c r="EK226" s="172"/>
      <c r="FV226" s="172"/>
      <c r="FW226" s="172"/>
      <c r="FX226" s="172"/>
      <c r="FY226" s="172"/>
      <c r="FZ226" s="172"/>
    </row>
    <row r="227" spans="1:183" ht="15" customHeight="1">
      <c r="A227" s="645"/>
      <c r="B227" s="645"/>
      <c r="C227" s="645"/>
      <c r="D227" s="645"/>
      <c r="E227" s="646"/>
      <c r="BU227" s="1044"/>
      <c r="DD227" s="36"/>
      <c r="DE227" s="36"/>
      <c r="DF227" s="36"/>
      <c r="DG227" s="36"/>
      <c r="DH227" s="36"/>
      <c r="DI227" s="36"/>
      <c r="DJ227" s="36"/>
      <c r="EG227" s="172"/>
      <c r="EH227" s="172"/>
      <c r="EI227" s="172"/>
      <c r="EJ227" s="172"/>
      <c r="EK227" s="172"/>
      <c r="FV227" s="172"/>
      <c r="FW227" s="172"/>
      <c r="FX227" s="172"/>
      <c r="FY227" s="172"/>
      <c r="FZ227" s="172"/>
    </row>
    <row r="228" spans="1:183" ht="2.15" customHeight="1">
      <c r="A228" s="645"/>
      <c r="B228" s="645"/>
      <c r="C228" s="645"/>
      <c r="D228" s="645"/>
      <c r="E228" s="646"/>
      <c r="BU228" s="1044"/>
      <c r="DD228" s="36"/>
      <c r="DE228" s="36"/>
      <c r="DF228" s="36"/>
      <c r="DG228" s="36"/>
      <c r="DH228" s="36"/>
      <c r="DI228" s="36"/>
      <c r="DJ228" s="36"/>
      <c r="EG228" s="172"/>
      <c r="EH228" s="172"/>
      <c r="EI228" s="172"/>
      <c r="EJ228" s="172"/>
      <c r="EK228" s="172"/>
      <c r="FV228" s="172"/>
      <c r="FW228" s="172"/>
      <c r="FX228" s="172"/>
      <c r="FY228" s="172"/>
      <c r="FZ228" s="172"/>
    </row>
    <row r="229" spans="1:183" ht="2.15" customHeight="1">
      <c r="A229" s="645"/>
      <c r="B229" s="645"/>
      <c r="C229" s="645"/>
      <c r="D229" s="645"/>
      <c r="E229" s="646"/>
      <c r="BU229" s="1044"/>
      <c r="DD229" s="36"/>
      <c r="DE229" s="36"/>
      <c r="DF229" s="36"/>
      <c r="DG229" s="36"/>
      <c r="DH229" s="36"/>
      <c r="DI229" s="36"/>
      <c r="DJ229" s="36"/>
      <c r="EG229" s="172"/>
      <c r="EH229" s="172"/>
      <c r="EI229" s="172"/>
      <c r="EJ229" s="172"/>
      <c r="EK229" s="172"/>
      <c r="FV229" s="172"/>
      <c r="FW229" s="172"/>
      <c r="FX229" s="172"/>
      <c r="FY229" s="172"/>
      <c r="FZ229" s="172"/>
    </row>
    <row r="230" spans="1:183" ht="2.15" customHeight="1" thickBot="1">
      <c r="A230" s="645"/>
      <c r="B230" s="645"/>
      <c r="C230" s="645"/>
      <c r="D230" s="645"/>
      <c r="E230" s="646"/>
      <c r="BU230" s="1044"/>
      <c r="DD230" s="36"/>
      <c r="DE230" s="36"/>
      <c r="DF230" s="36"/>
      <c r="DG230" s="36"/>
      <c r="DH230" s="36"/>
      <c r="DI230" s="36"/>
      <c r="DJ230" s="36"/>
      <c r="EG230" s="172"/>
      <c r="EH230" s="172"/>
      <c r="EI230" s="172"/>
      <c r="EJ230" s="172"/>
      <c r="EK230" s="172"/>
      <c r="FV230" s="172"/>
      <c r="FW230" s="172"/>
      <c r="FX230" s="172"/>
      <c r="FY230" s="172"/>
      <c r="FZ230" s="172"/>
    </row>
    <row r="231" spans="1:183" ht="35.15" customHeight="1" thickBot="1">
      <c r="A231" s="645"/>
      <c r="B231" s="645"/>
      <c r="C231" s="645"/>
      <c r="D231" s="645"/>
      <c r="E231" s="646"/>
      <c r="J231" s="1831" t="s">
        <v>1158</v>
      </c>
      <c r="K231" s="1832"/>
      <c r="L231" s="1832"/>
      <c r="M231" s="1832"/>
      <c r="N231" s="1832"/>
      <c r="O231" s="1832"/>
      <c r="P231" s="1832"/>
      <c r="Q231" s="1832"/>
      <c r="R231" s="1832"/>
      <c r="S231" s="1832"/>
      <c r="T231" s="1832"/>
      <c r="U231" s="1832"/>
      <c r="V231" s="1832"/>
      <c r="W231" s="1832"/>
      <c r="X231" s="1832"/>
      <c r="Y231" s="1832"/>
      <c r="Z231" s="1832"/>
      <c r="AA231" s="1832"/>
      <c r="AB231" s="1832"/>
      <c r="AC231" s="1832"/>
      <c r="AD231" s="1832"/>
      <c r="AE231" s="1832"/>
      <c r="AF231" s="1832"/>
      <c r="AG231" s="1832"/>
      <c r="AH231" s="1832"/>
      <c r="AI231" s="1832"/>
      <c r="AJ231" s="1832"/>
      <c r="AK231" s="1832"/>
      <c r="AL231" s="1832"/>
      <c r="AM231" s="1832"/>
      <c r="AN231" s="1832"/>
      <c r="AO231" s="1832"/>
      <c r="AP231" s="1832"/>
      <c r="AQ231" s="1832"/>
      <c r="AR231" s="1832"/>
      <c r="AS231" s="1832"/>
      <c r="AT231" s="1832"/>
      <c r="AU231" s="1832"/>
      <c r="AV231" s="1832"/>
      <c r="AW231" s="1832"/>
      <c r="AX231" s="1832"/>
      <c r="AY231" s="1832"/>
      <c r="AZ231" s="1832"/>
      <c r="BA231" s="1832"/>
      <c r="BB231" s="1832"/>
      <c r="BC231" s="1832"/>
      <c r="BD231" s="1832"/>
      <c r="BE231" s="1832"/>
      <c r="BF231" s="1832"/>
      <c r="BG231" s="1832"/>
      <c r="BH231" s="1832"/>
      <c r="BI231" s="1832"/>
      <c r="BJ231" s="1832"/>
      <c r="BK231" s="1832"/>
      <c r="BL231" s="1775" t="s">
        <v>376</v>
      </c>
      <c r="BM231" s="1776"/>
      <c r="BN231" s="1776"/>
      <c r="BO231" s="1776"/>
      <c r="BP231" s="1776"/>
      <c r="BQ231" s="1776"/>
      <c r="BR231" s="1776"/>
      <c r="BS231" s="1776"/>
      <c r="BT231" s="1776"/>
      <c r="BU231" s="1085"/>
      <c r="BV231" s="1122"/>
      <c r="BW231" s="1123"/>
      <c r="BX231" s="1123"/>
      <c r="BY231" s="1123"/>
      <c r="BZ231" s="1123"/>
      <c r="CA231" s="1123"/>
      <c r="CB231" s="1123"/>
      <c r="CC231" s="1123"/>
      <c r="CD231" s="1123"/>
      <c r="CE231" s="1123"/>
      <c r="CF231" s="1123"/>
      <c r="CG231" s="1123"/>
      <c r="CH231" s="1123"/>
      <c r="CI231" s="1123"/>
      <c r="CJ231" s="1123"/>
      <c r="CK231" s="1123"/>
      <c r="CL231" s="1123"/>
      <c r="CM231" s="1123"/>
      <c r="CN231" s="1123"/>
      <c r="CO231" s="1123"/>
      <c r="CP231" s="1123"/>
      <c r="CQ231" s="1123"/>
      <c r="CR231" s="1123"/>
      <c r="CS231" s="1123"/>
      <c r="CT231" s="1123"/>
      <c r="CU231" s="1124"/>
      <c r="CV231" s="402"/>
      <c r="DD231" s="36"/>
      <c r="DE231" s="36"/>
      <c r="DF231" s="36"/>
      <c r="DG231" s="36"/>
      <c r="DH231" s="178"/>
      <c r="DI231" s="178"/>
      <c r="DJ231" s="178"/>
      <c r="DK231" s="1068"/>
      <c r="DN231" s="166" t="s">
        <v>2441</v>
      </c>
      <c r="EG231" s="172"/>
      <c r="EH231" s="172"/>
      <c r="EI231" s="172"/>
      <c r="EJ231" s="172"/>
      <c r="EK231" s="172"/>
      <c r="FV231" s="172"/>
      <c r="FW231" s="172"/>
      <c r="FX231" s="172"/>
      <c r="FY231" s="172"/>
      <c r="FZ231" s="172"/>
    </row>
    <row r="232" spans="1:183" s="172" customFormat="1" ht="27" customHeight="1" thickBot="1">
      <c r="A232" s="645"/>
      <c r="B232" s="645"/>
      <c r="C232" s="645"/>
      <c r="D232" s="645"/>
      <c r="E232" s="646"/>
      <c r="F232" s="381"/>
      <c r="G232" s="381"/>
      <c r="H232" s="381"/>
      <c r="I232" s="251"/>
      <c r="J232" s="39"/>
      <c r="K232" s="896"/>
      <c r="L232" s="896"/>
      <c r="M232" s="2154" t="s">
        <v>299</v>
      </c>
      <c r="N232" s="2155"/>
      <c r="O232" s="2155"/>
      <c r="P232" s="2155"/>
      <c r="Q232" s="2155"/>
      <c r="R232" s="2155"/>
      <c r="S232" s="1960" t="s">
        <v>738</v>
      </c>
      <c r="T232" s="2227"/>
      <c r="U232" s="2227"/>
      <c r="V232" s="2227"/>
      <c r="W232" s="2227"/>
      <c r="X232" s="2227"/>
      <c r="Y232" s="2227"/>
      <c r="Z232" s="2227"/>
      <c r="AA232" s="2227"/>
      <c r="AB232" s="2146"/>
      <c r="AC232" s="2146"/>
      <c r="AD232" s="2146"/>
      <c r="AE232" s="2146"/>
      <c r="AF232" s="2146"/>
      <c r="AG232" s="2146"/>
      <c r="AH232" s="2146"/>
      <c r="AI232" s="2146"/>
      <c r="AJ232" s="2146"/>
      <c r="AK232" s="2146"/>
      <c r="AL232" s="2146"/>
      <c r="AM232" s="2146"/>
      <c r="AN232" s="2146"/>
      <c r="AO232" s="101" t="str">
        <f>IF(AB232="","←どれか１つ選んでください","")</f>
        <v>←どれか１つ選んでください</v>
      </c>
      <c r="AP232" s="898"/>
      <c r="AQ232" s="898"/>
      <c r="AR232" s="898"/>
      <c r="AS232" s="898"/>
      <c r="AT232" s="898"/>
      <c r="AU232" s="898"/>
      <c r="AV232" s="898"/>
      <c r="AW232" s="898"/>
      <c r="AX232" s="898"/>
      <c r="AY232" s="898"/>
      <c r="AZ232" s="124"/>
      <c r="BA232" s="898"/>
      <c r="BB232" s="898"/>
      <c r="BC232" s="898"/>
      <c r="BD232" s="124"/>
      <c r="BE232" s="898"/>
      <c r="BF232" s="898"/>
      <c r="BG232" s="898"/>
      <c r="BH232" s="898"/>
      <c r="BI232" s="898"/>
      <c r="BJ232" s="898"/>
      <c r="BK232" s="898"/>
      <c r="BL232" s="898"/>
      <c r="BM232" s="898"/>
      <c r="BN232" s="898"/>
      <c r="BO232" s="898"/>
      <c r="BP232" s="898"/>
      <c r="BQ232" s="898"/>
      <c r="BR232" s="898"/>
      <c r="BS232" s="898"/>
      <c r="BT232" s="898"/>
      <c r="BU232" s="718"/>
      <c r="BV232" s="1099"/>
      <c r="BW232" s="1097"/>
      <c r="BX232" s="1097"/>
      <c r="BY232" s="1097"/>
      <c r="BZ232" s="1097"/>
      <c r="CA232" s="1097"/>
      <c r="CB232" s="1097"/>
      <c r="CC232" s="1097"/>
      <c r="CD232" s="1097"/>
      <c r="CE232" s="1097"/>
      <c r="CF232" s="1097"/>
      <c r="CG232" s="1097"/>
      <c r="CH232" s="1097"/>
      <c r="CI232" s="1097"/>
      <c r="CJ232" s="1097"/>
      <c r="CK232" s="1097"/>
      <c r="CL232" s="1097"/>
      <c r="CM232" s="1097"/>
      <c r="CN232" s="1097"/>
      <c r="CO232" s="1097"/>
      <c r="CP232" s="1097"/>
      <c r="CQ232" s="1097"/>
      <c r="CR232" s="1097"/>
      <c r="CS232" s="1097"/>
      <c r="CT232" s="1102"/>
      <c r="CU232" s="1125"/>
      <c r="CV232" s="1126"/>
      <c r="DC232" s="923"/>
      <c r="DD232" s="1075"/>
      <c r="DE232" s="1075"/>
      <c r="DF232" s="1075"/>
      <c r="DG232" s="1075"/>
      <c r="DH232" s="1075"/>
      <c r="DI232" s="1075"/>
      <c r="DJ232" s="1075"/>
      <c r="DK232" s="1045"/>
      <c r="DL232" s="1046"/>
      <c r="DM232" s="171"/>
      <c r="DN232" s="191">
        <f>COUNTA(AB233,AE233,AJ233)</f>
        <v>0</v>
      </c>
      <c r="DO232" s="186" t="s">
        <v>2759</v>
      </c>
      <c r="DP232" s="186" t="s">
        <v>886</v>
      </c>
      <c r="DQ232" s="186" t="s">
        <v>887</v>
      </c>
      <c r="DV232" s="273" t="s">
        <v>2757</v>
      </c>
      <c r="DW232" s="273" t="s">
        <v>2764</v>
      </c>
      <c r="DX232" s="273" t="s">
        <v>2763</v>
      </c>
      <c r="DY232" s="273" t="s">
        <v>2766</v>
      </c>
      <c r="FO232" s="1046"/>
      <c r="GA232" s="171"/>
    </row>
    <row r="233" spans="1:183" ht="27" customHeight="1" thickBot="1">
      <c r="A233" s="645"/>
      <c r="B233" s="645"/>
      <c r="C233" s="645"/>
      <c r="D233" s="645"/>
      <c r="E233" s="646"/>
      <c r="J233" s="88"/>
      <c r="K233" s="89"/>
      <c r="L233" s="89"/>
      <c r="M233" s="2156"/>
      <c r="N233" s="2156"/>
      <c r="O233" s="2156"/>
      <c r="P233" s="2156"/>
      <c r="Q233" s="2156"/>
      <c r="R233" s="2156"/>
      <c r="S233" s="2185" t="s">
        <v>3108</v>
      </c>
      <c r="T233" s="2251"/>
      <c r="U233" s="2251"/>
      <c r="V233" s="2251"/>
      <c r="W233" s="2251"/>
      <c r="X233" s="2251"/>
      <c r="Y233" s="2251"/>
      <c r="Z233" s="2251"/>
      <c r="AA233" s="2251"/>
      <c r="AB233" s="1797"/>
      <c r="AC233" s="1797"/>
      <c r="AD233" s="1797"/>
      <c r="AE233" s="2172"/>
      <c r="AF233" s="2172"/>
      <c r="AG233" s="2172"/>
      <c r="AH233" s="894" t="s">
        <v>12</v>
      </c>
      <c r="AI233" s="894"/>
      <c r="AJ233" s="2172"/>
      <c r="AK233" s="2172"/>
      <c r="AL233" s="2172"/>
      <c r="AM233" s="911" t="s">
        <v>933</v>
      </c>
      <c r="AN233" s="911"/>
      <c r="AO233" s="911" t="str">
        <f>IF(DN233=1,"実施済",IF(DN233=2,"実施予定",""))</f>
        <v/>
      </c>
      <c r="AP233" s="59"/>
      <c r="AQ233" s="59"/>
      <c r="AR233" s="59"/>
      <c r="AS233" s="63" t="str">
        <f>IF(DN232&lt;3,IF(DN233=1,"←実施年月を入力してください",IF(DN233=2,"←実施予定年月を入力してください","")),"")</f>
        <v/>
      </c>
      <c r="AT233" s="59"/>
      <c r="AU233" s="59"/>
      <c r="AV233" s="59"/>
      <c r="AW233" s="59"/>
      <c r="AX233" s="59"/>
      <c r="AY233" s="59"/>
      <c r="AZ233" s="59"/>
      <c r="BA233" s="59"/>
      <c r="BB233" s="59"/>
      <c r="BC233" s="59"/>
      <c r="BD233" s="59"/>
      <c r="BE233" s="59"/>
      <c r="BF233" s="59"/>
      <c r="BG233" s="59"/>
      <c r="BH233" s="59"/>
      <c r="BI233" s="59"/>
      <c r="BJ233" s="59"/>
      <c r="BK233" s="59"/>
      <c r="BL233" s="59"/>
      <c r="BM233" s="59"/>
      <c r="BN233" s="59"/>
      <c r="BO233" s="59"/>
      <c r="BP233" s="59"/>
      <c r="BQ233" s="59"/>
      <c r="BR233" s="59"/>
      <c r="BS233" s="59"/>
      <c r="BT233" s="59"/>
      <c r="BU233" s="1052"/>
      <c r="BV233" s="1101"/>
      <c r="BW233" s="1920" t="s">
        <v>2800</v>
      </c>
      <c r="BX233" s="1920"/>
      <c r="BY233" s="1920"/>
      <c r="BZ233" s="1920"/>
      <c r="CA233" s="1920"/>
      <c r="CB233" s="1920"/>
      <c r="CC233" s="1920"/>
      <c r="CD233" s="1920"/>
      <c r="CE233" s="1920"/>
      <c r="CF233" s="1920"/>
      <c r="CG233" s="1920"/>
      <c r="CH233" s="1920"/>
      <c r="CI233" s="1920"/>
      <c r="CJ233" s="1920"/>
      <c r="CK233" s="1920"/>
      <c r="CL233" s="1920"/>
      <c r="CM233" s="1920"/>
      <c r="CN233" s="1920"/>
      <c r="CO233" s="1920"/>
      <c r="CP233" s="1920"/>
      <c r="CQ233" s="1920"/>
      <c r="CR233" s="1920"/>
      <c r="CS233" s="1920"/>
      <c r="CT233" s="1102"/>
      <c r="CU233" s="1125"/>
      <c r="CV233" s="402"/>
      <c r="DD233" s="36"/>
      <c r="DE233" s="36"/>
      <c r="DF233" s="36"/>
      <c r="DG233" s="36"/>
      <c r="DH233" s="36"/>
      <c r="DI233" s="36"/>
      <c r="DJ233" s="36"/>
      <c r="DN233" s="702">
        <f>IFERROR(MATCH(AB232,DV232:DY232,0),9)</f>
        <v>9</v>
      </c>
      <c r="DO233" s="209" t="str">
        <f>IF($AB232="診断済","レ","")</f>
        <v/>
      </c>
      <c r="DP233" s="180" t="str">
        <f>IF(OR($AB232="未実施（実施予定あり）",$AB232="未実施（実施時期未定）"),"レ","")</f>
        <v/>
      </c>
      <c r="DQ233" s="180" t="str">
        <f>IF($AB232="対象外","レ","")</f>
        <v/>
      </c>
      <c r="EG233" s="171"/>
      <c r="EH233" s="171"/>
      <c r="EI233" s="171"/>
      <c r="EJ233" s="171"/>
      <c r="EK233" s="171"/>
      <c r="FV233" s="171"/>
      <c r="FW233" s="171"/>
      <c r="FX233" s="171"/>
      <c r="FY233" s="171"/>
      <c r="FZ233" s="171"/>
    </row>
    <row r="234" spans="1:183" s="172" customFormat="1" ht="27" customHeight="1" thickBot="1">
      <c r="A234" s="645"/>
      <c r="B234" s="645"/>
      <c r="C234" s="645"/>
      <c r="D234" s="645"/>
      <c r="E234" s="646"/>
      <c r="F234" s="381"/>
      <c r="G234" s="381"/>
      <c r="H234" s="381"/>
      <c r="I234" s="251"/>
      <c r="J234" s="39"/>
      <c r="K234" s="896"/>
      <c r="L234" s="896"/>
      <c r="M234" s="2154" t="s">
        <v>300</v>
      </c>
      <c r="N234" s="2155"/>
      <c r="O234" s="2155"/>
      <c r="P234" s="2155"/>
      <c r="Q234" s="2155"/>
      <c r="R234" s="2155"/>
      <c r="S234" s="1960" t="s">
        <v>738</v>
      </c>
      <c r="T234" s="2227"/>
      <c r="U234" s="2227"/>
      <c r="V234" s="2227"/>
      <c r="W234" s="2227"/>
      <c r="X234" s="2227"/>
      <c r="Y234" s="2227"/>
      <c r="Z234" s="2227"/>
      <c r="AA234" s="2227"/>
      <c r="AB234" s="2063"/>
      <c r="AC234" s="2063"/>
      <c r="AD234" s="2063"/>
      <c r="AE234" s="2063"/>
      <c r="AF234" s="2063"/>
      <c r="AG234" s="2063"/>
      <c r="AH234" s="2063"/>
      <c r="AI234" s="2063"/>
      <c r="AJ234" s="2063"/>
      <c r="AK234" s="2063"/>
      <c r="AL234" s="2063"/>
      <c r="AM234" s="2063"/>
      <c r="AN234" s="2063"/>
      <c r="AO234" s="101" t="str">
        <f>IF(AB234="","←どれか１つ選んでください","")</f>
        <v>←どれか１つ選んでください</v>
      </c>
      <c r="AP234" s="898"/>
      <c r="AQ234" s="898"/>
      <c r="AR234" s="898"/>
      <c r="AS234" s="898"/>
      <c r="AT234" s="898"/>
      <c r="AU234" s="898"/>
      <c r="AV234" s="898"/>
      <c r="AW234" s="898"/>
      <c r="AX234" s="898"/>
      <c r="AY234" s="898"/>
      <c r="AZ234" s="124"/>
      <c r="BA234" s="898"/>
      <c r="BB234" s="898"/>
      <c r="BC234" s="898"/>
      <c r="BD234" s="124"/>
      <c r="BE234" s="898"/>
      <c r="BF234" s="898"/>
      <c r="BG234" s="898"/>
      <c r="BH234" s="898"/>
      <c r="BI234" s="898"/>
      <c r="BJ234" s="898"/>
      <c r="BK234" s="898"/>
      <c r="BL234" s="898"/>
      <c r="BM234" s="898"/>
      <c r="BN234" s="898"/>
      <c r="BO234" s="898"/>
      <c r="BP234" s="898"/>
      <c r="BQ234" s="898"/>
      <c r="BR234" s="898"/>
      <c r="BS234" s="898"/>
      <c r="BT234" s="898"/>
      <c r="BU234" s="718"/>
      <c r="BV234" s="1102"/>
      <c r="BW234" s="1920"/>
      <c r="BX234" s="1920"/>
      <c r="BY234" s="1920"/>
      <c r="BZ234" s="1920"/>
      <c r="CA234" s="1920"/>
      <c r="CB234" s="1920"/>
      <c r="CC234" s="1920"/>
      <c r="CD234" s="1920"/>
      <c r="CE234" s="1920"/>
      <c r="CF234" s="1920"/>
      <c r="CG234" s="1920"/>
      <c r="CH234" s="1920"/>
      <c r="CI234" s="1920"/>
      <c r="CJ234" s="1920"/>
      <c r="CK234" s="1920"/>
      <c r="CL234" s="1920"/>
      <c r="CM234" s="1920"/>
      <c r="CN234" s="1920"/>
      <c r="CO234" s="1920"/>
      <c r="CP234" s="1920"/>
      <c r="CQ234" s="1920"/>
      <c r="CR234" s="1920"/>
      <c r="CS234" s="1920"/>
      <c r="CT234" s="1102"/>
      <c r="CU234" s="1125"/>
      <c r="CV234" s="1126"/>
      <c r="CW234" s="171"/>
      <c r="CX234" s="171"/>
      <c r="CY234" s="171"/>
      <c r="CZ234" s="171"/>
      <c r="DA234" s="171"/>
      <c r="DB234" s="171"/>
      <c r="DC234" s="369"/>
      <c r="DD234" s="1074"/>
      <c r="DE234" s="1074"/>
      <c r="DF234" s="1075"/>
      <c r="DG234" s="1075"/>
      <c r="DH234" s="1075"/>
      <c r="DI234" s="1075"/>
      <c r="DJ234" s="1075"/>
      <c r="DK234" s="1045"/>
      <c r="DL234" s="1046"/>
      <c r="DM234" s="171"/>
      <c r="DN234" s="182">
        <f>COUNTA(AB235,AE235,AJ235)</f>
        <v>0</v>
      </c>
      <c r="DO234" s="186" t="s">
        <v>2617</v>
      </c>
      <c r="DP234" s="186" t="s">
        <v>886</v>
      </c>
      <c r="DQ234" s="186" t="s">
        <v>887</v>
      </c>
      <c r="DV234" s="273" t="s">
        <v>2617</v>
      </c>
      <c r="DW234" s="273" t="s">
        <v>2764</v>
      </c>
      <c r="DX234" s="273" t="s">
        <v>2763</v>
      </c>
      <c r="DY234" s="273" t="s">
        <v>2766</v>
      </c>
      <c r="EG234" s="171"/>
      <c r="EH234" s="171"/>
      <c r="EI234" s="171"/>
      <c r="EJ234" s="171"/>
      <c r="EK234" s="171"/>
      <c r="FO234" s="1046"/>
      <c r="FV234" s="171"/>
      <c r="FW234" s="171"/>
      <c r="FX234" s="171"/>
      <c r="FY234" s="171"/>
      <c r="FZ234" s="171"/>
      <c r="GA234" s="171"/>
    </row>
    <row r="235" spans="1:183" ht="27" customHeight="1" thickBot="1">
      <c r="A235" s="645"/>
      <c r="B235" s="645"/>
      <c r="C235" s="645"/>
      <c r="D235" s="645"/>
      <c r="E235" s="646"/>
      <c r="J235" s="93"/>
      <c r="K235" s="125"/>
      <c r="L235" s="125"/>
      <c r="M235" s="2165"/>
      <c r="N235" s="2165"/>
      <c r="O235" s="2165"/>
      <c r="P235" s="2165"/>
      <c r="Q235" s="2165"/>
      <c r="R235" s="2165"/>
      <c r="S235" s="2147" t="s">
        <v>3108</v>
      </c>
      <c r="T235" s="2148"/>
      <c r="U235" s="2148"/>
      <c r="V235" s="2148"/>
      <c r="W235" s="2148"/>
      <c r="X235" s="2148"/>
      <c r="Y235" s="2148"/>
      <c r="Z235" s="2148"/>
      <c r="AA235" s="2148"/>
      <c r="AB235" s="2246"/>
      <c r="AC235" s="2246"/>
      <c r="AD235" s="2246"/>
      <c r="AE235" s="2240"/>
      <c r="AF235" s="2240"/>
      <c r="AG235" s="2240"/>
      <c r="AH235" s="902" t="s">
        <v>12</v>
      </c>
      <c r="AI235" s="902"/>
      <c r="AJ235" s="2240"/>
      <c r="AK235" s="2240"/>
      <c r="AL235" s="2240"/>
      <c r="AM235" s="912" t="s">
        <v>933</v>
      </c>
      <c r="AN235" s="912"/>
      <c r="AO235" s="912" t="str">
        <f>IF(DN235=1,"実施済",IF(DN235=2,"実施予定",""))</f>
        <v/>
      </c>
      <c r="AP235" s="56"/>
      <c r="AQ235" s="56"/>
      <c r="AR235" s="56"/>
      <c r="AS235" s="60" t="str">
        <f>IF(DN234&lt;3,IF(DN235=1,"←実施年月を入力してください",IF(DN235=2,"←実施予定年月を入力してください","")),"")</f>
        <v/>
      </c>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1084"/>
      <c r="BV235" s="1127"/>
      <c r="BW235" s="1128"/>
      <c r="BX235" s="1128"/>
      <c r="BY235" s="1128"/>
      <c r="BZ235" s="1128"/>
      <c r="CA235" s="1128"/>
      <c r="CB235" s="1128"/>
      <c r="CC235" s="1128"/>
      <c r="CD235" s="1128"/>
      <c r="CE235" s="1128"/>
      <c r="CF235" s="1128"/>
      <c r="CG235" s="1128"/>
      <c r="CH235" s="1128"/>
      <c r="CI235" s="1128"/>
      <c r="CJ235" s="1128"/>
      <c r="CK235" s="1128"/>
      <c r="CL235" s="1128"/>
      <c r="CM235" s="1128"/>
      <c r="CN235" s="1128"/>
      <c r="CO235" s="1128"/>
      <c r="CP235" s="1128"/>
      <c r="CQ235" s="1128"/>
      <c r="CR235" s="1128"/>
      <c r="CS235" s="1128"/>
      <c r="CT235" s="1128"/>
      <c r="CU235" s="1129"/>
      <c r="CV235" s="402"/>
      <c r="DD235" s="36"/>
      <c r="DE235" s="36"/>
      <c r="DF235" s="36"/>
      <c r="DG235" s="36"/>
      <c r="DH235" s="36"/>
      <c r="DI235" s="36"/>
      <c r="DJ235" s="36"/>
      <c r="DN235" s="702">
        <f>IFERROR(MATCH(AB234,DV234:DY234,0),9)</f>
        <v>9</v>
      </c>
      <c r="DO235" s="209" t="str">
        <f>IF($AB234="改修済","レ","")</f>
        <v/>
      </c>
      <c r="DP235" s="180" t="str">
        <f>IF(OR($AB234="未実施（実施予定あり）",$AB234="未実施（実施時期未定）"),"レ","")</f>
        <v/>
      </c>
      <c r="DQ235" s="180" t="str">
        <f>IF($AB234="対象外","レ","")</f>
        <v/>
      </c>
      <c r="EG235" s="171"/>
      <c r="EH235" s="171"/>
      <c r="EI235" s="171"/>
      <c r="EJ235" s="171"/>
      <c r="EK235" s="171"/>
      <c r="FV235" s="171"/>
      <c r="FW235" s="171"/>
      <c r="FX235" s="171"/>
      <c r="FY235" s="171"/>
      <c r="FZ235" s="171"/>
    </row>
    <row r="236" spans="1:183" ht="15" customHeight="1">
      <c r="A236" s="645"/>
      <c r="B236" s="645"/>
      <c r="C236" s="645"/>
      <c r="D236" s="645"/>
      <c r="E236" s="646"/>
      <c r="BU236" s="1044"/>
      <c r="DD236" s="36"/>
      <c r="DE236" s="36"/>
      <c r="DF236" s="36"/>
      <c r="DG236" s="36"/>
      <c r="DH236" s="36"/>
      <c r="DI236" s="36"/>
      <c r="DJ236" s="36"/>
      <c r="EG236" s="171"/>
      <c r="EH236" s="171"/>
      <c r="EI236" s="171"/>
      <c r="EJ236" s="171"/>
      <c r="EK236" s="171"/>
      <c r="FV236" s="171"/>
      <c r="FW236" s="171"/>
      <c r="FX236" s="171"/>
      <c r="FY236" s="171"/>
      <c r="FZ236" s="171"/>
    </row>
    <row r="237" spans="1:183" ht="2.15" customHeight="1">
      <c r="A237" s="645"/>
      <c r="B237" s="645"/>
      <c r="C237" s="645"/>
      <c r="D237" s="645"/>
      <c r="E237" s="646"/>
      <c r="BU237" s="1044"/>
      <c r="DD237" s="36"/>
      <c r="DE237" s="36"/>
      <c r="DF237" s="36"/>
      <c r="DG237" s="36"/>
      <c r="DH237" s="36"/>
      <c r="DI237" s="36"/>
      <c r="DJ237" s="36"/>
      <c r="EG237" s="171"/>
      <c r="EH237" s="171"/>
      <c r="EI237" s="171"/>
      <c r="EJ237" s="171"/>
      <c r="EK237" s="171"/>
      <c r="FV237" s="171"/>
      <c r="FW237" s="171"/>
      <c r="FX237" s="171"/>
      <c r="FY237" s="171"/>
      <c r="FZ237" s="171"/>
    </row>
    <row r="238" spans="1:183" ht="2.15" customHeight="1">
      <c r="A238" s="645"/>
      <c r="B238" s="645"/>
      <c r="C238" s="645"/>
      <c r="D238" s="645"/>
      <c r="E238" s="646"/>
      <c r="BU238" s="1044"/>
      <c r="DD238" s="36"/>
      <c r="DE238" s="36"/>
      <c r="DF238" s="36"/>
      <c r="DG238" s="36"/>
      <c r="DH238" s="36"/>
      <c r="DI238" s="36"/>
      <c r="DJ238" s="36"/>
      <c r="EG238" s="171"/>
      <c r="EH238" s="171"/>
      <c r="EI238" s="171"/>
      <c r="EJ238" s="171"/>
      <c r="EK238" s="171"/>
      <c r="FV238" s="171"/>
      <c r="FW238" s="171"/>
      <c r="FX238" s="171"/>
      <c r="FY238" s="171"/>
      <c r="FZ238" s="171"/>
    </row>
    <row r="239" spans="1:183" ht="2.15" customHeight="1" thickBot="1">
      <c r="A239" s="645"/>
      <c r="B239" s="645"/>
      <c r="C239" s="645"/>
      <c r="D239" s="645"/>
      <c r="E239" s="646"/>
      <c r="BU239" s="1044"/>
      <c r="DD239" s="36"/>
      <c r="DE239" s="36"/>
      <c r="DF239" s="36"/>
      <c r="DG239" s="36"/>
      <c r="DH239" s="36"/>
      <c r="DI239" s="36"/>
      <c r="DJ239" s="36"/>
      <c r="EG239" s="171"/>
      <c r="EH239" s="171"/>
      <c r="EI239" s="171"/>
      <c r="EJ239" s="171"/>
      <c r="EK239" s="171"/>
      <c r="FV239" s="171"/>
      <c r="FW239" s="171"/>
      <c r="FX239" s="171"/>
      <c r="FY239" s="171"/>
      <c r="FZ239" s="171"/>
    </row>
    <row r="240" spans="1:183" ht="35.15" customHeight="1">
      <c r="A240" s="645"/>
      <c r="B240" s="645"/>
      <c r="C240" s="645"/>
      <c r="D240" s="645"/>
      <c r="E240" s="646"/>
      <c r="J240" s="2504" t="s">
        <v>1159</v>
      </c>
      <c r="K240" s="2505"/>
      <c r="L240" s="2505"/>
      <c r="M240" s="2505"/>
      <c r="N240" s="2505"/>
      <c r="O240" s="2505"/>
      <c r="P240" s="2505"/>
      <c r="Q240" s="2505"/>
      <c r="R240" s="2505"/>
      <c r="S240" s="2505"/>
      <c r="T240" s="2505"/>
      <c r="U240" s="2505"/>
      <c r="V240" s="2505"/>
      <c r="W240" s="2505"/>
      <c r="X240" s="2505"/>
      <c r="Y240" s="2505"/>
      <c r="Z240" s="2505"/>
      <c r="AA240" s="2505"/>
      <c r="AB240" s="2505"/>
      <c r="AC240" s="2505"/>
      <c r="AD240" s="2505"/>
      <c r="AE240" s="2506"/>
      <c r="AF240" s="2506"/>
      <c r="AG240" s="1858" t="s">
        <v>916</v>
      </c>
      <c r="AH240" s="1859"/>
      <c r="AI240" s="1859"/>
      <c r="AJ240" s="1859"/>
      <c r="AK240" s="1859"/>
      <c r="AL240" s="1859"/>
      <c r="AM240" s="1859"/>
      <c r="AN240" s="1859"/>
      <c r="AO240" s="1859"/>
      <c r="AP240" s="1859"/>
      <c r="AQ240" s="1859"/>
      <c r="AR240" s="1859"/>
      <c r="AS240" s="1859"/>
      <c r="AT240" s="1859"/>
      <c r="AU240" s="1859"/>
      <c r="AV240" s="1859"/>
      <c r="AW240" s="1859"/>
      <c r="AX240" s="1859"/>
      <c r="AY240" s="1859"/>
      <c r="AZ240" s="1859"/>
      <c r="BA240" s="1859"/>
      <c r="BB240" s="1859"/>
      <c r="BC240" s="1859"/>
      <c r="BD240" s="1859"/>
      <c r="BE240" s="1859"/>
      <c r="BF240" s="1859"/>
      <c r="BG240" s="1859"/>
      <c r="BH240" s="1859"/>
      <c r="BI240" s="2171" t="s">
        <v>922</v>
      </c>
      <c r="BJ240" s="2503"/>
      <c r="BK240" s="2503"/>
      <c r="BL240" s="2503"/>
      <c r="BM240" s="2503"/>
      <c r="BN240" s="2503"/>
      <c r="BO240" s="2503"/>
      <c r="BP240" s="2503"/>
      <c r="BQ240" s="2503"/>
      <c r="BR240" s="2503"/>
      <c r="BS240" s="2503"/>
      <c r="BT240" s="2503"/>
      <c r="BU240" s="1085"/>
      <c r="BV240" s="711"/>
      <c r="BW240" s="711"/>
      <c r="BX240" s="711"/>
      <c r="BY240" s="725"/>
      <c r="BZ240" s="710"/>
      <c r="CA240" s="710"/>
      <c r="CB240" s="710"/>
      <c r="CC240" s="710"/>
      <c r="CD240" s="710"/>
      <c r="CE240" s="710"/>
      <c r="CF240" s="710"/>
      <c r="CG240" s="710"/>
      <c r="CH240" s="710"/>
      <c r="CI240" s="710"/>
      <c r="CJ240" s="710"/>
      <c r="CK240" s="710"/>
      <c r="CL240" s="710"/>
      <c r="CM240" s="710"/>
      <c r="CN240" s="711"/>
      <c r="CO240" s="711"/>
      <c r="CP240" s="711"/>
      <c r="CQ240" s="711"/>
      <c r="CR240" s="711"/>
      <c r="CS240" s="711"/>
      <c r="CT240" s="711"/>
      <c r="CU240" s="711"/>
      <c r="CV240" s="402"/>
      <c r="DD240" s="36"/>
      <c r="DE240" s="36"/>
      <c r="DF240" s="178"/>
      <c r="DG240" s="178"/>
      <c r="DH240" s="178"/>
      <c r="DI240" s="178"/>
      <c r="DJ240" s="178"/>
      <c r="DK240" s="1068"/>
      <c r="EG240" s="171"/>
      <c r="EH240" s="171"/>
      <c r="EI240" s="171"/>
      <c r="EJ240" s="171"/>
      <c r="EK240" s="171"/>
      <c r="FV240" s="171"/>
      <c r="FW240" s="171"/>
      <c r="FX240" s="171"/>
      <c r="FY240" s="171"/>
      <c r="FZ240" s="171"/>
    </row>
    <row r="241" spans="1:183" s="172" customFormat="1" ht="27" customHeight="1">
      <c r="A241" s="645"/>
      <c r="B241" s="645"/>
      <c r="C241" s="645"/>
      <c r="D241" s="645"/>
      <c r="E241" s="646"/>
      <c r="F241" s="381"/>
      <c r="G241" s="381"/>
      <c r="H241" s="381"/>
      <c r="I241" s="251"/>
      <c r="J241" s="39"/>
      <c r="K241" s="896"/>
      <c r="L241" s="896"/>
      <c r="M241" s="1809" t="s">
        <v>5649</v>
      </c>
      <c r="N241" s="2173"/>
      <c r="O241" s="2173"/>
      <c r="P241" s="2173"/>
      <c r="Q241" s="2173"/>
      <c r="R241" s="2173"/>
      <c r="S241" s="2173"/>
      <c r="T241" s="2173"/>
      <c r="U241" s="2173"/>
      <c r="V241" s="2173"/>
      <c r="W241" s="2173"/>
      <c r="X241" s="2173"/>
      <c r="Y241" s="2173"/>
      <c r="Z241" s="2173"/>
      <c r="AA241" s="2173"/>
      <c r="AB241" s="2213"/>
      <c r="AC241" s="2442"/>
      <c r="AD241" s="2442"/>
      <c r="AE241" s="61" t="str">
        <f>IF(AB241="","←どちらかは必ず選んでください","")</f>
        <v>←どちらかは必ず選んでください</v>
      </c>
      <c r="AF241" s="106"/>
      <c r="AG241" s="898"/>
      <c r="AH241" s="898"/>
      <c r="AI241" s="898"/>
      <c r="AJ241" s="898"/>
      <c r="AK241" s="898"/>
      <c r="AL241" s="898"/>
      <c r="AM241" s="898"/>
      <c r="AN241" s="898"/>
      <c r="AO241" s="898"/>
      <c r="AP241" s="898"/>
      <c r="AQ241" s="898"/>
      <c r="AR241" s="898"/>
      <c r="AS241" s="898"/>
      <c r="AT241" s="898"/>
      <c r="AU241" s="898"/>
      <c r="AV241" s="898"/>
      <c r="AW241" s="898"/>
      <c r="AX241" s="898"/>
      <c r="AY241" s="898"/>
      <c r="AZ241" s="898"/>
      <c r="BA241" s="898"/>
      <c r="BB241" s="898"/>
      <c r="BC241" s="898"/>
      <c r="BD241" s="898"/>
      <c r="BE241" s="898"/>
      <c r="BF241" s="898"/>
      <c r="BG241" s="898"/>
      <c r="BH241" s="898"/>
      <c r="BI241" s="898"/>
      <c r="BJ241" s="898"/>
      <c r="BK241" s="898"/>
      <c r="BL241" s="898"/>
      <c r="BM241" s="898"/>
      <c r="BN241" s="898"/>
      <c r="BO241" s="898"/>
      <c r="BP241" s="898"/>
      <c r="BQ241" s="898"/>
      <c r="BR241" s="898"/>
      <c r="BS241" s="898"/>
      <c r="BT241" s="898"/>
      <c r="BU241" s="718"/>
      <c r="BV241" s="891"/>
      <c r="BW241" s="1069" t="s">
        <v>2803</v>
      </c>
      <c r="BX241" s="891"/>
      <c r="BY241" s="891"/>
      <c r="BZ241" s="891"/>
      <c r="CA241" s="891"/>
      <c r="CB241" s="891"/>
      <c r="CC241" s="1097"/>
      <c r="CD241" s="1920" t="s">
        <v>5646</v>
      </c>
      <c r="CE241" s="1920"/>
      <c r="CF241" s="1920"/>
      <c r="CG241" s="1920"/>
      <c r="CH241" s="1920"/>
      <c r="CI241" s="1920"/>
      <c r="CJ241" s="1920"/>
      <c r="CK241" s="1920"/>
      <c r="CL241" s="1920"/>
      <c r="CM241" s="1920"/>
      <c r="CN241" s="1920"/>
      <c r="CO241" s="1920"/>
      <c r="CP241" s="1920"/>
      <c r="CQ241" s="1920"/>
      <c r="CR241" s="1920"/>
      <c r="CS241" s="1920"/>
      <c r="CT241" s="1100"/>
      <c r="CU241" s="891"/>
      <c r="CV241" s="1126"/>
      <c r="CW241" s="171"/>
      <c r="CX241" s="171"/>
      <c r="CY241" s="171"/>
      <c r="CZ241" s="171"/>
      <c r="DA241" s="171"/>
      <c r="DB241" s="398"/>
      <c r="DC241" s="35"/>
      <c r="DD241" s="36"/>
      <c r="DE241" s="36"/>
      <c r="DF241" s="178"/>
      <c r="DG241" s="178"/>
      <c r="DH241" s="178"/>
      <c r="DI241" s="178"/>
      <c r="DJ241" s="178"/>
      <c r="DK241" s="1045"/>
      <c r="DL241" s="1046"/>
      <c r="DM241" s="166"/>
      <c r="DN241" s="166"/>
      <c r="DO241" s="186" t="s">
        <v>869</v>
      </c>
      <c r="DP241" s="186" t="s">
        <v>888</v>
      </c>
      <c r="DQ241" s="171"/>
      <c r="DR241" s="186" t="s">
        <v>869</v>
      </c>
      <c r="DS241" s="186" t="s">
        <v>888</v>
      </c>
      <c r="EG241" s="171"/>
      <c r="EH241" s="171"/>
      <c r="EI241" s="171"/>
      <c r="EJ241" s="171"/>
      <c r="EK241" s="171"/>
      <c r="FO241" s="1046"/>
      <c r="FV241" s="171"/>
      <c r="FW241" s="171"/>
      <c r="FX241" s="171"/>
      <c r="FY241" s="171"/>
      <c r="FZ241" s="171"/>
      <c r="GA241" s="171"/>
    </row>
    <row r="242" spans="1:183" s="172" customFormat="1" ht="27" customHeight="1">
      <c r="A242" s="645"/>
      <c r="B242" s="645"/>
      <c r="C242" s="645"/>
      <c r="D242" s="645"/>
      <c r="E242" s="646"/>
      <c r="F242" s="381"/>
      <c r="G242" s="381"/>
      <c r="H242" s="381"/>
      <c r="I242" s="251"/>
      <c r="J242" s="39"/>
      <c r="K242" s="896"/>
      <c r="L242" s="896"/>
      <c r="M242" s="1809" t="s">
        <v>317</v>
      </c>
      <c r="N242" s="2173"/>
      <c r="O242" s="2173"/>
      <c r="P242" s="2173"/>
      <c r="Q242" s="2173"/>
      <c r="R242" s="2173"/>
      <c r="S242" s="2173"/>
      <c r="T242" s="2173"/>
      <c r="U242" s="2173"/>
      <c r="V242" s="2173"/>
      <c r="W242" s="2173"/>
      <c r="X242" s="2173"/>
      <c r="Y242" s="2173"/>
      <c r="Z242" s="2173"/>
      <c r="AA242" s="2173"/>
      <c r="AB242" s="1803"/>
      <c r="AC242" s="2303"/>
      <c r="AD242" s="2303"/>
      <c r="AE242" s="98"/>
      <c r="AF242" s="98"/>
      <c r="AG242" s="911"/>
      <c r="AH242" s="911"/>
      <c r="AI242" s="911"/>
      <c r="AJ242" s="911"/>
      <c r="AK242" s="911"/>
      <c r="AL242" s="911"/>
      <c r="AM242" s="911"/>
      <c r="AN242" s="911"/>
      <c r="AO242" s="911"/>
      <c r="AP242" s="911"/>
      <c r="AQ242" s="911"/>
      <c r="AR242" s="911"/>
      <c r="AS242" s="911"/>
      <c r="AT242" s="911"/>
      <c r="AU242" s="911"/>
      <c r="AV242" s="911"/>
      <c r="AW242" s="911"/>
      <c r="AX242" s="911"/>
      <c r="AY242" s="911"/>
      <c r="AZ242" s="911"/>
      <c r="BA242" s="911"/>
      <c r="BB242" s="911"/>
      <c r="BC242" s="911"/>
      <c r="BD242" s="911"/>
      <c r="BE242" s="911"/>
      <c r="BF242" s="911"/>
      <c r="BG242" s="911"/>
      <c r="BH242" s="896"/>
      <c r="BI242" s="896"/>
      <c r="BJ242" s="896"/>
      <c r="BK242" s="896"/>
      <c r="BL242" s="896"/>
      <c r="BM242" s="896"/>
      <c r="BN242" s="896"/>
      <c r="BO242" s="896"/>
      <c r="BP242" s="896"/>
      <c r="BQ242" s="896"/>
      <c r="BR242" s="896"/>
      <c r="BS242" s="896"/>
      <c r="BT242" s="896"/>
      <c r="BU242" s="718"/>
      <c r="BV242" s="891"/>
      <c r="BW242" s="891"/>
      <c r="BX242" s="891"/>
      <c r="BY242" s="891"/>
      <c r="BZ242" s="891"/>
      <c r="CA242" s="891"/>
      <c r="CB242" s="891"/>
      <c r="CC242" s="1097"/>
      <c r="CD242" s="1920"/>
      <c r="CE242" s="1920"/>
      <c r="CF242" s="1920"/>
      <c r="CG242" s="1920"/>
      <c r="CH242" s="1920"/>
      <c r="CI242" s="1920"/>
      <c r="CJ242" s="1920"/>
      <c r="CK242" s="1920"/>
      <c r="CL242" s="1920"/>
      <c r="CM242" s="1920"/>
      <c r="CN242" s="1920"/>
      <c r="CO242" s="1920"/>
      <c r="CP242" s="1920"/>
      <c r="CQ242" s="1920"/>
      <c r="CR242" s="1920"/>
      <c r="CS242" s="1920"/>
      <c r="CT242" s="1100"/>
      <c r="CU242" s="891"/>
      <c r="CV242" s="1126"/>
      <c r="CW242" s="171"/>
      <c r="CX242" s="171"/>
      <c r="CY242" s="171"/>
      <c r="CZ242" s="171"/>
      <c r="DA242" s="171"/>
      <c r="DB242" s="171"/>
      <c r="DC242" s="369"/>
      <c r="DD242" s="1074"/>
      <c r="DE242" s="1074"/>
      <c r="DF242" s="1075"/>
      <c r="DG242" s="1075"/>
      <c r="DH242" s="1075"/>
      <c r="DI242" s="1075"/>
      <c r="DJ242" s="1075"/>
      <c r="DK242" s="1112"/>
      <c r="DL242" s="1046"/>
      <c r="DM242" s="166"/>
      <c r="DN242" s="166"/>
      <c r="DO242" s="433" t="str">
        <f>IF($AB241="有","レ","")</f>
        <v/>
      </c>
      <c r="DP242" s="433" t="str">
        <f>IF($AB241="無","レ","")</f>
        <v/>
      </c>
      <c r="DQ242" s="171"/>
      <c r="DR242" s="180" t="str">
        <f>IF(AB242="有","レ","")</f>
        <v/>
      </c>
      <c r="DS242" s="180" t="str">
        <f>IF(AB242="無","レ","")</f>
        <v/>
      </c>
      <c r="DY242" s="172" t="s">
        <v>2443</v>
      </c>
      <c r="DZ242" s="172" t="s">
        <v>2443</v>
      </c>
      <c r="EG242" s="171"/>
      <c r="EH242" s="171"/>
      <c r="EI242" s="171"/>
      <c r="EJ242" s="171"/>
      <c r="EK242" s="171"/>
      <c r="FO242" s="1046"/>
      <c r="FV242" s="171"/>
      <c r="FW242" s="171"/>
      <c r="FX242" s="171"/>
      <c r="FY242" s="171"/>
      <c r="FZ242" s="171"/>
      <c r="GA242" s="171"/>
    </row>
    <row r="243" spans="1:183" s="172" customFormat="1" ht="30" customHeight="1">
      <c r="A243" s="645"/>
      <c r="B243" s="645"/>
      <c r="C243" s="645"/>
      <c r="D243" s="645"/>
      <c r="E243" s="646"/>
      <c r="F243" s="381"/>
      <c r="G243" s="381"/>
      <c r="H243" s="381"/>
      <c r="I243" s="16"/>
      <c r="J243" s="39"/>
      <c r="K243" s="896"/>
      <c r="L243" s="896"/>
      <c r="M243" s="2154" t="s">
        <v>385</v>
      </c>
      <c r="N243" s="2154"/>
      <c r="O243" s="2154"/>
      <c r="P243" s="2154"/>
      <c r="Q243" s="2154"/>
      <c r="R243" s="2154"/>
      <c r="S243" s="2154"/>
      <c r="T243" s="2154"/>
      <c r="U243" s="2154"/>
      <c r="V243" s="2397" t="s">
        <v>386</v>
      </c>
      <c r="W243" s="2397"/>
      <c r="X243" s="2397"/>
      <c r="Y243" s="2397"/>
      <c r="Z243" s="2397"/>
      <c r="AA243" s="2397"/>
      <c r="AB243" s="2397"/>
      <c r="AC243" s="2397"/>
      <c r="AD243" s="2397"/>
      <c r="AE243" s="2397"/>
      <c r="AF243" s="2397"/>
      <c r="AG243" s="2397"/>
      <c r="AH243" s="2402" t="s">
        <v>1326</v>
      </c>
      <c r="AI243" s="2402"/>
      <c r="AJ243" s="2402"/>
      <c r="AK243" s="2402"/>
      <c r="AL243" s="2402"/>
      <c r="AM243" s="2402"/>
      <c r="AN243" s="2402"/>
      <c r="AO243" s="2402"/>
      <c r="AP243" s="2402"/>
      <c r="AQ243" s="2402"/>
      <c r="AR243" s="2402"/>
      <c r="AS243" s="2402"/>
      <c r="AT243" s="2402" t="s">
        <v>917</v>
      </c>
      <c r="AU243" s="2402"/>
      <c r="AV243" s="2402"/>
      <c r="AW243" s="2402"/>
      <c r="AX243" s="2402"/>
      <c r="AY243" s="2402"/>
      <c r="AZ243" s="2397" t="s">
        <v>931</v>
      </c>
      <c r="BA243" s="2397"/>
      <c r="BB243" s="2397"/>
      <c r="BC243" s="2397"/>
      <c r="BD243" s="2397"/>
      <c r="BE243" s="2397"/>
      <c r="BF243" s="1809" t="s">
        <v>918</v>
      </c>
      <c r="BG243" s="2312"/>
      <c r="BH243" s="2312"/>
      <c r="BI243" s="2312"/>
      <c r="BJ243" s="2312"/>
      <c r="BK243" s="2312"/>
      <c r="BL243" s="2312"/>
      <c r="BM243" s="2312"/>
      <c r="BN243" s="2312"/>
      <c r="BO243" s="2312"/>
      <c r="BP243" s="2312"/>
      <c r="BQ243" s="2312"/>
      <c r="BR243" s="2312"/>
      <c r="BS243" s="2312"/>
      <c r="BT243" s="2312"/>
      <c r="BU243" s="718"/>
      <c r="BV243" s="891"/>
      <c r="BW243" s="891"/>
      <c r="BX243" s="891"/>
      <c r="BY243" s="891"/>
      <c r="BZ243" s="891"/>
      <c r="CA243" s="891"/>
      <c r="CB243" s="891"/>
      <c r="CC243" s="1097"/>
      <c r="CD243" s="1920"/>
      <c r="CE243" s="1920"/>
      <c r="CF243" s="1920"/>
      <c r="CG243" s="1920"/>
      <c r="CH243" s="1920"/>
      <c r="CI243" s="1920"/>
      <c r="CJ243" s="1920"/>
      <c r="CK243" s="1920"/>
      <c r="CL243" s="1920"/>
      <c r="CM243" s="1920"/>
      <c r="CN243" s="1920"/>
      <c r="CO243" s="1920"/>
      <c r="CP243" s="1920"/>
      <c r="CQ243" s="1920"/>
      <c r="CR243" s="1920"/>
      <c r="CS243" s="1920"/>
      <c r="CT243" s="1100"/>
      <c r="CU243" s="891"/>
      <c r="CV243" s="402"/>
      <c r="CW243" s="398"/>
      <c r="CX243" s="398"/>
      <c r="CY243" s="398"/>
      <c r="CZ243" s="398"/>
      <c r="DA243" s="398"/>
      <c r="DB243" s="398"/>
      <c r="DC243" s="35"/>
      <c r="DD243" s="36"/>
      <c r="DE243" s="36"/>
      <c r="DF243" s="36"/>
      <c r="DG243" s="36"/>
      <c r="DH243" s="36"/>
      <c r="DI243" s="36"/>
      <c r="DJ243" s="36"/>
      <c r="DK243" s="1045"/>
      <c r="DL243" s="1046"/>
      <c r="DM243" s="275"/>
      <c r="DN243" s="171"/>
      <c r="DO243" s="434" t="s">
        <v>1139</v>
      </c>
      <c r="DP243" s="419"/>
      <c r="DQ243" s="209"/>
      <c r="DS243" s="172" t="s">
        <v>924</v>
      </c>
      <c r="DU243" s="172" t="s">
        <v>934</v>
      </c>
      <c r="DW243" s="2497" t="s">
        <v>1140</v>
      </c>
      <c r="DX243" s="2498"/>
      <c r="DY243" s="133" t="str">
        <f>SUBSTITUTE(TRIM(V245&amp;"　"&amp;V246&amp;"　"&amp;V247&amp;"　"&amp;V248&amp;"　"&amp;V249),"　",",")</f>
        <v/>
      </c>
      <c r="DZ243" s="133" t="str">
        <f>SUBSTITUTE(TRIM(BF245&amp;"　"&amp;BF246&amp;"　"&amp;BF247&amp;"　"&amp;BF248&amp;"　"&amp;BF249),"　",",")</f>
        <v/>
      </c>
      <c r="EG243" s="171"/>
      <c r="EH243" s="171"/>
      <c r="EI243" s="171"/>
      <c r="EJ243" s="171"/>
      <c r="EK243" s="171"/>
      <c r="FO243" s="1046"/>
      <c r="FV243" s="171"/>
      <c r="FW243" s="171"/>
      <c r="FX243" s="171"/>
      <c r="FY243" s="171"/>
      <c r="FZ243" s="171"/>
      <c r="GA243" s="171"/>
    </row>
    <row r="244" spans="1:183" s="172" customFormat="1" ht="27" customHeight="1">
      <c r="A244" s="645"/>
      <c r="B244" s="645"/>
      <c r="C244" s="645"/>
      <c r="D244" s="645"/>
      <c r="E244" s="646"/>
      <c r="F244" s="381"/>
      <c r="G244" s="381"/>
      <c r="H244" s="381"/>
      <c r="I244" s="16"/>
      <c r="J244" s="39"/>
      <c r="K244" s="896"/>
      <c r="L244" s="896"/>
      <c r="M244" s="2398" t="s">
        <v>12</v>
      </c>
      <c r="N244" s="2398"/>
      <c r="O244" s="2398"/>
      <c r="P244" s="2398"/>
      <c r="Q244" s="2398"/>
      <c r="R244" s="2398"/>
      <c r="S244" s="2398" t="s">
        <v>383</v>
      </c>
      <c r="T244" s="2398"/>
      <c r="U244" s="2398"/>
      <c r="V244" s="2398"/>
      <c r="W244" s="2398"/>
      <c r="X244" s="2398"/>
      <c r="Y244" s="2398"/>
      <c r="Z244" s="2398"/>
      <c r="AA244" s="2398"/>
      <c r="AB244" s="2398"/>
      <c r="AC244" s="2398"/>
      <c r="AD244" s="2398"/>
      <c r="AE244" s="2398"/>
      <c r="AF244" s="2398"/>
      <c r="AG244" s="2398"/>
      <c r="AH244" s="2403"/>
      <c r="AI244" s="2403"/>
      <c r="AJ244" s="2403"/>
      <c r="AK244" s="2403"/>
      <c r="AL244" s="2403"/>
      <c r="AM244" s="2403"/>
      <c r="AN244" s="2403"/>
      <c r="AO244" s="2403"/>
      <c r="AP244" s="2403"/>
      <c r="AQ244" s="2403"/>
      <c r="AR244" s="2403"/>
      <c r="AS244" s="2403"/>
      <c r="AT244" s="2403"/>
      <c r="AU244" s="2403"/>
      <c r="AV244" s="2403"/>
      <c r="AW244" s="2403"/>
      <c r="AX244" s="2403"/>
      <c r="AY244" s="2403"/>
      <c r="AZ244" s="2404" t="s">
        <v>1327</v>
      </c>
      <c r="BA244" s="2405"/>
      <c r="BB244" s="2405"/>
      <c r="BC244" s="2507" t="s">
        <v>383</v>
      </c>
      <c r="BD244" s="2507"/>
      <c r="BE244" s="2507"/>
      <c r="BF244" s="2312"/>
      <c r="BG244" s="2312"/>
      <c r="BH244" s="2312"/>
      <c r="BI244" s="2312"/>
      <c r="BJ244" s="2312"/>
      <c r="BK244" s="2312"/>
      <c r="BL244" s="2312"/>
      <c r="BM244" s="2312"/>
      <c r="BN244" s="2312"/>
      <c r="BO244" s="2312"/>
      <c r="BP244" s="2312"/>
      <c r="BQ244" s="2312"/>
      <c r="BR244" s="2312"/>
      <c r="BS244" s="2312"/>
      <c r="BT244" s="2312"/>
      <c r="BU244" s="718"/>
      <c r="BV244" s="891"/>
      <c r="BW244" s="891"/>
      <c r="BX244" s="891"/>
      <c r="BY244" s="891"/>
      <c r="BZ244" s="891"/>
      <c r="CA244" s="891"/>
      <c r="CB244" s="891"/>
      <c r="CC244" s="1097"/>
      <c r="CD244" s="1920"/>
      <c r="CE244" s="1920"/>
      <c r="CF244" s="1920"/>
      <c r="CG244" s="1920"/>
      <c r="CH244" s="1920"/>
      <c r="CI244" s="1920"/>
      <c r="CJ244" s="1920"/>
      <c r="CK244" s="1920"/>
      <c r="CL244" s="1920"/>
      <c r="CM244" s="1920"/>
      <c r="CN244" s="1920"/>
      <c r="CO244" s="1920"/>
      <c r="CP244" s="1920"/>
      <c r="CQ244" s="1920"/>
      <c r="CR244" s="1920"/>
      <c r="CS244" s="1920"/>
      <c r="CT244" s="891"/>
      <c r="CU244" s="891"/>
      <c r="CV244" s="402"/>
      <c r="CW244" s="398"/>
      <c r="CX244" s="398"/>
      <c r="CY244" s="398"/>
      <c r="CZ244" s="398"/>
      <c r="DA244" s="398"/>
      <c r="DB244" s="398"/>
      <c r="DC244" s="35"/>
      <c r="DD244" s="36"/>
      <c r="DE244" s="36"/>
      <c r="DF244" s="36"/>
      <c r="DG244" s="36"/>
      <c r="DH244" s="36"/>
      <c r="DI244" s="36"/>
      <c r="DJ244" s="36" t="s">
        <v>5640</v>
      </c>
      <c r="DK244" s="1045" t="s">
        <v>5639</v>
      </c>
      <c r="DL244" s="1046"/>
      <c r="DM244" s="438" t="s">
        <v>754</v>
      </c>
      <c r="DN244" s="180" t="s">
        <v>919</v>
      </c>
      <c r="DO244" s="435" t="s">
        <v>923</v>
      </c>
      <c r="DP244" s="435" t="s">
        <v>924</v>
      </c>
      <c r="DQ244" s="435" t="s">
        <v>925</v>
      </c>
      <c r="DR244" s="271" t="s">
        <v>1138</v>
      </c>
      <c r="DS244" s="208" t="s">
        <v>932</v>
      </c>
      <c r="DT244" s="186" t="s">
        <v>933</v>
      </c>
      <c r="DU244" s="208" t="s">
        <v>932</v>
      </c>
      <c r="DV244" s="186" t="s">
        <v>933</v>
      </c>
      <c r="DW244" s="186" t="s">
        <v>1141</v>
      </c>
      <c r="DX244" s="186" t="s">
        <v>1142</v>
      </c>
      <c r="DY244" s="186" t="s">
        <v>2415</v>
      </c>
      <c r="EG244" s="171"/>
      <c r="EH244" s="171"/>
      <c r="EI244" s="171"/>
      <c r="EJ244" s="171"/>
      <c r="EK244" s="171"/>
      <c r="FO244" s="1046"/>
      <c r="FV244" s="171"/>
      <c r="FW244" s="171"/>
      <c r="FX244" s="171"/>
      <c r="FY244" s="171"/>
      <c r="FZ244" s="171"/>
      <c r="GA244" s="171"/>
    </row>
    <row r="245" spans="1:183" s="172" customFormat="1" ht="27" customHeight="1">
      <c r="A245" s="645"/>
      <c r="B245" s="645"/>
      <c r="C245" s="645"/>
      <c r="D245" s="645"/>
      <c r="E245" s="646"/>
      <c r="F245" s="381"/>
      <c r="G245" s="381"/>
      <c r="H245" s="381"/>
      <c r="I245" s="16"/>
      <c r="J245" s="39"/>
      <c r="K245" s="896"/>
      <c r="L245" s="896"/>
      <c r="M245" s="2157"/>
      <c r="N245" s="2157"/>
      <c r="O245" s="2158"/>
      <c r="P245" s="2388"/>
      <c r="Q245" s="2389"/>
      <c r="R245" s="2389"/>
      <c r="S245" s="2425"/>
      <c r="T245" s="2426"/>
      <c r="U245" s="2426"/>
      <c r="V245" s="2202"/>
      <c r="W245" s="2202"/>
      <c r="X245" s="2202"/>
      <c r="Y245" s="2202"/>
      <c r="Z245" s="2202"/>
      <c r="AA245" s="2202"/>
      <c r="AB245" s="2202"/>
      <c r="AC245" s="2202"/>
      <c r="AD245" s="2202"/>
      <c r="AE245" s="2202"/>
      <c r="AF245" s="2202"/>
      <c r="AG245" s="2202"/>
      <c r="AH245" s="2202"/>
      <c r="AI245" s="2202"/>
      <c r="AJ245" s="2202"/>
      <c r="AK245" s="2202"/>
      <c r="AL245" s="2202"/>
      <c r="AM245" s="2202"/>
      <c r="AN245" s="2202"/>
      <c r="AO245" s="2202"/>
      <c r="AP245" s="2202"/>
      <c r="AQ245" s="2202"/>
      <c r="AR245" s="2202"/>
      <c r="AS245" s="2202"/>
      <c r="AT245" s="2406"/>
      <c r="AU245" s="2407"/>
      <c r="AV245" s="2407"/>
      <c r="AW245" s="2407"/>
      <c r="AX245" s="2407"/>
      <c r="AY245" s="2408"/>
      <c r="AZ245" s="2425"/>
      <c r="BA245" s="2426"/>
      <c r="BB245" s="2426"/>
      <c r="BC245" s="2252"/>
      <c r="BD245" s="2252"/>
      <c r="BE245" s="2252"/>
      <c r="BF245" s="2202"/>
      <c r="BG245" s="2259"/>
      <c r="BH245" s="2259"/>
      <c r="BI245" s="2259"/>
      <c r="BJ245" s="2259"/>
      <c r="BK245" s="2259"/>
      <c r="BL245" s="2259"/>
      <c r="BM245" s="2259"/>
      <c r="BN245" s="2259"/>
      <c r="BO245" s="2259"/>
      <c r="BP245" s="2259"/>
      <c r="BQ245" s="2259"/>
      <c r="BR245" s="2259"/>
      <c r="BS245" s="2259"/>
      <c r="BT245" s="2260"/>
      <c r="BU245" s="718"/>
      <c r="BV245" s="1099" t="s">
        <v>2727</v>
      </c>
      <c r="BW245" s="1764" t="s">
        <v>2829</v>
      </c>
      <c r="BX245" s="1764"/>
      <c r="BY245" s="1764"/>
      <c r="BZ245" s="1764"/>
      <c r="CA245" s="1764"/>
      <c r="CB245" s="1764"/>
      <c r="CC245" s="1764"/>
      <c r="CD245" s="1764"/>
      <c r="CE245" s="1764"/>
      <c r="CF245" s="1764"/>
      <c r="CG245" s="1764"/>
      <c r="CH245" s="1764"/>
      <c r="CI245" s="1764"/>
      <c r="CJ245" s="1764"/>
      <c r="CK245" s="1764"/>
      <c r="CL245" s="1764"/>
      <c r="CM245" s="1764"/>
      <c r="CN245" s="1764"/>
      <c r="CO245" s="1764"/>
      <c r="CP245" s="1764"/>
      <c r="CQ245" s="1764"/>
      <c r="CR245" s="1764"/>
      <c r="CS245" s="1764"/>
      <c r="CT245" s="891"/>
      <c r="CU245" s="891"/>
      <c r="CV245" s="402"/>
      <c r="CW245" s="398"/>
      <c r="CX245" s="398"/>
      <c r="CY245" s="398"/>
      <c r="CZ245" s="398"/>
      <c r="DA245" s="398"/>
      <c r="DB245" s="398"/>
      <c r="DC245" s="35"/>
      <c r="DD245" s="36"/>
      <c r="DE245" s="36"/>
      <c r="DF245" s="36"/>
      <c r="DG245" s="36"/>
      <c r="DH245" s="36"/>
      <c r="DI245" s="36"/>
      <c r="DJ245" s="1689" t="s">
        <v>5637</v>
      </c>
      <c r="DK245" s="1690" t="str">
        <f>IF(COUNTA(AZ245:BC245)=2,DATE(VLOOKUP(DJ245,$DU$6:$DV$9,2,FALSE)+AZ245,BC245,1),"")</f>
        <v/>
      </c>
      <c r="DL245" s="1046"/>
      <c r="DM245" s="436">
        <f>COUNTA(P245:AY245)+COUNTA(BF245)</f>
        <v>0</v>
      </c>
      <c r="DN245" s="437">
        <f>COUNTA(P245:U245)</f>
        <v>0</v>
      </c>
      <c r="DO245" s="209">
        <f>COUNTIF($AT245:$AY249,"実施済")</f>
        <v>0</v>
      </c>
      <c r="DP245" s="180">
        <f>COUNTIF($AT245:$AY249,"改善予定")</f>
        <v>0</v>
      </c>
      <c r="DQ245" s="272">
        <f>COUNTIF($AT245:$AY249,"予定なし")</f>
        <v>0</v>
      </c>
      <c r="DR245" s="273">
        <f>COUNTA(AZ245:BE245)</f>
        <v>0</v>
      </c>
      <c r="DS245" s="130" t="str">
        <f>IF(AND($AT245="改善予定",$DN245=2),DK245,"")</f>
        <v/>
      </c>
      <c r="DT245" s="134" t="str">
        <f>IF(DS245="","0",DS245)</f>
        <v>0</v>
      </c>
      <c r="DU245" s="130" t="str">
        <f>IF(AND($AT245="実施済",$DN245=2),DK245,"")</f>
        <v/>
      </c>
      <c r="DV245" s="134" t="str">
        <f>IF(DU245="","0",DU245)</f>
        <v>0</v>
      </c>
      <c r="DW245" s="273">
        <f>IF(OR(AT245="実施済",AT245="改善予定"),1,0)</f>
        <v>0</v>
      </c>
      <c r="DX245" s="273">
        <f>IF(AND(AB241="有",AFW245=1),1,0)</f>
        <v>0</v>
      </c>
      <c r="DY245" s="273">
        <f>IF(AT245="予定なし",1,0)</f>
        <v>0</v>
      </c>
      <c r="EG245" s="167"/>
      <c r="EH245" s="167"/>
      <c r="EI245" s="167"/>
      <c r="EJ245" s="167"/>
      <c r="EK245" s="167"/>
      <c r="FO245" s="1046"/>
      <c r="FV245" s="167"/>
      <c r="FW245" s="167"/>
      <c r="FX245" s="167"/>
      <c r="FY245" s="167"/>
      <c r="FZ245" s="167"/>
      <c r="GA245" s="171"/>
    </row>
    <row r="246" spans="1:183" s="172" customFormat="1" ht="27" customHeight="1">
      <c r="A246" s="645"/>
      <c r="B246" s="645"/>
      <c r="C246" s="645"/>
      <c r="D246" s="645"/>
      <c r="E246" s="646"/>
      <c r="F246" s="381"/>
      <c r="G246" s="381"/>
      <c r="H246" s="381"/>
      <c r="I246" s="16"/>
      <c r="J246" s="39"/>
      <c r="K246" s="896"/>
      <c r="L246" s="896"/>
      <c r="M246" s="2159"/>
      <c r="N246" s="2159"/>
      <c r="O246" s="2160"/>
      <c r="P246" s="2253"/>
      <c r="Q246" s="2253"/>
      <c r="R246" s="2253"/>
      <c r="S246" s="2253"/>
      <c r="T246" s="2253"/>
      <c r="U246" s="2253"/>
      <c r="V246" s="2253"/>
      <c r="W246" s="2253"/>
      <c r="X246" s="2253"/>
      <c r="Y246" s="2253"/>
      <c r="Z246" s="2253"/>
      <c r="AA246" s="2253"/>
      <c r="AB246" s="2253"/>
      <c r="AC246" s="2253"/>
      <c r="AD246" s="2253"/>
      <c r="AE246" s="2253"/>
      <c r="AF246" s="2253"/>
      <c r="AG246" s="2253"/>
      <c r="AH246" s="2253"/>
      <c r="AI246" s="2253"/>
      <c r="AJ246" s="2253"/>
      <c r="AK246" s="2253"/>
      <c r="AL246" s="2253"/>
      <c r="AM246" s="2253"/>
      <c r="AN246" s="2253"/>
      <c r="AO246" s="2253"/>
      <c r="AP246" s="2253"/>
      <c r="AQ246" s="2253"/>
      <c r="AR246" s="2253"/>
      <c r="AS246" s="2253"/>
      <c r="AT246" s="2409"/>
      <c r="AU246" s="2410"/>
      <c r="AV246" s="2410"/>
      <c r="AW246" s="2410"/>
      <c r="AX246" s="2410"/>
      <c r="AY246" s="2411"/>
      <c r="AZ246" s="2253"/>
      <c r="BA246" s="2254"/>
      <c r="BB246" s="2254"/>
      <c r="BC246" s="2255"/>
      <c r="BD246" s="2255"/>
      <c r="BE246" s="2255"/>
      <c r="BF246" s="2253"/>
      <c r="BG246" s="2253"/>
      <c r="BH246" s="2253"/>
      <c r="BI246" s="2254"/>
      <c r="BJ246" s="2254"/>
      <c r="BK246" s="2254"/>
      <c r="BL246" s="2254"/>
      <c r="BM246" s="2254"/>
      <c r="BN246" s="2254"/>
      <c r="BO246" s="2254"/>
      <c r="BP246" s="2254"/>
      <c r="BQ246" s="2254"/>
      <c r="BR246" s="2254"/>
      <c r="BS246" s="2254"/>
      <c r="BT246" s="2421"/>
      <c r="BU246" s="718"/>
      <c r="BV246" s="891"/>
      <c r="BW246" s="1764"/>
      <c r="BX246" s="1764"/>
      <c r="BY246" s="1764"/>
      <c r="BZ246" s="1764"/>
      <c r="CA246" s="1764"/>
      <c r="CB246" s="1764"/>
      <c r="CC246" s="1764"/>
      <c r="CD246" s="1764"/>
      <c r="CE246" s="1764"/>
      <c r="CF246" s="1764"/>
      <c r="CG246" s="1764"/>
      <c r="CH246" s="1764"/>
      <c r="CI246" s="1764"/>
      <c r="CJ246" s="1764"/>
      <c r="CK246" s="1764"/>
      <c r="CL246" s="1764"/>
      <c r="CM246" s="1764"/>
      <c r="CN246" s="1764"/>
      <c r="CO246" s="1764"/>
      <c r="CP246" s="1764"/>
      <c r="CQ246" s="1764"/>
      <c r="CR246" s="1764"/>
      <c r="CS246" s="1764"/>
      <c r="CT246" s="891"/>
      <c r="CU246" s="891"/>
      <c r="CV246" s="402"/>
      <c r="CW246" s="398"/>
      <c r="CX246" s="398"/>
      <c r="CY246" s="398"/>
      <c r="CZ246" s="398"/>
      <c r="DA246" s="398"/>
      <c r="DB246" s="398"/>
      <c r="DC246" s="35"/>
      <c r="DD246" s="36"/>
      <c r="DE246" s="36"/>
      <c r="DF246" s="36"/>
      <c r="DG246" s="36"/>
      <c r="DH246" s="36"/>
      <c r="DI246" s="36"/>
      <c r="DJ246" s="1689" t="s">
        <v>5637</v>
      </c>
      <c r="DK246" s="359" t="str">
        <f t="shared" ref="DK246:DK249" si="12">IF(COUNTA(AZ246:BC246)=2,DATE(VLOOKUP(DJ246,$DU$6:$DV$9,2,FALSE)+AZ246,BC246,1),"")</f>
        <v/>
      </c>
      <c r="DL246" s="1046"/>
      <c r="DM246" s="276">
        <f t="shared" ref="DM246:DM249" si="13">COUNTA(P246:AY246)+COUNTA(BF246)</f>
        <v>0</v>
      </c>
      <c r="DN246" s="210">
        <f>COUNTA(P246:U246)</f>
        <v>0</v>
      </c>
      <c r="DO246" s="209" t="str">
        <f>IF(AND(DO245&gt;0,DP245=0),"レ","")</f>
        <v/>
      </c>
      <c r="DP246" s="180" t="str">
        <f>IF(DP245&gt;0,"レ","")</f>
        <v/>
      </c>
      <c r="DQ246" s="272" t="str">
        <f>IF(AND(DO245=0,DP245=0,DQ245&gt;0),"レ","")</f>
        <v/>
      </c>
      <c r="DR246" s="273">
        <f>COUNTA(AZ246:BE246)</f>
        <v>0</v>
      </c>
      <c r="DS246" s="130" t="str">
        <f t="shared" ref="DS246:DS249" si="14">IF(AND($AT246="改善予定",$DN246=2),DK246,"")</f>
        <v/>
      </c>
      <c r="DT246" s="134" t="str">
        <f t="shared" ref="DT246:DT249" si="15">IF(DS246="","0",DS246)</f>
        <v>0</v>
      </c>
      <c r="DU246" s="130" t="str">
        <f t="shared" ref="DU246:DU249" si="16">IF(AND($AT246="実施済",$DN246=2),DK246,"")</f>
        <v/>
      </c>
      <c r="DV246" s="134" t="str">
        <f t="shared" ref="DV246:DV249" si="17">IF(DU246="","0",DU246)</f>
        <v>0</v>
      </c>
      <c r="DW246" s="273">
        <f>IF(OR(AT246="実施済",AT246="改善予定"),1,0)</f>
        <v>0</v>
      </c>
      <c r="DX246" s="273">
        <f>IF(AND(AB241="有",DW246=1),1,0)</f>
        <v>0</v>
      </c>
      <c r="DY246" s="273">
        <f t="shared" ref="DY246:DY249" si="18">IF(AT246="予定なし",1,0)</f>
        <v>0</v>
      </c>
      <c r="EG246" s="167"/>
      <c r="EH246" s="167"/>
      <c r="EI246" s="167"/>
      <c r="EJ246" s="167"/>
      <c r="EK246" s="167"/>
      <c r="FO246" s="1046"/>
      <c r="FV246" s="167"/>
      <c r="FW246" s="167"/>
      <c r="FX246" s="167"/>
      <c r="FY246" s="167"/>
      <c r="FZ246" s="167"/>
      <c r="GA246" s="171"/>
    </row>
    <row r="247" spans="1:183" s="172" customFormat="1" ht="27" customHeight="1">
      <c r="A247" s="645"/>
      <c r="B247" s="645"/>
      <c r="C247" s="645"/>
      <c r="D247" s="645"/>
      <c r="E247" s="646"/>
      <c r="F247" s="381"/>
      <c r="G247" s="381"/>
      <c r="H247" s="381"/>
      <c r="I247" s="16"/>
      <c r="J247" s="39"/>
      <c r="K247" s="896"/>
      <c r="L247" s="896"/>
      <c r="M247" s="2157"/>
      <c r="N247" s="2157"/>
      <c r="O247" s="2158"/>
      <c r="P247" s="2253"/>
      <c r="Q247" s="2253"/>
      <c r="R247" s="2253"/>
      <c r="S247" s="2253"/>
      <c r="T247" s="2253"/>
      <c r="U247" s="2253"/>
      <c r="V247" s="2253"/>
      <c r="W247" s="2253"/>
      <c r="X247" s="2253"/>
      <c r="Y247" s="2253"/>
      <c r="Z247" s="2253"/>
      <c r="AA247" s="2253"/>
      <c r="AB247" s="2253"/>
      <c r="AC247" s="2253"/>
      <c r="AD247" s="2253"/>
      <c r="AE247" s="2253"/>
      <c r="AF247" s="2253"/>
      <c r="AG247" s="2253"/>
      <c r="AH247" s="2253"/>
      <c r="AI247" s="2253"/>
      <c r="AJ247" s="2253"/>
      <c r="AK247" s="2253"/>
      <c r="AL247" s="2253"/>
      <c r="AM247" s="2253"/>
      <c r="AN247" s="2253"/>
      <c r="AO247" s="2253"/>
      <c r="AP247" s="2253"/>
      <c r="AQ247" s="2253"/>
      <c r="AR247" s="2253"/>
      <c r="AS247" s="2253"/>
      <c r="AT247" s="2421"/>
      <c r="AU247" s="2422"/>
      <c r="AV247" s="2422"/>
      <c r="AW247" s="2422"/>
      <c r="AX247" s="2422"/>
      <c r="AY247" s="2423"/>
      <c r="AZ247" s="2253"/>
      <c r="BA247" s="2254"/>
      <c r="BB247" s="2254"/>
      <c r="BC247" s="2255"/>
      <c r="BD247" s="2255"/>
      <c r="BE247" s="2255"/>
      <c r="BF247" s="2253"/>
      <c r="BG247" s="2253"/>
      <c r="BH247" s="2253"/>
      <c r="BI247" s="2254"/>
      <c r="BJ247" s="2254"/>
      <c r="BK247" s="2254"/>
      <c r="BL247" s="2254"/>
      <c r="BM247" s="2254"/>
      <c r="BN247" s="2254"/>
      <c r="BO247" s="2254"/>
      <c r="BP247" s="2254"/>
      <c r="BQ247" s="2254"/>
      <c r="BR247" s="2254"/>
      <c r="BS247" s="2254"/>
      <c r="BT247" s="2421"/>
      <c r="BU247" s="718"/>
      <c r="BV247" s="891"/>
      <c r="BW247" s="891"/>
      <c r="BX247" s="891"/>
      <c r="BY247" s="891"/>
      <c r="BZ247" s="891"/>
      <c r="CA247" s="891"/>
      <c r="CB247" s="891"/>
      <c r="CC247" s="891"/>
      <c r="CD247" s="891"/>
      <c r="CE247" s="891"/>
      <c r="CF247" s="891"/>
      <c r="CG247" s="891"/>
      <c r="CH247" s="891"/>
      <c r="CI247" s="891"/>
      <c r="CJ247" s="891"/>
      <c r="CK247" s="891"/>
      <c r="CL247" s="891"/>
      <c r="CM247" s="891"/>
      <c r="CN247" s="891"/>
      <c r="CO247" s="891"/>
      <c r="CP247" s="891"/>
      <c r="CQ247" s="891"/>
      <c r="CR247" s="891"/>
      <c r="CS247" s="891"/>
      <c r="CT247" s="891"/>
      <c r="CU247" s="891"/>
      <c r="CV247" s="402"/>
      <c r="CW247" s="398"/>
      <c r="CX247" s="398"/>
      <c r="CY247" s="398"/>
      <c r="CZ247" s="398"/>
      <c r="DA247" s="398"/>
      <c r="DB247" s="398"/>
      <c r="DC247" s="35"/>
      <c r="DD247" s="36"/>
      <c r="DE247" s="36"/>
      <c r="DF247" s="36"/>
      <c r="DG247" s="36"/>
      <c r="DH247" s="36"/>
      <c r="DI247" s="36"/>
      <c r="DJ247" s="1689" t="s">
        <v>5637</v>
      </c>
      <c r="DK247" s="359" t="str">
        <f t="shared" si="12"/>
        <v/>
      </c>
      <c r="DL247" s="1046"/>
      <c r="DM247" s="276">
        <f t="shared" si="13"/>
        <v>0</v>
      </c>
      <c r="DN247" s="210">
        <f>COUNTA(P247:U247)</f>
        <v>0</v>
      </c>
      <c r="DO247" s="213" t="s">
        <v>932</v>
      </c>
      <c r="DP247" s="186" t="s">
        <v>933</v>
      </c>
      <c r="DR247" s="273">
        <f>COUNTA(AZ247:BE247)</f>
        <v>0</v>
      </c>
      <c r="DS247" s="130" t="str">
        <f t="shared" si="14"/>
        <v/>
      </c>
      <c r="DT247" s="134" t="str">
        <f t="shared" si="15"/>
        <v>0</v>
      </c>
      <c r="DU247" s="130" t="str">
        <f t="shared" si="16"/>
        <v/>
      </c>
      <c r="DV247" s="134" t="str">
        <f t="shared" si="17"/>
        <v>0</v>
      </c>
      <c r="DW247" s="273">
        <f>IF(OR(AT247="実施済",AT247="改善予定"),1,0)</f>
        <v>0</v>
      </c>
      <c r="DX247" s="273">
        <f>IF(AND(AB241="有",DW247=1),1,0)</f>
        <v>0</v>
      </c>
      <c r="DY247" s="273">
        <f t="shared" si="18"/>
        <v>0</v>
      </c>
      <c r="EG247" s="167"/>
      <c r="EH247" s="167"/>
      <c r="EI247" s="167"/>
      <c r="EJ247" s="167"/>
      <c r="EK247" s="167"/>
      <c r="FO247" s="1046"/>
      <c r="FV247" s="167"/>
      <c r="FW247" s="167"/>
      <c r="FX247" s="167"/>
      <c r="FY247" s="167"/>
      <c r="FZ247" s="167"/>
      <c r="GA247" s="171"/>
    </row>
    <row r="248" spans="1:183" s="172" customFormat="1" ht="27" customHeight="1">
      <c r="A248" s="645"/>
      <c r="B248" s="645"/>
      <c r="C248" s="645"/>
      <c r="D248" s="645"/>
      <c r="E248" s="646"/>
      <c r="F248" s="381"/>
      <c r="G248" s="381"/>
      <c r="H248" s="381"/>
      <c r="I248" s="16"/>
      <c r="J248" s="39"/>
      <c r="K248" s="896"/>
      <c r="L248" s="896"/>
      <c r="M248" s="2157"/>
      <c r="N248" s="2157"/>
      <c r="O248" s="2158"/>
      <c r="P248" s="2253"/>
      <c r="Q248" s="2253"/>
      <c r="R248" s="2253"/>
      <c r="S248" s="2253"/>
      <c r="T248" s="2253"/>
      <c r="U248" s="2253"/>
      <c r="V248" s="2253"/>
      <c r="W248" s="2253"/>
      <c r="X248" s="2253"/>
      <c r="Y248" s="2253"/>
      <c r="Z248" s="2253"/>
      <c r="AA248" s="2253"/>
      <c r="AB248" s="2253"/>
      <c r="AC248" s="2253"/>
      <c r="AD248" s="2253"/>
      <c r="AE248" s="2253"/>
      <c r="AF248" s="2253"/>
      <c r="AG248" s="2253"/>
      <c r="AH248" s="2253"/>
      <c r="AI248" s="2253"/>
      <c r="AJ248" s="2253"/>
      <c r="AK248" s="2253"/>
      <c r="AL248" s="2253"/>
      <c r="AM248" s="2253"/>
      <c r="AN248" s="2253"/>
      <c r="AO248" s="2253"/>
      <c r="AP248" s="2253"/>
      <c r="AQ248" s="2253"/>
      <c r="AR248" s="2253"/>
      <c r="AS248" s="2253"/>
      <c r="AT248" s="2421"/>
      <c r="AU248" s="2422"/>
      <c r="AV248" s="2422"/>
      <c r="AW248" s="2422"/>
      <c r="AX248" s="2422"/>
      <c r="AY248" s="2423"/>
      <c r="AZ248" s="2253"/>
      <c r="BA248" s="2254"/>
      <c r="BB248" s="2254"/>
      <c r="BC248" s="2255"/>
      <c r="BD248" s="2255"/>
      <c r="BE248" s="2255"/>
      <c r="BF248" s="2253"/>
      <c r="BG248" s="2253"/>
      <c r="BH248" s="2253"/>
      <c r="BI248" s="2254"/>
      <c r="BJ248" s="2254"/>
      <c r="BK248" s="2254"/>
      <c r="BL248" s="2254"/>
      <c r="BM248" s="2254"/>
      <c r="BN248" s="2254"/>
      <c r="BO248" s="2254"/>
      <c r="BP248" s="2254"/>
      <c r="BQ248" s="2254"/>
      <c r="BR248" s="2254"/>
      <c r="BS248" s="2254"/>
      <c r="BT248" s="2421"/>
      <c r="BU248" s="718"/>
      <c r="BV248" s="891"/>
      <c r="BW248" s="891"/>
      <c r="BX248" s="891"/>
      <c r="BY248" s="891"/>
      <c r="BZ248" s="891"/>
      <c r="CA248" s="891"/>
      <c r="CB248" s="891"/>
      <c r="CC248" s="891"/>
      <c r="CD248" s="891"/>
      <c r="CE248" s="891"/>
      <c r="CF248" s="891"/>
      <c r="CG248" s="891"/>
      <c r="CH248" s="891"/>
      <c r="CI248" s="891"/>
      <c r="CJ248" s="891"/>
      <c r="CK248" s="891"/>
      <c r="CL248" s="891"/>
      <c r="CM248" s="891"/>
      <c r="CN248" s="891"/>
      <c r="CO248" s="891"/>
      <c r="CP248" s="891"/>
      <c r="CQ248" s="891"/>
      <c r="CR248" s="891"/>
      <c r="CS248" s="891"/>
      <c r="CT248" s="891"/>
      <c r="CU248" s="891"/>
      <c r="CV248" s="402"/>
      <c r="CW248" s="398"/>
      <c r="CX248" s="398"/>
      <c r="CY248" s="398"/>
      <c r="CZ248" s="398"/>
      <c r="DA248" s="398"/>
      <c r="DB248" s="398"/>
      <c r="DC248" s="35"/>
      <c r="DD248" s="36"/>
      <c r="DE248" s="36"/>
      <c r="DF248" s="36"/>
      <c r="DG248" s="36"/>
      <c r="DH248" s="36"/>
      <c r="DI248" s="36"/>
      <c r="DJ248" s="1689" t="s">
        <v>5637</v>
      </c>
      <c r="DK248" s="314" t="str">
        <f t="shared" si="12"/>
        <v/>
      </c>
      <c r="DL248" s="1046"/>
      <c r="DM248" s="276">
        <f t="shared" si="13"/>
        <v>0</v>
      </c>
      <c r="DN248" s="210">
        <f>COUNTA(P248:U248)</f>
        <v>0</v>
      </c>
      <c r="DO248" s="277" t="str">
        <f>IF(DP246="レ",YEAR(DT250)-VLOOKUP(DT250,$DS$6:$DV$9,4,TRUE),"")</f>
        <v/>
      </c>
      <c r="DP248" s="278" t="str">
        <f>IF(DP246="レ",MONTH(DT250),"")</f>
        <v/>
      </c>
      <c r="DQ248" s="171"/>
      <c r="DR248" s="273">
        <f>COUNTA(AZ248:BE248)</f>
        <v>0</v>
      </c>
      <c r="DS248" s="130" t="str">
        <f t="shared" si="14"/>
        <v/>
      </c>
      <c r="DT248" s="134" t="str">
        <f t="shared" si="15"/>
        <v>0</v>
      </c>
      <c r="DU248" s="130" t="str">
        <f t="shared" si="16"/>
        <v/>
      </c>
      <c r="DV248" s="134" t="str">
        <f t="shared" si="17"/>
        <v>0</v>
      </c>
      <c r="DW248" s="273">
        <f>IF(OR(AT248="実施済",AT248="改善予定"),1,0)</f>
        <v>0</v>
      </c>
      <c r="DX248" s="273">
        <f>IF(AND(AB241="有",DW248=1),1,0)</f>
        <v>0</v>
      </c>
      <c r="DY248" s="273">
        <f t="shared" si="18"/>
        <v>0</v>
      </c>
      <c r="EG248" s="167"/>
      <c r="EH248" s="167"/>
      <c r="EI248" s="167"/>
      <c r="EJ248" s="167"/>
      <c r="EK248" s="167"/>
      <c r="FO248" s="1046"/>
      <c r="FV248" s="167"/>
      <c r="FW248" s="167"/>
      <c r="FX248" s="167"/>
      <c r="FY248" s="167"/>
      <c r="FZ248" s="167"/>
      <c r="GA248" s="171"/>
    </row>
    <row r="249" spans="1:183" s="172" customFormat="1" ht="27" customHeight="1" thickBot="1">
      <c r="A249" s="645"/>
      <c r="B249" s="645"/>
      <c r="C249" s="645"/>
      <c r="D249" s="645"/>
      <c r="E249" s="646"/>
      <c r="F249" s="381"/>
      <c r="G249" s="381"/>
      <c r="H249" s="381"/>
      <c r="I249" s="16"/>
      <c r="J249" s="40"/>
      <c r="K249" s="912"/>
      <c r="L249" s="912"/>
      <c r="M249" s="2499"/>
      <c r="N249" s="2499"/>
      <c r="O249" s="2500"/>
      <c r="P249" s="2417"/>
      <c r="Q249" s="2417"/>
      <c r="R249" s="2417"/>
      <c r="S249" s="2417"/>
      <c r="T249" s="2417"/>
      <c r="U249" s="2417"/>
      <c r="V249" s="2417"/>
      <c r="W249" s="2417"/>
      <c r="X249" s="2417"/>
      <c r="Y249" s="2417"/>
      <c r="Z249" s="2417"/>
      <c r="AA249" s="2417"/>
      <c r="AB249" s="2417"/>
      <c r="AC249" s="2417"/>
      <c r="AD249" s="2417"/>
      <c r="AE249" s="2417"/>
      <c r="AF249" s="2417"/>
      <c r="AG249" s="2417"/>
      <c r="AH249" s="2417"/>
      <c r="AI249" s="2417"/>
      <c r="AJ249" s="2417"/>
      <c r="AK249" s="2417"/>
      <c r="AL249" s="2417"/>
      <c r="AM249" s="2417"/>
      <c r="AN249" s="2417"/>
      <c r="AO249" s="2417"/>
      <c r="AP249" s="2417"/>
      <c r="AQ249" s="2417"/>
      <c r="AR249" s="2417"/>
      <c r="AS249" s="2417"/>
      <c r="AT249" s="2304"/>
      <c r="AU249" s="2305"/>
      <c r="AV249" s="2305"/>
      <c r="AW249" s="2305"/>
      <c r="AX249" s="2305"/>
      <c r="AY249" s="2306"/>
      <c r="AZ249" s="2417"/>
      <c r="BA249" s="2424"/>
      <c r="BB249" s="2424"/>
      <c r="BC249" s="2435"/>
      <c r="BD249" s="2435"/>
      <c r="BE249" s="2435"/>
      <c r="BF249" s="2417"/>
      <c r="BG249" s="2417"/>
      <c r="BH249" s="2417"/>
      <c r="BI249" s="2424"/>
      <c r="BJ249" s="2424"/>
      <c r="BK249" s="2424"/>
      <c r="BL249" s="2424"/>
      <c r="BM249" s="2424"/>
      <c r="BN249" s="2424"/>
      <c r="BO249" s="2424"/>
      <c r="BP249" s="2424"/>
      <c r="BQ249" s="2424"/>
      <c r="BR249" s="2424"/>
      <c r="BS249" s="2424"/>
      <c r="BT249" s="2304"/>
      <c r="BU249" s="1053"/>
      <c r="BV249" s="925"/>
      <c r="BW249" s="925"/>
      <c r="BX249" s="925"/>
      <c r="BY249" s="925"/>
      <c r="BZ249" s="925"/>
      <c r="CA249" s="925"/>
      <c r="CB249" s="925"/>
      <c r="CC249" s="925"/>
      <c r="CD249" s="925"/>
      <c r="CE249" s="925"/>
      <c r="CF249" s="925"/>
      <c r="CG249" s="925"/>
      <c r="CH249" s="925"/>
      <c r="CI249" s="925"/>
      <c r="CJ249" s="925"/>
      <c r="CK249" s="925"/>
      <c r="CL249" s="925"/>
      <c r="CM249" s="925"/>
      <c r="CN249" s="925"/>
      <c r="CO249" s="925"/>
      <c r="CP249" s="925"/>
      <c r="CQ249" s="925"/>
      <c r="CR249" s="925"/>
      <c r="CS249" s="925"/>
      <c r="CT249" s="925"/>
      <c r="CU249" s="925"/>
      <c r="CV249" s="402"/>
      <c r="CW249" s="398"/>
      <c r="CX249" s="398"/>
      <c r="CY249" s="398"/>
      <c r="CZ249" s="398"/>
      <c r="DA249" s="398"/>
      <c r="DB249" s="398"/>
      <c r="DC249" s="35"/>
      <c r="DD249" s="36"/>
      <c r="DE249" s="36"/>
      <c r="DF249" s="36"/>
      <c r="DG249" s="36"/>
      <c r="DH249" s="36"/>
      <c r="DI249" s="36"/>
      <c r="DJ249" s="1689" t="s">
        <v>5637</v>
      </c>
      <c r="DK249" s="359" t="str">
        <f t="shared" si="12"/>
        <v/>
      </c>
      <c r="DL249" s="1046"/>
      <c r="DM249" s="276">
        <f t="shared" si="13"/>
        <v>0</v>
      </c>
      <c r="DN249" s="211">
        <f>COUNTA(P249:U249)</f>
        <v>0</v>
      </c>
      <c r="DO249" s="171"/>
      <c r="DP249" s="171"/>
      <c r="DQ249" s="171"/>
      <c r="DR249" s="273">
        <f>COUNTA(AZ249:BE249)</f>
        <v>0</v>
      </c>
      <c r="DS249" s="130" t="str">
        <f t="shared" si="14"/>
        <v/>
      </c>
      <c r="DT249" s="134" t="str">
        <f t="shared" si="15"/>
        <v>0</v>
      </c>
      <c r="DU249" s="130" t="str">
        <f t="shared" si="16"/>
        <v/>
      </c>
      <c r="DV249" s="134" t="str">
        <f t="shared" si="17"/>
        <v>0</v>
      </c>
      <c r="DW249" s="273">
        <f>IF(OR(AT249="実施済",AT249="改善予定"),1,0)</f>
        <v>0</v>
      </c>
      <c r="DX249" s="273">
        <f>IF(AND(AB241="有",DW249=1),1,0)</f>
        <v>0</v>
      </c>
      <c r="DY249" s="273">
        <f t="shared" si="18"/>
        <v>0</v>
      </c>
      <c r="EG249" s="167"/>
      <c r="EH249" s="167"/>
      <c r="EI249" s="167"/>
      <c r="EJ249" s="167"/>
      <c r="EK249" s="167"/>
      <c r="FO249" s="1046"/>
      <c r="FV249" s="167"/>
      <c r="FW249" s="167"/>
      <c r="FX249" s="167"/>
      <c r="FY249" s="167"/>
      <c r="FZ249" s="167"/>
      <c r="GA249" s="171"/>
    </row>
    <row r="250" spans="1:183" ht="15" customHeight="1">
      <c r="A250" s="645"/>
      <c r="B250" s="645"/>
      <c r="C250" s="645"/>
      <c r="D250" s="645"/>
      <c r="E250" s="646"/>
      <c r="BU250" s="1044"/>
      <c r="DD250" s="36"/>
      <c r="DE250" s="36"/>
      <c r="DF250" s="36"/>
      <c r="DG250" s="36"/>
      <c r="DH250" s="36"/>
      <c r="DI250" s="36"/>
      <c r="DJ250" s="36"/>
      <c r="DT250" s="212" t="str">
        <f t="array" ref="DT250">INDEX(DT245:DT249,MATCH(MIN(ABS(DT245:DT249-$DP$4)),ABS(DT245:DT249-$DP$4),0))</f>
        <v>0</v>
      </c>
      <c r="DV250" s="212" t="str">
        <f t="array" ref="DV250">INDEX(DV245:DV249,MATCH(MIN(ABS(DV245:DV249-$DP$4)),ABS(DV245:DV249-$DP$4),0))</f>
        <v>0</v>
      </c>
      <c r="EG250" s="172"/>
      <c r="EH250" s="172"/>
      <c r="EI250" s="172"/>
      <c r="EJ250" s="172"/>
      <c r="EK250" s="172"/>
      <c r="FV250" s="172"/>
      <c r="FW250" s="172"/>
      <c r="FX250" s="172"/>
      <c r="FY250" s="172"/>
      <c r="FZ250" s="172"/>
    </row>
    <row r="251" spans="1:183" ht="2.15" customHeight="1">
      <c r="A251" s="645"/>
      <c r="B251" s="645"/>
      <c r="C251" s="645"/>
      <c r="D251" s="645"/>
      <c r="E251" s="646"/>
      <c r="BU251" s="1044"/>
      <c r="DD251" s="36"/>
      <c r="DE251" s="36"/>
      <c r="DF251" s="36"/>
      <c r="DG251" s="36"/>
      <c r="DH251" s="36"/>
      <c r="DI251" s="36"/>
      <c r="DJ251" s="36"/>
      <c r="DT251" s="319"/>
      <c r="DV251" s="319"/>
      <c r="EG251" s="172"/>
      <c r="EH251" s="172"/>
      <c r="EI251" s="172"/>
      <c r="EJ251" s="172"/>
      <c r="EK251" s="172"/>
      <c r="FV251" s="172"/>
      <c r="FW251" s="172"/>
      <c r="FX251" s="172"/>
      <c r="FY251" s="172"/>
      <c r="FZ251" s="172"/>
    </row>
    <row r="252" spans="1:183" ht="2.15" customHeight="1">
      <c r="A252" s="645"/>
      <c r="B252" s="645"/>
      <c r="C252" s="645"/>
      <c r="D252" s="645"/>
      <c r="E252" s="646"/>
      <c r="BU252" s="1044"/>
      <c r="DD252" s="36"/>
      <c r="DE252" s="36"/>
      <c r="DF252" s="36"/>
      <c r="DG252" s="36"/>
      <c r="DH252" s="36"/>
      <c r="DI252" s="36"/>
      <c r="DJ252" s="36"/>
      <c r="DT252" s="319"/>
      <c r="DV252" s="319"/>
      <c r="EG252" s="172"/>
      <c r="EH252" s="172"/>
      <c r="EI252" s="172"/>
      <c r="EJ252" s="172"/>
      <c r="EK252" s="172"/>
      <c r="FV252" s="172"/>
      <c r="FW252" s="172"/>
      <c r="FX252" s="172"/>
      <c r="FY252" s="172"/>
      <c r="FZ252" s="172"/>
    </row>
    <row r="253" spans="1:183" ht="2.15" customHeight="1" thickBot="1">
      <c r="A253" s="645"/>
      <c r="B253" s="645"/>
      <c r="C253" s="645"/>
      <c r="D253" s="645"/>
      <c r="E253" s="646"/>
      <c r="BU253" s="1044"/>
      <c r="DD253" s="36"/>
      <c r="DE253" s="36"/>
      <c r="DF253" s="36"/>
      <c r="DG253" s="36"/>
      <c r="DH253" s="36"/>
      <c r="DI253" s="36"/>
      <c r="DJ253" s="36"/>
      <c r="DT253" s="319"/>
      <c r="DV253" s="319"/>
      <c r="EG253" s="172"/>
      <c r="EH253" s="172"/>
      <c r="EI253" s="172"/>
      <c r="EJ253" s="172"/>
      <c r="EK253" s="172"/>
      <c r="FV253" s="172"/>
      <c r="FW253" s="172"/>
      <c r="FX253" s="172"/>
      <c r="FY253" s="172"/>
      <c r="FZ253" s="172"/>
    </row>
    <row r="254" spans="1:183" ht="35.15" customHeight="1" thickBot="1">
      <c r="A254" s="645"/>
      <c r="B254" s="645"/>
      <c r="C254" s="645"/>
      <c r="D254" s="645"/>
      <c r="E254" s="646"/>
      <c r="J254" s="1831" t="s">
        <v>2771</v>
      </c>
      <c r="K254" s="1832"/>
      <c r="L254" s="1832"/>
      <c r="M254" s="1832"/>
      <c r="N254" s="1832"/>
      <c r="O254" s="1832"/>
      <c r="P254" s="1832"/>
      <c r="Q254" s="1832"/>
      <c r="R254" s="1832"/>
      <c r="S254" s="1832"/>
      <c r="T254" s="1832"/>
      <c r="U254" s="1832"/>
      <c r="V254" s="1832"/>
      <c r="W254" s="1832"/>
      <c r="X254" s="1832"/>
      <c r="Y254" s="1832"/>
      <c r="Z254" s="1832"/>
      <c r="AA254" s="1832"/>
      <c r="AB254" s="1832"/>
      <c r="AC254" s="1832"/>
      <c r="AD254" s="1832"/>
      <c r="AE254" s="1832"/>
      <c r="AF254" s="1832"/>
      <c r="AG254" s="1832"/>
      <c r="AH254" s="1832"/>
      <c r="AI254" s="1832"/>
      <c r="AJ254" s="1832"/>
      <c r="AK254" s="1832"/>
      <c r="AL254" s="1832"/>
      <c r="AM254" s="1832"/>
      <c r="AN254" s="1832"/>
      <c r="AO254" s="1832"/>
      <c r="AP254" s="1832"/>
      <c r="AQ254" s="1832"/>
      <c r="AR254" s="1832"/>
      <c r="AS254" s="1832"/>
      <c r="AT254" s="1832"/>
      <c r="AU254" s="1832"/>
      <c r="AV254" s="1832"/>
      <c r="AW254" s="1832"/>
      <c r="AX254" s="1832"/>
      <c r="AY254" s="1832"/>
      <c r="AZ254" s="1832"/>
      <c r="BA254" s="1832"/>
      <c r="BB254" s="1832"/>
      <c r="BC254" s="1832"/>
      <c r="BD254" s="1832"/>
      <c r="BE254" s="1832"/>
      <c r="BF254" s="1832"/>
      <c r="BG254" s="1832"/>
      <c r="BH254" s="1832"/>
      <c r="BI254" s="1832"/>
      <c r="BJ254" s="1832"/>
      <c r="BK254" s="1832"/>
      <c r="BL254" s="1775" t="s">
        <v>378</v>
      </c>
      <c r="BM254" s="1776"/>
      <c r="BN254" s="1776"/>
      <c r="BO254" s="1776"/>
      <c r="BP254" s="1776"/>
      <c r="BQ254" s="1776"/>
      <c r="BR254" s="1776"/>
      <c r="BS254" s="1776"/>
      <c r="BT254" s="1776"/>
      <c r="BU254" s="1085"/>
      <c r="BV254" s="711"/>
      <c r="BW254" s="711"/>
      <c r="BX254" s="711"/>
      <c r="BY254" s="711"/>
      <c r="BZ254" s="711"/>
      <c r="CA254" s="711"/>
      <c r="CB254" s="711"/>
      <c r="CC254" s="711"/>
      <c r="CD254" s="711"/>
      <c r="CE254" s="711"/>
      <c r="CF254" s="711"/>
      <c r="CG254" s="711"/>
      <c r="CH254" s="711"/>
      <c r="CI254" s="711"/>
      <c r="CJ254" s="711"/>
      <c r="CK254" s="711"/>
      <c r="CL254" s="711"/>
      <c r="CM254" s="711"/>
      <c r="CN254" s="711"/>
      <c r="CO254" s="711"/>
      <c r="CP254" s="711"/>
      <c r="CQ254" s="711"/>
      <c r="CR254" s="711"/>
      <c r="CS254" s="711"/>
      <c r="CT254" s="711"/>
      <c r="CU254" s="712"/>
      <c r="CV254" s="15"/>
      <c r="CW254" s="15"/>
      <c r="DD254" s="36"/>
      <c r="DE254" s="36"/>
      <c r="DF254" s="36"/>
      <c r="DG254" s="36"/>
      <c r="DH254" s="36"/>
      <c r="DI254" s="36"/>
      <c r="DJ254" s="36"/>
      <c r="DN254" s="171" t="s">
        <v>4663</v>
      </c>
      <c r="EG254" s="172"/>
      <c r="EH254" s="172"/>
      <c r="EI254" s="172"/>
      <c r="EJ254" s="172"/>
      <c r="EK254" s="172"/>
      <c r="FV254" s="172"/>
      <c r="FW254" s="172"/>
      <c r="FX254" s="172"/>
      <c r="FY254" s="172"/>
      <c r="FZ254" s="172"/>
    </row>
    <row r="255" spans="1:183" s="172" customFormat="1" ht="27" customHeight="1" thickBot="1">
      <c r="A255" s="645"/>
      <c r="B255" s="645"/>
      <c r="C255" s="645"/>
      <c r="D255" s="645"/>
      <c r="E255" s="646"/>
      <c r="F255" s="381"/>
      <c r="G255" s="381"/>
      <c r="H255" s="381"/>
      <c r="I255" s="251"/>
      <c r="J255" s="39"/>
      <c r="K255" s="896"/>
      <c r="L255" s="896"/>
      <c r="M255" s="2154" t="s">
        <v>379</v>
      </c>
      <c r="N255" s="2264"/>
      <c r="O255" s="2264"/>
      <c r="P255" s="2264"/>
      <c r="Q255" s="2264"/>
      <c r="R255" s="2264"/>
      <c r="S255" s="2264"/>
      <c r="T255" s="2264"/>
      <c r="U255" s="2264"/>
      <c r="V255" s="2264"/>
      <c r="W255" s="2264"/>
      <c r="X255" s="2264"/>
      <c r="Y255" s="2264"/>
      <c r="Z255" s="2264"/>
      <c r="AA255" s="2264"/>
      <c r="AB255" s="2493"/>
      <c r="AC255" s="2493"/>
      <c r="AD255" s="2493"/>
      <c r="AE255" s="2493"/>
      <c r="AF255" s="2493"/>
      <c r="AG255" s="2493"/>
      <c r="AH255" s="2493"/>
      <c r="AI255" s="2493"/>
      <c r="AJ255" s="2493"/>
      <c r="AK255" s="2493"/>
      <c r="AL255" s="2493"/>
      <c r="AM255" s="2493"/>
      <c r="AN255" s="2493"/>
      <c r="AO255" s="2493"/>
      <c r="AP255" s="2493"/>
      <c r="AQ255" s="2493"/>
      <c r="AR255" s="2493"/>
      <c r="AS255" s="2493"/>
      <c r="AT255" s="2493"/>
      <c r="AU255" s="2493"/>
      <c r="AV255" s="2493"/>
      <c r="AW255" s="2493"/>
      <c r="AX255" s="2493"/>
      <c r="AY255" s="2493"/>
      <c r="AZ255" s="2493"/>
      <c r="BA255" s="2493"/>
      <c r="BB255" s="2493"/>
      <c r="BC255" s="2493"/>
      <c r="BD255" s="2493"/>
      <c r="BE255" s="2493"/>
      <c r="BF255" s="2493"/>
      <c r="BG255" s="2493"/>
      <c r="BH255" s="2493"/>
      <c r="BI255" s="2493"/>
      <c r="BJ255" s="2493"/>
      <c r="BK255" s="2493"/>
      <c r="BL255" s="2493"/>
      <c r="BM255" s="2493"/>
      <c r="BN255" s="2493"/>
      <c r="BO255" s="2493"/>
      <c r="BP255" s="2493"/>
      <c r="BQ255" s="2493"/>
      <c r="BR255" s="2493"/>
      <c r="BS255" s="2493"/>
      <c r="BT255" s="2493"/>
      <c r="BU255" s="718"/>
      <c r="BV255" s="1099" t="s">
        <v>2727</v>
      </c>
      <c r="BW255" s="731" t="s">
        <v>2804</v>
      </c>
      <c r="BX255" s="891"/>
      <c r="BY255" s="891"/>
      <c r="BZ255" s="891"/>
      <c r="CA255" s="891"/>
      <c r="CB255" s="891"/>
      <c r="CC255" s="891"/>
      <c r="CD255" s="891"/>
      <c r="CE255" s="891"/>
      <c r="CF255" s="891"/>
      <c r="CG255" s="891"/>
      <c r="CH255" s="891"/>
      <c r="CI255" s="891"/>
      <c r="CJ255" s="891"/>
      <c r="CK255" s="891"/>
      <c r="CL255" s="891"/>
      <c r="CM255" s="891"/>
      <c r="CN255" s="891"/>
      <c r="CO255" s="891"/>
      <c r="CP255" s="891"/>
      <c r="CQ255" s="891"/>
      <c r="CR255" s="891"/>
      <c r="CS255" s="891"/>
      <c r="CT255" s="891"/>
      <c r="CU255" s="918"/>
      <c r="CV255" s="15"/>
      <c r="CW255" s="15"/>
      <c r="CX255" s="398"/>
      <c r="CY255" s="398"/>
      <c r="CZ255" s="398"/>
      <c r="DA255" s="398"/>
      <c r="DB255" s="398"/>
      <c r="DC255" s="35"/>
      <c r="DD255" s="36"/>
      <c r="DE255" s="36"/>
      <c r="DF255" s="36"/>
      <c r="DG255" s="36"/>
      <c r="DH255" s="36"/>
      <c r="DI255" s="36"/>
      <c r="DJ255" s="36"/>
      <c r="DK255" s="1045"/>
      <c r="DL255" s="1046"/>
      <c r="DM255" s="171"/>
      <c r="DN255" s="177" t="b">
        <f>LENB(SUBSTITUTE(AB255,CHAR(10),REPT("A",90)))&gt;640</f>
        <v>0</v>
      </c>
      <c r="DO255" s="171"/>
      <c r="DP255" s="171"/>
      <c r="DQ255" s="171"/>
      <c r="FO255" s="1046"/>
      <c r="GA255" s="171"/>
    </row>
    <row r="256" spans="1:183" s="172" customFormat="1" ht="27" customHeight="1">
      <c r="A256" s="645"/>
      <c r="B256" s="645"/>
      <c r="C256" s="645"/>
      <c r="D256" s="645"/>
      <c r="E256" s="646"/>
      <c r="F256" s="381"/>
      <c r="G256" s="381"/>
      <c r="H256" s="381"/>
      <c r="I256" s="251"/>
      <c r="J256" s="39"/>
      <c r="K256" s="896"/>
      <c r="L256" s="896"/>
      <c r="M256" s="2167"/>
      <c r="N256" s="2265"/>
      <c r="O256" s="2265"/>
      <c r="P256" s="2265"/>
      <c r="Q256" s="2265"/>
      <c r="R256" s="2265"/>
      <c r="S256" s="2265"/>
      <c r="T256" s="2265"/>
      <c r="U256" s="2265"/>
      <c r="V256" s="2265"/>
      <c r="W256" s="2265"/>
      <c r="X256" s="2265"/>
      <c r="Y256" s="2265"/>
      <c r="Z256" s="2265"/>
      <c r="AA256" s="2265"/>
      <c r="AB256" s="2494"/>
      <c r="AC256" s="2494"/>
      <c r="AD256" s="2494"/>
      <c r="AE256" s="2494"/>
      <c r="AF256" s="2494"/>
      <c r="AG256" s="2494"/>
      <c r="AH256" s="2494"/>
      <c r="AI256" s="2494"/>
      <c r="AJ256" s="2494"/>
      <c r="AK256" s="2494"/>
      <c r="AL256" s="2494"/>
      <c r="AM256" s="2494"/>
      <c r="AN256" s="2494"/>
      <c r="AO256" s="2494"/>
      <c r="AP256" s="2494"/>
      <c r="AQ256" s="2494"/>
      <c r="AR256" s="2494"/>
      <c r="AS256" s="2494"/>
      <c r="AT256" s="2494"/>
      <c r="AU256" s="2494"/>
      <c r="AV256" s="2494"/>
      <c r="AW256" s="2494"/>
      <c r="AX256" s="2494"/>
      <c r="AY256" s="2494"/>
      <c r="AZ256" s="2494"/>
      <c r="BA256" s="2494"/>
      <c r="BB256" s="2494"/>
      <c r="BC256" s="2494"/>
      <c r="BD256" s="2494"/>
      <c r="BE256" s="2494"/>
      <c r="BF256" s="2494"/>
      <c r="BG256" s="2494"/>
      <c r="BH256" s="2494"/>
      <c r="BI256" s="2494"/>
      <c r="BJ256" s="2494"/>
      <c r="BK256" s="2494"/>
      <c r="BL256" s="2494"/>
      <c r="BM256" s="2494"/>
      <c r="BN256" s="2494"/>
      <c r="BO256" s="2494"/>
      <c r="BP256" s="2494"/>
      <c r="BQ256" s="2494"/>
      <c r="BR256" s="2494"/>
      <c r="BS256" s="2494"/>
      <c r="BT256" s="2494"/>
      <c r="BU256" s="718"/>
      <c r="BV256" s="1917" t="str">
        <f>IF(DN255,"←第三面6欄に納まっているか確認してください。","←")</f>
        <v>←</v>
      </c>
      <c r="BW256" s="1917"/>
      <c r="BX256" s="1917"/>
      <c r="BY256" s="1917"/>
      <c r="BZ256" s="1917"/>
      <c r="CA256" s="1917"/>
      <c r="CB256" s="1917"/>
      <c r="CC256" s="1917"/>
      <c r="CD256" s="1917"/>
      <c r="CE256" s="1917"/>
      <c r="CF256" s="1917"/>
      <c r="CG256" s="1917"/>
      <c r="CH256" s="1917"/>
      <c r="CI256" s="1917"/>
      <c r="CJ256" s="1917"/>
      <c r="CK256" s="1917"/>
      <c r="CL256" s="1917"/>
      <c r="CM256" s="1917"/>
      <c r="CN256" s="1917"/>
      <c r="CO256" s="1917"/>
      <c r="CP256" s="1917"/>
      <c r="CQ256" s="1917"/>
      <c r="CR256" s="1917"/>
      <c r="CS256" s="1917"/>
      <c r="CT256" s="891"/>
      <c r="CU256" s="918"/>
      <c r="CV256" s="15"/>
      <c r="CW256" s="15"/>
      <c r="CX256" s="398"/>
      <c r="CY256" s="398"/>
      <c r="CZ256" s="398"/>
      <c r="DA256" s="398"/>
      <c r="DB256" s="398"/>
      <c r="DC256" s="35"/>
      <c r="DD256" s="36"/>
      <c r="DE256" s="36"/>
      <c r="DF256" s="36"/>
      <c r="DG256" s="36"/>
      <c r="DH256" s="36"/>
      <c r="DI256" s="36"/>
      <c r="DJ256" s="36"/>
      <c r="DK256" s="1112"/>
      <c r="DL256" s="1046"/>
      <c r="DM256" s="171"/>
      <c r="DN256" s="171"/>
      <c r="DO256" s="171"/>
      <c r="DP256" s="171"/>
      <c r="DQ256" s="171"/>
      <c r="FO256" s="1046"/>
      <c r="GA256" s="171"/>
    </row>
    <row r="257" spans="1:183" s="172" customFormat="1" ht="27" customHeight="1">
      <c r="A257" s="645"/>
      <c r="B257" s="645"/>
      <c r="C257" s="645"/>
      <c r="D257" s="645"/>
      <c r="E257" s="646"/>
      <c r="F257" s="381"/>
      <c r="G257" s="381"/>
      <c r="H257" s="381"/>
      <c r="I257" s="251"/>
      <c r="J257" s="39"/>
      <c r="K257" s="896"/>
      <c r="L257" s="896"/>
      <c r="M257" s="2167"/>
      <c r="N257" s="2265"/>
      <c r="O257" s="2265"/>
      <c r="P257" s="2265"/>
      <c r="Q257" s="2265"/>
      <c r="R257" s="2265"/>
      <c r="S257" s="2265"/>
      <c r="T257" s="2265"/>
      <c r="U257" s="2265"/>
      <c r="V257" s="2265"/>
      <c r="W257" s="2265"/>
      <c r="X257" s="2265"/>
      <c r="Y257" s="2265"/>
      <c r="Z257" s="2265"/>
      <c r="AA257" s="2265"/>
      <c r="AB257" s="2494"/>
      <c r="AC257" s="2494"/>
      <c r="AD257" s="2494"/>
      <c r="AE257" s="2494"/>
      <c r="AF257" s="2494"/>
      <c r="AG257" s="2494"/>
      <c r="AH257" s="2494"/>
      <c r="AI257" s="2494"/>
      <c r="AJ257" s="2494"/>
      <c r="AK257" s="2494"/>
      <c r="AL257" s="2494"/>
      <c r="AM257" s="2494"/>
      <c r="AN257" s="2494"/>
      <c r="AO257" s="2494"/>
      <c r="AP257" s="2494"/>
      <c r="AQ257" s="2494"/>
      <c r="AR257" s="2494"/>
      <c r="AS257" s="2494"/>
      <c r="AT257" s="2494"/>
      <c r="AU257" s="2494"/>
      <c r="AV257" s="2494"/>
      <c r="AW257" s="2494"/>
      <c r="AX257" s="2494"/>
      <c r="AY257" s="2494"/>
      <c r="AZ257" s="2494"/>
      <c r="BA257" s="2494"/>
      <c r="BB257" s="2494"/>
      <c r="BC257" s="2494"/>
      <c r="BD257" s="2494"/>
      <c r="BE257" s="2494"/>
      <c r="BF257" s="2494"/>
      <c r="BG257" s="2494"/>
      <c r="BH257" s="2494"/>
      <c r="BI257" s="2494"/>
      <c r="BJ257" s="2494"/>
      <c r="BK257" s="2494"/>
      <c r="BL257" s="2494"/>
      <c r="BM257" s="2494"/>
      <c r="BN257" s="2494"/>
      <c r="BO257" s="2494"/>
      <c r="BP257" s="2494"/>
      <c r="BQ257" s="2494"/>
      <c r="BR257" s="2494"/>
      <c r="BS257" s="2494"/>
      <c r="BT257" s="2494"/>
      <c r="BU257" s="718"/>
      <c r="BV257" s="891"/>
      <c r="BW257" s="891"/>
      <c r="BX257" s="891"/>
      <c r="BY257" s="891"/>
      <c r="BZ257" s="891"/>
      <c r="CA257" s="891"/>
      <c r="CB257" s="891"/>
      <c r="CC257" s="891"/>
      <c r="CD257" s="891"/>
      <c r="CE257" s="891"/>
      <c r="CF257" s="891"/>
      <c r="CG257" s="891"/>
      <c r="CH257" s="891"/>
      <c r="CI257" s="891"/>
      <c r="CJ257" s="891"/>
      <c r="CK257" s="891"/>
      <c r="CL257" s="891"/>
      <c r="CM257" s="891"/>
      <c r="CN257" s="891"/>
      <c r="CO257" s="891"/>
      <c r="CP257" s="891"/>
      <c r="CQ257" s="891"/>
      <c r="CR257" s="891"/>
      <c r="CS257" s="891"/>
      <c r="CT257" s="891"/>
      <c r="CU257" s="918"/>
      <c r="CV257" s="15"/>
      <c r="CW257" s="15"/>
      <c r="CX257" s="398"/>
      <c r="CY257" s="398"/>
      <c r="CZ257" s="398"/>
      <c r="DA257" s="398"/>
      <c r="DB257" s="398"/>
      <c r="DC257" s="35"/>
      <c r="DD257" s="36"/>
      <c r="DE257" s="36"/>
      <c r="DF257" s="36"/>
      <c r="DG257" s="36"/>
      <c r="DH257" s="36"/>
      <c r="DI257" s="36"/>
      <c r="DJ257" s="36"/>
      <c r="DK257" s="1045"/>
      <c r="DL257" s="1046"/>
      <c r="DM257" s="171"/>
      <c r="DN257" s="171"/>
      <c r="DO257" s="171"/>
      <c r="DP257" s="171"/>
      <c r="DQ257" s="171"/>
      <c r="FO257" s="1046"/>
      <c r="GA257" s="171"/>
    </row>
    <row r="258" spans="1:183" s="172" customFormat="1" ht="27" customHeight="1" thickBot="1">
      <c r="A258" s="645"/>
      <c r="B258" s="645"/>
      <c r="C258" s="645"/>
      <c r="D258" s="645"/>
      <c r="E258" s="646"/>
      <c r="F258" s="381"/>
      <c r="G258" s="381"/>
      <c r="H258" s="381"/>
      <c r="I258" s="251"/>
      <c r="J258" s="40"/>
      <c r="K258" s="912"/>
      <c r="L258" s="912"/>
      <c r="M258" s="2266"/>
      <c r="N258" s="2267"/>
      <c r="O258" s="2267"/>
      <c r="P258" s="2267"/>
      <c r="Q258" s="2267"/>
      <c r="R258" s="2267"/>
      <c r="S258" s="2267"/>
      <c r="T258" s="2267"/>
      <c r="U258" s="2267"/>
      <c r="V258" s="2267"/>
      <c r="W258" s="2267"/>
      <c r="X258" s="2267"/>
      <c r="Y258" s="2267"/>
      <c r="Z258" s="2267"/>
      <c r="AA258" s="2267"/>
      <c r="AB258" s="2495"/>
      <c r="AC258" s="2495"/>
      <c r="AD258" s="2495"/>
      <c r="AE258" s="2495"/>
      <c r="AF258" s="2495"/>
      <c r="AG258" s="2495"/>
      <c r="AH258" s="2495"/>
      <c r="AI258" s="2495"/>
      <c r="AJ258" s="2495"/>
      <c r="AK258" s="2495"/>
      <c r="AL258" s="2495"/>
      <c r="AM258" s="2495"/>
      <c r="AN258" s="2495"/>
      <c r="AO258" s="2495"/>
      <c r="AP258" s="2495"/>
      <c r="AQ258" s="2495"/>
      <c r="AR258" s="2495"/>
      <c r="AS258" s="2495"/>
      <c r="AT258" s="2495"/>
      <c r="AU258" s="2495"/>
      <c r="AV258" s="2495"/>
      <c r="AW258" s="2495"/>
      <c r="AX258" s="2495"/>
      <c r="AY258" s="2495"/>
      <c r="AZ258" s="2495"/>
      <c r="BA258" s="2495"/>
      <c r="BB258" s="2495"/>
      <c r="BC258" s="2495"/>
      <c r="BD258" s="2495"/>
      <c r="BE258" s="2495"/>
      <c r="BF258" s="2495"/>
      <c r="BG258" s="2495"/>
      <c r="BH258" s="2495"/>
      <c r="BI258" s="2495"/>
      <c r="BJ258" s="2495"/>
      <c r="BK258" s="2495"/>
      <c r="BL258" s="2495"/>
      <c r="BM258" s="2495"/>
      <c r="BN258" s="2495"/>
      <c r="BO258" s="2495"/>
      <c r="BP258" s="2495"/>
      <c r="BQ258" s="2495"/>
      <c r="BR258" s="2495"/>
      <c r="BS258" s="2495"/>
      <c r="BT258" s="2495"/>
      <c r="BU258" s="1053"/>
      <c r="BV258" s="925"/>
      <c r="BW258" s="925"/>
      <c r="BX258" s="925"/>
      <c r="BY258" s="925"/>
      <c r="BZ258" s="925"/>
      <c r="CA258" s="925"/>
      <c r="CB258" s="925"/>
      <c r="CC258" s="925"/>
      <c r="CD258" s="925"/>
      <c r="CE258" s="925"/>
      <c r="CF258" s="925"/>
      <c r="CG258" s="925"/>
      <c r="CH258" s="925"/>
      <c r="CI258" s="925"/>
      <c r="CJ258" s="925"/>
      <c r="CK258" s="925"/>
      <c r="CL258" s="925"/>
      <c r="CM258" s="925"/>
      <c r="CN258" s="925"/>
      <c r="CO258" s="925"/>
      <c r="CP258" s="925"/>
      <c r="CQ258" s="925"/>
      <c r="CR258" s="925"/>
      <c r="CS258" s="925"/>
      <c r="CT258" s="925"/>
      <c r="CU258" s="926"/>
      <c r="CV258" s="15"/>
      <c r="CW258" s="15"/>
      <c r="CX258" s="398"/>
      <c r="CY258" s="398"/>
      <c r="CZ258" s="398"/>
      <c r="DA258" s="398"/>
      <c r="DB258" s="398"/>
      <c r="DC258" s="35"/>
      <c r="DD258" s="36"/>
      <c r="DE258" s="36"/>
      <c r="DF258" s="36"/>
      <c r="DG258" s="36"/>
      <c r="DH258" s="36"/>
      <c r="DI258" s="36"/>
      <c r="DJ258" s="36"/>
      <c r="DK258" s="1045"/>
      <c r="DL258" s="1046"/>
      <c r="DM258" s="171"/>
      <c r="DN258" s="171"/>
      <c r="DO258" s="171"/>
      <c r="DP258" s="171"/>
      <c r="DQ258" s="171"/>
      <c r="FO258" s="1046"/>
      <c r="GA258" s="171"/>
    </row>
    <row r="259" spans="1:183" ht="15" customHeight="1" thickBot="1">
      <c r="A259" s="645"/>
      <c r="B259" s="645"/>
      <c r="C259" s="645"/>
      <c r="D259" s="645"/>
      <c r="E259" s="646"/>
      <c r="BU259" s="1044"/>
      <c r="CV259" s="15"/>
      <c r="CW259" s="15"/>
      <c r="DD259" s="36"/>
      <c r="DE259" s="36"/>
      <c r="DF259" s="36"/>
      <c r="DG259" s="36"/>
      <c r="DH259" s="36"/>
      <c r="DI259" s="36"/>
      <c r="DJ259" s="36"/>
      <c r="DM259" s="580" t="s">
        <v>2497</v>
      </c>
      <c r="DN259" s="581" t="e">
        <f>VLOOKUP(AB262,DM260:DN269,2,FALSE)</f>
        <v>#N/A</v>
      </c>
      <c r="DP259" s="166" t="s">
        <v>2494</v>
      </c>
      <c r="EG259" s="172"/>
      <c r="EH259" s="172"/>
      <c r="EI259" s="172"/>
      <c r="EJ259" s="172"/>
      <c r="EK259" s="172"/>
      <c r="FV259" s="172"/>
      <c r="FW259" s="172"/>
      <c r="FX259" s="172"/>
      <c r="FY259" s="172"/>
      <c r="FZ259" s="172"/>
    </row>
    <row r="260" spans="1:183" ht="35.15" customHeight="1">
      <c r="A260" s="645"/>
      <c r="B260" s="645"/>
      <c r="C260" s="645"/>
      <c r="D260" s="645"/>
      <c r="E260" s="646"/>
      <c r="J260" s="1831" t="s">
        <v>1160</v>
      </c>
      <c r="K260" s="1832"/>
      <c r="L260" s="1832"/>
      <c r="M260" s="1832"/>
      <c r="N260" s="1832"/>
      <c r="O260" s="1832"/>
      <c r="P260" s="1832"/>
      <c r="Q260" s="1832"/>
      <c r="R260" s="1832"/>
      <c r="S260" s="1832"/>
      <c r="T260" s="1832"/>
      <c r="U260" s="1832"/>
      <c r="V260" s="1832"/>
      <c r="W260" s="1832"/>
      <c r="X260" s="1832"/>
      <c r="Y260" s="1832"/>
      <c r="Z260" s="1832"/>
      <c r="AA260" s="1832"/>
      <c r="AB260" s="1832"/>
      <c r="AC260" s="1832"/>
      <c r="AD260" s="1832"/>
      <c r="AE260" s="1832"/>
      <c r="AF260" s="1832"/>
      <c r="AG260" s="1832"/>
      <c r="AH260" s="1832"/>
      <c r="AI260" s="1832"/>
      <c r="AJ260" s="1832"/>
      <c r="AK260" s="1832"/>
      <c r="AL260" s="1832"/>
      <c r="AM260" s="1832"/>
      <c r="AN260" s="1832"/>
      <c r="AO260" s="1832"/>
      <c r="AP260" s="1832"/>
      <c r="AQ260" s="1832"/>
      <c r="AR260" s="1832"/>
      <c r="AS260" s="1832"/>
      <c r="AT260" s="1832"/>
      <c r="AU260" s="1832"/>
      <c r="AV260" s="1832"/>
      <c r="AW260" s="1832"/>
      <c r="AX260" s="1832"/>
      <c r="AY260" s="1832"/>
      <c r="AZ260" s="1832"/>
      <c r="BA260" s="1832"/>
      <c r="BB260" s="1832"/>
      <c r="BC260" s="1832"/>
      <c r="BD260" s="1832"/>
      <c r="BE260" s="1832"/>
      <c r="BF260" s="1832"/>
      <c r="BG260" s="1832"/>
      <c r="BH260" s="1832"/>
      <c r="BI260" s="1832"/>
      <c r="BJ260" s="1832"/>
      <c r="BK260" s="1832"/>
      <c r="BL260" s="1775" t="s">
        <v>2777</v>
      </c>
      <c r="BM260" s="2228"/>
      <c r="BN260" s="2228"/>
      <c r="BO260" s="2228"/>
      <c r="BP260" s="2228"/>
      <c r="BQ260" s="2228"/>
      <c r="BR260" s="2228"/>
      <c r="BS260" s="2228"/>
      <c r="BT260" s="2228"/>
      <c r="BU260" s="1054"/>
      <c r="BV260" s="710"/>
      <c r="BW260" s="710"/>
      <c r="BX260" s="711"/>
      <c r="BY260" s="711"/>
      <c r="BZ260" s="711"/>
      <c r="CA260" s="711"/>
      <c r="CB260" s="711"/>
      <c r="CC260" s="711"/>
      <c r="CD260" s="711"/>
      <c r="CE260" s="711"/>
      <c r="CF260" s="711"/>
      <c r="CG260" s="711"/>
      <c r="CH260" s="711"/>
      <c r="CI260" s="711"/>
      <c r="CJ260" s="711"/>
      <c r="CK260" s="711"/>
      <c r="CL260" s="711"/>
      <c r="CM260" s="711"/>
      <c r="CN260" s="711"/>
      <c r="CO260" s="711"/>
      <c r="CP260" s="711"/>
      <c r="CQ260" s="711"/>
      <c r="CR260" s="711"/>
      <c r="CS260" s="711"/>
      <c r="CT260" s="711"/>
      <c r="CU260" s="712"/>
      <c r="CV260" s="15"/>
      <c r="CW260" s="15"/>
      <c r="DD260" s="36"/>
      <c r="DE260" s="36"/>
      <c r="DF260" s="36"/>
      <c r="DG260" s="36"/>
      <c r="DH260" s="36"/>
      <c r="DI260" s="36"/>
      <c r="DJ260" s="36"/>
      <c r="DK260" s="1045"/>
      <c r="DM260" s="1130" t="s">
        <v>2558</v>
      </c>
      <c r="DN260" s="579">
        <v>1</v>
      </c>
      <c r="DO260" s="315"/>
      <c r="DP260" s="314" t="s">
        <v>2495</v>
      </c>
      <c r="DQ260" s="188" t="s">
        <v>2496</v>
      </c>
      <c r="EG260" s="172"/>
      <c r="EH260" s="172"/>
      <c r="EI260" s="172"/>
      <c r="EJ260" s="172"/>
      <c r="EK260" s="172"/>
      <c r="FV260" s="172"/>
      <c r="FW260" s="172"/>
      <c r="FX260" s="172"/>
      <c r="FY260" s="172"/>
      <c r="FZ260" s="172"/>
    </row>
    <row r="261" spans="1:183" s="172" customFormat="1" ht="30" customHeight="1">
      <c r="A261" s="645"/>
      <c r="B261" s="645"/>
      <c r="C261" s="645"/>
      <c r="D261" s="645"/>
      <c r="E261" s="646"/>
      <c r="F261" s="381"/>
      <c r="G261" s="381"/>
      <c r="H261" s="381"/>
      <c r="I261" s="251"/>
      <c r="J261" s="39"/>
      <c r="K261" s="896"/>
      <c r="L261" s="896"/>
      <c r="M261" s="1809" t="s">
        <v>751</v>
      </c>
      <c r="N261" s="2173"/>
      <c r="O261" s="2173"/>
      <c r="P261" s="2173"/>
      <c r="Q261" s="2173"/>
      <c r="R261" s="2173"/>
      <c r="S261" s="2173"/>
      <c r="T261" s="2173"/>
      <c r="U261" s="2173"/>
      <c r="V261" s="2173"/>
      <c r="W261" s="2173"/>
      <c r="X261" s="2173"/>
      <c r="Y261" s="2173"/>
      <c r="Z261" s="2173"/>
      <c r="AA261" s="2173"/>
      <c r="AB261" s="1798"/>
      <c r="AC261" s="2014"/>
      <c r="AD261" s="2014"/>
      <c r="AE261" s="2014"/>
      <c r="AF261" s="2014"/>
      <c r="AG261" s="2014"/>
      <c r="AH261" s="2014"/>
      <c r="AI261" s="2014"/>
      <c r="AJ261" s="2014"/>
      <c r="AK261" s="2014"/>
      <c r="AL261" s="2014"/>
      <c r="AM261" s="2014"/>
      <c r="AN261" s="2014"/>
      <c r="AO261" s="2014"/>
      <c r="AP261" s="2014"/>
      <c r="AQ261" s="2014"/>
      <c r="AR261" s="2014"/>
      <c r="AS261" s="100" t="str">
        <f>IF(AB261="","←タイル・石貼り等は乾式工法によるものを除きます","")</f>
        <v>←タイル・石貼り等は乾式工法によるものを除きます</v>
      </c>
      <c r="AT261" s="900"/>
      <c r="AU261" s="900"/>
      <c r="AV261" s="900"/>
      <c r="AW261" s="900"/>
      <c r="AX261" s="900"/>
      <c r="AY261" s="900"/>
      <c r="AZ261" s="900"/>
      <c r="BA261" s="900"/>
      <c r="BB261" s="900"/>
      <c r="BC261" s="900"/>
      <c r="BD261" s="900"/>
      <c r="BE261" s="900"/>
      <c r="BF261" s="900"/>
      <c r="BG261" s="900"/>
      <c r="BH261" s="900"/>
      <c r="BI261" s="900"/>
      <c r="BJ261" s="900"/>
      <c r="BK261" s="900"/>
      <c r="BL261" s="900"/>
      <c r="BM261" s="900"/>
      <c r="BN261" s="900"/>
      <c r="BO261" s="900"/>
      <c r="BP261" s="900"/>
      <c r="BQ261" s="900"/>
      <c r="BR261" s="900"/>
      <c r="BS261" s="900"/>
      <c r="BT261" s="900"/>
      <c r="BU261" s="1094"/>
      <c r="BV261" s="1099" t="s">
        <v>2727</v>
      </c>
      <c r="BW261" s="1099" t="s">
        <v>2805</v>
      </c>
      <c r="BX261" s="891"/>
      <c r="BY261" s="891"/>
      <c r="BZ261" s="891"/>
      <c r="CA261" s="891"/>
      <c r="CB261" s="891"/>
      <c r="CC261" s="891"/>
      <c r="CD261" s="891"/>
      <c r="CE261" s="891"/>
      <c r="CF261" s="891"/>
      <c r="CG261" s="891"/>
      <c r="CH261" s="891"/>
      <c r="CI261" s="891"/>
      <c r="CJ261" s="891"/>
      <c r="CK261" s="891"/>
      <c r="CL261" s="891"/>
      <c r="CM261" s="891"/>
      <c r="CN261" s="891"/>
      <c r="CO261" s="891"/>
      <c r="CP261" s="891"/>
      <c r="CQ261" s="891"/>
      <c r="CR261" s="891"/>
      <c r="CS261" s="891"/>
      <c r="CT261" s="891"/>
      <c r="CU261" s="918"/>
      <c r="CV261" s="15"/>
      <c r="CW261" s="15"/>
      <c r="CX261" s="398"/>
      <c r="CY261" s="398"/>
      <c r="CZ261" s="398"/>
      <c r="DA261" s="398"/>
      <c r="DB261" s="398"/>
      <c r="DC261" s="35"/>
      <c r="DD261" s="36"/>
      <c r="DE261" s="36"/>
      <c r="DF261" s="36"/>
      <c r="DG261" s="36"/>
      <c r="DH261" s="36"/>
      <c r="DI261" s="36"/>
      <c r="DJ261" s="36"/>
      <c r="DK261" s="1045"/>
      <c r="DL261" s="1046"/>
      <c r="DM261" s="1131" t="s">
        <v>2557</v>
      </c>
      <c r="DN261" s="180">
        <v>2</v>
      </c>
      <c r="DO261" s="316"/>
      <c r="DP261" s="180">
        <f>IF(AB261="―　未使用",1,IF(AB261="〇　タイル等の外装仕上げ材を使用",2,0))</f>
        <v>0</v>
      </c>
      <c r="DQ261" s="171"/>
      <c r="FO261" s="1046"/>
      <c r="GA261" s="171"/>
    </row>
    <row r="262" spans="1:183" s="172" customFormat="1" ht="27" customHeight="1">
      <c r="A262" s="645"/>
      <c r="B262" s="645"/>
      <c r="C262" s="645"/>
      <c r="D262" s="645"/>
      <c r="E262" s="646"/>
      <c r="F262" s="381"/>
      <c r="G262" s="381"/>
      <c r="H262" s="381"/>
      <c r="I262" s="251"/>
      <c r="J262" s="39"/>
      <c r="K262" s="896"/>
      <c r="L262" s="896"/>
      <c r="M262" s="1046"/>
      <c r="N262" s="587"/>
      <c r="O262" s="587"/>
      <c r="P262" s="587"/>
      <c r="Q262" s="587"/>
      <c r="R262" s="587"/>
      <c r="S262" s="587"/>
      <c r="T262" s="587"/>
      <c r="U262" s="587"/>
      <c r="V262" s="587"/>
      <c r="W262" s="587"/>
      <c r="X262" s="587"/>
      <c r="Y262" s="587"/>
      <c r="Z262" s="587"/>
      <c r="AA262" s="587"/>
      <c r="AB262" s="2290"/>
      <c r="AC262" s="2076"/>
      <c r="AD262" s="2076"/>
      <c r="AE262" s="2076"/>
      <c r="AF262" s="2076"/>
      <c r="AG262" s="2076"/>
      <c r="AH262" s="2076"/>
      <c r="AI262" s="2076"/>
      <c r="AJ262" s="2076"/>
      <c r="AK262" s="2076"/>
      <c r="AL262" s="2076"/>
      <c r="AM262" s="2076"/>
      <c r="AN262" s="2076"/>
      <c r="AO262" s="2076"/>
      <c r="AP262" s="2076"/>
      <c r="AQ262" s="2076"/>
      <c r="AR262" s="2076"/>
      <c r="AS262" s="2076"/>
      <c r="AT262" s="2076"/>
      <c r="AU262" s="2076"/>
      <c r="AV262" s="2076"/>
      <c r="AW262" s="2076"/>
      <c r="AX262" s="2076"/>
      <c r="AY262" s="898"/>
      <c r="AZ262" s="898"/>
      <c r="BA262" s="898"/>
      <c r="BB262" s="898"/>
      <c r="BC262" s="898"/>
      <c r="BD262" s="898"/>
      <c r="BE262" s="898"/>
      <c r="BF262" s="898"/>
      <c r="BG262" s="898"/>
      <c r="BH262" s="898"/>
      <c r="BI262" s="898"/>
      <c r="BJ262" s="898"/>
      <c r="BK262" s="898"/>
      <c r="BL262" s="898"/>
      <c r="BM262" s="898"/>
      <c r="BN262" s="898"/>
      <c r="BO262" s="898"/>
      <c r="BP262" s="898"/>
      <c r="BQ262" s="898"/>
      <c r="BR262" s="898"/>
      <c r="BS262" s="898"/>
      <c r="BT262" s="898"/>
      <c r="BU262" s="1094"/>
      <c r="BV262" s="1099" t="s">
        <v>2727</v>
      </c>
      <c r="BW262" s="1919" t="s">
        <v>2811</v>
      </c>
      <c r="BX262" s="1919"/>
      <c r="BY262" s="1919"/>
      <c r="BZ262" s="1919"/>
      <c r="CA262" s="1919"/>
      <c r="CB262" s="1919"/>
      <c r="CC262" s="1919"/>
      <c r="CD262" s="1919"/>
      <c r="CE262" s="1919"/>
      <c r="CF262" s="891"/>
      <c r="CG262" s="1922" t="s">
        <v>5616</v>
      </c>
      <c r="CH262" s="1922"/>
      <c r="CI262" s="1922"/>
      <c r="CJ262" s="1922"/>
      <c r="CK262" s="1922"/>
      <c r="CL262" s="1922"/>
      <c r="CM262" s="1922"/>
      <c r="CN262" s="1922"/>
      <c r="CO262" s="1922"/>
      <c r="CP262" s="1922"/>
      <c r="CQ262" s="1922"/>
      <c r="CR262" s="1922"/>
      <c r="CS262" s="1922"/>
      <c r="CT262" s="891"/>
      <c r="CU262" s="918"/>
      <c r="CV262" s="15"/>
      <c r="CW262" s="15"/>
      <c r="CX262" s="398"/>
      <c r="CY262" s="398"/>
      <c r="CZ262" s="398"/>
      <c r="DA262" s="398"/>
      <c r="DB262" s="398"/>
      <c r="DC262" s="35"/>
      <c r="DD262" s="36"/>
      <c r="DE262" s="36"/>
      <c r="DF262" s="36"/>
      <c r="DG262" s="36"/>
      <c r="DH262" s="36"/>
      <c r="DI262" s="36"/>
      <c r="DJ262" s="36"/>
      <c r="DK262" s="1045"/>
      <c r="DL262" s="1046"/>
      <c r="DM262" s="1131" t="s">
        <v>747</v>
      </c>
      <c r="DN262" s="180">
        <v>3</v>
      </c>
      <c r="DO262" s="171"/>
      <c r="DP262" s="171"/>
      <c r="DQ262" s="171"/>
      <c r="EG262" s="167"/>
      <c r="EH262" s="167"/>
      <c r="EI262" s="167"/>
      <c r="EJ262" s="167"/>
      <c r="EK262" s="167"/>
      <c r="FO262" s="1046"/>
      <c r="FV262" s="167"/>
      <c r="FW262" s="167"/>
      <c r="FX262" s="167"/>
      <c r="FY262" s="167"/>
      <c r="FZ262" s="167"/>
      <c r="GA262" s="171"/>
    </row>
    <row r="263" spans="1:183" s="172" customFormat="1" ht="27" customHeight="1">
      <c r="A263" s="645"/>
      <c r="B263" s="645"/>
      <c r="C263" s="645"/>
      <c r="D263" s="645"/>
      <c r="E263" s="646"/>
      <c r="F263" s="381"/>
      <c r="G263" s="381"/>
      <c r="H263" s="381"/>
      <c r="I263" s="251"/>
      <c r="J263" s="39"/>
      <c r="K263" s="896"/>
      <c r="L263" s="896"/>
      <c r="M263" s="2167" t="s">
        <v>750</v>
      </c>
      <c r="N263" s="2167"/>
      <c r="O263" s="2167"/>
      <c r="P263" s="2167"/>
      <c r="Q263" s="2167"/>
      <c r="R263" s="2167"/>
      <c r="S263" s="2167"/>
      <c r="T263" s="2167"/>
      <c r="U263" s="2167"/>
      <c r="V263" s="2167"/>
      <c r="W263" s="2167"/>
      <c r="X263" s="2167"/>
      <c r="Y263" s="2167"/>
      <c r="Z263" s="2167"/>
      <c r="AA263" s="2167"/>
      <c r="AB263" s="1941" t="s">
        <v>320</v>
      </c>
      <c r="AC263" s="2150"/>
      <c r="AD263" s="2150"/>
      <c r="AE263" s="2150"/>
      <c r="AF263" s="2150"/>
      <c r="AG263" s="2150"/>
      <c r="AH263" s="2443"/>
      <c r="AI263" s="2444"/>
      <c r="AJ263" s="2444"/>
      <c r="AK263" s="2437"/>
      <c r="AL263" s="2437"/>
      <c r="AM263" s="2438"/>
      <c r="AN263" s="612" t="s">
        <v>12</v>
      </c>
      <c r="AO263" s="613"/>
      <c r="AP263" s="2436"/>
      <c r="AQ263" s="2437"/>
      <c r="AR263" s="2438"/>
      <c r="AS263" s="1838" t="s">
        <v>321</v>
      </c>
      <c r="AT263" s="2401"/>
      <c r="AU263" s="896"/>
      <c r="AV263" s="2412" t="str">
        <f>IFERROR(IF(DN259&lt;3,"実施",IF(DN259=3,"竣工",IF(DN259=5,"予定",""))),"")</f>
        <v/>
      </c>
      <c r="AW263" s="2412"/>
      <c r="AX263" s="2412"/>
      <c r="AY263" s="896" t="s">
        <v>22</v>
      </c>
      <c r="AZ263" s="896"/>
      <c r="BA263" s="896"/>
      <c r="BB263" s="896"/>
      <c r="BC263" s="896"/>
      <c r="BD263" s="896"/>
      <c r="BE263" s="896"/>
      <c r="BF263" s="896"/>
      <c r="BG263" s="896"/>
      <c r="BH263" s="896"/>
      <c r="BI263" s="896"/>
      <c r="BJ263" s="896"/>
      <c r="BK263" s="896"/>
      <c r="BL263" s="896"/>
      <c r="BM263" s="896"/>
      <c r="BN263" s="896"/>
      <c r="BO263" s="896"/>
      <c r="BP263" s="896"/>
      <c r="BQ263" s="896"/>
      <c r="BR263" s="896"/>
      <c r="BS263" s="896"/>
      <c r="BT263" s="896"/>
      <c r="BU263" s="1094"/>
      <c r="BV263" s="1095"/>
      <c r="BW263" s="1953" t="s">
        <v>2812</v>
      </c>
      <c r="BX263" s="1953"/>
      <c r="BY263" s="1953"/>
      <c r="BZ263" s="1953"/>
      <c r="CA263" s="1953"/>
      <c r="CB263" s="1953"/>
      <c r="CC263" s="1953"/>
      <c r="CD263" s="1953"/>
      <c r="CE263" s="1953"/>
      <c r="CF263" s="891"/>
      <c r="CG263" s="1922"/>
      <c r="CH263" s="1922"/>
      <c r="CI263" s="1922"/>
      <c r="CJ263" s="1922"/>
      <c r="CK263" s="1922"/>
      <c r="CL263" s="1922"/>
      <c r="CM263" s="1922"/>
      <c r="CN263" s="1922"/>
      <c r="CO263" s="1922"/>
      <c r="CP263" s="1922"/>
      <c r="CQ263" s="1922"/>
      <c r="CR263" s="1922"/>
      <c r="CS263" s="1922"/>
      <c r="CT263" s="891"/>
      <c r="CU263" s="918"/>
      <c r="CV263" s="15"/>
      <c r="CW263" s="15"/>
      <c r="CX263" s="398"/>
      <c r="CY263" s="398"/>
      <c r="CZ263" s="398"/>
      <c r="DA263" s="398"/>
      <c r="DB263" s="398"/>
      <c r="DC263" s="35"/>
      <c r="DD263" s="36"/>
      <c r="DE263" s="36"/>
      <c r="DF263" s="36"/>
      <c r="DG263" s="36"/>
      <c r="DH263" s="36"/>
      <c r="DI263" s="36"/>
      <c r="DJ263" s="36"/>
      <c r="DK263" s="1045"/>
      <c r="DL263" s="1046"/>
      <c r="DM263" s="1131" t="s">
        <v>748</v>
      </c>
      <c r="DN263" s="180">
        <v>4</v>
      </c>
      <c r="DO263" s="171"/>
      <c r="DP263" s="171"/>
      <c r="DQ263" s="171"/>
      <c r="EG263" s="174"/>
      <c r="EH263" s="174"/>
      <c r="EI263" s="174"/>
      <c r="EJ263" s="174"/>
      <c r="EK263" s="174"/>
      <c r="FO263" s="1046"/>
      <c r="FV263" s="174"/>
      <c r="FW263" s="174"/>
      <c r="FX263" s="174"/>
      <c r="FY263" s="174"/>
      <c r="FZ263" s="174"/>
      <c r="GA263" s="171"/>
    </row>
    <row r="264" spans="1:183" s="172" customFormat="1" ht="27" customHeight="1" thickBot="1">
      <c r="A264" s="645"/>
      <c r="B264" s="645"/>
      <c r="C264" s="645"/>
      <c r="D264" s="645"/>
      <c r="E264" s="646"/>
      <c r="F264" s="381"/>
      <c r="G264" s="381"/>
      <c r="H264" s="381"/>
      <c r="I264" s="251"/>
      <c r="J264" s="40"/>
      <c r="K264" s="912"/>
      <c r="L264" s="912"/>
      <c r="M264" s="588"/>
      <c r="N264" s="588"/>
      <c r="O264" s="588"/>
      <c r="P264" s="588"/>
      <c r="Q264" s="379"/>
      <c r="R264" s="602"/>
      <c r="S264" s="602"/>
      <c r="T264" s="602"/>
      <c r="U264" s="602"/>
      <c r="V264" s="602"/>
      <c r="W264" s="602"/>
      <c r="X264" s="602"/>
      <c r="Y264" s="602"/>
      <c r="Z264" s="602"/>
      <c r="AA264" s="602"/>
      <c r="AB264" s="2448" t="s">
        <v>2629</v>
      </c>
      <c r="AC264" s="2448"/>
      <c r="AD264" s="2448"/>
      <c r="AE264" s="2448"/>
      <c r="AF264" s="2448"/>
      <c r="AG264" s="2448"/>
      <c r="AH264" s="2246"/>
      <c r="AI264" s="2246"/>
      <c r="AJ264" s="2246"/>
      <c r="AK264" s="2246"/>
      <c r="AL264" s="2246"/>
      <c r="AM264" s="2246"/>
      <c r="AN264" s="2246"/>
      <c r="AO264" s="2246"/>
      <c r="AP264" s="2246"/>
      <c r="AQ264" s="2246"/>
      <c r="AR264" s="2246"/>
      <c r="AS264" s="2246"/>
      <c r="AT264" s="2246"/>
      <c r="AU264" s="2246"/>
      <c r="AV264" s="2246"/>
      <c r="AW264" s="2246"/>
      <c r="AX264" s="2246"/>
      <c r="AY264" s="2246"/>
      <c r="AZ264" s="2246"/>
      <c r="BA264" s="2246"/>
      <c r="BB264" s="2246"/>
      <c r="BC264" s="2246"/>
      <c r="BD264" s="2246"/>
      <c r="BE264" s="2246"/>
      <c r="BF264" s="2246"/>
      <c r="BG264" s="2246"/>
      <c r="BH264" s="2246"/>
      <c r="BI264" s="2246"/>
      <c r="BJ264" s="2246"/>
      <c r="BK264" s="2246"/>
      <c r="BL264" s="2246"/>
      <c r="BM264" s="2246"/>
      <c r="BN264" s="2246"/>
      <c r="BO264" s="2246"/>
      <c r="BP264" s="912" t="s">
        <v>22</v>
      </c>
      <c r="BQ264" s="2510" t="str">
        <f>IF(AND(AB262="その他",$AH$264=""),"←「その他」の場合、説明を入力してください。","")</f>
        <v/>
      </c>
      <c r="BR264" s="2510"/>
      <c r="BS264" s="2510"/>
      <c r="BT264" s="2510"/>
      <c r="BU264" s="2510"/>
      <c r="BV264" s="2510"/>
      <c r="BW264" s="2510"/>
      <c r="BX264" s="2510"/>
      <c r="BY264" s="2510"/>
      <c r="BZ264" s="2510"/>
      <c r="CA264" s="2510"/>
      <c r="CB264" s="2510"/>
      <c r="CC264" s="2510"/>
      <c r="CD264" s="2510"/>
      <c r="CE264" s="2510"/>
      <c r="CF264" s="2510"/>
      <c r="CG264" s="2511"/>
      <c r="CH264" s="2511"/>
      <c r="CI264" s="2511"/>
      <c r="CJ264" s="2511"/>
      <c r="CK264" s="2511"/>
      <c r="CL264" s="2511"/>
      <c r="CM264" s="2511"/>
      <c r="CN264" s="2511"/>
      <c r="CO264" s="2511"/>
      <c r="CP264" s="2511"/>
      <c r="CQ264" s="2511"/>
      <c r="CR264" s="2511"/>
      <c r="CS264" s="2511"/>
      <c r="CT264" s="1675"/>
      <c r="CU264" s="1676"/>
      <c r="CV264" s="15"/>
      <c r="CW264" s="15"/>
      <c r="CX264" s="398"/>
      <c r="CY264" s="398"/>
      <c r="CZ264" s="398"/>
      <c r="DA264" s="398"/>
      <c r="DB264" s="398"/>
      <c r="DC264" s="35"/>
      <c r="DD264" s="36"/>
      <c r="DE264" s="36"/>
      <c r="DF264" s="36"/>
      <c r="DG264" s="36"/>
      <c r="DH264" s="36"/>
      <c r="DI264" s="36"/>
      <c r="DJ264" s="36"/>
      <c r="DK264" s="1045"/>
      <c r="DL264" s="1046"/>
      <c r="DM264" s="1131" t="s">
        <v>749</v>
      </c>
      <c r="DN264" s="180">
        <v>5</v>
      </c>
      <c r="DO264" s="171"/>
      <c r="DP264" s="171"/>
      <c r="DQ264" s="171"/>
      <c r="EG264" s="174"/>
      <c r="EH264" s="174"/>
      <c r="EI264" s="174"/>
      <c r="EJ264" s="174"/>
      <c r="EK264" s="174"/>
      <c r="FO264" s="1046"/>
      <c r="FV264" s="174"/>
      <c r="FW264" s="174"/>
      <c r="FX264" s="174"/>
      <c r="FY264" s="174"/>
      <c r="FZ264" s="174"/>
      <c r="GA264" s="171"/>
    </row>
    <row r="265" spans="1:183" ht="15" customHeight="1" thickBot="1">
      <c r="A265" s="645"/>
      <c r="B265" s="645"/>
      <c r="C265" s="645"/>
      <c r="D265" s="645"/>
      <c r="E265" s="646"/>
      <c r="BT265" s="35"/>
      <c r="BU265" s="1132"/>
      <c r="BV265" s="1133"/>
      <c r="BW265" s="1134"/>
      <c r="DD265" s="36"/>
      <c r="DE265" s="36"/>
      <c r="DF265" s="36"/>
      <c r="DG265" s="36"/>
      <c r="DH265" s="36"/>
      <c r="DI265" s="36"/>
      <c r="DJ265" s="36"/>
      <c r="DM265" s="1135" t="s">
        <v>2713</v>
      </c>
      <c r="DN265" s="180">
        <v>6</v>
      </c>
      <c r="DP265" s="907"/>
      <c r="EG265" s="172"/>
      <c r="EH265" s="172"/>
      <c r="EI265" s="172"/>
      <c r="EJ265" s="172"/>
      <c r="EK265" s="172"/>
      <c r="FV265" s="172"/>
      <c r="FW265" s="172"/>
      <c r="FX265" s="172"/>
      <c r="FY265" s="172"/>
      <c r="FZ265" s="172"/>
    </row>
    <row r="266" spans="1:183" ht="35.15" customHeight="1">
      <c r="A266" s="645"/>
      <c r="B266" s="645"/>
      <c r="C266" s="645"/>
      <c r="D266" s="645"/>
      <c r="E266" s="646"/>
      <c r="J266" s="1831" t="s">
        <v>3089</v>
      </c>
      <c r="K266" s="1832"/>
      <c r="L266" s="1832"/>
      <c r="M266" s="1832"/>
      <c r="N266" s="1832"/>
      <c r="O266" s="1832"/>
      <c r="P266" s="1832"/>
      <c r="Q266" s="1832"/>
      <c r="R266" s="1832"/>
      <c r="S266" s="1832"/>
      <c r="T266" s="1832"/>
      <c r="U266" s="1832"/>
      <c r="V266" s="1832"/>
      <c r="W266" s="1832"/>
      <c r="X266" s="1832"/>
      <c r="Y266" s="1832"/>
      <c r="Z266" s="1832"/>
      <c r="AA266" s="1832"/>
      <c r="AB266" s="1832"/>
      <c r="AC266" s="1832"/>
      <c r="AD266" s="1832"/>
      <c r="AE266" s="1832"/>
      <c r="AF266" s="1832"/>
      <c r="AG266" s="1832"/>
      <c r="AH266" s="1832"/>
      <c r="AI266" s="1832"/>
      <c r="AJ266" s="1832"/>
      <c r="AK266" s="1832"/>
      <c r="AL266" s="1832"/>
      <c r="AM266" s="1832"/>
      <c r="AN266" s="1832"/>
      <c r="AO266" s="1832"/>
      <c r="AP266" s="1832"/>
      <c r="AQ266" s="1832"/>
      <c r="AR266" s="1832"/>
      <c r="AS266" s="1832"/>
      <c r="AT266" s="1832"/>
      <c r="AU266" s="1832"/>
      <c r="AV266" s="1832"/>
      <c r="AW266" s="1832"/>
      <c r="AX266" s="1832"/>
      <c r="AY266" s="1832"/>
      <c r="AZ266" s="1832"/>
      <c r="BA266" s="1832"/>
      <c r="BB266" s="1832"/>
      <c r="BC266" s="1832"/>
      <c r="BD266" s="1832"/>
      <c r="BE266" s="1832"/>
      <c r="BF266" s="1832"/>
      <c r="BG266" s="1832"/>
      <c r="BH266" s="1832"/>
      <c r="BI266" s="1832"/>
      <c r="BJ266" s="1832"/>
      <c r="BK266" s="1832"/>
      <c r="BL266" s="1775" t="s">
        <v>2777</v>
      </c>
      <c r="BM266" s="2228"/>
      <c r="BN266" s="2228"/>
      <c r="BO266" s="2228"/>
      <c r="BP266" s="2228"/>
      <c r="BQ266" s="2228"/>
      <c r="BR266" s="2228"/>
      <c r="BS266" s="2228"/>
      <c r="BT266" s="2228"/>
      <c r="BU266" s="1054"/>
      <c r="BV266" s="710"/>
      <c r="BW266" s="710"/>
      <c r="BX266" s="711"/>
      <c r="BY266" s="711"/>
      <c r="BZ266" s="711"/>
      <c r="CA266" s="711"/>
      <c r="CB266" s="711"/>
      <c r="CC266" s="711"/>
      <c r="CD266" s="711"/>
      <c r="CE266" s="711"/>
      <c r="CF266" s="711"/>
      <c r="CG266" s="711"/>
      <c r="CH266" s="711"/>
      <c r="CI266" s="711"/>
      <c r="CJ266" s="711"/>
      <c r="CK266" s="711"/>
      <c r="CL266" s="711"/>
      <c r="CM266" s="711"/>
      <c r="CN266" s="711"/>
      <c r="CO266" s="711"/>
      <c r="CP266" s="711"/>
      <c r="CQ266" s="711"/>
      <c r="CR266" s="711"/>
      <c r="CS266" s="711"/>
      <c r="CT266" s="711"/>
      <c r="CU266" s="712"/>
      <c r="DD266" s="36"/>
      <c r="DE266" s="36"/>
      <c r="DF266" s="36"/>
      <c r="DG266" s="36"/>
      <c r="DH266" s="36"/>
      <c r="DI266" s="36"/>
      <c r="DJ266" s="36"/>
      <c r="DM266" s="398"/>
      <c r="DP266" s="188"/>
      <c r="EG266" s="178"/>
      <c r="EH266" s="178"/>
      <c r="EI266" s="178"/>
      <c r="EJ266" s="178"/>
      <c r="EK266" s="178"/>
      <c r="FV266" s="178"/>
      <c r="FW266" s="178"/>
      <c r="FX266" s="178"/>
      <c r="FY266" s="178"/>
      <c r="FZ266" s="178"/>
    </row>
    <row r="267" spans="1:183" ht="30" customHeight="1" thickBot="1">
      <c r="A267" s="645"/>
      <c r="B267" s="645"/>
      <c r="C267" s="645"/>
      <c r="D267" s="645"/>
      <c r="E267" s="646"/>
      <c r="J267" s="40"/>
      <c r="K267" s="912"/>
      <c r="L267" s="912"/>
      <c r="M267" s="2237" t="s">
        <v>3094</v>
      </c>
      <c r="N267" s="2238"/>
      <c r="O267" s="2238"/>
      <c r="P267" s="2238"/>
      <c r="Q267" s="2238"/>
      <c r="R267" s="2238"/>
      <c r="S267" s="2238"/>
      <c r="T267" s="2238"/>
      <c r="U267" s="2238"/>
      <c r="V267" s="2238"/>
      <c r="W267" s="2238"/>
      <c r="X267" s="2238"/>
      <c r="Y267" s="2238"/>
      <c r="Z267" s="2238"/>
      <c r="AA267" s="2238"/>
      <c r="AB267" s="2445"/>
      <c r="AC267" s="2446"/>
      <c r="AD267" s="2446"/>
      <c r="AE267" s="2446"/>
      <c r="AF267" s="2446"/>
      <c r="AG267" s="2446"/>
      <c r="AH267" s="2446"/>
      <c r="AI267" s="2446"/>
      <c r="AJ267" s="2446"/>
      <c r="AK267" s="2446"/>
      <c r="AL267" s="2446"/>
      <c r="AM267" s="2446"/>
      <c r="AN267" s="2446"/>
      <c r="AO267" s="2446"/>
      <c r="AP267" s="2446"/>
      <c r="AQ267" s="2446"/>
      <c r="AR267" s="2446"/>
      <c r="AS267" s="761"/>
      <c r="AT267" s="893"/>
      <c r="AU267" s="893"/>
      <c r="AV267" s="893"/>
      <c r="AW267" s="893"/>
      <c r="AX267" s="893"/>
      <c r="AY267" s="893"/>
      <c r="AZ267" s="893"/>
      <c r="BA267" s="893"/>
      <c r="BB267" s="893"/>
      <c r="BC267" s="893"/>
      <c r="BD267" s="893"/>
      <c r="BE267" s="893"/>
      <c r="BF267" s="893"/>
      <c r="BG267" s="893"/>
      <c r="BH267" s="893"/>
      <c r="BI267" s="893"/>
      <c r="BJ267" s="893"/>
      <c r="BK267" s="893"/>
      <c r="BL267" s="893"/>
      <c r="BM267" s="893"/>
      <c r="BN267" s="893"/>
      <c r="BO267" s="893"/>
      <c r="BP267" s="893"/>
      <c r="BQ267" s="893"/>
      <c r="BR267" s="893"/>
      <c r="BS267" s="893"/>
      <c r="BT267" s="893"/>
      <c r="BU267" s="1136"/>
      <c r="BV267" s="1137" t="s">
        <v>2727</v>
      </c>
      <c r="BW267" s="1765" t="s">
        <v>3093</v>
      </c>
      <c r="BX267" s="1765"/>
      <c r="BY267" s="1765"/>
      <c r="BZ267" s="1765"/>
      <c r="CA267" s="1765"/>
      <c r="CB267" s="1765"/>
      <c r="CC267" s="1765"/>
      <c r="CD267" s="1765"/>
      <c r="CE267" s="1765"/>
      <c r="CF267" s="1765"/>
      <c r="CG267" s="1765"/>
      <c r="CH267" s="1765"/>
      <c r="CI267" s="1765"/>
      <c r="CJ267" s="1765"/>
      <c r="CK267" s="1765"/>
      <c r="CL267" s="1765"/>
      <c r="CM267" s="1765"/>
      <c r="CN267" s="1765"/>
      <c r="CO267" s="1765"/>
      <c r="CP267" s="1765"/>
      <c r="CQ267" s="1765"/>
      <c r="CR267" s="1765"/>
      <c r="CS267" s="1765"/>
      <c r="CT267" s="925"/>
      <c r="CU267" s="926"/>
      <c r="DD267" s="36"/>
      <c r="DE267" s="36"/>
      <c r="DF267" s="36"/>
      <c r="DG267" s="36"/>
      <c r="DH267" s="36"/>
      <c r="DI267" s="36"/>
      <c r="DJ267" s="36"/>
      <c r="DP267" s="188"/>
      <c r="EG267" s="178"/>
      <c r="EH267" s="178"/>
      <c r="EI267" s="178"/>
      <c r="EJ267" s="178"/>
      <c r="EK267" s="178"/>
      <c r="FV267" s="178"/>
      <c r="FW267" s="178"/>
      <c r="FX267" s="178"/>
      <c r="FY267" s="178"/>
      <c r="FZ267" s="178"/>
    </row>
    <row r="268" spans="1:183" ht="15" customHeight="1" thickBot="1">
      <c r="A268" s="645"/>
      <c r="B268" s="645"/>
      <c r="C268" s="645"/>
      <c r="D268" s="645"/>
      <c r="E268" s="646"/>
      <c r="BT268" s="35"/>
      <c r="BU268" s="1133"/>
      <c r="BV268" s="1134"/>
      <c r="BW268" s="1134"/>
      <c r="DD268" s="36"/>
      <c r="DE268" s="36"/>
      <c r="DF268" s="36"/>
      <c r="DG268" s="36"/>
      <c r="DH268" s="36"/>
      <c r="DI268" s="36"/>
      <c r="DJ268" s="36"/>
      <c r="DP268" s="188"/>
      <c r="EG268" s="178"/>
      <c r="EH268" s="178"/>
      <c r="EI268" s="178"/>
      <c r="EJ268" s="178"/>
      <c r="EK268" s="178"/>
      <c r="FV268" s="178"/>
      <c r="FW268" s="178"/>
      <c r="FX268" s="178"/>
      <c r="FY268" s="178"/>
      <c r="FZ268" s="178"/>
    </row>
    <row r="269" spans="1:183" ht="35.15" customHeight="1" thickBot="1">
      <c r="A269" s="645"/>
      <c r="B269" s="645"/>
      <c r="C269" s="645"/>
      <c r="D269" s="645"/>
      <c r="E269" s="646"/>
      <c r="J269" s="637" t="s">
        <v>3095</v>
      </c>
      <c r="K269" s="706"/>
      <c r="L269" s="706"/>
      <c r="M269" s="707"/>
      <c r="N269" s="707"/>
      <c r="O269" s="707"/>
      <c r="P269" s="707"/>
      <c r="Q269" s="707"/>
      <c r="R269" s="707"/>
      <c r="S269" s="707"/>
      <c r="T269" s="707"/>
      <c r="U269" s="707"/>
      <c r="V269" s="707"/>
      <c r="W269" s="707"/>
      <c r="X269" s="707"/>
      <c r="Y269" s="707"/>
      <c r="Z269" s="707"/>
      <c r="AA269" s="707"/>
      <c r="AB269" s="707"/>
      <c r="AC269" s="707"/>
      <c r="AD269" s="707"/>
      <c r="AE269" s="707"/>
      <c r="AF269" s="707"/>
      <c r="AG269" s="707"/>
      <c r="AH269" s="707"/>
      <c r="AI269" s="707"/>
      <c r="AJ269" s="707"/>
      <c r="AK269" s="707"/>
      <c r="AL269" s="707"/>
      <c r="AM269" s="707"/>
      <c r="AN269" s="707"/>
      <c r="AO269" s="707"/>
      <c r="AP269" s="707"/>
      <c r="AQ269" s="707"/>
      <c r="AR269" s="707"/>
      <c r="AS269" s="707"/>
      <c r="AT269" s="707"/>
      <c r="AU269" s="707"/>
      <c r="AV269" s="707"/>
      <c r="AW269" s="707"/>
      <c r="AX269" s="707"/>
      <c r="AY269" s="707"/>
      <c r="AZ269" s="707"/>
      <c r="BA269" s="707"/>
      <c r="BB269" s="707"/>
      <c r="BC269" s="707"/>
      <c r="BD269" s="707"/>
      <c r="BE269" s="707"/>
      <c r="BF269" s="707"/>
      <c r="BG269" s="2450" t="s">
        <v>2814</v>
      </c>
      <c r="BH269" s="2450"/>
      <c r="BI269" s="2450"/>
      <c r="BJ269" s="2450"/>
      <c r="BK269" s="2450"/>
      <c r="BL269" s="2450"/>
      <c r="BM269" s="2450"/>
      <c r="BN269" s="2450"/>
      <c r="BO269" s="2450"/>
      <c r="BP269" s="2450"/>
      <c r="BQ269" s="2450"/>
      <c r="BR269" s="2450"/>
      <c r="BS269" s="2450"/>
      <c r="BT269" s="2450"/>
      <c r="BU269" s="710"/>
      <c r="BV269" s="710"/>
      <c r="BW269" s="1921" t="s">
        <v>3324</v>
      </c>
      <c r="BX269" s="1921"/>
      <c r="BY269" s="1921"/>
      <c r="BZ269" s="1921"/>
      <c r="CA269" s="1921"/>
      <c r="CB269" s="1921"/>
      <c r="CC269" s="1921"/>
      <c r="CD269" s="1921"/>
      <c r="CE269" s="1921"/>
      <c r="CF269" s="1921"/>
      <c r="CG269" s="1921"/>
      <c r="CH269" s="1921"/>
      <c r="CI269" s="1921"/>
      <c r="CJ269" s="1921"/>
      <c r="CK269" s="1921"/>
      <c r="CL269" s="1921"/>
      <c r="CM269" s="1921"/>
      <c r="CN269" s="1921"/>
      <c r="CO269" s="1921"/>
      <c r="CP269" s="1921"/>
      <c r="CQ269" s="1921"/>
      <c r="CR269" s="1921"/>
      <c r="CS269" s="1921"/>
      <c r="CT269" s="711"/>
      <c r="CU269" s="712"/>
      <c r="DD269" s="36"/>
      <c r="DE269" s="36"/>
      <c r="DF269" s="36"/>
      <c r="DG269" s="36"/>
      <c r="DH269" s="36"/>
      <c r="DI269" s="36"/>
      <c r="DJ269" s="36"/>
      <c r="DK269" s="1045"/>
      <c r="DM269" s="1135" t="s">
        <v>144</v>
      </c>
      <c r="DN269" s="180">
        <v>7</v>
      </c>
      <c r="DP269" s="314" t="s">
        <v>1375</v>
      </c>
      <c r="EG269" s="172"/>
      <c r="EH269" s="172"/>
      <c r="EI269" s="172"/>
      <c r="EJ269" s="172"/>
      <c r="EK269" s="172"/>
      <c r="FV269" s="172"/>
      <c r="FW269" s="172"/>
      <c r="FX269" s="172"/>
      <c r="FY269" s="172"/>
      <c r="FZ269" s="172"/>
    </row>
    <row r="270" spans="1:183" ht="27" hidden="1" customHeight="1">
      <c r="A270" s="645"/>
      <c r="B270" s="645"/>
      <c r="C270" s="645"/>
      <c r="D270" s="645"/>
      <c r="E270" s="646"/>
      <c r="J270" s="38"/>
      <c r="K270" s="51"/>
      <c r="L270" s="51"/>
      <c r="M270" s="1834" t="s">
        <v>726</v>
      </c>
      <c r="N270" s="2149"/>
      <c r="O270" s="2149"/>
      <c r="P270" s="2149"/>
      <c r="Q270" s="2149"/>
      <c r="R270" s="2149"/>
      <c r="S270" s="1827" t="s">
        <v>720</v>
      </c>
      <c r="T270" s="1827"/>
      <c r="U270" s="1827"/>
      <c r="V270" s="1827"/>
      <c r="W270" s="1827"/>
      <c r="X270" s="1827"/>
      <c r="Y270" s="1827"/>
      <c r="Z270" s="1827"/>
      <c r="AA270" s="1827"/>
      <c r="AB270" s="1854"/>
      <c r="AC270" s="2220"/>
      <c r="AD270" s="2220"/>
      <c r="AE270" s="898" t="s">
        <v>727</v>
      </c>
      <c r="AF270" s="898"/>
      <c r="AG270" s="898"/>
      <c r="AH270" s="898"/>
      <c r="AI270" s="898"/>
      <c r="AJ270" s="898"/>
      <c r="AK270" s="898"/>
      <c r="AL270" s="898"/>
      <c r="AM270" s="898"/>
      <c r="AN270" s="898"/>
      <c r="AO270" s="898"/>
      <c r="AP270" s="898"/>
      <c r="AQ270" s="61" t="str">
        <f>IF(AB270="","←どちらかは必ず選んでください","")</f>
        <v>←どちらかは必ず選んでください</v>
      </c>
      <c r="AR270" s="898"/>
      <c r="AS270" s="898"/>
      <c r="AT270" s="898"/>
      <c r="AU270" s="898"/>
      <c r="AV270" s="898"/>
      <c r="AW270" s="898"/>
      <c r="AX270" s="898"/>
      <c r="AY270" s="898"/>
      <c r="AZ270" s="898"/>
      <c r="BA270" s="898"/>
      <c r="BB270" s="898"/>
      <c r="BC270" s="898"/>
      <c r="BD270" s="898"/>
      <c r="BE270" s="898"/>
      <c r="BF270" s="898"/>
      <c r="BG270" s="898"/>
      <c r="BH270" s="898"/>
      <c r="BI270" s="898"/>
      <c r="BJ270" s="898"/>
      <c r="BK270" s="898"/>
      <c r="BL270" s="898"/>
      <c r="BM270" s="898"/>
      <c r="BN270" s="898"/>
      <c r="BO270" s="898"/>
      <c r="BP270" s="898"/>
      <c r="BQ270" s="898"/>
      <c r="BR270" s="898"/>
      <c r="BS270" s="898"/>
      <c r="BT270" s="898"/>
      <c r="BU270" s="713"/>
      <c r="BV270" s="713"/>
      <c r="BW270" s="1922"/>
      <c r="BX270" s="1922"/>
      <c r="BY270" s="1922"/>
      <c r="BZ270" s="1922"/>
      <c r="CA270" s="1922"/>
      <c r="CB270" s="1922"/>
      <c r="CC270" s="1922"/>
      <c r="CD270" s="1922"/>
      <c r="CE270" s="1922"/>
      <c r="CF270" s="1922"/>
      <c r="CG270" s="1922"/>
      <c r="CH270" s="1922"/>
      <c r="CI270" s="1922"/>
      <c r="CJ270" s="1922"/>
      <c r="CK270" s="1922"/>
      <c r="CL270" s="1922"/>
      <c r="CM270" s="1922"/>
      <c r="CN270" s="1922"/>
      <c r="CO270" s="1922"/>
      <c r="CP270" s="1922"/>
      <c r="CQ270" s="1922"/>
      <c r="CR270" s="1922"/>
      <c r="CS270" s="1922"/>
      <c r="CT270" s="891"/>
      <c r="CU270" s="918"/>
      <c r="DD270" s="36"/>
      <c r="DE270" s="36"/>
      <c r="DF270" s="36"/>
      <c r="DG270" s="36"/>
      <c r="DH270" s="36"/>
      <c r="DI270" s="36"/>
      <c r="DJ270" s="36"/>
      <c r="DK270" s="1045"/>
      <c r="DP270" s="314">
        <f>IF(AB270="無",1,0)</f>
        <v>0</v>
      </c>
      <c r="EG270" s="172"/>
      <c r="EH270" s="172"/>
      <c r="EI270" s="172"/>
      <c r="EJ270" s="172"/>
      <c r="EK270" s="172"/>
      <c r="FV270" s="172"/>
      <c r="FW270" s="172"/>
      <c r="FX270" s="172"/>
      <c r="FY270" s="172"/>
      <c r="FZ270" s="172"/>
    </row>
    <row r="271" spans="1:183" ht="27" hidden="1" customHeight="1">
      <c r="A271" s="645"/>
      <c r="B271" s="645"/>
      <c r="C271" s="645"/>
      <c r="D271" s="645"/>
      <c r="E271" s="646"/>
      <c r="J271" s="38"/>
      <c r="K271" s="51"/>
      <c r="L271" s="51"/>
      <c r="M271" s="2150"/>
      <c r="N271" s="2150"/>
      <c r="O271" s="2150"/>
      <c r="P271" s="2150"/>
      <c r="Q271" s="2150"/>
      <c r="R271" s="2150"/>
      <c r="S271" s="1846"/>
      <c r="T271" s="1846"/>
      <c r="U271" s="1846"/>
      <c r="V271" s="1846"/>
      <c r="W271" s="1846"/>
      <c r="X271" s="1846"/>
      <c r="Y271" s="1846"/>
      <c r="Z271" s="1846"/>
      <c r="AA271" s="1846"/>
      <c r="AB271" s="1772"/>
      <c r="AC271" s="1796"/>
      <c r="AD271" s="1796"/>
      <c r="AE271" s="896" t="s">
        <v>728</v>
      </c>
      <c r="AF271" s="896"/>
      <c r="AG271" s="896"/>
      <c r="AH271" s="896"/>
      <c r="AI271" s="896"/>
      <c r="AJ271" s="896"/>
      <c r="AK271" s="896"/>
      <c r="AL271" s="896"/>
      <c r="AM271" s="896"/>
      <c r="AN271" s="896"/>
      <c r="AO271" s="896"/>
      <c r="AP271" s="896"/>
      <c r="AQ271" s="62" t="str">
        <f t="shared" ref="AQ271:AQ275" si="19">IF(AB271="","←どちらかは必ず選んでください","")</f>
        <v>←どちらかは必ず選んでください</v>
      </c>
      <c r="AR271" s="896"/>
      <c r="AS271" s="896"/>
      <c r="AT271" s="896"/>
      <c r="AU271" s="896"/>
      <c r="AV271" s="896"/>
      <c r="AW271" s="896"/>
      <c r="AX271" s="896"/>
      <c r="AY271" s="896"/>
      <c r="AZ271" s="896"/>
      <c r="BA271" s="896"/>
      <c r="BB271" s="896"/>
      <c r="BC271" s="896"/>
      <c r="BD271" s="896"/>
      <c r="BE271" s="896"/>
      <c r="BF271" s="896"/>
      <c r="BG271" s="896"/>
      <c r="BH271" s="896"/>
      <c r="BI271" s="896"/>
      <c r="BJ271" s="896"/>
      <c r="BK271" s="896"/>
      <c r="BL271" s="896"/>
      <c r="BM271" s="896"/>
      <c r="BN271" s="896"/>
      <c r="BO271" s="896"/>
      <c r="BP271" s="896"/>
      <c r="BQ271" s="896"/>
      <c r="BR271" s="896"/>
      <c r="BS271" s="896"/>
      <c r="BT271" s="896"/>
      <c r="BU271" s="713"/>
      <c r="BV271" s="713"/>
      <c r="BW271" s="1922"/>
      <c r="BX271" s="1922"/>
      <c r="BY271" s="1922"/>
      <c r="BZ271" s="1922"/>
      <c r="CA271" s="1922"/>
      <c r="CB271" s="1922"/>
      <c r="CC271" s="1922"/>
      <c r="CD271" s="1922"/>
      <c r="CE271" s="1922"/>
      <c r="CF271" s="1922"/>
      <c r="CG271" s="1922"/>
      <c r="CH271" s="1922"/>
      <c r="CI271" s="1922"/>
      <c r="CJ271" s="1922"/>
      <c r="CK271" s="1922"/>
      <c r="CL271" s="1922"/>
      <c r="CM271" s="1922"/>
      <c r="CN271" s="1922"/>
      <c r="CO271" s="1922"/>
      <c r="CP271" s="1922"/>
      <c r="CQ271" s="1922"/>
      <c r="CR271" s="1922"/>
      <c r="CS271" s="1922"/>
      <c r="CT271" s="891"/>
      <c r="CU271" s="918"/>
      <c r="DD271" s="36"/>
      <c r="DE271" s="36"/>
      <c r="DF271" s="36"/>
      <c r="DG271" s="36"/>
      <c r="DH271" s="36"/>
      <c r="DI271" s="36"/>
      <c r="DJ271" s="36"/>
      <c r="DK271" s="1045"/>
      <c r="DP271" s="314">
        <f>IF(AB271="無",1,0)</f>
        <v>0</v>
      </c>
      <c r="EG271" s="172"/>
      <c r="EH271" s="172"/>
      <c r="EI271" s="172"/>
      <c r="EJ271" s="172"/>
      <c r="EK271" s="172"/>
      <c r="FV271" s="172"/>
      <c r="FW271" s="172"/>
      <c r="FX271" s="172"/>
      <c r="FY271" s="172"/>
      <c r="FZ271" s="172"/>
    </row>
    <row r="272" spans="1:183" ht="27" hidden="1" customHeight="1">
      <c r="A272" s="645"/>
      <c r="B272" s="645"/>
      <c r="C272" s="645"/>
      <c r="D272" s="645"/>
      <c r="E272" s="646"/>
      <c r="J272" s="38"/>
      <c r="K272" s="51"/>
      <c r="L272" s="51"/>
      <c r="M272" s="2150"/>
      <c r="N272" s="2150"/>
      <c r="O272" s="2150"/>
      <c r="P272" s="2150"/>
      <c r="Q272" s="2150"/>
      <c r="R272" s="2150"/>
      <c r="S272" s="1846"/>
      <c r="T272" s="1846"/>
      <c r="U272" s="1846"/>
      <c r="V272" s="1846"/>
      <c r="W272" s="1846"/>
      <c r="X272" s="1846"/>
      <c r="Y272" s="1846"/>
      <c r="Z272" s="1846"/>
      <c r="AA272" s="1846"/>
      <c r="AB272" s="1772"/>
      <c r="AC272" s="1796"/>
      <c r="AD272" s="1796"/>
      <c r="AE272" s="896" t="s">
        <v>729</v>
      </c>
      <c r="AF272" s="896"/>
      <c r="AG272" s="896"/>
      <c r="AH272" s="896"/>
      <c r="AI272" s="896"/>
      <c r="AJ272" s="896"/>
      <c r="AK272" s="896"/>
      <c r="AL272" s="896"/>
      <c r="AM272" s="896"/>
      <c r="AN272" s="896"/>
      <c r="AO272" s="896"/>
      <c r="AP272" s="896"/>
      <c r="AQ272" s="62" t="str">
        <f t="shared" si="19"/>
        <v>←どちらかは必ず選んでください</v>
      </c>
      <c r="AR272" s="896"/>
      <c r="AS272" s="896"/>
      <c r="AT272" s="896"/>
      <c r="AU272" s="896"/>
      <c r="AV272" s="896"/>
      <c r="AW272" s="896"/>
      <c r="AX272" s="896"/>
      <c r="AY272" s="896"/>
      <c r="AZ272" s="896"/>
      <c r="BA272" s="896"/>
      <c r="BB272" s="896"/>
      <c r="BC272" s="896"/>
      <c r="BD272" s="896"/>
      <c r="BE272" s="896"/>
      <c r="BF272" s="896"/>
      <c r="BG272" s="896"/>
      <c r="BH272" s="896"/>
      <c r="BI272" s="896"/>
      <c r="BJ272" s="896"/>
      <c r="BK272" s="896"/>
      <c r="BL272" s="896"/>
      <c r="BM272" s="896"/>
      <c r="BN272" s="896"/>
      <c r="BO272" s="896"/>
      <c r="BP272" s="896"/>
      <c r="BQ272" s="896"/>
      <c r="BR272" s="896"/>
      <c r="BS272" s="896"/>
      <c r="BT272" s="896"/>
      <c r="BU272" s="713"/>
      <c r="BV272" s="713"/>
      <c r="BW272" s="1922"/>
      <c r="BX272" s="1922"/>
      <c r="BY272" s="1922"/>
      <c r="BZ272" s="1922"/>
      <c r="CA272" s="1922"/>
      <c r="CB272" s="1922"/>
      <c r="CC272" s="1922"/>
      <c r="CD272" s="1922"/>
      <c r="CE272" s="1922"/>
      <c r="CF272" s="1922"/>
      <c r="CG272" s="1922"/>
      <c r="CH272" s="1922"/>
      <c r="CI272" s="1922"/>
      <c r="CJ272" s="1922"/>
      <c r="CK272" s="1922"/>
      <c r="CL272" s="1922"/>
      <c r="CM272" s="1922"/>
      <c r="CN272" s="1922"/>
      <c r="CO272" s="1922"/>
      <c r="CP272" s="1922"/>
      <c r="CQ272" s="1922"/>
      <c r="CR272" s="1922"/>
      <c r="CS272" s="1922"/>
      <c r="CT272" s="891"/>
      <c r="CU272" s="918"/>
      <c r="DD272" s="36"/>
      <c r="DE272" s="36"/>
      <c r="DF272" s="36"/>
      <c r="DG272" s="36"/>
      <c r="DH272" s="36"/>
      <c r="DI272" s="36"/>
      <c r="DJ272" s="36"/>
      <c r="DK272" s="1045"/>
      <c r="DP272" s="314">
        <f t="shared" ref="DP272:DP273" si="20">IF(AB272="無",1,0)</f>
        <v>0</v>
      </c>
      <c r="EG272" s="172"/>
      <c r="EH272" s="172"/>
      <c r="EI272" s="172"/>
      <c r="EJ272" s="172"/>
      <c r="EK272" s="172"/>
      <c r="FV272" s="172"/>
      <c r="FW272" s="172"/>
      <c r="FX272" s="172"/>
      <c r="FY272" s="172"/>
      <c r="FZ272" s="172"/>
    </row>
    <row r="273" spans="1:183" ht="27" hidden="1" customHeight="1" thickBot="1">
      <c r="A273" s="645"/>
      <c r="B273" s="645"/>
      <c r="C273" s="645"/>
      <c r="D273" s="645"/>
      <c r="E273" s="646"/>
      <c r="J273" s="38"/>
      <c r="K273" s="51"/>
      <c r="L273" s="51"/>
      <c r="M273" s="2150"/>
      <c r="N273" s="2150"/>
      <c r="O273" s="2150"/>
      <c r="P273" s="2150"/>
      <c r="Q273" s="2150"/>
      <c r="R273" s="2150"/>
      <c r="S273" s="1846"/>
      <c r="T273" s="1846"/>
      <c r="U273" s="1846"/>
      <c r="V273" s="1846"/>
      <c r="W273" s="1846"/>
      <c r="X273" s="1846"/>
      <c r="Y273" s="1846"/>
      <c r="Z273" s="1846"/>
      <c r="AA273" s="1846"/>
      <c r="AB273" s="1772"/>
      <c r="AC273" s="1796"/>
      <c r="AD273" s="1796"/>
      <c r="AE273" s="897" t="s">
        <v>730</v>
      </c>
      <c r="AF273" s="897"/>
      <c r="AG273" s="896"/>
      <c r="AH273" s="896"/>
      <c r="AI273" s="896"/>
      <c r="AJ273" s="896"/>
      <c r="AK273" s="896"/>
      <c r="AL273" s="896"/>
      <c r="AM273" s="896"/>
      <c r="AN273" s="896"/>
      <c r="AO273" s="896"/>
      <c r="AP273" s="896"/>
      <c r="AQ273" s="62" t="str">
        <f t="shared" si="19"/>
        <v>←どちらかは必ず選んでください</v>
      </c>
      <c r="AR273" s="896"/>
      <c r="AS273" s="896"/>
      <c r="AT273" s="896"/>
      <c r="AU273" s="896"/>
      <c r="AV273" s="896"/>
      <c r="AW273" s="896"/>
      <c r="AX273" s="896"/>
      <c r="AY273" s="896"/>
      <c r="AZ273" s="896"/>
      <c r="BA273" s="896"/>
      <c r="BB273" s="896"/>
      <c r="BC273" s="896"/>
      <c r="BD273" s="896"/>
      <c r="BE273" s="896"/>
      <c r="BF273" s="896"/>
      <c r="BG273" s="896"/>
      <c r="BH273" s="896"/>
      <c r="BI273" s="896"/>
      <c r="BJ273" s="896"/>
      <c r="BK273" s="896"/>
      <c r="BL273" s="896"/>
      <c r="BM273" s="896"/>
      <c r="BN273" s="896"/>
      <c r="BO273" s="896"/>
      <c r="BP273" s="896"/>
      <c r="BQ273" s="896"/>
      <c r="BR273" s="896"/>
      <c r="BS273" s="896"/>
      <c r="BT273" s="896"/>
      <c r="BU273" s="713"/>
      <c r="BV273" s="713"/>
      <c r="BW273" s="1922"/>
      <c r="BX273" s="1922"/>
      <c r="BY273" s="1922"/>
      <c r="BZ273" s="1922"/>
      <c r="CA273" s="1922"/>
      <c r="CB273" s="1922"/>
      <c r="CC273" s="1922"/>
      <c r="CD273" s="1922"/>
      <c r="CE273" s="1922"/>
      <c r="CF273" s="1922"/>
      <c r="CG273" s="1922"/>
      <c r="CH273" s="1922"/>
      <c r="CI273" s="1922"/>
      <c r="CJ273" s="1922"/>
      <c r="CK273" s="1922"/>
      <c r="CL273" s="1922"/>
      <c r="CM273" s="1922"/>
      <c r="CN273" s="1922"/>
      <c r="CO273" s="1922"/>
      <c r="CP273" s="1922"/>
      <c r="CQ273" s="1922"/>
      <c r="CR273" s="1922"/>
      <c r="CS273" s="1922"/>
      <c r="CT273" s="891"/>
      <c r="CU273" s="918"/>
      <c r="DD273" s="36"/>
      <c r="DE273" s="36"/>
      <c r="DF273" s="36"/>
      <c r="DG273" s="36"/>
      <c r="DH273" s="36"/>
      <c r="DI273" s="36"/>
      <c r="DJ273" s="36"/>
      <c r="DK273" s="1045"/>
      <c r="DP273" s="400">
        <f t="shared" si="20"/>
        <v>0</v>
      </c>
      <c r="EG273" s="178"/>
      <c r="EH273" s="178"/>
      <c r="EI273" s="178"/>
      <c r="EJ273" s="178"/>
      <c r="EK273" s="178"/>
      <c r="FV273" s="178"/>
      <c r="FW273" s="178"/>
      <c r="FX273" s="178"/>
      <c r="FY273" s="178"/>
      <c r="FZ273" s="178"/>
    </row>
    <row r="274" spans="1:183" ht="27" customHeight="1" thickBot="1">
      <c r="A274" s="645"/>
      <c r="B274" s="645"/>
      <c r="C274" s="645"/>
      <c r="D274" s="645"/>
      <c r="E274" s="646"/>
      <c r="J274" s="38"/>
      <c r="K274" s="51"/>
      <c r="L274" s="51"/>
      <c r="M274" s="2151"/>
      <c r="N274" s="2151"/>
      <c r="O274" s="2151"/>
      <c r="P274" s="2151"/>
      <c r="Q274" s="2151"/>
      <c r="R274" s="2151"/>
      <c r="S274" s="2185" t="s">
        <v>735</v>
      </c>
      <c r="T274" s="2211"/>
      <c r="U274" s="2211"/>
      <c r="V274" s="2211"/>
      <c r="W274" s="2211"/>
      <c r="X274" s="2211"/>
      <c r="Y274" s="2211"/>
      <c r="Z274" s="2211"/>
      <c r="AA274" s="2211"/>
      <c r="AB274" s="1797"/>
      <c r="AC274" s="2105"/>
      <c r="AD274" s="2105"/>
      <c r="AE274" s="2105"/>
      <c r="AF274" s="2105"/>
      <c r="AG274" s="911"/>
      <c r="AH274" s="911"/>
      <c r="AI274" s="911"/>
      <c r="AJ274" s="911"/>
      <c r="AK274" s="911"/>
      <c r="AL274" s="911"/>
      <c r="AM274" s="911"/>
      <c r="AN274" s="911"/>
      <c r="AO274" s="911"/>
      <c r="AP274" s="911"/>
      <c r="AQ274" s="63" t="str">
        <f t="shared" si="19"/>
        <v>←どちらかは必ず選んでください</v>
      </c>
      <c r="AR274" s="911"/>
      <c r="AS274" s="911"/>
      <c r="AT274" s="911"/>
      <c r="AU274" s="911"/>
      <c r="AV274" s="911"/>
      <c r="AW274" s="911"/>
      <c r="AX274" s="911"/>
      <c r="AY274" s="911"/>
      <c r="AZ274" s="911"/>
      <c r="BA274" s="911"/>
      <c r="BB274" s="911"/>
      <c r="BC274" s="911"/>
      <c r="BD274" s="911"/>
      <c r="BE274" s="911"/>
      <c r="BF274" s="911"/>
      <c r="BG274" s="911"/>
      <c r="BH274" s="911"/>
      <c r="BI274" s="911"/>
      <c r="BJ274" s="911"/>
      <c r="BK274" s="911"/>
      <c r="BL274" s="911"/>
      <c r="BM274" s="911"/>
      <c r="BN274" s="911"/>
      <c r="BO274" s="911"/>
      <c r="BP274" s="911"/>
      <c r="BQ274" s="911"/>
      <c r="BR274" s="911"/>
      <c r="BS274" s="911"/>
      <c r="BT274" s="911"/>
      <c r="BU274" s="713"/>
      <c r="BV274" s="713"/>
      <c r="BW274" s="1922"/>
      <c r="BX274" s="1922"/>
      <c r="BY274" s="1922"/>
      <c r="BZ274" s="1922"/>
      <c r="CA274" s="1922"/>
      <c r="CB274" s="1922"/>
      <c r="CC274" s="1922"/>
      <c r="CD274" s="1922"/>
      <c r="CE274" s="1922"/>
      <c r="CF274" s="1922"/>
      <c r="CG274" s="1922"/>
      <c r="CH274" s="1922"/>
      <c r="CI274" s="1922"/>
      <c r="CJ274" s="1922"/>
      <c r="CK274" s="1922"/>
      <c r="CL274" s="1922"/>
      <c r="CM274" s="1922"/>
      <c r="CN274" s="1922"/>
      <c r="CO274" s="1922"/>
      <c r="CP274" s="1922"/>
      <c r="CQ274" s="1922"/>
      <c r="CR274" s="1922"/>
      <c r="CS274" s="1922"/>
      <c r="CT274" s="891"/>
      <c r="CU274" s="918"/>
      <c r="DD274" s="36"/>
      <c r="DE274" s="36"/>
      <c r="DF274" s="36"/>
      <c r="DG274" s="36"/>
      <c r="DH274" s="36"/>
      <c r="DI274" s="36"/>
      <c r="DJ274" s="36"/>
      <c r="DK274" s="1045"/>
      <c r="DO274" s="166" t="s">
        <v>2413</v>
      </c>
      <c r="DP274" s="401">
        <f>SUM(DP270:DP273)</f>
        <v>0</v>
      </c>
      <c r="EG274" s="178"/>
      <c r="EH274" s="178"/>
      <c r="EI274" s="178"/>
      <c r="EJ274" s="178"/>
      <c r="EK274" s="178"/>
      <c r="FV274" s="178"/>
      <c r="FW274" s="178"/>
      <c r="FX274" s="178"/>
      <c r="FY274" s="178"/>
      <c r="FZ274" s="178"/>
    </row>
    <row r="275" spans="1:183" s="172" customFormat="1" ht="27" customHeight="1">
      <c r="A275" s="645"/>
      <c r="B275" s="645"/>
      <c r="C275" s="645"/>
      <c r="D275" s="645"/>
      <c r="E275" s="646"/>
      <c r="F275" s="381"/>
      <c r="G275" s="381"/>
      <c r="H275" s="381"/>
      <c r="I275" s="251"/>
      <c r="J275" s="39"/>
      <c r="K275" s="896"/>
      <c r="L275" s="896"/>
      <c r="M275" s="1809" t="s">
        <v>732</v>
      </c>
      <c r="N275" s="2173"/>
      <c r="O275" s="2173"/>
      <c r="P275" s="2173"/>
      <c r="Q275" s="2173"/>
      <c r="R275" s="2173"/>
      <c r="S275" s="1960" t="s">
        <v>733</v>
      </c>
      <c r="T275" s="1960"/>
      <c r="U275" s="1960"/>
      <c r="V275" s="1960"/>
      <c r="W275" s="1960"/>
      <c r="X275" s="1960"/>
      <c r="Y275" s="1960"/>
      <c r="Z275" s="1960"/>
      <c r="AA275" s="1960"/>
      <c r="AB275" s="1854"/>
      <c r="AC275" s="1854"/>
      <c r="AD275" s="1854"/>
      <c r="AE275" s="892" t="s">
        <v>731</v>
      </c>
      <c r="AF275" s="892"/>
      <c r="AG275" s="892"/>
      <c r="AH275" s="892"/>
      <c r="AI275" s="892"/>
      <c r="AJ275" s="892"/>
      <c r="AK275" s="892"/>
      <c r="AL275" s="892"/>
      <c r="AM275" s="892"/>
      <c r="AN275" s="892"/>
      <c r="AO275" s="892"/>
      <c r="AP275" s="892"/>
      <c r="AQ275" s="61" t="str">
        <f t="shared" si="19"/>
        <v>←どちらかは必ず選んでください</v>
      </c>
      <c r="AR275" s="898"/>
      <c r="AS275" s="898"/>
      <c r="AT275" s="898"/>
      <c r="AU275" s="42"/>
      <c r="AV275" s="898"/>
      <c r="AW275" s="898"/>
      <c r="AX275" s="898"/>
      <c r="AY275" s="898"/>
      <c r="AZ275" s="898"/>
      <c r="BA275" s="898"/>
      <c r="BB275" s="898"/>
      <c r="BC275" s="898"/>
      <c r="BD275" s="898"/>
      <c r="BE275" s="898"/>
      <c r="BF275" s="898"/>
      <c r="BG275" s="898"/>
      <c r="BH275" s="898"/>
      <c r="BI275" s="898"/>
      <c r="BJ275" s="898"/>
      <c r="BK275" s="898"/>
      <c r="BL275" s="898"/>
      <c r="BM275" s="898"/>
      <c r="BN275" s="898"/>
      <c r="BO275" s="898"/>
      <c r="BP275" s="898"/>
      <c r="BQ275" s="898"/>
      <c r="BR275" s="898"/>
      <c r="BS275" s="898"/>
      <c r="BT275" s="898"/>
      <c r="BU275" s="713"/>
      <c r="BV275" s="713"/>
      <c r="BW275" s="2447" t="s">
        <v>2830</v>
      </c>
      <c r="BX275" s="2447"/>
      <c r="BY275" s="2447"/>
      <c r="BZ275" s="2447"/>
      <c r="CA275" s="2447"/>
      <c r="CB275" s="2447"/>
      <c r="CC275" s="2447"/>
      <c r="CD275" s="2447"/>
      <c r="CE275" s="2447"/>
      <c r="CF275" s="2447"/>
      <c r="CG275" s="2447"/>
      <c r="CH275" s="2447"/>
      <c r="CI275" s="2447"/>
      <c r="CJ275" s="2447"/>
      <c r="CK275" s="2447"/>
      <c r="CL275" s="2447"/>
      <c r="CM275" s="2447"/>
      <c r="CN275" s="2447"/>
      <c r="CO275" s="2447"/>
      <c r="CP275" s="2447"/>
      <c r="CQ275" s="2447"/>
      <c r="CR275" s="2447"/>
      <c r="CS275" s="2447"/>
      <c r="CT275" s="891"/>
      <c r="CU275" s="918"/>
      <c r="CV275" s="398"/>
      <c r="CW275" s="398"/>
      <c r="CX275" s="398"/>
      <c r="CY275" s="398"/>
      <c r="CZ275" s="398"/>
      <c r="DA275" s="398"/>
      <c r="DB275" s="398"/>
      <c r="DC275" s="35"/>
      <c r="DD275" s="36"/>
      <c r="DE275" s="36"/>
      <c r="DF275" s="36"/>
      <c r="DG275" s="36"/>
      <c r="DH275" s="36"/>
      <c r="DI275" s="36"/>
      <c r="DJ275" s="36"/>
      <c r="DK275" s="1045"/>
      <c r="DL275" s="1046"/>
      <c r="DP275" s="171"/>
      <c r="DQ275" s="171" t="s">
        <v>1333</v>
      </c>
      <c r="FO275" s="1046"/>
      <c r="GA275" s="171"/>
    </row>
    <row r="276" spans="1:183" ht="27" customHeight="1">
      <c r="A276" s="645"/>
      <c r="B276" s="645"/>
      <c r="C276" s="645"/>
      <c r="D276" s="645"/>
      <c r="E276" s="646"/>
      <c r="J276" s="88"/>
      <c r="K276" s="89"/>
      <c r="L276" s="89"/>
      <c r="M276" s="2173"/>
      <c r="N276" s="2173"/>
      <c r="O276" s="2173"/>
      <c r="P276" s="2173"/>
      <c r="Q276" s="2173"/>
      <c r="R276" s="2173"/>
      <c r="S276" s="1866" t="s">
        <v>734</v>
      </c>
      <c r="T276" s="1866"/>
      <c r="U276" s="1866"/>
      <c r="V276" s="1866"/>
      <c r="W276" s="1866"/>
      <c r="X276" s="1866"/>
      <c r="Y276" s="1866"/>
      <c r="Z276" s="1866"/>
      <c r="AA276" s="1866"/>
      <c r="AB276" s="2276"/>
      <c r="AC276" s="2276"/>
      <c r="AD276" s="2276"/>
      <c r="AE276" s="2276"/>
      <c r="AF276" s="2276"/>
      <c r="AG276" s="2432"/>
      <c r="AH276" s="2432"/>
      <c r="AI276" s="2432"/>
      <c r="AJ276" s="2432"/>
      <c r="AK276" s="2432"/>
      <c r="AL276" s="2432"/>
      <c r="AM276" s="2432"/>
      <c r="AN276" s="2432"/>
      <c r="AO276" s="2432"/>
      <c r="AP276" s="2432"/>
      <c r="AQ276" s="896" t="s">
        <v>17</v>
      </c>
      <c r="AR276" s="896"/>
      <c r="AS276" s="2451" t="str">
        <f>IF(AND(AB275="有",AB276=""),"←「有」の場合、設置階を半角英文字で入力してください。(例：B1、1、12など)","")</f>
        <v/>
      </c>
      <c r="AT276" s="2452"/>
      <c r="AU276" s="2452"/>
      <c r="AV276" s="2452"/>
      <c r="AW276" s="2452"/>
      <c r="AX276" s="2452"/>
      <c r="AY276" s="2452"/>
      <c r="AZ276" s="2452"/>
      <c r="BA276" s="2452"/>
      <c r="BB276" s="2452"/>
      <c r="BC276" s="2452"/>
      <c r="BD276" s="2452"/>
      <c r="BE276" s="2452"/>
      <c r="BF276" s="2452"/>
      <c r="BG276" s="2452"/>
      <c r="BH276" s="2452"/>
      <c r="BI276" s="2452"/>
      <c r="BJ276" s="2452"/>
      <c r="BK276" s="2452"/>
      <c r="BL276" s="2452"/>
      <c r="BM276" s="2452"/>
      <c r="BN276" s="2452"/>
      <c r="BO276" s="2452"/>
      <c r="BP276" s="2452"/>
      <c r="BQ276" s="2452"/>
      <c r="BR276" s="2452"/>
      <c r="BS276" s="2452"/>
      <c r="BT276" s="2452"/>
      <c r="BU276" s="713"/>
      <c r="BV276" s="713"/>
      <c r="BW276" s="2447"/>
      <c r="BX276" s="2447"/>
      <c r="BY276" s="2447"/>
      <c r="BZ276" s="2447"/>
      <c r="CA276" s="2447"/>
      <c r="CB276" s="2447"/>
      <c r="CC276" s="2447"/>
      <c r="CD276" s="2447"/>
      <c r="CE276" s="2447"/>
      <c r="CF276" s="2447"/>
      <c r="CG276" s="2447"/>
      <c r="CH276" s="2447"/>
      <c r="CI276" s="2447"/>
      <c r="CJ276" s="2447"/>
      <c r="CK276" s="2447"/>
      <c r="CL276" s="2447"/>
      <c r="CM276" s="2447"/>
      <c r="CN276" s="2447"/>
      <c r="CO276" s="2447"/>
      <c r="CP276" s="2447"/>
      <c r="CQ276" s="2447"/>
      <c r="CR276" s="2447"/>
      <c r="CS276" s="2447"/>
      <c r="CT276" s="891"/>
      <c r="CU276" s="918"/>
      <c r="DD276" s="36"/>
      <c r="DE276" s="36"/>
      <c r="DF276" s="36"/>
      <c r="DG276" s="36"/>
      <c r="DH276" s="36"/>
      <c r="DI276" s="36"/>
      <c r="DJ276" s="36"/>
      <c r="DM276" s="304" t="s">
        <v>1346</v>
      </c>
      <c r="DN276" s="306"/>
      <c r="DO276" s="303" t="s">
        <v>1330</v>
      </c>
      <c r="DP276" s="303" t="s">
        <v>1332</v>
      </c>
      <c r="EG276" s="172"/>
      <c r="EH276" s="172"/>
      <c r="EI276" s="172"/>
      <c r="EJ276" s="172"/>
      <c r="EK276" s="172"/>
      <c r="FV276" s="172"/>
      <c r="FW276" s="172"/>
      <c r="FX276" s="172"/>
      <c r="FY276" s="172"/>
      <c r="FZ276" s="172"/>
    </row>
    <row r="277" spans="1:183" s="172" customFormat="1" ht="27" customHeight="1">
      <c r="A277" s="645"/>
      <c r="B277" s="645"/>
      <c r="C277" s="645"/>
      <c r="D277" s="645"/>
      <c r="E277" s="646"/>
      <c r="F277" s="381"/>
      <c r="G277" s="381"/>
      <c r="H277" s="381"/>
      <c r="I277" s="251"/>
      <c r="J277" s="39"/>
      <c r="K277" s="896"/>
      <c r="L277" s="896"/>
      <c r="M277" s="2173"/>
      <c r="N277" s="2173"/>
      <c r="O277" s="2173"/>
      <c r="P277" s="2173"/>
      <c r="Q277" s="2173"/>
      <c r="R277" s="2173"/>
      <c r="S277" s="2185" t="s">
        <v>735</v>
      </c>
      <c r="T277" s="2211"/>
      <c r="U277" s="2211"/>
      <c r="V277" s="2211"/>
      <c r="W277" s="2211"/>
      <c r="X277" s="2211"/>
      <c r="Y277" s="2211"/>
      <c r="Z277" s="2211"/>
      <c r="AA277" s="2211"/>
      <c r="AB277" s="1797"/>
      <c r="AC277" s="2105"/>
      <c r="AD277" s="2105"/>
      <c r="AE277" s="2105"/>
      <c r="AF277" s="2105"/>
      <c r="AG277" s="894"/>
      <c r="AH277" s="894"/>
      <c r="AI277" s="894"/>
      <c r="AJ277" s="894"/>
      <c r="AK277" s="894"/>
      <c r="AL277" s="894"/>
      <c r="AM277" s="894"/>
      <c r="AN277" s="894"/>
      <c r="AO277" s="894"/>
      <c r="AP277" s="894"/>
      <c r="AQ277" s="63" t="str">
        <f>IF(AB277="","←どちらかは必ず選んでください","")</f>
        <v>←どちらかは必ず選んでください</v>
      </c>
      <c r="AR277" s="911"/>
      <c r="AS277" s="911"/>
      <c r="AT277" s="911"/>
      <c r="AU277" s="911"/>
      <c r="AV277" s="911"/>
      <c r="AW277" s="911"/>
      <c r="AX277" s="911"/>
      <c r="AY277" s="911"/>
      <c r="AZ277" s="911"/>
      <c r="BA277" s="911"/>
      <c r="BB277" s="911"/>
      <c r="BC277" s="911"/>
      <c r="BD277" s="911"/>
      <c r="BE277" s="911"/>
      <c r="BF277" s="911"/>
      <c r="BG277" s="911"/>
      <c r="BH277" s="911"/>
      <c r="BI277" s="911"/>
      <c r="BJ277" s="911"/>
      <c r="BK277" s="911"/>
      <c r="BL277" s="911"/>
      <c r="BM277" s="911"/>
      <c r="BN277" s="911"/>
      <c r="BO277" s="911"/>
      <c r="BP277" s="911"/>
      <c r="BQ277" s="911"/>
      <c r="BR277" s="911"/>
      <c r="BS277" s="911"/>
      <c r="BT277" s="911"/>
      <c r="BU277" s="713"/>
      <c r="BV277" s="1138" t="s">
        <v>2727</v>
      </c>
      <c r="BW277" s="713" t="s">
        <v>2813</v>
      </c>
      <c r="BX277" s="891"/>
      <c r="BY277" s="891"/>
      <c r="BZ277" s="891"/>
      <c r="CA277" s="891"/>
      <c r="CB277" s="891"/>
      <c r="CC277" s="891"/>
      <c r="CD277" s="891"/>
      <c r="CE277" s="891"/>
      <c r="CF277" s="891"/>
      <c r="CG277" s="891"/>
      <c r="CH277" s="891"/>
      <c r="CI277" s="891"/>
      <c r="CJ277" s="891"/>
      <c r="CK277" s="891"/>
      <c r="CL277" s="891"/>
      <c r="CM277" s="891"/>
      <c r="CN277" s="891"/>
      <c r="CO277" s="891"/>
      <c r="CP277" s="891"/>
      <c r="CQ277" s="891"/>
      <c r="CR277" s="891"/>
      <c r="CS277" s="891"/>
      <c r="CT277" s="891"/>
      <c r="CU277" s="918"/>
      <c r="CV277" s="398"/>
      <c r="CW277" s="398"/>
      <c r="CX277" s="398"/>
      <c r="CY277" s="398"/>
      <c r="CZ277" s="398"/>
      <c r="DA277" s="398"/>
      <c r="DB277" s="398"/>
      <c r="DC277" s="35"/>
      <c r="DD277" s="36"/>
      <c r="DE277" s="36"/>
      <c r="DF277" s="36"/>
      <c r="DG277" s="36"/>
      <c r="DH277" s="36"/>
      <c r="DI277" s="36"/>
      <c r="DJ277" s="36"/>
      <c r="DK277" s="1045"/>
      <c r="DL277" s="1046"/>
      <c r="DM277" s="303" t="str">
        <f>IF(AB277="対象",AB276,"")</f>
        <v/>
      </c>
      <c r="DN277" s="307"/>
      <c r="DO277" s="303" t="str">
        <f>IF(AB277="対象","レ","")</f>
        <v/>
      </c>
      <c r="DP277" s="303" t="str">
        <f>IF(AB277="対象外","レ","")</f>
        <v/>
      </c>
      <c r="DQ277" s="171"/>
      <c r="FO277" s="1046"/>
      <c r="GA277" s="171"/>
    </row>
    <row r="278" spans="1:183" s="172" customFormat="1" ht="27" customHeight="1">
      <c r="A278" s="645"/>
      <c r="B278" s="645"/>
      <c r="C278" s="645"/>
      <c r="D278" s="645"/>
      <c r="E278" s="646"/>
      <c r="F278" s="381"/>
      <c r="G278" s="381"/>
      <c r="H278" s="381"/>
      <c r="I278" s="251"/>
      <c r="J278" s="39"/>
      <c r="K278" s="896"/>
      <c r="L278" s="896"/>
      <c r="M278" s="2154" t="s">
        <v>1175</v>
      </c>
      <c r="N278" s="2166"/>
      <c r="O278" s="2166"/>
      <c r="P278" s="2166"/>
      <c r="Q278" s="2166"/>
      <c r="R278" s="2166"/>
      <c r="S278" s="1960" t="s">
        <v>720</v>
      </c>
      <c r="T278" s="1960"/>
      <c r="U278" s="1960"/>
      <c r="V278" s="1960"/>
      <c r="W278" s="1960"/>
      <c r="X278" s="1960"/>
      <c r="Y278" s="1960"/>
      <c r="Z278" s="1960"/>
      <c r="AA278" s="1960"/>
      <c r="AB278" s="2213"/>
      <c r="AC278" s="2213"/>
      <c r="AD278" s="2213"/>
      <c r="AE278" s="61"/>
      <c r="AF278" s="898"/>
      <c r="AG278" s="898"/>
      <c r="AH278" s="61" t="str">
        <f>IF(AB278="","←どちらかは必ず選んでください","")</f>
        <v>←どちらかは必ず選んでください</v>
      </c>
      <c r="AI278" s="898"/>
      <c r="AJ278" s="898"/>
      <c r="AK278" s="898"/>
      <c r="AL278" s="898"/>
      <c r="AM278" s="898"/>
      <c r="AN278" s="898"/>
      <c r="AO278" s="898"/>
      <c r="AP278" s="898"/>
      <c r="AQ278" s="61"/>
      <c r="AR278" s="898"/>
      <c r="AS278" s="898"/>
      <c r="AT278" s="898"/>
      <c r="AU278" s="898"/>
      <c r="AV278" s="898"/>
      <c r="AW278" s="898"/>
      <c r="AX278" s="898"/>
      <c r="AY278" s="898"/>
      <c r="AZ278" s="898"/>
      <c r="BA278" s="898"/>
      <c r="BB278" s="898"/>
      <c r="BC278" s="898"/>
      <c r="BD278" s="898"/>
      <c r="BE278" s="898"/>
      <c r="BF278" s="898"/>
      <c r="BG278" s="898"/>
      <c r="BH278" s="898"/>
      <c r="BI278" s="898"/>
      <c r="BJ278" s="898"/>
      <c r="BK278" s="898"/>
      <c r="BL278" s="898"/>
      <c r="BM278" s="898"/>
      <c r="BN278" s="898"/>
      <c r="BO278" s="898"/>
      <c r="BP278" s="898"/>
      <c r="BQ278" s="898"/>
      <c r="BR278" s="898"/>
      <c r="BS278" s="898"/>
      <c r="BT278" s="898"/>
      <c r="BU278" s="713"/>
      <c r="BV278" s="713"/>
      <c r="BW278" s="1922" t="s">
        <v>2816</v>
      </c>
      <c r="BX278" s="2049"/>
      <c r="BY278" s="2049"/>
      <c r="BZ278" s="2049"/>
      <c r="CA278" s="2049"/>
      <c r="CB278" s="2049"/>
      <c r="CC278" s="2049"/>
      <c r="CD278" s="2049"/>
      <c r="CE278" s="2049"/>
      <c r="CF278" s="2049"/>
      <c r="CG278" s="2049"/>
      <c r="CH278" s="2049"/>
      <c r="CI278" s="2049"/>
      <c r="CJ278" s="2049"/>
      <c r="CK278" s="2049"/>
      <c r="CL278" s="2049"/>
      <c r="CM278" s="2049"/>
      <c r="CN278" s="2049"/>
      <c r="CO278" s="2049"/>
      <c r="CP278" s="2049"/>
      <c r="CQ278" s="2049"/>
      <c r="CR278" s="2049"/>
      <c r="CS278" s="2049"/>
      <c r="CT278" s="891"/>
      <c r="CU278" s="918"/>
      <c r="CV278" s="398"/>
      <c r="CW278" s="398"/>
      <c r="CX278" s="398"/>
      <c r="CY278" s="398"/>
      <c r="CZ278" s="398"/>
      <c r="DA278" s="398"/>
      <c r="DB278" s="398"/>
      <c r="DC278" s="35"/>
      <c r="DD278" s="36"/>
      <c r="DE278" s="36"/>
      <c r="DF278" s="36"/>
      <c r="DG278" s="36"/>
      <c r="DH278" s="36"/>
      <c r="DI278" s="36"/>
      <c r="DJ278" s="36"/>
      <c r="DK278" s="1045"/>
      <c r="DL278" s="1046"/>
      <c r="DM278" s="166"/>
      <c r="DN278" s="171"/>
      <c r="DO278" s="171"/>
      <c r="DP278" s="171"/>
      <c r="DQ278" s="171"/>
      <c r="EG278" s="178"/>
      <c r="EH278" s="178"/>
      <c r="EI278" s="178"/>
      <c r="EJ278" s="178"/>
      <c r="EK278" s="178"/>
      <c r="FO278" s="1046"/>
      <c r="FV278" s="178"/>
      <c r="FW278" s="178"/>
      <c r="FX278" s="178"/>
      <c r="FY278" s="178"/>
      <c r="FZ278" s="178"/>
      <c r="GA278" s="171"/>
    </row>
    <row r="279" spans="1:183" ht="27" customHeight="1" thickBot="1">
      <c r="A279" s="645"/>
      <c r="B279" s="645"/>
      <c r="C279" s="645"/>
      <c r="D279" s="645"/>
      <c r="E279" s="646"/>
      <c r="J279" s="39"/>
      <c r="K279" s="896"/>
      <c r="L279" s="896"/>
      <c r="M279" s="2170"/>
      <c r="N279" s="2170"/>
      <c r="O279" s="2170"/>
      <c r="P279" s="2170"/>
      <c r="Q279" s="2170"/>
      <c r="R279" s="2170"/>
      <c r="S279" s="2185" t="s">
        <v>735</v>
      </c>
      <c r="T279" s="2211"/>
      <c r="U279" s="2211"/>
      <c r="V279" s="2211"/>
      <c r="W279" s="2211"/>
      <c r="X279" s="2211"/>
      <c r="Y279" s="2211"/>
      <c r="Z279" s="2211"/>
      <c r="AA279" s="2211"/>
      <c r="AB279" s="1797"/>
      <c r="AC279" s="2105"/>
      <c r="AD279" s="2105"/>
      <c r="AE279" s="2105"/>
      <c r="AF279" s="2105"/>
      <c r="AG279" s="59"/>
      <c r="AH279" s="63" t="str">
        <f>IF(AB279="","←どちらかは必ず選んでください","")</f>
        <v>←どちらかは必ず選んでください</v>
      </c>
      <c r="AI279" s="1139"/>
      <c r="AJ279" s="1139"/>
      <c r="AK279" s="1139"/>
      <c r="AL279" s="1139"/>
      <c r="AM279" s="1139"/>
      <c r="AN279" s="1139"/>
      <c r="AO279" s="1139"/>
      <c r="AP279" s="1139"/>
      <c r="AQ279" s="63"/>
      <c r="AR279" s="1139"/>
      <c r="AS279" s="1139"/>
      <c r="AT279" s="1139"/>
      <c r="AU279" s="1139"/>
      <c r="AV279" s="1139"/>
      <c r="AW279" s="1139"/>
      <c r="AX279" s="1139"/>
      <c r="AY279" s="1139"/>
      <c r="AZ279" s="1139"/>
      <c r="BA279" s="1139"/>
      <c r="BB279" s="1139"/>
      <c r="BC279" s="1139"/>
      <c r="BD279" s="1139"/>
      <c r="BE279" s="1139"/>
      <c r="BF279" s="1139"/>
      <c r="BG279" s="1139"/>
      <c r="BH279" s="1139"/>
      <c r="BI279" s="1139"/>
      <c r="BJ279" s="1139"/>
      <c r="BK279" s="1139"/>
      <c r="BL279" s="1139"/>
      <c r="BM279" s="1139"/>
      <c r="BN279" s="1139"/>
      <c r="BO279" s="1139"/>
      <c r="BP279" s="1139"/>
      <c r="BQ279" s="1139"/>
      <c r="BR279" s="1139"/>
      <c r="BS279" s="1139"/>
      <c r="BT279" s="1139"/>
      <c r="BU279" s="713"/>
      <c r="BV279" s="713"/>
      <c r="BW279" s="2049"/>
      <c r="BX279" s="2049"/>
      <c r="BY279" s="2049"/>
      <c r="BZ279" s="2049"/>
      <c r="CA279" s="2049"/>
      <c r="CB279" s="2049"/>
      <c r="CC279" s="2049"/>
      <c r="CD279" s="2049"/>
      <c r="CE279" s="2049"/>
      <c r="CF279" s="2049"/>
      <c r="CG279" s="2049"/>
      <c r="CH279" s="2049"/>
      <c r="CI279" s="2049"/>
      <c r="CJ279" s="2049"/>
      <c r="CK279" s="2049"/>
      <c r="CL279" s="2049"/>
      <c r="CM279" s="2049"/>
      <c r="CN279" s="2049"/>
      <c r="CO279" s="2049"/>
      <c r="CP279" s="2049"/>
      <c r="CQ279" s="2049"/>
      <c r="CR279" s="2049"/>
      <c r="CS279" s="2049"/>
      <c r="CT279" s="891"/>
      <c r="CU279" s="918"/>
      <c r="DD279" s="36"/>
      <c r="DE279" s="36"/>
      <c r="DF279" s="36"/>
      <c r="DG279" s="36"/>
      <c r="DH279" s="36"/>
      <c r="DI279" s="36"/>
      <c r="DJ279" s="36"/>
      <c r="DK279" s="1045"/>
      <c r="EG279" s="178"/>
      <c r="EH279" s="178"/>
      <c r="EI279" s="178"/>
      <c r="EJ279" s="178"/>
      <c r="EK279" s="178"/>
      <c r="FV279" s="178"/>
      <c r="FW279" s="178"/>
      <c r="FX279" s="178"/>
      <c r="FY279" s="178"/>
      <c r="FZ279" s="178"/>
    </row>
    <row r="280" spans="1:183" ht="27" hidden="1" customHeight="1" thickBot="1">
      <c r="A280" s="645"/>
      <c r="B280" s="645"/>
      <c r="C280" s="645"/>
      <c r="D280" s="645"/>
      <c r="E280" s="646"/>
      <c r="J280" s="88"/>
      <c r="K280" s="89"/>
      <c r="L280" s="89"/>
      <c r="M280" s="1809" t="s">
        <v>736</v>
      </c>
      <c r="N280" s="1809"/>
      <c r="O280" s="1809"/>
      <c r="P280" s="1809"/>
      <c r="Q280" s="1809"/>
      <c r="R280" s="1809"/>
      <c r="S280" s="2154" t="s">
        <v>733</v>
      </c>
      <c r="T280" s="2154"/>
      <c r="U280" s="2154"/>
      <c r="V280" s="2154"/>
      <c r="W280" s="2154"/>
      <c r="X280" s="2154"/>
      <c r="Y280" s="2154"/>
      <c r="Z280" s="2154"/>
      <c r="AA280" s="2154"/>
      <c r="AB280" s="2213"/>
      <c r="AC280" s="2213"/>
      <c r="AD280" s="2213"/>
      <c r="AE280" s="1944" t="s">
        <v>737</v>
      </c>
      <c r="AF280" s="2400"/>
      <c r="AG280" s="2400"/>
      <c r="AH280" s="2400"/>
      <c r="AI280" s="2400"/>
      <c r="AJ280" s="2400"/>
      <c r="AK280" s="2400"/>
      <c r="AL280" s="2400"/>
      <c r="AM280" s="2400"/>
      <c r="AN280" s="2400"/>
      <c r="AO280" s="2400"/>
      <c r="AP280" s="2400"/>
      <c r="AQ280" s="2400"/>
      <c r="AR280" s="2400"/>
      <c r="AS280" s="2400"/>
      <c r="AT280" s="2400"/>
      <c r="AU280" s="2400"/>
      <c r="AV280" s="2400"/>
      <c r="AW280" s="2400"/>
      <c r="AX280" s="2400"/>
      <c r="AY280" s="2400"/>
      <c r="AZ280" s="2400"/>
      <c r="BA280" s="2400"/>
      <c r="BB280" s="2400"/>
      <c r="BC280" s="2400"/>
      <c r="BD280" s="2400"/>
      <c r="BE280" s="2400"/>
      <c r="BF280" s="2400"/>
      <c r="BG280" s="2400"/>
      <c r="BH280" s="2502" t="str">
        <f>IF(AB280="","←どちらかは必ず選んでください","")</f>
        <v>←どちらかは必ず選んでください</v>
      </c>
      <c r="BI280" s="2400"/>
      <c r="BJ280" s="2400"/>
      <c r="BK280" s="2400"/>
      <c r="BL280" s="2400"/>
      <c r="BM280" s="2400"/>
      <c r="BN280" s="2400"/>
      <c r="BO280" s="2400"/>
      <c r="BP280" s="2400"/>
      <c r="BQ280" s="2400"/>
      <c r="BR280" s="2400"/>
      <c r="BS280" s="2400"/>
      <c r="BT280" s="2400"/>
      <c r="BU280" s="713"/>
      <c r="BV280" s="713"/>
      <c r="BW280" s="713"/>
      <c r="BX280" s="891"/>
      <c r="BY280" s="891"/>
      <c r="BZ280" s="891"/>
      <c r="CA280" s="891"/>
      <c r="CB280" s="891"/>
      <c r="CC280" s="891"/>
      <c r="CD280" s="891"/>
      <c r="CE280" s="891"/>
      <c r="CF280" s="891"/>
      <c r="CG280" s="891"/>
      <c r="CH280" s="891"/>
      <c r="CI280" s="891"/>
      <c r="CJ280" s="891"/>
      <c r="CK280" s="891"/>
      <c r="CL280" s="891"/>
      <c r="CM280" s="891"/>
      <c r="CN280" s="891"/>
      <c r="CO280" s="891"/>
      <c r="CP280" s="891"/>
      <c r="CQ280" s="891"/>
      <c r="CR280" s="891"/>
      <c r="CS280" s="891"/>
      <c r="CT280" s="891"/>
      <c r="CU280" s="918"/>
      <c r="DD280" s="36"/>
      <c r="DE280" s="36"/>
      <c r="DF280" s="36"/>
      <c r="DG280" s="36"/>
      <c r="DH280" s="36"/>
      <c r="DI280" s="36"/>
      <c r="DJ280" s="36"/>
      <c r="EG280" s="167"/>
      <c r="EH280" s="167"/>
      <c r="EI280" s="167"/>
      <c r="EJ280" s="167"/>
      <c r="EK280" s="167"/>
      <c r="FV280" s="167"/>
      <c r="FW280" s="167"/>
      <c r="FX280" s="167"/>
      <c r="FY280" s="167"/>
      <c r="FZ280" s="167"/>
    </row>
    <row r="281" spans="1:183" ht="27" hidden="1" customHeight="1">
      <c r="A281" s="645"/>
      <c r="B281" s="645"/>
      <c r="C281" s="645"/>
      <c r="D281" s="645"/>
      <c r="E281" s="646"/>
      <c r="J281" s="93"/>
      <c r="K281" s="125"/>
      <c r="L281" s="125"/>
      <c r="M281" s="2237"/>
      <c r="N281" s="2237"/>
      <c r="O281" s="2237"/>
      <c r="P281" s="2237"/>
      <c r="Q281" s="2237"/>
      <c r="R281" s="2237"/>
      <c r="S281" s="2147" t="s">
        <v>2559</v>
      </c>
      <c r="T281" s="2147"/>
      <c r="U281" s="2147"/>
      <c r="V281" s="2147"/>
      <c r="W281" s="2147"/>
      <c r="X281" s="2147"/>
      <c r="Y281" s="2147"/>
      <c r="Z281" s="2147"/>
      <c r="AA281" s="2147"/>
      <c r="AB281" s="2439"/>
      <c r="AC281" s="2439"/>
      <c r="AD281" s="2439"/>
      <c r="AE281" s="2439"/>
      <c r="AF281" s="2439"/>
      <c r="AG281" s="2439"/>
      <c r="AH281" s="2439"/>
      <c r="AI281" s="2439"/>
      <c r="AJ281" s="2439"/>
      <c r="AK281" s="2439"/>
      <c r="AL281" s="2439"/>
      <c r="AM281" s="2439"/>
      <c r="AN281" s="2439"/>
      <c r="AO281" s="2439"/>
      <c r="AP281" s="2439"/>
      <c r="AQ281" s="379"/>
      <c r="AR281" s="56"/>
      <c r="AS281" s="2508" t="str">
        <f>IF(AND(AB280="有",AB281=""),"←「有」の場合、設置箇所を入力してください。","")</f>
        <v/>
      </c>
      <c r="AT281" s="2508"/>
      <c r="AU281" s="2508"/>
      <c r="AV281" s="2508"/>
      <c r="AW281" s="2508"/>
      <c r="AX281" s="2508"/>
      <c r="AY281" s="2508"/>
      <c r="AZ281" s="2508"/>
      <c r="BA281" s="2508"/>
      <c r="BB281" s="2508"/>
      <c r="BC281" s="2508"/>
      <c r="BD281" s="2508"/>
      <c r="BE281" s="2508"/>
      <c r="BF281" s="2508"/>
      <c r="BG281" s="2508"/>
      <c r="BH281" s="2508"/>
      <c r="BI281" s="2508"/>
      <c r="BJ281" s="2508"/>
      <c r="BK281" s="2508"/>
      <c r="BL281" s="2508"/>
      <c r="BM281" s="2508"/>
      <c r="BN281" s="2508"/>
      <c r="BO281" s="2508"/>
      <c r="BP281" s="2508"/>
      <c r="BQ281" s="2508"/>
      <c r="BR281" s="2508"/>
      <c r="BS281" s="2508"/>
      <c r="BT281" s="2508"/>
      <c r="BU281" s="716"/>
      <c r="BV281" s="716"/>
      <c r="BW281" s="716"/>
      <c r="BX281" s="925"/>
      <c r="BY281" s="925"/>
      <c r="BZ281" s="925"/>
      <c r="CA281" s="925"/>
      <c r="CB281" s="925"/>
      <c r="CC281" s="925"/>
      <c r="CD281" s="925"/>
      <c r="CE281" s="925"/>
      <c r="CF281" s="925"/>
      <c r="CG281" s="925"/>
      <c r="CH281" s="925"/>
      <c r="CI281" s="925"/>
      <c r="CJ281" s="925"/>
      <c r="CK281" s="925"/>
      <c r="CL281" s="925"/>
      <c r="CM281" s="925"/>
      <c r="CN281" s="925"/>
      <c r="CO281" s="925"/>
      <c r="CP281" s="925"/>
      <c r="CQ281" s="925"/>
      <c r="CR281" s="925"/>
      <c r="CS281" s="925"/>
      <c r="CT281" s="925"/>
      <c r="CU281" s="926"/>
      <c r="DD281" s="36"/>
      <c r="DE281" s="36"/>
      <c r="DF281" s="36"/>
      <c r="DG281" s="36"/>
      <c r="DH281" s="36"/>
      <c r="DI281" s="36"/>
      <c r="DJ281" s="36"/>
      <c r="EG281" s="167"/>
      <c r="EH281" s="167"/>
      <c r="EI281" s="167"/>
      <c r="EJ281" s="167"/>
      <c r="EK281" s="167"/>
      <c r="FV281" s="167"/>
      <c r="FW281" s="167"/>
      <c r="FX281" s="167"/>
      <c r="FY281" s="167"/>
      <c r="FZ281" s="167"/>
    </row>
    <row r="282" spans="1:183" ht="15" customHeight="1">
      <c r="A282" s="645"/>
      <c r="B282" s="645"/>
      <c r="C282" s="645"/>
      <c r="D282" s="645"/>
      <c r="E282" s="646"/>
      <c r="J282" s="640"/>
      <c r="K282" s="640"/>
      <c r="L282" s="640"/>
      <c r="M282" s="640"/>
      <c r="N282" s="640"/>
      <c r="O282" s="640"/>
      <c r="P282" s="640"/>
      <c r="Q282" s="640"/>
      <c r="R282" s="640"/>
      <c r="S282" s="640"/>
      <c r="T282" s="640"/>
      <c r="U282" s="640"/>
      <c r="V282" s="640"/>
      <c r="W282" s="640"/>
      <c r="X282" s="640"/>
      <c r="Y282" s="640"/>
      <c r="Z282" s="640"/>
      <c r="AA282" s="640"/>
      <c r="AB282" s="641"/>
      <c r="AC282" s="641"/>
      <c r="AD282" s="641"/>
      <c r="AE282" s="641"/>
      <c r="AF282" s="641"/>
      <c r="AG282" s="641"/>
      <c r="AH282" s="641"/>
      <c r="AI282" s="641"/>
      <c r="AJ282" s="641"/>
      <c r="AK282" s="641"/>
      <c r="AL282" s="641"/>
      <c r="AM282" s="641"/>
      <c r="AN282" s="641"/>
      <c r="AO282" s="641"/>
      <c r="AP282" s="641"/>
      <c r="AQ282" s="641"/>
      <c r="AR282" s="641"/>
      <c r="AS282" s="641"/>
      <c r="AT282" s="641"/>
      <c r="AU282" s="641"/>
      <c r="AV282" s="641"/>
      <c r="AW282" s="641"/>
      <c r="AX282" s="641"/>
      <c r="AY282" s="641"/>
      <c r="AZ282" s="641"/>
      <c r="BA282" s="641"/>
      <c r="BB282" s="641"/>
      <c r="BC282" s="641"/>
      <c r="BD282" s="641"/>
      <c r="BE282" s="641"/>
      <c r="BF282" s="641"/>
      <c r="BG282" s="641"/>
      <c r="BH282" s="641"/>
      <c r="BI282" s="641"/>
      <c r="BJ282" s="641"/>
      <c r="BK282" s="641"/>
      <c r="BL282" s="641"/>
      <c r="BM282" s="641"/>
      <c r="BN282" s="641"/>
      <c r="BO282" s="641"/>
      <c r="BP282" s="641"/>
      <c r="BQ282" s="641"/>
      <c r="BR282" s="641"/>
      <c r="BS282" s="641"/>
      <c r="BT282" s="641"/>
      <c r="BU282" s="1140"/>
      <c r="BV282" s="719"/>
      <c r="BW282" s="719"/>
      <c r="BX282" s="719"/>
      <c r="BY282" s="719"/>
      <c r="BZ282" s="719"/>
      <c r="CA282" s="719"/>
      <c r="CB282" s="719"/>
      <c r="CC282" s="719"/>
      <c r="CD282" s="719"/>
      <c r="CE282" s="719"/>
      <c r="CF282" s="719"/>
      <c r="CG282" s="719"/>
      <c r="CH282" s="719"/>
      <c r="CI282" s="719"/>
      <c r="CJ282" s="719"/>
      <c r="CK282" s="719"/>
      <c r="CL282" s="719"/>
      <c r="CM282" s="719"/>
      <c r="CN282" s="719"/>
      <c r="CO282" s="719"/>
      <c r="CP282" s="719"/>
      <c r="CQ282" s="719"/>
      <c r="CR282" s="719"/>
      <c r="CS282" s="719"/>
      <c r="CT282" s="719"/>
      <c r="CU282" s="719"/>
      <c r="DD282" s="36"/>
      <c r="DE282" s="36"/>
      <c r="DF282" s="36"/>
      <c r="DG282" s="36"/>
      <c r="DH282" s="36"/>
      <c r="DI282" s="36"/>
      <c r="DJ282" s="36"/>
      <c r="EG282" s="172"/>
      <c r="EH282" s="172"/>
      <c r="EI282" s="172"/>
      <c r="EJ282" s="172"/>
      <c r="EK282" s="172"/>
      <c r="FV282" s="172"/>
      <c r="FW282" s="172"/>
      <c r="FX282" s="172"/>
      <c r="FY282" s="172"/>
      <c r="FZ282" s="172"/>
    </row>
    <row r="283" spans="1:183" ht="2.15" customHeight="1">
      <c r="A283" s="645"/>
      <c r="B283" s="645"/>
      <c r="C283" s="645"/>
      <c r="D283" s="645"/>
      <c r="E283" s="646"/>
      <c r="DD283" s="36"/>
      <c r="DE283" s="36"/>
      <c r="DF283" s="36"/>
      <c r="DG283" s="36"/>
      <c r="DH283" s="36"/>
      <c r="DI283" s="36"/>
      <c r="DJ283" s="36"/>
      <c r="EG283" s="172"/>
      <c r="EH283" s="172"/>
      <c r="EI283" s="172"/>
      <c r="EJ283" s="172"/>
      <c r="EK283" s="172"/>
      <c r="FV283" s="172"/>
      <c r="FW283" s="172"/>
      <c r="FX283" s="172"/>
      <c r="FY283" s="172"/>
      <c r="FZ283" s="172"/>
    </row>
    <row r="284" spans="1:183" ht="2.15" customHeight="1">
      <c r="A284" s="645"/>
      <c r="B284" s="645"/>
      <c r="C284" s="645"/>
      <c r="D284" s="645"/>
      <c r="E284" s="646"/>
      <c r="DD284" s="36"/>
      <c r="DE284" s="36"/>
      <c r="DF284" s="36"/>
      <c r="DG284" s="36"/>
      <c r="DH284" s="36"/>
      <c r="DI284" s="36"/>
      <c r="DJ284" s="36"/>
      <c r="EG284" s="172"/>
      <c r="EH284" s="172"/>
      <c r="EI284" s="172"/>
      <c r="EJ284" s="172"/>
      <c r="EK284" s="172"/>
      <c r="FV284" s="172"/>
      <c r="FW284" s="172"/>
      <c r="FX284" s="172"/>
      <c r="FY284" s="172"/>
      <c r="FZ284" s="172"/>
    </row>
    <row r="285" spans="1:183" ht="2.15" customHeight="1" thickBot="1">
      <c r="A285" s="645"/>
      <c r="B285" s="645"/>
      <c r="C285" s="645"/>
      <c r="D285" s="645"/>
      <c r="E285" s="646"/>
      <c r="DD285" s="36"/>
      <c r="DE285" s="36"/>
      <c r="DF285" s="36"/>
      <c r="DG285" s="36"/>
      <c r="DH285" s="36"/>
      <c r="DI285" s="36"/>
      <c r="DJ285" s="36"/>
      <c r="EG285" s="172"/>
      <c r="EH285" s="172"/>
      <c r="EI285" s="172"/>
      <c r="EJ285" s="172"/>
      <c r="EK285" s="172"/>
      <c r="FV285" s="172"/>
      <c r="FW285" s="172"/>
      <c r="FX285" s="172"/>
      <c r="FY285" s="172"/>
      <c r="FZ285" s="172"/>
    </row>
    <row r="286" spans="1:183" ht="35.15" customHeight="1">
      <c r="A286" s="645"/>
      <c r="B286" s="645"/>
      <c r="C286" s="645"/>
      <c r="D286" s="645"/>
      <c r="E286" s="646"/>
      <c r="J286" s="1831" t="s">
        <v>4664</v>
      </c>
      <c r="K286" s="2434"/>
      <c r="L286" s="2434"/>
      <c r="M286" s="2434"/>
      <c r="N286" s="2434"/>
      <c r="O286" s="2434"/>
      <c r="P286" s="2434"/>
      <c r="Q286" s="2434"/>
      <c r="R286" s="2434"/>
      <c r="S286" s="2434"/>
      <c r="T286" s="2434"/>
      <c r="U286" s="2434"/>
      <c r="V286" s="2434"/>
      <c r="W286" s="2434"/>
      <c r="X286" s="2434"/>
      <c r="Y286" s="2434"/>
      <c r="Z286" s="2434"/>
      <c r="AA286" s="2434"/>
      <c r="AB286" s="2434"/>
      <c r="AC286" s="2434"/>
      <c r="AD286" s="2434"/>
      <c r="AE286" s="2434"/>
      <c r="AF286" s="2434"/>
      <c r="AG286" s="2434"/>
      <c r="AH286" s="2434"/>
      <c r="AI286" s="2434"/>
      <c r="AJ286" s="2434"/>
      <c r="AK286" s="2434"/>
      <c r="AL286" s="2434"/>
      <c r="AM286" s="2434"/>
      <c r="AN286" s="2434"/>
      <c r="AO286" s="2434"/>
      <c r="AP286" s="2434"/>
      <c r="AQ286" s="2434"/>
      <c r="AR286" s="2434"/>
      <c r="AS286" s="2434"/>
      <c r="AT286" s="2434"/>
      <c r="AU286" s="2434"/>
      <c r="AV286" s="2434"/>
      <c r="AW286" s="2434"/>
      <c r="AX286" s="2434"/>
      <c r="AY286" s="2434"/>
      <c r="AZ286" s="2434"/>
      <c r="BA286" s="2434"/>
      <c r="BB286" s="2434"/>
      <c r="BC286" s="2434"/>
      <c r="BD286" s="2434"/>
      <c r="BE286" s="2434"/>
      <c r="BF286" s="2434"/>
      <c r="BG286" s="2434"/>
      <c r="BH286" s="2434"/>
      <c r="BI286" s="2434"/>
      <c r="BJ286" s="2434"/>
      <c r="BK286" s="2434"/>
      <c r="BL286" s="1775" t="s">
        <v>2776</v>
      </c>
      <c r="BM286" s="2228"/>
      <c r="BN286" s="2228"/>
      <c r="BO286" s="2228"/>
      <c r="BP286" s="2228"/>
      <c r="BQ286" s="2228"/>
      <c r="BR286" s="2228"/>
      <c r="BS286" s="2228"/>
      <c r="BT286" s="2228"/>
      <c r="BU286" s="1085"/>
      <c r="BV286" s="711"/>
      <c r="BW286" s="1915" t="s">
        <v>2817</v>
      </c>
      <c r="BX286" s="1915"/>
      <c r="BY286" s="1915"/>
      <c r="BZ286" s="1915"/>
      <c r="CA286" s="1915"/>
      <c r="CB286" s="1915"/>
      <c r="CC286" s="1915"/>
      <c r="CD286" s="1915"/>
      <c r="CE286" s="1915"/>
      <c r="CF286" s="1915"/>
      <c r="CG286" s="1915"/>
      <c r="CH286" s="1915"/>
      <c r="CI286" s="1915"/>
      <c r="CJ286" s="1915"/>
      <c r="CK286" s="1915"/>
      <c r="CL286" s="1915"/>
      <c r="CM286" s="1915"/>
      <c r="CN286" s="1915"/>
      <c r="CO286" s="1915"/>
      <c r="CP286" s="1915"/>
      <c r="CQ286" s="1915"/>
      <c r="CR286" s="1915"/>
      <c r="CS286" s="1915"/>
      <c r="CT286" s="711"/>
      <c r="CU286" s="712"/>
      <c r="DD286" s="36"/>
      <c r="DE286" s="36"/>
      <c r="DF286" s="36"/>
      <c r="DG286" s="36"/>
      <c r="DH286" s="36"/>
      <c r="DI286" s="36"/>
      <c r="DJ286" s="36"/>
      <c r="DN286" s="171"/>
      <c r="EG286" s="167"/>
      <c r="EH286" s="167"/>
      <c r="EI286" s="167"/>
      <c r="EJ286" s="167"/>
      <c r="EK286" s="167"/>
      <c r="FV286" s="167"/>
      <c r="FW286" s="167"/>
      <c r="FX286" s="167"/>
      <c r="FY286" s="167"/>
      <c r="FZ286" s="167"/>
    </row>
    <row r="287" spans="1:183" ht="27" hidden="1" customHeight="1">
      <c r="A287" s="645"/>
      <c r="B287" s="645"/>
      <c r="C287" s="645"/>
      <c r="D287" s="645"/>
      <c r="E287" s="646"/>
      <c r="J287" s="88"/>
      <c r="K287" s="89"/>
      <c r="L287" s="89"/>
      <c r="M287" s="2154" t="s">
        <v>1695</v>
      </c>
      <c r="N287" s="2154"/>
      <c r="O287" s="2154"/>
      <c r="P287" s="2154"/>
      <c r="Q287" s="2154"/>
      <c r="R287" s="2154"/>
      <c r="S287" s="2166"/>
      <c r="T287" s="2166"/>
      <c r="U287" s="2166"/>
      <c r="V287" s="2166"/>
      <c r="W287" s="2166"/>
      <c r="X287" s="2166"/>
      <c r="Y287" s="2166"/>
      <c r="Z287" s="2166"/>
      <c r="AA287" s="2166"/>
      <c r="AB287" s="2418"/>
      <c r="AC287" s="2418"/>
      <c r="AD287" s="2418"/>
      <c r="AE287" s="2418"/>
      <c r="AF287" s="2418"/>
      <c r="AG287" s="2418"/>
      <c r="AH287" s="2418"/>
      <c r="AI287" s="2418"/>
      <c r="AJ287" s="2418"/>
      <c r="AK287" s="2418"/>
      <c r="AL287" s="2418"/>
      <c r="AM287" s="2418"/>
      <c r="AN287" s="2418"/>
      <c r="AO287" s="2418"/>
      <c r="AP287" s="2418"/>
      <c r="AQ287" s="2418"/>
      <c r="AR287" s="2418"/>
      <c r="AS287" s="2418"/>
      <c r="AT287" s="2418"/>
      <c r="AU287" s="2418"/>
      <c r="AV287" s="2418"/>
      <c r="AW287" s="2418"/>
      <c r="AX287" s="2418"/>
      <c r="AY287" s="2418"/>
      <c r="AZ287" s="2418"/>
      <c r="BA287" s="2418"/>
      <c r="BB287" s="2418"/>
      <c r="BC287" s="2418"/>
      <c r="BD287" s="2418"/>
      <c r="BE287" s="2418"/>
      <c r="BF287" s="2418"/>
      <c r="BG287" s="2418"/>
      <c r="BH287" s="2418"/>
      <c r="BI287" s="2418"/>
      <c r="BJ287" s="2418"/>
      <c r="BK287" s="2418"/>
      <c r="BL287" s="2418"/>
      <c r="BM287" s="2418"/>
      <c r="BN287" s="2418"/>
      <c r="BO287" s="2418"/>
      <c r="BP287" s="2418"/>
      <c r="BQ287" s="2418"/>
      <c r="BR287" s="2418"/>
      <c r="BS287" s="2418"/>
      <c r="BT287" s="2418"/>
      <c r="BU287" s="1052"/>
      <c r="BV287" s="891"/>
      <c r="BW287" s="1916"/>
      <c r="BX287" s="1916"/>
      <c r="BY287" s="1916"/>
      <c r="BZ287" s="1916"/>
      <c r="CA287" s="1916"/>
      <c r="CB287" s="1916"/>
      <c r="CC287" s="1916"/>
      <c r="CD287" s="1916"/>
      <c r="CE287" s="1916"/>
      <c r="CF287" s="1916"/>
      <c r="CG287" s="1916"/>
      <c r="CH287" s="1916"/>
      <c r="CI287" s="1916"/>
      <c r="CJ287" s="1916"/>
      <c r="CK287" s="1916"/>
      <c r="CL287" s="1916"/>
      <c r="CM287" s="1916"/>
      <c r="CN287" s="1916"/>
      <c r="CO287" s="1916"/>
      <c r="CP287" s="1916"/>
      <c r="CQ287" s="1916"/>
      <c r="CR287" s="1916"/>
      <c r="CS287" s="1916"/>
      <c r="CT287" s="891"/>
      <c r="CU287" s="918"/>
      <c r="DD287" s="36"/>
      <c r="DE287" s="36"/>
      <c r="DF287" s="36"/>
      <c r="DG287" s="36"/>
      <c r="DH287" s="36"/>
      <c r="DI287" s="36"/>
      <c r="DJ287" s="36"/>
      <c r="DN287" s="177" t="b">
        <f>LENB(SUBSTITUTE(AB287,CHAR(10),REPT("A",90)))&gt;640</f>
        <v>0</v>
      </c>
      <c r="EG287" s="167"/>
      <c r="EH287" s="167"/>
      <c r="EI287" s="167"/>
      <c r="EJ287" s="167"/>
      <c r="EK287" s="167"/>
      <c r="FV287" s="167"/>
      <c r="FW287" s="167"/>
      <c r="FX287" s="167"/>
      <c r="FY287" s="167"/>
      <c r="FZ287" s="167"/>
    </row>
    <row r="288" spans="1:183" ht="27" hidden="1" customHeight="1">
      <c r="A288" s="645"/>
      <c r="B288" s="645"/>
      <c r="C288" s="645"/>
      <c r="D288" s="645"/>
      <c r="E288" s="646"/>
      <c r="J288" s="88"/>
      <c r="K288" s="89"/>
      <c r="L288" s="89"/>
      <c r="M288" s="2167"/>
      <c r="N288" s="2167"/>
      <c r="O288" s="2167"/>
      <c r="P288" s="2167"/>
      <c r="Q288" s="2167"/>
      <c r="R288" s="2167"/>
      <c r="S288" s="2509"/>
      <c r="T288" s="2509"/>
      <c r="U288" s="2509"/>
      <c r="V288" s="2509"/>
      <c r="W288" s="2509"/>
      <c r="X288" s="2509"/>
      <c r="Y288" s="2509"/>
      <c r="Z288" s="2509"/>
      <c r="AA288" s="2509"/>
      <c r="AB288" s="2419"/>
      <c r="AC288" s="2419"/>
      <c r="AD288" s="2419"/>
      <c r="AE288" s="2419"/>
      <c r="AF288" s="2419"/>
      <c r="AG288" s="2419"/>
      <c r="AH288" s="2419"/>
      <c r="AI288" s="2419"/>
      <c r="AJ288" s="2419"/>
      <c r="AK288" s="2419"/>
      <c r="AL288" s="2419"/>
      <c r="AM288" s="2419"/>
      <c r="AN288" s="2419"/>
      <c r="AO288" s="2419"/>
      <c r="AP288" s="2419"/>
      <c r="AQ288" s="2419"/>
      <c r="AR288" s="2419"/>
      <c r="AS288" s="2419"/>
      <c r="AT288" s="2419"/>
      <c r="AU288" s="2419"/>
      <c r="AV288" s="2419"/>
      <c r="AW288" s="2419"/>
      <c r="AX288" s="2419"/>
      <c r="AY288" s="2419"/>
      <c r="AZ288" s="2419"/>
      <c r="BA288" s="2419"/>
      <c r="BB288" s="2419"/>
      <c r="BC288" s="2419"/>
      <c r="BD288" s="2419"/>
      <c r="BE288" s="2419"/>
      <c r="BF288" s="2419"/>
      <c r="BG288" s="2419"/>
      <c r="BH288" s="2419"/>
      <c r="BI288" s="2419"/>
      <c r="BJ288" s="2419"/>
      <c r="BK288" s="2419"/>
      <c r="BL288" s="2419"/>
      <c r="BM288" s="2419"/>
      <c r="BN288" s="2419"/>
      <c r="BO288" s="2419"/>
      <c r="BP288" s="2419"/>
      <c r="BQ288" s="2419"/>
      <c r="BR288" s="2419"/>
      <c r="BS288" s="2419"/>
      <c r="BT288" s="2419"/>
      <c r="BU288" s="1052"/>
      <c r="BV288" s="891"/>
      <c r="BW288" s="1916"/>
      <c r="BX288" s="1916"/>
      <c r="BY288" s="1916"/>
      <c r="BZ288" s="1916"/>
      <c r="CA288" s="1916"/>
      <c r="CB288" s="1916"/>
      <c r="CC288" s="1916"/>
      <c r="CD288" s="1916"/>
      <c r="CE288" s="1916"/>
      <c r="CF288" s="1916"/>
      <c r="CG288" s="1916"/>
      <c r="CH288" s="1916"/>
      <c r="CI288" s="1916"/>
      <c r="CJ288" s="1916"/>
      <c r="CK288" s="1916"/>
      <c r="CL288" s="1916"/>
      <c r="CM288" s="1916"/>
      <c r="CN288" s="1916"/>
      <c r="CO288" s="1916"/>
      <c r="CP288" s="1916"/>
      <c r="CQ288" s="1916"/>
      <c r="CR288" s="1916"/>
      <c r="CS288" s="1916"/>
      <c r="CT288" s="891"/>
      <c r="CU288" s="918"/>
      <c r="DD288" s="36"/>
      <c r="DE288" s="36"/>
      <c r="DF288" s="36"/>
      <c r="DG288" s="36"/>
      <c r="DH288" s="36"/>
      <c r="DI288" s="36"/>
      <c r="DJ288" s="36"/>
      <c r="EG288" s="172"/>
      <c r="EH288" s="172"/>
      <c r="EI288" s="172"/>
      <c r="EJ288" s="172"/>
      <c r="EK288" s="172"/>
      <c r="FV288" s="172"/>
      <c r="FW288" s="172"/>
      <c r="FX288" s="172"/>
      <c r="FY288" s="172"/>
      <c r="FZ288" s="172"/>
    </row>
    <row r="289" spans="1:228" ht="27" hidden="1" customHeight="1">
      <c r="A289" s="645"/>
      <c r="B289" s="645"/>
      <c r="C289" s="645"/>
      <c r="D289" s="645"/>
      <c r="E289" s="646"/>
      <c r="J289" s="88"/>
      <c r="K289" s="89"/>
      <c r="L289" s="89"/>
      <c r="M289" s="2170"/>
      <c r="N289" s="2170"/>
      <c r="O289" s="2170"/>
      <c r="P289" s="2170"/>
      <c r="Q289" s="2170"/>
      <c r="R289" s="2170"/>
      <c r="S289" s="2170"/>
      <c r="T289" s="2170"/>
      <c r="U289" s="2170"/>
      <c r="V289" s="2170"/>
      <c r="W289" s="2170"/>
      <c r="X289" s="2170"/>
      <c r="Y289" s="2170"/>
      <c r="Z289" s="2170"/>
      <c r="AA289" s="2170"/>
      <c r="AB289" s="2420"/>
      <c r="AC289" s="2420"/>
      <c r="AD289" s="2420"/>
      <c r="AE289" s="2420"/>
      <c r="AF289" s="2420"/>
      <c r="AG289" s="2420"/>
      <c r="AH289" s="2420"/>
      <c r="AI289" s="2420"/>
      <c r="AJ289" s="2420"/>
      <c r="AK289" s="2420"/>
      <c r="AL289" s="2420"/>
      <c r="AM289" s="2420"/>
      <c r="AN289" s="2420"/>
      <c r="AO289" s="2420"/>
      <c r="AP289" s="2420"/>
      <c r="AQ289" s="2420"/>
      <c r="AR289" s="2420"/>
      <c r="AS289" s="2420"/>
      <c r="AT289" s="2420"/>
      <c r="AU289" s="2420"/>
      <c r="AV289" s="2420"/>
      <c r="AW289" s="2420"/>
      <c r="AX289" s="2420"/>
      <c r="AY289" s="2420"/>
      <c r="AZ289" s="2420"/>
      <c r="BA289" s="2420"/>
      <c r="BB289" s="2420"/>
      <c r="BC289" s="2420"/>
      <c r="BD289" s="2420"/>
      <c r="BE289" s="2420"/>
      <c r="BF289" s="2420"/>
      <c r="BG289" s="2420"/>
      <c r="BH289" s="2420"/>
      <c r="BI289" s="2420"/>
      <c r="BJ289" s="2420"/>
      <c r="BK289" s="2420"/>
      <c r="BL289" s="2420"/>
      <c r="BM289" s="2420"/>
      <c r="BN289" s="2420"/>
      <c r="BO289" s="2420"/>
      <c r="BP289" s="2420"/>
      <c r="BQ289" s="2420"/>
      <c r="BR289" s="2420"/>
      <c r="BS289" s="2420"/>
      <c r="BT289" s="2420"/>
      <c r="BU289" s="1052"/>
      <c r="BV289" s="891"/>
      <c r="BW289" s="1916"/>
      <c r="BX289" s="1916"/>
      <c r="BY289" s="1916"/>
      <c r="BZ289" s="1916"/>
      <c r="CA289" s="1916"/>
      <c r="CB289" s="1916"/>
      <c r="CC289" s="1916"/>
      <c r="CD289" s="1916"/>
      <c r="CE289" s="1916"/>
      <c r="CF289" s="1916"/>
      <c r="CG289" s="1916"/>
      <c r="CH289" s="1916"/>
      <c r="CI289" s="1916"/>
      <c r="CJ289" s="1916"/>
      <c r="CK289" s="1916"/>
      <c r="CL289" s="1916"/>
      <c r="CM289" s="1916"/>
      <c r="CN289" s="1916"/>
      <c r="CO289" s="1916"/>
      <c r="CP289" s="1916"/>
      <c r="CQ289" s="1916"/>
      <c r="CR289" s="1916"/>
      <c r="CS289" s="1916"/>
      <c r="CT289" s="891"/>
      <c r="CU289" s="918"/>
      <c r="DD289" s="36"/>
      <c r="DE289" s="36"/>
      <c r="DF289" s="36"/>
      <c r="DG289" s="36"/>
      <c r="DH289" s="36"/>
      <c r="DI289" s="36"/>
      <c r="DJ289" s="36"/>
      <c r="EG289" s="172"/>
      <c r="EH289" s="172"/>
      <c r="EI289" s="172"/>
      <c r="EJ289" s="172"/>
      <c r="EK289" s="172"/>
      <c r="FV289" s="172"/>
      <c r="FW289" s="172"/>
      <c r="FX289" s="172"/>
      <c r="FY289" s="172"/>
      <c r="FZ289" s="172"/>
    </row>
    <row r="290" spans="1:228" ht="10.5" customHeight="1" thickBot="1">
      <c r="A290" s="645"/>
      <c r="B290" s="645"/>
      <c r="C290" s="645"/>
      <c r="D290" s="645"/>
      <c r="E290" s="646"/>
      <c r="J290" s="88"/>
      <c r="K290" s="89"/>
      <c r="L290" s="89"/>
      <c r="M290" s="2154" t="s">
        <v>2775</v>
      </c>
      <c r="N290" s="2154"/>
      <c r="O290" s="2154"/>
      <c r="P290" s="2154"/>
      <c r="Q290" s="2154"/>
      <c r="R290" s="2154"/>
      <c r="S290" s="2166"/>
      <c r="T290" s="2166"/>
      <c r="U290" s="2166"/>
      <c r="V290" s="2166"/>
      <c r="W290" s="2166"/>
      <c r="X290" s="2166"/>
      <c r="Y290" s="2166"/>
      <c r="Z290" s="2166"/>
      <c r="AA290" s="2166"/>
      <c r="AB290" s="2418"/>
      <c r="AC290" s="2418"/>
      <c r="AD290" s="2418"/>
      <c r="AE290" s="2418"/>
      <c r="AF290" s="2418"/>
      <c r="AG290" s="2418"/>
      <c r="AH290" s="2418"/>
      <c r="AI290" s="2418"/>
      <c r="AJ290" s="2418"/>
      <c r="AK290" s="2418"/>
      <c r="AL290" s="2418"/>
      <c r="AM290" s="2418"/>
      <c r="AN290" s="2418"/>
      <c r="AO290" s="2418"/>
      <c r="AP290" s="2418"/>
      <c r="AQ290" s="2418"/>
      <c r="AR290" s="2418"/>
      <c r="AS290" s="2418"/>
      <c r="AT290" s="2418"/>
      <c r="AU290" s="2418"/>
      <c r="AV290" s="2418"/>
      <c r="AW290" s="2418"/>
      <c r="AX290" s="2418"/>
      <c r="AY290" s="2418"/>
      <c r="AZ290" s="2418"/>
      <c r="BA290" s="2418"/>
      <c r="BB290" s="2418"/>
      <c r="BC290" s="2418"/>
      <c r="BD290" s="2418"/>
      <c r="BE290" s="2418"/>
      <c r="BF290" s="2418"/>
      <c r="BG290" s="2418"/>
      <c r="BH290" s="2418"/>
      <c r="BI290" s="2418"/>
      <c r="BJ290" s="2418"/>
      <c r="BK290" s="2418"/>
      <c r="BL290" s="2418"/>
      <c r="BM290" s="2418"/>
      <c r="BN290" s="2418"/>
      <c r="BO290" s="2418"/>
      <c r="BP290" s="2418"/>
      <c r="BQ290" s="2418"/>
      <c r="BR290" s="2418"/>
      <c r="BS290" s="2418"/>
      <c r="BT290" s="2418"/>
      <c r="BU290" s="1052"/>
      <c r="BV290" s="1099" t="s">
        <v>2727</v>
      </c>
      <c r="BW290" s="1916"/>
      <c r="BX290" s="1916"/>
      <c r="BY290" s="1916"/>
      <c r="BZ290" s="1916"/>
      <c r="CA290" s="1916"/>
      <c r="CB290" s="1916"/>
      <c r="CC290" s="1916"/>
      <c r="CD290" s="1916"/>
      <c r="CE290" s="1916"/>
      <c r="CF290" s="1916"/>
      <c r="CG290" s="1916"/>
      <c r="CH290" s="1916"/>
      <c r="CI290" s="1916"/>
      <c r="CJ290" s="1916"/>
      <c r="CK290" s="1916"/>
      <c r="CL290" s="1916"/>
      <c r="CM290" s="1916"/>
      <c r="CN290" s="1916"/>
      <c r="CO290" s="1916"/>
      <c r="CP290" s="1916"/>
      <c r="CQ290" s="1916"/>
      <c r="CR290" s="1916"/>
      <c r="CS290" s="1916"/>
      <c r="CT290" s="891"/>
      <c r="CU290" s="918"/>
      <c r="DD290" s="36"/>
      <c r="DE290" s="36"/>
      <c r="DF290" s="36"/>
      <c r="DG290" s="36"/>
      <c r="DH290" s="36"/>
      <c r="DI290" s="36"/>
      <c r="DJ290" s="36"/>
      <c r="DN290" s="166" t="s">
        <v>4662</v>
      </c>
      <c r="EG290" s="172"/>
      <c r="EH290" s="172"/>
      <c r="EI290" s="172"/>
      <c r="EJ290" s="172"/>
      <c r="EK290" s="172"/>
      <c r="FV290" s="172"/>
      <c r="FW290" s="172"/>
      <c r="FX290" s="172"/>
      <c r="FY290" s="172"/>
      <c r="FZ290" s="172"/>
    </row>
    <row r="291" spans="1:228" ht="10.5" customHeight="1" thickBot="1">
      <c r="A291" s="645"/>
      <c r="B291" s="645"/>
      <c r="C291" s="645"/>
      <c r="D291" s="645"/>
      <c r="E291" s="646"/>
      <c r="J291" s="88"/>
      <c r="K291" s="89"/>
      <c r="L291" s="89"/>
      <c r="M291" s="2167"/>
      <c r="N291" s="2167"/>
      <c r="O291" s="2167"/>
      <c r="P291" s="2167"/>
      <c r="Q291" s="2167"/>
      <c r="R291" s="2167"/>
      <c r="S291" s="2168"/>
      <c r="T291" s="2168"/>
      <c r="U291" s="2168"/>
      <c r="V291" s="2168"/>
      <c r="W291" s="2168"/>
      <c r="X291" s="2168"/>
      <c r="Y291" s="2168"/>
      <c r="Z291" s="2168"/>
      <c r="AA291" s="2168"/>
      <c r="AB291" s="2419"/>
      <c r="AC291" s="2419"/>
      <c r="AD291" s="2419"/>
      <c r="AE291" s="2419"/>
      <c r="AF291" s="2419"/>
      <c r="AG291" s="2419"/>
      <c r="AH291" s="2419"/>
      <c r="AI291" s="2419"/>
      <c r="AJ291" s="2419"/>
      <c r="AK291" s="2419"/>
      <c r="AL291" s="2419"/>
      <c r="AM291" s="2419"/>
      <c r="AN291" s="2419"/>
      <c r="AO291" s="2419"/>
      <c r="AP291" s="2419"/>
      <c r="AQ291" s="2419"/>
      <c r="AR291" s="2419"/>
      <c r="AS291" s="2419"/>
      <c r="AT291" s="2419"/>
      <c r="AU291" s="2419"/>
      <c r="AV291" s="2419"/>
      <c r="AW291" s="2419"/>
      <c r="AX291" s="2419"/>
      <c r="AY291" s="2419"/>
      <c r="AZ291" s="2419"/>
      <c r="BA291" s="2419"/>
      <c r="BB291" s="2419"/>
      <c r="BC291" s="2419"/>
      <c r="BD291" s="2419"/>
      <c r="BE291" s="2419"/>
      <c r="BF291" s="2419"/>
      <c r="BG291" s="2419"/>
      <c r="BH291" s="2419"/>
      <c r="BI291" s="2419"/>
      <c r="BJ291" s="2419"/>
      <c r="BK291" s="2419"/>
      <c r="BL291" s="2419"/>
      <c r="BM291" s="2419"/>
      <c r="BN291" s="2419"/>
      <c r="BO291" s="2419"/>
      <c r="BP291" s="2419"/>
      <c r="BQ291" s="2419"/>
      <c r="BR291" s="2419"/>
      <c r="BS291" s="2419"/>
      <c r="BT291" s="2419"/>
      <c r="BU291" s="1052"/>
      <c r="BV291" s="1917" t="str">
        <f>IF(DN291,"←第一面5欄が判読できるか確認してください。","←")</f>
        <v>←</v>
      </c>
      <c r="BW291" s="1917"/>
      <c r="BX291" s="1917"/>
      <c r="BY291" s="1917"/>
      <c r="BZ291" s="1917"/>
      <c r="CA291" s="1917"/>
      <c r="CB291" s="1917"/>
      <c r="CC291" s="1917"/>
      <c r="CD291" s="1917"/>
      <c r="CE291" s="1917"/>
      <c r="CF291" s="1917"/>
      <c r="CG291" s="1917"/>
      <c r="CH291" s="1917"/>
      <c r="CI291" s="1917"/>
      <c r="CJ291" s="1917"/>
      <c r="CK291" s="1917"/>
      <c r="CL291" s="1917"/>
      <c r="CM291" s="1917"/>
      <c r="CN291" s="1917"/>
      <c r="CO291" s="1917"/>
      <c r="CP291" s="1917"/>
      <c r="CQ291" s="1917"/>
      <c r="CR291" s="1917"/>
      <c r="CS291" s="1917"/>
      <c r="CT291" s="891"/>
      <c r="CU291" s="918"/>
      <c r="DD291" s="36"/>
      <c r="DE291" s="36"/>
      <c r="DF291" s="36"/>
      <c r="DG291" s="36"/>
      <c r="DH291" s="36"/>
      <c r="DI291" s="36"/>
      <c r="DJ291" s="36"/>
      <c r="DN291" s="702" t="b">
        <f>LENB(AB290)&gt;100</f>
        <v>0</v>
      </c>
      <c r="EG291" s="172"/>
      <c r="EH291" s="172"/>
      <c r="EI291" s="172"/>
      <c r="EJ291" s="172"/>
      <c r="EK291" s="172"/>
      <c r="FV291" s="172"/>
      <c r="FW291" s="172"/>
      <c r="FX291" s="172"/>
      <c r="FY291" s="172"/>
      <c r="FZ291" s="172"/>
    </row>
    <row r="292" spans="1:228" ht="10.5" customHeight="1" thickBot="1">
      <c r="A292" s="645"/>
      <c r="B292" s="645"/>
      <c r="C292" s="645"/>
      <c r="D292" s="645"/>
      <c r="E292" s="646"/>
      <c r="J292" s="93"/>
      <c r="K292" s="125"/>
      <c r="L292" s="125"/>
      <c r="M292" s="2169"/>
      <c r="N292" s="2169"/>
      <c r="O292" s="2169"/>
      <c r="P292" s="2169"/>
      <c r="Q292" s="2169"/>
      <c r="R292" s="2169"/>
      <c r="S292" s="2169"/>
      <c r="T292" s="2169"/>
      <c r="U292" s="2169"/>
      <c r="V292" s="2169"/>
      <c r="W292" s="2169"/>
      <c r="X292" s="2169"/>
      <c r="Y292" s="2169"/>
      <c r="Z292" s="2169"/>
      <c r="AA292" s="2169"/>
      <c r="AB292" s="2427"/>
      <c r="AC292" s="2427"/>
      <c r="AD292" s="2427"/>
      <c r="AE292" s="2427"/>
      <c r="AF292" s="2427"/>
      <c r="AG292" s="2427"/>
      <c r="AH292" s="2427"/>
      <c r="AI292" s="2427"/>
      <c r="AJ292" s="2427"/>
      <c r="AK292" s="2427"/>
      <c r="AL292" s="2427"/>
      <c r="AM292" s="2427"/>
      <c r="AN292" s="2427"/>
      <c r="AO292" s="2427"/>
      <c r="AP292" s="2427"/>
      <c r="AQ292" s="2427"/>
      <c r="AR292" s="2427"/>
      <c r="AS292" s="2427"/>
      <c r="AT292" s="2427"/>
      <c r="AU292" s="2427"/>
      <c r="AV292" s="2427"/>
      <c r="AW292" s="2427"/>
      <c r="AX292" s="2427"/>
      <c r="AY292" s="2427"/>
      <c r="AZ292" s="2427"/>
      <c r="BA292" s="2427"/>
      <c r="BB292" s="2427"/>
      <c r="BC292" s="2427"/>
      <c r="BD292" s="2427"/>
      <c r="BE292" s="2427"/>
      <c r="BF292" s="2427"/>
      <c r="BG292" s="2427"/>
      <c r="BH292" s="2427"/>
      <c r="BI292" s="2427"/>
      <c r="BJ292" s="2427"/>
      <c r="BK292" s="2427"/>
      <c r="BL292" s="2427"/>
      <c r="BM292" s="2427"/>
      <c r="BN292" s="2427"/>
      <c r="BO292" s="2427"/>
      <c r="BP292" s="2427"/>
      <c r="BQ292" s="2427"/>
      <c r="BR292" s="2427"/>
      <c r="BS292" s="2427"/>
      <c r="BT292" s="2427"/>
      <c r="BU292" s="1084"/>
      <c r="BV292" s="1918"/>
      <c r="BW292" s="1918"/>
      <c r="BX292" s="1918"/>
      <c r="BY292" s="1918"/>
      <c r="BZ292" s="1918"/>
      <c r="CA292" s="1918"/>
      <c r="CB292" s="1918"/>
      <c r="CC292" s="1918"/>
      <c r="CD292" s="1918"/>
      <c r="CE292" s="1918"/>
      <c r="CF292" s="1918"/>
      <c r="CG292" s="1918"/>
      <c r="CH292" s="1918"/>
      <c r="CI292" s="1918"/>
      <c r="CJ292" s="1918"/>
      <c r="CK292" s="1918"/>
      <c r="CL292" s="1918"/>
      <c r="CM292" s="1918"/>
      <c r="CN292" s="1918"/>
      <c r="CO292" s="1918"/>
      <c r="CP292" s="1918"/>
      <c r="CQ292" s="1918"/>
      <c r="CR292" s="1918"/>
      <c r="CS292" s="1918"/>
      <c r="CT292" s="925"/>
      <c r="CU292" s="926"/>
      <c r="DD292" s="36"/>
      <c r="DE292" s="36"/>
      <c r="DF292" s="36"/>
      <c r="DG292" s="36"/>
      <c r="DH292" s="36"/>
      <c r="DI292" s="36"/>
      <c r="DJ292" s="36"/>
      <c r="EG292" s="167"/>
      <c r="EH292" s="167"/>
      <c r="EI292" s="167"/>
      <c r="EJ292" s="167"/>
      <c r="EK292" s="167"/>
      <c r="FP292" s="170"/>
      <c r="FQ292" s="170"/>
      <c r="FR292" s="170"/>
      <c r="FS292" s="170"/>
      <c r="FT292" s="170"/>
      <c r="FU292" s="170"/>
      <c r="FV292" s="170"/>
      <c r="FW292" s="170"/>
      <c r="FX292" s="170"/>
      <c r="FY292" s="170"/>
      <c r="FZ292" s="170"/>
      <c r="GA292" s="170"/>
    </row>
    <row r="293" spans="1:228" ht="15" customHeight="1">
      <c r="A293" s="645"/>
      <c r="B293" s="645"/>
      <c r="C293" s="645"/>
      <c r="D293" s="645"/>
      <c r="E293" s="646"/>
      <c r="DD293" s="36"/>
      <c r="DE293" s="36"/>
      <c r="DF293" s="36"/>
      <c r="DG293" s="36"/>
      <c r="DH293" s="36"/>
      <c r="DI293" s="36"/>
      <c r="DJ293" s="36"/>
      <c r="DM293" s="166" t="s">
        <v>2632</v>
      </c>
      <c r="EG293" s="167"/>
      <c r="EH293" s="167"/>
      <c r="EI293" s="167"/>
      <c r="EJ293" s="167"/>
      <c r="EK293" s="167"/>
      <c r="FO293" s="166"/>
      <c r="FV293" s="167"/>
      <c r="FW293" s="167"/>
      <c r="FX293" s="167"/>
      <c r="FY293" s="167"/>
      <c r="FZ293" s="167"/>
    </row>
    <row r="294" spans="1:228" ht="2.15" customHeight="1">
      <c r="A294" s="645"/>
      <c r="B294" s="645"/>
      <c r="C294" s="645"/>
      <c r="D294" s="645"/>
      <c r="E294" s="646"/>
      <c r="DD294" s="36"/>
      <c r="DE294" s="36"/>
      <c r="DF294" s="36"/>
      <c r="DG294" s="36"/>
      <c r="DH294" s="36"/>
      <c r="DI294" s="36"/>
      <c r="DJ294" s="36"/>
      <c r="EG294" s="167"/>
      <c r="EH294" s="167"/>
      <c r="EI294" s="167"/>
      <c r="EJ294" s="167"/>
      <c r="EK294" s="167"/>
      <c r="FV294" s="167"/>
      <c r="FW294" s="167"/>
      <c r="FX294" s="167"/>
      <c r="FY294" s="167"/>
      <c r="FZ294" s="167"/>
    </row>
    <row r="295" spans="1:228" ht="2.15" customHeight="1">
      <c r="A295" s="645"/>
      <c r="B295" s="645"/>
      <c r="C295" s="645"/>
      <c r="D295" s="645"/>
      <c r="E295" s="646"/>
      <c r="DD295" s="36"/>
      <c r="DE295" s="36"/>
      <c r="DF295" s="36"/>
      <c r="DG295" s="36"/>
      <c r="DH295" s="36"/>
      <c r="DI295" s="36"/>
      <c r="DJ295" s="36"/>
      <c r="EG295" s="167"/>
      <c r="EH295" s="167"/>
      <c r="EI295" s="167"/>
      <c r="EJ295" s="167"/>
      <c r="EK295" s="167"/>
      <c r="FV295" s="167"/>
      <c r="FW295" s="167"/>
      <c r="FX295" s="167"/>
      <c r="FY295" s="167"/>
      <c r="FZ295" s="167"/>
    </row>
    <row r="296" spans="1:228" ht="2.15" customHeight="1">
      <c r="A296" s="645"/>
      <c r="B296" s="645"/>
      <c r="C296" s="645"/>
      <c r="D296" s="645"/>
      <c r="E296" s="646"/>
      <c r="I296" s="15"/>
      <c r="J296" s="905"/>
      <c r="AB296" s="120"/>
      <c r="BU296" s="740"/>
      <c r="BV296" s="1042"/>
      <c r="DD296" s="36"/>
      <c r="DE296" s="36"/>
      <c r="DF296" s="36"/>
      <c r="DG296" s="36"/>
      <c r="DH296" s="36"/>
      <c r="DI296" s="36"/>
      <c r="DJ296" s="36"/>
      <c r="DK296" s="398"/>
      <c r="EG296" s="172"/>
      <c r="EH296" s="172"/>
      <c r="EI296" s="172"/>
      <c r="EJ296" s="172"/>
      <c r="EK296" s="172"/>
      <c r="FV296" s="172"/>
      <c r="FW296" s="172"/>
      <c r="FX296" s="172"/>
      <c r="FY296" s="172"/>
      <c r="FZ296" s="172"/>
    </row>
    <row r="297" spans="1:228" ht="1.1499999999999999" customHeight="1">
      <c r="A297" s="645"/>
      <c r="B297" s="645"/>
      <c r="C297" s="645"/>
      <c r="D297" s="645"/>
      <c r="E297" s="646"/>
      <c r="I297" s="381"/>
      <c r="J297" s="381"/>
      <c r="K297" s="381"/>
      <c r="L297" s="381"/>
      <c r="M297" s="381"/>
      <c r="N297" s="381"/>
      <c r="O297" s="381"/>
      <c r="P297" s="381"/>
      <c r="Q297" s="381"/>
      <c r="R297" s="381"/>
      <c r="S297" s="381"/>
      <c r="T297" s="381"/>
      <c r="U297" s="381"/>
      <c r="V297" s="381"/>
      <c r="W297" s="381"/>
      <c r="X297" s="381"/>
      <c r="Y297" s="381"/>
      <c r="Z297" s="381"/>
      <c r="AA297" s="381"/>
      <c r="AB297" s="381"/>
      <c r="AC297" s="381"/>
      <c r="AD297" s="381"/>
      <c r="AE297" s="381"/>
      <c r="AF297" s="381"/>
      <c r="AG297" s="381"/>
      <c r="AH297" s="381"/>
      <c r="AI297" s="381"/>
      <c r="AJ297" s="381"/>
      <c r="AK297" s="381"/>
      <c r="AL297" s="381"/>
      <c r="AM297" s="381"/>
      <c r="AN297" s="381"/>
      <c r="AO297" s="381"/>
      <c r="AP297" s="381"/>
      <c r="AQ297" s="381"/>
      <c r="AR297" s="381"/>
      <c r="AS297" s="381"/>
      <c r="AT297" s="381"/>
      <c r="AU297" s="381"/>
      <c r="AV297" s="381"/>
      <c r="AW297" s="381"/>
      <c r="AX297" s="381"/>
      <c r="AY297" s="381"/>
      <c r="AZ297" s="381"/>
      <c r="BA297" s="381"/>
      <c r="BB297" s="381"/>
      <c r="BC297" s="381"/>
      <c r="BD297" s="381"/>
      <c r="BE297" s="381"/>
      <c r="BF297" s="381"/>
      <c r="BG297" s="381"/>
      <c r="BH297" s="381"/>
      <c r="BI297" s="381"/>
      <c r="BJ297" s="381"/>
      <c r="BK297" s="381"/>
      <c r="BL297" s="381"/>
      <c r="BM297" s="381"/>
      <c r="BN297" s="381"/>
      <c r="BO297" s="381"/>
      <c r="BP297" s="381"/>
      <c r="BQ297" s="381"/>
      <c r="BR297" s="381"/>
      <c r="BS297" s="381"/>
      <c r="BT297" s="381"/>
      <c r="BU297" s="1141"/>
      <c r="BV297" s="1141"/>
      <c r="BW297" s="1141"/>
      <c r="BX297" s="1141"/>
      <c r="BY297" s="1141"/>
      <c r="BZ297" s="1141"/>
      <c r="CA297" s="1141"/>
      <c r="CB297" s="1141"/>
      <c r="CC297" s="1141"/>
      <c r="CD297" s="1141"/>
      <c r="CE297" s="1141"/>
      <c r="CF297" s="1141"/>
      <c r="CG297" s="1141"/>
      <c r="CH297" s="1141"/>
      <c r="CI297" s="1141"/>
      <c r="CJ297" s="1141"/>
      <c r="CK297" s="1141"/>
      <c r="CL297" s="1141"/>
      <c r="CM297" s="1141"/>
      <c r="CN297" s="1141"/>
      <c r="CO297" s="1141"/>
      <c r="CP297" s="1141"/>
      <c r="CQ297" s="1141"/>
      <c r="CR297" s="1141"/>
      <c r="CS297" s="1141"/>
      <c r="CT297" s="1141"/>
      <c r="CU297" s="1141"/>
      <c r="CX297" s="381"/>
      <c r="CY297" s="381"/>
      <c r="CZ297" s="381"/>
      <c r="DA297" s="381"/>
      <c r="DB297" s="381"/>
      <c r="DC297" s="1142"/>
      <c r="DD297" s="928"/>
      <c r="DE297" s="928"/>
      <c r="DF297" s="928"/>
      <c r="DG297" s="928"/>
      <c r="DH297" s="928"/>
      <c r="DI297" s="928"/>
      <c r="DJ297" s="928"/>
      <c r="DK297" s="344"/>
      <c r="DM297" s="302" t="s">
        <v>1329</v>
      </c>
      <c r="EG297" s="172"/>
      <c r="EH297" s="172"/>
      <c r="EI297" s="172"/>
      <c r="EJ297" s="172"/>
      <c r="EK297" s="172"/>
      <c r="FP297" s="170"/>
      <c r="FQ297" s="170"/>
      <c r="FR297" s="170"/>
      <c r="FS297" s="170"/>
      <c r="FT297" s="170"/>
      <c r="FU297" s="170"/>
      <c r="FV297" s="1046"/>
      <c r="FW297" s="1046"/>
      <c r="FX297" s="1046"/>
      <c r="FY297" s="1046"/>
      <c r="FZ297" s="1046"/>
    </row>
    <row r="298" spans="1:228" ht="1.1499999999999999" customHeight="1" thickBot="1">
      <c r="A298" s="645"/>
      <c r="B298" s="645"/>
      <c r="C298" s="645"/>
      <c r="D298" s="645"/>
      <c r="E298" s="646"/>
      <c r="I298" s="381"/>
      <c r="J298" s="381"/>
      <c r="K298" s="381"/>
      <c r="L298" s="381"/>
      <c r="M298" s="381"/>
      <c r="N298" s="381"/>
      <c r="O298" s="381"/>
      <c r="P298" s="381"/>
      <c r="Q298" s="381"/>
      <c r="R298" s="381"/>
      <c r="S298" s="381"/>
      <c r="T298" s="381"/>
      <c r="U298" s="381"/>
      <c r="V298" s="381"/>
      <c r="W298" s="381"/>
      <c r="X298" s="381"/>
      <c r="Y298" s="381"/>
      <c r="Z298" s="381"/>
      <c r="AA298" s="381"/>
      <c r="AB298" s="381"/>
      <c r="AC298" s="381"/>
      <c r="AD298" s="381"/>
      <c r="AE298" s="381"/>
      <c r="AF298" s="381"/>
      <c r="AG298" s="381"/>
      <c r="AH298" s="381"/>
      <c r="AI298" s="381"/>
      <c r="AJ298" s="381"/>
      <c r="AK298" s="381"/>
      <c r="AL298" s="381"/>
      <c r="AM298" s="381"/>
      <c r="AN298" s="381"/>
      <c r="AO298" s="381"/>
      <c r="AP298" s="381"/>
      <c r="AQ298" s="381"/>
      <c r="AR298" s="381"/>
      <c r="AS298" s="381"/>
      <c r="AT298" s="381"/>
      <c r="AU298" s="381"/>
      <c r="AV298" s="381"/>
      <c r="AW298" s="381"/>
      <c r="AX298" s="381"/>
      <c r="AY298" s="381"/>
      <c r="AZ298" s="381"/>
      <c r="BA298" s="381"/>
      <c r="BB298" s="381"/>
      <c r="BC298" s="381"/>
      <c r="BD298" s="381"/>
      <c r="BE298" s="381"/>
      <c r="BF298" s="381"/>
      <c r="BG298" s="381"/>
      <c r="BH298" s="381"/>
      <c r="BI298" s="381"/>
      <c r="BJ298" s="381"/>
      <c r="BK298" s="381"/>
      <c r="BL298" s="381"/>
      <c r="BM298" s="381"/>
      <c r="BN298" s="381"/>
      <c r="BO298" s="381"/>
      <c r="BP298" s="381"/>
      <c r="BQ298" s="381"/>
      <c r="BR298" s="381"/>
      <c r="BS298" s="381"/>
      <c r="BT298" s="381"/>
      <c r="BU298" s="1141"/>
      <c r="BV298" s="1141"/>
      <c r="BW298" s="1141"/>
      <c r="BX298" s="1141"/>
      <c r="BY298" s="1141"/>
      <c r="BZ298" s="1141"/>
      <c r="CA298" s="1141"/>
      <c r="CB298" s="1141"/>
      <c r="CC298" s="1141"/>
      <c r="CD298" s="1141"/>
      <c r="CE298" s="1141"/>
      <c r="CF298" s="1141"/>
      <c r="CG298" s="1141"/>
      <c r="CH298" s="1141"/>
      <c r="CI298" s="1141"/>
      <c r="CJ298" s="1141"/>
      <c r="CK298" s="1141"/>
      <c r="CL298" s="1141"/>
      <c r="CM298" s="1141"/>
      <c r="CN298" s="1141"/>
      <c r="CO298" s="1141"/>
      <c r="CP298" s="1141"/>
      <c r="CQ298" s="1141"/>
      <c r="CR298" s="1141"/>
      <c r="CS298" s="1141"/>
      <c r="CT298" s="1141"/>
      <c r="CU298" s="1141"/>
      <c r="CX298" s="381"/>
      <c r="CY298" s="381"/>
      <c r="CZ298" s="381"/>
      <c r="DA298" s="381"/>
      <c r="DB298" s="381"/>
      <c r="DC298" s="1142"/>
      <c r="DD298" s="928"/>
      <c r="DE298" s="928"/>
      <c r="DF298" s="928"/>
      <c r="DG298" s="928"/>
      <c r="DH298" s="928"/>
      <c r="DI298" s="928"/>
      <c r="DJ298" s="928"/>
      <c r="DK298" s="344"/>
      <c r="DM298" s="301"/>
      <c r="EG298" s="172"/>
      <c r="EH298" s="172"/>
      <c r="EI298" s="172"/>
      <c r="EJ298" s="172"/>
      <c r="EK298" s="172"/>
      <c r="FV298" s="172"/>
      <c r="FW298" s="172"/>
      <c r="FX298" s="172"/>
      <c r="FY298" s="172"/>
      <c r="FZ298" s="172"/>
    </row>
    <row r="299" spans="1:228" ht="34.9" customHeight="1">
      <c r="A299" s="645"/>
      <c r="B299" s="645"/>
      <c r="C299" s="645"/>
      <c r="D299" s="645"/>
      <c r="E299" s="646"/>
      <c r="I299" s="72"/>
      <c r="J299" s="637" t="s">
        <v>3096</v>
      </c>
      <c r="K299" s="704"/>
      <c r="L299" s="704"/>
      <c r="M299" s="704"/>
      <c r="N299" s="704"/>
      <c r="O299" s="704"/>
      <c r="P299" s="704"/>
      <c r="Q299" s="704"/>
      <c r="R299" s="704"/>
      <c r="S299" s="704"/>
      <c r="T299" s="704"/>
      <c r="U299" s="704"/>
      <c r="V299" s="704"/>
      <c r="W299" s="704"/>
      <c r="X299" s="704"/>
      <c r="Y299" s="704"/>
      <c r="Z299" s="704"/>
      <c r="AA299" s="704"/>
      <c r="AB299" s="704"/>
      <c r="AC299" s="704"/>
      <c r="AD299" s="704"/>
      <c r="AE299" s="704"/>
      <c r="AF299" s="704"/>
      <c r="AG299" s="704"/>
      <c r="AH299" s="704"/>
      <c r="AI299" s="704"/>
      <c r="AJ299" s="704"/>
      <c r="AK299" s="704"/>
      <c r="AL299" s="704"/>
      <c r="AM299" s="704"/>
      <c r="AN299" s="704"/>
      <c r="AO299" s="704"/>
      <c r="AP299" s="704"/>
      <c r="AQ299" s="704"/>
      <c r="AR299" s="704"/>
      <c r="AS299" s="704"/>
      <c r="AT299" s="704"/>
      <c r="AU299" s="704"/>
      <c r="AV299" s="704"/>
      <c r="AW299" s="704"/>
      <c r="AX299" s="704"/>
      <c r="AY299" s="704"/>
      <c r="AZ299" s="704"/>
      <c r="BA299" s="704"/>
      <c r="BB299" s="704"/>
      <c r="BC299" s="704"/>
      <c r="BD299" s="704"/>
      <c r="BE299" s="704"/>
      <c r="BF299" s="704"/>
      <c r="BG299" s="2449" t="s">
        <v>2815</v>
      </c>
      <c r="BH299" s="2449"/>
      <c r="BI299" s="2449"/>
      <c r="BJ299" s="2449"/>
      <c r="BK299" s="2449"/>
      <c r="BL299" s="2449"/>
      <c r="BM299" s="2449"/>
      <c r="BN299" s="2449"/>
      <c r="BO299" s="2449"/>
      <c r="BP299" s="2449"/>
      <c r="BQ299" s="2449"/>
      <c r="BR299" s="2449"/>
      <c r="BS299" s="2449"/>
      <c r="BT299" s="2449"/>
      <c r="BU299" s="741"/>
      <c r="BV299" s="741"/>
      <c r="BW299" s="741"/>
      <c r="BX299" s="741"/>
      <c r="BY299" s="741"/>
      <c r="BZ299" s="741"/>
      <c r="CA299" s="741"/>
      <c r="CB299" s="741"/>
      <c r="CC299" s="741"/>
      <c r="CD299" s="741"/>
      <c r="CE299" s="741"/>
      <c r="CF299" s="741"/>
      <c r="CG299" s="741"/>
      <c r="CH299" s="741"/>
      <c r="CI299" s="741"/>
      <c r="CJ299" s="741"/>
      <c r="CK299" s="741"/>
      <c r="CL299" s="741"/>
      <c r="CM299" s="741"/>
      <c r="CN299" s="741"/>
      <c r="CO299" s="741"/>
      <c r="CP299" s="741"/>
      <c r="CQ299" s="741"/>
      <c r="CR299" s="741"/>
      <c r="CS299" s="741"/>
      <c r="CT299" s="741"/>
      <c r="CU299" s="742"/>
      <c r="CX299" s="381"/>
      <c r="CY299" s="381"/>
      <c r="CZ299" s="381"/>
      <c r="DA299" s="381"/>
      <c r="DB299" s="381"/>
      <c r="DC299" s="1142"/>
      <c r="DD299" s="928"/>
      <c r="DE299" s="928"/>
      <c r="DF299" s="928"/>
      <c r="DG299" s="928"/>
      <c r="DH299" s="928"/>
      <c r="DI299" s="928"/>
      <c r="DJ299" s="928"/>
      <c r="DK299" s="398"/>
      <c r="DM299" s="606">
        <f>$U$301</f>
        <v>0</v>
      </c>
      <c r="DN299" s="607">
        <f>$AW$301</f>
        <v>0</v>
      </c>
      <c r="DO299" s="607">
        <f>$BY$301</f>
        <v>0</v>
      </c>
      <c r="EG299" s="172"/>
      <c r="EH299" s="172"/>
      <c r="EI299" s="172"/>
      <c r="EJ299" s="172"/>
      <c r="EK299" s="172"/>
      <c r="ET299" s="166"/>
      <c r="EU299" s="166"/>
      <c r="EV299" s="166"/>
      <c r="EW299" s="7"/>
      <c r="EX299" s="7"/>
      <c r="EY299" s="7"/>
      <c r="EZ299" s="7"/>
      <c r="FA299" s="7"/>
      <c r="FB299" s="7"/>
      <c r="FC299" s="7"/>
      <c r="FD299" s="24"/>
      <c r="FE299" s="24"/>
      <c r="FF299" s="24"/>
      <c r="FO299" s="166"/>
      <c r="FV299" s="172"/>
      <c r="FW299" s="172"/>
      <c r="FX299" s="172"/>
      <c r="FY299" s="172"/>
      <c r="FZ299" s="172"/>
    </row>
    <row r="300" spans="1:228" ht="25" customHeight="1">
      <c r="A300" s="645"/>
      <c r="B300" s="645"/>
      <c r="C300" s="645"/>
      <c r="D300" s="645"/>
      <c r="E300" s="646"/>
      <c r="I300" s="15"/>
      <c r="J300" s="283"/>
      <c r="K300" s="1103"/>
      <c r="L300" s="1103"/>
      <c r="M300" s="2164"/>
      <c r="N300" s="2164"/>
      <c r="O300" s="2164"/>
      <c r="P300" s="2164"/>
      <c r="Q300" s="2164"/>
      <c r="R300" s="2164"/>
      <c r="S300" s="2164"/>
      <c r="T300" s="2164"/>
      <c r="U300" s="404"/>
      <c r="V300" s="404"/>
      <c r="W300" s="404"/>
      <c r="X300" s="404"/>
      <c r="Y300" s="404"/>
      <c r="Z300" s="404"/>
      <c r="AA300" s="404"/>
      <c r="AB300" s="404"/>
      <c r="AC300" s="404"/>
      <c r="AD300" s="404"/>
      <c r="AE300" s="404"/>
      <c r="AF300" s="404"/>
      <c r="AG300" s="404"/>
      <c r="AH300" s="404"/>
      <c r="AI300" s="404"/>
      <c r="AJ300" s="404"/>
      <c r="AK300" s="404"/>
      <c r="AL300" s="404"/>
      <c r="AM300" s="404"/>
      <c r="AN300" s="404"/>
      <c r="AO300" s="404"/>
      <c r="AP300" s="404"/>
      <c r="AQ300" s="404"/>
      <c r="AR300" s="404"/>
      <c r="AS300" s="404"/>
      <c r="AT300" s="404"/>
      <c r="AU300" s="404"/>
      <c r="AV300" s="404"/>
      <c r="AW300" s="404"/>
      <c r="AX300" s="404"/>
      <c r="AY300" s="404"/>
      <c r="AZ300" s="404"/>
      <c r="BA300" s="404"/>
      <c r="BB300" s="404"/>
      <c r="BC300" s="404"/>
      <c r="BD300" s="404"/>
      <c r="BE300" s="404"/>
      <c r="BF300" s="404"/>
      <c r="BG300" s="404"/>
      <c r="BH300" s="404"/>
      <c r="BI300" s="404"/>
      <c r="BJ300" s="404"/>
      <c r="BK300" s="404"/>
      <c r="BL300" s="404"/>
      <c r="BM300" s="404"/>
      <c r="BN300" s="404"/>
      <c r="BO300" s="404"/>
      <c r="BP300" s="404"/>
      <c r="BQ300" s="404"/>
      <c r="BR300" s="404"/>
      <c r="BS300" s="404"/>
      <c r="BT300" s="404"/>
      <c r="BU300" s="743"/>
      <c r="BV300" s="743"/>
      <c r="BW300" s="743"/>
      <c r="BX300" s="743"/>
      <c r="BY300" s="743"/>
      <c r="BZ300" s="743"/>
      <c r="CA300" s="743"/>
      <c r="CB300" s="743"/>
      <c r="CC300" s="743"/>
      <c r="CD300" s="743"/>
      <c r="CE300" s="743"/>
      <c r="CF300" s="743"/>
      <c r="CG300" s="743"/>
      <c r="CH300" s="743"/>
      <c r="CI300" s="743"/>
      <c r="CJ300" s="743"/>
      <c r="CK300" s="743"/>
      <c r="CL300" s="743"/>
      <c r="CM300" s="743"/>
      <c r="CN300" s="743"/>
      <c r="CO300" s="743"/>
      <c r="CP300" s="743"/>
      <c r="CQ300" s="743"/>
      <c r="CR300" s="743"/>
      <c r="CS300" s="743"/>
      <c r="CT300" s="743"/>
      <c r="CU300" s="744"/>
      <c r="CX300" s="381"/>
      <c r="CY300" s="381"/>
      <c r="CZ300" s="381"/>
      <c r="DA300" s="381"/>
      <c r="DB300" s="381"/>
      <c r="DC300" s="1142"/>
      <c r="DD300" s="928"/>
      <c r="DE300" s="928"/>
      <c r="DF300" s="928"/>
      <c r="DG300" s="928"/>
      <c r="DH300" s="928"/>
      <c r="DI300" s="928"/>
      <c r="DJ300" s="928"/>
      <c r="DK300" s="398"/>
      <c r="DM300" s="605" t="s">
        <v>2633</v>
      </c>
      <c r="EA300" s="394"/>
      <c r="EG300" s="167"/>
      <c r="EH300" s="167"/>
      <c r="EI300" s="167"/>
      <c r="EJ300" s="167"/>
      <c r="EK300" s="167"/>
      <c r="ET300" s="166"/>
      <c r="EU300" s="166"/>
      <c r="EV300" s="166"/>
      <c r="EW300" s="7"/>
      <c r="EX300" s="7"/>
      <c r="EY300" s="7"/>
      <c r="EZ300" s="7"/>
      <c r="FA300" s="7"/>
      <c r="FB300" s="7"/>
      <c r="FC300" s="7"/>
      <c r="FD300" s="24"/>
      <c r="FE300" s="24"/>
      <c r="FF300" s="24"/>
      <c r="FK300" s="190"/>
      <c r="FL300" s="190" t="s">
        <v>1143</v>
      </c>
      <c r="FM300" s="190"/>
      <c r="FN300" s="190"/>
      <c r="FO300" s="1143"/>
      <c r="FQ300" s="2453" t="s">
        <v>2437</v>
      </c>
      <c r="FR300" s="2312"/>
      <c r="FS300" s="2312"/>
      <c r="FT300" s="2312"/>
      <c r="FU300" s="2454"/>
      <c r="FV300" s="167"/>
      <c r="FW300" s="167"/>
      <c r="FX300" s="167"/>
      <c r="FY300" s="167"/>
      <c r="FZ300" s="167"/>
    </row>
    <row r="301" spans="1:228" ht="25" customHeight="1" thickBot="1">
      <c r="A301" s="645"/>
      <c r="B301" s="645"/>
      <c r="C301" s="645"/>
      <c r="D301" s="645"/>
      <c r="E301" s="646"/>
      <c r="I301" s="15"/>
      <c r="J301" s="283"/>
      <c r="K301" s="1103"/>
      <c r="L301" s="1103"/>
      <c r="M301" s="2164" t="s">
        <v>30</v>
      </c>
      <c r="N301" s="2164"/>
      <c r="O301" s="2164"/>
      <c r="P301" s="2164"/>
      <c r="Q301" s="2164"/>
      <c r="R301" s="2164">
        <v>1</v>
      </c>
      <c r="S301" s="2164"/>
      <c r="T301" s="2416"/>
      <c r="U301" s="2496">
        <f t="shared" ref="U301" si="21">$AB$66</f>
        <v>0</v>
      </c>
      <c r="V301" s="2496"/>
      <c r="W301" s="2496"/>
      <c r="X301" s="2496"/>
      <c r="Y301" s="2496"/>
      <c r="Z301" s="2496"/>
      <c r="AA301" s="2496"/>
      <c r="AB301" s="2496"/>
      <c r="AC301" s="2496"/>
      <c r="AD301" s="2496"/>
      <c r="AE301" s="2496"/>
      <c r="AF301" s="2496"/>
      <c r="AG301" s="2496"/>
      <c r="AH301" s="2496"/>
      <c r="AI301" s="2496"/>
      <c r="AJ301" s="2496"/>
      <c r="AK301" s="2496"/>
      <c r="AL301" s="2496"/>
      <c r="AM301" s="2496"/>
      <c r="AN301" s="299"/>
      <c r="AO301" s="2164" t="s">
        <v>1185</v>
      </c>
      <c r="AP301" s="2164"/>
      <c r="AQ301" s="2164"/>
      <c r="AR301" s="2164"/>
      <c r="AS301" s="2164"/>
      <c r="AT301" s="2433">
        <v>2</v>
      </c>
      <c r="AU301" s="2433"/>
      <c r="AV301" s="2433"/>
      <c r="AW301" s="2441">
        <f t="shared" ref="AW301" si="22">$AB$84</f>
        <v>0</v>
      </c>
      <c r="AX301" s="2441"/>
      <c r="AY301" s="2441"/>
      <c r="AZ301" s="2441"/>
      <c r="BA301" s="2441"/>
      <c r="BB301" s="2441"/>
      <c r="BC301" s="2441"/>
      <c r="BD301" s="2441"/>
      <c r="BE301" s="2441"/>
      <c r="BF301" s="2441"/>
      <c r="BG301" s="2441"/>
      <c r="BH301" s="2441"/>
      <c r="BI301" s="2441"/>
      <c r="BJ301" s="2441"/>
      <c r="BK301" s="2441"/>
      <c r="BL301" s="2441"/>
      <c r="BM301" s="2441"/>
      <c r="BN301" s="2441"/>
      <c r="BO301" s="2441"/>
      <c r="BP301" s="1144"/>
      <c r="BQ301" s="2064" t="s">
        <v>1328</v>
      </c>
      <c r="BR301" s="2064"/>
      <c r="BS301" s="2064"/>
      <c r="BT301" s="2064"/>
      <c r="BU301" s="2064"/>
      <c r="BV301" s="2120">
        <v>3</v>
      </c>
      <c r="BW301" s="2120"/>
      <c r="BX301" s="2120"/>
      <c r="BY301" s="2396">
        <f t="shared" ref="BY301" si="23">$AB$102</f>
        <v>0</v>
      </c>
      <c r="BZ301" s="2396"/>
      <c r="CA301" s="2396"/>
      <c r="CB301" s="2396"/>
      <c r="CC301" s="2396"/>
      <c r="CD301" s="2396"/>
      <c r="CE301" s="2396"/>
      <c r="CF301" s="2396"/>
      <c r="CG301" s="2396"/>
      <c r="CH301" s="2396"/>
      <c r="CI301" s="2396"/>
      <c r="CJ301" s="2396"/>
      <c r="CK301" s="2396"/>
      <c r="CL301" s="2396"/>
      <c r="CM301" s="2396"/>
      <c r="CN301" s="2396"/>
      <c r="CO301" s="2396"/>
      <c r="CP301" s="2396"/>
      <c r="CQ301" s="2396"/>
      <c r="CR301" s="908"/>
      <c r="CS301" s="891"/>
      <c r="CT301" s="891"/>
      <c r="CU301" s="918"/>
      <c r="CX301" s="381"/>
      <c r="CY301" s="381"/>
      <c r="CZ301" s="381"/>
      <c r="DA301" s="381"/>
      <c r="DB301" s="381"/>
      <c r="DC301" s="1142"/>
      <c r="DD301" s="928"/>
      <c r="DE301" s="928"/>
      <c r="DF301" s="928"/>
      <c r="DG301" s="928"/>
      <c r="DH301" s="928"/>
      <c r="DI301" s="928"/>
      <c r="DJ301" s="928"/>
      <c r="DK301" s="344"/>
      <c r="DM301" s="188">
        <f>COUNTIF(DM299:DO299,"&lt;&gt;0")</f>
        <v>0</v>
      </c>
      <c r="DN301" s="166" t="s">
        <v>2634</v>
      </c>
      <c r="EA301" s="395"/>
      <c r="EG301" s="167"/>
      <c r="EH301" s="167"/>
      <c r="EI301" s="167"/>
      <c r="EJ301" s="167"/>
      <c r="EK301" s="167"/>
      <c r="ET301" s="166"/>
      <c r="EU301" s="166"/>
      <c r="EV301" s="166"/>
      <c r="EW301" s="7"/>
      <c r="EX301" s="7"/>
      <c r="EY301" s="7"/>
      <c r="EZ301" s="7"/>
      <c r="FA301" s="7"/>
      <c r="FB301" s="7"/>
      <c r="FC301" s="7"/>
      <c r="FD301" s="24"/>
      <c r="FE301" s="24"/>
      <c r="FF301" s="24"/>
      <c r="FK301" s="190"/>
      <c r="FL301" s="190" t="s">
        <v>1145</v>
      </c>
      <c r="FM301" s="190"/>
      <c r="FN301" s="190"/>
      <c r="FO301" s="1143"/>
      <c r="FQ301" s="1868" t="s">
        <v>2426</v>
      </c>
      <c r="FR301" s="1869"/>
      <c r="FS301" s="1869"/>
      <c r="FT301" s="1869"/>
      <c r="FU301" s="1870"/>
      <c r="FV301" s="167"/>
      <c r="FW301" s="167"/>
      <c r="FX301" s="167"/>
      <c r="FY301" s="167"/>
      <c r="FZ301" s="167"/>
    </row>
    <row r="302" spans="1:228" ht="45" customHeight="1" thickBot="1">
      <c r="A302" s="645"/>
      <c r="B302" s="645"/>
      <c r="C302" s="645"/>
      <c r="D302" s="645"/>
      <c r="E302" s="646"/>
      <c r="I302" s="15"/>
      <c r="J302" s="283"/>
      <c r="K302" s="1103"/>
      <c r="L302" s="1103"/>
      <c r="M302" s="2164"/>
      <c r="N302" s="2164"/>
      <c r="O302" s="2164"/>
      <c r="P302" s="2164"/>
      <c r="Q302" s="2164"/>
      <c r="R302" s="2164"/>
      <c r="S302" s="2164"/>
      <c r="T302" s="2164"/>
      <c r="U302" s="2457" t="s">
        <v>3325</v>
      </c>
      <c r="V302" s="2457"/>
      <c r="W302" s="2457"/>
      <c r="X302" s="2457"/>
      <c r="Y302" s="2457"/>
      <c r="Z302" s="2457"/>
      <c r="AA302" s="2457"/>
      <c r="AB302" s="2457"/>
      <c r="AC302" s="2457"/>
      <c r="AD302" s="2457"/>
      <c r="AE302" s="2457"/>
      <c r="AF302" s="2457"/>
      <c r="AG302" s="2457"/>
      <c r="AH302" s="2457"/>
      <c r="AI302" s="2457"/>
      <c r="AJ302" s="2457"/>
      <c r="AK302" s="2457"/>
      <c r="AL302" s="2457"/>
      <c r="AM302" s="2457"/>
      <c r="AN302" s="2457"/>
      <c r="AO302" s="2457"/>
      <c r="AP302" s="2457"/>
      <c r="AQ302" s="2457"/>
      <c r="AR302" s="2457"/>
      <c r="AS302" s="2457"/>
      <c r="AT302" s="2457"/>
      <c r="AU302" s="2457"/>
      <c r="AV302" s="2457"/>
      <c r="AW302" s="2457"/>
      <c r="AX302" s="2457"/>
      <c r="AY302" s="2457"/>
      <c r="AZ302" s="2457"/>
      <c r="BA302" s="2457"/>
      <c r="BB302" s="2457"/>
      <c r="BC302" s="2457"/>
      <c r="BD302" s="2457"/>
      <c r="BE302" s="2457"/>
      <c r="BF302" s="2457"/>
      <c r="BG302" s="2457"/>
      <c r="BH302" s="2457"/>
      <c r="BI302" s="2457"/>
      <c r="BJ302" s="2457"/>
      <c r="BK302" s="2457"/>
      <c r="BL302" s="2457"/>
      <c r="BM302" s="2457"/>
      <c r="BN302" s="2457"/>
      <c r="BO302" s="2457"/>
      <c r="BP302" s="2457"/>
      <c r="BQ302" s="2457"/>
      <c r="BR302" s="2457"/>
      <c r="BS302" s="2457"/>
      <c r="BT302" s="2457"/>
      <c r="BU302" s="2457"/>
      <c r="BV302" s="2457"/>
      <c r="BW302" s="2457"/>
      <c r="BX302" s="2457"/>
      <c r="BY302" s="2457"/>
      <c r="BZ302" s="2457"/>
      <c r="CA302" s="2457"/>
      <c r="CB302" s="2457"/>
      <c r="CC302" s="2457"/>
      <c r="CD302" s="2457"/>
      <c r="CE302" s="2457"/>
      <c r="CF302" s="2457"/>
      <c r="CG302" s="2457"/>
      <c r="CH302" s="2457"/>
      <c r="CI302" s="2457"/>
      <c r="CJ302" s="2457"/>
      <c r="CK302" s="2457"/>
      <c r="CL302" s="2457"/>
      <c r="CM302" s="2457"/>
      <c r="CN302" s="2457"/>
      <c r="CO302" s="2457"/>
      <c r="CP302" s="2457"/>
      <c r="CQ302" s="2457"/>
      <c r="CR302" s="2457"/>
      <c r="CS302" s="2457"/>
      <c r="CT302" s="2457"/>
      <c r="CU302" s="2458"/>
      <c r="CX302" s="381"/>
      <c r="CY302" s="381"/>
      <c r="CZ302" s="381"/>
      <c r="DA302" s="381"/>
      <c r="DB302" s="381"/>
      <c r="DC302" s="1142"/>
      <c r="DD302" s="928"/>
      <c r="DE302" s="928"/>
      <c r="DF302" s="928"/>
      <c r="DG302" s="928"/>
      <c r="DH302" s="928"/>
      <c r="DI302" s="928"/>
      <c r="DJ302" s="928"/>
      <c r="DK302" s="344"/>
      <c r="DX302" s="2478" t="s">
        <v>2431</v>
      </c>
      <c r="DY302" s="2479"/>
      <c r="DZ302" s="2479"/>
      <c r="EA302" s="2479"/>
      <c r="EB302" s="2479"/>
      <c r="EC302" s="2479"/>
      <c r="ED302" s="2479"/>
      <c r="EE302" s="2479"/>
      <c r="EF302" s="2479"/>
      <c r="EG302" s="2479"/>
      <c r="EH302" s="2479"/>
      <c r="EI302" s="2479"/>
      <c r="EJ302" s="2479"/>
      <c r="EK302" s="2480"/>
      <c r="ET302" s="7"/>
      <c r="EU302" s="7"/>
      <c r="EV302" s="7"/>
      <c r="EW302" s="24"/>
      <c r="EX302" s="24"/>
      <c r="FK302" s="190"/>
      <c r="FL302" s="190" t="s">
        <v>1179</v>
      </c>
      <c r="FM302" s="190"/>
      <c r="FN302" s="190"/>
      <c r="FO302" s="1143"/>
      <c r="FQ302" s="147"/>
      <c r="FR302" s="147"/>
      <c r="FS302" s="147"/>
      <c r="FT302" s="147"/>
      <c r="FV302" s="172"/>
      <c r="FW302" s="172"/>
      <c r="FX302" s="172"/>
      <c r="FY302" s="172"/>
      <c r="FZ302" s="172"/>
    </row>
    <row r="303" spans="1:228" ht="45" customHeight="1" thickBot="1">
      <c r="A303" s="645"/>
      <c r="B303" s="645"/>
      <c r="C303" s="645"/>
      <c r="D303" s="645"/>
      <c r="E303" s="646"/>
      <c r="I303" s="72"/>
      <c r="J303" s="403"/>
      <c r="K303" s="51"/>
      <c r="L303" s="51"/>
      <c r="M303" s="779"/>
      <c r="N303" s="780"/>
      <c r="O303" s="780"/>
      <c r="P303" s="780"/>
      <c r="Q303" s="780"/>
      <c r="R303" s="780"/>
      <c r="S303" s="780"/>
      <c r="T303" s="780"/>
      <c r="U303" s="780"/>
      <c r="V303" s="780"/>
      <c r="W303" s="780"/>
      <c r="X303" s="780"/>
      <c r="Y303" s="780"/>
      <c r="Z303" s="780"/>
      <c r="AA303" s="780"/>
      <c r="AB303" s="780"/>
      <c r="AC303" s="780"/>
      <c r="AD303" s="780"/>
      <c r="AE303" s="780"/>
      <c r="AF303" s="780"/>
      <c r="AG303" s="780"/>
      <c r="AH303" s="780"/>
      <c r="AI303" s="780"/>
      <c r="AJ303" s="780"/>
      <c r="AK303" s="780"/>
      <c r="AL303" s="780"/>
      <c r="AM303" s="780"/>
      <c r="AN303" s="780"/>
      <c r="AO303" s="780"/>
      <c r="AP303" s="780"/>
      <c r="AQ303" s="780"/>
      <c r="AR303" s="780"/>
      <c r="AS303" s="780"/>
      <c r="AT303" s="780"/>
      <c r="AU303" s="780"/>
      <c r="AV303" s="780"/>
      <c r="AW303" s="780"/>
      <c r="AX303" s="780"/>
      <c r="AY303" s="780"/>
      <c r="AZ303" s="780"/>
      <c r="BA303" s="780"/>
      <c r="BB303" s="780"/>
      <c r="BC303" s="780"/>
      <c r="BD303" s="781"/>
      <c r="BE303" s="782" t="s">
        <v>2839</v>
      </c>
      <c r="BF303" s="2455" t="str">
        <f>HYPERLINK("#J509:CU526","残りの指摘内容は、最下部の「上記1から7で表現できない項目」に記入してください。　↓")</f>
        <v>残りの指摘内容は、最下部の「上記1から7で表現できない項目」に記入してください。　↓</v>
      </c>
      <c r="BG303" s="2455"/>
      <c r="BH303" s="2455"/>
      <c r="BI303" s="2455"/>
      <c r="BJ303" s="2455"/>
      <c r="BK303" s="2455"/>
      <c r="BL303" s="2455"/>
      <c r="BM303" s="2455"/>
      <c r="BN303" s="2455"/>
      <c r="BO303" s="2455"/>
      <c r="BP303" s="2455"/>
      <c r="BQ303" s="2455"/>
      <c r="BR303" s="2455"/>
      <c r="BS303" s="2455"/>
      <c r="BT303" s="2455"/>
      <c r="BU303" s="2455"/>
      <c r="BV303" s="2455"/>
      <c r="BW303" s="2455"/>
      <c r="BX303" s="2455"/>
      <c r="BY303" s="2455"/>
      <c r="BZ303" s="2455"/>
      <c r="CA303" s="2455"/>
      <c r="CB303" s="2455"/>
      <c r="CC303" s="2455"/>
      <c r="CD303" s="2455"/>
      <c r="CE303" s="2455"/>
      <c r="CF303" s="2455"/>
      <c r="CG303" s="2455"/>
      <c r="CH303" s="2455"/>
      <c r="CI303" s="2455"/>
      <c r="CJ303" s="2455"/>
      <c r="CK303" s="2455"/>
      <c r="CL303" s="2455"/>
      <c r="CM303" s="2455"/>
      <c r="CN303" s="2455"/>
      <c r="CO303" s="2455"/>
      <c r="CP303" s="2455"/>
      <c r="CQ303" s="2456"/>
      <c r="CR303" s="752"/>
      <c r="CS303" s="752"/>
      <c r="CT303" s="752"/>
      <c r="CU303" s="753"/>
      <c r="DD303" s="36"/>
      <c r="DE303" s="36"/>
      <c r="DF303" s="36"/>
      <c r="DG303" s="36"/>
      <c r="DH303" s="36"/>
      <c r="DI303" s="36"/>
      <c r="DJ303" s="36"/>
      <c r="DK303" s="398"/>
      <c r="DR303" s="166"/>
      <c r="DX303" s="2488" t="s">
        <v>2427</v>
      </c>
      <c r="DY303" s="904" t="s">
        <v>2430</v>
      </c>
      <c r="DZ303" s="2473" t="s">
        <v>940</v>
      </c>
      <c r="EA303" s="2474"/>
      <c r="EB303" s="2462" t="s">
        <v>936</v>
      </c>
      <c r="EC303" s="2463"/>
      <c r="ED303" s="2463"/>
      <c r="EE303" s="2463"/>
      <c r="EF303" s="2464"/>
      <c r="EG303" s="2462" t="s">
        <v>930</v>
      </c>
      <c r="EH303" s="2463"/>
      <c r="EI303" s="2463"/>
      <c r="EJ303" s="2463"/>
      <c r="EK303" s="2464"/>
      <c r="EL303" s="20"/>
      <c r="EM303" s="20"/>
      <c r="EN303" s="20"/>
      <c r="EY303" s="2465" t="s">
        <v>2431</v>
      </c>
      <c r="EZ303" s="2466"/>
      <c r="FA303" s="2466"/>
      <c r="FB303" s="2466"/>
      <c r="FC303" s="2466"/>
      <c r="FD303" s="2466"/>
      <c r="FE303" s="2466"/>
      <c r="FF303" s="2466"/>
      <c r="FG303" s="2466"/>
      <c r="FH303" s="2466"/>
      <c r="FI303" s="2467"/>
      <c r="FK303" s="297"/>
      <c r="FL303" s="190" t="s">
        <v>1144</v>
      </c>
      <c r="FM303" s="190"/>
      <c r="FN303" s="190"/>
      <c r="FO303" s="1143"/>
      <c r="FQ303" s="2462" t="s">
        <v>936</v>
      </c>
      <c r="FR303" s="2463"/>
      <c r="FS303" s="2463"/>
      <c r="FT303" s="2463"/>
      <c r="FU303" s="2464"/>
      <c r="FV303" s="167"/>
      <c r="FW303" s="1868" t="s">
        <v>2421</v>
      </c>
      <c r="FX303" s="1869"/>
      <c r="FY303" s="1870"/>
      <c r="FZ303" s="167"/>
      <c r="GB303" s="167" t="s">
        <v>5420</v>
      </c>
      <c r="HB303" s="167" t="s">
        <v>5421</v>
      </c>
    </row>
    <row r="304" spans="1:228" s="69" customFormat="1" ht="90" customHeight="1" thickBot="1">
      <c r="A304" s="645"/>
      <c r="B304" s="645"/>
      <c r="C304" s="645"/>
      <c r="D304" s="645"/>
      <c r="E304" s="646"/>
      <c r="F304" s="381"/>
      <c r="G304" s="381"/>
      <c r="H304" s="381"/>
      <c r="I304" s="123"/>
      <c r="J304" s="80"/>
      <c r="K304" s="51"/>
      <c r="L304" s="51"/>
      <c r="M304" s="2430" t="s">
        <v>2938</v>
      </c>
      <c r="N304" s="2430"/>
      <c r="O304" s="2430"/>
      <c r="P304" s="2430"/>
      <c r="Q304" s="2430"/>
      <c r="R304" s="2430"/>
      <c r="S304" s="2430"/>
      <c r="T304" s="2430"/>
      <c r="U304" s="2430"/>
      <c r="V304" s="2430"/>
      <c r="W304" s="2430"/>
      <c r="X304" s="2430"/>
      <c r="Y304" s="2430"/>
      <c r="Z304" s="2430"/>
      <c r="AA304" s="2430"/>
      <c r="AB304" s="2430"/>
      <c r="AC304" s="2430"/>
      <c r="AD304" s="2430"/>
      <c r="AE304" s="2430"/>
      <c r="AF304" s="2428" t="s">
        <v>2939</v>
      </c>
      <c r="AG304" s="2429"/>
      <c r="AH304" s="2429"/>
      <c r="AI304" s="2429"/>
      <c r="AJ304" s="2429"/>
      <c r="AK304" s="2429"/>
      <c r="AL304" s="2429"/>
      <c r="AM304" s="2429"/>
      <c r="AN304" s="2429"/>
      <c r="AO304" s="2429"/>
      <c r="AP304" s="2429"/>
      <c r="AQ304" s="2429"/>
      <c r="AR304" s="2428" t="s">
        <v>2940</v>
      </c>
      <c r="AS304" s="2429"/>
      <c r="AT304" s="2429"/>
      <c r="AU304" s="2429"/>
      <c r="AV304" s="2429"/>
      <c r="AW304" s="2429"/>
      <c r="AX304" s="2429"/>
      <c r="AY304" s="2429"/>
      <c r="AZ304" s="2429"/>
      <c r="BA304" s="2429"/>
      <c r="BB304" s="2429"/>
      <c r="BC304" s="2429"/>
      <c r="BD304" s="757"/>
      <c r="BE304" s="920" t="s">
        <v>2941</v>
      </c>
      <c r="BF304" s="2430" t="s">
        <v>2942</v>
      </c>
      <c r="BG304" s="2430"/>
      <c r="BH304" s="2430"/>
      <c r="BI304" s="2430"/>
      <c r="BJ304" s="2430"/>
      <c r="BK304" s="2430"/>
      <c r="BL304" s="2430"/>
      <c r="BM304" s="2430"/>
      <c r="BN304" s="2430"/>
      <c r="BO304" s="2430"/>
      <c r="BP304" s="2430"/>
      <c r="BQ304" s="2430"/>
      <c r="BR304" s="2430"/>
      <c r="BS304" s="2430"/>
      <c r="BT304" s="2430"/>
      <c r="BU304" s="2430"/>
      <c r="BV304" s="2430"/>
      <c r="BW304" s="2430"/>
      <c r="BX304" s="2430"/>
      <c r="BY304" s="2430"/>
      <c r="BZ304" s="2430"/>
      <c r="CA304" s="2430"/>
      <c r="CB304" s="2430"/>
      <c r="CC304" s="2430"/>
      <c r="CD304" s="2430"/>
      <c r="CE304" s="2430"/>
      <c r="CF304" s="2430"/>
      <c r="CG304" s="2430"/>
      <c r="CH304" s="2430"/>
      <c r="CI304" s="2430"/>
      <c r="CJ304" s="2430"/>
      <c r="CK304" s="2430"/>
      <c r="CL304" s="2430"/>
      <c r="CM304" s="2430"/>
      <c r="CN304" s="2430"/>
      <c r="CO304" s="2430"/>
      <c r="CP304" s="2430"/>
      <c r="CQ304" s="2430"/>
      <c r="CR304" s="2430"/>
      <c r="CS304" s="2430"/>
      <c r="CT304" s="2430"/>
      <c r="CU304" s="2431"/>
      <c r="CV304" s="34"/>
      <c r="CW304" s="34"/>
      <c r="CX304" s="381"/>
      <c r="CY304" s="381"/>
      <c r="CZ304" s="381"/>
      <c r="DA304" s="381"/>
      <c r="DB304" s="381"/>
      <c r="DC304" s="1142"/>
      <c r="DD304" s="928"/>
      <c r="DE304" s="928"/>
      <c r="DF304" s="928"/>
      <c r="DG304" s="928"/>
      <c r="DH304" s="928"/>
      <c r="DI304" s="928"/>
      <c r="DJ304" s="928"/>
      <c r="DK304" s="344"/>
      <c r="DL304" s="170"/>
      <c r="DM304" s="440" t="str">
        <f>IF(AND(DN304="",DO304="",DP304="",DM321&lt;&gt;0),"レ","")</f>
        <v/>
      </c>
      <c r="DN304" s="440" t="str">
        <f>IF(AND(DO304="",DP304="",DN321&lt;&gt;0),"レ","")</f>
        <v/>
      </c>
      <c r="DO304" s="440" t="str">
        <f>IF(DO321&lt;&gt;0,"レ","")</f>
        <v/>
      </c>
      <c r="DP304" s="440" t="str">
        <f>IF(AND(DO304="",DP321&lt;&gt;0),"レ","")</f>
        <v/>
      </c>
      <c r="DQ304" s="34"/>
      <c r="DR304" s="34"/>
      <c r="DS304" s="34"/>
      <c r="DT304" s="439"/>
      <c r="DU304" s="439"/>
      <c r="DV304" s="439"/>
      <c r="DW304" s="439"/>
      <c r="DX304" s="2489"/>
      <c r="DY304" s="488" t="str">
        <f>SUBSTITUTE(TRIM(DY307&amp;"　"&amp;DY308&amp;"　"&amp;DY309&amp;"　"&amp;DY310&amp;"　"&amp;DY311&amp;"　"&amp;DY312&amp;"　"&amp;DY313&amp;"　"&amp;DY314&amp;"　"&amp;DY315&amp;"　"&amp;DY316&amp;"　"&amp;DY317&amp;"　"&amp;DY318&amp;"　"&amp;DY319&amp;"　"&amp;DY320),"　",", ")&amp;HL528</f>
        <v/>
      </c>
      <c r="DZ304" s="2481" t="s">
        <v>194</v>
      </c>
      <c r="EA304" s="2484" t="s">
        <v>2402</v>
      </c>
      <c r="EB304" s="593" t="str">
        <f>IF(COUNTIF(ED307:ED320,1)&gt;0,"レ","")</f>
        <v/>
      </c>
      <c r="EC304" s="594"/>
      <c r="ED304" s="595" t="str">
        <f>IF(EB304="レ",YEAR(EE321)-VLOOKUP(EE321,$DS$6:$DV$9,4,TRUE),"")</f>
        <v/>
      </c>
      <c r="EE304" s="595" t="str">
        <f>IF(EB304="レ",MONTH(EE321),IF(AND(DO304="レ",EF304="レ",EF321=0),"",IF(AND(DO304="レ",EF304="レ",EF321&gt;0),"","")))</f>
        <v/>
      </c>
      <c r="EF304" s="596" t="str">
        <f>IF(EB304="",IF(OR(EF321&gt;0,DO304="レ"),"レ",""),"")</f>
        <v/>
      </c>
      <c r="EG304" s="593" t="str">
        <f>IF(AND(COUNTIF(DT307:DT320,"要是正")=0,COUNTIF(EI307:EI320,1)&gt;0),"レ","")</f>
        <v/>
      </c>
      <c r="EH304" s="594"/>
      <c r="EI304" s="595" t="str">
        <f>IF(EG304="レ",YEAR(EJ321)-VLOOKUP(EJ321,$DS$6:$DV$9,4,TRUE),"")</f>
        <v/>
      </c>
      <c r="EJ304" s="595" t="str">
        <f>IF(EG304="レ",MONTH(EJ321),IF(AND(DP304="レ",EK304="レ",EK321=0),"",IF(AND(DP304="レ",EK304="レ",EK321&gt;0),"","")))</f>
        <v/>
      </c>
      <c r="EK304" s="596" t="str">
        <f>IF(EG304="",IF(OR(EK321&gt;0,DP304="レ"),"レ",""),"")</f>
        <v/>
      </c>
      <c r="EL304" s="2468" t="s">
        <v>938</v>
      </c>
      <c r="EM304" s="2468"/>
      <c r="EN304" s="2469"/>
      <c r="EO304" s="1882" t="s">
        <v>937</v>
      </c>
      <c r="EP304" s="1883"/>
      <c r="EQ304" s="1883"/>
      <c r="ER304" s="1884"/>
      <c r="ES304" s="69" t="str">
        <f>$GV$531</f>
        <v>要是正なし</v>
      </c>
      <c r="ET304" s="922"/>
      <c r="EU304" s="922"/>
      <c r="EV304" s="922"/>
      <c r="EW304" s="922"/>
      <c r="EX304" s="922"/>
      <c r="EY304" s="1145" t="str">
        <f>IF(OR(EB304="レ",EB322="レ",EB349="レ",EB367="レ",EB423="レ",EB472="レ",EB490="レ",EB509="レ"),"レ","")</f>
        <v/>
      </c>
      <c r="EZ304" s="440" t="str">
        <f>IF(AND(EY304="",FC304="",OR(EC304="レ",EC322="レ",EC349="レ",EC367="レ",EC423="レ",EC472="レ",EC490="レ",EC509="レ")),"レ","")</f>
        <v/>
      </c>
      <c r="FA304" s="440" t="str">
        <f>IF(EW315="レ",IF(EY304="レ",YEAR(EY315)-VLOOKUP(EY315,$DS$6:$DV$9,4,TRUE),IF(EZ304="レ",YEAR(EZ315)-VLOOKUP(EZ315,$DS$6:$DV$9,4,TRUE),"")),"")</f>
        <v/>
      </c>
      <c r="FB304" s="440" t="str">
        <f>IF(EW315="レ",IF(EY304="レ",MONTH(EY315),IF(EZ304="レ",MONTH(EZ315),"")),"")</f>
        <v/>
      </c>
      <c r="FC304" s="440" t="str">
        <f>IF(AND(EY304="",FA315&gt;0),"レ","")</f>
        <v/>
      </c>
      <c r="FD304" s="440" t="str">
        <f>IF(AND(EW315="",OR(EG304="レ",EG322="レ",EG349="レ",EG367="レ",EG423="レ",EG472="レ",EG490="レ",EG509="レ")),"レ","")</f>
        <v/>
      </c>
      <c r="FE304" s="440" t="str">
        <f>IF(AND(EW315="",FD304="",FH304="",OR(EH304="レ",EH322="レ",EH349="レ",EH367="レ",EH423="レ",EH472="レ",EH490="レ",EH509="レ")),"レ","")</f>
        <v/>
      </c>
      <c r="FF304" s="440" t="str">
        <f>IF(EX315="レ",IF(FD304="レ",YEAR(FD315)-VLOOKUP(FD315,$DS$6:$DV$9,4,TRUE),IF(FE304="レ",YEAR(FE315)-VLOOKUP(FE315,$DS$6:$DV$9,4,TRUE),"")),"")</f>
        <v/>
      </c>
      <c r="FG304" s="440" t="str">
        <f>IF(EX315="レ",IF(FD304="レ",MONTH(FD315),IF(FE304="レ",MONTH(FE315),"")),"")</f>
        <v/>
      </c>
      <c r="FH304" s="440" t="str">
        <f>IF(OR(AND(EW315="",FD304="",FF315&gt;0),AND(EW315="",FD304="",FF315&lt;&gt;1)),"レ","")</f>
        <v>レ</v>
      </c>
      <c r="FI304" s="489" t="str">
        <f>$HD$531</f>
        <v>要是正なし</v>
      </c>
      <c r="FJ304" s="108"/>
      <c r="FK304" s="1871" t="s">
        <v>2434</v>
      </c>
      <c r="FL304" s="1872"/>
      <c r="FM304" s="1872"/>
      <c r="FN304" s="1872"/>
      <c r="FO304" s="1873"/>
      <c r="FQ304" s="388" t="str">
        <f>IF(COUNTIF(FS307:FS320,1)&gt;0,"レ","")</f>
        <v/>
      </c>
      <c r="FR304" s="490"/>
      <c r="FS304" s="231" t="str">
        <f>IF(FQ304="レ",TEXT(FT321,"ee"),"")</f>
        <v/>
      </c>
      <c r="FT304" s="231" t="str">
        <f>IF(FQ304="レ",MONTH(FT321),IF(AND(FH304="レ",FU304="レ",FU321=0),"",IF(AND(FH304="レ",FU304="レ",FU321&gt;0),"未定","")))</f>
        <v/>
      </c>
      <c r="FU304" s="387" t="str">
        <f>IF(FQ304="",IF(OR(FU321&gt;0,FH304="レ"),"レ",""),"")</f>
        <v>レ</v>
      </c>
      <c r="FW304" s="1868" t="s">
        <v>2422</v>
      </c>
      <c r="FX304" s="1869"/>
      <c r="FY304" s="1870"/>
      <c r="GA304" s="34"/>
      <c r="GB304" s="1146" t="s">
        <v>4668</v>
      </c>
      <c r="GC304" s="1147"/>
      <c r="GD304" s="1148"/>
      <c r="GE304" s="1146" t="s">
        <v>4667</v>
      </c>
      <c r="GF304" s="1147"/>
      <c r="GG304" s="1147"/>
      <c r="GH304" s="1147"/>
      <c r="GI304" s="1147"/>
      <c r="GJ304" s="1147"/>
      <c r="GK304" s="1147"/>
      <c r="GL304" s="1147"/>
      <c r="GM304" s="1147"/>
      <c r="GN304" s="1147"/>
      <c r="GO304" s="1147"/>
      <c r="GP304" s="1147"/>
      <c r="GQ304" s="1147"/>
      <c r="GR304" s="1147"/>
      <c r="GS304" s="1147"/>
      <c r="GT304" s="1147"/>
      <c r="GU304" s="1147"/>
      <c r="GV304" s="1148"/>
      <c r="GW304" s="1146" t="s">
        <v>4666</v>
      </c>
      <c r="GX304" s="1147"/>
      <c r="GY304" s="1148"/>
      <c r="GZ304" s="1149" t="s">
        <v>4669</v>
      </c>
      <c r="HB304" s="1149" t="s">
        <v>4668</v>
      </c>
      <c r="HC304" s="1150" t="s">
        <v>4667</v>
      </c>
      <c r="HD304" s="1151"/>
      <c r="HE304" s="1151"/>
      <c r="HF304" s="1151"/>
      <c r="HG304" s="1151"/>
      <c r="HH304" s="1151"/>
      <c r="HI304" s="1151"/>
      <c r="HJ304" s="1151"/>
      <c r="HK304" s="1151"/>
      <c r="HL304" s="1151"/>
      <c r="HM304" s="1151"/>
      <c r="HN304" s="1151"/>
      <c r="HO304" s="1151"/>
      <c r="HP304" s="1151"/>
      <c r="HQ304" s="1152"/>
      <c r="HR304" s="1149" t="s">
        <v>5419</v>
      </c>
      <c r="HT304" s="69" t="s">
        <v>5650</v>
      </c>
    </row>
    <row r="305" spans="1:232" s="69" customFormat="1" ht="36" customHeight="1" thickBot="1">
      <c r="A305" s="645"/>
      <c r="B305" s="645"/>
      <c r="C305" s="645"/>
      <c r="D305" s="645"/>
      <c r="E305" s="646"/>
      <c r="F305" s="381"/>
      <c r="G305" s="381"/>
      <c r="H305" s="381"/>
      <c r="I305" s="123"/>
      <c r="J305" s="88"/>
      <c r="K305" s="89"/>
      <c r="L305" s="89"/>
      <c r="M305" s="2006" t="s">
        <v>31</v>
      </c>
      <c r="N305" s="2006"/>
      <c r="O305" s="2006"/>
      <c r="P305" s="2006" t="s">
        <v>32</v>
      </c>
      <c r="Q305" s="2006"/>
      <c r="R305" s="2006"/>
      <c r="S305" s="2006"/>
      <c r="T305" s="2006"/>
      <c r="U305" s="2006"/>
      <c r="V305" s="2006"/>
      <c r="W305" s="2006"/>
      <c r="X305" s="2006"/>
      <c r="Y305" s="2006"/>
      <c r="Z305" s="2006"/>
      <c r="AA305" s="2006"/>
      <c r="AB305" s="2006"/>
      <c r="AC305" s="2006"/>
      <c r="AD305" s="2006"/>
      <c r="AE305" s="2006"/>
      <c r="AF305" s="2006" t="s">
        <v>33</v>
      </c>
      <c r="AG305" s="2006"/>
      <c r="AH305" s="2006"/>
      <c r="AI305" s="2006"/>
      <c r="AJ305" s="2006"/>
      <c r="AK305" s="2006"/>
      <c r="AL305" s="2006"/>
      <c r="AM305" s="2006"/>
      <c r="AN305" s="2006"/>
      <c r="AO305" s="2006"/>
      <c r="AP305" s="2006"/>
      <c r="AQ305" s="2006"/>
      <c r="AR305" s="2006" t="s">
        <v>752</v>
      </c>
      <c r="AS305" s="2006"/>
      <c r="AT305" s="2003" t="s">
        <v>156</v>
      </c>
      <c r="AU305" s="2003"/>
      <c r="AV305" s="2003"/>
      <c r="AW305" s="2003"/>
      <c r="AX305" s="2003"/>
      <c r="AY305" s="2003"/>
      <c r="AZ305" s="2003"/>
      <c r="BA305" s="2003"/>
      <c r="BB305" s="2003"/>
      <c r="BC305" s="2003"/>
      <c r="BD305" s="2003" t="s">
        <v>194</v>
      </c>
      <c r="BE305" s="2003"/>
      <c r="BF305" s="2003"/>
      <c r="BG305" s="2003"/>
      <c r="BH305" s="2003"/>
      <c r="BI305" s="2003"/>
      <c r="BJ305" s="2003"/>
      <c r="BK305" s="2003"/>
      <c r="BL305" s="2003"/>
      <c r="BM305" s="2003"/>
      <c r="BN305" s="2003"/>
      <c r="BO305" s="2003"/>
      <c r="BP305" s="2003"/>
      <c r="BQ305" s="2003"/>
      <c r="BR305" s="2003"/>
      <c r="BS305" s="2006" t="s">
        <v>387</v>
      </c>
      <c r="BT305" s="2003"/>
      <c r="BU305" s="2003"/>
      <c r="BV305" s="2003"/>
      <c r="BW305" s="2003"/>
      <c r="BX305" s="2003"/>
      <c r="BY305" s="2003"/>
      <c r="BZ305" s="2003"/>
      <c r="CA305" s="2003"/>
      <c r="CB305" s="2120" t="s">
        <v>2818</v>
      </c>
      <c r="CC305" s="2120"/>
      <c r="CD305" s="2120"/>
      <c r="CE305" s="2120"/>
      <c r="CF305" s="2120"/>
      <c r="CG305" s="2120"/>
      <c r="CH305" s="2120"/>
      <c r="CI305" s="2120"/>
      <c r="CJ305" s="2120"/>
      <c r="CK305" s="2120"/>
      <c r="CL305" s="2120"/>
      <c r="CM305" s="2120"/>
      <c r="CN305" s="2120"/>
      <c r="CO305" s="2120"/>
      <c r="CP305" s="2120"/>
      <c r="CQ305" s="2120"/>
      <c r="CR305" s="2120"/>
      <c r="CS305" s="2120"/>
      <c r="CT305" s="2120"/>
      <c r="CU305" s="2121"/>
      <c r="CV305" s="108"/>
      <c r="CW305" s="108"/>
      <c r="CX305" s="381"/>
      <c r="CY305" s="381"/>
      <c r="CZ305" s="381"/>
      <c r="DA305" s="381"/>
      <c r="DB305" s="381"/>
      <c r="DC305" s="1142"/>
      <c r="DD305" s="928"/>
      <c r="DE305" s="928"/>
      <c r="DF305" s="928"/>
      <c r="DG305" s="928"/>
      <c r="DH305" s="928"/>
      <c r="DI305" s="928"/>
      <c r="DJ305" s="928"/>
      <c r="DK305" s="344"/>
      <c r="DL305" s="170"/>
      <c r="DM305" s="34" t="s">
        <v>3353</v>
      </c>
      <c r="DN305" s="34"/>
      <c r="DO305" s="34"/>
      <c r="DP305" s="34"/>
      <c r="DQ305" s="34"/>
      <c r="DR305" s="34"/>
      <c r="DU305" s="381"/>
      <c r="DV305" s="381"/>
      <c r="DX305" s="2489"/>
      <c r="DY305" s="1972" t="s">
        <v>911</v>
      </c>
      <c r="DZ305" s="2482"/>
      <c r="EA305" s="2485"/>
      <c r="EB305" s="1907" t="s">
        <v>24</v>
      </c>
      <c r="EC305" s="1908"/>
      <c r="ED305" s="1908"/>
      <c r="EE305" s="1908"/>
      <c r="EF305" s="1909"/>
      <c r="EG305" s="1969" t="s">
        <v>931</v>
      </c>
      <c r="EH305" s="1970"/>
      <c r="EI305" s="1970"/>
      <c r="EJ305" s="1970"/>
      <c r="EK305" s="2477"/>
      <c r="EL305" s="2470"/>
      <c r="EM305" s="2470"/>
      <c r="EN305" s="2471"/>
      <c r="EO305" s="1153"/>
      <c r="EP305" s="112" t="s">
        <v>358</v>
      </c>
      <c r="EQ305" s="112" t="s">
        <v>693</v>
      </c>
      <c r="ER305" s="220" t="s">
        <v>694</v>
      </c>
      <c r="ES305" s="1154"/>
      <c r="ET305" s="2475" t="s">
        <v>939</v>
      </c>
      <c r="EU305" s="2476"/>
      <c r="EV305" s="2476"/>
      <c r="EW305" s="2476"/>
      <c r="EX305" s="2476"/>
      <c r="EY305" s="2459" t="s">
        <v>940</v>
      </c>
      <c r="EZ305" s="2460"/>
      <c r="FA305" s="2460"/>
      <c r="FB305" s="2460"/>
      <c r="FC305" s="2461"/>
      <c r="FD305" s="2459" t="s">
        <v>2647</v>
      </c>
      <c r="FE305" s="2460"/>
      <c r="FF305" s="2460"/>
      <c r="FG305" s="2460"/>
      <c r="FH305" s="2472"/>
      <c r="FI305" s="108"/>
      <c r="FJ305" s="108"/>
      <c r="FK305" s="1874"/>
      <c r="FL305" s="1875"/>
      <c r="FM305" s="1875"/>
      <c r="FN305" s="1875"/>
      <c r="FO305" s="1876"/>
      <c r="FQ305" s="1907" t="s">
        <v>24</v>
      </c>
      <c r="FR305" s="1908"/>
      <c r="FS305" s="1908"/>
      <c r="FT305" s="1908"/>
      <c r="FU305" s="1909"/>
      <c r="GA305" s="34"/>
      <c r="GB305" s="1149" t="s">
        <v>1323</v>
      </c>
      <c r="GC305" s="1149" t="s">
        <v>1324</v>
      </c>
      <c r="GD305" s="1149" t="s">
        <v>675</v>
      </c>
      <c r="GE305" s="1149">
        <v>1</v>
      </c>
      <c r="GF305" s="1149">
        <v>2</v>
      </c>
      <c r="GG305" s="1149">
        <v>3</v>
      </c>
      <c r="GH305" s="1149">
        <v>4</v>
      </c>
      <c r="GI305" s="1149">
        <v>5</v>
      </c>
      <c r="GJ305" s="1149">
        <v>6</v>
      </c>
      <c r="GK305" s="1149">
        <v>7</v>
      </c>
      <c r="GL305" s="1149">
        <v>8</v>
      </c>
      <c r="GM305" s="1149">
        <v>9</v>
      </c>
      <c r="GN305" s="1149">
        <v>10</v>
      </c>
      <c r="GO305" s="1149">
        <v>11</v>
      </c>
      <c r="GP305" s="1149">
        <v>12</v>
      </c>
      <c r="GQ305" s="1149">
        <v>13</v>
      </c>
      <c r="GR305" s="1149">
        <v>14</v>
      </c>
      <c r="GS305" s="1149">
        <v>15</v>
      </c>
      <c r="GT305" s="1149" t="s">
        <v>4645</v>
      </c>
      <c r="GU305" s="1149" t="s">
        <v>4646</v>
      </c>
      <c r="GV305" s="1149" t="s">
        <v>4647</v>
      </c>
      <c r="GW305" s="1149" t="s">
        <v>1323</v>
      </c>
      <c r="GX305" s="1149" t="s">
        <v>1324</v>
      </c>
      <c r="GY305" s="1149" t="s">
        <v>675</v>
      </c>
      <c r="GZ305" s="1149"/>
      <c r="HC305" s="1149">
        <v>1</v>
      </c>
      <c r="HD305" s="1149">
        <v>2</v>
      </c>
      <c r="HE305" s="1149">
        <v>3</v>
      </c>
      <c r="HF305" s="1149">
        <v>4</v>
      </c>
      <c r="HG305" s="1149">
        <v>5</v>
      </c>
      <c r="HH305" s="1149">
        <v>6</v>
      </c>
      <c r="HI305" s="1149">
        <v>7</v>
      </c>
      <c r="HJ305" s="1149">
        <v>8</v>
      </c>
      <c r="HK305" s="1149">
        <v>9</v>
      </c>
      <c r="HL305" s="1149">
        <v>10</v>
      </c>
      <c r="HM305" s="1149">
        <v>11</v>
      </c>
      <c r="HN305" s="1149">
        <v>12</v>
      </c>
      <c r="HO305" s="1149">
        <v>13</v>
      </c>
      <c r="HP305" s="1149">
        <v>14</v>
      </c>
      <c r="HQ305" s="1149">
        <v>15</v>
      </c>
      <c r="HS305" s="123"/>
      <c r="HT305" s="1701"/>
      <c r="HU305" s="69" t="s">
        <v>940</v>
      </c>
      <c r="HW305" s="69" t="s">
        <v>5651</v>
      </c>
    </row>
    <row r="306" spans="1:232" s="69" customFormat="1" ht="36" customHeight="1" thickBot="1">
      <c r="A306" s="645"/>
      <c r="B306" s="645"/>
      <c r="C306" s="645"/>
      <c r="D306" s="645"/>
      <c r="E306" s="646"/>
      <c r="F306" s="381"/>
      <c r="G306" s="381"/>
      <c r="H306" s="381"/>
      <c r="I306" s="123"/>
      <c r="J306" s="88"/>
      <c r="K306" s="89"/>
      <c r="L306" s="89"/>
      <c r="M306" s="1976"/>
      <c r="N306" s="1976"/>
      <c r="O306" s="1976"/>
      <c r="P306" s="1976"/>
      <c r="Q306" s="1976"/>
      <c r="R306" s="1976"/>
      <c r="S306" s="1976"/>
      <c r="T306" s="1976"/>
      <c r="U306" s="1976"/>
      <c r="V306" s="1976"/>
      <c r="W306" s="1976"/>
      <c r="X306" s="1976"/>
      <c r="Y306" s="1976"/>
      <c r="Z306" s="1976"/>
      <c r="AA306" s="1976"/>
      <c r="AB306" s="1976"/>
      <c r="AC306" s="1976"/>
      <c r="AD306" s="1976"/>
      <c r="AE306" s="1976"/>
      <c r="AF306" s="1976"/>
      <c r="AG306" s="1976"/>
      <c r="AH306" s="1976"/>
      <c r="AI306" s="1976"/>
      <c r="AJ306" s="1976"/>
      <c r="AK306" s="1976"/>
      <c r="AL306" s="1976"/>
      <c r="AM306" s="1976"/>
      <c r="AN306" s="1976"/>
      <c r="AO306" s="1976"/>
      <c r="AP306" s="1976"/>
      <c r="AQ306" s="1976"/>
      <c r="AR306" s="1976"/>
      <c r="AS306" s="1976"/>
      <c r="AT306" s="2004"/>
      <c r="AU306" s="2004"/>
      <c r="AV306" s="2004"/>
      <c r="AW306" s="2004"/>
      <c r="AX306" s="2004"/>
      <c r="AY306" s="2004"/>
      <c r="AZ306" s="2004"/>
      <c r="BA306" s="2004"/>
      <c r="BB306" s="2004"/>
      <c r="BC306" s="2004"/>
      <c r="BD306" s="2004"/>
      <c r="BE306" s="2004"/>
      <c r="BF306" s="2004"/>
      <c r="BG306" s="2004"/>
      <c r="BH306" s="2004"/>
      <c r="BI306" s="2004"/>
      <c r="BJ306" s="2004"/>
      <c r="BK306" s="2004"/>
      <c r="BL306" s="2004"/>
      <c r="BM306" s="2004"/>
      <c r="BN306" s="2004"/>
      <c r="BO306" s="2004"/>
      <c r="BP306" s="2004"/>
      <c r="BQ306" s="2004"/>
      <c r="BR306" s="2004"/>
      <c r="BS306" s="1976" t="s">
        <v>865</v>
      </c>
      <c r="BT306" s="1976"/>
      <c r="BU306" s="1976"/>
      <c r="BV306" s="1977" t="s">
        <v>743</v>
      </c>
      <c r="BW306" s="1977"/>
      <c r="BX306" s="1977"/>
      <c r="BY306" s="1977" t="s">
        <v>1700</v>
      </c>
      <c r="BZ306" s="1978"/>
      <c r="CA306" s="1978"/>
      <c r="CB306" s="2122"/>
      <c r="CC306" s="2122"/>
      <c r="CD306" s="2122"/>
      <c r="CE306" s="2122"/>
      <c r="CF306" s="2122"/>
      <c r="CG306" s="2122"/>
      <c r="CH306" s="2122"/>
      <c r="CI306" s="2122"/>
      <c r="CJ306" s="2122"/>
      <c r="CK306" s="2122"/>
      <c r="CL306" s="2122"/>
      <c r="CM306" s="2122"/>
      <c r="CN306" s="2122"/>
      <c r="CO306" s="2122"/>
      <c r="CP306" s="2122"/>
      <c r="CQ306" s="2122"/>
      <c r="CR306" s="2122"/>
      <c r="CS306" s="2122"/>
      <c r="CT306" s="2122"/>
      <c r="CU306" s="2123"/>
      <c r="CV306" s="108"/>
      <c r="CW306" s="108"/>
      <c r="CX306" s="381"/>
      <c r="CY306" s="381"/>
      <c r="CZ306" s="381"/>
      <c r="DA306" s="381"/>
      <c r="DB306" s="381"/>
      <c r="DC306" s="1142"/>
      <c r="DD306" s="928"/>
      <c r="DE306" s="928"/>
      <c r="DF306" s="928"/>
      <c r="DG306" s="928"/>
      <c r="DH306" s="928"/>
      <c r="DI306" s="928"/>
      <c r="DJ306" s="1695" t="s">
        <v>5640</v>
      </c>
      <c r="DK306" s="1706" t="s">
        <v>5639</v>
      </c>
      <c r="DL306" s="1696" t="s">
        <v>5641</v>
      </c>
      <c r="DM306" s="512" t="s">
        <v>347</v>
      </c>
      <c r="DN306" s="471" t="s">
        <v>348</v>
      </c>
      <c r="DO306" s="471" t="s">
        <v>349</v>
      </c>
      <c r="DP306" s="511" t="s">
        <v>350</v>
      </c>
      <c r="DQ306" s="510" t="s">
        <v>863</v>
      </c>
      <c r="DR306" s="512" t="s">
        <v>754</v>
      </c>
      <c r="DS306" s="478" t="s">
        <v>753</v>
      </c>
      <c r="DT306" s="479" t="s">
        <v>746</v>
      </c>
      <c r="DU306" s="481" t="s">
        <v>920</v>
      </c>
      <c r="DV306" s="484" t="s">
        <v>912</v>
      </c>
      <c r="DW306" s="482" t="s">
        <v>695</v>
      </c>
      <c r="DX306" s="2490"/>
      <c r="DY306" s="1973"/>
      <c r="DZ306" s="2483"/>
      <c r="EA306" s="2486"/>
      <c r="EB306" s="235" t="s">
        <v>950</v>
      </c>
      <c r="EC306" s="228" t="s">
        <v>2401</v>
      </c>
      <c r="ED306" s="228" t="s">
        <v>943</v>
      </c>
      <c r="EE306" s="228" t="s">
        <v>1390</v>
      </c>
      <c r="EF306" s="415" t="s">
        <v>945</v>
      </c>
      <c r="EG306" s="214" t="s">
        <v>941</v>
      </c>
      <c r="EH306" s="215" t="s">
        <v>942</v>
      </c>
      <c r="EI306" s="228" t="s">
        <v>943</v>
      </c>
      <c r="EJ306" s="215" t="s">
        <v>944</v>
      </c>
      <c r="EK306" s="415" t="s">
        <v>945</v>
      </c>
      <c r="EL306" s="462" t="s">
        <v>358</v>
      </c>
      <c r="EM306" s="112" t="s">
        <v>693</v>
      </c>
      <c r="EN306" s="220" t="s">
        <v>694</v>
      </c>
      <c r="EO306" s="223">
        <v>1</v>
      </c>
      <c r="EP306" s="112" t="s">
        <v>1128</v>
      </c>
      <c r="EQ306" s="112" t="s">
        <v>1092</v>
      </c>
      <c r="ER306" s="220" t="s">
        <v>1110</v>
      </c>
      <c r="ES306" s="226"/>
      <c r="ET306" s="1155"/>
      <c r="EU306" s="241" t="s">
        <v>347</v>
      </c>
      <c r="EV306" s="241" t="s">
        <v>348</v>
      </c>
      <c r="EW306" s="241" t="s">
        <v>349</v>
      </c>
      <c r="EX306" s="242" t="s">
        <v>350</v>
      </c>
      <c r="EY306" s="243" t="s">
        <v>951</v>
      </c>
      <c r="EZ306" s="244" t="s">
        <v>952</v>
      </c>
      <c r="FA306" s="244" t="s">
        <v>2646</v>
      </c>
      <c r="FB306" s="236" t="s">
        <v>2435</v>
      </c>
      <c r="FC306" s="245" t="s">
        <v>953</v>
      </c>
      <c r="FD306" s="243" t="s">
        <v>951</v>
      </c>
      <c r="FE306" s="244" t="s">
        <v>952</v>
      </c>
      <c r="FF306" s="244" t="s">
        <v>2646</v>
      </c>
      <c r="FG306" s="236" t="s">
        <v>2435</v>
      </c>
      <c r="FH306" s="246" t="s">
        <v>953</v>
      </c>
      <c r="FI306" s="108"/>
      <c r="FJ306" s="311"/>
      <c r="FK306" s="297" t="s">
        <v>903</v>
      </c>
      <c r="FL306" s="297" t="s">
        <v>1181</v>
      </c>
      <c r="FM306" s="297" t="s">
        <v>1182</v>
      </c>
      <c r="FN306" s="297" t="s">
        <v>1183</v>
      </c>
      <c r="FO306" s="244" t="s">
        <v>2645</v>
      </c>
      <c r="FQ306" s="235" t="s">
        <v>950</v>
      </c>
      <c r="FR306" s="228" t="s">
        <v>2401</v>
      </c>
      <c r="FS306" s="228" t="s">
        <v>943</v>
      </c>
      <c r="FT306" s="228" t="s">
        <v>1390</v>
      </c>
      <c r="FU306" s="415" t="s">
        <v>945</v>
      </c>
      <c r="GA306" s="34"/>
      <c r="GB306" s="123"/>
      <c r="GC306" s="123"/>
      <c r="GE306" s="1149">
        <f>$M$512</f>
        <v>0</v>
      </c>
      <c r="GF306" s="1149">
        <f>$M$513</f>
        <v>0</v>
      </c>
      <c r="GG306" s="1149">
        <f>$M$514</f>
        <v>0</v>
      </c>
      <c r="GH306" s="1149">
        <f>$M$515</f>
        <v>0</v>
      </c>
      <c r="GI306" s="1149">
        <f>$M$516</f>
        <v>0</v>
      </c>
      <c r="GJ306" s="1149">
        <f>$M$517</f>
        <v>0</v>
      </c>
      <c r="GK306" s="1149">
        <f>$M$518</f>
        <v>0</v>
      </c>
      <c r="GL306" s="1149">
        <f>$M$519</f>
        <v>0</v>
      </c>
      <c r="GM306" s="1149">
        <f>$M$520</f>
        <v>0</v>
      </c>
      <c r="GN306" s="1149">
        <f>$M$521</f>
        <v>0</v>
      </c>
      <c r="GO306" s="1149">
        <f>$M$522</f>
        <v>0</v>
      </c>
      <c r="GP306" s="1149">
        <f>$M$523</f>
        <v>0</v>
      </c>
      <c r="GQ306" s="1149">
        <f>$M$524</f>
        <v>0</v>
      </c>
      <c r="GR306" s="1149">
        <f>$M$525</f>
        <v>0</v>
      </c>
      <c r="GS306" s="1149">
        <f>$M$526</f>
        <v>0</v>
      </c>
      <c r="GW306" s="123"/>
      <c r="HC306" s="1156">
        <f>$M$512</f>
        <v>0</v>
      </c>
      <c r="HD306" s="1156">
        <f>$M$513</f>
        <v>0</v>
      </c>
      <c r="HE306" s="1156">
        <f>$M$514</f>
        <v>0</v>
      </c>
      <c r="HF306" s="1156">
        <f>$M$515</f>
        <v>0</v>
      </c>
      <c r="HG306" s="1156">
        <f>$M$516</f>
        <v>0</v>
      </c>
      <c r="HH306" s="1156">
        <f>$M$517</f>
        <v>0</v>
      </c>
      <c r="HI306" s="1156">
        <f>$M$518</f>
        <v>0</v>
      </c>
      <c r="HJ306" s="1156">
        <f>$M$519</f>
        <v>0</v>
      </c>
      <c r="HK306" s="1156">
        <f>$M$520</f>
        <v>0</v>
      </c>
      <c r="HL306" s="1156">
        <f>$M$521</f>
        <v>0</v>
      </c>
      <c r="HM306" s="1156">
        <f>$M$522</f>
        <v>0</v>
      </c>
      <c r="HN306" s="1156">
        <f>$M$523</f>
        <v>0</v>
      </c>
      <c r="HO306" s="1156">
        <f>$M$524</f>
        <v>0</v>
      </c>
      <c r="HP306" s="1156">
        <f>$M$525</f>
        <v>0</v>
      </c>
      <c r="HQ306" s="1156">
        <f>$M$526</f>
        <v>0</v>
      </c>
      <c r="HV306" s="69" t="s">
        <v>5652</v>
      </c>
      <c r="HX306" s="69" t="s">
        <v>5652</v>
      </c>
    </row>
    <row r="307" spans="1:232" s="69" customFormat="1" ht="49.5" customHeight="1">
      <c r="A307" s="645"/>
      <c r="B307" s="645"/>
      <c r="C307" s="645"/>
      <c r="D307" s="645"/>
      <c r="E307" s="646"/>
      <c r="F307" s="381"/>
      <c r="G307" s="381"/>
      <c r="H307" s="381"/>
      <c r="J307" s="80"/>
      <c r="K307" s="89"/>
      <c r="L307" s="89"/>
      <c r="M307" s="2080" t="s">
        <v>1325</v>
      </c>
      <c r="N307" s="2080"/>
      <c r="O307" s="2080"/>
      <c r="P307" s="2028" t="s">
        <v>36</v>
      </c>
      <c r="Q307" s="2440"/>
      <c r="R307" s="2440"/>
      <c r="S307" s="2440"/>
      <c r="T307" s="2440"/>
      <c r="U307" s="2028" t="s">
        <v>222</v>
      </c>
      <c r="V307" s="2028"/>
      <c r="W307" s="2028"/>
      <c r="X307" s="2028"/>
      <c r="Y307" s="2028"/>
      <c r="Z307" s="2028"/>
      <c r="AA307" s="2028"/>
      <c r="AB307" s="2028"/>
      <c r="AC307" s="2028"/>
      <c r="AD307" s="2028"/>
      <c r="AE307" s="2028"/>
      <c r="AF307" s="2399"/>
      <c r="AG307" s="2043"/>
      <c r="AH307" s="2043"/>
      <c r="AI307" s="2043"/>
      <c r="AJ307" s="2043"/>
      <c r="AK307" s="2043"/>
      <c r="AL307" s="2043"/>
      <c r="AM307" s="2043"/>
      <c r="AN307" s="2043"/>
      <c r="AO307" s="2043"/>
      <c r="AP307" s="2043"/>
      <c r="AQ307" s="2044"/>
      <c r="AR307" s="1965"/>
      <c r="AS307" s="1965"/>
      <c r="AT307" s="1999"/>
      <c r="AU307" s="1999"/>
      <c r="AV307" s="1999"/>
      <c r="AW307" s="1999"/>
      <c r="AX307" s="1999"/>
      <c r="AY307" s="1999"/>
      <c r="AZ307" s="1999"/>
      <c r="BA307" s="1999"/>
      <c r="BB307" s="1999"/>
      <c r="BC307" s="1999"/>
      <c r="BD307" s="1999"/>
      <c r="BE307" s="1999"/>
      <c r="BF307" s="1999"/>
      <c r="BG307" s="1999"/>
      <c r="BH307" s="1999"/>
      <c r="BI307" s="1999"/>
      <c r="BJ307" s="1999"/>
      <c r="BK307" s="1999"/>
      <c r="BL307" s="1999"/>
      <c r="BM307" s="1999"/>
      <c r="BN307" s="1999"/>
      <c r="BO307" s="1999"/>
      <c r="BP307" s="1999"/>
      <c r="BQ307" s="1999"/>
      <c r="BR307" s="1999"/>
      <c r="BS307" s="2081"/>
      <c r="BT307" s="2081"/>
      <c r="BU307" s="2081"/>
      <c r="BV307" s="1923"/>
      <c r="BW307" s="1923"/>
      <c r="BX307" s="1923"/>
      <c r="BY307" s="1923"/>
      <c r="BZ307" s="1924"/>
      <c r="CA307" s="1924"/>
      <c r="CB307" s="2393"/>
      <c r="CC307" s="2394"/>
      <c r="CD307" s="2394"/>
      <c r="CE307" s="2394"/>
      <c r="CF307" s="2394"/>
      <c r="CG307" s="2394"/>
      <c r="CH307" s="2394"/>
      <c r="CI307" s="2394"/>
      <c r="CJ307" s="2394"/>
      <c r="CK307" s="2394"/>
      <c r="CL307" s="2394"/>
      <c r="CM307" s="2394"/>
      <c r="CN307" s="2394"/>
      <c r="CO307" s="2394"/>
      <c r="CP307" s="2394"/>
      <c r="CQ307" s="2394"/>
      <c r="CR307" s="2394"/>
      <c r="CS307" s="2394"/>
      <c r="CT307" s="2394"/>
      <c r="CU307" s="2395"/>
      <c r="CV307" s="2360" t="str">
        <f t="shared" ref="CV307:CV315" si="24">IF(AND(DT307="要是正",DU307&lt;21),HYPERLINK("#"&amp;EL307&amp;"!"&amp;EM307&amp;":"&amp;EN307&amp;"","関連写真添付"),"")</f>
        <v/>
      </c>
      <c r="CW307" s="2360"/>
      <c r="CX307" s="2360"/>
      <c r="CY307" s="2360"/>
      <c r="CZ307" s="2360"/>
      <c r="DA307" s="2360"/>
      <c r="DC307" s="600" t="str">
        <f t="shared" ref="DC307:DC315" si="25">IF(AND(DU307&lt;&gt;"",DU307&gt;10),"「別途様式を作成、提出してください。」","")</f>
        <v/>
      </c>
      <c r="DD307" s="381"/>
      <c r="DF307" s="34"/>
      <c r="DG307" s="34"/>
      <c r="DH307" s="34"/>
      <c r="DI307" s="34"/>
      <c r="DJ307" s="858" t="s">
        <v>5637</v>
      </c>
      <c r="DK307" s="1707" t="str">
        <f>IF(DS307=2,DATE(VLOOKUP(DJ307,$DU$6:$DV$9,2,FALSE)+BS307,BV307,1),"")</f>
        <v/>
      </c>
      <c r="DL307" s="1692" t="str">
        <f>IF(DS307=2,DJ307&amp;BS307&amp;"."&amp;BV307,"")</f>
        <v/>
      </c>
      <c r="DM307" s="1691">
        <f t="shared" ref="DM307:DM320" si="26">COUNTIFS(AF307,"―対象外")</f>
        <v>0</v>
      </c>
      <c r="DN307" s="111">
        <f t="shared" ref="DN307:DN315" si="27">COUNTIFS(AF307,"○指摘なし")</f>
        <v>0</v>
      </c>
      <c r="DO307" s="111">
        <f t="shared" ref="DO307:DO315" si="28">COUNTIFS(AF307,"×要是正（既存不適格以外）")</f>
        <v>0</v>
      </c>
      <c r="DP307" s="474">
        <f t="shared" ref="DP307:DP315" si="29">COUNTIFS(AF307,"△既存不適格")</f>
        <v>0</v>
      </c>
      <c r="DQ307" s="115" t="s">
        <v>755</v>
      </c>
      <c r="DR307" s="473" t="str">
        <f>IF($U307="",P307,U307)</f>
        <v>地盤沈下等による不陸、傾斜等の状況</v>
      </c>
      <c r="DS307" s="112">
        <f t="shared" ref="DS307:DS315" si="30">COUNTA(BS307:BX307)</f>
        <v>0</v>
      </c>
      <c r="DT307" s="118" t="str">
        <f t="shared" ref="DT307:DT315" si="31">IF(AF307="×要是正（既存不適格以外）","要是正","")&amp;IF(AF307="△既存不適格","既存不適格","")</f>
        <v/>
      </c>
      <c r="DU307" s="452" t="str">
        <f>IF(HV307="","",HV307)</f>
        <v/>
      </c>
      <c r="DV307" s="151" t="str">
        <f>IF($DT307="要是正",MAX($DV$304:DV304)+1,"")</f>
        <v/>
      </c>
      <c r="DW307" s="485" t="str">
        <f t="shared" ref="DW307:DW315" si="32">IF(OR(AF307="×要是正（既存不適格以外）",AF307="△既存不適格"),DQ307,"")</f>
        <v/>
      </c>
      <c r="DX307" s="119" t="str">
        <f>IF(OR($DT307="要是正",$DT307="既存不適格"),$DR307,"")</f>
        <v/>
      </c>
      <c r="DY307" s="33" t="str">
        <f>IF($DT307="要是正",IF(AT307="","",DQ307 &amp;" " &amp; AT307),"")</f>
        <v/>
      </c>
      <c r="DZ307" s="217" t="str">
        <f t="shared" ref="DZ307:DZ315" si="33">IF($DT307="要是正",IF(BD307="","",BD307),"")</f>
        <v/>
      </c>
      <c r="EA307" s="466" t="str">
        <f>IF(BY307="未定","未定",IF(FR307="0","",IF(BY307="予定","("&amp;DL307&amp;")",IF(BY307="改善済",DL307,DL307))))</f>
        <v/>
      </c>
      <c r="EB307" s="234" t="str">
        <f>IF(OR(DT307="要是正",DT307="既存不適格"),IF(OR(DS307&lt;2,BY307&lt;&gt;"予定"),"",DK307),"")</f>
        <v/>
      </c>
      <c r="EC307" s="227" t="str">
        <f>IF(EB307="","0",EB307)</f>
        <v>0</v>
      </c>
      <c r="ED307" s="148" t="str">
        <f>IF(DT307="要是正",IF(AND(BY307="予定",DS307=2),1,IF(BY307="改善済",2,"")),"")</f>
        <v/>
      </c>
      <c r="EE307" s="227" t="str">
        <f>IF(ED307=1,EC307,"0")</f>
        <v>0</v>
      </c>
      <c r="EF307" s="416" t="str">
        <f>IF(AND(DT307="要是正",AND(DS307=0,BY307="未定")),BY307,"")</f>
        <v/>
      </c>
      <c r="EG307" s="204" t="str">
        <f>IF(DT307="既存不適格",IF(OR(DS307&lt;2,BY307&lt;&gt;"予定"),"",DK307),"")</f>
        <v/>
      </c>
      <c r="EH307" s="134" t="str">
        <f>IF(EG307="","0",EG307)</f>
        <v>0</v>
      </c>
      <c r="EI307" s="148" t="str">
        <f>IF(DT307="既存不適格",IF(AND(BY307="予定",DS307=2),1,IF(BY307="改善済",2,"")),"")</f>
        <v/>
      </c>
      <c r="EJ307" s="227" t="str">
        <f>IF(EI307=1,EH307,"0")</f>
        <v>0</v>
      </c>
      <c r="EK307" s="416" t="str">
        <f t="shared" ref="EK307:EK315" si="34">IF(AND(DT307="既存不適格",AND(DS307=0,BY307="未定")),BY307,"")</f>
        <v/>
      </c>
      <c r="EL307" s="463" t="e">
        <f>VLOOKUP($DU307,$EO$306:$ER$334,2,FALSE)</f>
        <v>#N/A</v>
      </c>
      <c r="EM307" s="151" t="e">
        <f t="shared" ref="EM307:EM315" si="35">VLOOKUP($DU307,$EO$306:$ER$334,3,FALSE)</f>
        <v>#N/A</v>
      </c>
      <c r="EN307" s="453" t="e">
        <f t="shared" ref="EN307:EN315" si="36">VLOOKUP($DU307,$EO$306:$ER$334,4,FALSE)</f>
        <v>#N/A</v>
      </c>
      <c r="EO307" s="223">
        <v>2</v>
      </c>
      <c r="EP307" s="112" t="s">
        <v>1128</v>
      </c>
      <c r="EQ307" s="112" t="s">
        <v>1093</v>
      </c>
      <c r="ER307" s="220" t="s">
        <v>1111</v>
      </c>
      <c r="ET307" s="1157">
        <v>1</v>
      </c>
      <c r="EU307" s="112" t="str">
        <f>DM304</f>
        <v/>
      </c>
      <c r="EV307" s="112" t="str">
        <f>DN304</f>
        <v/>
      </c>
      <c r="EW307" s="112" t="str">
        <f>DO304</f>
        <v/>
      </c>
      <c r="EX307" s="1158" t="str">
        <f>DP304</f>
        <v/>
      </c>
      <c r="EY307" s="239" t="str">
        <f>EE321</f>
        <v>0</v>
      </c>
      <c r="EZ307" s="236" t="s">
        <v>2429</v>
      </c>
      <c r="FA307" s="634" t="str">
        <f>EF$304</f>
        <v/>
      </c>
      <c r="FB307" s="236" t="s">
        <v>2435</v>
      </c>
      <c r="FC307" s="236" t="s">
        <v>2435</v>
      </c>
      <c r="FD307" s="239" t="str">
        <f>EJ321</f>
        <v>0</v>
      </c>
      <c r="FE307" s="236" t="s">
        <v>2429</v>
      </c>
      <c r="FF307" s="634" t="str">
        <f>EK$304</f>
        <v/>
      </c>
      <c r="FG307" s="236" t="s">
        <v>2435</v>
      </c>
      <c r="FH307" s="236" t="s">
        <v>2435</v>
      </c>
      <c r="FI307" s="108"/>
      <c r="FJ307" s="312"/>
      <c r="FK307" s="597" t="str">
        <f t="shared" ref="FK307:FK320" si="37">IF($AF307="○指摘なし","○",IF($AF307="―対象外","―",""))</f>
        <v/>
      </c>
      <c r="FL307" s="597" t="str">
        <f>IF(OR($AF307="×要是正（既存不適格以外）",$AF307="△既存不適格"),"○","")</f>
        <v/>
      </c>
      <c r="FM307" s="597" t="str">
        <f>IF($AF307="△既存不適格","○","")</f>
        <v/>
      </c>
      <c r="FN307" s="597">
        <f t="shared" ref="FN307:FN315" si="38">AR307</f>
        <v>0</v>
      </c>
      <c r="FO307" s="632" t="str">
        <f t="shared" ref="FO307:FO320" si="39">IF($AF307="―対象外","○","")</f>
        <v/>
      </c>
      <c r="FQ307" s="234" t="str">
        <f>IF(NOT(OR(BY307="未定",BY307="")),DK307,"")</f>
        <v/>
      </c>
      <c r="FR307" s="227" t="str">
        <f>IF(FQ307="","0",FQ307)</f>
        <v>0</v>
      </c>
      <c r="FS307" s="148" t="str">
        <f>IF(OR(BY307="予定",BY307="改善済"),1,"")</f>
        <v/>
      </c>
      <c r="FT307" s="227" t="str">
        <f>IF(FS307=1,FR307,"0")</f>
        <v>0</v>
      </c>
      <c r="FU307" s="416" t="str">
        <f>IF(AND(DT307="要是正",AND(DS307=0,BY307="未定")),BY307,"")</f>
        <v/>
      </c>
      <c r="FW307" s="1150">
        <f>IF(AF307="△既存不適格",AT307&amp;"(既存不適格)",AT307)</f>
        <v>0</v>
      </c>
      <c r="FX307" s="1151"/>
      <c r="FY307" s="1151"/>
      <c r="FZ307" s="1152"/>
      <c r="GA307" s="34"/>
      <c r="GB307" s="1149">
        <f>IF(BY307="予定",1,0)</f>
        <v>0</v>
      </c>
      <c r="GC307" s="1149">
        <f>IF(BY307="改善済",1,0)</f>
        <v>0</v>
      </c>
      <c r="GD307" s="1149">
        <f>IF(BY307="未定",1,0)</f>
        <v>0</v>
      </c>
      <c r="GE307" s="1149" t="str">
        <f t="shared" ref="GE307:GE320" si="40">IF(GE$306=$M307,$BY$512,"")</f>
        <v/>
      </c>
      <c r="GF307" s="1149" t="str">
        <f t="shared" ref="GF307:GF320" si="41">IF(GF$306=$M307,$BY$513,"")</f>
        <v/>
      </c>
      <c r="GG307" s="1149" t="str">
        <f t="shared" ref="GG307:GG320" si="42">IF(GG$306=$M307,$BY$514,"")</f>
        <v/>
      </c>
      <c r="GH307" s="1149" t="str">
        <f t="shared" ref="GH307:GH320" si="43">IF(GH$306=$M307,$BY$515,"")</f>
        <v/>
      </c>
      <c r="GI307" s="1149" t="str">
        <f t="shared" ref="GI307:GI320" si="44">IF(GI$306=$M307,$BY$516,"")</f>
        <v/>
      </c>
      <c r="GJ307" s="1149" t="str">
        <f t="shared" ref="GJ307:GJ320" si="45">IF(GJ$306=$M307,$BY$517,"")</f>
        <v/>
      </c>
      <c r="GK307" s="1149" t="str">
        <f t="shared" ref="GK307:GK320" si="46">IF(GK$306=$M307,$BY$518,"")</f>
        <v/>
      </c>
      <c r="GL307" s="1149" t="str">
        <f t="shared" ref="GL307:GL320" si="47">IF(GL$306=$M307,$BY$519,"")</f>
        <v/>
      </c>
      <c r="GM307" s="1149" t="str">
        <f t="shared" ref="GM307:GM320" si="48">IF(GM$306=$M307,$BY$520,"")</f>
        <v/>
      </c>
      <c r="GN307" s="1149" t="str">
        <f t="shared" ref="GN307:GN320" si="49">IF(GN$306=$M307,$BY$521,"")</f>
        <v/>
      </c>
      <c r="GO307" s="1149" t="str">
        <f t="shared" ref="GO307:GO320" si="50">IF(GO$306=$M307,$BY$522,"")</f>
        <v/>
      </c>
      <c r="GP307" s="1149" t="str">
        <f t="shared" ref="GP307:GP320" si="51">IF(GP$306=$M307,$BY$523,"")</f>
        <v/>
      </c>
      <c r="GQ307" s="1149" t="str">
        <f t="shared" ref="GQ307:GQ320" si="52">IF(GQ$306=$M307,$BY$524,"")</f>
        <v/>
      </c>
      <c r="GR307" s="1149" t="str">
        <f t="shared" ref="GR307:GR320" si="53">IF(GR$306=$M307,$BY$525,"")</f>
        <v/>
      </c>
      <c r="GS307" s="1149" t="str">
        <f t="shared" ref="GS307:GS320" si="54">IF(GS$306=$M307,$BY$526,"")</f>
        <v/>
      </c>
      <c r="GT307" s="1149">
        <f>IF(COUNTIF(GE307:GS307,"予定")&gt;0,1,0)</f>
        <v>0</v>
      </c>
      <c r="GU307" s="1149">
        <f>IF(COUNTIF(GE307:GS307,"改善済")&gt;0,1,0)</f>
        <v>0</v>
      </c>
      <c r="GV307" s="1149">
        <f>IF(COUNTIF(GE307:GS307,"未定")&gt;0,1,0)</f>
        <v>0</v>
      </c>
      <c r="GW307" s="1149" t="b">
        <f>(GB307+GT307)&gt;0</f>
        <v>0</v>
      </c>
      <c r="GX307" s="1149" t="b">
        <f t="shared" ref="GX307:GY307" si="55">(GC307+GU307)&gt;0</f>
        <v>0</v>
      </c>
      <c r="GY307" s="1149" t="b">
        <f t="shared" si="55"/>
        <v>0</v>
      </c>
      <c r="GZ307" s="1149" t="str">
        <f>IF(GW307,"有",IF(GY307,"無",""))&amp;IF(GX307,IF(OR(GW307,GY307),"（一部改善済）","改善済"),"")</f>
        <v/>
      </c>
      <c r="HB307" s="1149" t="str">
        <f>IF(FW307=0,"",FW307&amp;", ")</f>
        <v/>
      </c>
      <c r="HC307" s="1149" t="str">
        <f>IF(HC$306=$M307,$FW$512&amp;", ","")</f>
        <v/>
      </c>
      <c r="HD307" s="1149" t="str">
        <f>IF(HD$306=$M307,$FW$513&amp;", ","")</f>
        <v/>
      </c>
      <c r="HE307" s="1149" t="str">
        <f>IF(HE$306=$M307,$FW$514&amp;", ","")</f>
        <v/>
      </c>
      <c r="HF307" s="1149" t="str">
        <f>IF(HF$306=$M307,$FW$515&amp;", ","")</f>
        <v/>
      </c>
      <c r="HG307" s="1149" t="str">
        <f>IF(HG$306=$M307,$FW$516&amp;", ","")</f>
        <v/>
      </c>
      <c r="HH307" s="1149" t="str">
        <f>IF(HH$306=$M307,$FW$517&amp;", ","")</f>
        <v/>
      </c>
      <c r="HI307" s="1149" t="str">
        <f>IF(HI$306=$M307,$FW$518&amp;", ","")</f>
        <v/>
      </c>
      <c r="HJ307" s="1149" t="str">
        <f>IF(HJ$306=$M307,$FW$519&amp;", ","")</f>
        <v/>
      </c>
      <c r="HK307" s="1149" t="str">
        <f>IF(HK$306=$M307,$FW$520&amp;", ","")</f>
        <v/>
      </c>
      <c r="HL307" s="1149" t="str">
        <f>IF(HL$306=$M307,$FW$521&amp;", ","")</f>
        <v/>
      </c>
      <c r="HM307" s="1149" t="str">
        <f>IF(HM$306=$M307,$FW$522&amp;", ","")</f>
        <v/>
      </c>
      <c r="HN307" s="1149" t="str">
        <f>IF(HN$306=$M307,$FW$523&amp;", ","")</f>
        <v/>
      </c>
      <c r="HO307" s="1149" t="str">
        <f>IF(HO$306=$M307,$FW$524&amp;", ","")</f>
        <v/>
      </c>
      <c r="HP307" s="1149" t="str">
        <f>IF(HP$306=$M307,$FW$525&amp;", ","")</f>
        <v/>
      </c>
      <c r="HQ307" s="1149" t="str">
        <f>IF(HQ$306=$M307,$FW$526&amp;", ","")</f>
        <v/>
      </c>
      <c r="HR307" s="1149" t="str">
        <f>CONCATENATE(HB307,HC307,HD307,HE307,HF307,HG307,HH307,HI307,HJ307,HK307,HL307,HM307,HN307,HO307,HP307,HQ307)</f>
        <v/>
      </c>
      <c r="HT307" s="1149">
        <f>LEFT(M307,1)*10000+MID(M307,3,LEN(M307)-3)*100+COUNTIF($M$307:M307,M307)</f>
        <v>10101</v>
      </c>
      <c r="HU307" s="1149" t="str">
        <f>IF($DT307="要是正",$HT307,"")</f>
        <v/>
      </c>
      <c r="HV307" s="1149" t="str">
        <f>IF(HU307="","",RANK(HU307,HU$307:HU$526,1))</f>
        <v/>
      </c>
      <c r="HW307" s="1149" t="str">
        <f>IF(OR($DT307="要是正",$DT307="既存不適格"),$HT307,"")</f>
        <v/>
      </c>
      <c r="HX307" s="1149" t="str">
        <f>IF(HW307="","",RANK(HW307,HW$307:HW$526,1))</f>
        <v/>
      </c>
    </row>
    <row r="308" spans="1:232" s="69" customFormat="1" ht="50.15" customHeight="1">
      <c r="A308" s="645"/>
      <c r="B308" s="645"/>
      <c r="C308" s="645"/>
      <c r="D308" s="645"/>
      <c r="E308" s="646"/>
      <c r="F308" s="381"/>
      <c r="G308" s="381"/>
      <c r="H308" s="381"/>
      <c r="J308" s="80"/>
      <c r="K308" s="89"/>
      <c r="L308" s="89"/>
      <c r="M308" s="2080" t="s">
        <v>1184</v>
      </c>
      <c r="N308" s="2080"/>
      <c r="O308" s="2080"/>
      <c r="P308" s="1966" t="s">
        <v>37</v>
      </c>
      <c r="Q308" s="2065"/>
      <c r="R308" s="2065"/>
      <c r="S308" s="2065"/>
      <c r="T308" s="2065"/>
      <c r="U308" s="1966" t="s">
        <v>38</v>
      </c>
      <c r="V308" s="1966"/>
      <c r="W308" s="1966"/>
      <c r="X308" s="1966"/>
      <c r="Y308" s="1966"/>
      <c r="Z308" s="1966"/>
      <c r="AA308" s="1966"/>
      <c r="AB308" s="1966"/>
      <c r="AC308" s="1966"/>
      <c r="AD308" s="1966"/>
      <c r="AE308" s="1966"/>
      <c r="AF308" s="2399"/>
      <c r="AG308" s="2043"/>
      <c r="AH308" s="2043"/>
      <c r="AI308" s="2043"/>
      <c r="AJ308" s="2043"/>
      <c r="AK308" s="2043"/>
      <c r="AL308" s="2043"/>
      <c r="AM308" s="2043"/>
      <c r="AN308" s="2043"/>
      <c r="AO308" s="2043"/>
      <c r="AP308" s="2043"/>
      <c r="AQ308" s="2044"/>
      <c r="AR308" s="1957"/>
      <c r="AS308" s="1957"/>
      <c r="AT308" s="1999"/>
      <c r="AU308" s="1999"/>
      <c r="AV308" s="1999"/>
      <c r="AW308" s="1999"/>
      <c r="AX308" s="1999"/>
      <c r="AY308" s="1999"/>
      <c r="AZ308" s="1999"/>
      <c r="BA308" s="1999"/>
      <c r="BB308" s="1999"/>
      <c r="BC308" s="1999"/>
      <c r="BD308" s="1999"/>
      <c r="BE308" s="1999"/>
      <c r="BF308" s="1999"/>
      <c r="BG308" s="1999"/>
      <c r="BH308" s="1999"/>
      <c r="BI308" s="1999"/>
      <c r="BJ308" s="1999"/>
      <c r="BK308" s="1999"/>
      <c r="BL308" s="1999"/>
      <c r="BM308" s="1999"/>
      <c r="BN308" s="1999"/>
      <c r="BO308" s="1999"/>
      <c r="BP308" s="1999"/>
      <c r="BQ308" s="1999"/>
      <c r="BR308" s="1999"/>
      <c r="BS308" s="2081"/>
      <c r="BT308" s="2081"/>
      <c r="BU308" s="2081"/>
      <c r="BV308" s="1923"/>
      <c r="BW308" s="1923"/>
      <c r="BX308" s="1923"/>
      <c r="BY308" s="1923"/>
      <c r="BZ308" s="1924"/>
      <c r="CA308" s="1924"/>
      <c r="CB308" s="2413"/>
      <c r="CC308" s="2414"/>
      <c r="CD308" s="2414"/>
      <c r="CE308" s="2414"/>
      <c r="CF308" s="2414"/>
      <c r="CG308" s="2414"/>
      <c r="CH308" s="2414"/>
      <c r="CI308" s="2414"/>
      <c r="CJ308" s="2414"/>
      <c r="CK308" s="2414"/>
      <c r="CL308" s="2414"/>
      <c r="CM308" s="2414"/>
      <c r="CN308" s="2414"/>
      <c r="CO308" s="2414"/>
      <c r="CP308" s="2414"/>
      <c r="CQ308" s="2414"/>
      <c r="CR308" s="2414"/>
      <c r="CS308" s="2414"/>
      <c r="CT308" s="2414"/>
      <c r="CU308" s="2415"/>
      <c r="CV308" s="2360" t="str">
        <f t="shared" si="24"/>
        <v/>
      </c>
      <c r="CW308" s="2360"/>
      <c r="CX308" s="2360"/>
      <c r="CY308" s="2360"/>
      <c r="CZ308" s="2360"/>
      <c r="DA308" s="2360"/>
      <c r="DC308" s="600" t="str">
        <f t="shared" si="25"/>
        <v/>
      </c>
      <c r="DD308" s="381"/>
      <c r="DF308" s="34"/>
      <c r="DG308" s="34"/>
      <c r="DH308" s="34"/>
      <c r="DI308" s="34"/>
      <c r="DJ308" s="858" t="s">
        <v>5637</v>
      </c>
      <c r="DK308" s="1707" t="str">
        <f t="shared" ref="DK308:DK320" si="56">IF(DS308=2,DATE(VLOOKUP(DJ308,$DU$6:$DV$9,2,FALSE)+BS308,BV308,1),"")</f>
        <v/>
      </c>
      <c r="DL308" s="1692" t="str">
        <f t="shared" ref="DL308:DL320" si="57">IF(DS308=2,DJ308&amp;BS308&amp;"."&amp;BV308,"")</f>
        <v/>
      </c>
      <c r="DM308" s="1691">
        <f t="shared" si="26"/>
        <v>0</v>
      </c>
      <c r="DN308" s="111">
        <f t="shared" si="27"/>
        <v>0</v>
      </c>
      <c r="DO308" s="111">
        <f t="shared" si="28"/>
        <v>0</v>
      </c>
      <c r="DP308" s="474">
        <f t="shared" si="29"/>
        <v>0</v>
      </c>
      <c r="DQ308" s="115" t="s">
        <v>756</v>
      </c>
      <c r="DR308" s="473" t="str">
        <f>IF($U308="",P308,U308)</f>
        <v>敷地内の排水の状況</v>
      </c>
      <c r="DS308" s="112">
        <f t="shared" si="30"/>
        <v>0</v>
      </c>
      <c r="DT308" s="118" t="str">
        <f t="shared" si="31"/>
        <v/>
      </c>
      <c r="DU308" s="452" t="str">
        <f t="shared" ref="DU308:DU320" si="58">IF(HV308="","",HV308)</f>
        <v/>
      </c>
      <c r="DV308" s="151" t="str">
        <f>IF($DT308="要是正",MAX($DV$306:DV307)+1,"")</f>
        <v/>
      </c>
      <c r="DW308" s="485" t="str">
        <f t="shared" si="32"/>
        <v/>
      </c>
      <c r="DX308" s="119" t="str">
        <f t="shared" ref="DX308:DX320" si="59">IF(OR($DT308="要是正",$DT308="既存不適格"),$DR308,"")</f>
        <v/>
      </c>
      <c r="DY308" s="33" t="str">
        <f>IF($DT308="要是正",IF(AT308="","",DQ308 &amp;" " &amp; AT308),"")</f>
        <v/>
      </c>
      <c r="DZ308" s="217" t="str">
        <f t="shared" si="33"/>
        <v/>
      </c>
      <c r="EA308" s="466" t="str">
        <f t="shared" ref="EA308:EA320" si="60">IF(BY308="未定","未定",IF(FR308="0","",IF(BY308="予定","("&amp;DL308&amp;")",IF(BY308="改善済",DL308,DL308))))</f>
        <v/>
      </c>
      <c r="EB308" s="234" t="str">
        <f t="shared" ref="EB308:EB320" si="61">IF(OR(DT308="要是正",DT308="既存不適格"),IF(OR(DS308&lt;2,BY308&lt;&gt;"予定"),"",DK308),"")</f>
        <v/>
      </c>
      <c r="EC308" s="227" t="str">
        <f t="shared" ref="EC308:EC320" si="62">IF(EB308="","0",EB308)</f>
        <v>0</v>
      </c>
      <c r="ED308" s="148" t="str">
        <f t="shared" ref="ED308:ED320" si="63">IF(DT308="要是正",IF(AND(BY308="予定",DS308=2),1,IF(BY308="改善済",2,"")),"")</f>
        <v/>
      </c>
      <c r="EE308" s="227" t="str">
        <f t="shared" ref="EE308:EE315" si="64">IF(ED308=1,EC308,"0")</f>
        <v>0</v>
      </c>
      <c r="EF308" s="416" t="str">
        <f t="shared" ref="EF308:EF315" si="65">IF(AND(DT308="要是正",AND(DS308=0,BY308="未定")),BY308,"")</f>
        <v/>
      </c>
      <c r="EG308" s="204" t="str">
        <f t="shared" ref="EG308:EG320" si="66">IF(DT308="既存不適格",IF(OR(DS308&lt;2,BY308&lt;&gt;"予定"),"",DK308),"")</f>
        <v/>
      </c>
      <c r="EH308" s="134" t="str">
        <f t="shared" ref="EH308:EH320" si="67">IF(EG308="","0",EG308)</f>
        <v>0</v>
      </c>
      <c r="EI308" s="148" t="str">
        <f t="shared" ref="EI308:EI315" si="68">IF(DT308="既存不適格",IF(AND(BY308="予定",DS308=2),1,IF(BY308="改善済",2,"")),"")</f>
        <v/>
      </c>
      <c r="EJ308" s="227" t="str">
        <f t="shared" ref="EJ308:EJ315" si="69">IF(EI308=1,EH308,"0")</f>
        <v>0</v>
      </c>
      <c r="EK308" s="416" t="str">
        <f t="shared" si="34"/>
        <v/>
      </c>
      <c r="EL308" s="463" t="e">
        <f t="shared" ref="EL308:EL315" si="70">VLOOKUP($DU308,$EO$306:$ER$333,2,FALSE)</f>
        <v>#N/A</v>
      </c>
      <c r="EM308" s="151" t="e">
        <f t="shared" si="35"/>
        <v>#N/A</v>
      </c>
      <c r="EN308" s="453" t="e">
        <f t="shared" si="36"/>
        <v>#N/A</v>
      </c>
      <c r="EO308" s="223">
        <v>3</v>
      </c>
      <c r="EP308" s="112" t="s">
        <v>1128</v>
      </c>
      <c r="EQ308" s="112" t="s">
        <v>1094</v>
      </c>
      <c r="ER308" s="220" t="s">
        <v>1112</v>
      </c>
      <c r="ET308" s="1157">
        <v>2</v>
      </c>
      <c r="EU308" s="112" t="str">
        <f>DM322</f>
        <v/>
      </c>
      <c r="EV308" s="112" t="str">
        <f>DN322</f>
        <v/>
      </c>
      <c r="EW308" s="112" t="str">
        <f>DO322</f>
        <v/>
      </c>
      <c r="EX308" s="1158" t="str">
        <f>DP322</f>
        <v/>
      </c>
      <c r="EY308" s="1159" t="str">
        <f>EE348</f>
        <v>0</v>
      </c>
      <c r="EZ308" s="236" t="s">
        <v>2429</v>
      </c>
      <c r="FA308" s="634" t="str">
        <f>EF$322</f>
        <v/>
      </c>
      <c r="FB308" s="236" t="s">
        <v>2435</v>
      </c>
      <c r="FC308" s="236" t="s">
        <v>2435</v>
      </c>
      <c r="FD308" s="1159" t="str">
        <f>EJ348</f>
        <v>0</v>
      </c>
      <c r="FE308" s="236" t="s">
        <v>2429</v>
      </c>
      <c r="FF308" s="634" t="str">
        <f>EK$322</f>
        <v/>
      </c>
      <c r="FG308" s="236" t="s">
        <v>2435</v>
      </c>
      <c r="FH308" s="236" t="s">
        <v>2435</v>
      </c>
      <c r="FI308" s="108"/>
      <c r="FJ308" s="312"/>
      <c r="FK308" s="597" t="str">
        <f t="shared" si="37"/>
        <v/>
      </c>
      <c r="FL308" s="597" t="str">
        <f t="shared" ref="FL308:FL392" si="71">IF(OR($AF308="×要是正（既存不適格以外）",$AF308="△既存不適格"),"○","")</f>
        <v/>
      </c>
      <c r="FM308" s="597" t="str">
        <f t="shared" ref="FM308:FM392" si="72">IF($AF308="△既存不適格","○","")</f>
        <v/>
      </c>
      <c r="FN308" s="597">
        <f t="shared" si="38"/>
        <v>0</v>
      </c>
      <c r="FO308" s="632" t="str">
        <f t="shared" si="39"/>
        <v/>
      </c>
      <c r="FQ308" s="234" t="str">
        <f t="shared" ref="FQ308:FQ320" si="73">IF(NOT(OR(BY308="未定",BY308="")),DK308,"")</f>
        <v/>
      </c>
      <c r="FR308" s="227" t="str">
        <f t="shared" ref="FR308:FR320" si="74">IF(FQ308="","0",FQ308)</f>
        <v>0</v>
      </c>
      <c r="FS308" s="148" t="str">
        <f t="shared" ref="FS308:FS315" si="75">IF(OR(BY308="予定",BY308="改善済"),1,"")</f>
        <v/>
      </c>
      <c r="FT308" s="227" t="str">
        <f t="shared" ref="FT308:FT315" si="76">IF(FS308=1,FR308,"0")</f>
        <v>0</v>
      </c>
      <c r="FU308" s="416" t="str">
        <f t="shared" ref="FU308:FU315" si="77">IF(AND(DT308="要是正",AND(DS308=0,BY308="未定")),BY308,"")</f>
        <v/>
      </c>
      <c r="FW308" s="1160">
        <f t="shared" ref="FW308:FW348" si="78">IF(AF308="△既存不適格",AT308&amp;"(既存不適格)",AT308)</f>
        <v>0</v>
      </c>
      <c r="FX308" s="123"/>
      <c r="FY308" s="123"/>
      <c r="FZ308" s="1161"/>
      <c r="GA308" s="34"/>
      <c r="GB308" s="1149">
        <f t="shared" ref="GB308:GB371" si="79">IF(BY308="予定",1,0)</f>
        <v>0</v>
      </c>
      <c r="GC308" s="1149">
        <f t="shared" ref="GC308:GC371" si="80">IF(BY308="改善済",1,0)</f>
        <v>0</v>
      </c>
      <c r="GD308" s="1149">
        <f t="shared" ref="GD308:GD371" si="81">IF(BY308="未定",1,0)</f>
        <v>0</v>
      </c>
      <c r="GE308" s="1149" t="str">
        <f t="shared" si="40"/>
        <v/>
      </c>
      <c r="GF308" s="1149" t="str">
        <f t="shared" si="41"/>
        <v/>
      </c>
      <c r="GG308" s="1149" t="str">
        <f t="shared" si="42"/>
        <v/>
      </c>
      <c r="GH308" s="1149" t="str">
        <f t="shared" si="43"/>
        <v/>
      </c>
      <c r="GI308" s="1149" t="str">
        <f t="shared" si="44"/>
        <v/>
      </c>
      <c r="GJ308" s="1149" t="str">
        <f t="shared" si="45"/>
        <v/>
      </c>
      <c r="GK308" s="1149" t="str">
        <f t="shared" si="46"/>
        <v/>
      </c>
      <c r="GL308" s="1149" t="str">
        <f t="shared" si="47"/>
        <v/>
      </c>
      <c r="GM308" s="1149" t="str">
        <f t="shared" si="48"/>
        <v/>
      </c>
      <c r="GN308" s="1149" t="str">
        <f t="shared" si="49"/>
        <v/>
      </c>
      <c r="GO308" s="1149" t="str">
        <f t="shared" si="50"/>
        <v/>
      </c>
      <c r="GP308" s="1149" t="str">
        <f t="shared" si="51"/>
        <v/>
      </c>
      <c r="GQ308" s="1149" t="str">
        <f t="shared" si="52"/>
        <v/>
      </c>
      <c r="GR308" s="1149" t="str">
        <f t="shared" si="53"/>
        <v/>
      </c>
      <c r="GS308" s="1149" t="str">
        <f t="shared" si="54"/>
        <v/>
      </c>
      <c r="GT308" s="1149">
        <f t="shared" ref="GT308:GT371" si="82">IF(COUNTIF(GE308:GS308,"予定")&gt;0,1,0)</f>
        <v>0</v>
      </c>
      <c r="GU308" s="1149">
        <f t="shared" ref="GU308:GU371" si="83">IF(COUNTIF(GE308:GS308,"改善済")&gt;0,1,0)</f>
        <v>0</v>
      </c>
      <c r="GV308" s="1149">
        <f t="shared" ref="GV308:GV371" si="84">IF(COUNTIF(GE308:GS308,"未定")&gt;0,1,0)</f>
        <v>0</v>
      </c>
      <c r="GW308" s="1149" t="b">
        <f t="shared" ref="GW308:GW371" si="85">(GB308+GT308)&gt;0</f>
        <v>0</v>
      </c>
      <c r="GX308" s="1149" t="b">
        <f t="shared" ref="GX308:GX371" si="86">(GC308+GU308)&gt;0</f>
        <v>0</v>
      </c>
      <c r="GY308" s="1149" t="b">
        <f t="shared" ref="GY308:GY371" si="87">(GD308+GV308)&gt;0</f>
        <v>0</v>
      </c>
      <c r="GZ308" s="1149" t="str">
        <f t="shared" ref="GZ308:GZ321" si="88">IF(GW308,"有",IF(GY308,"無",""))&amp;IF(GX308,IF(OR(GW308,GY308),"（一部改善済）","改善済"),"")</f>
        <v/>
      </c>
      <c r="HB308" s="1149" t="str">
        <f t="shared" ref="HB308:HB371" si="89">IF(FW308=0,"",FW308&amp;", ")</f>
        <v/>
      </c>
      <c r="HC308" s="1149" t="str">
        <f t="shared" ref="HC308:HC371" si="90">IF(HC$306=$M308,$FW$512&amp;", ","")</f>
        <v/>
      </c>
      <c r="HD308" s="1149" t="str">
        <f t="shared" ref="HD308:HD371" si="91">IF(HD$306=$M308,$FW$513&amp;", ","")</f>
        <v/>
      </c>
      <c r="HE308" s="1149" t="str">
        <f t="shared" ref="HE308:HE371" si="92">IF(HE$306=$M308,$FW$514&amp;", ","")</f>
        <v/>
      </c>
      <c r="HF308" s="1149" t="str">
        <f t="shared" ref="HF308:HF371" si="93">IF(HF$306=$M308,$FW$515&amp;", ","")</f>
        <v/>
      </c>
      <c r="HG308" s="1149" t="str">
        <f t="shared" ref="HG308:HG371" si="94">IF(HG$306=$M308,$FW$516&amp;", ","")</f>
        <v/>
      </c>
      <c r="HH308" s="1149" t="str">
        <f t="shared" ref="HH308:HH371" si="95">IF(HH$306=$M308,$FW$517&amp;", ","")</f>
        <v/>
      </c>
      <c r="HI308" s="1149" t="str">
        <f t="shared" ref="HI308:HI371" si="96">IF(HI$306=$M308,$FW$518&amp;", ","")</f>
        <v/>
      </c>
      <c r="HJ308" s="1149" t="str">
        <f t="shared" ref="HJ308:HJ371" si="97">IF(HJ$306=$M308,$FW$519&amp;", ","")</f>
        <v/>
      </c>
      <c r="HK308" s="1149" t="str">
        <f t="shared" ref="HK308:HK371" si="98">IF(HK$306=$M308,$FW$520&amp;", ","")</f>
        <v/>
      </c>
      <c r="HL308" s="1149" t="str">
        <f t="shared" ref="HL308:HL371" si="99">IF(HL$306=$M308,$FW$521&amp;", ","")</f>
        <v/>
      </c>
      <c r="HM308" s="1149" t="str">
        <f t="shared" ref="HM308:HM371" si="100">IF(HM$306=$M308,$FW$522&amp;", ","")</f>
        <v/>
      </c>
      <c r="HN308" s="1149" t="str">
        <f t="shared" ref="HN308:HN371" si="101">IF(HN$306=$M308,$FW$523&amp;", ","")</f>
        <v/>
      </c>
      <c r="HO308" s="1149" t="str">
        <f t="shared" ref="HO308:HO371" si="102">IF(HO$306=$M308,$FW$524&amp;", ","")</f>
        <v/>
      </c>
      <c r="HP308" s="1149" t="str">
        <f t="shared" ref="HP308:HP371" si="103">IF(HP$306=$M308,$FW$525&amp;", ","")</f>
        <v/>
      </c>
      <c r="HQ308" s="1149" t="str">
        <f t="shared" ref="HQ308:HQ371" si="104">IF(HQ$306=$M308,$FW$526&amp;", ","")</f>
        <v/>
      </c>
      <c r="HR308" s="1149" t="str">
        <f t="shared" ref="HR308:HR371" si="105">CONCATENATE(HB308,HC308,HD308,HE308,HF308,HG308,HH308,HI308,HJ308,HK308,HL308,HM308,HN308,HO308,HP308,HQ308)</f>
        <v/>
      </c>
      <c r="HT308" s="1149">
        <f>LEFT(M308,1)*10000+MID(M308,3,LEN(M308)-3)*100+COUNTIF($M$307:M308,M308)</f>
        <v>10201</v>
      </c>
      <c r="HU308" s="1149" t="str">
        <f t="shared" ref="HU308:HU371" si="106">IF($DT308="要是正",$HT308,"")</f>
        <v/>
      </c>
      <c r="HV308" s="1149" t="str">
        <f t="shared" ref="HV308:HV371" si="107">IF(HU308="","",RANK(HU308,HU$307:HU$526,1))</f>
        <v/>
      </c>
      <c r="HW308" s="1149" t="str">
        <f t="shared" ref="HW308:HW371" si="108">IF(OR($DT308="要是正",$DT308="既存不適格"),$HT308,"")</f>
        <v/>
      </c>
      <c r="HX308" s="1149" t="str">
        <f t="shared" ref="HX308:HX371" si="109">IF(HW308="","",RANK(HW308,HW$307:HW$526,1))</f>
        <v/>
      </c>
    </row>
    <row r="309" spans="1:232" s="69" customFormat="1" ht="50.15" customHeight="1">
      <c r="A309" s="645"/>
      <c r="B309" s="645"/>
      <c r="C309" s="645"/>
      <c r="D309" s="645"/>
      <c r="E309" s="646"/>
      <c r="F309" s="381"/>
      <c r="G309" s="381"/>
      <c r="H309" s="381"/>
      <c r="J309" s="80"/>
      <c r="K309" s="89"/>
      <c r="L309" s="89"/>
      <c r="M309" s="2080" t="s">
        <v>1190</v>
      </c>
      <c r="N309" s="2080"/>
      <c r="O309" s="2080"/>
      <c r="P309" s="1966" t="s">
        <v>39</v>
      </c>
      <c r="Q309" s="2065"/>
      <c r="R309" s="2065"/>
      <c r="S309" s="2065"/>
      <c r="T309" s="2065"/>
      <c r="U309" s="2011" t="s">
        <v>40</v>
      </c>
      <c r="V309" s="2011"/>
      <c r="W309" s="2011"/>
      <c r="X309" s="2011"/>
      <c r="Y309" s="2011"/>
      <c r="Z309" s="2011"/>
      <c r="AA309" s="2011"/>
      <c r="AB309" s="2011"/>
      <c r="AC309" s="2011"/>
      <c r="AD309" s="2011"/>
      <c r="AE309" s="2011"/>
      <c r="AF309" s="2075"/>
      <c r="AG309" s="2076"/>
      <c r="AH309" s="2076"/>
      <c r="AI309" s="2076"/>
      <c r="AJ309" s="2076"/>
      <c r="AK309" s="2076"/>
      <c r="AL309" s="2076"/>
      <c r="AM309" s="2076"/>
      <c r="AN309" s="2076"/>
      <c r="AO309" s="2076"/>
      <c r="AP309" s="2076"/>
      <c r="AQ309" s="2077"/>
      <c r="AR309" s="2017"/>
      <c r="AS309" s="2017"/>
      <c r="AT309" s="1929"/>
      <c r="AU309" s="1929"/>
      <c r="AV309" s="1929"/>
      <c r="AW309" s="1929"/>
      <c r="AX309" s="1929"/>
      <c r="AY309" s="1929"/>
      <c r="AZ309" s="1929"/>
      <c r="BA309" s="1929"/>
      <c r="BB309" s="1929"/>
      <c r="BC309" s="1929"/>
      <c r="BD309" s="1929"/>
      <c r="BE309" s="1929"/>
      <c r="BF309" s="1929"/>
      <c r="BG309" s="1929"/>
      <c r="BH309" s="1929"/>
      <c r="BI309" s="1929"/>
      <c r="BJ309" s="1929"/>
      <c r="BK309" s="1929"/>
      <c r="BL309" s="1929"/>
      <c r="BM309" s="1929"/>
      <c r="BN309" s="1929"/>
      <c r="BO309" s="1929"/>
      <c r="BP309" s="1929"/>
      <c r="BQ309" s="1929"/>
      <c r="BR309" s="1929"/>
      <c r="BS309" s="1885"/>
      <c r="BT309" s="1885"/>
      <c r="BU309" s="1885"/>
      <c r="BV309" s="1890"/>
      <c r="BW309" s="1890"/>
      <c r="BX309" s="1890"/>
      <c r="BY309" s="1890"/>
      <c r="BZ309" s="1891"/>
      <c r="CA309" s="1891"/>
      <c r="CB309" s="1925"/>
      <c r="CC309" s="1926"/>
      <c r="CD309" s="1926"/>
      <c r="CE309" s="1926"/>
      <c r="CF309" s="1926"/>
      <c r="CG309" s="1926"/>
      <c r="CH309" s="1926"/>
      <c r="CI309" s="1926"/>
      <c r="CJ309" s="1926"/>
      <c r="CK309" s="1926"/>
      <c r="CL309" s="1926"/>
      <c r="CM309" s="1926"/>
      <c r="CN309" s="1926"/>
      <c r="CO309" s="1926"/>
      <c r="CP309" s="1926"/>
      <c r="CQ309" s="1926"/>
      <c r="CR309" s="1926"/>
      <c r="CS309" s="1926"/>
      <c r="CT309" s="1926"/>
      <c r="CU309" s="1927"/>
      <c r="CV309" s="2360" t="str">
        <f t="shared" si="24"/>
        <v/>
      </c>
      <c r="CW309" s="2360"/>
      <c r="CX309" s="2360"/>
      <c r="CY309" s="2360"/>
      <c r="CZ309" s="2360"/>
      <c r="DA309" s="2360"/>
      <c r="DC309" s="600" t="str">
        <f t="shared" si="25"/>
        <v/>
      </c>
      <c r="DD309" s="381"/>
      <c r="DF309" s="34"/>
      <c r="DG309" s="34"/>
      <c r="DH309" s="34"/>
      <c r="DI309" s="34"/>
      <c r="DJ309" s="858" t="s">
        <v>5637</v>
      </c>
      <c r="DK309" s="1707" t="str">
        <f t="shared" si="56"/>
        <v/>
      </c>
      <c r="DL309" s="1692" t="str">
        <f t="shared" si="57"/>
        <v/>
      </c>
      <c r="DM309" s="1691">
        <f t="shared" si="26"/>
        <v>0</v>
      </c>
      <c r="DN309" s="111">
        <f t="shared" si="27"/>
        <v>0</v>
      </c>
      <c r="DO309" s="111">
        <f t="shared" si="28"/>
        <v>0</v>
      </c>
      <c r="DP309" s="474">
        <f t="shared" si="29"/>
        <v>0</v>
      </c>
      <c r="DQ309" s="115" t="s">
        <v>757</v>
      </c>
      <c r="DR309" s="473" t="str">
        <f>IF($U309="",P309,U309)</f>
        <v>敷地内の通路の確保の状況</v>
      </c>
      <c r="DS309" s="112">
        <f t="shared" si="30"/>
        <v>0</v>
      </c>
      <c r="DT309" s="118" t="str">
        <f t="shared" si="31"/>
        <v/>
      </c>
      <c r="DU309" s="452" t="str">
        <f t="shared" si="58"/>
        <v/>
      </c>
      <c r="DV309" s="151" t="str">
        <f>IF($DT309="要是正",MAX($DV$306:DV308)+1,"")</f>
        <v/>
      </c>
      <c r="DW309" s="485" t="str">
        <f t="shared" si="32"/>
        <v/>
      </c>
      <c r="DX309" s="119" t="str">
        <f t="shared" si="59"/>
        <v/>
      </c>
      <c r="DY309" s="33" t="str">
        <f t="shared" ref="DY309:DY315" si="110">IF($DT309="要是正",IF(AT309="","",DQ309 &amp;" " &amp; AT309),"")</f>
        <v/>
      </c>
      <c r="DZ309" s="217" t="str">
        <f t="shared" si="33"/>
        <v/>
      </c>
      <c r="EA309" s="466" t="str">
        <f t="shared" si="60"/>
        <v/>
      </c>
      <c r="EB309" s="234" t="str">
        <f t="shared" si="61"/>
        <v/>
      </c>
      <c r="EC309" s="227" t="str">
        <f t="shared" si="62"/>
        <v>0</v>
      </c>
      <c r="ED309" s="148" t="str">
        <f t="shared" si="63"/>
        <v/>
      </c>
      <c r="EE309" s="227" t="str">
        <f t="shared" si="64"/>
        <v>0</v>
      </c>
      <c r="EF309" s="416" t="str">
        <f t="shared" si="65"/>
        <v/>
      </c>
      <c r="EG309" s="204" t="str">
        <f t="shared" si="66"/>
        <v/>
      </c>
      <c r="EH309" s="134" t="str">
        <f t="shared" si="67"/>
        <v>0</v>
      </c>
      <c r="EI309" s="148" t="str">
        <f t="shared" si="68"/>
        <v/>
      </c>
      <c r="EJ309" s="227" t="str">
        <f t="shared" si="69"/>
        <v>0</v>
      </c>
      <c r="EK309" s="416" t="str">
        <f t="shared" si="34"/>
        <v/>
      </c>
      <c r="EL309" s="463" t="e">
        <f t="shared" si="70"/>
        <v>#N/A</v>
      </c>
      <c r="EM309" s="151" t="e">
        <f t="shared" si="35"/>
        <v>#N/A</v>
      </c>
      <c r="EN309" s="453" t="e">
        <f t="shared" si="36"/>
        <v>#N/A</v>
      </c>
      <c r="EO309" s="224">
        <v>4</v>
      </c>
      <c r="EP309" s="112" t="s">
        <v>1128</v>
      </c>
      <c r="EQ309" s="112" t="s">
        <v>1095</v>
      </c>
      <c r="ER309" s="220" t="s">
        <v>2610</v>
      </c>
      <c r="ET309" s="1157">
        <v>3</v>
      </c>
      <c r="EU309" s="112" t="str">
        <f>DM349</f>
        <v/>
      </c>
      <c r="EV309" s="112" t="str">
        <f>DN349</f>
        <v/>
      </c>
      <c r="EW309" s="112" t="str">
        <f>DO349</f>
        <v/>
      </c>
      <c r="EX309" s="1158" t="str">
        <f>DP349</f>
        <v/>
      </c>
      <c r="EY309" s="1159" t="str">
        <f>EE366</f>
        <v>0</v>
      </c>
      <c r="EZ309" s="236" t="s">
        <v>2429</v>
      </c>
      <c r="FA309" s="634" t="str">
        <f>EF$349</f>
        <v/>
      </c>
      <c r="FB309" s="236" t="s">
        <v>2435</v>
      </c>
      <c r="FC309" s="236" t="s">
        <v>2435</v>
      </c>
      <c r="FD309" s="1159" t="str">
        <f>EJ366</f>
        <v>0</v>
      </c>
      <c r="FE309" s="236" t="s">
        <v>2429</v>
      </c>
      <c r="FF309" s="634" t="str">
        <f>EK$349</f>
        <v/>
      </c>
      <c r="FG309" s="236" t="s">
        <v>2435</v>
      </c>
      <c r="FH309" s="236" t="s">
        <v>2435</v>
      </c>
      <c r="FI309" s="108"/>
      <c r="FJ309" s="312"/>
      <c r="FK309" s="597" t="str">
        <f t="shared" si="37"/>
        <v/>
      </c>
      <c r="FL309" s="597" t="str">
        <f t="shared" si="71"/>
        <v/>
      </c>
      <c r="FM309" s="597" t="str">
        <f t="shared" si="72"/>
        <v/>
      </c>
      <c r="FN309" s="597">
        <f t="shared" si="38"/>
        <v>0</v>
      </c>
      <c r="FO309" s="632" t="str">
        <f t="shared" si="39"/>
        <v/>
      </c>
      <c r="FQ309" s="234" t="str">
        <f t="shared" si="73"/>
        <v/>
      </c>
      <c r="FR309" s="227" t="str">
        <f t="shared" si="74"/>
        <v>0</v>
      </c>
      <c r="FS309" s="148" t="str">
        <f t="shared" si="75"/>
        <v/>
      </c>
      <c r="FT309" s="227" t="str">
        <f t="shared" si="76"/>
        <v>0</v>
      </c>
      <c r="FU309" s="416" t="str">
        <f t="shared" si="77"/>
        <v/>
      </c>
      <c r="FW309" s="1160">
        <f t="shared" si="78"/>
        <v>0</v>
      </c>
      <c r="FX309" s="123"/>
      <c r="FY309" s="123"/>
      <c r="FZ309" s="1161"/>
      <c r="GA309" s="34"/>
      <c r="GB309" s="1149">
        <f t="shared" si="79"/>
        <v>0</v>
      </c>
      <c r="GC309" s="1149">
        <f t="shared" si="80"/>
        <v>0</v>
      </c>
      <c r="GD309" s="1149">
        <f t="shared" si="81"/>
        <v>0</v>
      </c>
      <c r="GE309" s="1149" t="str">
        <f t="shared" si="40"/>
        <v/>
      </c>
      <c r="GF309" s="1149" t="str">
        <f t="shared" si="41"/>
        <v/>
      </c>
      <c r="GG309" s="1149" t="str">
        <f t="shared" si="42"/>
        <v/>
      </c>
      <c r="GH309" s="1149" t="str">
        <f t="shared" si="43"/>
        <v/>
      </c>
      <c r="GI309" s="1149" t="str">
        <f t="shared" si="44"/>
        <v/>
      </c>
      <c r="GJ309" s="1149" t="str">
        <f t="shared" si="45"/>
        <v/>
      </c>
      <c r="GK309" s="1149" t="str">
        <f t="shared" si="46"/>
        <v/>
      </c>
      <c r="GL309" s="1149" t="str">
        <f t="shared" si="47"/>
        <v/>
      </c>
      <c r="GM309" s="1149" t="str">
        <f t="shared" si="48"/>
        <v/>
      </c>
      <c r="GN309" s="1149" t="str">
        <f t="shared" si="49"/>
        <v/>
      </c>
      <c r="GO309" s="1149" t="str">
        <f t="shared" si="50"/>
        <v/>
      </c>
      <c r="GP309" s="1149" t="str">
        <f t="shared" si="51"/>
        <v/>
      </c>
      <c r="GQ309" s="1149" t="str">
        <f t="shared" si="52"/>
        <v/>
      </c>
      <c r="GR309" s="1149" t="str">
        <f t="shared" si="53"/>
        <v/>
      </c>
      <c r="GS309" s="1149" t="str">
        <f t="shared" si="54"/>
        <v/>
      </c>
      <c r="GT309" s="1149">
        <f t="shared" si="82"/>
        <v>0</v>
      </c>
      <c r="GU309" s="1149">
        <f t="shared" si="83"/>
        <v>0</v>
      </c>
      <c r="GV309" s="1149">
        <f t="shared" si="84"/>
        <v>0</v>
      </c>
      <c r="GW309" s="1149" t="b">
        <f t="shared" si="85"/>
        <v>0</v>
      </c>
      <c r="GX309" s="1149" t="b">
        <f t="shared" si="86"/>
        <v>0</v>
      </c>
      <c r="GY309" s="1149" t="b">
        <f t="shared" si="87"/>
        <v>0</v>
      </c>
      <c r="GZ309" s="1149" t="str">
        <f t="shared" si="88"/>
        <v/>
      </c>
      <c r="HB309" s="1149" t="str">
        <f t="shared" si="89"/>
        <v/>
      </c>
      <c r="HC309" s="1149" t="str">
        <f t="shared" si="90"/>
        <v/>
      </c>
      <c r="HD309" s="1149" t="str">
        <f t="shared" si="91"/>
        <v/>
      </c>
      <c r="HE309" s="1149" t="str">
        <f t="shared" si="92"/>
        <v/>
      </c>
      <c r="HF309" s="1149" t="str">
        <f t="shared" si="93"/>
        <v/>
      </c>
      <c r="HG309" s="1149" t="str">
        <f t="shared" si="94"/>
        <v/>
      </c>
      <c r="HH309" s="1149" t="str">
        <f t="shared" si="95"/>
        <v/>
      </c>
      <c r="HI309" s="1149" t="str">
        <f t="shared" si="96"/>
        <v/>
      </c>
      <c r="HJ309" s="1149" t="str">
        <f t="shared" si="97"/>
        <v/>
      </c>
      <c r="HK309" s="1149" t="str">
        <f t="shared" si="98"/>
        <v/>
      </c>
      <c r="HL309" s="1149" t="str">
        <f t="shared" si="99"/>
        <v/>
      </c>
      <c r="HM309" s="1149" t="str">
        <f t="shared" si="100"/>
        <v/>
      </c>
      <c r="HN309" s="1149" t="str">
        <f t="shared" si="101"/>
        <v/>
      </c>
      <c r="HO309" s="1149" t="str">
        <f t="shared" si="102"/>
        <v/>
      </c>
      <c r="HP309" s="1149" t="str">
        <f t="shared" si="103"/>
        <v/>
      </c>
      <c r="HQ309" s="1149" t="str">
        <f t="shared" si="104"/>
        <v/>
      </c>
      <c r="HR309" s="1149" t="str">
        <f t="shared" si="105"/>
        <v/>
      </c>
      <c r="HT309" s="1149">
        <f>LEFT(M309,1)*10000+MID(M309,3,LEN(M309)-3)*100+COUNTIF($M$307:M309,M309)</f>
        <v>10301</v>
      </c>
      <c r="HU309" s="1149" t="str">
        <f t="shared" si="106"/>
        <v/>
      </c>
      <c r="HV309" s="1149" t="str">
        <f t="shared" si="107"/>
        <v/>
      </c>
      <c r="HW309" s="1149" t="str">
        <f t="shared" si="108"/>
        <v/>
      </c>
      <c r="HX309" s="1149" t="str">
        <f t="shared" si="109"/>
        <v/>
      </c>
    </row>
    <row r="310" spans="1:232" s="69" customFormat="1" ht="50.15" customHeight="1">
      <c r="A310" s="645"/>
      <c r="B310" s="645"/>
      <c r="C310" s="645"/>
      <c r="D310" s="645"/>
      <c r="E310" s="646"/>
      <c r="F310" s="381"/>
      <c r="G310" s="381"/>
      <c r="H310" s="381"/>
      <c r="J310" s="80"/>
      <c r="K310" s="89"/>
      <c r="L310" s="89"/>
      <c r="M310" s="2080" t="s">
        <v>1191</v>
      </c>
      <c r="N310" s="2080"/>
      <c r="O310" s="2080"/>
      <c r="P310" s="2065"/>
      <c r="Q310" s="2065"/>
      <c r="R310" s="2065"/>
      <c r="S310" s="2065"/>
      <c r="T310" s="2065"/>
      <c r="U310" s="1899" t="s">
        <v>41</v>
      </c>
      <c r="V310" s="1899"/>
      <c r="W310" s="1899"/>
      <c r="X310" s="1899"/>
      <c r="Y310" s="1899"/>
      <c r="Z310" s="1899"/>
      <c r="AA310" s="1899"/>
      <c r="AB310" s="1899"/>
      <c r="AC310" s="1899"/>
      <c r="AD310" s="1899"/>
      <c r="AE310" s="1899"/>
      <c r="AF310" s="2072"/>
      <c r="AG310" s="2073"/>
      <c r="AH310" s="2073"/>
      <c r="AI310" s="2073"/>
      <c r="AJ310" s="2073"/>
      <c r="AK310" s="2073"/>
      <c r="AL310" s="2073"/>
      <c r="AM310" s="2073"/>
      <c r="AN310" s="2073"/>
      <c r="AO310" s="2073"/>
      <c r="AP310" s="2073"/>
      <c r="AQ310" s="2074"/>
      <c r="AR310" s="1910"/>
      <c r="AS310" s="1910"/>
      <c r="AT310" s="1993"/>
      <c r="AU310" s="1993"/>
      <c r="AV310" s="1993"/>
      <c r="AW310" s="1993"/>
      <c r="AX310" s="1993"/>
      <c r="AY310" s="1993"/>
      <c r="AZ310" s="1993"/>
      <c r="BA310" s="1993"/>
      <c r="BB310" s="1993"/>
      <c r="BC310" s="1993"/>
      <c r="BD310" s="1993"/>
      <c r="BE310" s="1993"/>
      <c r="BF310" s="1993"/>
      <c r="BG310" s="1993"/>
      <c r="BH310" s="1993"/>
      <c r="BI310" s="1993"/>
      <c r="BJ310" s="1993"/>
      <c r="BK310" s="1993"/>
      <c r="BL310" s="1993"/>
      <c r="BM310" s="1993"/>
      <c r="BN310" s="1993"/>
      <c r="BO310" s="1993"/>
      <c r="BP310" s="1993"/>
      <c r="BQ310" s="1993"/>
      <c r="BR310" s="1993"/>
      <c r="BS310" s="1895"/>
      <c r="BT310" s="1895"/>
      <c r="BU310" s="1895"/>
      <c r="BV310" s="1889"/>
      <c r="BW310" s="1889"/>
      <c r="BX310" s="1889"/>
      <c r="BY310" s="1889"/>
      <c r="BZ310" s="1896"/>
      <c r="CA310" s="1896"/>
      <c r="CB310" s="1886"/>
      <c r="CC310" s="1887"/>
      <c r="CD310" s="1887"/>
      <c r="CE310" s="1887"/>
      <c r="CF310" s="1887"/>
      <c r="CG310" s="1887"/>
      <c r="CH310" s="1887"/>
      <c r="CI310" s="1887"/>
      <c r="CJ310" s="1887"/>
      <c r="CK310" s="1887"/>
      <c r="CL310" s="1887"/>
      <c r="CM310" s="1887"/>
      <c r="CN310" s="1887"/>
      <c r="CO310" s="1887"/>
      <c r="CP310" s="1887"/>
      <c r="CQ310" s="1887"/>
      <c r="CR310" s="1887"/>
      <c r="CS310" s="1887"/>
      <c r="CT310" s="1887"/>
      <c r="CU310" s="1888"/>
      <c r="CV310" s="2360" t="str">
        <f t="shared" si="24"/>
        <v/>
      </c>
      <c r="CW310" s="2360"/>
      <c r="CX310" s="2360"/>
      <c r="CY310" s="2360"/>
      <c r="CZ310" s="2360"/>
      <c r="DA310" s="2360"/>
      <c r="DC310" s="600" t="str">
        <f t="shared" si="25"/>
        <v/>
      </c>
      <c r="DD310" s="381"/>
      <c r="DF310" s="34"/>
      <c r="DG310" s="34"/>
      <c r="DH310" s="34"/>
      <c r="DI310" s="34"/>
      <c r="DJ310" s="858" t="s">
        <v>5637</v>
      </c>
      <c r="DK310" s="1707" t="str">
        <f t="shared" si="56"/>
        <v/>
      </c>
      <c r="DL310" s="1692" t="str">
        <f t="shared" si="57"/>
        <v/>
      </c>
      <c r="DM310" s="1691">
        <f t="shared" si="26"/>
        <v>0</v>
      </c>
      <c r="DN310" s="111">
        <f t="shared" si="27"/>
        <v>0</v>
      </c>
      <c r="DO310" s="111">
        <f t="shared" si="28"/>
        <v>0</v>
      </c>
      <c r="DP310" s="474">
        <f t="shared" si="29"/>
        <v>0</v>
      </c>
      <c r="DQ310" s="115" t="s">
        <v>758</v>
      </c>
      <c r="DR310" s="473" t="str">
        <f>IF($U310="",P309,U310)</f>
        <v>有効幅員の確保の状況</v>
      </c>
      <c r="DS310" s="112">
        <f t="shared" si="30"/>
        <v>0</v>
      </c>
      <c r="DT310" s="118" t="str">
        <f t="shared" si="31"/>
        <v/>
      </c>
      <c r="DU310" s="452" t="str">
        <f t="shared" si="58"/>
        <v/>
      </c>
      <c r="DV310" s="151" t="str">
        <f>IF($DT310="要是正",MAX($DV$306:DV309)+1,"")</f>
        <v/>
      </c>
      <c r="DW310" s="485" t="str">
        <f t="shared" si="32"/>
        <v/>
      </c>
      <c r="DX310" s="119" t="str">
        <f t="shared" si="59"/>
        <v/>
      </c>
      <c r="DY310" s="33" t="str">
        <f t="shared" si="110"/>
        <v/>
      </c>
      <c r="DZ310" s="217" t="str">
        <f t="shared" si="33"/>
        <v/>
      </c>
      <c r="EA310" s="466" t="str">
        <f t="shared" si="60"/>
        <v/>
      </c>
      <c r="EB310" s="234" t="str">
        <f t="shared" si="61"/>
        <v/>
      </c>
      <c r="EC310" s="227" t="str">
        <f t="shared" si="62"/>
        <v>0</v>
      </c>
      <c r="ED310" s="148" t="str">
        <f t="shared" si="63"/>
        <v/>
      </c>
      <c r="EE310" s="227" t="str">
        <f t="shared" si="64"/>
        <v>0</v>
      </c>
      <c r="EF310" s="416" t="str">
        <f t="shared" si="65"/>
        <v/>
      </c>
      <c r="EG310" s="204" t="str">
        <f t="shared" si="66"/>
        <v/>
      </c>
      <c r="EH310" s="134" t="str">
        <f t="shared" si="67"/>
        <v>0</v>
      </c>
      <c r="EI310" s="148" t="str">
        <f t="shared" si="68"/>
        <v/>
      </c>
      <c r="EJ310" s="227" t="str">
        <f t="shared" si="69"/>
        <v>0</v>
      </c>
      <c r="EK310" s="416" t="str">
        <f t="shared" si="34"/>
        <v/>
      </c>
      <c r="EL310" s="463" t="e">
        <f t="shared" si="70"/>
        <v>#N/A</v>
      </c>
      <c r="EM310" s="151" t="e">
        <f t="shared" si="35"/>
        <v>#N/A</v>
      </c>
      <c r="EN310" s="453" t="e">
        <f t="shared" si="36"/>
        <v>#N/A</v>
      </c>
      <c r="EO310" s="223">
        <v>5</v>
      </c>
      <c r="EP310" s="112" t="s">
        <v>1128</v>
      </c>
      <c r="EQ310" s="112" t="s">
        <v>2611</v>
      </c>
      <c r="ER310" s="220" t="s">
        <v>1113</v>
      </c>
      <c r="ET310" s="1157">
        <v>4</v>
      </c>
      <c r="EU310" s="112" t="str">
        <f>DM367</f>
        <v/>
      </c>
      <c r="EV310" s="112" t="str">
        <f>DN367</f>
        <v/>
      </c>
      <c r="EW310" s="112" t="str">
        <f>DO367</f>
        <v/>
      </c>
      <c r="EX310" s="1158" t="str">
        <f>DP367</f>
        <v/>
      </c>
      <c r="EY310" s="1159" t="str">
        <f>EE422</f>
        <v>0</v>
      </c>
      <c r="EZ310" s="236" t="s">
        <v>2429</v>
      </c>
      <c r="FA310" s="634" t="str">
        <f>EF$367</f>
        <v/>
      </c>
      <c r="FB310" s="236" t="s">
        <v>2435</v>
      </c>
      <c r="FC310" s="236" t="s">
        <v>2435</v>
      </c>
      <c r="FD310" s="1159" t="str">
        <f>EJ422</f>
        <v>0</v>
      </c>
      <c r="FE310" s="236" t="s">
        <v>2429</v>
      </c>
      <c r="FF310" s="634" t="str">
        <f>EK$367</f>
        <v/>
      </c>
      <c r="FG310" s="236" t="s">
        <v>2435</v>
      </c>
      <c r="FH310" s="236" t="s">
        <v>2435</v>
      </c>
      <c r="FI310" s="108"/>
      <c r="FJ310" s="108"/>
      <c r="FK310" s="597" t="str">
        <f t="shared" si="37"/>
        <v/>
      </c>
      <c r="FL310" s="597" t="str">
        <f t="shared" si="71"/>
        <v/>
      </c>
      <c r="FM310" s="597" t="str">
        <f t="shared" si="72"/>
        <v/>
      </c>
      <c r="FN310" s="597">
        <f t="shared" si="38"/>
        <v>0</v>
      </c>
      <c r="FO310" s="632" t="str">
        <f t="shared" si="39"/>
        <v/>
      </c>
      <c r="FQ310" s="234" t="str">
        <f t="shared" si="73"/>
        <v/>
      </c>
      <c r="FR310" s="227" t="str">
        <f t="shared" si="74"/>
        <v>0</v>
      </c>
      <c r="FS310" s="148" t="str">
        <f t="shared" si="75"/>
        <v/>
      </c>
      <c r="FT310" s="227" t="str">
        <f t="shared" si="76"/>
        <v>0</v>
      </c>
      <c r="FU310" s="416" t="str">
        <f t="shared" si="77"/>
        <v/>
      </c>
      <c r="FW310" s="1160">
        <f t="shared" si="78"/>
        <v>0</v>
      </c>
      <c r="FX310" s="123"/>
      <c r="FY310" s="123"/>
      <c r="FZ310" s="1161"/>
      <c r="GA310" s="34"/>
      <c r="GB310" s="1149">
        <f t="shared" si="79"/>
        <v>0</v>
      </c>
      <c r="GC310" s="1149">
        <f t="shared" si="80"/>
        <v>0</v>
      </c>
      <c r="GD310" s="1149">
        <f t="shared" si="81"/>
        <v>0</v>
      </c>
      <c r="GE310" s="1149" t="str">
        <f t="shared" si="40"/>
        <v/>
      </c>
      <c r="GF310" s="1149" t="str">
        <f t="shared" si="41"/>
        <v/>
      </c>
      <c r="GG310" s="1149" t="str">
        <f t="shared" si="42"/>
        <v/>
      </c>
      <c r="GH310" s="1149" t="str">
        <f t="shared" si="43"/>
        <v/>
      </c>
      <c r="GI310" s="1149" t="str">
        <f t="shared" si="44"/>
        <v/>
      </c>
      <c r="GJ310" s="1149" t="str">
        <f t="shared" si="45"/>
        <v/>
      </c>
      <c r="GK310" s="1149" t="str">
        <f t="shared" si="46"/>
        <v/>
      </c>
      <c r="GL310" s="1149" t="str">
        <f t="shared" si="47"/>
        <v/>
      </c>
      <c r="GM310" s="1149" t="str">
        <f t="shared" si="48"/>
        <v/>
      </c>
      <c r="GN310" s="1149" t="str">
        <f t="shared" si="49"/>
        <v/>
      </c>
      <c r="GO310" s="1149" t="str">
        <f t="shared" si="50"/>
        <v/>
      </c>
      <c r="GP310" s="1149" t="str">
        <f t="shared" si="51"/>
        <v/>
      </c>
      <c r="GQ310" s="1149" t="str">
        <f t="shared" si="52"/>
        <v/>
      </c>
      <c r="GR310" s="1149" t="str">
        <f t="shared" si="53"/>
        <v/>
      </c>
      <c r="GS310" s="1149" t="str">
        <f t="shared" si="54"/>
        <v/>
      </c>
      <c r="GT310" s="1149">
        <f t="shared" si="82"/>
        <v>0</v>
      </c>
      <c r="GU310" s="1149">
        <f t="shared" si="83"/>
        <v>0</v>
      </c>
      <c r="GV310" s="1149">
        <f t="shared" si="84"/>
        <v>0</v>
      </c>
      <c r="GW310" s="1149" t="b">
        <f t="shared" si="85"/>
        <v>0</v>
      </c>
      <c r="GX310" s="1149" t="b">
        <f t="shared" si="86"/>
        <v>0</v>
      </c>
      <c r="GY310" s="1149" t="b">
        <f t="shared" si="87"/>
        <v>0</v>
      </c>
      <c r="GZ310" s="1149" t="str">
        <f t="shared" si="88"/>
        <v/>
      </c>
      <c r="HB310" s="1149" t="str">
        <f t="shared" si="89"/>
        <v/>
      </c>
      <c r="HC310" s="1149" t="str">
        <f t="shared" si="90"/>
        <v/>
      </c>
      <c r="HD310" s="1149" t="str">
        <f t="shared" si="91"/>
        <v/>
      </c>
      <c r="HE310" s="1149" t="str">
        <f t="shared" si="92"/>
        <v/>
      </c>
      <c r="HF310" s="1149" t="str">
        <f t="shared" si="93"/>
        <v/>
      </c>
      <c r="HG310" s="1149" t="str">
        <f t="shared" si="94"/>
        <v/>
      </c>
      <c r="HH310" s="1149" t="str">
        <f t="shared" si="95"/>
        <v/>
      </c>
      <c r="HI310" s="1149" t="str">
        <f t="shared" si="96"/>
        <v/>
      </c>
      <c r="HJ310" s="1149" t="str">
        <f t="shared" si="97"/>
        <v/>
      </c>
      <c r="HK310" s="1149" t="str">
        <f t="shared" si="98"/>
        <v/>
      </c>
      <c r="HL310" s="1149" t="str">
        <f t="shared" si="99"/>
        <v/>
      </c>
      <c r="HM310" s="1149" t="str">
        <f t="shared" si="100"/>
        <v/>
      </c>
      <c r="HN310" s="1149" t="str">
        <f t="shared" si="101"/>
        <v/>
      </c>
      <c r="HO310" s="1149" t="str">
        <f t="shared" si="102"/>
        <v/>
      </c>
      <c r="HP310" s="1149" t="str">
        <f t="shared" si="103"/>
        <v/>
      </c>
      <c r="HQ310" s="1149" t="str">
        <f t="shared" si="104"/>
        <v/>
      </c>
      <c r="HR310" s="1149" t="str">
        <f t="shared" si="105"/>
        <v/>
      </c>
      <c r="HT310" s="1149">
        <f>LEFT(M310,1)*10000+MID(M310,3,LEN(M310)-3)*100+COUNTIF($M$307:M310,M310)</f>
        <v>10401</v>
      </c>
      <c r="HU310" s="1149" t="str">
        <f t="shared" si="106"/>
        <v/>
      </c>
      <c r="HV310" s="1149" t="str">
        <f t="shared" si="107"/>
        <v/>
      </c>
      <c r="HW310" s="1149" t="str">
        <f t="shared" si="108"/>
        <v/>
      </c>
      <c r="HX310" s="1149" t="str">
        <f t="shared" si="109"/>
        <v/>
      </c>
    </row>
    <row r="311" spans="1:232" s="69" customFormat="1" ht="50.15" customHeight="1">
      <c r="A311" s="645"/>
      <c r="B311" s="645"/>
      <c r="C311" s="645"/>
      <c r="D311" s="645"/>
      <c r="E311" s="646"/>
      <c r="F311" s="381"/>
      <c r="G311" s="381"/>
      <c r="H311" s="381"/>
      <c r="J311" s="80"/>
      <c r="K311" s="89"/>
      <c r="L311" s="89"/>
      <c r="M311" s="2080" t="s">
        <v>1192</v>
      </c>
      <c r="N311" s="2080"/>
      <c r="O311" s="2080"/>
      <c r="P311" s="2065"/>
      <c r="Q311" s="2065"/>
      <c r="R311" s="2065"/>
      <c r="S311" s="2065"/>
      <c r="T311" s="2065"/>
      <c r="U311" s="2028" t="s">
        <v>42</v>
      </c>
      <c r="V311" s="2028"/>
      <c r="W311" s="2028"/>
      <c r="X311" s="2028"/>
      <c r="Y311" s="2028"/>
      <c r="Z311" s="2028"/>
      <c r="AA311" s="2028"/>
      <c r="AB311" s="2028"/>
      <c r="AC311" s="2028"/>
      <c r="AD311" s="2028"/>
      <c r="AE311" s="2028"/>
      <c r="AF311" s="2161"/>
      <c r="AG311" s="2162"/>
      <c r="AH311" s="2162"/>
      <c r="AI311" s="2162"/>
      <c r="AJ311" s="2162"/>
      <c r="AK311" s="2162"/>
      <c r="AL311" s="2162"/>
      <c r="AM311" s="2162"/>
      <c r="AN311" s="2162"/>
      <c r="AO311" s="2162"/>
      <c r="AP311" s="2162"/>
      <c r="AQ311" s="2163"/>
      <c r="AR311" s="1965"/>
      <c r="AS311" s="1965"/>
      <c r="AT311" s="1999"/>
      <c r="AU311" s="1999"/>
      <c r="AV311" s="1999"/>
      <c r="AW311" s="1999"/>
      <c r="AX311" s="1999"/>
      <c r="AY311" s="1999"/>
      <c r="AZ311" s="1999"/>
      <c r="BA311" s="1999"/>
      <c r="BB311" s="1999"/>
      <c r="BC311" s="1999"/>
      <c r="BD311" s="1999"/>
      <c r="BE311" s="1999"/>
      <c r="BF311" s="1999"/>
      <c r="BG311" s="1999"/>
      <c r="BH311" s="1999"/>
      <c r="BI311" s="1999"/>
      <c r="BJ311" s="1999"/>
      <c r="BK311" s="1999"/>
      <c r="BL311" s="1999"/>
      <c r="BM311" s="1999"/>
      <c r="BN311" s="1999"/>
      <c r="BO311" s="1999"/>
      <c r="BP311" s="1999"/>
      <c r="BQ311" s="1999"/>
      <c r="BR311" s="1999"/>
      <c r="BS311" s="2081"/>
      <c r="BT311" s="2081"/>
      <c r="BU311" s="2081"/>
      <c r="BV311" s="1923"/>
      <c r="BW311" s="1923"/>
      <c r="BX311" s="1923"/>
      <c r="BY311" s="1923"/>
      <c r="BZ311" s="1924"/>
      <c r="CA311" s="1924"/>
      <c r="CB311" s="2367"/>
      <c r="CC311" s="2368"/>
      <c r="CD311" s="2368"/>
      <c r="CE311" s="2368"/>
      <c r="CF311" s="2368"/>
      <c r="CG311" s="2368"/>
      <c r="CH311" s="2368"/>
      <c r="CI311" s="2368"/>
      <c r="CJ311" s="2368"/>
      <c r="CK311" s="2368"/>
      <c r="CL311" s="2368"/>
      <c r="CM311" s="2368"/>
      <c r="CN311" s="2368"/>
      <c r="CO311" s="2368"/>
      <c r="CP311" s="2368"/>
      <c r="CQ311" s="2368"/>
      <c r="CR311" s="2368"/>
      <c r="CS311" s="2368"/>
      <c r="CT311" s="2368"/>
      <c r="CU311" s="2369"/>
      <c r="CV311" s="2360" t="str">
        <f t="shared" si="24"/>
        <v/>
      </c>
      <c r="CW311" s="2360"/>
      <c r="CX311" s="2360"/>
      <c r="CY311" s="2360"/>
      <c r="CZ311" s="2360"/>
      <c r="DA311" s="2360"/>
      <c r="DC311" s="600" t="str">
        <f t="shared" si="25"/>
        <v/>
      </c>
      <c r="DD311" s="381"/>
      <c r="DF311" s="34"/>
      <c r="DG311" s="34"/>
      <c r="DH311" s="34"/>
      <c r="DI311" s="34"/>
      <c r="DJ311" s="858" t="s">
        <v>5637</v>
      </c>
      <c r="DK311" s="1707" t="str">
        <f t="shared" si="56"/>
        <v/>
      </c>
      <c r="DL311" s="1692" t="str">
        <f t="shared" si="57"/>
        <v/>
      </c>
      <c r="DM311" s="1691">
        <f t="shared" si="26"/>
        <v>0</v>
      </c>
      <c r="DN311" s="111">
        <f t="shared" si="27"/>
        <v>0</v>
      </c>
      <c r="DO311" s="111">
        <f t="shared" si="28"/>
        <v>0</v>
      </c>
      <c r="DP311" s="474">
        <f t="shared" si="29"/>
        <v>0</v>
      </c>
      <c r="DQ311" s="115" t="s">
        <v>759</v>
      </c>
      <c r="DR311" s="473" t="str">
        <f>IF($U311="",P309,U311)</f>
        <v>敷地内の通路の支障物の状況</v>
      </c>
      <c r="DS311" s="112">
        <f t="shared" si="30"/>
        <v>0</v>
      </c>
      <c r="DT311" s="118" t="str">
        <f t="shared" si="31"/>
        <v/>
      </c>
      <c r="DU311" s="452" t="str">
        <f t="shared" si="58"/>
        <v/>
      </c>
      <c r="DV311" s="151" t="str">
        <f>IF($DT311="要是正",MAX($DV$306:DV310)+1,"")</f>
        <v/>
      </c>
      <c r="DW311" s="485" t="str">
        <f t="shared" si="32"/>
        <v/>
      </c>
      <c r="DX311" s="119" t="str">
        <f t="shared" si="59"/>
        <v/>
      </c>
      <c r="DY311" s="33" t="str">
        <f t="shared" si="110"/>
        <v/>
      </c>
      <c r="DZ311" s="217" t="str">
        <f t="shared" si="33"/>
        <v/>
      </c>
      <c r="EA311" s="466" t="str">
        <f t="shared" si="60"/>
        <v/>
      </c>
      <c r="EB311" s="234" t="str">
        <f t="shared" si="61"/>
        <v/>
      </c>
      <c r="EC311" s="227" t="str">
        <f t="shared" si="62"/>
        <v>0</v>
      </c>
      <c r="ED311" s="148" t="str">
        <f t="shared" si="63"/>
        <v/>
      </c>
      <c r="EE311" s="227" t="str">
        <f t="shared" si="64"/>
        <v>0</v>
      </c>
      <c r="EF311" s="416" t="str">
        <f t="shared" si="65"/>
        <v/>
      </c>
      <c r="EG311" s="204" t="str">
        <f t="shared" si="66"/>
        <v/>
      </c>
      <c r="EH311" s="134" t="str">
        <f t="shared" si="67"/>
        <v>0</v>
      </c>
      <c r="EI311" s="148" t="str">
        <f t="shared" si="68"/>
        <v/>
      </c>
      <c r="EJ311" s="227" t="str">
        <f t="shared" si="69"/>
        <v>0</v>
      </c>
      <c r="EK311" s="416" t="str">
        <f t="shared" si="34"/>
        <v/>
      </c>
      <c r="EL311" s="463" t="e">
        <f t="shared" si="70"/>
        <v>#N/A</v>
      </c>
      <c r="EM311" s="151" t="e">
        <f t="shared" si="35"/>
        <v>#N/A</v>
      </c>
      <c r="EN311" s="453" t="e">
        <f t="shared" si="36"/>
        <v>#N/A</v>
      </c>
      <c r="EO311" s="224">
        <v>6</v>
      </c>
      <c r="EP311" s="112" t="s">
        <v>1128</v>
      </c>
      <c r="EQ311" s="112" t="s">
        <v>1096</v>
      </c>
      <c r="ER311" s="220" t="s">
        <v>1114</v>
      </c>
      <c r="ET311" s="1157">
        <v>5</v>
      </c>
      <c r="EU311" s="112" t="str">
        <f>DM423</f>
        <v/>
      </c>
      <c r="EV311" s="112" t="str">
        <f>DN423</f>
        <v/>
      </c>
      <c r="EW311" s="112" t="str">
        <f>DO423</f>
        <v/>
      </c>
      <c r="EX311" s="1158" t="str">
        <f>DP423</f>
        <v/>
      </c>
      <c r="EY311" s="1159" t="str">
        <f>EE471</f>
        <v>0</v>
      </c>
      <c r="EZ311" s="236" t="s">
        <v>2429</v>
      </c>
      <c r="FA311" s="634" t="str">
        <f>EF$423</f>
        <v/>
      </c>
      <c r="FB311" s="236" t="s">
        <v>2435</v>
      </c>
      <c r="FC311" s="236" t="s">
        <v>2435</v>
      </c>
      <c r="FD311" s="1159" t="str">
        <f>EJ471</f>
        <v>0</v>
      </c>
      <c r="FE311" s="236" t="s">
        <v>2429</v>
      </c>
      <c r="FF311" s="634" t="str">
        <f>EK$423</f>
        <v/>
      </c>
      <c r="FG311" s="236" t="s">
        <v>2435</v>
      </c>
      <c r="FH311" s="236" t="s">
        <v>2435</v>
      </c>
      <c r="FI311" s="108"/>
      <c r="FJ311" s="108"/>
      <c r="FK311" s="597" t="str">
        <f t="shared" si="37"/>
        <v/>
      </c>
      <c r="FL311" s="597" t="str">
        <f t="shared" si="71"/>
        <v/>
      </c>
      <c r="FM311" s="597" t="str">
        <f t="shared" si="72"/>
        <v/>
      </c>
      <c r="FN311" s="597">
        <f t="shared" si="38"/>
        <v>0</v>
      </c>
      <c r="FO311" s="632" t="str">
        <f t="shared" si="39"/>
        <v/>
      </c>
      <c r="FQ311" s="234" t="str">
        <f t="shared" si="73"/>
        <v/>
      </c>
      <c r="FR311" s="227" t="str">
        <f t="shared" si="74"/>
        <v>0</v>
      </c>
      <c r="FS311" s="148" t="str">
        <f t="shared" si="75"/>
        <v/>
      </c>
      <c r="FT311" s="227" t="str">
        <f t="shared" si="76"/>
        <v>0</v>
      </c>
      <c r="FU311" s="416" t="str">
        <f t="shared" si="77"/>
        <v/>
      </c>
      <c r="FW311" s="1160">
        <f t="shared" si="78"/>
        <v>0</v>
      </c>
      <c r="FX311" s="123"/>
      <c r="FY311" s="123"/>
      <c r="FZ311" s="1161"/>
      <c r="GA311" s="34"/>
      <c r="GB311" s="1149">
        <f t="shared" si="79"/>
        <v>0</v>
      </c>
      <c r="GC311" s="1149">
        <f t="shared" si="80"/>
        <v>0</v>
      </c>
      <c r="GD311" s="1149">
        <f t="shared" si="81"/>
        <v>0</v>
      </c>
      <c r="GE311" s="1149" t="str">
        <f t="shared" si="40"/>
        <v/>
      </c>
      <c r="GF311" s="1149" t="str">
        <f t="shared" si="41"/>
        <v/>
      </c>
      <c r="GG311" s="1149" t="str">
        <f t="shared" si="42"/>
        <v/>
      </c>
      <c r="GH311" s="1149" t="str">
        <f t="shared" si="43"/>
        <v/>
      </c>
      <c r="GI311" s="1149" t="str">
        <f t="shared" si="44"/>
        <v/>
      </c>
      <c r="GJ311" s="1149" t="str">
        <f t="shared" si="45"/>
        <v/>
      </c>
      <c r="GK311" s="1149" t="str">
        <f t="shared" si="46"/>
        <v/>
      </c>
      <c r="GL311" s="1149" t="str">
        <f t="shared" si="47"/>
        <v/>
      </c>
      <c r="GM311" s="1149" t="str">
        <f t="shared" si="48"/>
        <v/>
      </c>
      <c r="GN311" s="1149" t="str">
        <f t="shared" si="49"/>
        <v/>
      </c>
      <c r="GO311" s="1149" t="str">
        <f t="shared" si="50"/>
        <v/>
      </c>
      <c r="GP311" s="1149" t="str">
        <f t="shared" si="51"/>
        <v/>
      </c>
      <c r="GQ311" s="1149" t="str">
        <f t="shared" si="52"/>
        <v/>
      </c>
      <c r="GR311" s="1149" t="str">
        <f t="shared" si="53"/>
        <v/>
      </c>
      <c r="GS311" s="1149" t="str">
        <f t="shared" si="54"/>
        <v/>
      </c>
      <c r="GT311" s="1149">
        <f t="shared" si="82"/>
        <v>0</v>
      </c>
      <c r="GU311" s="1149">
        <f t="shared" si="83"/>
        <v>0</v>
      </c>
      <c r="GV311" s="1149">
        <f t="shared" si="84"/>
        <v>0</v>
      </c>
      <c r="GW311" s="1149" t="b">
        <f t="shared" si="85"/>
        <v>0</v>
      </c>
      <c r="GX311" s="1149" t="b">
        <f t="shared" si="86"/>
        <v>0</v>
      </c>
      <c r="GY311" s="1149" t="b">
        <f t="shared" si="87"/>
        <v>0</v>
      </c>
      <c r="GZ311" s="1149" t="str">
        <f t="shared" si="88"/>
        <v/>
      </c>
      <c r="HB311" s="1149" t="str">
        <f t="shared" si="89"/>
        <v/>
      </c>
      <c r="HC311" s="1149" t="str">
        <f t="shared" si="90"/>
        <v/>
      </c>
      <c r="HD311" s="1149" t="str">
        <f t="shared" si="91"/>
        <v/>
      </c>
      <c r="HE311" s="1149" t="str">
        <f t="shared" si="92"/>
        <v/>
      </c>
      <c r="HF311" s="1149" t="str">
        <f t="shared" si="93"/>
        <v/>
      </c>
      <c r="HG311" s="1149" t="str">
        <f t="shared" si="94"/>
        <v/>
      </c>
      <c r="HH311" s="1149" t="str">
        <f t="shared" si="95"/>
        <v/>
      </c>
      <c r="HI311" s="1149" t="str">
        <f t="shared" si="96"/>
        <v/>
      </c>
      <c r="HJ311" s="1149" t="str">
        <f t="shared" si="97"/>
        <v/>
      </c>
      <c r="HK311" s="1149" t="str">
        <f t="shared" si="98"/>
        <v/>
      </c>
      <c r="HL311" s="1149" t="str">
        <f t="shared" si="99"/>
        <v/>
      </c>
      <c r="HM311" s="1149" t="str">
        <f t="shared" si="100"/>
        <v/>
      </c>
      <c r="HN311" s="1149" t="str">
        <f t="shared" si="101"/>
        <v/>
      </c>
      <c r="HO311" s="1149" t="str">
        <f t="shared" si="102"/>
        <v/>
      </c>
      <c r="HP311" s="1149" t="str">
        <f t="shared" si="103"/>
        <v/>
      </c>
      <c r="HQ311" s="1149" t="str">
        <f t="shared" si="104"/>
        <v/>
      </c>
      <c r="HR311" s="1149" t="str">
        <f t="shared" si="105"/>
        <v/>
      </c>
      <c r="HT311" s="1149">
        <f>LEFT(M311,1)*10000+MID(M311,3,LEN(M311)-3)*100+COUNTIF($M$307:M311,M311)</f>
        <v>10501</v>
      </c>
      <c r="HU311" s="1149" t="str">
        <f t="shared" si="106"/>
        <v/>
      </c>
      <c r="HV311" s="1149" t="str">
        <f t="shared" si="107"/>
        <v/>
      </c>
      <c r="HW311" s="1149" t="str">
        <f t="shared" si="108"/>
        <v/>
      </c>
      <c r="HX311" s="1149" t="str">
        <f t="shared" si="109"/>
        <v/>
      </c>
    </row>
    <row r="312" spans="1:232" s="69" customFormat="1" ht="50.15" customHeight="1">
      <c r="A312" s="645"/>
      <c r="B312" s="645"/>
      <c r="C312" s="645"/>
      <c r="D312" s="645"/>
      <c r="E312" s="646"/>
      <c r="F312" s="381"/>
      <c r="G312" s="381"/>
      <c r="H312" s="381"/>
      <c r="J312" s="80"/>
      <c r="K312" s="89"/>
      <c r="L312" s="89"/>
      <c r="M312" s="2080" t="s">
        <v>1193</v>
      </c>
      <c r="N312" s="2080"/>
      <c r="O312" s="2080"/>
      <c r="P312" s="1966" t="s">
        <v>44</v>
      </c>
      <c r="Q312" s="2065"/>
      <c r="R312" s="2065"/>
      <c r="S312" s="2065"/>
      <c r="T312" s="2065"/>
      <c r="U312" s="2011" t="s">
        <v>351</v>
      </c>
      <c r="V312" s="2011"/>
      <c r="W312" s="2011"/>
      <c r="X312" s="2011"/>
      <c r="Y312" s="2011"/>
      <c r="Z312" s="2011"/>
      <c r="AA312" s="2011"/>
      <c r="AB312" s="2011"/>
      <c r="AC312" s="2011"/>
      <c r="AD312" s="2011"/>
      <c r="AE312" s="2011"/>
      <c r="AF312" s="2075"/>
      <c r="AG312" s="2076"/>
      <c r="AH312" s="2076"/>
      <c r="AI312" s="2076"/>
      <c r="AJ312" s="2076"/>
      <c r="AK312" s="2076"/>
      <c r="AL312" s="2076"/>
      <c r="AM312" s="2076"/>
      <c r="AN312" s="2076"/>
      <c r="AO312" s="2076"/>
      <c r="AP312" s="2076"/>
      <c r="AQ312" s="2077"/>
      <c r="AR312" s="2017"/>
      <c r="AS312" s="2017"/>
      <c r="AT312" s="1929"/>
      <c r="AU312" s="1929"/>
      <c r="AV312" s="1929"/>
      <c r="AW312" s="1929"/>
      <c r="AX312" s="1929"/>
      <c r="AY312" s="1929"/>
      <c r="AZ312" s="1929"/>
      <c r="BA312" s="1929"/>
      <c r="BB312" s="1929"/>
      <c r="BC312" s="1929"/>
      <c r="BD312" s="1929"/>
      <c r="BE312" s="1929"/>
      <c r="BF312" s="1929"/>
      <c r="BG312" s="1929"/>
      <c r="BH312" s="1929"/>
      <c r="BI312" s="1929"/>
      <c r="BJ312" s="1929"/>
      <c r="BK312" s="1929"/>
      <c r="BL312" s="1929"/>
      <c r="BM312" s="1929"/>
      <c r="BN312" s="1929"/>
      <c r="BO312" s="1929"/>
      <c r="BP312" s="1929"/>
      <c r="BQ312" s="1929"/>
      <c r="BR312" s="1929"/>
      <c r="BS312" s="1885"/>
      <c r="BT312" s="1885"/>
      <c r="BU312" s="1885"/>
      <c r="BV312" s="1890"/>
      <c r="BW312" s="1890"/>
      <c r="BX312" s="1890"/>
      <c r="BY312" s="1890"/>
      <c r="BZ312" s="1891"/>
      <c r="CA312" s="1891"/>
      <c r="CB312" s="1925"/>
      <c r="CC312" s="1926"/>
      <c r="CD312" s="1926"/>
      <c r="CE312" s="1926"/>
      <c r="CF312" s="1926"/>
      <c r="CG312" s="1926"/>
      <c r="CH312" s="1926"/>
      <c r="CI312" s="1926"/>
      <c r="CJ312" s="1926"/>
      <c r="CK312" s="1926"/>
      <c r="CL312" s="1926"/>
      <c r="CM312" s="1926"/>
      <c r="CN312" s="1926"/>
      <c r="CO312" s="1926"/>
      <c r="CP312" s="1926"/>
      <c r="CQ312" s="1926"/>
      <c r="CR312" s="1926"/>
      <c r="CS312" s="1926"/>
      <c r="CT312" s="1926"/>
      <c r="CU312" s="1927"/>
      <c r="CV312" s="2360" t="str">
        <f t="shared" si="24"/>
        <v/>
      </c>
      <c r="CW312" s="2360"/>
      <c r="CX312" s="2360"/>
      <c r="CY312" s="2360"/>
      <c r="CZ312" s="2360"/>
      <c r="DA312" s="2360"/>
      <c r="DC312" s="600" t="str">
        <f t="shared" si="25"/>
        <v/>
      </c>
      <c r="DD312" s="381"/>
      <c r="DF312" s="34"/>
      <c r="DG312" s="34"/>
      <c r="DH312" s="34"/>
      <c r="DI312" s="34"/>
      <c r="DJ312" s="858" t="s">
        <v>5637</v>
      </c>
      <c r="DK312" s="1707" t="str">
        <f t="shared" si="56"/>
        <v/>
      </c>
      <c r="DL312" s="1692" t="str">
        <f t="shared" si="57"/>
        <v/>
      </c>
      <c r="DM312" s="1691">
        <f t="shared" si="26"/>
        <v>0</v>
      </c>
      <c r="DN312" s="111">
        <f t="shared" si="27"/>
        <v>0</v>
      </c>
      <c r="DO312" s="111">
        <f t="shared" si="28"/>
        <v>0</v>
      </c>
      <c r="DP312" s="474">
        <f t="shared" si="29"/>
        <v>0</v>
      </c>
      <c r="DQ312" s="115" t="s">
        <v>760</v>
      </c>
      <c r="DR312" s="473" t="str">
        <f>IF($U312="",P312,U312)</f>
        <v xml:space="preserve">組積造の塀又は補強コンクリートブロック造の塀等の耐震対策の状況
</v>
      </c>
      <c r="DS312" s="112">
        <f t="shared" si="30"/>
        <v>0</v>
      </c>
      <c r="DT312" s="118" t="str">
        <f t="shared" si="31"/>
        <v/>
      </c>
      <c r="DU312" s="452" t="str">
        <f t="shared" si="58"/>
        <v/>
      </c>
      <c r="DV312" s="151" t="str">
        <f>IF($DT312="要是正",MAX($DV$306:DV311)+1,"")</f>
        <v/>
      </c>
      <c r="DW312" s="485" t="str">
        <f t="shared" si="32"/>
        <v/>
      </c>
      <c r="DX312" s="119" t="str">
        <f t="shared" si="59"/>
        <v/>
      </c>
      <c r="DY312" s="33" t="str">
        <f t="shared" si="110"/>
        <v/>
      </c>
      <c r="DZ312" s="217" t="str">
        <f t="shared" si="33"/>
        <v/>
      </c>
      <c r="EA312" s="466" t="str">
        <f t="shared" si="60"/>
        <v/>
      </c>
      <c r="EB312" s="234" t="str">
        <f t="shared" si="61"/>
        <v/>
      </c>
      <c r="EC312" s="227" t="str">
        <f t="shared" si="62"/>
        <v>0</v>
      </c>
      <c r="ED312" s="148" t="str">
        <f t="shared" si="63"/>
        <v/>
      </c>
      <c r="EE312" s="227" t="str">
        <f t="shared" si="64"/>
        <v>0</v>
      </c>
      <c r="EF312" s="416" t="str">
        <f t="shared" si="65"/>
        <v/>
      </c>
      <c r="EG312" s="204" t="str">
        <f t="shared" si="66"/>
        <v/>
      </c>
      <c r="EH312" s="134" t="str">
        <f t="shared" si="67"/>
        <v>0</v>
      </c>
      <c r="EI312" s="148" t="str">
        <f t="shared" si="68"/>
        <v/>
      </c>
      <c r="EJ312" s="227" t="str">
        <f t="shared" si="69"/>
        <v>0</v>
      </c>
      <c r="EK312" s="416" t="str">
        <f t="shared" si="34"/>
        <v/>
      </c>
      <c r="EL312" s="463" t="e">
        <f t="shared" si="70"/>
        <v>#N/A</v>
      </c>
      <c r="EM312" s="151" t="e">
        <f t="shared" si="35"/>
        <v>#N/A</v>
      </c>
      <c r="EN312" s="453" t="e">
        <f t="shared" si="36"/>
        <v>#N/A</v>
      </c>
      <c r="EO312" s="223">
        <v>7</v>
      </c>
      <c r="EP312" s="112" t="s">
        <v>1128</v>
      </c>
      <c r="EQ312" s="112" t="s">
        <v>1097</v>
      </c>
      <c r="ER312" s="220" t="s">
        <v>1115</v>
      </c>
      <c r="ET312" s="1157">
        <v>6</v>
      </c>
      <c r="EU312" s="112" t="str">
        <f>DM472</f>
        <v/>
      </c>
      <c r="EV312" s="112" t="str">
        <f>DN472</f>
        <v/>
      </c>
      <c r="EW312" s="112" t="str">
        <f>DO472</f>
        <v/>
      </c>
      <c r="EX312" s="1158" t="str">
        <f>DP472</f>
        <v/>
      </c>
      <c r="EY312" s="1159" t="str">
        <f>EE489</f>
        <v>0</v>
      </c>
      <c r="EZ312" s="236" t="s">
        <v>2429</v>
      </c>
      <c r="FA312" s="634" t="str">
        <f>EF$472</f>
        <v/>
      </c>
      <c r="FB312" s="236" t="s">
        <v>2435</v>
      </c>
      <c r="FC312" s="236" t="s">
        <v>2435</v>
      </c>
      <c r="FD312" s="1159" t="str">
        <f>EJ489</f>
        <v>0</v>
      </c>
      <c r="FE312" s="236" t="s">
        <v>2429</v>
      </c>
      <c r="FF312" s="634" t="str">
        <f>EK$472</f>
        <v/>
      </c>
      <c r="FG312" s="236" t="s">
        <v>2435</v>
      </c>
      <c r="FH312" s="236" t="s">
        <v>2435</v>
      </c>
      <c r="FI312" s="108"/>
      <c r="FJ312" s="108"/>
      <c r="FK312" s="597" t="str">
        <f t="shared" si="37"/>
        <v/>
      </c>
      <c r="FL312" s="597" t="str">
        <f t="shared" si="71"/>
        <v/>
      </c>
      <c r="FM312" s="597" t="str">
        <f t="shared" si="72"/>
        <v/>
      </c>
      <c r="FN312" s="597">
        <f t="shared" si="38"/>
        <v>0</v>
      </c>
      <c r="FO312" s="632" t="str">
        <f t="shared" si="39"/>
        <v/>
      </c>
      <c r="FQ312" s="234" t="str">
        <f t="shared" si="73"/>
        <v/>
      </c>
      <c r="FR312" s="227" t="str">
        <f t="shared" si="74"/>
        <v>0</v>
      </c>
      <c r="FS312" s="148" t="str">
        <f t="shared" si="75"/>
        <v/>
      </c>
      <c r="FT312" s="227" t="str">
        <f t="shared" si="76"/>
        <v>0</v>
      </c>
      <c r="FU312" s="416" t="str">
        <f t="shared" si="77"/>
        <v/>
      </c>
      <c r="FW312" s="1160">
        <f t="shared" si="78"/>
        <v>0</v>
      </c>
      <c r="FX312" s="123"/>
      <c r="FY312" s="123"/>
      <c r="FZ312" s="1161"/>
      <c r="GA312" s="34"/>
      <c r="GB312" s="1149">
        <f t="shared" si="79"/>
        <v>0</v>
      </c>
      <c r="GC312" s="1149">
        <f t="shared" si="80"/>
        <v>0</v>
      </c>
      <c r="GD312" s="1149">
        <f t="shared" si="81"/>
        <v>0</v>
      </c>
      <c r="GE312" s="1149" t="str">
        <f t="shared" si="40"/>
        <v/>
      </c>
      <c r="GF312" s="1149" t="str">
        <f t="shared" si="41"/>
        <v/>
      </c>
      <c r="GG312" s="1149" t="str">
        <f t="shared" si="42"/>
        <v/>
      </c>
      <c r="GH312" s="1149" t="str">
        <f t="shared" si="43"/>
        <v/>
      </c>
      <c r="GI312" s="1149" t="str">
        <f t="shared" si="44"/>
        <v/>
      </c>
      <c r="GJ312" s="1149" t="str">
        <f t="shared" si="45"/>
        <v/>
      </c>
      <c r="GK312" s="1149" t="str">
        <f t="shared" si="46"/>
        <v/>
      </c>
      <c r="GL312" s="1149" t="str">
        <f t="shared" si="47"/>
        <v/>
      </c>
      <c r="GM312" s="1149" t="str">
        <f t="shared" si="48"/>
        <v/>
      </c>
      <c r="GN312" s="1149" t="str">
        <f t="shared" si="49"/>
        <v/>
      </c>
      <c r="GO312" s="1149" t="str">
        <f t="shared" si="50"/>
        <v/>
      </c>
      <c r="GP312" s="1149" t="str">
        <f t="shared" si="51"/>
        <v/>
      </c>
      <c r="GQ312" s="1149" t="str">
        <f t="shared" si="52"/>
        <v/>
      </c>
      <c r="GR312" s="1149" t="str">
        <f t="shared" si="53"/>
        <v/>
      </c>
      <c r="GS312" s="1149" t="str">
        <f t="shared" si="54"/>
        <v/>
      </c>
      <c r="GT312" s="1149">
        <f t="shared" si="82"/>
        <v>0</v>
      </c>
      <c r="GU312" s="1149">
        <f t="shared" si="83"/>
        <v>0</v>
      </c>
      <c r="GV312" s="1149">
        <f t="shared" si="84"/>
        <v>0</v>
      </c>
      <c r="GW312" s="1149" t="b">
        <f t="shared" si="85"/>
        <v>0</v>
      </c>
      <c r="GX312" s="1149" t="b">
        <f t="shared" si="86"/>
        <v>0</v>
      </c>
      <c r="GY312" s="1149" t="b">
        <f t="shared" si="87"/>
        <v>0</v>
      </c>
      <c r="GZ312" s="1149" t="str">
        <f t="shared" si="88"/>
        <v/>
      </c>
      <c r="HB312" s="1149" t="str">
        <f t="shared" si="89"/>
        <v/>
      </c>
      <c r="HC312" s="1149" t="str">
        <f t="shared" si="90"/>
        <v/>
      </c>
      <c r="HD312" s="1149" t="str">
        <f t="shared" si="91"/>
        <v/>
      </c>
      <c r="HE312" s="1149" t="str">
        <f t="shared" si="92"/>
        <v/>
      </c>
      <c r="HF312" s="1149" t="str">
        <f t="shared" si="93"/>
        <v/>
      </c>
      <c r="HG312" s="1149" t="str">
        <f t="shared" si="94"/>
        <v/>
      </c>
      <c r="HH312" s="1149" t="str">
        <f t="shared" si="95"/>
        <v/>
      </c>
      <c r="HI312" s="1149" t="str">
        <f t="shared" si="96"/>
        <v/>
      </c>
      <c r="HJ312" s="1149" t="str">
        <f t="shared" si="97"/>
        <v/>
      </c>
      <c r="HK312" s="1149" t="str">
        <f t="shared" si="98"/>
        <v/>
      </c>
      <c r="HL312" s="1149" t="str">
        <f t="shared" si="99"/>
        <v/>
      </c>
      <c r="HM312" s="1149" t="str">
        <f t="shared" si="100"/>
        <v/>
      </c>
      <c r="HN312" s="1149" t="str">
        <f t="shared" si="101"/>
        <v/>
      </c>
      <c r="HO312" s="1149" t="str">
        <f t="shared" si="102"/>
        <v/>
      </c>
      <c r="HP312" s="1149" t="str">
        <f t="shared" si="103"/>
        <v/>
      </c>
      <c r="HQ312" s="1149" t="str">
        <f t="shared" si="104"/>
        <v/>
      </c>
      <c r="HR312" s="1149" t="str">
        <f t="shared" si="105"/>
        <v/>
      </c>
      <c r="HT312" s="1149">
        <f>LEFT(M312,1)*10000+MID(M312,3,LEN(M312)-3)*100+COUNTIF($M$307:M312,M312)</f>
        <v>10601</v>
      </c>
      <c r="HU312" s="1149" t="str">
        <f t="shared" si="106"/>
        <v/>
      </c>
      <c r="HV312" s="1149" t="str">
        <f t="shared" si="107"/>
        <v/>
      </c>
      <c r="HW312" s="1149" t="str">
        <f t="shared" si="108"/>
        <v/>
      </c>
      <c r="HX312" s="1149" t="str">
        <f t="shared" si="109"/>
        <v/>
      </c>
    </row>
    <row r="313" spans="1:232" s="69" customFormat="1" ht="50.15" customHeight="1">
      <c r="A313" s="645"/>
      <c r="B313" s="645"/>
      <c r="C313" s="645"/>
      <c r="D313" s="645"/>
      <c r="E313" s="646"/>
      <c r="F313" s="381"/>
      <c r="G313" s="381"/>
      <c r="H313" s="381"/>
      <c r="J313" s="80"/>
      <c r="K313" s="89"/>
      <c r="L313" s="89"/>
      <c r="M313" s="2080" t="s">
        <v>1194</v>
      </c>
      <c r="N313" s="2080"/>
      <c r="O313" s="2080"/>
      <c r="P313" s="2065"/>
      <c r="Q313" s="2065"/>
      <c r="R313" s="2065"/>
      <c r="S313" s="2065"/>
      <c r="T313" s="2065"/>
      <c r="U313" s="2028" t="s">
        <v>45</v>
      </c>
      <c r="V313" s="2028"/>
      <c r="W313" s="2028"/>
      <c r="X313" s="2028"/>
      <c r="Y313" s="2028"/>
      <c r="Z313" s="2028"/>
      <c r="AA313" s="2028"/>
      <c r="AB313" s="2028"/>
      <c r="AC313" s="2028"/>
      <c r="AD313" s="2028"/>
      <c r="AE313" s="2028"/>
      <c r="AF313" s="2161"/>
      <c r="AG313" s="2162"/>
      <c r="AH313" s="2162"/>
      <c r="AI313" s="2162"/>
      <c r="AJ313" s="2162"/>
      <c r="AK313" s="2162"/>
      <c r="AL313" s="2162"/>
      <c r="AM313" s="2162"/>
      <c r="AN313" s="2162"/>
      <c r="AO313" s="2162"/>
      <c r="AP313" s="2162"/>
      <c r="AQ313" s="2163"/>
      <c r="AR313" s="1965"/>
      <c r="AS313" s="1965"/>
      <c r="AT313" s="1999"/>
      <c r="AU313" s="1999"/>
      <c r="AV313" s="1999"/>
      <c r="AW313" s="1999"/>
      <c r="AX313" s="1999"/>
      <c r="AY313" s="1999"/>
      <c r="AZ313" s="1999"/>
      <c r="BA313" s="1999"/>
      <c r="BB313" s="1999"/>
      <c r="BC313" s="1999"/>
      <c r="BD313" s="1999"/>
      <c r="BE313" s="1999"/>
      <c r="BF313" s="1999"/>
      <c r="BG313" s="1999"/>
      <c r="BH313" s="1999"/>
      <c r="BI313" s="1999"/>
      <c r="BJ313" s="1999"/>
      <c r="BK313" s="1999"/>
      <c r="BL313" s="1999"/>
      <c r="BM313" s="1999"/>
      <c r="BN313" s="1999"/>
      <c r="BO313" s="1999"/>
      <c r="BP313" s="1999"/>
      <c r="BQ313" s="1999"/>
      <c r="BR313" s="1999"/>
      <c r="BS313" s="2390"/>
      <c r="BT313" s="2391"/>
      <c r="BU313" s="2392"/>
      <c r="BV313" s="1923"/>
      <c r="BW313" s="1923"/>
      <c r="BX313" s="1923"/>
      <c r="BY313" s="1923"/>
      <c r="BZ313" s="1924"/>
      <c r="CA313" s="1924"/>
      <c r="CB313" s="2367"/>
      <c r="CC313" s="2368"/>
      <c r="CD313" s="2368"/>
      <c r="CE313" s="2368"/>
      <c r="CF313" s="2368"/>
      <c r="CG313" s="2368"/>
      <c r="CH313" s="2368"/>
      <c r="CI313" s="2368"/>
      <c r="CJ313" s="2368"/>
      <c r="CK313" s="2368"/>
      <c r="CL313" s="2368"/>
      <c r="CM313" s="2368"/>
      <c r="CN313" s="2368"/>
      <c r="CO313" s="2368"/>
      <c r="CP313" s="2368"/>
      <c r="CQ313" s="2368"/>
      <c r="CR313" s="2368"/>
      <c r="CS313" s="2368"/>
      <c r="CT313" s="2368"/>
      <c r="CU313" s="2369"/>
      <c r="CV313" s="2360" t="str">
        <f t="shared" si="24"/>
        <v/>
      </c>
      <c r="CW313" s="2360"/>
      <c r="CX313" s="2360"/>
      <c r="CY313" s="2360"/>
      <c r="CZ313" s="2360"/>
      <c r="DA313" s="2360"/>
      <c r="DC313" s="600" t="str">
        <f t="shared" si="25"/>
        <v/>
      </c>
      <c r="DD313" s="381"/>
      <c r="DF313" s="34"/>
      <c r="DG313" s="34"/>
      <c r="DH313" s="34"/>
      <c r="DI313" s="34"/>
      <c r="DJ313" s="858" t="s">
        <v>5637</v>
      </c>
      <c r="DK313" s="1707" t="str">
        <f t="shared" si="56"/>
        <v/>
      </c>
      <c r="DL313" s="1692" t="str">
        <f t="shared" si="57"/>
        <v/>
      </c>
      <c r="DM313" s="1691">
        <f t="shared" si="26"/>
        <v>0</v>
      </c>
      <c r="DN313" s="111">
        <f t="shared" si="27"/>
        <v>0</v>
      </c>
      <c r="DO313" s="111">
        <f t="shared" si="28"/>
        <v>0</v>
      </c>
      <c r="DP313" s="474">
        <f t="shared" si="29"/>
        <v>0</v>
      </c>
      <c r="DQ313" s="115" t="s">
        <v>761</v>
      </c>
      <c r="DR313" s="473" t="str">
        <f>IF($U313="",P312,U313)</f>
        <v>組積造の塀又は補強コンクリートブロック造の塀等の劣化及び損傷の状況</v>
      </c>
      <c r="DS313" s="112">
        <f t="shared" si="30"/>
        <v>0</v>
      </c>
      <c r="DT313" s="118" t="str">
        <f t="shared" si="31"/>
        <v/>
      </c>
      <c r="DU313" s="452" t="str">
        <f t="shared" si="58"/>
        <v/>
      </c>
      <c r="DV313" s="151" t="str">
        <f>IF($DT313="要是正",MAX($DV$306:DV312)+1,"")</f>
        <v/>
      </c>
      <c r="DW313" s="485" t="str">
        <f t="shared" si="32"/>
        <v/>
      </c>
      <c r="DX313" s="119" t="str">
        <f t="shared" si="59"/>
        <v/>
      </c>
      <c r="DY313" s="33" t="str">
        <f t="shared" si="110"/>
        <v/>
      </c>
      <c r="DZ313" s="217" t="str">
        <f t="shared" si="33"/>
        <v/>
      </c>
      <c r="EA313" s="466" t="str">
        <f t="shared" si="60"/>
        <v/>
      </c>
      <c r="EB313" s="234" t="str">
        <f t="shared" si="61"/>
        <v/>
      </c>
      <c r="EC313" s="227" t="str">
        <f t="shared" si="62"/>
        <v>0</v>
      </c>
      <c r="ED313" s="148" t="str">
        <f t="shared" si="63"/>
        <v/>
      </c>
      <c r="EE313" s="227" t="str">
        <f t="shared" si="64"/>
        <v>0</v>
      </c>
      <c r="EF313" s="416" t="str">
        <f t="shared" si="65"/>
        <v/>
      </c>
      <c r="EG313" s="204" t="str">
        <f t="shared" si="66"/>
        <v/>
      </c>
      <c r="EH313" s="134" t="str">
        <f t="shared" si="67"/>
        <v>0</v>
      </c>
      <c r="EI313" s="148" t="str">
        <f t="shared" si="68"/>
        <v/>
      </c>
      <c r="EJ313" s="227" t="str">
        <f t="shared" si="69"/>
        <v>0</v>
      </c>
      <c r="EK313" s="416" t="str">
        <f t="shared" si="34"/>
        <v/>
      </c>
      <c r="EL313" s="463" t="e">
        <f t="shared" si="70"/>
        <v>#N/A</v>
      </c>
      <c r="EM313" s="151" t="e">
        <f t="shared" si="35"/>
        <v>#N/A</v>
      </c>
      <c r="EN313" s="453" t="e">
        <f t="shared" si="36"/>
        <v>#N/A</v>
      </c>
      <c r="EO313" s="224">
        <v>8</v>
      </c>
      <c r="EP313" s="112" t="s">
        <v>1128</v>
      </c>
      <c r="EQ313" s="112" t="s">
        <v>1098</v>
      </c>
      <c r="ER313" s="220" t="s">
        <v>1116</v>
      </c>
      <c r="ET313" s="1157">
        <v>7</v>
      </c>
      <c r="EU313" s="112" t="str">
        <f>DM490</f>
        <v/>
      </c>
      <c r="EV313" s="112" t="str">
        <f>DN490</f>
        <v/>
      </c>
      <c r="EW313" s="112" t="str">
        <f>DO490</f>
        <v/>
      </c>
      <c r="EX313" s="1158" t="str">
        <f>DP490</f>
        <v/>
      </c>
      <c r="EY313" s="1159" t="str">
        <f>EE508</f>
        <v>0</v>
      </c>
      <c r="EZ313" s="236" t="s">
        <v>2429</v>
      </c>
      <c r="FA313" s="634" t="str">
        <f>EF$490</f>
        <v/>
      </c>
      <c r="FB313" s="236" t="s">
        <v>2435</v>
      </c>
      <c r="FC313" s="236" t="s">
        <v>2435</v>
      </c>
      <c r="FD313" s="1159" t="str">
        <f>EJ508</f>
        <v>0</v>
      </c>
      <c r="FE313" s="236" t="s">
        <v>2429</v>
      </c>
      <c r="FF313" s="634" t="str">
        <f>EK$490</f>
        <v/>
      </c>
      <c r="FG313" s="236" t="s">
        <v>2435</v>
      </c>
      <c r="FH313" s="236" t="s">
        <v>2435</v>
      </c>
      <c r="FI313" s="108"/>
      <c r="FJ313" s="108"/>
      <c r="FK313" s="597" t="str">
        <f t="shared" si="37"/>
        <v/>
      </c>
      <c r="FL313" s="597" t="str">
        <f t="shared" si="71"/>
        <v/>
      </c>
      <c r="FM313" s="597" t="str">
        <f t="shared" si="72"/>
        <v/>
      </c>
      <c r="FN313" s="597">
        <f t="shared" si="38"/>
        <v>0</v>
      </c>
      <c r="FO313" s="632" t="str">
        <f t="shared" si="39"/>
        <v/>
      </c>
      <c r="FQ313" s="234" t="str">
        <f t="shared" si="73"/>
        <v/>
      </c>
      <c r="FR313" s="227" t="str">
        <f t="shared" si="74"/>
        <v>0</v>
      </c>
      <c r="FS313" s="148" t="str">
        <f t="shared" si="75"/>
        <v/>
      </c>
      <c r="FT313" s="227" t="str">
        <f t="shared" si="76"/>
        <v>0</v>
      </c>
      <c r="FU313" s="416" t="str">
        <f t="shared" si="77"/>
        <v/>
      </c>
      <c r="FW313" s="1160">
        <f t="shared" si="78"/>
        <v>0</v>
      </c>
      <c r="FX313" s="123"/>
      <c r="FY313" s="123"/>
      <c r="FZ313" s="1161"/>
      <c r="GA313" s="34"/>
      <c r="GB313" s="1149">
        <f t="shared" si="79"/>
        <v>0</v>
      </c>
      <c r="GC313" s="1149">
        <f t="shared" si="80"/>
        <v>0</v>
      </c>
      <c r="GD313" s="1149">
        <f t="shared" si="81"/>
        <v>0</v>
      </c>
      <c r="GE313" s="1149" t="str">
        <f t="shared" si="40"/>
        <v/>
      </c>
      <c r="GF313" s="1149" t="str">
        <f t="shared" si="41"/>
        <v/>
      </c>
      <c r="GG313" s="1149" t="str">
        <f t="shared" si="42"/>
        <v/>
      </c>
      <c r="GH313" s="1149" t="str">
        <f t="shared" si="43"/>
        <v/>
      </c>
      <c r="GI313" s="1149" t="str">
        <f t="shared" si="44"/>
        <v/>
      </c>
      <c r="GJ313" s="1149" t="str">
        <f t="shared" si="45"/>
        <v/>
      </c>
      <c r="GK313" s="1149" t="str">
        <f t="shared" si="46"/>
        <v/>
      </c>
      <c r="GL313" s="1149" t="str">
        <f t="shared" si="47"/>
        <v/>
      </c>
      <c r="GM313" s="1149" t="str">
        <f t="shared" si="48"/>
        <v/>
      </c>
      <c r="GN313" s="1149" t="str">
        <f t="shared" si="49"/>
        <v/>
      </c>
      <c r="GO313" s="1149" t="str">
        <f t="shared" si="50"/>
        <v/>
      </c>
      <c r="GP313" s="1149" t="str">
        <f t="shared" si="51"/>
        <v/>
      </c>
      <c r="GQ313" s="1149" t="str">
        <f t="shared" si="52"/>
        <v/>
      </c>
      <c r="GR313" s="1149" t="str">
        <f t="shared" si="53"/>
        <v/>
      </c>
      <c r="GS313" s="1149" t="str">
        <f t="shared" si="54"/>
        <v/>
      </c>
      <c r="GT313" s="1149">
        <f t="shared" si="82"/>
        <v>0</v>
      </c>
      <c r="GU313" s="1149">
        <f t="shared" si="83"/>
        <v>0</v>
      </c>
      <c r="GV313" s="1149">
        <f t="shared" si="84"/>
        <v>0</v>
      </c>
      <c r="GW313" s="1149" t="b">
        <f t="shared" si="85"/>
        <v>0</v>
      </c>
      <c r="GX313" s="1149" t="b">
        <f t="shared" si="86"/>
        <v>0</v>
      </c>
      <c r="GY313" s="1149" t="b">
        <f t="shared" si="87"/>
        <v>0</v>
      </c>
      <c r="GZ313" s="1149" t="str">
        <f t="shared" si="88"/>
        <v/>
      </c>
      <c r="HB313" s="1149" t="str">
        <f t="shared" si="89"/>
        <v/>
      </c>
      <c r="HC313" s="1149" t="str">
        <f t="shared" si="90"/>
        <v/>
      </c>
      <c r="HD313" s="1149" t="str">
        <f t="shared" si="91"/>
        <v/>
      </c>
      <c r="HE313" s="1149" t="str">
        <f t="shared" si="92"/>
        <v/>
      </c>
      <c r="HF313" s="1149" t="str">
        <f t="shared" si="93"/>
        <v/>
      </c>
      <c r="HG313" s="1149" t="str">
        <f t="shared" si="94"/>
        <v/>
      </c>
      <c r="HH313" s="1149" t="str">
        <f t="shared" si="95"/>
        <v/>
      </c>
      <c r="HI313" s="1149" t="str">
        <f t="shared" si="96"/>
        <v/>
      </c>
      <c r="HJ313" s="1149" t="str">
        <f t="shared" si="97"/>
        <v/>
      </c>
      <c r="HK313" s="1149" t="str">
        <f t="shared" si="98"/>
        <v/>
      </c>
      <c r="HL313" s="1149" t="str">
        <f t="shared" si="99"/>
        <v/>
      </c>
      <c r="HM313" s="1149" t="str">
        <f t="shared" si="100"/>
        <v/>
      </c>
      <c r="HN313" s="1149" t="str">
        <f t="shared" si="101"/>
        <v/>
      </c>
      <c r="HO313" s="1149" t="str">
        <f t="shared" si="102"/>
        <v/>
      </c>
      <c r="HP313" s="1149" t="str">
        <f t="shared" si="103"/>
        <v/>
      </c>
      <c r="HQ313" s="1149" t="str">
        <f t="shared" si="104"/>
        <v/>
      </c>
      <c r="HR313" s="1149" t="str">
        <f t="shared" si="105"/>
        <v/>
      </c>
      <c r="HT313" s="1149">
        <f>LEFT(M313,1)*10000+MID(M313,3,LEN(M313)-3)*100+COUNTIF($M$307:M313,M313)</f>
        <v>10701</v>
      </c>
      <c r="HU313" s="1149" t="str">
        <f t="shared" si="106"/>
        <v/>
      </c>
      <c r="HV313" s="1149" t="str">
        <f t="shared" si="107"/>
        <v/>
      </c>
      <c r="HW313" s="1149" t="str">
        <f t="shared" si="108"/>
        <v/>
      </c>
      <c r="HX313" s="1149" t="str">
        <f t="shared" si="109"/>
        <v/>
      </c>
    </row>
    <row r="314" spans="1:232" s="69" customFormat="1" ht="50.15" customHeight="1">
      <c r="A314" s="645"/>
      <c r="B314" s="645"/>
      <c r="C314" s="645"/>
      <c r="D314" s="645"/>
      <c r="E314" s="646"/>
      <c r="F314" s="381"/>
      <c r="G314" s="381"/>
      <c r="H314" s="381"/>
      <c r="J314" s="80"/>
      <c r="K314" s="89"/>
      <c r="L314" s="89"/>
      <c r="M314" s="2080" t="s">
        <v>1195</v>
      </c>
      <c r="N314" s="2080"/>
      <c r="O314" s="2080"/>
      <c r="P314" s="2096" t="s">
        <v>46</v>
      </c>
      <c r="Q314" s="2096"/>
      <c r="R314" s="2096"/>
      <c r="S314" s="2096"/>
      <c r="T314" s="2096"/>
      <c r="U314" s="2011" t="s">
        <v>47</v>
      </c>
      <c r="V314" s="2011"/>
      <c r="W314" s="2011"/>
      <c r="X314" s="2011"/>
      <c r="Y314" s="2011"/>
      <c r="Z314" s="2011"/>
      <c r="AA314" s="2011"/>
      <c r="AB314" s="2011"/>
      <c r="AC314" s="2011"/>
      <c r="AD314" s="2011"/>
      <c r="AE314" s="2011"/>
      <c r="AF314" s="2078"/>
      <c r="AG314" s="2078"/>
      <c r="AH314" s="2078"/>
      <c r="AI314" s="2078"/>
      <c r="AJ314" s="2078"/>
      <c r="AK314" s="2078"/>
      <c r="AL314" s="2078"/>
      <c r="AM314" s="2078"/>
      <c r="AN314" s="2078"/>
      <c r="AO314" s="2078"/>
      <c r="AP314" s="2078"/>
      <c r="AQ314" s="2078"/>
      <c r="AR314" s="2017"/>
      <c r="AS314" s="2017"/>
      <c r="AT314" s="1929"/>
      <c r="AU314" s="1929"/>
      <c r="AV314" s="1929"/>
      <c r="AW314" s="1929"/>
      <c r="AX314" s="1929"/>
      <c r="AY314" s="1929"/>
      <c r="AZ314" s="1929"/>
      <c r="BA314" s="1929"/>
      <c r="BB314" s="1929"/>
      <c r="BC314" s="1929"/>
      <c r="BD314" s="1929"/>
      <c r="BE314" s="1929"/>
      <c r="BF314" s="1929"/>
      <c r="BG314" s="1929"/>
      <c r="BH314" s="1929"/>
      <c r="BI314" s="1929"/>
      <c r="BJ314" s="1929"/>
      <c r="BK314" s="1929"/>
      <c r="BL314" s="1929"/>
      <c r="BM314" s="1929"/>
      <c r="BN314" s="1929"/>
      <c r="BO314" s="1929"/>
      <c r="BP314" s="1929"/>
      <c r="BQ314" s="1929"/>
      <c r="BR314" s="1929"/>
      <c r="BS314" s="2364"/>
      <c r="BT314" s="2365"/>
      <c r="BU314" s="2366"/>
      <c r="BV314" s="1890"/>
      <c r="BW314" s="1890"/>
      <c r="BX314" s="1890"/>
      <c r="BY314" s="1890"/>
      <c r="BZ314" s="1891"/>
      <c r="CA314" s="1891"/>
      <c r="CB314" s="1925"/>
      <c r="CC314" s="1926"/>
      <c r="CD314" s="1926"/>
      <c r="CE314" s="1926"/>
      <c r="CF314" s="1926"/>
      <c r="CG314" s="1926"/>
      <c r="CH314" s="1926"/>
      <c r="CI314" s="1926"/>
      <c r="CJ314" s="1926"/>
      <c r="CK314" s="1926"/>
      <c r="CL314" s="1926"/>
      <c r="CM314" s="1926"/>
      <c r="CN314" s="1926"/>
      <c r="CO314" s="1926"/>
      <c r="CP314" s="1926"/>
      <c r="CQ314" s="1926"/>
      <c r="CR314" s="1926"/>
      <c r="CS314" s="1926"/>
      <c r="CT314" s="1926"/>
      <c r="CU314" s="1927"/>
      <c r="CV314" s="2360" t="str">
        <f t="shared" si="24"/>
        <v/>
      </c>
      <c r="CW314" s="2360"/>
      <c r="CX314" s="2360"/>
      <c r="CY314" s="2360"/>
      <c r="CZ314" s="2360"/>
      <c r="DA314" s="2360"/>
      <c r="DC314" s="600" t="str">
        <f t="shared" si="25"/>
        <v/>
      </c>
      <c r="DD314" s="381"/>
      <c r="DF314" s="34"/>
      <c r="DG314" s="34"/>
      <c r="DH314" s="34"/>
      <c r="DI314" s="34"/>
      <c r="DJ314" s="858" t="s">
        <v>5637</v>
      </c>
      <c r="DK314" s="1707" t="str">
        <f t="shared" si="56"/>
        <v/>
      </c>
      <c r="DL314" s="1692" t="str">
        <f t="shared" si="57"/>
        <v/>
      </c>
      <c r="DM314" s="1691">
        <f t="shared" si="26"/>
        <v>0</v>
      </c>
      <c r="DN314" s="111">
        <f t="shared" si="27"/>
        <v>0</v>
      </c>
      <c r="DO314" s="111">
        <f t="shared" si="28"/>
        <v>0</v>
      </c>
      <c r="DP314" s="474">
        <f t="shared" si="29"/>
        <v>0</v>
      </c>
      <c r="DQ314" s="115" t="s">
        <v>762</v>
      </c>
      <c r="DR314" s="473" t="str">
        <f>IF($U314="",P314,U314)</f>
        <v>擁壁の劣化及び損傷の状況</v>
      </c>
      <c r="DS314" s="112">
        <f t="shared" si="30"/>
        <v>0</v>
      </c>
      <c r="DT314" s="118" t="str">
        <f t="shared" si="31"/>
        <v/>
      </c>
      <c r="DU314" s="452" t="str">
        <f t="shared" si="58"/>
        <v/>
      </c>
      <c r="DV314" s="151" t="str">
        <f>IF($DT314="要是正",MAX($DV$306:DV313)+1,"")</f>
        <v/>
      </c>
      <c r="DW314" s="485" t="str">
        <f t="shared" si="32"/>
        <v/>
      </c>
      <c r="DX314" s="119" t="str">
        <f t="shared" si="59"/>
        <v/>
      </c>
      <c r="DY314" s="33" t="str">
        <f t="shared" si="110"/>
        <v/>
      </c>
      <c r="DZ314" s="217" t="str">
        <f t="shared" si="33"/>
        <v/>
      </c>
      <c r="EA314" s="466" t="str">
        <f t="shared" si="60"/>
        <v/>
      </c>
      <c r="EB314" s="234" t="str">
        <f t="shared" si="61"/>
        <v/>
      </c>
      <c r="EC314" s="227" t="str">
        <f t="shared" si="62"/>
        <v>0</v>
      </c>
      <c r="ED314" s="148" t="str">
        <f t="shared" si="63"/>
        <v/>
      </c>
      <c r="EE314" s="227" t="str">
        <f t="shared" si="64"/>
        <v>0</v>
      </c>
      <c r="EF314" s="416" t="str">
        <f t="shared" si="65"/>
        <v/>
      </c>
      <c r="EG314" s="204" t="str">
        <f t="shared" si="66"/>
        <v/>
      </c>
      <c r="EH314" s="134" t="str">
        <f t="shared" si="67"/>
        <v>0</v>
      </c>
      <c r="EI314" s="148" t="str">
        <f t="shared" si="68"/>
        <v/>
      </c>
      <c r="EJ314" s="227" t="str">
        <f t="shared" si="69"/>
        <v>0</v>
      </c>
      <c r="EK314" s="416" t="str">
        <f t="shared" si="34"/>
        <v/>
      </c>
      <c r="EL314" s="463" t="e">
        <f t="shared" si="70"/>
        <v>#N/A</v>
      </c>
      <c r="EM314" s="151" t="e">
        <f t="shared" si="35"/>
        <v>#N/A</v>
      </c>
      <c r="EN314" s="453" t="e">
        <f t="shared" si="36"/>
        <v>#N/A</v>
      </c>
      <c r="EO314" s="223">
        <v>9</v>
      </c>
      <c r="EP314" s="112" t="s">
        <v>1128</v>
      </c>
      <c r="EQ314" s="112" t="s">
        <v>1099</v>
      </c>
      <c r="ER314" s="220" t="s">
        <v>1117</v>
      </c>
      <c r="ET314" s="1157">
        <v>8</v>
      </c>
      <c r="EU314" s="112" t="str">
        <f>DM509</f>
        <v/>
      </c>
      <c r="EV314" s="112" t="str">
        <f>DN509</f>
        <v/>
      </c>
      <c r="EW314" s="112" t="str">
        <f>DO509</f>
        <v/>
      </c>
      <c r="EX314" s="1158" t="str">
        <f>DP509</f>
        <v/>
      </c>
      <c r="EY314" s="1159" t="str">
        <f>EE527</f>
        <v>0</v>
      </c>
      <c r="EZ314" s="236" t="s">
        <v>2429</v>
      </c>
      <c r="FA314" s="634" t="str">
        <f>EF$509</f>
        <v/>
      </c>
      <c r="FB314" s="236" t="s">
        <v>2435</v>
      </c>
      <c r="FC314" s="236" t="s">
        <v>2435</v>
      </c>
      <c r="FD314" s="1159" t="str">
        <f>EJ527</f>
        <v>0</v>
      </c>
      <c r="FE314" s="236" t="s">
        <v>2429</v>
      </c>
      <c r="FF314" s="634" t="str">
        <f>EK$509</f>
        <v/>
      </c>
      <c r="FG314" s="236" t="s">
        <v>2435</v>
      </c>
      <c r="FH314" s="236" t="s">
        <v>2435</v>
      </c>
      <c r="FI314" s="108"/>
      <c r="FJ314" s="108"/>
      <c r="FK314" s="597" t="str">
        <f t="shared" si="37"/>
        <v/>
      </c>
      <c r="FL314" s="597" t="str">
        <f t="shared" si="71"/>
        <v/>
      </c>
      <c r="FM314" s="597" t="str">
        <f t="shared" si="72"/>
        <v/>
      </c>
      <c r="FN314" s="597">
        <f t="shared" si="38"/>
        <v>0</v>
      </c>
      <c r="FO314" s="632" t="str">
        <f t="shared" si="39"/>
        <v/>
      </c>
      <c r="FQ314" s="234" t="str">
        <f t="shared" si="73"/>
        <v/>
      </c>
      <c r="FR314" s="227" t="str">
        <f t="shared" si="74"/>
        <v>0</v>
      </c>
      <c r="FS314" s="148" t="str">
        <f t="shared" si="75"/>
        <v/>
      </c>
      <c r="FT314" s="227" t="str">
        <f t="shared" si="76"/>
        <v>0</v>
      </c>
      <c r="FU314" s="416" t="str">
        <f t="shared" si="77"/>
        <v/>
      </c>
      <c r="FW314" s="1160">
        <f t="shared" si="78"/>
        <v>0</v>
      </c>
      <c r="FX314" s="123"/>
      <c r="FY314" s="123"/>
      <c r="FZ314" s="1161"/>
      <c r="GA314" s="34"/>
      <c r="GB314" s="1149">
        <f t="shared" si="79"/>
        <v>0</v>
      </c>
      <c r="GC314" s="1149">
        <f t="shared" si="80"/>
        <v>0</v>
      </c>
      <c r="GD314" s="1149">
        <f t="shared" si="81"/>
        <v>0</v>
      </c>
      <c r="GE314" s="1149" t="str">
        <f t="shared" si="40"/>
        <v/>
      </c>
      <c r="GF314" s="1149" t="str">
        <f t="shared" si="41"/>
        <v/>
      </c>
      <c r="GG314" s="1149" t="str">
        <f t="shared" si="42"/>
        <v/>
      </c>
      <c r="GH314" s="1149" t="str">
        <f t="shared" si="43"/>
        <v/>
      </c>
      <c r="GI314" s="1149" t="str">
        <f t="shared" si="44"/>
        <v/>
      </c>
      <c r="GJ314" s="1149" t="str">
        <f t="shared" si="45"/>
        <v/>
      </c>
      <c r="GK314" s="1149" t="str">
        <f t="shared" si="46"/>
        <v/>
      </c>
      <c r="GL314" s="1149" t="str">
        <f t="shared" si="47"/>
        <v/>
      </c>
      <c r="GM314" s="1149" t="str">
        <f t="shared" si="48"/>
        <v/>
      </c>
      <c r="GN314" s="1149" t="str">
        <f t="shared" si="49"/>
        <v/>
      </c>
      <c r="GO314" s="1149" t="str">
        <f t="shared" si="50"/>
        <v/>
      </c>
      <c r="GP314" s="1149" t="str">
        <f t="shared" si="51"/>
        <v/>
      </c>
      <c r="GQ314" s="1149" t="str">
        <f t="shared" si="52"/>
        <v/>
      </c>
      <c r="GR314" s="1149" t="str">
        <f t="shared" si="53"/>
        <v/>
      </c>
      <c r="GS314" s="1149" t="str">
        <f t="shared" si="54"/>
        <v/>
      </c>
      <c r="GT314" s="1149">
        <f t="shared" si="82"/>
        <v>0</v>
      </c>
      <c r="GU314" s="1149">
        <f t="shared" si="83"/>
        <v>0</v>
      </c>
      <c r="GV314" s="1149">
        <f t="shared" si="84"/>
        <v>0</v>
      </c>
      <c r="GW314" s="1149" t="b">
        <f t="shared" si="85"/>
        <v>0</v>
      </c>
      <c r="GX314" s="1149" t="b">
        <f t="shared" si="86"/>
        <v>0</v>
      </c>
      <c r="GY314" s="1149" t="b">
        <f t="shared" si="87"/>
        <v>0</v>
      </c>
      <c r="GZ314" s="1149" t="str">
        <f t="shared" si="88"/>
        <v/>
      </c>
      <c r="HB314" s="1149" t="str">
        <f t="shared" si="89"/>
        <v/>
      </c>
      <c r="HC314" s="1149" t="str">
        <f t="shared" si="90"/>
        <v/>
      </c>
      <c r="HD314" s="1149" t="str">
        <f t="shared" si="91"/>
        <v/>
      </c>
      <c r="HE314" s="1149" t="str">
        <f t="shared" si="92"/>
        <v/>
      </c>
      <c r="HF314" s="1149" t="str">
        <f t="shared" si="93"/>
        <v/>
      </c>
      <c r="HG314" s="1149" t="str">
        <f t="shared" si="94"/>
        <v/>
      </c>
      <c r="HH314" s="1149" t="str">
        <f t="shared" si="95"/>
        <v/>
      </c>
      <c r="HI314" s="1149" t="str">
        <f t="shared" si="96"/>
        <v/>
      </c>
      <c r="HJ314" s="1149" t="str">
        <f t="shared" si="97"/>
        <v/>
      </c>
      <c r="HK314" s="1149" t="str">
        <f t="shared" si="98"/>
        <v/>
      </c>
      <c r="HL314" s="1149" t="str">
        <f t="shared" si="99"/>
        <v/>
      </c>
      <c r="HM314" s="1149" t="str">
        <f t="shared" si="100"/>
        <v/>
      </c>
      <c r="HN314" s="1149" t="str">
        <f t="shared" si="101"/>
        <v/>
      </c>
      <c r="HO314" s="1149" t="str">
        <f t="shared" si="102"/>
        <v/>
      </c>
      <c r="HP314" s="1149" t="str">
        <f t="shared" si="103"/>
        <v/>
      </c>
      <c r="HQ314" s="1149" t="str">
        <f t="shared" si="104"/>
        <v/>
      </c>
      <c r="HR314" s="1149" t="str">
        <f t="shared" si="105"/>
        <v/>
      </c>
      <c r="HT314" s="1149">
        <f>LEFT(M314,1)*10000+MID(M314,3,LEN(M314)-3)*100+COUNTIF($M$307:M314,M314)</f>
        <v>10801</v>
      </c>
      <c r="HU314" s="1149" t="str">
        <f t="shared" si="106"/>
        <v/>
      </c>
      <c r="HV314" s="1149" t="str">
        <f t="shared" si="107"/>
        <v/>
      </c>
      <c r="HW314" s="1149" t="str">
        <f t="shared" si="108"/>
        <v/>
      </c>
      <c r="HX314" s="1149" t="str">
        <f t="shared" si="109"/>
        <v/>
      </c>
    </row>
    <row r="315" spans="1:232" s="69" customFormat="1" ht="50.15" customHeight="1" thickBot="1">
      <c r="A315" s="645"/>
      <c r="B315" s="645"/>
      <c r="C315" s="645"/>
      <c r="D315" s="645"/>
      <c r="E315" s="646"/>
      <c r="F315" s="381"/>
      <c r="G315" s="381"/>
      <c r="H315" s="381"/>
      <c r="J315" s="80"/>
      <c r="K315" s="89"/>
      <c r="L315" s="89"/>
      <c r="M315" s="1963" t="s">
        <v>1196</v>
      </c>
      <c r="N315" s="1963"/>
      <c r="O315" s="1963"/>
      <c r="P315" s="2029"/>
      <c r="Q315" s="2029"/>
      <c r="R315" s="2029"/>
      <c r="S315" s="2029"/>
      <c r="T315" s="2029"/>
      <c r="U315" s="1899" t="s">
        <v>48</v>
      </c>
      <c r="V315" s="1899"/>
      <c r="W315" s="1899"/>
      <c r="X315" s="1899"/>
      <c r="Y315" s="1899"/>
      <c r="Z315" s="1899"/>
      <c r="AA315" s="1899"/>
      <c r="AB315" s="1899"/>
      <c r="AC315" s="1899"/>
      <c r="AD315" s="1899"/>
      <c r="AE315" s="2005"/>
      <c r="AF315" s="2302"/>
      <c r="AG315" s="2302"/>
      <c r="AH315" s="2302"/>
      <c r="AI315" s="2302"/>
      <c r="AJ315" s="2302"/>
      <c r="AK315" s="2302"/>
      <c r="AL315" s="2302"/>
      <c r="AM315" s="2302"/>
      <c r="AN315" s="2302"/>
      <c r="AO315" s="2302"/>
      <c r="AP315" s="2302"/>
      <c r="AQ315" s="2302"/>
      <c r="AR315" s="1910"/>
      <c r="AS315" s="1910"/>
      <c r="AT315" s="1993"/>
      <c r="AU315" s="1993"/>
      <c r="AV315" s="1993"/>
      <c r="AW315" s="1993"/>
      <c r="AX315" s="1993"/>
      <c r="AY315" s="1993"/>
      <c r="AZ315" s="1993"/>
      <c r="BA315" s="1993"/>
      <c r="BB315" s="1993"/>
      <c r="BC315" s="1993"/>
      <c r="BD315" s="1993"/>
      <c r="BE315" s="1993"/>
      <c r="BF315" s="1993"/>
      <c r="BG315" s="1993"/>
      <c r="BH315" s="1993"/>
      <c r="BI315" s="1993"/>
      <c r="BJ315" s="1993"/>
      <c r="BK315" s="1993"/>
      <c r="BL315" s="1993"/>
      <c r="BM315" s="1993"/>
      <c r="BN315" s="1993"/>
      <c r="BO315" s="1993"/>
      <c r="BP315" s="1993"/>
      <c r="BQ315" s="1993"/>
      <c r="BR315" s="1993"/>
      <c r="BS315" s="2069"/>
      <c r="BT315" s="2070"/>
      <c r="BU315" s="2071"/>
      <c r="BV315" s="1889"/>
      <c r="BW315" s="1889"/>
      <c r="BX315" s="1889"/>
      <c r="BY315" s="1889"/>
      <c r="BZ315" s="1896"/>
      <c r="CA315" s="1896"/>
      <c r="CB315" s="1886"/>
      <c r="CC315" s="1887"/>
      <c r="CD315" s="1887"/>
      <c r="CE315" s="1887"/>
      <c r="CF315" s="1887"/>
      <c r="CG315" s="1887"/>
      <c r="CH315" s="1887"/>
      <c r="CI315" s="1887"/>
      <c r="CJ315" s="1887"/>
      <c r="CK315" s="1887"/>
      <c r="CL315" s="1887"/>
      <c r="CM315" s="1887"/>
      <c r="CN315" s="1887"/>
      <c r="CO315" s="1887"/>
      <c r="CP315" s="1887"/>
      <c r="CQ315" s="1887"/>
      <c r="CR315" s="1887"/>
      <c r="CS315" s="1887"/>
      <c r="CT315" s="1887"/>
      <c r="CU315" s="1888"/>
      <c r="CV315" s="2360" t="str">
        <f t="shared" si="24"/>
        <v/>
      </c>
      <c r="CW315" s="2360"/>
      <c r="CX315" s="2360"/>
      <c r="CY315" s="2360"/>
      <c r="CZ315" s="2360"/>
      <c r="DA315" s="2360"/>
      <c r="DC315" s="600" t="str">
        <f t="shared" si="25"/>
        <v/>
      </c>
      <c r="DD315" s="381"/>
      <c r="DF315" s="34"/>
      <c r="DG315" s="34"/>
      <c r="DH315" s="34"/>
      <c r="DI315" s="34"/>
      <c r="DJ315" s="858" t="s">
        <v>5637</v>
      </c>
      <c r="DK315" s="1707" t="str">
        <f t="shared" si="56"/>
        <v/>
      </c>
      <c r="DL315" s="1692" t="str">
        <f t="shared" si="57"/>
        <v/>
      </c>
      <c r="DM315" s="1694">
        <f t="shared" si="26"/>
        <v>0</v>
      </c>
      <c r="DN315" s="476">
        <f t="shared" si="27"/>
        <v>0</v>
      </c>
      <c r="DO315" s="476">
        <f t="shared" si="28"/>
        <v>0</v>
      </c>
      <c r="DP315" s="477">
        <f t="shared" si="29"/>
        <v>0</v>
      </c>
      <c r="DQ315" s="115" t="s">
        <v>763</v>
      </c>
      <c r="DR315" s="475" t="str">
        <f>IF($U315="",P314,U315)</f>
        <v>擁壁の水抜きパイプの維持保全の状況</v>
      </c>
      <c r="DS315" s="221">
        <f t="shared" si="30"/>
        <v>0</v>
      </c>
      <c r="DT315" s="480" t="str">
        <f t="shared" si="31"/>
        <v/>
      </c>
      <c r="DU315" s="452" t="str">
        <f t="shared" si="58"/>
        <v/>
      </c>
      <c r="DV315" s="233" t="str">
        <f>IF($DT315="要是正",MAX($DV$306:DV314)+1,"")</f>
        <v/>
      </c>
      <c r="DW315" s="486" t="str">
        <f t="shared" si="32"/>
        <v/>
      </c>
      <c r="DX315" s="467" t="str">
        <f t="shared" si="59"/>
        <v/>
      </c>
      <c r="DY315" s="468" t="str">
        <f t="shared" si="110"/>
        <v/>
      </c>
      <c r="DZ315" s="469" t="str">
        <f t="shared" si="33"/>
        <v/>
      </c>
      <c r="EA315" s="466" t="str">
        <f t="shared" si="60"/>
        <v/>
      </c>
      <c r="EB315" s="234" t="str">
        <f t="shared" si="61"/>
        <v/>
      </c>
      <c r="EC315" s="227" t="str">
        <f t="shared" si="62"/>
        <v>0</v>
      </c>
      <c r="ED315" s="148" t="str">
        <f t="shared" si="63"/>
        <v/>
      </c>
      <c r="EE315" s="460" t="str">
        <f t="shared" si="64"/>
        <v>0</v>
      </c>
      <c r="EF315" s="461" t="str">
        <f t="shared" si="65"/>
        <v/>
      </c>
      <c r="EG315" s="457" t="str">
        <f t="shared" si="66"/>
        <v/>
      </c>
      <c r="EH315" s="458" t="str">
        <f t="shared" si="67"/>
        <v>0</v>
      </c>
      <c r="EI315" s="459" t="str">
        <f t="shared" si="68"/>
        <v/>
      </c>
      <c r="EJ315" s="460" t="str">
        <f t="shared" si="69"/>
        <v>0</v>
      </c>
      <c r="EK315" s="461" t="str">
        <f t="shared" si="34"/>
        <v/>
      </c>
      <c r="EL315" s="464" t="e">
        <f t="shared" si="70"/>
        <v>#N/A</v>
      </c>
      <c r="EM315" s="233" t="e">
        <f t="shared" si="35"/>
        <v>#N/A</v>
      </c>
      <c r="EN315" s="454" t="e">
        <f t="shared" si="36"/>
        <v>#N/A</v>
      </c>
      <c r="EO315" s="225">
        <v>10</v>
      </c>
      <c r="EP315" s="221" t="s">
        <v>1128</v>
      </c>
      <c r="EQ315" s="221" t="s">
        <v>1090</v>
      </c>
      <c r="ER315" s="222" t="s">
        <v>1091</v>
      </c>
      <c r="ET315" s="1162"/>
      <c r="EU315" s="237" t="str">
        <f>IF(AND(EV315&lt;&gt;"レ",EW315&lt;&gt;"レ",EX315&lt;&gt;"レ",COUNTIF(EU307:EU314,"レ")&gt;0),"レ","")</f>
        <v/>
      </c>
      <c r="EV315" s="237" t="str">
        <f>IF(AND(EW315&lt;&gt;"レ",EX315&lt;&gt;"レ",COUNTIF(EV307:EV314,"レ")&gt;0),"レ","")</f>
        <v/>
      </c>
      <c r="EW315" s="237" t="str">
        <f>IF(COUNTIF(EW307:EW314,"レ")&gt;0,"レ","")</f>
        <v/>
      </c>
      <c r="EX315" s="238" t="str">
        <f>IF(AND(EW315&lt;&gt;"レ",COUNTIF(EX307:EX314,"レ")&gt;0),"レ","")</f>
        <v/>
      </c>
      <c r="EY315" s="240" t="str">
        <f t="array" ref="EY315">INDEX(EY307:EY314,MATCH(MIN(ABS(EY307:EY314-$DP$4)),ABS(EY307:EY314-$DP$4),0))</f>
        <v>0</v>
      </c>
      <c r="EZ315" s="505" t="s">
        <v>2429</v>
      </c>
      <c r="FA315" s="635">
        <f>COUNTIF(FA307:FA314,"レ")</f>
        <v>0</v>
      </c>
      <c r="FB315" s="633" t="s">
        <v>2435</v>
      </c>
      <c r="FC315" s="633" t="s">
        <v>2435</v>
      </c>
      <c r="FD315" s="240" t="str">
        <f t="array" ref="FD315">INDEX(FD307:FD314,MATCH(MIN(ABS(FD307:FD314-$DP$4)),ABS(FD307:FD314-$DP$4),0))</f>
        <v>0</v>
      </c>
      <c r="FE315" s="505" t="s">
        <v>2429</v>
      </c>
      <c r="FF315" s="635">
        <f>COUNTIF(FF307:FF314,"レ")</f>
        <v>0</v>
      </c>
      <c r="FG315" s="633" t="s">
        <v>2435</v>
      </c>
      <c r="FH315" s="633" t="s">
        <v>2435</v>
      </c>
      <c r="FI315" s="108"/>
      <c r="FJ315" s="108"/>
      <c r="FK315" s="597" t="str">
        <f t="shared" si="37"/>
        <v/>
      </c>
      <c r="FL315" s="597" t="str">
        <f t="shared" si="71"/>
        <v/>
      </c>
      <c r="FM315" s="597" t="str">
        <f t="shared" si="72"/>
        <v/>
      </c>
      <c r="FN315" s="597">
        <f t="shared" si="38"/>
        <v>0</v>
      </c>
      <c r="FO315" s="632" t="str">
        <f t="shared" si="39"/>
        <v/>
      </c>
      <c r="FQ315" s="234" t="str">
        <f t="shared" si="73"/>
        <v/>
      </c>
      <c r="FR315" s="227" t="str">
        <f t="shared" si="74"/>
        <v>0</v>
      </c>
      <c r="FS315" s="148" t="str">
        <f t="shared" si="75"/>
        <v/>
      </c>
      <c r="FT315" s="227" t="str">
        <f t="shared" si="76"/>
        <v>0</v>
      </c>
      <c r="FU315" s="416" t="str">
        <f t="shared" si="77"/>
        <v/>
      </c>
      <c r="FW315" s="1160">
        <f t="shared" si="78"/>
        <v>0</v>
      </c>
      <c r="FX315" s="123"/>
      <c r="FY315" s="123"/>
      <c r="FZ315" s="1161"/>
      <c r="GA315" s="34"/>
      <c r="GB315" s="1149">
        <f t="shared" si="79"/>
        <v>0</v>
      </c>
      <c r="GC315" s="1149">
        <f t="shared" si="80"/>
        <v>0</v>
      </c>
      <c r="GD315" s="1149">
        <f t="shared" si="81"/>
        <v>0</v>
      </c>
      <c r="GE315" s="1149" t="str">
        <f t="shared" si="40"/>
        <v/>
      </c>
      <c r="GF315" s="1149" t="str">
        <f t="shared" si="41"/>
        <v/>
      </c>
      <c r="GG315" s="1149" t="str">
        <f t="shared" si="42"/>
        <v/>
      </c>
      <c r="GH315" s="1149" t="str">
        <f t="shared" si="43"/>
        <v/>
      </c>
      <c r="GI315" s="1149" t="str">
        <f t="shared" si="44"/>
        <v/>
      </c>
      <c r="GJ315" s="1149" t="str">
        <f t="shared" si="45"/>
        <v/>
      </c>
      <c r="GK315" s="1149" t="str">
        <f t="shared" si="46"/>
        <v/>
      </c>
      <c r="GL315" s="1149" t="str">
        <f t="shared" si="47"/>
        <v/>
      </c>
      <c r="GM315" s="1149" t="str">
        <f t="shared" si="48"/>
        <v/>
      </c>
      <c r="GN315" s="1149" t="str">
        <f t="shared" si="49"/>
        <v/>
      </c>
      <c r="GO315" s="1149" t="str">
        <f t="shared" si="50"/>
        <v/>
      </c>
      <c r="GP315" s="1149" t="str">
        <f t="shared" si="51"/>
        <v/>
      </c>
      <c r="GQ315" s="1149" t="str">
        <f t="shared" si="52"/>
        <v/>
      </c>
      <c r="GR315" s="1149" t="str">
        <f t="shared" si="53"/>
        <v/>
      </c>
      <c r="GS315" s="1149" t="str">
        <f t="shared" si="54"/>
        <v/>
      </c>
      <c r="GT315" s="1149">
        <f t="shared" si="82"/>
        <v>0</v>
      </c>
      <c r="GU315" s="1149">
        <f t="shared" si="83"/>
        <v>0</v>
      </c>
      <c r="GV315" s="1149">
        <f t="shared" si="84"/>
        <v>0</v>
      </c>
      <c r="GW315" s="1149" t="b">
        <f t="shared" si="85"/>
        <v>0</v>
      </c>
      <c r="GX315" s="1149" t="b">
        <f t="shared" si="86"/>
        <v>0</v>
      </c>
      <c r="GY315" s="1149" t="b">
        <f t="shared" si="87"/>
        <v>0</v>
      </c>
      <c r="GZ315" s="1149" t="str">
        <f t="shared" si="88"/>
        <v/>
      </c>
      <c r="HB315" s="1149" t="str">
        <f t="shared" si="89"/>
        <v/>
      </c>
      <c r="HC315" s="1149" t="str">
        <f t="shared" si="90"/>
        <v/>
      </c>
      <c r="HD315" s="1149" t="str">
        <f t="shared" si="91"/>
        <v/>
      </c>
      <c r="HE315" s="1149" t="str">
        <f t="shared" si="92"/>
        <v/>
      </c>
      <c r="HF315" s="1149" t="str">
        <f t="shared" si="93"/>
        <v/>
      </c>
      <c r="HG315" s="1149" t="str">
        <f t="shared" si="94"/>
        <v/>
      </c>
      <c r="HH315" s="1149" t="str">
        <f t="shared" si="95"/>
        <v/>
      </c>
      <c r="HI315" s="1149" t="str">
        <f t="shared" si="96"/>
        <v/>
      </c>
      <c r="HJ315" s="1149" t="str">
        <f t="shared" si="97"/>
        <v/>
      </c>
      <c r="HK315" s="1149" t="str">
        <f t="shared" si="98"/>
        <v/>
      </c>
      <c r="HL315" s="1149" t="str">
        <f t="shared" si="99"/>
        <v/>
      </c>
      <c r="HM315" s="1149" t="str">
        <f t="shared" si="100"/>
        <v/>
      </c>
      <c r="HN315" s="1149" t="str">
        <f t="shared" si="101"/>
        <v/>
      </c>
      <c r="HO315" s="1149" t="str">
        <f t="shared" si="102"/>
        <v/>
      </c>
      <c r="HP315" s="1149" t="str">
        <f t="shared" si="103"/>
        <v/>
      </c>
      <c r="HQ315" s="1149" t="str">
        <f t="shared" si="104"/>
        <v/>
      </c>
      <c r="HR315" s="1149" t="str">
        <f t="shared" si="105"/>
        <v/>
      </c>
      <c r="HT315" s="1149">
        <f>LEFT(M315,1)*10000+MID(M315,3,LEN(M315)-3)*100+COUNTIF($M$307:M315,M315)</f>
        <v>10901</v>
      </c>
      <c r="HU315" s="1149" t="str">
        <f t="shared" si="106"/>
        <v/>
      </c>
      <c r="HV315" s="1149" t="str">
        <f t="shared" si="107"/>
        <v/>
      </c>
      <c r="HW315" s="1149" t="str">
        <f t="shared" si="108"/>
        <v/>
      </c>
      <c r="HX315" s="1149" t="str">
        <f t="shared" si="109"/>
        <v/>
      </c>
    </row>
    <row r="316" spans="1:232" s="69" customFormat="1" ht="50.15" hidden="1" customHeight="1" thickBot="1">
      <c r="A316" s="645"/>
      <c r="B316" s="645"/>
      <c r="C316" s="645"/>
      <c r="D316" s="645"/>
      <c r="E316" s="646"/>
      <c r="F316" s="381"/>
      <c r="G316" s="381"/>
      <c r="H316" s="381"/>
      <c r="J316" s="80"/>
      <c r="K316" s="89"/>
      <c r="L316" s="89"/>
      <c r="M316" s="1963" t="s">
        <v>2561</v>
      </c>
      <c r="N316" s="1963"/>
      <c r="O316" s="1963"/>
      <c r="P316" s="2029"/>
      <c r="Q316" s="2029"/>
      <c r="R316" s="2029"/>
      <c r="S316" s="2029"/>
      <c r="T316" s="2029"/>
      <c r="U316" s="1899"/>
      <c r="V316" s="1899"/>
      <c r="W316" s="1899"/>
      <c r="X316" s="1899"/>
      <c r="Y316" s="1899"/>
      <c r="Z316" s="1899"/>
      <c r="AA316" s="1899"/>
      <c r="AB316" s="1899"/>
      <c r="AC316" s="1899"/>
      <c r="AD316" s="1899"/>
      <c r="AE316" s="2005"/>
      <c r="AF316" s="2007"/>
      <c r="AG316" s="2008"/>
      <c r="AH316" s="2008"/>
      <c r="AI316" s="2008"/>
      <c r="AJ316" s="2008"/>
      <c r="AK316" s="2008"/>
      <c r="AL316" s="2008"/>
      <c r="AM316" s="2008"/>
      <c r="AN316" s="2008"/>
      <c r="AO316" s="2008"/>
      <c r="AP316" s="2008"/>
      <c r="AQ316" s="2009"/>
      <c r="AR316" s="1910"/>
      <c r="AS316" s="1910"/>
      <c r="AT316" s="1993"/>
      <c r="AU316" s="1993"/>
      <c r="AV316" s="1993"/>
      <c r="AW316" s="1993"/>
      <c r="AX316" s="1993"/>
      <c r="AY316" s="1993"/>
      <c r="AZ316" s="1993"/>
      <c r="BA316" s="1993"/>
      <c r="BB316" s="1993"/>
      <c r="BC316" s="1993"/>
      <c r="BD316" s="1993"/>
      <c r="BE316" s="1993"/>
      <c r="BF316" s="1993"/>
      <c r="BG316" s="1993"/>
      <c r="BH316" s="1993"/>
      <c r="BI316" s="1993"/>
      <c r="BJ316" s="1993"/>
      <c r="BK316" s="1993"/>
      <c r="BL316" s="1993"/>
      <c r="BM316" s="1993"/>
      <c r="BN316" s="1993"/>
      <c r="BO316" s="1993"/>
      <c r="BP316" s="1993"/>
      <c r="BQ316" s="1993"/>
      <c r="BR316" s="1993"/>
      <c r="BS316" s="2069"/>
      <c r="BT316" s="2070"/>
      <c r="BU316" s="2071"/>
      <c r="BV316" s="1889"/>
      <c r="BW316" s="1889"/>
      <c r="BX316" s="1889"/>
      <c r="BY316" s="1889"/>
      <c r="BZ316" s="1896"/>
      <c r="CA316" s="1896"/>
      <c r="CB316" s="1886"/>
      <c r="CC316" s="1887"/>
      <c r="CD316" s="1887"/>
      <c r="CE316" s="1887"/>
      <c r="CF316" s="1887"/>
      <c r="CG316" s="1887"/>
      <c r="CH316" s="1887"/>
      <c r="CI316" s="1887"/>
      <c r="CJ316" s="1887"/>
      <c r="CK316" s="1887"/>
      <c r="CL316" s="1887"/>
      <c r="CM316" s="1887"/>
      <c r="CN316" s="1887"/>
      <c r="CO316" s="1887"/>
      <c r="CP316" s="1887"/>
      <c r="CQ316" s="1887"/>
      <c r="CR316" s="1887"/>
      <c r="CS316" s="1887"/>
      <c r="CT316" s="1887"/>
      <c r="CU316" s="1888"/>
      <c r="CV316" s="2360" t="str">
        <f t="shared" ref="CV316:CV320" si="111">IF(AND(DT316="要是正",DU316&lt;21),HYPERLINK("#"&amp;EL316&amp;"!"&amp;EM316&amp;":"&amp;EN316&amp;"","関連写真添付"),"")</f>
        <v/>
      </c>
      <c r="CW316" s="2360"/>
      <c r="CX316" s="2360"/>
      <c r="CY316" s="2360"/>
      <c r="CZ316" s="2360"/>
      <c r="DA316" s="2360"/>
      <c r="DC316" s="600" t="str">
        <f t="shared" ref="DC316:DC320" si="112">IF(AND(DU316&lt;&gt;"",DU316&gt;10),"「別途様式を作成、提出してください。」","")</f>
        <v/>
      </c>
      <c r="DD316" s="381"/>
      <c r="DF316" s="34"/>
      <c r="DG316" s="34"/>
      <c r="DH316" s="34"/>
      <c r="DI316" s="34"/>
      <c r="DJ316" s="858" t="s">
        <v>5637</v>
      </c>
      <c r="DK316" s="1707" t="str">
        <f t="shared" si="56"/>
        <v/>
      </c>
      <c r="DL316" s="1692" t="str">
        <f t="shared" si="57"/>
        <v/>
      </c>
      <c r="DM316" s="1694">
        <f t="shared" si="26"/>
        <v>0</v>
      </c>
      <c r="DN316" s="476">
        <f t="shared" ref="DN316:DN320" si="113">COUNTIFS(AF316,"○指摘なし")</f>
        <v>0</v>
      </c>
      <c r="DO316" s="476">
        <f t="shared" ref="DO316:DO320" si="114">COUNTIFS(AF316,"×要是正（既存不適格以外）")</f>
        <v>0</v>
      </c>
      <c r="DP316" s="477">
        <f t="shared" ref="DP316:DP320" si="115">COUNTIFS(AF316,"△既存不適格")</f>
        <v>0</v>
      </c>
      <c r="DQ316" s="115" t="s">
        <v>2612</v>
      </c>
      <c r="DR316" s="475">
        <f t="shared" ref="DR316:DR320" si="116">IF($U316="",R316,U316)</f>
        <v>0</v>
      </c>
      <c r="DS316" s="221">
        <f t="shared" ref="DS316:DS320" si="117">COUNTA(BS316:BX316)</f>
        <v>0</v>
      </c>
      <c r="DT316" s="480" t="str">
        <f t="shared" ref="DT316:DT320" si="118">IF(AF316="×要是正（既存不適格以外）","要是正","")&amp;IF(AF316="△既存不適格","既存不適格","")</f>
        <v/>
      </c>
      <c r="DU316" s="452" t="str">
        <f t="shared" si="58"/>
        <v/>
      </c>
      <c r="DV316" s="233" t="str">
        <f>IF($DT316="要是正",MAX($DV$306:DV315)+1,"")</f>
        <v/>
      </c>
      <c r="DW316" s="486" t="str">
        <f t="shared" ref="DW316:DW320" si="119">IF(OR(AF316="×要是正（既存不適格以外）",AF316="△既存不適格"),DQ316,"")</f>
        <v/>
      </c>
      <c r="DX316" s="467" t="str">
        <f t="shared" si="59"/>
        <v/>
      </c>
      <c r="DY316" s="468" t="str">
        <f t="shared" ref="DY316:DY320" si="120">IF($DT316="要是正",IF(AT316="","",DQ316 &amp;" " &amp; AT316),"")</f>
        <v/>
      </c>
      <c r="DZ316" s="469" t="str">
        <f t="shared" ref="DZ316:DZ320" si="121">IF($DT316="要是正",IF(BD316="","",BD316),"")</f>
        <v/>
      </c>
      <c r="EA316" s="466" t="str">
        <f t="shared" si="60"/>
        <v/>
      </c>
      <c r="EB316" s="234" t="str">
        <f t="shared" si="61"/>
        <v/>
      </c>
      <c r="EC316" s="227" t="str">
        <f t="shared" si="62"/>
        <v>0</v>
      </c>
      <c r="ED316" s="148" t="str">
        <f t="shared" si="63"/>
        <v/>
      </c>
      <c r="EE316" s="460" t="str">
        <f t="shared" ref="EE316:EE320" si="122">IF(ED316=1,EC316,"0")</f>
        <v>0</v>
      </c>
      <c r="EF316" s="461" t="str">
        <f t="shared" ref="EF316:EF320" si="123">IF(AND(DT316="要是正",AND(DS316=0,BY316="未定")),BY316,"")</f>
        <v/>
      </c>
      <c r="EG316" s="457" t="str">
        <f t="shared" si="66"/>
        <v/>
      </c>
      <c r="EH316" s="458" t="str">
        <f t="shared" si="67"/>
        <v>0</v>
      </c>
      <c r="EI316" s="459" t="str">
        <f t="shared" ref="EI316:EI320" si="124">IF(DT316="既存不適格",IF(AND(BY316="予定",DS316=2),1,IF(BY316="改善済",2,"")),"")</f>
        <v/>
      </c>
      <c r="EJ316" s="460" t="str">
        <f t="shared" ref="EJ316:EJ320" si="125">IF(EI316=1,EH316,"0")</f>
        <v>0</v>
      </c>
      <c r="EK316" s="461" t="str">
        <f t="shared" ref="EK316:EK320" si="126">IF(AND(DT316="既存不適格",AND(DS316=0,BY316="未定")),BY316,"")</f>
        <v/>
      </c>
      <c r="EL316" s="464" t="e">
        <f t="shared" ref="EL316:EL320" si="127">VLOOKUP($DU316,$EO$306:$ER$333,2,FALSE)</f>
        <v>#N/A</v>
      </c>
      <c r="EM316" s="233" t="e">
        <f t="shared" ref="EM316:EM320" si="128">VLOOKUP($DU316,$EO$306:$ER$334,3,FALSE)</f>
        <v>#N/A</v>
      </c>
      <c r="EN316" s="454" t="e">
        <f t="shared" ref="EN316:EN320" si="129">VLOOKUP($DU316,$EO$306:$ER$334,4,FALSE)</f>
        <v>#N/A</v>
      </c>
      <c r="EO316" s="225">
        <v>10</v>
      </c>
      <c r="EP316" s="221" t="s">
        <v>1128</v>
      </c>
      <c r="EQ316" s="221" t="s">
        <v>1090</v>
      </c>
      <c r="ER316" s="222" t="s">
        <v>1091</v>
      </c>
      <c r="ET316" s="35"/>
      <c r="EU316" s="120"/>
      <c r="EV316" s="120"/>
      <c r="EW316" s="120"/>
      <c r="EX316" s="120"/>
      <c r="EY316" s="542"/>
      <c r="EZ316" s="542"/>
      <c r="FA316" s="120"/>
      <c r="FB316" s="590"/>
      <c r="FC316" s="590"/>
      <c r="FD316" s="542"/>
      <c r="FE316" s="542"/>
      <c r="FF316" s="120"/>
      <c r="FG316" s="590"/>
      <c r="FH316" s="590"/>
      <c r="FI316" s="108"/>
      <c r="FJ316" s="108"/>
      <c r="FK316" s="597" t="str">
        <f t="shared" si="37"/>
        <v/>
      </c>
      <c r="FL316" s="597" t="str">
        <f t="shared" si="71"/>
        <v/>
      </c>
      <c r="FM316" s="597" t="str">
        <f t="shared" si="72"/>
        <v/>
      </c>
      <c r="FN316" s="597">
        <f t="shared" ref="FN316:FN320" si="130">AR316</f>
        <v>0</v>
      </c>
      <c r="FO316" s="632" t="str">
        <f t="shared" si="39"/>
        <v/>
      </c>
      <c r="FQ316" s="234" t="str">
        <f t="shared" si="73"/>
        <v/>
      </c>
      <c r="FR316" s="227" t="str">
        <f t="shared" si="74"/>
        <v>0</v>
      </c>
      <c r="FS316" s="148" t="str">
        <f t="shared" ref="FS316:FS320" si="131">IF(OR(BY316="予定",BY316="改善済"),1,"")</f>
        <v/>
      </c>
      <c r="FT316" s="227" t="str">
        <f t="shared" ref="FT316:FT320" si="132">IF(FS316=1,FR316,"0")</f>
        <v>0</v>
      </c>
      <c r="FU316" s="416" t="str">
        <f t="shared" ref="FU316:FU320" si="133">IF(AND(DT316="要是正",AND(DS316=0,BY316="未定")),BY316,"")</f>
        <v/>
      </c>
      <c r="FW316" s="1160">
        <f t="shared" ref="FW316:FW320" si="134">IF(AF316="△既存不適格",AT316&amp;"(既存不適格)",AT316)</f>
        <v>0</v>
      </c>
      <c r="FX316" s="123"/>
      <c r="FY316" s="123"/>
      <c r="FZ316" s="1161"/>
      <c r="GA316" s="34"/>
      <c r="GB316" s="123">
        <f t="shared" si="79"/>
        <v>0</v>
      </c>
      <c r="GC316" s="123">
        <f t="shared" si="80"/>
        <v>0</v>
      </c>
      <c r="GD316" s="69">
        <f t="shared" si="81"/>
        <v>0</v>
      </c>
      <c r="GE316" s="1149" t="str">
        <f t="shared" si="40"/>
        <v/>
      </c>
      <c r="GF316" s="1149" t="str">
        <f t="shared" si="41"/>
        <v/>
      </c>
      <c r="GG316" s="1149" t="str">
        <f t="shared" si="42"/>
        <v/>
      </c>
      <c r="GH316" s="1149" t="str">
        <f t="shared" si="43"/>
        <v/>
      </c>
      <c r="GI316" s="1149" t="str">
        <f t="shared" si="44"/>
        <v/>
      </c>
      <c r="GJ316" s="1149" t="str">
        <f t="shared" si="45"/>
        <v/>
      </c>
      <c r="GK316" s="1149" t="str">
        <f t="shared" si="46"/>
        <v/>
      </c>
      <c r="GL316" s="1149" t="str">
        <f t="shared" si="47"/>
        <v/>
      </c>
      <c r="GM316" s="1149" t="str">
        <f t="shared" si="48"/>
        <v/>
      </c>
      <c r="GN316" s="1149" t="str">
        <f t="shared" si="49"/>
        <v/>
      </c>
      <c r="GO316" s="1149" t="str">
        <f t="shared" si="50"/>
        <v/>
      </c>
      <c r="GP316" s="1149" t="str">
        <f t="shared" si="51"/>
        <v/>
      </c>
      <c r="GQ316" s="1149" t="str">
        <f t="shared" si="52"/>
        <v/>
      </c>
      <c r="GR316" s="1149" t="str">
        <f t="shared" si="53"/>
        <v/>
      </c>
      <c r="GS316" s="1149" t="str">
        <f t="shared" si="54"/>
        <v/>
      </c>
      <c r="GT316" s="1149">
        <f t="shared" si="82"/>
        <v>0</v>
      </c>
      <c r="GU316" s="1149">
        <f t="shared" si="83"/>
        <v>0</v>
      </c>
      <c r="GV316" s="1149">
        <f t="shared" si="84"/>
        <v>0</v>
      </c>
      <c r="GW316" s="1149" t="b">
        <f t="shared" si="85"/>
        <v>0</v>
      </c>
      <c r="GX316" s="1149" t="b">
        <f t="shared" si="86"/>
        <v>0</v>
      </c>
      <c r="GY316" s="1149" t="b">
        <f t="shared" si="87"/>
        <v>0</v>
      </c>
      <c r="GZ316" s="1149" t="str">
        <f t="shared" si="88"/>
        <v/>
      </c>
      <c r="HB316" s="1149" t="str">
        <f t="shared" si="89"/>
        <v/>
      </c>
      <c r="HC316" s="1149" t="str">
        <f t="shared" si="90"/>
        <v/>
      </c>
      <c r="HD316" s="1149" t="str">
        <f t="shared" si="91"/>
        <v/>
      </c>
      <c r="HE316" s="1149" t="str">
        <f t="shared" si="92"/>
        <v/>
      </c>
      <c r="HF316" s="1149" t="str">
        <f t="shared" si="93"/>
        <v/>
      </c>
      <c r="HG316" s="1149" t="str">
        <f t="shared" si="94"/>
        <v/>
      </c>
      <c r="HH316" s="1149" t="str">
        <f t="shared" si="95"/>
        <v/>
      </c>
      <c r="HI316" s="1149" t="str">
        <f t="shared" si="96"/>
        <v/>
      </c>
      <c r="HJ316" s="1149" t="str">
        <f t="shared" si="97"/>
        <v/>
      </c>
      <c r="HK316" s="1149" t="str">
        <f t="shared" si="98"/>
        <v/>
      </c>
      <c r="HL316" s="1149" t="str">
        <f t="shared" si="99"/>
        <v/>
      </c>
      <c r="HM316" s="1149" t="str">
        <f t="shared" si="100"/>
        <v/>
      </c>
      <c r="HN316" s="1149" t="str">
        <f t="shared" si="101"/>
        <v/>
      </c>
      <c r="HO316" s="1149" t="str">
        <f t="shared" si="102"/>
        <v/>
      </c>
      <c r="HP316" s="1149" t="str">
        <f t="shared" si="103"/>
        <v/>
      </c>
      <c r="HQ316" s="1149" t="str">
        <f t="shared" si="104"/>
        <v/>
      </c>
      <c r="HR316" s="1149" t="str">
        <f t="shared" si="105"/>
        <v/>
      </c>
      <c r="HT316" s="1149">
        <f>LEFT(M316,1)*10000+MID(M316,3,LEN(M316)-3)*100+COUNTIF($M$307:M316,M316)</f>
        <v>11001</v>
      </c>
      <c r="HU316" s="1149" t="str">
        <f t="shared" si="106"/>
        <v/>
      </c>
      <c r="HV316" s="1149" t="str">
        <f t="shared" si="107"/>
        <v/>
      </c>
      <c r="HW316" s="1149" t="str">
        <f t="shared" si="108"/>
        <v/>
      </c>
      <c r="HX316" s="1149" t="str">
        <f t="shared" si="109"/>
        <v/>
      </c>
    </row>
    <row r="317" spans="1:232" s="69" customFormat="1" ht="50.15" hidden="1" customHeight="1" thickBot="1">
      <c r="A317" s="645"/>
      <c r="B317" s="645"/>
      <c r="C317" s="645"/>
      <c r="D317" s="645"/>
      <c r="E317" s="646"/>
      <c r="F317" s="381"/>
      <c r="G317" s="381"/>
      <c r="H317" s="381"/>
      <c r="J317" s="80"/>
      <c r="K317" s="89"/>
      <c r="L317" s="89"/>
      <c r="M317" s="1963" t="s">
        <v>2562</v>
      </c>
      <c r="N317" s="1963"/>
      <c r="O317" s="1963"/>
      <c r="P317" s="2029"/>
      <c r="Q317" s="2029"/>
      <c r="R317" s="2029"/>
      <c r="S317" s="2029"/>
      <c r="T317" s="2029"/>
      <c r="U317" s="1899"/>
      <c r="V317" s="1899"/>
      <c r="W317" s="1899"/>
      <c r="X317" s="1899"/>
      <c r="Y317" s="1899"/>
      <c r="Z317" s="1899"/>
      <c r="AA317" s="1899"/>
      <c r="AB317" s="1899"/>
      <c r="AC317" s="1899"/>
      <c r="AD317" s="1899"/>
      <c r="AE317" s="2005"/>
      <c r="AF317" s="1898"/>
      <c r="AG317" s="1898"/>
      <c r="AH317" s="1898"/>
      <c r="AI317" s="1898"/>
      <c r="AJ317" s="1898"/>
      <c r="AK317" s="1898"/>
      <c r="AL317" s="1898"/>
      <c r="AM317" s="1898"/>
      <c r="AN317" s="1898"/>
      <c r="AO317" s="1898"/>
      <c r="AP317" s="1898"/>
      <c r="AQ317" s="1898"/>
      <c r="AR317" s="1910"/>
      <c r="AS317" s="1910"/>
      <c r="AT317" s="1993"/>
      <c r="AU317" s="1993"/>
      <c r="AV317" s="1993"/>
      <c r="AW317" s="1993"/>
      <c r="AX317" s="1993"/>
      <c r="AY317" s="1993"/>
      <c r="AZ317" s="1993"/>
      <c r="BA317" s="1993"/>
      <c r="BB317" s="1993"/>
      <c r="BC317" s="1993"/>
      <c r="BD317" s="1993"/>
      <c r="BE317" s="1993"/>
      <c r="BF317" s="1993"/>
      <c r="BG317" s="1993"/>
      <c r="BH317" s="1993"/>
      <c r="BI317" s="1993"/>
      <c r="BJ317" s="1993"/>
      <c r="BK317" s="1993"/>
      <c r="BL317" s="1993"/>
      <c r="BM317" s="1993"/>
      <c r="BN317" s="1993"/>
      <c r="BO317" s="1993"/>
      <c r="BP317" s="1993"/>
      <c r="BQ317" s="1993"/>
      <c r="BR317" s="1993"/>
      <c r="BS317" s="2069"/>
      <c r="BT317" s="2070"/>
      <c r="BU317" s="2071"/>
      <c r="BV317" s="1889"/>
      <c r="BW317" s="1889"/>
      <c r="BX317" s="1889"/>
      <c r="BY317" s="1889"/>
      <c r="BZ317" s="1896"/>
      <c r="CA317" s="1896"/>
      <c r="CB317" s="1886"/>
      <c r="CC317" s="1887"/>
      <c r="CD317" s="1887"/>
      <c r="CE317" s="1887"/>
      <c r="CF317" s="1887"/>
      <c r="CG317" s="1887"/>
      <c r="CH317" s="1887"/>
      <c r="CI317" s="1887"/>
      <c r="CJ317" s="1887"/>
      <c r="CK317" s="1887"/>
      <c r="CL317" s="1887"/>
      <c r="CM317" s="1887"/>
      <c r="CN317" s="1887"/>
      <c r="CO317" s="1887"/>
      <c r="CP317" s="1887"/>
      <c r="CQ317" s="1887"/>
      <c r="CR317" s="1887"/>
      <c r="CS317" s="1887"/>
      <c r="CT317" s="1887"/>
      <c r="CU317" s="1888"/>
      <c r="CV317" s="2360" t="str">
        <f t="shared" si="111"/>
        <v/>
      </c>
      <c r="CW317" s="2360"/>
      <c r="CX317" s="2360"/>
      <c r="CY317" s="2360"/>
      <c r="CZ317" s="2360"/>
      <c r="DA317" s="2360"/>
      <c r="DC317" s="600" t="str">
        <f t="shared" si="112"/>
        <v/>
      </c>
      <c r="DD317" s="381"/>
      <c r="DF317" s="34"/>
      <c r="DG317" s="34"/>
      <c r="DH317" s="34"/>
      <c r="DI317" s="34"/>
      <c r="DJ317" s="858" t="s">
        <v>5637</v>
      </c>
      <c r="DK317" s="1707" t="str">
        <f t="shared" si="56"/>
        <v/>
      </c>
      <c r="DL317" s="1692" t="str">
        <f t="shared" si="57"/>
        <v/>
      </c>
      <c r="DM317" s="1694">
        <f t="shared" si="26"/>
        <v>0</v>
      </c>
      <c r="DN317" s="476">
        <f t="shared" si="113"/>
        <v>0</v>
      </c>
      <c r="DO317" s="476">
        <f t="shared" si="114"/>
        <v>0</v>
      </c>
      <c r="DP317" s="477">
        <f t="shared" si="115"/>
        <v>0</v>
      </c>
      <c r="DQ317" s="115" t="s">
        <v>2613</v>
      </c>
      <c r="DR317" s="475">
        <f t="shared" si="116"/>
        <v>0</v>
      </c>
      <c r="DS317" s="221">
        <f t="shared" si="117"/>
        <v>0</v>
      </c>
      <c r="DT317" s="480" t="str">
        <f t="shared" si="118"/>
        <v/>
      </c>
      <c r="DU317" s="452" t="str">
        <f t="shared" si="58"/>
        <v/>
      </c>
      <c r="DV317" s="233" t="str">
        <f>IF($DT317="要是正",MAX($DV$306:DV316)+1,"")</f>
        <v/>
      </c>
      <c r="DW317" s="486" t="str">
        <f t="shared" si="119"/>
        <v/>
      </c>
      <c r="DX317" s="467" t="str">
        <f t="shared" si="59"/>
        <v/>
      </c>
      <c r="DY317" s="468" t="str">
        <f t="shared" si="120"/>
        <v/>
      </c>
      <c r="DZ317" s="469" t="str">
        <f t="shared" si="121"/>
        <v/>
      </c>
      <c r="EA317" s="466" t="str">
        <f t="shared" si="60"/>
        <v/>
      </c>
      <c r="EB317" s="234" t="str">
        <f t="shared" si="61"/>
        <v/>
      </c>
      <c r="EC317" s="227" t="str">
        <f t="shared" si="62"/>
        <v>0</v>
      </c>
      <c r="ED317" s="148" t="str">
        <f t="shared" si="63"/>
        <v/>
      </c>
      <c r="EE317" s="460" t="str">
        <f t="shared" si="122"/>
        <v>0</v>
      </c>
      <c r="EF317" s="461" t="str">
        <f t="shared" si="123"/>
        <v/>
      </c>
      <c r="EG317" s="457" t="str">
        <f t="shared" si="66"/>
        <v/>
      </c>
      <c r="EH317" s="458" t="str">
        <f t="shared" si="67"/>
        <v>0</v>
      </c>
      <c r="EI317" s="459" t="str">
        <f t="shared" si="124"/>
        <v/>
      </c>
      <c r="EJ317" s="460" t="str">
        <f t="shared" si="125"/>
        <v>0</v>
      </c>
      <c r="EK317" s="461" t="str">
        <f t="shared" si="126"/>
        <v/>
      </c>
      <c r="EL317" s="464" t="e">
        <f t="shared" si="127"/>
        <v>#N/A</v>
      </c>
      <c r="EM317" s="233" t="e">
        <f t="shared" si="128"/>
        <v>#N/A</v>
      </c>
      <c r="EN317" s="454" t="e">
        <f t="shared" si="129"/>
        <v>#N/A</v>
      </c>
      <c r="EO317" s="225">
        <v>10</v>
      </c>
      <c r="EP317" s="221" t="s">
        <v>1128</v>
      </c>
      <c r="EQ317" s="221" t="s">
        <v>1090</v>
      </c>
      <c r="ER317" s="222" t="s">
        <v>1091</v>
      </c>
      <c r="ET317" s="35"/>
      <c r="EU317" s="120"/>
      <c r="EV317" s="120"/>
      <c r="EW317" s="120"/>
      <c r="EX317" s="120"/>
      <c r="EY317" s="542"/>
      <c r="EZ317" s="542"/>
      <c r="FA317" s="120"/>
      <c r="FB317" s="590"/>
      <c r="FC317" s="590"/>
      <c r="FD317" s="542"/>
      <c r="FE317" s="542"/>
      <c r="FF317" s="120"/>
      <c r="FG317" s="590"/>
      <c r="FH317" s="590"/>
      <c r="FI317" s="108"/>
      <c r="FJ317" s="108"/>
      <c r="FK317" s="597" t="str">
        <f t="shared" si="37"/>
        <v/>
      </c>
      <c r="FL317" s="597" t="str">
        <f t="shared" si="71"/>
        <v/>
      </c>
      <c r="FM317" s="597" t="str">
        <f t="shared" si="72"/>
        <v/>
      </c>
      <c r="FN317" s="597">
        <f t="shared" si="130"/>
        <v>0</v>
      </c>
      <c r="FO317" s="632" t="str">
        <f t="shared" si="39"/>
        <v/>
      </c>
      <c r="FQ317" s="234" t="str">
        <f t="shared" si="73"/>
        <v/>
      </c>
      <c r="FR317" s="227" t="str">
        <f t="shared" si="74"/>
        <v>0</v>
      </c>
      <c r="FS317" s="148" t="str">
        <f t="shared" si="131"/>
        <v/>
      </c>
      <c r="FT317" s="227" t="str">
        <f t="shared" si="132"/>
        <v>0</v>
      </c>
      <c r="FU317" s="416" t="str">
        <f t="shared" si="133"/>
        <v/>
      </c>
      <c r="FW317" s="1160">
        <f t="shared" si="134"/>
        <v>0</v>
      </c>
      <c r="FX317" s="123"/>
      <c r="FY317" s="123"/>
      <c r="FZ317" s="1161"/>
      <c r="GA317" s="34"/>
      <c r="GB317" s="123">
        <f t="shared" si="79"/>
        <v>0</v>
      </c>
      <c r="GC317" s="123">
        <f t="shared" si="80"/>
        <v>0</v>
      </c>
      <c r="GD317" s="69">
        <f t="shared" si="81"/>
        <v>0</v>
      </c>
      <c r="GE317" s="1149" t="str">
        <f t="shared" si="40"/>
        <v/>
      </c>
      <c r="GF317" s="1149" t="str">
        <f t="shared" si="41"/>
        <v/>
      </c>
      <c r="GG317" s="1149" t="str">
        <f t="shared" si="42"/>
        <v/>
      </c>
      <c r="GH317" s="1149" t="str">
        <f t="shared" si="43"/>
        <v/>
      </c>
      <c r="GI317" s="1149" t="str">
        <f t="shared" si="44"/>
        <v/>
      </c>
      <c r="GJ317" s="1149" t="str">
        <f t="shared" si="45"/>
        <v/>
      </c>
      <c r="GK317" s="1149" t="str">
        <f t="shared" si="46"/>
        <v/>
      </c>
      <c r="GL317" s="1149" t="str">
        <f t="shared" si="47"/>
        <v/>
      </c>
      <c r="GM317" s="1149" t="str">
        <f t="shared" si="48"/>
        <v/>
      </c>
      <c r="GN317" s="1149" t="str">
        <f t="shared" si="49"/>
        <v/>
      </c>
      <c r="GO317" s="1149" t="str">
        <f t="shared" si="50"/>
        <v/>
      </c>
      <c r="GP317" s="1149" t="str">
        <f t="shared" si="51"/>
        <v/>
      </c>
      <c r="GQ317" s="1149" t="str">
        <f t="shared" si="52"/>
        <v/>
      </c>
      <c r="GR317" s="1149" t="str">
        <f t="shared" si="53"/>
        <v/>
      </c>
      <c r="GS317" s="1149" t="str">
        <f t="shared" si="54"/>
        <v/>
      </c>
      <c r="GT317" s="1149">
        <f t="shared" si="82"/>
        <v>0</v>
      </c>
      <c r="GU317" s="1149">
        <f t="shared" si="83"/>
        <v>0</v>
      </c>
      <c r="GV317" s="1149">
        <f t="shared" si="84"/>
        <v>0</v>
      </c>
      <c r="GW317" s="1149" t="b">
        <f t="shared" si="85"/>
        <v>0</v>
      </c>
      <c r="GX317" s="1149" t="b">
        <f t="shared" si="86"/>
        <v>0</v>
      </c>
      <c r="GY317" s="1149" t="b">
        <f t="shared" si="87"/>
        <v>0</v>
      </c>
      <c r="GZ317" s="1149" t="str">
        <f t="shared" si="88"/>
        <v/>
      </c>
      <c r="HB317" s="1149" t="str">
        <f t="shared" si="89"/>
        <v/>
      </c>
      <c r="HC317" s="1149" t="str">
        <f t="shared" si="90"/>
        <v/>
      </c>
      <c r="HD317" s="1149" t="str">
        <f t="shared" si="91"/>
        <v/>
      </c>
      <c r="HE317" s="1149" t="str">
        <f t="shared" si="92"/>
        <v/>
      </c>
      <c r="HF317" s="1149" t="str">
        <f t="shared" si="93"/>
        <v/>
      </c>
      <c r="HG317" s="1149" t="str">
        <f t="shared" si="94"/>
        <v/>
      </c>
      <c r="HH317" s="1149" t="str">
        <f t="shared" si="95"/>
        <v/>
      </c>
      <c r="HI317" s="1149" t="str">
        <f t="shared" si="96"/>
        <v/>
      </c>
      <c r="HJ317" s="1149" t="str">
        <f t="shared" si="97"/>
        <v/>
      </c>
      <c r="HK317" s="1149" t="str">
        <f t="shared" si="98"/>
        <v/>
      </c>
      <c r="HL317" s="1149" t="str">
        <f t="shared" si="99"/>
        <v/>
      </c>
      <c r="HM317" s="1149" t="str">
        <f t="shared" si="100"/>
        <v/>
      </c>
      <c r="HN317" s="1149" t="str">
        <f t="shared" si="101"/>
        <v/>
      </c>
      <c r="HO317" s="1149" t="str">
        <f t="shared" si="102"/>
        <v/>
      </c>
      <c r="HP317" s="1149" t="str">
        <f t="shared" si="103"/>
        <v/>
      </c>
      <c r="HQ317" s="1149" t="str">
        <f t="shared" si="104"/>
        <v/>
      </c>
      <c r="HR317" s="1149" t="str">
        <f t="shared" si="105"/>
        <v/>
      </c>
      <c r="HT317" s="1149">
        <f>LEFT(M317,1)*10000+MID(M317,3,LEN(M317)-3)*100+COUNTIF($M$307:M317,M317)</f>
        <v>11101</v>
      </c>
      <c r="HU317" s="1149" t="str">
        <f t="shared" si="106"/>
        <v/>
      </c>
      <c r="HV317" s="1149" t="str">
        <f t="shared" si="107"/>
        <v/>
      </c>
      <c r="HW317" s="1149" t="str">
        <f t="shared" si="108"/>
        <v/>
      </c>
      <c r="HX317" s="1149" t="str">
        <f t="shared" si="109"/>
        <v/>
      </c>
    </row>
    <row r="318" spans="1:232" s="69" customFormat="1" ht="50.15" hidden="1" customHeight="1" thickBot="1">
      <c r="A318" s="645"/>
      <c r="B318" s="645"/>
      <c r="C318" s="645"/>
      <c r="D318" s="645"/>
      <c r="E318" s="646"/>
      <c r="F318" s="381"/>
      <c r="G318" s="381"/>
      <c r="H318" s="381"/>
      <c r="J318" s="80"/>
      <c r="K318" s="89"/>
      <c r="L318" s="89"/>
      <c r="M318" s="1963" t="s">
        <v>2563</v>
      </c>
      <c r="N318" s="1963"/>
      <c r="O318" s="1963"/>
      <c r="P318" s="2029"/>
      <c r="Q318" s="2029"/>
      <c r="R318" s="2029"/>
      <c r="S318" s="2029"/>
      <c r="T318" s="2029"/>
      <c r="U318" s="1899"/>
      <c r="V318" s="1899"/>
      <c r="W318" s="1899"/>
      <c r="X318" s="1899"/>
      <c r="Y318" s="1899"/>
      <c r="Z318" s="1899"/>
      <c r="AA318" s="1899"/>
      <c r="AB318" s="1899"/>
      <c r="AC318" s="1899"/>
      <c r="AD318" s="1899"/>
      <c r="AE318" s="2005"/>
      <c r="AF318" s="1898"/>
      <c r="AG318" s="1898"/>
      <c r="AH318" s="1898"/>
      <c r="AI318" s="1898"/>
      <c r="AJ318" s="1898"/>
      <c r="AK318" s="1898"/>
      <c r="AL318" s="1898"/>
      <c r="AM318" s="1898"/>
      <c r="AN318" s="1898"/>
      <c r="AO318" s="1898"/>
      <c r="AP318" s="1898"/>
      <c r="AQ318" s="1898"/>
      <c r="AR318" s="1910"/>
      <c r="AS318" s="1910"/>
      <c r="AT318" s="1993"/>
      <c r="AU318" s="1993"/>
      <c r="AV318" s="1993"/>
      <c r="AW318" s="1993"/>
      <c r="AX318" s="1993"/>
      <c r="AY318" s="1993"/>
      <c r="AZ318" s="1993"/>
      <c r="BA318" s="1993"/>
      <c r="BB318" s="1993"/>
      <c r="BC318" s="1993"/>
      <c r="BD318" s="1993"/>
      <c r="BE318" s="1993"/>
      <c r="BF318" s="1993"/>
      <c r="BG318" s="1993"/>
      <c r="BH318" s="1993"/>
      <c r="BI318" s="1993"/>
      <c r="BJ318" s="1993"/>
      <c r="BK318" s="1993"/>
      <c r="BL318" s="1993"/>
      <c r="BM318" s="1993"/>
      <c r="BN318" s="1993"/>
      <c r="BO318" s="1993"/>
      <c r="BP318" s="1993"/>
      <c r="BQ318" s="1993"/>
      <c r="BR318" s="1993"/>
      <c r="BS318" s="2069"/>
      <c r="BT318" s="2070"/>
      <c r="BU318" s="2071"/>
      <c r="BV318" s="1889"/>
      <c r="BW318" s="1889"/>
      <c r="BX318" s="1889"/>
      <c r="BY318" s="1889"/>
      <c r="BZ318" s="1896"/>
      <c r="CA318" s="1896"/>
      <c r="CB318" s="1886"/>
      <c r="CC318" s="1887"/>
      <c r="CD318" s="1887"/>
      <c r="CE318" s="1887"/>
      <c r="CF318" s="1887"/>
      <c r="CG318" s="1887"/>
      <c r="CH318" s="1887"/>
      <c r="CI318" s="1887"/>
      <c r="CJ318" s="1887"/>
      <c r="CK318" s="1887"/>
      <c r="CL318" s="1887"/>
      <c r="CM318" s="1887"/>
      <c r="CN318" s="1887"/>
      <c r="CO318" s="1887"/>
      <c r="CP318" s="1887"/>
      <c r="CQ318" s="1887"/>
      <c r="CR318" s="1887"/>
      <c r="CS318" s="1887"/>
      <c r="CT318" s="1887"/>
      <c r="CU318" s="1888"/>
      <c r="CV318" s="2360" t="str">
        <f t="shared" si="111"/>
        <v/>
      </c>
      <c r="CW318" s="2360"/>
      <c r="CX318" s="2360"/>
      <c r="CY318" s="2360"/>
      <c r="CZ318" s="2360"/>
      <c r="DA318" s="2360"/>
      <c r="DC318" s="600" t="str">
        <f t="shared" si="112"/>
        <v/>
      </c>
      <c r="DD318" s="381"/>
      <c r="DF318" s="34"/>
      <c r="DG318" s="34"/>
      <c r="DH318" s="34"/>
      <c r="DI318" s="34"/>
      <c r="DJ318" s="858" t="s">
        <v>5637</v>
      </c>
      <c r="DK318" s="1707" t="str">
        <f t="shared" si="56"/>
        <v/>
      </c>
      <c r="DL318" s="1692" t="str">
        <f t="shared" si="57"/>
        <v/>
      </c>
      <c r="DM318" s="1694">
        <f t="shared" si="26"/>
        <v>0</v>
      </c>
      <c r="DN318" s="476">
        <f t="shared" si="113"/>
        <v>0</v>
      </c>
      <c r="DO318" s="476">
        <f t="shared" si="114"/>
        <v>0</v>
      </c>
      <c r="DP318" s="477">
        <f t="shared" si="115"/>
        <v>0</v>
      </c>
      <c r="DQ318" s="115" t="s">
        <v>2614</v>
      </c>
      <c r="DR318" s="475">
        <f t="shared" si="116"/>
        <v>0</v>
      </c>
      <c r="DS318" s="221">
        <f t="shared" si="117"/>
        <v>0</v>
      </c>
      <c r="DT318" s="480" t="str">
        <f t="shared" si="118"/>
        <v/>
      </c>
      <c r="DU318" s="452" t="str">
        <f t="shared" si="58"/>
        <v/>
      </c>
      <c r="DV318" s="233" t="str">
        <f>IF($DT318="要是正",MAX($DV$306:DV317)+1,"")</f>
        <v/>
      </c>
      <c r="DW318" s="486" t="str">
        <f t="shared" si="119"/>
        <v/>
      </c>
      <c r="DX318" s="467" t="str">
        <f t="shared" si="59"/>
        <v/>
      </c>
      <c r="DY318" s="468" t="str">
        <f t="shared" si="120"/>
        <v/>
      </c>
      <c r="DZ318" s="469" t="str">
        <f t="shared" si="121"/>
        <v/>
      </c>
      <c r="EA318" s="466" t="str">
        <f t="shared" si="60"/>
        <v/>
      </c>
      <c r="EB318" s="234" t="str">
        <f t="shared" si="61"/>
        <v/>
      </c>
      <c r="EC318" s="227" t="str">
        <f t="shared" si="62"/>
        <v>0</v>
      </c>
      <c r="ED318" s="148" t="str">
        <f t="shared" si="63"/>
        <v/>
      </c>
      <c r="EE318" s="460" t="str">
        <f t="shared" si="122"/>
        <v>0</v>
      </c>
      <c r="EF318" s="461" t="str">
        <f t="shared" si="123"/>
        <v/>
      </c>
      <c r="EG318" s="457" t="str">
        <f t="shared" si="66"/>
        <v/>
      </c>
      <c r="EH318" s="458" t="str">
        <f t="shared" si="67"/>
        <v>0</v>
      </c>
      <c r="EI318" s="459" t="str">
        <f t="shared" si="124"/>
        <v/>
      </c>
      <c r="EJ318" s="460" t="str">
        <f t="shared" si="125"/>
        <v>0</v>
      </c>
      <c r="EK318" s="461" t="str">
        <f t="shared" si="126"/>
        <v/>
      </c>
      <c r="EL318" s="464" t="e">
        <f t="shared" si="127"/>
        <v>#N/A</v>
      </c>
      <c r="EM318" s="233" t="e">
        <f t="shared" si="128"/>
        <v>#N/A</v>
      </c>
      <c r="EN318" s="454" t="e">
        <f t="shared" si="129"/>
        <v>#N/A</v>
      </c>
      <c r="EO318" s="225">
        <v>10</v>
      </c>
      <c r="EP318" s="221" t="s">
        <v>1128</v>
      </c>
      <c r="EQ318" s="221" t="s">
        <v>1090</v>
      </c>
      <c r="ER318" s="222" t="s">
        <v>1091</v>
      </c>
      <c r="ET318" s="35"/>
      <c r="EU318" s="120"/>
      <c r="EV318" s="120"/>
      <c r="EW318" s="120"/>
      <c r="EX318" s="120"/>
      <c r="EY318" s="542"/>
      <c r="EZ318" s="542"/>
      <c r="FA318" s="120"/>
      <c r="FB318" s="590"/>
      <c r="FC318" s="590"/>
      <c r="FD318" s="542"/>
      <c r="FE318" s="542"/>
      <c r="FF318" s="120"/>
      <c r="FG318" s="590"/>
      <c r="FH318" s="590"/>
      <c r="FI318" s="108"/>
      <c r="FJ318" s="108"/>
      <c r="FK318" s="597" t="str">
        <f t="shared" si="37"/>
        <v/>
      </c>
      <c r="FL318" s="597" t="str">
        <f t="shared" si="71"/>
        <v/>
      </c>
      <c r="FM318" s="597" t="str">
        <f t="shared" si="72"/>
        <v/>
      </c>
      <c r="FN318" s="597">
        <f t="shared" si="130"/>
        <v>0</v>
      </c>
      <c r="FO318" s="632" t="str">
        <f t="shared" si="39"/>
        <v/>
      </c>
      <c r="FQ318" s="234" t="str">
        <f t="shared" si="73"/>
        <v/>
      </c>
      <c r="FR318" s="227" t="str">
        <f t="shared" si="74"/>
        <v>0</v>
      </c>
      <c r="FS318" s="148" t="str">
        <f t="shared" si="131"/>
        <v/>
      </c>
      <c r="FT318" s="227" t="str">
        <f t="shared" si="132"/>
        <v>0</v>
      </c>
      <c r="FU318" s="416" t="str">
        <f t="shared" si="133"/>
        <v/>
      </c>
      <c r="FW318" s="1160">
        <f t="shared" si="134"/>
        <v>0</v>
      </c>
      <c r="FX318" s="123"/>
      <c r="FY318" s="123"/>
      <c r="FZ318" s="1161"/>
      <c r="GA318" s="34"/>
      <c r="GB318" s="123">
        <f t="shared" si="79"/>
        <v>0</v>
      </c>
      <c r="GC318" s="123">
        <f t="shared" si="80"/>
        <v>0</v>
      </c>
      <c r="GD318" s="69">
        <f t="shared" si="81"/>
        <v>0</v>
      </c>
      <c r="GE318" s="1149" t="str">
        <f t="shared" si="40"/>
        <v/>
      </c>
      <c r="GF318" s="1149" t="str">
        <f t="shared" si="41"/>
        <v/>
      </c>
      <c r="GG318" s="1149" t="str">
        <f t="shared" si="42"/>
        <v/>
      </c>
      <c r="GH318" s="1149" t="str">
        <f t="shared" si="43"/>
        <v/>
      </c>
      <c r="GI318" s="1149" t="str">
        <f t="shared" si="44"/>
        <v/>
      </c>
      <c r="GJ318" s="1149" t="str">
        <f t="shared" si="45"/>
        <v/>
      </c>
      <c r="GK318" s="1149" t="str">
        <f t="shared" si="46"/>
        <v/>
      </c>
      <c r="GL318" s="1149" t="str">
        <f t="shared" si="47"/>
        <v/>
      </c>
      <c r="GM318" s="1149" t="str">
        <f t="shared" si="48"/>
        <v/>
      </c>
      <c r="GN318" s="1149" t="str">
        <f t="shared" si="49"/>
        <v/>
      </c>
      <c r="GO318" s="1149" t="str">
        <f t="shared" si="50"/>
        <v/>
      </c>
      <c r="GP318" s="1149" t="str">
        <f t="shared" si="51"/>
        <v/>
      </c>
      <c r="GQ318" s="1149" t="str">
        <f t="shared" si="52"/>
        <v/>
      </c>
      <c r="GR318" s="1149" t="str">
        <f t="shared" si="53"/>
        <v/>
      </c>
      <c r="GS318" s="1149" t="str">
        <f t="shared" si="54"/>
        <v/>
      </c>
      <c r="GT318" s="1149">
        <f t="shared" si="82"/>
        <v>0</v>
      </c>
      <c r="GU318" s="1149">
        <f t="shared" si="83"/>
        <v>0</v>
      </c>
      <c r="GV318" s="1149">
        <f t="shared" si="84"/>
        <v>0</v>
      </c>
      <c r="GW318" s="1149" t="b">
        <f t="shared" si="85"/>
        <v>0</v>
      </c>
      <c r="GX318" s="1149" t="b">
        <f t="shared" si="86"/>
        <v>0</v>
      </c>
      <c r="GY318" s="1149" t="b">
        <f t="shared" si="87"/>
        <v>0</v>
      </c>
      <c r="GZ318" s="1149" t="str">
        <f t="shared" si="88"/>
        <v/>
      </c>
      <c r="HB318" s="1149" t="str">
        <f t="shared" si="89"/>
        <v/>
      </c>
      <c r="HC318" s="1149" t="str">
        <f t="shared" si="90"/>
        <v/>
      </c>
      <c r="HD318" s="1149" t="str">
        <f t="shared" si="91"/>
        <v/>
      </c>
      <c r="HE318" s="1149" t="str">
        <f t="shared" si="92"/>
        <v/>
      </c>
      <c r="HF318" s="1149" t="str">
        <f t="shared" si="93"/>
        <v/>
      </c>
      <c r="HG318" s="1149" t="str">
        <f t="shared" si="94"/>
        <v/>
      </c>
      <c r="HH318" s="1149" t="str">
        <f t="shared" si="95"/>
        <v/>
      </c>
      <c r="HI318" s="1149" t="str">
        <f t="shared" si="96"/>
        <v/>
      </c>
      <c r="HJ318" s="1149" t="str">
        <f t="shared" si="97"/>
        <v/>
      </c>
      <c r="HK318" s="1149" t="str">
        <f t="shared" si="98"/>
        <v/>
      </c>
      <c r="HL318" s="1149" t="str">
        <f t="shared" si="99"/>
        <v/>
      </c>
      <c r="HM318" s="1149" t="str">
        <f t="shared" si="100"/>
        <v/>
      </c>
      <c r="HN318" s="1149" t="str">
        <f t="shared" si="101"/>
        <v/>
      </c>
      <c r="HO318" s="1149" t="str">
        <f t="shared" si="102"/>
        <v/>
      </c>
      <c r="HP318" s="1149" t="str">
        <f t="shared" si="103"/>
        <v/>
      </c>
      <c r="HQ318" s="1149" t="str">
        <f t="shared" si="104"/>
        <v/>
      </c>
      <c r="HR318" s="1149" t="str">
        <f t="shared" si="105"/>
        <v/>
      </c>
      <c r="HT318" s="1149">
        <f>LEFT(M318,1)*10000+MID(M318,3,LEN(M318)-3)*100+COUNTIF($M$307:M318,M318)</f>
        <v>11201</v>
      </c>
      <c r="HU318" s="1149" t="str">
        <f t="shared" si="106"/>
        <v/>
      </c>
      <c r="HV318" s="1149" t="str">
        <f t="shared" si="107"/>
        <v/>
      </c>
      <c r="HW318" s="1149" t="str">
        <f t="shared" si="108"/>
        <v/>
      </c>
      <c r="HX318" s="1149" t="str">
        <f t="shared" si="109"/>
        <v/>
      </c>
    </row>
    <row r="319" spans="1:232" s="69" customFormat="1" ht="50.15" hidden="1" customHeight="1" thickBot="1">
      <c r="A319" s="645"/>
      <c r="B319" s="645"/>
      <c r="C319" s="645"/>
      <c r="D319" s="645"/>
      <c r="E319" s="646"/>
      <c r="F319" s="381"/>
      <c r="G319" s="381"/>
      <c r="H319" s="381"/>
      <c r="J319" s="80"/>
      <c r="K319" s="89"/>
      <c r="L319" s="89"/>
      <c r="M319" s="1963" t="s">
        <v>2564</v>
      </c>
      <c r="N319" s="1963"/>
      <c r="O319" s="1963"/>
      <c r="P319" s="2029"/>
      <c r="Q319" s="2029"/>
      <c r="R319" s="2029"/>
      <c r="S319" s="2029"/>
      <c r="T319" s="2029"/>
      <c r="U319" s="1899"/>
      <c r="V319" s="1899"/>
      <c r="W319" s="1899"/>
      <c r="X319" s="1899"/>
      <c r="Y319" s="1899"/>
      <c r="Z319" s="1899"/>
      <c r="AA319" s="1899"/>
      <c r="AB319" s="1899"/>
      <c r="AC319" s="1899"/>
      <c r="AD319" s="1899"/>
      <c r="AE319" s="2005"/>
      <c r="AF319" s="1898"/>
      <c r="AG319" s="1898"/>
      <c r="AH319" s="1898"/>
      <c r="AI319" s="1898"/>
      <c r="AJ319" s="1898"/>
      <c r="AK319" s="1898"/>
      <c r="AL319" s="1898"/>
      <c r="AM319" s="1898"/>
      <c r="AN319" s="1898"/>
      <c r="AO319" s="1898"/>
      <c r="AP319" s="1898"/>
      <c r="AQ319" s="1898"/>
      <c r="AR319" s="1910"/>
      <c r="AS319" s="1910"/>
      <c r="AT319" s="1993"/>
      <c r="AU319" s="1993"/>
      <c r="AV319" s="1993"/>
      <c r="AW319" s="1993"/>
      <c r="AX319" s="1993"/>
      <c r="AY319" s="1993"/>
      <c r="AZ319" s="1993"/>
      <c r="BA319" s="1993"/>
      <c r="BB319" s="1993"/>
      <c r="BC319" s="1993"/>
      <c r="BD319" s="1993"/>
      <c r="BE319" s="1993"/>
      <c r="BF319" s="1993"/>
      <c r="BG319" s="1993"/>
      <c r="BH319" s="1993"/>
      <c r="BI319" s="1993"/>
      <c r="BJ319" s="1993"/>
      <c r="BK319" s="1993"/>
      <c r="BL319" s="1993"/>
      <c r="BM319" s="1993"/>
      <c r="BN319" s="1993"/>
      <c r="BO319" s="1993"/>
      <c r="BP319" s="1993"/>
      <c r="BQ319" s="1993"/>
      <c r="BR319" s="1993"/>
      <c r="BS319" s="2069"/>
      <c r="BT319" s="2070"/>
      <c r="BU319" s="2071"/>
      <c r="BV319" s="1889"/>
      <c r="BW319" s="1889"/>
      <c r="BX319" s="1889"/>
      <c r="BY319" s="1889"/>
      <c r="BZ319" s="1896"/>
      <c r="CA319" s="1896"/>
      <c r="CB319" s="1886"/>
      <c r="CC319" s="1887"/>
      <c r="CD319" s="1887"/>
      <c r="CE319" s="1887"/>
      <c r="CF319" s="1887"/>
      <c r="CG319" s="1887"/>
      <c r="CH319" s="1887"/>
      <c r="CI319" s="1887"/>
      <c r="CJ319" s="1887"/>
      <c r="CK319" s="1887"/>
      <c r="CL319" s="1887"/>
      <c r="CM319" s="1887"/>
      <c r="CN319" s="1887"/>
      <c r="CO319" s="1887"/>
      <c r="CP319" s="1887"/>
      <c r="CQ319" s="1887"/>
      <c r="CR319" s="1887"/>
      <c r="CS319" s="1887"/>
      <c r="CT319" s="1887"/>
      <c r="CU319" s="1888"/>
      <c r="CV319" s="2360" t="str">
        <f t="shared" si="111"/>
        <v/>
      </c>
      <c r="CW319" s="2360"/>
      <c r="CX319" s="2360"/>
      <c r="CY319" s="2360"/>
      <c r="CZ319" s="2360"/>
      <c r="DA319" s="2360"/>
      <c r="DC319" s="600" t="str">
        <f t="shared" si="112"/>
        <v/>
      </c>
      <c r="DD319" s="381"/>
      <c r="DF319" s="34"/>
      <c r="DG319" s="34"/>
      <c r="DH319" s="34"/>
      <c r="DI319" s="34"/>
      <c r="DJ319" s="858" t="s">
        <v>5637</v>
      </c>
      <c r="DK319" s="1707" t="str">
        <f t="shared" si="56"/>
        <v/>
      </c>
      <c r="DL319" s="1692" t="str">
        <f t="shared" si="57"/>
        <v/>
      </c>
      <c r="DM319" s="1694">
        <f t="shared" si="26"/>
        <v>0</v>
      </c>
      <c r="DN319" s="476">
        <f t="shared" si="113"/>
        <v>0</v>
      </c>
      <c r="DO319" s="476">
        <f t="shared" si="114"/>
        <v>0</v>
      </c>
      <c r="DP319" s="477">
        <f t="shared" si="115"/>
        <v>0</v>
      </c>
      <c r="DQ319" s="115" t="s">
        <v>2615</v>
      </c>
      <c r="DR319" s="475">
        <f t="shared" si="116"/>
        <v>0</v>
      </c>
      <c r="DS319" s="221">
        <f t="shared" si="117"/>
        <v>0</v>
      </c>
      <c r="DT319" s="480" t="str">
        <f t="shared" si="118"/>
        <v/>
      </c>
      <c r="DU319" s="452" t="str">
        <f t="shared" si="58"/>
        <v/>
      </c>
      <c r="DV319" s="233" t="str">
        <f>IF($DT319="要是正",MAX($DV$306:DV318)+1,"")</f>
        <v/>
      </c>
      <c r="DW319" s="486" t="str">
        <f t="shared" si="119"/>
        <v/>
      </c>
      <c r="DX319" s="467" t="str">
        <f t="shared" si="59"/>
        <v/>
      </c>
      <c r="DY319" s="468" t="str">
        <f t="shared" si="120"/>
        <v/>
      </c>
      <c r="DZ319" s="469" t="str">
        <f t="shared" si="121"/>
        <v/>
      </c>
      <c r="EA319" s="466" t="str">
        <f t="shared" si="60"/>
        <v/>
      </c>
      <c r="EB319" s="234" t="str">
        <f t="shared" si="61"/>
        <v/>
      </c>
      <c r="EC319" s="227" t="str">
        <f t="shared" si="62"/>
        <v>0</v>
      </c>
      <c r="ED319" s="148" t="str">
        <f t="shared" si="63"/>
        <v/>
      </c>
      <c r="EE319" s="460" t="str">
        <f t="shared" si="122"/>
        <v>0</v>
      </c>
      <c r="EF319" s="461" t="str">
        <f t="shared" si="123"/>
        <v/>
      </c>
      <c r="EG319" s="457" t="str">
        <f t="shared" si="66"/>
        <v/>
      </c>
      <c r="EH319" s="458" t="str">
        <f t="shared" si="67"/>
        <v>0</v>
      </c>
      <c r="EI319" s="459" t="str">
        <f t="shared" si="124"/>
        <v/>
      </c>
      <c r="EJ319" s="460" t="str">
        <f t="shared" si="125"/>
        <v>0</v>
      </c>
      <c r="EK319" s="461" t="str">
        <f t="shared" si="126"/>
        <v/>
      </c>
      <c r="EL319" s="464" t="e">
        <f t="shared" si="127"/>
        <v>#N/A</v>
      </c>
      <c r="EM319" s="233" t="e">
        <f t="shared" si="128"/>
        <v>#N/A</v>
      </c>
      <c r="EN319" s="454" t="e">
        <f t="shared" si="129"/>
        <v>#N/A</v>
      </c>
      <c r="EO319" s="225">
        <v>10</v>
      </c>
      <c r="EP319" s="221" t="s">
        <v>1128</v>
      </c>
      <c r="EQ319" s="221" t="s">
        <v>1090</v>
      </c>
      <c r="ER319" s="222" t="s">
        <v>1091</v>
      </c>
      <c r="ET319" s="35"/>
      <c r="EU319" s="120"/>
      <c r="EV319" s="120"/>
      <c r="EW319" s="120"/>
      <c r="EX319" s="120"/>
      <c r="EY319" s="542"/>
      <c r="EZ319" s="542"/>
      <c r="FA319" s="120"/>
      <c r="FB319" s="590"/>
      <c r="FC319" s="590"/>
      <c r="FD319" s="542"/>
      <c r="FE319" s="542"/>
      <c r="FF319" s="120"/>
      <c r="FG319" s="590"/>
      <c r="FH319" s="590"/>
      <c r="FI319" s="108"/>
      <c r="FJ319" s="108"/>
      <c r="FK319" s="597" t="str">
        <f t="shared" si="37"/>
        <v/>
      </c>
      <c r="FL319" s="597" t="str">
        <f t="shared" si="71"/>
        <v/>
      </c>
      <c r="FM319" s="597" t="str">
        <f t="shared" si="72"/>
        <v/>
      </c>
      <c r="FN319" s="597">
        <f t="shared" si="130"/>
        <v>0</v>
      </c>
      <c r="FO319" s="632" t="str">
        <f t="shared" si="39"/>
        <v/>
      </c>
      <c r="FQ319" s="234" t="str">
        <f t="shared" si="73"/>
        <v/>
      </c>
      <c r="FR319" s="227" t="str">
        <f t="shared" si="74"/>
        <v>0</v>
      </c>
      <c r="FS319" s="148" t="str">
        <f t="shared" si="131"/>
        <v/>
      </c>
      <c r="FT319" s="227" t="str">
        <f t="shared" si="132"/>
        <v>0</v>
      </c>
      <c r="FU319" s="416" t="str">
        <f t="shared" si="133"/>
        <v/>
      </c>
      <c r="FW319" s="1160">
        <f t="shared" si="134"/>
        <v>0</v>
      </c>
      <c r="FX319" s="123"/>
      <c r="FY319" s="123"/>
      <c r="FZ319" s="1161"/>
      <c r="GA319" s="34"/>
      <c r="GB319" s="123">
        <f t="shared" si="79"/>
        <v>0</v>
      </c>
      <c r="GC319" s="123">
        <f t="shared" si="80"/>
        <v>0</v>
      </c>
      <c r="GD319" s="69">
        <f t="shared" si="81"/>
        <v>0</v>
      </c>
      <c r="GE319" s="1149" t="str">
        <f t="shared" si="40"/>
        <v/>
      </c>
      <c r="GF319" s="1149" t="str">
        <f t="shared" si="41"/>
        <v/>
      </c>
      <c r="GG319" s="1149" t="str">
        <f t="shared" si="42"/>
        <v/>
      </c>
      <c r="GH319" s="1149" t="str">
        <f t="shared" si="43"/>
        <v/>
      </c>
      <c r="GI319" s="1149" t="str">
        <f t="shared" si="44"/>
        <v/>
      </c>
      <c r="GJ319" s="1149" t="str">
        <f t="shared" si="45"/>
        <v/>
      </c>
      <c r="GK319" s="1149" t="str">
        <f t="shared" si="46"/>
        <v/>
      </c>
      <c r="GL319" s="1149" t="str">
        <f t="shared" si="47"/>
        <v/>
      </c>
      <c r="GM319" s="1149" t="str">
        <f t="shared" si="48"/>
        <v/>
      </c>
      <c r="GN319" s="1149" t="str">
        <f t="shared" si="49"/>
        <v/>
      </c>
      <c r="GO319" s="1149" t="str">
        <f t="shared" si="50"/>
        <v/>
      </c>
      <c r="GP319" s="1149" t="str">
        <f t="shared" si="51"/>
        <v/>
      </c>
      <c r="GQ319" s="1149" t="str">
        <f t="shared" si="52"/>
        <v/>
      </c>
      <c r="GR319" s="1149" t="str">
        <f t="shared" si="53"/>
        <v/>
      </c>
      <c r="GS319" s="1149" t="str">
        <f t="shared" si="54"/>
        <v/>
      </c>
      <c r="GT319" s="1149">
        <f t="shared" si="82"/>
        <v>0</v>
      </c>
      <c r="GU319" s="1149">
        <f t="shared" si="83"/>
        <v>0</v>
      </c>
      <c r="GV319" s="1149">
        <f t="shared" si="84"/>
        <v>0</v>
      </c>
      <c r="GW319" s="1149" t="b">
        <f t="shared" si="85"/>
        <v>0</v>
      </c>
      <c r="GX319" s="1149" t="b">
        <f t="shared" si="86"/>
        <v>0</v>
      </c>
      <c r="GY319" s="1149" t="b">
        <f t="shared" si="87"/>
        <v>0</v>
      </c>
      <c r="GZ319" s="1149" t="str">
        <f t="shared" si="88"/>
        <v/>
      </c>
      <c r="HB319" s="1149" t="str">
        <f t="shared" si="89"/>
        <v/>
      </c>
      <c r="HC319" s="1149" t="str">
        <f t="shared" si="90"/>
        <v/>
      </c>
      <c r="HD319" s="1149" t="str">
        <f t="shared" si="91"/>
        <v/>
      </c>
      <c r="HE319" s="1149" t="str">
        <f t="shared" si="92"/>
        <v/>
      </c>
      <c r="HF319" s="1149" t="str">
        <f t="shared" si="93"/>
        <v/>
      </c>
      <c r="HG319" s="1149" t="str">
        <f t="shared" si="94"/>
        <v/>
      </c>
      <c r="HH319" s="1149" t="str">
        <f t="shared" si="95"/>
        <v/>
      </c>
      <c r="HI319" s="1149" t="str">
        <f t="shared" si="96"/>
        <v/>
      </c>
      <c r="HJ319" s="1149" t="str">
        <f t="shared" si="97"/>
        <v/>
      </c>
      <c r="HK319" s="1149" t="str">
        <f t="shared" si="98"/>
        <v/>
      </c>
      <c r="HL319" s="1149" t="str">
        <f t="shared" si="99"/>
        <v/>
      </c>
      <c r="HM319" s="1149" t="str">
        <f t="shared" si="100"/>
        <v/>
      </c>
      <c r="HN319" s="1149" t="str">
        <f t="shared" si="101"/>
        <v/>
      </c>
      <c r="HO319" s="1149" t="str">
        <f t="shared" si="102"/>
        <v/>
      </c>
      <c r="HP319" s="1149" t="str">
        <f t="shared" si="103"/>
        <v/>
      </c>
      <c r="HQ319" s="1149" t="str">
        <f t="shared" si="104"/>
        <v/>
      </c>
      <c r="HR319" s="1149" t="str">
        <f t="shared" si="105"/>
        <v/>
      </c>
      <c r="HT319" s="1149">
        <f>LEFT(M319,1)*10000+MID(M319,3,LEN(M319)-3)*100+COUNTIF($M$307:M319,M319)</f>
        <v>11301</v>
      </c>
      <c r="HU319" s="1149" t="str">
        <f t="shared" si="106"/>
        <v/>
      </c>
      <c r="HV319" s="1149" t="str">
        <f t="shared" si="107"/>
        <v/>
      </c>
      <c r="HW319" s="1149" t="str">
        <f t="shared" si="108"/>
        <v/>
      </c>
      <c r="HX319" s="1149" t="str">
        <f t="shared" si="109"/>
        <v/>
      </c>
    </row>
    <row r="320" spans="1:232" s="69" customFormat="1" ht="50.15" hidden="1" customHeight="1" thickBot="1">
      <c r="A320" s="645"/>
      <c r="B320" s="645"/>
      <c r="C320" s="645"/>
      <c r="D320" s="645"/>
      <c r="E320" s="646"/>
      <c r="F320" s="381"/>
      <c r="G320" s="381"/>
      <c r="H320" s="381"/>
      <c r="J320" s="80"/>
      <c r="K320" s="89"/>
      <c r="L320" s="89"/>
      <c r="M320" s="1963" t="s">
        <v>2565</v>
      </c>
      <c r="N320" s="1963"/>
      <c r="O320" s="1963"/>
      <c r="P320" s="2028"/>
      <c r="Q320" s="2028"/>
      <c r="R320" s="2028"/>
      <c r="S320" s="2028"/>
      <c r="T320" s="2028"/>
      <c r="U320" s="2029"/>
      <c r="V320" s="2029"/>
      <c r="W320" s="2029"/>
      <c r="X320" s="2029"/>
      <c r="Y320" s="2029"/>
      <c r="Z320" s="2029"/>
      <c r="AA320" s="2029"/>
      <c r="AB320" s="2029"/>
      <c r="AC320" s="2029"/>
      <c r="AD320" s="2029"/>
      <c r="AE320" s="2029"/>
      <c r="AF320" s="2068"/>
      <c r="AG320" s="2068"/>
      <c r="AH320" s="2068"/>
      <c r="AI320" s="2068"/>
      <c r="AJ320" s="2068"/>
      <c r="AK320" s="2068"/>
      <c r="AL320" s="2068"/>
      <c r="AM320" s="2068"/>
      <c r="AN320" s="2068"/>
      <c r="AO320" s="2068"/>
      <c r="AP320" s="2068"/>
      <c r="AQ320" s="2068"/>
      <c r="AR320" s="2110"/>
      <c r="AS320" s="2110"/>
      <c r="AT320" s="1999"/>
      <c r="AU320" s="1999"/>
      <c r="AV320" s="1999"/>
      <c r="AW320" s="1999"/>
      <c r="AX320" s="1999"/>
      <c r="AY320" s="1999"/>
      <c r="AZ320" s="1999"/>
      <c r="BA320" s="1999"/>
      <c r="BB320" s="1999"/>
      <c r="BC320" s="1999"/>
      <c r="BD320" s="1999"/>
      <c r="BE320" s="1999"/>
      <c r="BF320" s="1999"/>
      <c r="BG320" s="1999"/>
      <c r="BH320" s="1999"/>
      <c r="BI320" s="1999"/>
      <c r="BJ320" s="1999"/>
      <c r="BK320" s="1999"/>
      <c r="BL320" s="1999"/>
      <c r="BM320" s="1999"/>
      <c r="BN320" s="1999"/>
      <c r="BO320" s="1999"/>
      <c r="BP320" s="1999"/>
      <c r="BQ320" s="1999"/>
      <c r="BR320" s="1999"/>
      <c r="BS320" s="2390"/>
      <c r="BT320" s="2391"/>
      <c r="BU320" s="2392"/>
      <c r="BV320" s="2089"/>
      <c r="BW320" s="2089"/>
      <c r="BX320" s="2089"/>
      <c r="BY320" s="1923"/>
      <c r="BZ320" s="1924"/>
      <c r="CA320" s="1924"/>
      <c r="CB320" s="2370"/>
      <c r="CC320" s="2371"/>
      <c r="CD320" s="2371"/>
      <c r="CE320" s="2371"/>
      <c r="CF320" s="2371"/>
      <c r="CG320" s="2371"/>
      <c r="CH320" s="2371"/>
      <c r="CI320" s="2371"/>
      <c r="CJ320" s="2371"/>
      <c r="CK320" s="2371"/>
      <c r="CL320" s="2371"/>
      <c r="CM320" s="2371"/>
      <c r="CN320" s="2371"/>
      <c r="CO320" s="2371"/>
      <c r="CP320" s="2371"/>
      <c r="CQ320" s="2371"/>
      <c r="CR320" s="2371"/>
      <c r="CS320" s="2371"/>
      <c r="CT320" s="2371"/>
      <c r="CU320" s="2372"/>
      <c r="CV320" s="2360" t="str">
        <f t="shared" si="111"/>
        <v/>
      </c>
      <c r="CW320" s="2360"/>
      <c r="CX320" s="2360"/>
      <c r="CY320" s="2360"/>
      <c r="CZ320" s="2360"/>
      <c r="DA320" s="2360"/>
      <c r="DC320" s="600" t="str">
        <f t="shared" si="112"/>
        <v/>
      </c>
      <c r="DD320" s="381"/>
      <c r="DF320" s="34"/>
      <c r="DG320" s="34"/>
      <c r="DH320" s="34"/>
      <c r="DI320" s="34"/>
      <c r="DJ320" s="1699" t="s">
        <v>5637</v>
      </c>
      <c r="DK320" s="1708" t="str">
        <f t="shared" si="56"/>
        <v/>
      </c>
      <c r="DL320" s="1700" t="str">
        <f t="shared" si="57"/>
        <v/>
      </c>
      <c r="DM320" s="1694">
        <f t="shared" si="26"/>
        <v>0</v>
      </c>
      <c r="DN320" s="476">
        <f t="shared" si="113"/>
        <v>0</v>
      </c>
      <c r="DO320" s="476">
        <f t="shared" si="114"/>
        <v>0</v>
      </c>
      <c r="DP320" s="477">
        <f t="shared" si="115"/>
        <v>0</v>
      </c>
      <c r="DQ320" s="115" t="s">
        <v>2616</v>
      </c>
      <c r="DR320" s="475">
        <f t="shared" si="116"/>
        <v>0</v>
      </c>
      <c r="DS320" s="221">
        <f t="shared" si="117"/>
        <v>0</v>
      </c>
      <c r="DT320" s="480" t="str">
        <f t="shared" si="118"/>
        <v/>
      </c>
      <c r="DU320" s="452" t="str">
        <f t="shared" si="58"/>
        <v/>
      </c>
      <c r="DV320" s="233" t="str">
        <f>IF($DT320="要是正",MAX($DV$306:DV319)+1,"")</f>
        <v/>
      </c>
      <c r="DW320" s="486" t="str">
        <f t="shared" si="119"/>
        <v/>
      </c>
      <c r="DX320" s="467" t="str">
        <f t="shared" si="59"/>
        <v/>
      </c>
      <c r="DY320" s="468" t="str">
        <f t="shared" si="120"/>
        <v/>
      </c>
      <c r="DZ320" s="469" t="str">
        <f t="shared" si="121"/>
        <v/>
      </c>
      <c r="EA320" s="466" t="str">
        <f t="shared" si="60"/>
        <v/>
      </c>
      <c r="EB320" s="234" t="str">
        <f t="shared" si="61"/>
        <v/>
      </c>
      <c r="EC320" s="227" t="str">
        <f t="shared" si="62"/>
        <v>0</v>
      </c>
      <c r="ED320" s="148" t="str">
        <f t="shared" si="63"/>
        <v/>
      </c>
      <c r="EE320" s="460" t="str">
        <f t="shared" si="122"/>
        <v>0</v>
      </c>
      <c r="EF320" s="461" t="str">
        <f t="shared" si="123"/>
        <v/>
      </c>
      <c r="EG320" s="457" t="str">
        <f t="shared" si="66"/>
        <v/>
      </c>
      <c r="EH320" s="458" t="str">
        <f t="shared" si="67"/>
        <v>0</v>
      </c>
      <c r="EI320" s="459" t="str">
        <f t="shared" si="124"/>
        <v/>
      </c>
      <c r="EJ320" s="460" t="str">
        <f t="shared" si="125"/>
        <v>0</v>
      </c>
      <c r="EK320" s="461" t="str">
        <f t="shared" si="126"/>
        <v/>
      </c>
      <c r="EL320" s="464" t="e">
        <f t="shared" si="127"/>
        <v>#N/A</v>
      </c>
      <c r="EM320" s="233" t="e">
        <f t="shared" si="128"/>
        <v>#N/A</v>
      </c>
      <c r="EN320" s="454" t="e">
        <f t="shared" si="129"/>
        <v>#N/A</v>
      </c>
      <c r="EO320" s="225">
        <v>10</v>
      </c>
      <c r="EP320" s="221" t="s">
        <v>1128</v>
      </c>
      <c r="EQ320" s="221" t="s">
        <v>1090</v>
      </c>
      <c r="ER320" s="222" t="s">
        <v>1091</v>
      </c>
      <c r="ET320" s="35"/>
      <c r="EU320" s="120"/>
      <c r="EV320" s="120"/>
      <c r="EW320" s="120"/>
      <c r="EX320" s="120"/>
      <c r="EY320" s="542"/>
      <c r="EZ320" s="542"/>
      <c r="FA320" s="120"/>
      <c r="FB320" s="590"/>
      <c r="FC320" s="590"/>
      <c r="FD320" s="542"/>
      <c r="FE320" s="542"/>
      <c r="FF320" s="120"/>
      <c r="FG320" s="590"/>
      <c r="FH320" s="590"/>
      <c r="FI320" s="108"/>
      <c r="FJ320" s="108"/>
      <c r="FK320" s="597" t="str">
        <f t="shared" si="37"/>
        <v/>
      </c>
      <c r="FL320" s="597" t="str">
        <f t="shared" si="71"/>
        <v/>
      </c>
      <c r="FM320" s="597" t="str">
        <f t="shared" si="72"/>
        <v/>
      </c>
      <c r="FN320" s="597">
        <f t="shared" si="130"/>
        <v>0</v>
      </c>
      <c r="FO320" s="632" t="str">
        <f t="shared" si="39"/>
        <v/>
      </c>
      <c r="FQ320" s="234" t="str">
        <f t="shared" si="73"/>
        <v/>
      </c>
      <c r="FR320" s="227" t="str">
        <f t="shared" si="74"/>
        <v>0</v>
      </c>
      <c r="FS320" s="148" t="str">
        <f t="shared" si="131"/>
        <v/>
      </c>
      <c r="FT320" s="227" t="str">
        <f t="shared" si="132"/>
        <v>0</v>
      </c>
      <c r="FU320" s="416" t="str">
        <f t="shared" si="133"/>
        <v/>
      </c>
      <c r="FW320" s="1160">
        <f t="shared" si="134"/>
        <v>0</v>
      </c>
      <c r="FX320" s="123"/>
      <c r="FY320" s="123"/>
      <c r="FZ320" s="1161"/>
      <c r="GA320" s="34"/>
      <c r="GB320" s="123">
        <f t="shared" si="79"/>
        <v>0</v>
      </c>
      <c r="GC320" s="123">
        <f t="shared" si="80"/>
        <v>0</v>
      </c>
      <c r="GD320" s="69">
        <f t="shared" si="81"/>
        <v>0</v>
      </c>
      <c r="GE320" s="1149" t="str">
        <f t="shared" si="40"/>
        <v/>
      </c>
      <c r="GF320" s="1149" t="str">
        <f t="shared" si="41"/>
        <v/>
      </c>
      <c r="GG320" s="1149" t="str">
        <f t="shared" si="42"/>
        <v/>
      </c>
      <c r="GH320" s="1149" t="str">
        <f t="shared" si="43"/>
        <v/>
      </c>
      <c r="GI320" s="1149" t="str">
        <f t="shared" si="44"/>
        <v/>
      </c>
      <c r="GJ320" s="1149" t="str">
        <f t="shared" si="45"/>
        <v/>
      </c>
      <c r="GK320" s="1149" t="str">
        <f t="shared" si="46"/>
        <v/>
      </c>
      <c r="GL320" s="1149" t="str">
        <f t="shared" si="47"/>
        <v/>
      </c>
      <c r="GM320" s="1149" t="str">
        <f t="shared" si="48"/>
        <v/>
      </c>
      <c r="GN320" s="1149" t="str">
        <f t="shared" si="49"/>
        <v/>
      </c>
      <c r="GO320" s="1149" t="str">
        <f t="shared" si="50"/>
        <v/>
      </c>
      <c r="GP320" s="1149" t="str">
        <f t="shared" si="51"/>
        <v/>
      </c>
      <c r="GQ320" s="1149" t="str">
        <f t="shared" si="52"/>
        <v/>
      </c>
      <c r="GR320" s="1149" t="str">
        <f t="shared" si="53"/>
        <v/>
      </c>
      <c r="GS320" s="1149" t="str">
        <f t="shared" si="54"/>
        <v/>
      </c>
      <c r="GT320" s="1149">
        <f t="shared" si="82"/>
        <v>0</v>
      </c>
      <c r="GU320" s="1149">
        <f t="shared" si="83"/>
        <v>0</v>
      </c>
      <c r="GV320" s="1149">
        <f t="shared" si="84"/>
        <v>0</v>
      </c>
      <c r="GW320" s="1149" t="b">
        <f t="shared" si="85"/>
        <v>0</v>
      </c>
      <c r="GX320" s="1149" t="b">
        <f t="shared" si="86"/>
        <v>0</v>
      </c>
      <c r="GY320" s="1149" t="b">
        <f t="shared" si="87"/>
        <v>0</v>
      </c>
      <c r="GZ320" s="1149" t="str">
        <f t="shared" si="88"/>
        <v/>
      </c>
      <c r="HB320" s="1149" t="str">
        <f t="shared" si="89"/>
        <v/>
      </c>
      <c r="HC320" s="1149" t="str">
        <f t="shared" si="90"/>
        <v/>
      </c>
      <c r="HD320" s="1149" t="str">
        <f t="shared" si="91"/>
        <v/>
      </c>
      <c r="HE320" s="1149" t="str">
        <f t="shared" si="92"/>
        <v/>
      </c>
      <c r="HF320" s="1149" t="str">
        <f t="shared" si="93"/>
        <v/>
      </c>
      <c r="HG320" s="1149" t="str">
        <f t="shared" si="94"/>
        <v/>
      </c>
      <c r="HH320" s="1149" t="str">
        <f t="shared" si="95"/>
        <v/>
      </c>
      <c r="HI320" s="1149" t="str">
        <f t="shared" si="96"/>
        <v/>
      </c>
      <c r="HJ320" s="1149" t="str">
        <f t="shared" si="97"/>
        <v/>
      </c>
      <c r="HK320" s="1149" t="str">
        <f t="shared" si="98"/>
        <v/>
      </c>
      <c r="HL320" s="1149" t="str">
        <f t="shared" si="99"/>
        <v/>
      </c>
      <c r="HM320" s="1149" t="str">
        <f t="shared" si="100"/>
        <v/>
      </c>
      <c r="HN320" s="1149" t="str">
        <f t="shared" si="101"/>
        <v/>
      </c>
      <c r="HO320" s="1149" t="str">
        <f t="shared" si="102"/>
        <v/>
      </c>
      <c r="HP320" s="1149" t="str">
        <f t="shared" si="103"/>
        <v/>
      </c>
      <c r="HQ320" s="1149" t="str">
        <f t="shared" si="104"/>
        <v/>
      </c>
      <c r="HR320" s="1149" t="str">
        <f t="shared" si="105"/>
        <v/>
      </c>
      <c r="HT320" s="1149">
        <f>LEFT(M320,1)*10000+MID(M320,3,LEN(M320)-3)*100+COUNTIF($M$307:M320,M320)</f>
        <v>11401</v>
      </c>
      <c r="HU320" s="1149" t="str">
        <f t="shared" si="106"/>
        <v/>
      </c>
      <c r="HV320" s="1149" t="str">
        <f t="shared" si="107"/>
        <v/>
      </c>
      <c r="HW320" s="1149" t="str">
        <f t="shared" si="108"/>
        <v/>
      </c>
      <c r="HX320" s="1149" t="str">
        <f t="shared" si="109"/>
        <v/>
      </c>
    </row>
    <row r="321" spans="1:232" ht="15" customHeight="1" thickBot="1">
      <c r="A321" s="645"/>
      <c r="B321" s="645"/>
      <c r="C321" s="645"/>
      <c r="D321" s="645"/>
      <c r="E321" s="646"/>
      <c r="J321" s="282"/>
      <c r="K321" s="300"/>
      <c r="L321" s="300"/>
      <c r="M321" s="556"/>
      <c r="N321" s="556"/>
      <c r="O321" s="556"/>
      <c r="P321" s="556"/>
      <c r="Q321" s="556"/>
      <c r="R321" s="556"/>
      <c r="S321" s="556"/>
      <c r="T321" s="556"/>
      <c r="U321" s="556"/>
      <c r="V321" s="556"/>
      <c r="W321" s="556"/>
      <c r="X321" s="556"/>
      <c r="Y321" s="556"/>
      <c r="Z321" s="556"/>
      <c r="AA321" s="556"/>
      <c r="AB321" s="556"/>
      <c r="AC321" s="556"/>
      <c r="AD321" s="556"/>
      <c r="AE321" s="92"/>
      <c r="AF321" s="92"/>
      <c r="AG321" s="92"/>
      <c r="AH321" s="92"/>
      <c r="AI321" s="92"/>
      <c r="AJ321" s="92"/>
      <c r="AK321" s="92"/>
      <c r="AL321" s="92"/>
      <c r="AM321" s="92"/>
      <c r="AN321" s="92"/>
      <c r="AO321" s="92"/>
      <c r="AP321" s="92"/>
      <c r="AQ321" s="92"/>
      <c r="AR321" s="557"/>
      <c r="AS321" s="557"/>
      <c r="AT321" s="92"/>
      <c r="AU321" s="92"/>
      <c r="AV321" s="92"/>
      <c r="AW321" s="92"/>
      <c r="AX321" s="92"/>
      <c r="AY321" s="92"/>
      <c r="AZ321" s="92"/>
      <c r="BA321" s="92"/>
      <c r="BB321" s="92"/>
      <c r="BC321" s="92"/>
      <c r="BD321" s="92"/>
      <c r="BE321" s="92"/>
      <c r="BF321" s="92"/>
      <c r="BG321" s="92"/>
      <c r="BH321" s="92"/>
      <c r="BI321" s="92"/>
      <c r="BJ321" s="92"/>
      <c r="BK321" s="92"/>
      <c r="BL321" s="92"/>
      <c r="BM321" s="92"/>
      <c r="BN321" s="92"/>
      <c r="BO321" s="92"/>
      <c r="BP321" s="92"/>
      <c r="BQ321" s="92"/>
      <c r="BR321" s="92"/>
      <c r="BS321" s="557"/>
      <c r="BT321" s="557"/>
      <c r="BU321" s="745"/>
      <c r="BV321" s="745"/>
      <c r="BW321" s="745"/>
      <c r="BX321" s="745"/>
      <c r="BY321" s="746"/>
      <c r="BZ321" s="746"/>
      <c r="CA321" s="746"/>
      <c r="CB321" s="746"/>
      <c r="CC321" s="746"/>
      <c r="CD321" s="746"/>
      <c r="CE321" s="746"/>
      <c r="CF321" s="746"/>
      <c r="CG321" s="746"/>
      <c r="CH321" s="746"/>
      <c r="CI321" s="746"/>
      <c r="CJ321" s="746"/>
      <c r="CK321" s="746"/>
      <c r="CL321" s="746"/>
      <c r="CM321" s="746"/>
      <c r="CN321" s="746"/>
      <c r="CO321" s="746"/>
      <c r="CP321" s="746"/>
      <c r="CQ321" s="746"/>
      <c r="CR321" s="746"/>
      <c r="CS321" s="746"/>
      <c r="CT321" s="746"/>
      <c r="CU321" s="747"/>
      <c r="CV321" s="2360"/>
      <c r="CW321" s="2360"/>
      <c r="CX321" s="2360"/>
      <c r="CY321" s="2360"/>
      <c r="CZ321" s="2360"/>
      <c r="DA321" s="2360"/>
      <c r="DD321" s="381"/>
      <c r="DE321" s="36"/>
      <c r="DF321" s="36"/>
      <c r="DG321" s="36"/>
      <c r="DH321" s="36"/>
      <c r="DI321" s="36"/>
      <c r="DJ321" s="641"/>
      <c r="DK321" s="1709"/>
      <c r="DL321" s="1685"/>
      <c r="DM321" s="193">
        <f>SUM(DM307:DM320)</f>
        <v>0</v>
      </c>
      <c r="DN321" s="193">
        <f>SUM(DN307:DN320)</f>
        <v>0</v>
      </c>
      <c r="DO321" s="193">
        <f>SUM(DO307:DO320)</f>
        <v>0</v>
      </c>
      <c r="DP321" s="193">
        <f>SUM(DP307:DP320)</f>
        <v>0</v>
      </c>
      <c r="DU321" s="452"/>
      <c r="DX321" s="2488" t="s">
        <v>2427</v>
      </c>
      <c r="DY321" s="904" t="s">
        <v>2430</v>
      </c>
      <c r="DZ321" s="166"/>
      <c r="EA321" s="466"/>
      <c r="EB321" s="234"/>
      <c r="EC321" s="227"/>
      <c r="ED321" s="207">
        <f>COUNTIF(ED307:ED320,"1")</f>
        <v>0</v>
      </c>
      <c r="EE321" s="206" t="str">
        <f t="array" ref="EE321">INDEX(EE307:EE320,MATCH(MIN(ABS(EE307:EE320-$DP$4)),ABS(EE307:EE320-$DP$4),0))</f>
        <v>0</v>
      </c>
      <c r="EF321" s="207">
        <f>COUNTIF(EF307:EF320,"未定")</f>
        <v>0</v>
      </c>
      <c r="EG321" s="455"/>
      <c r="EH321" s="456"/>
      <c r="EI321" s="207">
        <f>COUNTIF(EI307:EI320,"1")</f>
        <v>0</v>
      </c>
      <c r="EJ321" s="206" t="str">
        <f t="array" ref="EJ321">INDEX(EJ307:EJ320,MATCH(MIN(ABS(EJ307:EJ320-$DP$4)),ABS(EJ307:EJ320-$DP$4),0))</f>
        <v>0</v>
      </c>
      <c r="EK321" s="207">
        <f>COUNTIF(EK307:EK320,"未定")</f>
        <v>0</v>
      </c>
      <c r="ET321" s="69"/>
      <c r="EU321" s="69"/>
      <c r="EV321" s="69"/>
      <c r="EW321" s="108"/>
      <c r="EX321" s="108"/>
      <c r="FG321" s="108"/>
      <c r="FK321" s="632"/>
      <c r="FL321" s="632"/>
      <c r="FM321" s="632"/>
      <c r="FN321" s="632"/>
      <c r="FO321" s="1163"/>
      <c r="FQ321" s="218"/>
      <c r="FR321" s="229"/>
      <c r="FS321" s="207">
        <f>COUNTIF(FS307:FS320,"1")</f>
        <v>0</v>
      </c>
      <c r="FT321" s="206" t="str">
        <f t="array" ref="FT321">INDEX(FT307:FT320,MATCH(MIN(ABS(FT307:FT320-$DP$4)),ABS(FT307:FT320-$DP$4),0))</f>
        <v>0</v>
      </c>
      <c r="FU321" s="417">
        <f>COUNTIF(FU307:FU320,"未定")</f>
        <v>0</v>
      </c>
      <c r="FV321" s="167"/>
      <c r="FW321" s="1160">
        <f t="shared" si="78"/>
        <v>0</v>
      </c>
      <c r="FX321" s="31"/>
      <c r="FY321" s="31"/>
      <c r="FZ321" s="1164"/>
      <c r="GB321" s="1149">
        <f>IF(SUM(GB307:GB320)&gt;0,1,0)</f>
        <v>0</v>
      </c>
      <c r="GC321" s="1149">
        <f t="shared" ref="GC321" si="135">IF(SUM(GC307:GC320)&gt;0,1,0)</f>
        <v>0</v>
      </c>
      <c r="GD321" s="1149">
        <f t="shared" ref="GD321" si="136">IF(SUM(GD307:GD320)&gt;0,1,0)</f>
        <v>0</v>
      </c>
      <c r="GE321" s="1151"/>
      <c r="GF321" s="1151"/>
      <c r="GG321" s="1151"/>
      <c r="GH321" s="1151"/>
      <c r="GI321" s="1151"/>
      <c r="GJ321" s="1151"/>
      <c r="GK321" s="1151"/>
      <c r="GL321" s="1151"/>
      <c r="GM321" s="1151"/>
      <c r="GN321" s="1151"/>
      <c r="GO321" s="1151"/>
      <c r="GP321" s="1151"/>
      <c r="GQ321" s="1151"/>
      <c r="GR321" s="1151"/>
      <c r="GS321" s="1151"/>
      <c r="GT321" s="1149">
        <f>IF(SUM(GT307:GT320)&gt;0,1,0)</f>
        <v>0</v>
      </c>
      <c r="GU321" s="1149">
        <f t="shared" ref="GU321:GV321" si="137">IF(SUM(GU307:GU320)&gt;0,1,0)</f>
        <v>0</v>
      </c>
      <c r="GV321" s="1149">
        <f t="shared" si="137"/>
        <v>0</v>
      </c>
      <c r="GW321" s="1149" t="b">
        <f t="shared" si="85"/>
        <v>0</v>
      </c>
      <c r="GX321" s="1149" t="b">
        <f t="shared" si="86"/>
        <v>0</v>
      </c>
      <c r="GY321" s="1149" t="b">
        <f t="shared" si="87"/>
        <v>0</v>
      </c>
      <c r="GZ321" s="1149" t="str">
        <f t="shared" si="88"/>
        <v/>
      </c>
      <c r="HB321" s="1151"/>
      <c r="HC321" s="1151"/>
      <c r="HD321" s="1151"/>
      <c r="HE321" s="1151"/>
      <c r="HF321" s="1151"/>
      <c r="HG321" s="1151"/>
      <c r="HH321" s="1151"/>
      <c r="HI321" s="1151"/>
      <c r="HJ321" s="1151"/>
      <c r="HK321" s="1151"/>
      <c r="HL321" s="1151"/>
      <c r="HM321" s="1151"/>
      <c r="HN321" s="1151"/>
      <c r="HO321" s="1151"/>
      <c r="HP321" s="1151"/>
      <c r="HQ321" s="1151"/>
      <c r="HR321" s="1151"/>
      <c r="HT321" s="1702"/>
      <c r="HU321" s="1702"/>
      <c r="HV321" s="1702"/>
      <c r="HW321" s="1702"/>
      <c r="HX321" s="1702"/>
    </row>
    <row r="322" spans="1:232" s="69" customFormat="1" ht="35.15" customHeight="1" thickBot="1">
      <c r="A322" s="645"/>
      <c r="B322" s="645"/>
      <c r="C322" s="645"/>
      <c r="D322" s="645"/>
      <c r="E322" s="646"/>
      <c r="F322" s="381"/>
      <c r="G322" s="381"/>
      <c r="H322" s="381"/>
      <c r="J322" s="80"/>
      <c r="K322" s="51"/>
      <c r="L322" s="51"/>
      <c r="M322" s="2058" t="s">
        <v>49</v>
      </c>
      <c r="N322" s="2058"/>
      <c r="O322" s="2058"/>
      <c r="P322" s="2058"/>
      <c r="Q322" s="2058"/>
      <c r="R322" s="2058"/>
      <c r="S322" s="2058"/>
      <c r="T322" s="2058"/>
      <c r="U322" s="2058"/>
      <c r="V322" s="2058"/>
      <c r="W322" s="2058"/>
      <c r="X322" s="2058"/>
      <c r="Y322" s="2058"/>
      <c r="Z322" s="2058"/>
      <c r="AA322" s="2058"/>
      <c r="AB322" s="2058"/>
      <c r="AC322" s="2058"/>
      <c r="AD322" s="2058"/>
      <c r="AE322" s="2058"/>
      <c r="AF322" s="2058"/>
      <c r="AG322" s="2058"/>
      <c r="AH322" s="2058"/>
      <c r="AI322" s="2058"/>
      <c r="AJ322" s="2058"/>
      <c r="AK322" s="2058"/>
      <c r="AL322" s="2058"/>
      <c r="AM322" s="2058"/>
      <c r="AN322" s="2058"/>
      <c r="AO322" s="2058"/>
      <c r="AP322" s="2058"/>
      <c r="AQ322" s="2058"/>
      <c r="AR322" s="2058"/>
      <c r="AS322" s="2058"/>
      <c r="AT322" s="2058"/>
      <c r="AU322" s="2058"/>
      <c r="AV322" s="2058"/>
      <c r="AW322" s="2058"/>
      <c r="AX322" s="2058"/>
      <c r="AY322" s="2058"/>
      <c r="AZ322" s="2058"/>
      <c r="BA322" s="2058"/>
      <c r="BB322" s="2058"/>
      <c r="BC322" s="2058"/>
      <c r="BD322" s="2058"/>
      <c r="BE322" s="2058"/>
      <c r="BF322" s="2058"/>
      <c r="BG322" s="2058"/>
      <c r="BH322" s="2058"/>
      <c r="BI322" s="2058"/>
      <c r="BJ322" s="2058"/>
      <c r="BK322" s="2058"/>
      <c r="BL322" s="2058"/>
      <c r="BM322" s="2058"/>
      <c r="BN322" s="2058"/>
      <c r="BO322" s="2058"/>
      <c r="BP322" s="2058"/>
      <c r="BQ322" s="2058"/>
      <c r="BR322" s="2058"/>
      <c r="BS322" s="2058"/>
      <c r="BT322" s="2058"/>
      <c r="BU322" s="2058"/>
      <c r="BV322" s="2058"/>
      <c r="BW322" s="2058"/>
      <c r="BX322" s="2058"/>
      <c r="BY322" s="2058"/>
      <c r="BZ322" s="2058"/>
      <c r="CA322" s="2058"/>
      <c r="CB322" s="2058"/>
      <c r="CC322" s="2058"/>
      <c r="CD322" s="2058"/>
      <c r="CE322" s="2058"/>
      <c r="CF322" s="2058"/>
      <c r="CG322" s="2058"/>
      <c r="CH322" s="2058"/>
      <c r="CI322" s="2058"/>
      <c r="CJ322" s="2058"/>
      <c r="CK322" s="2058"/>
      <c r="CL322" s="2058"/>
      <c r="CM322" s="2058"/>
      <c r="CN322" s="2058"/>
      <c r="CO322" s="2058"/>
      <c r="CP322" s="2058"/>
      <c r="CQ322" s="2058"/>
      <c r="CR322" s="2058"/>
      <c r="CS322" s="2058"/>
      <c r="CT322" s="2058"/>
      <c r="CU322" s="2059"/>
      <c r="CV322" s="2360" t="str">
        <f>IF(AND(DT322="要是正",DU322&lt;21),HYPERLINK("#"&amp;EL322&amp;"!"&amp;EM322&amp;":"&amp;EN322&amp;"","関連写真添付"),"")</f>
        <v/>
      </c>
      <c r="CW322" s="2360"/>
      <c r="CX322" s="2360"/>
      <c r="CY322" s="2360"/>
      <c r="CZ322" s="2360"/>
      <c r="DA322" s="2360"/>
      <c r="DC322" s="600" t="str">
        <f>IF(AND(DU322&lt;&gt;"",DU322&gt;10),"「別途様式を作成、提出してください。」","")</f>
        <v/>
      </c>
      <c r="DD322" s="381"/>
      <c r="DK322" s="1710"/>
      <c r="DL322" s="114"/>
      <c r="DM322" s="440" t="str">
        <f>IF(AND(DN322="",DO322="",DP322="",DM348&lt;&gt;0),"レ","")</f>
        <v/>
      </c>
      <c r="DN322" s="440" t="str">
        <f>IF(AND(DO322="",DP322="",DN348&lt;&gt;0),"レ","")</f>
        <v/>
      </c>
      <c r="DO322" s="440" t="str">
        <f>IF(DO348&lt;&gt;0,"レ","")</f>
        <v/>
      </c>
      <c r="DP322" s="440" t="str">
        <f>IF(AND(DO322="",DP348&lt;&gt;0),"レ","")</f>
        <v/>
      </c>
      <c r="DQ322" s="441"/>
      <c r="DR322" s="444"/>
      <c r="DS322" s="444"/>
      <c r="DT322" s="445"/>
      <c r="DU322" s="443"/>
      <c r="DV322" s="113"/>
      <c r="DW322" s="113"/>
      <c r="DX322" s="2489"/>
      <c r="DY322" s="487" t="str">
        <f>SUBSTITUTE(TRIM(DY325&amp;"　"&amp;DY326&amp;"　"&amp;DY327&amp;"　"&amp;DY328&amp;"　"&amp;DY329&amp;"　"&amp;DY330&amp;"　"&amp;DY331&amp;"　"&amp;DY332&amp;"　"&amp;DY333&amp;"　"&amp;DY334&amp;"　"&amp;DY335&amp;"　"&amp;DY336&amp;"　"&amp;DY337&amp;"　"&amp;DY338&amp;"　"&amp;DY339&amp;"　"&amp;DY340&amp;"　"&amp;DY341&amp;"　"&amp;DY342&amp;"　"&amp;DY343&amp;"　"&amp;DY344&amp;"　"&amp;DY345&amp;"　"&amp;DY346&amp;"　"&amp;DY347),"　",", ")&amp;HM528</f>
        <v/>
      </c>
      <c r="DZ322" s="2513" t="s">
        <v>2436</v>
      </c>
      <c r="EA322" s="2514"/>
      <c r="EB322" s="230" t="str">
        <f>IF(COUNTIF(ED325:ED347,1)&gt;0,"レ","")</f>
        <v/>
      </c>
      <c r="EC322" s="389"/>
      <c r="ED322" s="231" t="str">
        <f>IF(EB322="レ",YEAR(EE348)-VLOOKUP(EE348,$DS$6:$DV$9,4,TRUE),"")</f>
        <v/>
      </c>
      <c r="EE322" s="231" t="str">
        <f>IF(EB322="レ",MONTH(EE348),IF(AND(DO322="レ",EF322="レ",EF348=0),"",IF(AND(DO322="レ",EF322="レ",EF348&gt;0),"","")))</f>
        <v/>
      </c>
      <c r="EF322" s="387" t="str">
        <f>IF(EB322="",IF(OR(EF348&gt;0,DO322="レ"),"レ",""),"")</f>
        <v/>
      </c>
      <c r="EG322" s="230" t="str">
        <f>IF(AND(COUNTIF(DT325:DT342,"要是正")=0,COUNTIF(EI325:EI342,1)&gt;0),"レ","")</f>
        <v/>
      </c>
      <c r="EH322" s="389"/>
      <c r="EI322" s="231" t="str">
        <f>IF(EG322="レ",YEAR(EJ348)-VLOOKUP(EJ348,$DS$6:$DV$9,4,TRUE),"")</f>
        <v/>
      </c>
      <c r="EJ322" s="231" t="str">
        <f>IF(EG322="レ",MONTH(EJ348),IF(AND(DP322="レ",EK322="レ",EK348=0),"",IF(AND(DP322="レ",EK322="レ",EK348&gt;0),"","")))</f>
        <v/>
      </c>
      <c r="EK322" s="446" t="str">
        <f>IF(EG322="",IF(OR(EK348&gt;0,DP322="レ"),"レ",""),"")</f>
        <v/>
      </c>
      <c r="EL322" s="447"/>
      <c r="EM322" s="447"/>
      <c r="EN322" s="447"/>
      <c r="EO322" s="448"/>
      <c r="EP322" s="449"/>
      <c r="EQ322" s="449"/>
      <c r="ER322" s="449"/>
      <c r="ES322" s="69" t="str">
        <f>$GW$531</f>
        <v>要是正なし</v>
      </c>
      <c r="ET322" s="35"/>
      <c r="EU322" s="35"/>
      <c r="EV322" s="35"/>
      <c r="EW322" s="35"/>
      <c r="EX322" s="35"/>
      <c r="EY322" s="35"/>
      <c r="EZ322" s="35"/>
      <c r="FA322" s="35"/>
      <c r="FB322" s="35"/>
      <c r="FC322" s="35"/>
      <c r="FD322" s="35"/>
      <c r="FE322" s="35"/>
      <c r="FF322" s="35"/>
      <c r="FG322" s="35"/>
      <c r="FH322" s="35"/>
      <c r="FK322" s="632"/>
      <c r="FL322" s="632"/>
      <c r="FM322" s="632"/>
      <c r="FN322" s="632"/>
      <c r="FO322" s="1163"/>
      <c r="FQ322" s="230" t="str">
        <f>IF(COUNTIF(FS325:FS347,1)&gt;0,"レ","")</f>
        <v/>
      </c>
      <c r="FR322" s="389"/>
      <c r="FS322" s="231" t="str">
        <f>IF(FQ322="レ",TEXT(FT348,"ee"),"")</f>
        <v/>
      </c>
      <c r="FT322" s="231" t="str">
        <f>IF(FQ322="レ",MONTH(FT348),IF(AND(FH322="レ",FU322="レ",FU348=0),"",IF(AND(FH322="レ",FU322="レ",FU348&gt;0),"未定","")))</f>
        <v/>
      </c>
      <c r="FU322" s="387" t="str">
        <f>IF(FQ322="",IF(OR(FU348&gt;0,FH322="レ"),"レ",""),"")</f>
        <v/>
      </c>
      <c r="FW322" s="1160">
        <f t="shared" si="78"/>
        <v>0</v>
      </c>
      <c r="FX322" s="123"/>
      <c r="FY322" s="123"/>
      <c r="FZ322" s="1161"/>
      <c r="GA322" s="34"/>
      <c r="GB322" s="123"/>
      <c r="GC322" s="123"/>
      <c r="GE322" s="123"/>
      <c r="GF322" s="123"/>
      <c r="GG322" s="123"/>
      <c r="GH322" s="123"/>
      <c r="GI322" s="123"/>
      <c r="GJ322" s="123"/>
      <c r="GK322" s="123"/>
      <c r="GL322" s="123"/>
      <c r="GM322" s="123"/>
      <c r="GN322" s="123"/>
      <c r="GO322" s="123"/>
      <c r="GP322" s="123"/>
      <c r="GQ322" s="123"/>
      <c r="GR322" s="123"/>
      <c r="GS322" s="123"/>
      <c r="GT322" s="123"/>
      <c r="GU322" s="123"/>
      <c r="GV322" s="123"/>
      <c r="GW322" s="123"/>
      <c r="GX322" s="123"/>
      <c r="GY322" s="123"/>
      <c r="HB322" s="123"/>
      <c r="HC322" s="123"/>
      <c r="HD322" s="123"/>
      <c r="HE322" s="123"/>
      <c r="HF322" s="123"/>
      <c r="HG322" s="123"/>
      <c r="HH322" s="123"/>
      <c r="HI322" s="123"/>
      <c r="HJ322" s="123"/>
      <c r="HK322" s="123"/>
      <c r="HL322" s="123"/>
      <c r="HM322" s="123"/>
      <c r="HN322" s="123"/>
      <c r="HO322" s="123"/>
      <c r="HP322" s="123"/>
      <c r="HQ322" s="123"/>
      <c r="HR322" s="123"/>
      <c r="HT322" s="1703"/>
      <c r="HU322" s="1703"/>
      <c r="HV322" s="1703"/>
      <c r="HW322" s="1703"/>
      <c r="HX322" s="1703"/>
    </row>
    <row r="323" spans="1:232" s="69" customFormat="1" ht="36" customHeight="1" thickBot="1">
      <c r="A323" s="645"/>
      <c r="B323" s="645"/>
      <c r="C323" s="645"/>
      <c r="D323" s="645"/>
      <c r="E323" s="646"/>
      <c r="F323" s="381"/>
      <c r="G323" s="381"/>
      <c r="H323" s="381"/>
      <c r="I323" s="123"/>
      <c r="J323" s="88"/>
      <c r="K323" s="89"/>
      <c r="L323" s="89"/>
      <c r="M323" s="2030" t="s">
        <v>31</v>
      </c>
      <c r="N323" s="2030"/>
      <c r="O323" s="2030"/>
      <c r="P323" s="2006" t="s">
        <v>32</v>
      </c>
      <c r="Q323" s="2006"/>
      <c r="R323" s="2006"/>
      <c r="S323" s="2006"/>
      <c r="T323" s="2006"/>
      <c r="U323" s="2006"/>
      <c r="V323" s="2006"/>
      <c r="W323" s="2006"/>
      <c r="X323" s="2006"/>
      <c r="Y323" s="2006"/>
      <c r="Z323" s="2006"/>
      <c r="AA323" s="2006"/>
      <c r="AB323" s="2006"/>
      <c r="AC323" s="2006"/>
      <c r="AD323" s="2006"/>
      <c r="AE323" s="2006"/>
      <c r="AF323" s="2006" t="s">
        <v>33</v>
      </c>
      <c r="AG323" s="2006"/>
      <c r="AH323" s="2006"/>
      <c r="AI323" s="2006"/>
      <c r="AJ323" s="2006"/>
      <c r="AK323" s="2006"/>
      <c r="AL323" s="2006"/>
      <c r="AM323" s="2006"/>
      <c r="AN323" s="2006"/>
      <c r="AO323" s="2006"/>
      <c r="AP323" s="2006"/>
      <c r="AQ323" s="2006"/>
      <c r="AR323" s="2006" t="s">
        <v>752</v>
      </c>
      <c r="AS323" s="2006"/>
      <c r="AT323" s="2003" t="s">
        <v>156</v>
      </c>
      <c r="AU323" s="2003"/>
      <c r="AV323" s="2003"/>
      <c r="AW323" s="2003"/>
      <c r="AX323" s="2003"/>
      <c r="AY323" s="2003"/>
      <c r="AZ323" s="2003"/>
      <c r="BA323" s="2003"/>
      <c r="BB323" s="2003"/>
      <c r="BC323" s="2003"/>
      <c r="BD323" s="2003" t="s">
        <v>194</v>
      </c>
      <c r="BE323" s="2003"/>
      <c r="BF323" s="2003"/>
      <c r="BG323" s="2003"/>
      <c r="BH323" s="2003"/>
      <c r="BI323" s="2003"/>
      <c r="BJ323" s="2003"/>
      <c r="BK323" s="2003"/>
      <c r="BL323" s="2003"/>
      <c r="BM323" s="2003"/>
      <c r="BN323" s="2003"/>
      <c r="BO323" s="2003"/>
      <c r="BP323" s="2003"/>
      <c r="BQ323" s="2003"/>
      <c r="BR323" s="2003"/>
      <c r="BS323" s="2006" t="s">
        <v>387</v>
      </c>
      <c r="BT323" s="2003"/>
      <c r="BU323" s="2003"/>
      <c r="BV323" s="2003"/>
      <c r="BW323" s="2003"/>
      <c r="BX323" s="2003"/>
      <c r="BY323" s="2003"/>
      <c r="BZ323" s="2003"/>
      <c r="CA323" s="2003"/>
      <c r="CB323" s="2120" t="s">
        <v>2818</v>
      </c>
      <c r="CC323" s="2120"/>
      <c r="CD323" s="2120"/>
      <c r="CE323" s="2120"/>
      <c r="CF323" s="2120"/>
      <c r="CG323" s="2120"/>
      <c r="CH323" s="2120"/>
      <c r="CI323" s="2120"/>
      <c r="CJ323" s="2120"/>
      <c r="CK323" s="2120"/>
      <c r="CL323" s="2120"/>
      <c r="CM323" s="2120"/>
      <c r="CN323" s="2120"/>
      <c r="CO323" s="2120"/>
      <c r="CP323" s="2120"/>
      <c r="CQ323" s="2120"/>
      <c r="CR323" s="2120"/>
      <c r="CS323" s="2120"/>
      <c r="CT323" s="2120"/>
      <c r="CU323" s="2121"/>
      <c r="CV323" s="108"/>
      <c r="CW323" s="108"/>
      <c r="CX323" s="108"/>
      <c r="CY323" s="108"/>
      <c r="CZ323" s="108"/>
      <c r="DA323" s="108"/>
      <c r="DB323" s="108"/>
      <c r="DC323" s="35"/>
      <c r="DD323" s="381"/>
      <c r="DE323" s="34"/>
      <c r="DF323" s="34"/>
      <c r="DG323" s="34"/>
      <c r="DH323" s="34"/>
      <c r="DI323" s="34"/>
      <c r="DJ323" s="34"/>
      <c r="DK323" s="1711"/>
      <c r="DL323" s="114"/>
      <c r="DM323" s="166" t="s">
        <v>3354</v>
      </c>
      <c r="DN323" s="34"/>
      <c r="DO323" s="34"/>
      <c r="DP323" s="34"/>
      <c r="DQ323" s="34"/>
      <c r="DR323" s="34"/>
      <c r="DU323" s="517"/>
      <c r="DV323" s="381"/>
      <c r="DX323" s="2489"/>
      <c r="DY323" s="1972" t="s">
        <v>911</v>
      </c>
      <c r="DZ323" s="2515" t="s">
        <v>194</v>
      </c>
      <c r="EA323" s="2512" t="s">
        <v>2402</v>
      </c>
      <c r="EB323" s="1907" t="s">
        <v>24</v>
      </c>
      <c r="EC323" s="1908"/>
      <c r="ED323" s="1908"/>
      <c r="EE323" s="1908"/>
      <c r="EF323" s="1908"/>
      <c r="EG323" s="1969" t="s">
        <v>931</v>
      </c>
      <c r="EH323" s="1970"/>
      <c r="EI323" s="1970"/>
      <c r="EJ323" s="1970"/>
      <c r="EK323" s="1971"/>
      <c r="EL323" s="1882" t="s">
        <v>938</v>
      </c>
      <c r="EM323" s="1883"/>
      <c r="EN323" s="1884"/>
      <c r="EO323" s="1883" t="s">
        <v>937</v>
      </c>
      <c r="EP323" s="1883"/>
      <c r="EQ323" s="1883"/>
      <c r="ER323" s="1884"/>
      <c r="ES323" s="123"/>
      <c r="ET323" s="1897"/>
      <c r="EU323" s="1897"/>
      <c r="EV323" s="1897"/>
      <c r="EW323" s="1897"/>
      <c r="EX323" s="1897"/>
      <c r="EY323" s="1900"/>
      <c r="EZ323" s="1900"/>
      <c r="FA323" s="1900"/>
      <c r="FB323" s="1900"/>
      <c r="FC323" s="1900"/>
      <c r="FD323" s="1900"/>
      <c r="FE323" s="1900"/>
      <c r="FF323" s="1900"/>
      <c r="FG323" s="1900"/>
      <c r="FH323" s="1900"/>
      <c r="FI323" s="108"/>
      <c r="FJ323" s="108"/>
      <c r="FK323" s="1901" t="s">
        <v>1180</v>
      </c>
      <c r="FL323" s="1902"/>
      <c r="FM323" s="1902"/>
      <c r="FN323" s="1902"/>
      <c r="FO323" s="1903"/>
      <c r="FQ323" s="1907" t="s">
        <v>24</v>
      </c>
      <c r="FR323" s="1908"/>
      <c r="FS323" s="1908"/>
      <c r="FT323" s="1908"/>
      <c r="FU323" s="1909"/>
      <c r="FW323" s="1160" t="str">
        <f t="shared" si="78"/>
        <v>指摘の具体的内容等</v>
      </c>
      <c r="FX323" s="123"/>
      <c r="FY323" s="123"/>
      <c r="FZ323" s="1161"/>
      <c r="GA323" s="34"/>
      <c r="GB323" s="123"/>
      <c r="GC323" s="123"/>
      <c r="GE323" s="123"/>
      <c r="GF323" s="123"/>
      <c r="GG323" s="123"/>
      <c r="GH323" s="123"/>
      <c r="GI323" s="123"/>
      <c r="GJ323" s="123"/>
      <c r="GK323" s="123"/>
      <c r="GL323" s="123"/>
      <c r="GM323" s="123"/>
      <c r="GN323" s="123"/>
      <c r="GO323" s="123"/>
      <c r="GP323" s="123"/>
      <c r="GQ323" s="123"/>
      <c r="GR323" s="123"/>
      <c r="GS323" s="123"/>
      <c r="GT323" s="123"/>
      <c r="GU323" s="123"/>
      <c r="GV323" s="123"/>
      <c r="GW323" s="123"/>
      <c r="GX323" s="123"/>
      <c r="GY323" s="123"/>
      <c r="HB323" s="123"/>
      <c r="HC323" s="123"/>
      <c r="HD323" s="123"/>
      <c r="HE323" s="123"/>
      <c r="HF323" s="123"/>
      <c r="HG323" s="123"/>
      <c r="HH323" s="123"/>
      <c r="HI323" s="123"/>
      <c r="HJ323" s="123"/>
      <c r="HK323" s="123"/>
      <c r="HL323" s="123"/>
      <c r="HM323" s="123"/>
      <c r="HN323" s="123"/>
      <c r="HO323" s="123"/>
      <c r="HP323" s="123"/>
      <c r="HQ323" s="123"/>
      <c r="HR323" s="123"/>
      <c r="HT323" s="1703"/>
      <c r="HU323" s="1703"/>
      <c r="HV323" s="1703"/>
      <c r="HW323" s="1703"/>
      <c r="HX323" s="1703"/>
    </row>
    <row r="324" spans="1:232" s="69" customFormat="1" ht="36" customHeight="1" thickBot="1">
      <c r="A324" s="645"/>
      <c r="B324" s="645"/>
      <c r="C324" s="645"/>
      <c r="D324" s="645"/>
      <c r="E324" s="646"/>
      <c r="F324" s="381"/>
      <c r="G324" s="381"/>
      <c r="H324" s="381"/>
      <c r="I324" s="123"/>
      <c r="J324" s="88"/>
      <c r="K324" s="89"/>
      <c r="L324" s="89"/>
      <c r="M324" s="1976"/>
      <c r="N324" s="1976"/>
      <c r="O324" s="1976"/>
      <c r="P324" s="1976"/>
      <c r="Q324" s="1976"/>
      <c r="R324" s="1976"/>
      <c r="S324" s="1976"/>
      <c r="T324" s="1976"/>
      <c r="U324" s="1976"/>
      <c r="V324" s="1976"/>
      <c r="W324" s="1976"/>
      <c r="X324" s="1976"/>
      <c r="Y324" s="1976"/>
      <c r="Z324" s="1976"/>
      <c r="AA324" s="1976"/>
      <c r="AB324" s="1976"/>
      <c r="AC324" s="1976"/>
      <c r="AD324" s="1976"/>
      <c r="AE324" s="1976"/>
      <c r="AF324" s="1976"/>
      <c r="AG324" s="1976"/>
      <c r="AH324" s="1976"/>
      <c r="AI324" s="1976"/>
      <c r="AJ324" s="1976"/>
      <c r="AK324" s="1976"/>
      <c r="AL324" s="1976"/>
      <c r="AM324" s="1976"/>
      <c r="AN324" s="1976"/>
      <c r="AO324" s="1976"/>
      <c r="AP324" s="1976"/>
      <c r="AQ324" s="1976"/>
      <c r="AR324" s="1976"/>
      <c r="AS324" s="1976"/>
      <c r="AT324" s="2004"/>
      <c r="AU324" s="2004"/>
      <c r="AV324" s="2004"/>
      <c r="AW324" s="2004"/>
      <c r="AX324" s="2004"/>
      <c r="AY324" s="2004"/>
      <c r="AZ324" s="2004"/>
      <c r="BA324" s="2004"/>
      <c r="BB324" s="2004"/>
      <c r="BC324" s="2004"/>
      <c r="BD324" s="2004"/>
      <c r="BE324" s="2004"/>
      <c r="BF324" s="2004"/>
      <c r="BG324" s="2004"/>
      <c r="BH324" s="2004"/>
      <c r="BI324" s="2004"/>
      <c r="BJ324" s="2004"/>
      <c r="BK324" s="2004"/>
      <c r="BL324" s="2004"/>
      <c r="BM324" s="2004"/>
      <c r="BN324" s="2004"/>
      <c r="BO324" s="2004"/>
      <c r="BP324" s="2004"/>
      <c r="BQ324" s="2004"/>
      <c r="BR324" s="2004"/>
      <c r="BS324" s="1976" t="s">
        <v>865</v>
      </c>
      <c r="BT324" s="1976"/>
      <c r="BU324" s="1976"/>
      <c r="BV324" s="1977" t="s">
        <v>383</v>
      </c>
      <c r="BW324" s="1977"/>
      <c r="BX324" s="1977"/>
      <c r="BY324" s="1977" t="s">
        <v>1700</v>
      </c>
      <c r="BZ324" s="1978"/>
      <c r="CA324" s="1978"/>
      <c r="CB324" s="2122"/>
      <c r="CC324" s="2122"/>
      <c r="CD324" s="2122"/>
      <c r="CE324" s="2122"/>
      <c r="CF324" s="2122"/>
      <c r="CG324" s="2122"/>
      <c r="CH324" s="2122"/>
      <c r="CI324" s="2122"/>
      <c r="CJ324" s="2122"/>
      <c r="CK324" s="2122"/>
      <c r="CL324" s="2122"/>
      <c r="CM324" s="2122"/>
      <c r="CN324" s="2122"/>
      <c r="CO324" s="2122"/>
      <c r="CP324" s="2122"/>
      <c r="CQ324" s="2122"/>
      <c r="CR324" s="2122"/>
      <c r="CS324" s="2122"/>
      <c r="CT324" s="2122"/>
      <c r="CU324" s="2123"/>
      <c r="CV324" s="108"/>
      <c r="CW324" s="108"/>
      <c r="CX324" s="108"/>
      <c r="CY324" s="108"/>
      <c r="CZ324" s="108"/>
      <c r="DA324" s="108"/>
      <c r="DB324" s="108"/>
      <c r="DC324" s="35"/>
      <c r="DD324" s="381"/>
      <c r="DE324" s="34"/>
      <c r="DF324" s="34"/>
      <c r="DG324" s="34"/>
      <c r="DH324" s="34"/>
      <c r="DI324" s="34"/>
      <c r="DJ324" s="1695" t="s">
        <v>5640</v>
      </c>
      <c r="DK324" s="1706" t="s">
        <v>5639</v>
      </c>
      <c r="DL324" s="1696" t="s">
        <v>5641</v>
      </c>
      <c r="DM324" s="512" t="s">
        <v>347</v>
      </c>
      <c r="DN324" s="471" t="s">
        <v>348</v>
      </c>
      <c r="DO324" s="471" t="s">
        <v>349</v>
      </c>
      <c r="DP324" s="472" t="s">
        <v>350</v>
      </c>
      <c r="DQ324" s="513" t="s">
        <v>863</v>
      </c>
      <c r="DR324" s="470" t="s">
        <v>754</v>
      </c>
      <c r="DS324" s="514" t="s">
        <v>753</v>
      </c>
      <c r="DT324" s="479" t="s">
        <v>746</v>
      </c>
      <c r="DU324" s="481" t="s">
        <v>920</v>
      </c>
      <c r="DV324" s="508" t="s">
        <v>912</v>
      </c>
      <c r="DW324" s="509" t="s">
        <v>695</v>
      </c>
      <c r="DX324" s="2490"/>
      <c r="DY324" s="1973"/>
      <c r="DZ324" s="2516"/>
      <c r="EA324" s="2486"/>
      <c r="EB324" s="235" t="s">
        <v>950</v>
      </c>
      <c r="EC324" s="228" t="s">
        <v>949</v>
      </c>
      <c r="ED324" s="228" t="s">
        <v>943</v>
      </c>
      <c r="EE324" s="215" t="s">
        <v>944</v>
      </c>
      <c r="EF324" s="216" t="s">
        <v>945</v>
      </c>
      <c r="EG324" s="214" t="s">
        <v>941</v>
      </c>
      <c r="EH324" s="215" t="s">
        <v>942</v>
      </c>
      <c r="EI324" s="228" t="s">
        <v>943</v>
      </c>
      <c r="EJ324" s="215" t="s">
        <v>944</v>
      </c>
      <c r="EK324" s="450" t="s">
        <v>945</v>
      </c>
      <c r="EL324" s="223" t="s">
        <v>358</v>
      </c>
      <c r="EM324" s="112" t="s">
        <v>693</v>
      </c>
      <c r="EN324" s="220" t="s">
        <v>694</v>
      </c>
      <c r="EO324" s="1148"/>
      <c r="EP324" s="112" t="s">
        <v>358</v>
      </c>
      <c r="EQ324" s="112" t="s">
        <v>693</v>
      </c>
      <c r="ER324" s="220" t="s">
        <v>694</v>
      </c>
      <c r="ES324" s="518"/>
      <c r="ET324" s="35"/>
      <c r="EU324" s="309"/>
      <c r="EV324" s="309"/>
      <c r="EW324" s="309"/>
      <c r="EX324" s="309"/>
      <c r="EY324" s="310"/>
      <c r="EZ324" s="310"/>
      <c r="FA324" s="310"/>
      <c r="FB324" s="310"/>
      <c r="FC324" s="310"/>
      <c r="FD324" s="310"/>
      <c r="FE324" s="310"/>
      <c r="FF324" s="310"/>
      <c r="FG324" s="310"/>
      <c r="FH324" s="310"/>
      <c r="FI324" s="108"/>
      <c r="FJ324" s="108"/>
      <c r="FK324" s="1904"/>
      <c r="FL324" s="1905"/>
      <c r="FM324" s="1905"/>
      <c r="FN324" s="1905"/>
      <c r="FO324" s="1906"/>
      <c r="FQ324" s="235" t="s">
        <v>950</v>
      </c>
      <c r="FR324" s="228" t="s">
        <v>949</v>
      </c>
      <c r="FS324" s="228" t="s">
        <v>943</v>
      </c>
      <c r="FT324" s="215" t="s">
        <v>944</v>
      </c>
      <c r="FU324" s="415" t="s">
        <v>945</v>
      </c>
      <c r="FW324" s="1160">
        <f t="shared" si="78"/>
        <v>0</v>
      </c>
      <c r="FX324" s="123"/>
      <c r="FY324" s="123"/>
      <c r="FZ324" s="1161"/>
      <c r="GA324" s="34"/>
      <c r="GB324" s="123"/>
      <c r="GC324" s="123"/>
      <c r="GE324" s="1165"/>
      <c r="GF324" s="1165"/>
      <c r="GG324" s="1165"/>
      <c r="GH324" s="1165"/>
      <c r="GI324" s="1165"/>
      <c r="GJ324" s="1165"/>
      <c r="GK324" s="1165"/>
      <c r="GL324" s="1165"/>
      <c r="GM324" s="1165"/>
      <c r="GN324" s="1165"/>
      <c r="GO324" s="1165"/>
      <c r="GP324" s="1165"/>
      <c r="GQ324" s="1165"/>
      <c r="GR324" s="1165"/>
      <c r="GS324" s="1165"/>
      <c r="GT324" s="1165"/>
      <c r="GU324" s="1165"/>
      <c r="GV324" s="1165"/>
      <c r="GW324" s="123"/>
      <c r="GX324" s="123"/>
      <c r="GY324" s="123"/>
      <c r="HB324" s="1165"/>
      <c r="HC324" s="1165"/>
      <c r="HD324" s="1165"/>
      <c r="HE324" s="1165"/>
      <c r="HF324" s="1165"/>
      <c r="HG324" s="1165"/>
      <c r="HH324" s="1165"/>
      <c r="HI324" s="1165"/>
      <c r="HJ324" s="1165"/>
      <c r="HK324" s="1165"/>
      <c r="HL324" s="1165"/>
      <c r="HM324" s="1165"/>
      <c r="HN324" s="1165"/>
      <c r="HO324" s="1165"/>
      <c r="HP324" s="1165"/>
      <c r="HQ324" s="1165"/>
      <c r="HR324" s="1165"/>
      <c r="HT324" s="1704"/>
      <c r="HU324" s="1704"/>
      <c r="HV324" s="1704"/>
      <c r="HW324" s="1704"/>
      <c r="HX324" s="1704"/>
    </row>
    <row r="325" spans="1:232" s="69" customFormat="1" ht="50.15" customHeight="1">
      <c r="A325" s="645"/>
      <c r="B325" s="645"/>
      <c r="C325" s="645"/>
      <c r="D325" s="645"/>
      <c r="E325" s="646"/>
      <c r="F325" s="381"/>
      <c r="G325" s="381"/>
      <c r="H325" s="381"/>
      <c r="J325" s="80"/>
      <c r="K325" s="89"/>
      <c r="L325" s="89"/>
      <c r="M325" s="2079" t="s">
        <v>251</v>
      </c>
      <c r="N325" s="2079"/>
      <c r="O325" s="2080"/>
      <c r="P325" s="1966" t="s">
        <v>50</v>
      </c>
      <c r="Q325" s="1966"/>
      <c r="R325" s="2065"/>
      <c r="S325" s="2065"/>
      <c r="T325" s="2065"/>
      <c r="U325" s="1966" t="s">
        <v>51</v>
      </c>
      <c r="V325" s="1966"/>
      <c r="W325" s="1966"/>
      <c r="X325" s="1966"/>
      <c r="Y325" s="1966"/>
      <c r="Z325" s="1966"/>
      <c r="AA325" s="1966"/>
      <c r="AB325" s="1966"/>
      <c r="AC325" s="1966"/>
      <c r="AD325" s="1966"/>
      <c r="AE325" s="1966"/>
      <c r="AF325" s="1995"/>
      <c r="AG325" s="1995"/>
      <c r="AH325" s="1995"/>
      <c r="AI325" s="1995"/>
      <c r="AJ325" s="1995"/>
      <c r="AK325" s="1995"/>
      <c r="AL325" s="1995"/>
      <c r="AM325" s="1995"/>
      <c r="AN325" s="1995"/>
      <c r="AO325" s="1995"/>
      <c r="AP325" s="1995"/>
      <c r="AQ325" s="1995"/>
      <c r="AR325" s="1957"/>
      <c r="AS325" s="1957"/>
      <c r="AT325" s="1928"/>
      <c r="AU325" s="1928"/>
      <c r="AV325" s="1928"/>
      <c r="AW325" s="1928"/>
      <c r="AX325" s="1928"/>
      <c r="AY325" s="1928"/>
      <c r="AZ325" s="1928"/>
      <c r="BA325" s="1928"/>
      <c r="BB325" s="1928"/>
      <c r="BC325" s="1928"/>
      <c r="BD325" s="1928"/>
      <c r="BE325" s="1928"/>
      <c r="BF325" s="1928"/>
      <c r="BG325" s="1928"/>
      <c r="BH325" s="1928"/>
      <c r="BI325" s="1928"/>
      <c r="BJ325" s="1928"/>
      <c r="BK325" s="1928"/>
      <c r="BL325" s="1928"/>
      <c r="BM325" s="1928"/>
      <c r="BN325" s="1928"/>
      <c r="BO325" s="1928"/>
      <c r="BP325" s="1928"/>
      <c r="BQ325" s="1928"/>
      <c r="BR325" s="1928"/>
      <c r="BS325" s="1998"/>
      <c r="BT325" s="1998"/>
      <c r="BU325" s="1998"/>
      <c r="BV325" s="1989"/>
      <c r="BW325" s="1989"/>
      <c r="BX325" s="1989"/>
      <c r="BY325" s="1989"/>
      <c r="BZ325" s="1990"/>
      <c r="CA325" s="1990"/>
      <c r="CB325" s="2338"/>
      <c r="CC325" s="2339"/>
      <c r="CD325" s="2339"/>
      <c r="CE325" s="2339"/>
      <c r="CF325" s="2339"/>
      <c r="CG325" s="2339"/>
      <c r="CH325" s="2339"/>
      <c r="CI325" s="2339"/>
      <c r="CJ325" s="2339"/>
      <c r="CK325" s="2339"/>
      <c r="CL325" s="2339"/>
      <c r="CM325" s="2339"/>
      <c r="CN325" s="2339"/>
      <c r="CO325" s="2339"/>
      <c r="CP325" s="2339"/>
      <c r="CQ325" s="2339"/>
      <c r="CR325" s="2339"/>
      <c r="CS325" s="2339"/>
      <c r="CT325" s="2339"/>
      <c r="CU325" s="2340"/>
      <c r="CV325" s="2360" t="str">
        <f t="shared" ref="CV325:CV342" si="138">IF(AND(DT325="要是正",DU325&lt;21),HYPERLINK("#"&amp;EL325&amp;"!"&amp;EM325&amp;":"&amp;EN325&amp;"","関連写真添付"),"")</f>
        <v/>
      </c>
      <c r="CW325" s="2360"/>
      <c r="CX325" s="2360"/>
      <c r="CY325" s="2360"/>
      <c r="CZ325" s="2360"/>
      <c r="DA325" s="2360"/>
      <c r="DC325" s="600" t="str">
        <f>IF(AND(DU325&lt;&gt;"",DU325&gt;10),"「別途様式を作成、提出してください。」","")</f>
        <v/>
      </c>
      <c r="DD325" s="381"/>
      <c r="DF325" s="34"/>
      <c r="DG325" s="34"/>
      <c r="DH325" s="34"/>
      <c r="DI325" s="34"/>
      <c r="DJ325" s="858" t="s">
        <v>5637</v>
      </c>
      <c r="DK325" s="1707" t="str">
        <f>IF(DS325=2,DATE(VLOOKUP(DJ325,$DU$6:$DV$9,2,FALSE)+BS325,BV325,1),"")</f>
        <v/>
      </c>
      <c r="DL325" s="1692" t="str">
        <f>IF(DS325=2,DJ325&amp;BS325&amp;"."&amp;BV325,"")</f>
        <v/>
      </c>
      <c r="DM325" s="1691">
        <f t="shared" ref="DM325:DM347" si="139">COUNTIFS(AF325,"―対象外")</f>
        <v>0</v>
      </c>
      <c r="DN325" s="111">
        <f t="shared" ref="DN325:DN342" si="140">COUNTIFS(AF325,"○指摘なし")</f>
        <v>0</v>
      </c>
      <c r="DO325" s="111">
        <f t="shared" ref="DO325:DO342" si="141">COUNTIFS(AF325,"×要是正（既存不適格以外）")</f>
        <v>0</v>
      </c>
      <c r="DP325" s="474">
        <f t="shared" ref="DP325:DP342" si="142">COUNTIFS(AF325,"△既存不適格")</f>
        <v>0</v>
      </c>
      <c r="DQ325" s="115" t="s">
        <v>251</v>
      </c>
      <c r="DR325" s="473" t="str">
        <f>IF($U325="",P325,U325)</f>
        <v>基礎の沈下等の状況</v>
      </c>
      <c r="DS325" s="112">
        <f t="shared" ref="DS325:DS342" si="143">COUNTA(BS325:BX325)</f>
        <v>0</v>
      </c>
      <c r="DT325" s="118" t="str">
        <f t="shared" ref="DT325:DT342" si="144">IF(AF325="×要是正（既存不適格以外）","要是正","")&amp;IF(AF325="△既存不適格","既存不適格","")</f>
        <v/>
      </c>
      <c r="DU325" s="452" t="str">
        <f t="shared" ref="DU325:DU347" si="145">IF(HV325="","",HV325)</f>
        <v/>
      </c>
      <c r="DV325" s="515" t="str">
        <f>IF($DT325="要是正",MAX($DV$306:DV322)+1,"")</f>
        <v/>
      </c>
      <c r="DW325" s="516" t="str">
        <f t="shared" ref="DW325:DW342" si="146">IF(OR(AF325="×要是正（既存不適格以外）",AF325="△既存不適格"),DQ325,"")</f>
        <v/>
      </c>
      <c r="DX325" s="119" t="str">
        <f>IF(OR($DT325="要是正",$DT325="既存不適格"),$DR325,"")</f>
        <v/>
      </c>
      <c r="DY325" s="33" t="str">
        <f t="shared" ref="DY325:DY342" si="147">IF($DT325="要是正",IF(AT325="","",DQ325 &amp;" " &amp; AT325),"")</f>
        <v/>
      </c>
      <c r="DZ325" s="217" t="str">
        <f t="shared" ref="DZ325:DZ342" si="148">IF($DT325="要是正",IF(BD325="","",BD325),"")</f>
        <v/>
      </c>
      <c r="EA325" s="397" t="str">
        <f t="shared" ref="EA325:EA347" si="149">IF(BY325="未定","未定",IF(FR325="0","",IF(BY325="予定","("&amp;DL325&amp;")",IF(BY325="改善済",DL325,DL325))))</f>
        <v/>
      </c>
      <c r="EB325" s="234" t="str">
        <f t="shared" ref="EB325:EB347" si="150">IF(OR(DT325="要是正",DT325="既存不適格"),IF(OR(DS325&lt;2,BY325&lt;&gt;"予定"),"",DK325),"")</f>
        <v/>
      </c>
      <c r="EC325" s="227" t="str">
        <f t="shared" ref="EC325:EC347" si="151">IF(EB325="","0",EB325)</f>
        <v>0</v>
      </c>
      <c r="ED325" s="148" t="str">
        <f>IF(DT325="要是正",IF(AND(BY325="予定",DS325=2),1,IF(BY325="改善済",2,"")),"")</f>
        <v/>
      </c>
      <c r="EE325" s="227" t="str">
        <f>IF(ED325=1,EC325,"0")</f>
        <v>0</v>
      </c>
      <c r="EF325" s="598" t="str">
        <f t="shared" ref="EF325:EF342" si="152">IF(AND(DT325="要是正",AND(DS325=0,BY325="未定")),BY325,"")</f>
        <v/>
      </c>
      <c r="EG325" s="204" t="str">
        <f t="shared" ref="EG325:EG347" si="153">IF(DT325="既存不適格",IF(OR(DS325&lt;2,BY325&lt;&gt;"予定"),"",DK325),"")</f>
        <v/>
      </c>
      <c r="EH325" s="134" t="str">
        <f t="shared" ref="EH325:EH347" si="154">IF(EG325="","0",EG325)</f>
        <v>0</v>
      </c>
      <c r="EI325" s="148" t="str">
        <f>IF(DT325="既存不適格",IF(AND(BY325="予定",DS325=2),1,IF(BY325="改善済",2,"")),"")</f>
        <v/>
      </c>
      <c r="EJ325" s="227" t="str">
        <f>IF(EI325=1,EH325,"0")</f>
        <v>0</v>
      </c>
      <c r="EK325" s="451" t="str">
        <f t="shared" ref="EK325:EK342" si="155">IF(AND(DT325="既存不適格",AND(DS325=0,BY325="未定")),BY325,"")</f>
        <v/>
      </c>
      <c r="EL325" s="452" t="e">
        <f t="shared" ref="EL325:EL342" si="156">VLOOKUP($DU325,$EO$306:$ER$334,2,FALSE)</f>
        <v>#N/A</v>
      </c>
      <c r="EM325" s="151" t="e">
        <f t="shared" ref="EM325:EM342" si="157">VLOOKUP($DU325,$EO$306:$ER$334,3,FALSE)</f>
        <v>#N/A</v>
      </c>
      <c r="EN325" s="453" t="e">
        <f t="shared" ref="EN325:EN342" si="158">VLOOKUP($DU325,$EO$306:$ER$334,4,FALSE)</f>
        <v>#N/A</v>
      </c>
      <c r="EO325" s="520">
        <v>11</v>
      </c>
      <c r="EP325" s="112" t="s">
        <v>1128</v>
      </c>
      <c r="EQ325" s="112" t="s">
        <v>1100</v>
      </c>
      <c r="ER325" s="220" t="s">
        <v>1118</v>
      </c>
      <c r="FK325" s="597" t="str">
        <f t="shared" ref="FK325:FK347" si="159">IF($AF325="○指摘なし","○",IF($AF325="―対象外","―",""))</f>
        <v/>
      </c>
      <c r="FL325" s="597" t="str">
        <f t="shared" si="71"/>
        <v/>
      </c>
      <c r="FM325" s="597" t="str">
        <f t="shared" si="72"/>
        <v/>
      </c>
      <c r="FN325" s="597">
        <f t="shared" ref="FN325:FN342" si="160">AR325</f>
        <v>0</v>
      </c>
      <c r="FO325" s="1163" t="str">
        <f t="shared" ref="FO325:FO347" si="161">IF($AF325="―対象外","○","")</f>
        <v/>
      </c>
      <c r="FQ325" s="234" t="str">
        <f t="shared" ref="FQ325:FQ347" si="162">IF(NOT(OR(BY325="未定",BY325="")),DK325,"")</f>
        <v/>
      </c>
      <c r="FR325" s="227" t="str">
        <f t="shared" ref="FR325:FR347" si="163">IF(FQ325="","0",FQ325)</f>
        <v>0</v>
      </c>
      <c r="FS325" s="148" t="str">
        <f>IF(OR(BY325="予定",BY325="改善済"),1,"")</f>
        <v/>
      </c>
      <c r="FT325" s="227" t="str">
        <f>IF(FS325=1,FR325,"0")</f>
        <v>0</v>
      </c>
      <c r="FU325" s="416" t="str">
        <f t="shared" ref="FU325:FU342" si="164">IF(AND(DT325="要是正",AND(DS325=0,BY325="未定")),BY325,"")</f>
        <v/>
      </c>
      <c r="FW325" s="1160">
        <f t="shared" si="78"/>
        <v>0</v>
      </c>
      <c r="FX325" s="123"/>
      <c r="FY325" s="123"/>
      <c r="FZ325" s="1161"/>
      <c r="GA325" s="34"/>
      <c r="GB325" s="1149">
        <f t="shared" si="79"/>
        <v>0</v>
      </c>
      <c r="GC325" s="1149">
        <f t="shared" si="80"/>
        <v>0</v>
      </c>
      <c r="GD325" s="1149">
        <f t="shared" si="81"/>
        <v>0</v>
      </c>
      <c r="GE325" s="1149" t="str">
        <f t="shared" ref="GE325:GE347" si="165">IF(GE$306=$M325,$BY$512,"")</f>
        <v/>
      </c>
      <c r="GF325" s="1149" t="str">
        <f t="shared" ref="GF325:GF347" si="166">IF(GF$306=$M325,$BY$513,"")</f>
        <v/>
      </c>
      <c r="GG325" s="1149" t="str">
        <f t="shared" ref="GG325:GG347" si="167">IF(GG$306=$M325,$BY$514,"")</f>
        <v/>
      </c>
      <c r="GH325" s="1149" t="str">
        <f t="shared" ref="GH325:GH347" si="168">IF(GH$306=$M325,$BY$515,"")</f>
        <v/>
      </c>
      <c r="GI325" s="1149" t="str">
        <f t="shared" ref="GI325:GI347" si="169">IF(GI$306=$M325,$BY$516,"")</f>
        <v/>
      </c>
      <c r="GJ325" s="1149" t="str">
        <f t="shared" ref="GJ325:GJ347" si="170">IF(GJ$306=$M325,$BY$517,"")</f>
        <v/>
      </c>
      <c r="GK325" s="1149" t="str">
        <f t="shared" ref="GK325:GK347" si="171">IF(GK$306=$M325,$BY$518,"")</f>
        <v/>
      </c>
      <c r="GL325" s="1149" t="str">
        <f t="shared" ref="GL325:GL347" si="172">IF(GL$306=$M325,$BY$519,"")</f>
        <v/>
      </c>
      <c r="GM325" s="1149" t="str">
        <f t="shared" ref="GM325:GM347" si="173">IF(GM$306=$M325,$BY$520,"")</f>
        <v/>
      </c>
      <c r="GN325" s="1149" t="str">
        <f t="shared" ref="GN325:GN347" si="174">IF(GN$306=$M325,$BY$521,"")</f>
        <v/>
      </c>
      <c r="GO325" s="1149" t="str">
        <f t="shared" ref="GO325:GO347" si="175">IF(GO$306=$M325,$BY$522,"")</f>
        <v/>
      </c>
      <c r="GP325" s="1149" t="str">
        <f t="shared" ref="GP325:GP347" si="176">IF(GP$306=$M325,$BY$523,"")</f>
        <v/>
      </c>
      <c r="GQ325" s="1149" t="str">
        <f t="shared" ref="GQ325:GQ347" si="177">IF(GQ$306=$M325,$BY$524,"")</f>
        <v/>
      </c>
      <c r="GR325" s="1149" t="str">
        <f t="shared" ref="GR325:GR347" si="178">IF(GR$306=$M325,$BY$525,"")</f>
        <v/>
      </c>
      <c r="GS325" s="1149" t="str">
        <f t="shared" ref="GS325:GS347" si="179">IF(GS$306=$M325,$BY$526,"")</f>
        <v/>
      </c>
      <c r="GT325" s="1149">
        <f t="shared" si="82"/>
        <v>0</v>
      </c>
      <c r="GU325" s="1149">
        <f t="shared" si="83"/>
        <v>0</v>
      </c>
      <c r="GV325" s="1149">
        <f t="shared" si="84"/>
        <v>0</v>
      </c>
      <c r="GW325" s="1149" t="b">
        <f t="shared" si="85"/>
        <v>0</v>
      </c>
      <c r="GX325" s="1149" t="b">
        <f t="shared" si="86"/>
        <v>0</v>
      </c>
      <c r="GY325" s="1149" t="b">
        <f t="shared" si="87"/>
        <v>0</v>
      </c>
      <c r="GZ325" s="1149" t="str">
        <f t="shared" ref="GZ325:GZ388" si="180">IF(GW325,"有",IF(GY325,"無",""))&amp;IF(GX325,IF(OR(GW325,GY325),"（一部改善済）","改善済"),"")</f>
        <v/>
      </c>
      <c r="HB325" s="1149" t="str">
        <f t="shared" si="89"/>
        <v/>
      </c>
      <c r="HC325" s="1149" t="str">
        <f t="shared" si="90"/>
        <v/>
      </c>
      <c r="HD325" s="1149" t="str">
        <f t="shared" si="91"/>
        <v/>
      </c>
      <c r="HE325" s="1149" t="str">
        <f t="shared" si="92"/>
        <v/>
      </c>
      <c r="HF325" s="1149" t="str">
        <f t="shared" si="93"/>
        <v/>
      </c>
      <c r="HG325" s="1149" t="str">
        <f t="shared" si="94"/>
        <v/>
      </c>
      <c r="HH325" s="1149" t="str">
        <f t="shared" si="95"/>
        <v/>
      </c>
      <c r="HI325" s="1149" t="str">
        <f t="shared" si="96"/>
        <v/>
      </c>
      <c r="HJ325" s="1149" t="str">
        <f t="shared" si="97"/>
        <v/>
      </c>
      <c r="HK325" s="1149" t="str">
        <f t="shared" si="98"/>
        <v/>
      </c>
      <c r="HL325" s="1149" t="str">
        <f t="shared" si="99"/>
        <v/>
      </c>
      <c r="HM325" s="1149" t="str">
        <f t="shared" si="100"/>
        <v/>
      </c>
      <c r="HN325" s="1149" t="str">
        <f t="shared" si="101"/>
        <v/>
      </c>
      <c r="HO325" s="1149" t="str">
        <f t="shared" si="102"/>
        <v/>
      </c>
      <c r="HP325" s="1149" t="str">
        <f t="shared" si="103"/>
        <v/>
      </c>
      <c r="HQ325" s="1149" t="str">
        <f t="shared" si="104"/>
        <v/>
      </c>
      <c r="HR325" s="1149" t="str">
        <f t="shared" si="105"/>
        <v/>
      </c>
      <c r="HT325" s="1149">
        <f>LEFT(M325,1)*10000+MID(M325,3,LEN(M325)-3)*100+COUNTIF($M$307:M325,M325)</f>
        <v>20101</v>
      </c>
      <c r="HU325" s="1149" t="str">
        <f t="shared" si="106"/>
        <v/>
      </c>
      <c r="HV325" s="1149" t="str">
        <f t="shared" si="107"/>
        <v/>
      </c>
      <c r="HW325" s="1149" t="str">
        <f t="shared" si="108"/>
        <v/>
      </c>
      <c r="HX325" s="1149" t="str">
        <f t="shared" si="109"/>
        <v/>
      </c>
    </row>
    <row r="326" spans="1:232" s="69" customFormat="1" ht="50.15" customHeight="1">
      <c r="A326" s="645"/>
      <c r="B326" s="645"/>
      <c r="C326" s="645"/>
      <c r="D326" s="645"/>
      <c r="E326" s="646"/>
      <c r="F326" s="381"/>
      <c r="G326" s="381"/>
      <c r="H326" s="381"/>
      <c r="J326" s="80"/>
      <c r="K326" s="89"/>
      <c r="L326" s="89"/>
      <c r="M326" s="2079" t="s">
        <v>1197</v>
      </c>
      <c r="N326" s="2079"/>
      <c r="O326" s="2080"/>
      <c r="P326" s="1966"/>
      <c r="Q326" s="1966"/>
      <c r="R326" s="2065"/>
      <c r="S326" s="2065"/>
      <c r="T326" s="2065"/>
      <c r="U326" s="1966" t="s">
        <v>52</v>
      </c>
      <c r="V326" s="1966"/>
      <c r="W326" s="1966"/>
      <c r="X326" s="1966"/>
      <c r="Y326" s="1966"/>
      <c r="Z326" s="1966"/>
      <c r="AA326" s="1966"/>
      <c r="AB326" s="1966"/>
      <c r="AC326" s="1966"/>
      <c r="AD326" s="1966"/>
      <c r="AE326" s="1966"/>
      <c r="AF326" s="1995"/>
      <c r="AG326" s="1995"/>
      <c r="AH326" s="1995"/>
      <c r="AI326" s="1995"/>
      <c r="AJ326" s="1995"/>
      <c r="AK326" s="1995"/>
      <c r="AL326" s="1995"/>
      <c r="AM326" s="1995"/>
      <c r="AN326" s="1995"/>
      <c r="AO326" s="1995"/>
      <c r="AP326" s="1995"/>
      <c r="AQ326" s="1995"/>
      <c r="AR326" s="1957"/>
      <c r="AS326" s="1957"/>
      <c r="AT326" s="1928"/>
      <c r="AU326" s="1928"/>
      <c r="AV326" s="1928"/>
      <c r="AW326" s="1928"/>
      <c r="AX326" s="1928"/>
      <c r="AY326" s="1928"/>
      <c r="AZ326" s="1928"/>
      <c r="BA326" s="1928"/>
      <c r="BB326" s="1928"/>
      <c r="BC326" s="1928"/>
      <c r="BD326" s="1928"/>
      <c r="BE326" s="1928"/>
      <c r="BF326" s="1928"/>
      <c r="BG326" s="1928"/>
      <c r="BH326" s="1928"/>
      <c r="BI326" s="1928"/>
      <c r="BJ326" s="1928"/>
      <c r="BK326" s="1928"/>
      <c r="BL326" s="1928"/>
      <c r="BM326" s="1928"/>
      <c r="BN326" s="1928"/>
      <c r="BO326" s="1928"/>
      <c r="BP326" s="1928"/>
      <c r="BQ326" s="1928"/>
      <c r="BR326" s="1928"/>
      <c r="BS326" s="1998"/>
      <c r="BT326" s="1998"/>
      <c r="BU326" s="1998"/>
      <c r="BV326" s="1989"/>
      <c r="BW326" s="1989"/>
      <c r="BX326" s="1989"/>
      <c r="BY326" s="1989"/>
      <c r="BZ326" s="1990"/>
      <c r="CA326" s="1990"/>
      <c r="CB326" s="2338"/>
      <c r="CC326" s="2339"/>
      <c r="CD326" s="2339"/>
      <c r="CE326" s="2339"/>
      <c r="CF326" s="2339"/>
      <c r="CG326" s="2339"/>
      <c r="CH326" s="2339"/>
      <c r="CI326" s="2339"/>
      <c r="CJ326" s="2339"/>
      <c r="CK326" s="2339"/>
      <c r="CL326" s="2339"/>
      <c r="CM326" s="2339"/>
      <c r="CN326" s="2339"/>
      <c r="CO326" s="2339"/>
      <c r="CP326" s="2339"/>
      <c r="CQ326" s="2339"/>
      <c r="CR326" s="2339"/>
      <c r="CS326" s="2339"/>
      <c r="CT326" s="2339"/>
      <c r="CU326" s="2340"/>
      <c r="CV326" s="2360" t="str">
        <f t="shared" si="138"/>
        <v/>
      </c>
      <c r="CW326" s="2360"/>
      <c r="CX326" s="2360"/>
      <c r="CY326" s="2360"/>
      <c r="CZ326" s="2360"/>
      <c r="DA326" s="2360"/>
      <c r="DC326" s="600" t="str">
        <f t="shared" ref="DC326:DC342" si="181">IF(AND(DU326&lt;&gt;"",DU326&gt;20),"「別途様式を作成、提出してください。」","")</f>
        <v/>
      </c>
      <c r="DD326" s="381"/>
      <c r="DF326" s="34"/>
      <c r="DG326" s="34"/>
      <c r="DH326" s="34"/>
      <c r="DI326" s="34"/>
      <c r="DJ326" s="858" t="s">
        <v>5637</v>
      </c>
      <c r="DK326" s="1707" t="str">
        <f t="shared" ref="DK326:DK347" si="182">IF(DS326=2,DATE(VLOOKUP(DJ326,$DU$6:$DV$9,2,FALSE)+BS326,BV326,1),"")</f>
        <v/>
      </c>
      <c r="DL326" s="1692" t="str">
        <f t="shared" ref="DL326:DL347" si="183">IF(DS326=2,DJ326&amp;BS326&amp;"."&amp;BV326,"")</f>
        <v/>
      </c>
      <c r="DM326" s="1691">
        <f t="shared" si="139"/>
        <v>0</v>
      </c>
      <c r="DN326" s="111">
        <f t="shared" si="140"/>
        <v>0</v>
      </c>
      <c r="DO326" s="111">
        <f t="shared" si="141"/>
        <v>0</v>
      </c>
      <c r="DP326" s="474">
        <f t="shared" si="142"/>
        <v>0</v>
      </c>
      <c r="DQ326" s="115" t="s">
        <v>252</v>
      </c>
      <c r="DR326" s="473" t="str">
        <f>IF($U326="",P325,U326)</f>
        <v>基礎の劣化及び損傷の状況</v>
      </c>
      <c r="DS326" s="112">
        <f t="shared" si="143"/>
        <v>0</v>
      </c>
      <c r="DT326" s="118" t="str">
        <f t="shared" si="144"/>
        <v/>
      </c>
      <c r="DU326" s="452" t="str">
        <f t="shared" si="145"/>
        <v/>
      </c>
      <c r="DV326" s="151" t="str">
        <f>IF($DT326="要是正",MAX($DV$321:DV325)+1,"")</f>
        <v/>
      </c>
      <c r="DW326" s="485" t="str">
        <f t="shared" si="146"/>
        <v/>
      </c>
      <c r="DX326" s="119" t="str">
        <f t="shared" ref="DX326:DX347" si="184">IF(OR($DT326="要是正",$DT326="既存不適格"),$DR326,"")</f>
        <v/>
      </c>
      <c r="DY326" s="33" t="str">
        <f t="shared" si="147"/>
        <v/>
      </c>
      <c r="DZ326" s="217" t="str">
        <f t="shared" si="148"/>
        <v/>
      </c>
      <c r="EA326" s="397" t="str">
        <f t="shared" si="149"/>
        <v/>
      </c>
      <c r="EB326" s="234" t="str">
        <f t="shared" si="150"/>
        <v/>
      </c>
      <c r="EC326" s="227" t="str">
        <f t="shared" si="151"/>
        <v>0</v>
      </c>
      <c r="ED326" s="148" t="str">
        <f t="shared" ref="ED326:ED342" si="185">IF(DT326="要是正",IF(AND(BY326="予定",DS326=2),1,IF(BY326="改善済",2,"")),"")</f>
        <v/>
      </c>
      <c r="EE326" s="227" t="str">
        <f t="shared" ref="EE326:EE342" si="186">IF(ED326=1,EC326,"0")</f>
        <v>0</v>
      </c>
      <c r="EF326" s="598" t="str">
        <f t="shared" si="152"/>
        <v/>
      </c>
      <c r="EG326" s="204" t="str">
        <f t="shared" si="153"/>
        <v/>
      </c>
      <c r="EH326" s="134" t="str">
        <f t="shared" si="154"/>
        <v>0</v>
      </c>
      <c r="EI326" s="148" t="str">
        <f t="shared" ref="EI326:EI342" si="187">IF(DT326="既存不適格",IF(AND(BY326="予定",DS326=2),1,IF(BY326="改善済",2,"")),"")</f>
        <v/>
      </c>
      <c r="EJ326" s="227" t="str">
        <f t="shared" ref="EJ326:EJ342" si="188">IF(EI326=1,EH326,"0")</f>
        <v>0</v>
      </c>
      <c r="EK326" s="451" t="str">
        <f t="shared" si="155"/>
        <v/>
      </c>
      <c r="EL326" s="452" t="e">
        <f t="shared" si="156"/>
        <v>#N/A</v>
      </c>
      <c r="EM326" s="151" t="e">
        <f t="shared" si="157"/>
        <v>#N/A</v>
      </c>
      <c r="EN326" s="453" t="e">
        <f t="shared" si="158"/>
        <v>#N/A</v>
      </c>
      <c r="EO326" s="520">
        <v>12</v>
      </c>
      <c r="EP326" s="112" t="s">
        <v>1128</v>
      </c>
      <c r="EQ326" s="112" t="s">
        <v>1101</v>
      </c>
      <c r="ER326" s="220" t="s">
        <v>1119</v>
      </c>
      <c r="FK326" s="597" t="str">
        <f t="shared" si="159"/>
        <v/>
      </c>
      <c r="FL326" s="597" t="str">
        <f t="shared" si="71"/>
        <v/>
      </c>
      <c r="FM326" s="597" t="str">
        <f t="shared" si="72"/>
        <v/>
      </c>
      <c r="FN326" s="597">
        <f t="shared" si="160"/>
        <v>0</v>
      </c>
      <c r="FO326" s="1163" t="str">
        <f t="shared" si="161"/>
        <v/>
      </c>
      <c r="FQ326" s="234" t="str">
        <f t="shared" si="162"/>
        <v/>
      </c>
      <c r="FR326" s="227" t="str">
        <f t="shared" si="163"/>
        <v>0</v>
      </c>
      <c r="FS326" s="148" t="str">
        <f t="shared" ref="FS326:FS342" si="189">IF(OR(BY326="予定",BY326="改善済"),1,"")</f>
        <v/>
      </c>
      <c r="FT326" s="227" t="str">
        <f t="shared" ref="FT326:FT342" si="190">IF(FS326=1,FR326,"0")</f>
        <v>0</v>
      </c>
      <c r="FU326" s="416" t="str">
        <f t="shared" si="164"/>
        <v/>
      </c>
      <c r="FW326" s="1160">
        <f t="shared" si="78"/>
        <v>0</v>
      </c>
      <c r="FX326" s="123"/>
      <c r="FY326" s="123"/>
      <c r="FZ326" s="1161"/>
      <c r="GA326" s="34"/>
      <c r="GB326" s="1149">
        <f t="shared" si="79"/>
        <v>0</v>
      </c>
      <c r="GC326" s="1149">
        <f t="shared" si="80"/>
        <v>0</v>
      </c>
      <c r="GD326" s="1149">
        <f t="shared" si="81"/>
        <v>0</v>
      </c>
      <c r="GE326" s="1149" t="str">
        <f t="shared" si="165"/>
        <v/>
      </c>
      <c r="GF326" s="1149" t="str">
        <f t="shared" si="166"/>
        <v/>
      </c>
      <c r="GG326" s="1149" t="str">
        <f t="shared" si="167"/>
        <v/>
      </c>
      <c r="GH326" s="1149" t="str">
        <f t="shared" si="168"/>
        <v/>
      </c>
      <c r="GI326" s="1149" t="str">
        <f t="shared" si="169"/>
        <v/>
      </c>
      <c r="GJ326" s="1149" t="str">
        <f t="shared" si="170"/>
        <v/>
      </c>
      <c r="GK326" s="1149" t="str">
        <f t="shared" si="171"/>
        <v/>
      </c>
      <c r="GL326" s="1149" t="str">
        <f t="shared" si="172"/>
        <v/>
      </c>
      <c r="GM326" s="1149" t="str">
        <f t="shared" si="173"/>
        <v/>
      </c>
      <c r="GN326" s="1149" t="str">
        <f t="shared" si="174"/>
        <v/>
      </c>
      <c r="GO326" s="1149" t="str">
        <f t="shared" si="175"/>
        <v/>
      </c>
      <c r="GP326" s="1149" t="str">
        <f t="shared" si="176"/>
        <v/>
      </c>
      <c r="GQ326" s="1149" t="str">
        <f t="shared" si="177"/>
        <v/>
      </c>
      <c r="GR326" s="1149" t="str">
        <f t="shared" si="178"/>
        <v/>
      </c>
      <c r="GS326" s="1149" t="str">
        <f t="shared" si="179"/>
        <v/>
      </c>
      <c r="GT326" s="1149">
        <f t="shared" si="82"/>
        <v>0</v>
      </c>
      <c r="GU326" s="1149">
        <f t="shared" si="83"/>
        <v>0</v>
      </c>
      <c r="GV326" s="1149">
        <f t="shared" si="84"/>
        <v>0</v>
      </c>
      <c r="GW326" s="1149" t="b">
        <f t="shared" si="85"/>
        <v>0</v>
      </c>
      <c r="GX326" s="1149" t="b">
        <f t="shared" si="86"/>
        <v>0</v>
      </c>
      <c r="GY326" s="1149" t="b">
        <f t="shared" si="87"/>
        <v>0</v>
      </c>
      <c r="GZ326" s="1149" t="str">
        <f t="shared" si="180"/>
        <v/>
      </c>
      <c r="HB326" s="1149" t="str">
        <f t="shared" si="89"/>
        <v/>
      </c>
      <c r="HC326" s="1149" t="str">
        <f t="shared" si="90"/>
        <v/>
      </c>
      <c r="HD326" s="1149" t="str">
        <f t="shared" si="91"/>
        <v/>
      </c>
      <c r="HE326" s="1149" t="str">
        <f t="shared" si="92"/>
        <v/>
      </c>
      <c r="HF326" s="1149" t="str">
        <f t="shared" si="93"/>
        <v/>
      </c>
      <c r="HG326" s="1149" t="str">
        <f t="shared" si="94"/>
        <v/>
      </c>
      <c r="HH326" s="1149" t="str">
        <f t="shared" si="95"/>
        <v/>
      </c>
      <c r="HI326" s="1149" t="str">
        <f t="shared" si="96"/>
        <v/>
      </c>
      <c r="HJ326" s="1149" t="str">
        <f t="shared" si="97"/>
        <v/>
      </c>
      <c r="HK326" s="1149" t="str">
        <f t="shared" si="98"/>
        <v/>
      </c>
      <c r="HL326" s="1149" t="str">
        <f t="shared" si="99"/>
        <v/>
      </c>
      <c r="HM326" s="1149" t="str">
        <f t="shared" si="100"/>
        <v/>
      </c>
      <c r="HN326" s="1149" t="str">
        <f t="shared" si="101"/>
        <v/>
      </c>
      <c r="HO326" s="1149" t="str">
        <f t="shared" si="102"/>
        <v/>
      </c>
      <c r="HP326" s="1149" t="str">
        <f t="shared" si="103"/>
        <v/>
      </c>
      <c r="HQ326" s="1149" t="str">
        <f t="shared" si="104"/>
        <v/>
      </c>
      <c r="HR326" s="1149" t="str">
        <f t="shared" si="105"/>
        <v/>
      </c>
      <c r="HT326" s="1149">
        <f>LEFT(M326,1)*10000+MID(M326,3,LEN(M326)-3)*100+COUNTIF($M$307:M326,M326)</f>
        <v>20201</v>
      </c>
      <c r="HU326" s="1149" t="str">
        <f t="shared" si="106"/>
        <v/>
      </c>
      <c r="HV326" s="1149" t="str">
        <f t="shared" si="107"/>
        <v/>
      </c>
      <c r="HW326" s="1149" t="str">
        <f t="shared" si="108"/>
        <v/>
      </c>
      <c r="HX326" s="1149" t="str">
        <f t="shared" si="109"/>
        <v/>
      </c>
    </row>
    <row r="327" spans="1:232" s="69" customFormat="1" ht="50.15" customHeight="1">
      <c r="A327" s="645"/>
      <c r="B327" s="645"/>
      <c r="C327" s="645"/>
      <c r="D327" s="645"/>
      <c r="E327" s="646"/>
      <c r="F327" s="381"/>
      <c r="G327" s="381"/>
      <c r="H327" s="381"/>
      <c r="J327" s="80"/>
      <c r="K327" s="89"/>
      <c r="L327" s="89"/>
      <c r="M327" s="2079" t="s">
        <v>1198</v>
      </c>
      <c r="N327" s="2079"/>
      <c r="O327" s="2080"/>
      <c r="P327" s="1966" t="s">
        <v>174</v>
      </c>
      <c r="Q327" s="1966"/>
      <c r="R327" s="2065"/>
      <c r="S327" s="2065"/>
      <c r="T327" s="2065"/>
      <c r="U327" s="2011" t="s">
        <v>53</v>
      </c>
      <c r="V327" s="2011"/>
      <c r="W327" s="2011"/>
      <c r="X327" s="2011"/>
      <c r="Y327" s="2011"/>
      <c r="Z327" s="2011"/>
      <c r="AA327" s="2011"/>
      <c r="AB327" s="2011"/>
      <c r="AC327" s="2011"/>
      <c r="AD327" s="2011"/>
      <c r="AE327" s="2011"/>
      <c r="AF327" s="2010"/>
      <c r="AG327" s="2010"/>
      <c r="AH327" s="2010"/>
      <c r="AI327" s="2010"/>
      <c r="AJ327" s="2010"/>
      <c r="AK327" s="2010"/>
      <c r="AL327" s="2010"/>
      <c r="AM327" s="2010"/>
      <c r="AN327" s="2010"/>
      <c r="AO327" s="2010"/>
      <c r="AP327" s="2010"/>
      <c r="AQ327" s="2010"/>
      <c r="AR327" s="2017"/>
      <c r="AS327" s="2017"/>
      <c r="AT327" s="1929"/>
      <c r="AU327" s="1929"/>
      <c r="AV327" s="1929"/>
      <c r="AW327" s="1929"/>
      <c r="AX327" s="1929"/>
      <c r="AY327" s="1929"/>
      <c r="AZ327" s="1929"/>
      <c r="BA327" s="1929"/>
      <c r="BB327" s="1929"/>
      <c r="BC327" s="1929"/>
      <c r="BD327" s="1929"/>
      <c r="BE327" s="1929"/>
      <c r="BF327" s="1929"/>
      <c r="BG327" s="1929"/>
      <c r="BH327" s="1929"/>
      <c r="BI327" s="1929"/>
      <c r="BJ327" s="1929"/>
      <c r="BK327" s="1929"/>
      <c r="BL327" s="1929"/>
      <c r="BM327" s="1929"/>
      <c r="BN327" s="1929"/>
      <c r="BO327" s="1929"/>
      <c r="BP327" s="1929"/>
      <c r="BQ327" s="1929"/>
      <c r="BR327" s="1929"/>
      <c r="BS327" s="1885"/>
      <c r="BT327" s="1885"/>
      <c r="BU327" s="1885"/>
      <c r="BV327" s="1890"/>
      <c r="BW327" s="1890"/>
      <c r="BX327" s="1890"/>
      <c r="BY327" s="1890"/>
      <c r="BZ327" s="1891"/>
      <c r="CA327" s="1891"/>
      <c r="CB327" s="1925"/>
      <c r="CC327" s="1926"/>
      <c r="CD327" s="1926"/>
      <c r="CE327" s="1926"/>
      <c r="CF327" s="1926"/>
      <c r="CG327" s="1926"/>
      <c r="CH327" s="1926"/>
      <c r="CI327" s="1926"/>
      <c r="CJ327" s="1926"/>
      <c r="CK327" s="1926"/>
      <c r="CL327" s="1926"/>
      <c r="CM327" s="1926"/>
      <c r="CN327" s="1926"/>
      <c r="CO327" s="1926"/>
      <c r="CP327" s="1926"/>
      <c r="CQ327" s="1926"/>
      <c r="CR327" s="1926"/>
      <c r="CS327" s="1926"/>
      <c r="CT327" s="1926"/>
      <c r="CU327" s="1927"/>
      <c r="CV327" s="2360" t="str">
        <f t="shared" si="138"/>
        <v/>
      </c>
      <c r="CW327" s="2360"/>
      <c r="CX327" s="2360"/>
      <c r="CY327" s="2360"/>
      <c r="CZ327" s="2360"/>
      <c r="DA327" s="2360"/>
      <c r="DC327" s="600" t="str">
        <f t="shared" si="181"/>
        <v/>
      </c>
      <c r="DD327" s="381"/>
      <c r="DF327" s="34"/>
      <c r="DG327" s="34"/>
      <c r="DH327" s="34"/>
      <c r="DI327" s="34"/>
      <c r="DJ327" s="858" t="s">
        <v>5637</v>
      </c>
      <c r="DK327" s="1707" t="str">
        <f t="shared" si="182"/>
        <v/>
      </c>
      <c r="DL327" s="1692" t="str">
        <f t="shared" si="183"/>
        <v/>
      </c>
      <c r="DM327" s="1691">
        <f t="shared" si="139"/>
        <v>0</v>
      </c>
      <c r="DN327" s="111">
        <f t="shared" si="140"/>
        <v>0</v>
      </c>
      <c r="DO327" s="111">
        <f t="shared" si="141"/>
        <v>0</v>
      </c>
      <c r="DP327" s="474">
        <f t="shared" si="142"/>
        <v>0</v>
      </c>
      <c r="DQ327" s="115" t="s">
        <v>253</v>
      </c>
      <c r="DR327" s="473" t="str">
        <f>IF($U327="",P327,U327)</f>
        <v>土台の沈下等の状況</v>
      </c>
      <c r="DS327" s="112">
        <f t="shared" si="143"/>
        <v>0</v>
      </c>
      <c r="DT327" s="118" t="str">
        <f t="shared" si="144"/>
        <v/>
      </c>
      <c r="DU327" s="452" t="str">
        <f t="shared" si="145"/>
        <v/>
      </c>
      <c r="DV327" s="151" t="str">
        <f>IF($DT327="要是正",MAX($DV$321:DV326)+1,"")</f>
        <v/>
      </c>
      <c r="DW327" s="485" t="str">
        <f t="shared" si="146"/>
        <v/>
      </c>
      <c r="DX327" s="119" t="str">
        <f t="shared" si="184"/>
        <v/>
      </c>
      <c r="DY327" s="33" t="str">
        <f t="shared" si="147"/>
        <v/>
      </c>
      <c r="DZ327" s="217" t="str">
        <f t="shared" si="148"/>
        <v/>
      </c>
      <c r="EA327" s="397" t="str">
        <f t="shared" si="149"/>
        <v/>
      </c>
      <c r="EB327" s="234" t="str">
        <f t="shared" si="150"/>
        <v/>
      </c>
      <c r="EC327" s="227" t="str">
        <f t="shared" si="151"/>
        <v>0</v>
      </c>
      <c r="ED327" s="148" t="str">
        <f t="shared" si="185"/>
        <v/>
      </c>
      <c r="EE327" s="227" t="str">
        <f t="shared" si="186"/>
        <v>0</v>
      </c>
      <c r="EF327" s="598" t="str">
        <f t="shared" si="152"/>
        <v/>
      </c>
      <c r="EG327" s="204" t="str">
        <f t="shared" si="153"/>
        <v/>
      </c>
      <c r="EH327" s="134" t="str">
        <f t="shared" si="154"/>
        <v>0</v>
      </c>
      <c r="EI327" s="148" t="str">
        <f t="shared" si="187"/>
        <v/>
      </c>
      <c r="EJ327" s="227" t="str">
        <f t="shared" si="188"/>
        <v>0</v>
      </c>
      <c r="EK327" s="451" t="str">
        <f t="shared" si="155"/>
        <v/>
      </c>
      <c r="EL327" s="452" t="e">
        <f t="shared" si="156"/>
        <v>#N/A</v>
      </c>
      <c r="EM327" s="151" t="e">
        <f t="shared" si="157"/>
        <v>#N/A</v>
      </c>
      <c r="EN327" s="453" t="e">
        <f t="shared" si="158"/>
        <v>#N/A</v>
      </c>
      <c r="EO327" s="520">
        <v>13</v>
      </c>
      <c r="EP327" s="112" t="s">
        <v>1128</v>
      </c>
      <c r="EQ327" s="112" t="s">
        <v>1102</v>
      </c>
      <c r="ER327" s="220" t="s">
        <v>1120</v>
      </c>
      <c r="FK327" s="597" t="str">
        <f t="shared" si="159"/>
        <v/>
      </c>
      <c r="FL327" s="597" t="str">
        <f t="shared" si="71"/>
        <v/>
      </c>
      <c r="FM327" s="597" t="str">
        <f t="shared" si="72"/>
        <v/>
      </c>
      <c r="FN327" s="597">
        <f t="shared" si="160"/>
        <v>0</v>
      </c>
      <c r="FO327" s="1163" t="str">
        <f t="shared" si="161"/>
        <v/>
      </c>
      <c r="FQ327" s="234" t="str">
        <f t="shared" si="162"/>
        <v/>
      </c>
      <c r="FR327" s="227" t="str">
        <f t="shared" si="163"/>
        <v>0</v>
      </c>
      <c r="FS327" s="148" t="str">
        <f t="shared" si="189"/>
        <v/>
      </c>
      <c r="FT327" s="227" t="str">
        <f t="shared" si="190"/>
        <v>0</v>
      </c>
      <c r="FU327" s="416" t="str">
        <f t="shared" si="164"/>
        <v/>
      </c>
      <c r="FW327" s="1160">
        <f t="shared" si="78"/>
        <v>0</v>
      </c>
      <c r="FX327" s="123"/>
      <c r="FY327" s="123"/>
      <c r="FZ327" s="1161"/>
      <c r="GA327" s="34"/>
      <c r="GB327" s="1149">
        <f t="shared" si="79"/>
        <v>0</v>
      </c>
      <c r="GC327" s="1149">
        <f t="shared" si="80"/>
        <v>0</v>
      </c>
      <c r="GD327" s="1149">
        <f t="shared" si="81"/>
        <v>0</v>
      </c>
      <c r="GE327" s="1149" t="str">
        <f t="shared" si="165"/>
        <v/>
      </c>
      <c r="GF327" s="1149" t="str">
        <f t="shared" si="166"/>
        <v/>
      </c>
      <c r="GG327" s="1149" t="str">
        <f t="shared" si="167"/>
        <v/>
      </c>
      <c r="GH327" s="1149" t="str">
        <f t="shared" si="168"/>
        <v/>
      </c>
      <c r="GI327" s="1149" t="str">
        <f t="shared" si="169"/>
        <v/>
      </c>
      <c r="GJ327" s="1149" t="str">
        <f t="shared" si="170"/>
        <v/>
      </c>
      <c r="GK327" s="1149" t="str">
        <f t="shared" si="171"/>
        <v/>
      </c>
      <c r="GL327" s="1149" t="str">
        <f t="shared" si="172"/>
        <v/>
      </c>
      <c r="GM327" s="1149" t="str">
        <f t="shared" si="173"/>
        <v/>
      </c>
      <c r="GN327" s="1149" t="str">
        <f t="shared" si="174"/>
        <v/>
      </c>
      <c r="GO327" s="1149" t="str">
        <f t="shared" si="175"/>
        <v/>
      </c>
      <c r="GP327" s="1149" t="str">
        <f t="shared" si="176"/>
        <v/>
      </c>
      <c r="GQ327" s="1149" t="str">
        <f t="shared" si="177"/>
        <v/>
      </c>
      <c r="GR327" s="1149" t="str">
        <f t="shared" si="178"/>
        <v/>
      </c>
      <c r="GS327" s="1149" t="str">
        <f t="shared" si="179"/>
        <v/>
      </c>
      <c r="GT327" s="1149">
        <f t="shared" si="82"/>
        <v>0</v>
      </c>
      <c r="GU327" s="1149">
        <f t="shared" si="83"/>
        <v>0</v>
      </c>
      <c r="GV327" s="1149">
        <f t="shared" si="84"/>
        <v>0</v>
      </c>
      <c r="GW327" s="1149" t="b">
        <f t="shared" si="85"/>
        <v>0</v>
      </c>
      <c r="GX327" s="1149" t="b">
        <f t="shared" si="86"/>
        <v>0</v>
      </c>
      <c r="GY327" s="1149" t="b">
        <f t="shared" si="87"/>
        <v>0</v>
      </c>
      <c r="GZ327" s="1149" t="str">
        <f t="shared" si="180"/>
        <v/>
      </c>
      <c r="HB327" s="1149" t="str">
        <f t="shared" si="89"/>
        <v/>
      </c>
      <c r="HC327" s="1149" t="str">
        <f t="shared" si="90"/>
        <v/>
      </c>
      <c r="HD327" s="1149" t="str">
        <f t="shared" si="91"/>
        <v/>
      </c>
      <c r="HE327" s="1149" t="str">
        <f t="shared" si="92"/>
        <v/>
      </c>
      <c r="HF327" s="1149" t="str">
        <f t="shared" si="93"/>
        <v/>
      </c>
      <c r="HG327" s="1149" t="str">
        <f t="shared" si="94"/>
        <v/>
      </c>
      <c r="HH327" s="1149" t="str">
        <f t="shared" si="95"/>
        <v/>
      </c>
      <c r="HI327" s="1149" t="str">
        <f t="shared" si="96"/>
        <v/>
      </c>
      <c r="HJ327" s="1149" t="str">
        <f t="shared" si="97"/>
        <v/>
      </c>
      <c r="HK327" s="1149" t="str">
        <f t="shared" si="98"/>
        <v/>
      </c>
      <c r="HL327" s="1149" t="str">
        <f t="shared" si="99"/>
        <v/>
      </c>
      <c r="HM327" s="1149" t="str">
        <f t="shared" si="100"/>
        <v/>
      </c>
      <c r="HN327" s="1149" t="str">
        <f t="shared" si="101"/>
        <v/>
      </c>
      <c r="HO327" s="1149" t="str">
        <f t="shared" si="102"/>
        <v/>
      </c>
      <c r="HP327" s="1149" t="str">
        <f t="shared" si="103"/>
        <v/>
      </c>
      <c r="HQ327" s="1149" t="str">
        <f t="shared" si="104"/>
        <v/>
      </c>
      <c r="HR327" s="1149" t="str">
        <f t="shared" si="105"/>
        <v/>
      </c>
      <c r="HT327" s="1149">
        <f>LEFT(M327,1)*10000+MID(M327,3,LEN(M327)-3)*100+COUNTIF($M$307:M327,M327)</f>
        <v>20301</v>
      </c>
      <c r="HU327" s="1149" t="str">
        <f t="shared" si="106"/>
        <v/>
      </c>
      <c r="HV327" s="1149" t="str">
        <f t="shared" si="107"/>
        <v/>
      </c>
      <c r="HW327" s="1149" t="str">
        <f t="shared" si="108"/>
        <v/>
      </c>
      <c r="HX327" s="1149" t="str">
        <f t="shared" si="109"/>
        <v/>
      </c>
    </row>
    <row r="328" spans="1:232" s="69" customFormat="1" ht="50.15" customHeight="1">
      <c r="A328" s="645"/>
      <c r="B328" s="645"/>
      <c r="C328" s="645"/>
      <c r="D328" s="645"/>
      <c r="E328" s="646"/>
      <c r="F328" s="381"/>
      <c r="G328" s="381"/>
      <c r="H328" s="381"/>
      <c r="J328" s="80"/>
      <c r="K328" s="89"/>
      <c r="L328" s="89"/>
      <c r="M328" s="2079" t="s">
        <v>1199</v>
      </c>
      <c r="N328" s="2079"/>
      <c r="O328" s="2080"/>
      <c r="P328" s="1966"/>
      <c r="Q328" s="1966"/>
      <c r="R328" s="2065"/>
      <c r="S328" s="2065"/>
      <c r="T328" s="2065"/>
      <c r="U328" s="2028" t="s">
        <v>54</v>
      </c>
      <c r="V328" s="2028"/>
      <c r="W328" s="2028"/>
      <c r="X328" s="2028"/>
      <c r="Y328" s="2028"/>
      <c r="Z328" s="2028"/>
      <c r="AA328" s="2028"/>
      <c r="AB328" s="2028"/>
      <c r="AC328" s="2028"/>
      <c r="AD328" s="2028"/>
      <c r="AE328" s="2028"/>
      <c r="AF328" s="2068"/>
      <c r="AG328" s="2068"/>
      <c r="AH328" s="2068"/>
      <c r="AI328" s="2068"/>
      <c r="AJ328" s="2068"/>
      <c r="AK328" s="2068"/>
      <c r="AL328" s="2068"/>
      <c r="AM328" s="2068"/>
      <c r="AN328" s="2068"/>
      <c r="AO328" s="2068"/>
      <c r="AP328" s="2068"/>
      <c r="AQ328" s="2068"/>
      <c r="AR328" s="1965"/>
      <c r="AS328" s="1965"/>
      <c r="AT328" s="1999"/>
      <c r="AU328" s="1999"/>
      <c r="AV328" s="1999"/>
      <c r="AW328" s="1999"/>
      <c r="AX328" s="1999"/>
      <c r="AY328" s="1999"/>
      <c r="AZ328" s="1999"/>
      <c r="BA328" s="1999"/>
      <c r="BB328" s="1999"/>
      <c r="BC328" s="1999"/>
      <c r="BD328" s="1999"/>
      <c r="BE328" s="1999"/>
      <c r="BF328" s="1999"/>
      <c r="BG328" s="1999"/>
      <c r="BH328" s="1999"/>
      <c r="BI328" s="1999"/>
      <c r="BJ328" s="1999"/>
      <c r="BK328" s="1999"/>
      <c r="BL328" s="1999"/>
      <c r="BM328" s="1999"/>
      <c r="BN328" s="1999"/>
      <c r="BO328" s="1999"/>
      <c r="BP328" s="1999"/>
      <c r="BQ328" s="1999"/>
      <c r="BR328" s="1999"/>
      <c r="BS328" s="2081"/>
      <c r="BT328" s="2081"/>
      <c r="BU328" s="2081"/>
      <c r="BV328" s="1923"/>
      <c r="BW328" s="1923"/>
      <c r="BX328" s="1923"/>
      <c r="BY328" s="1923"/>
      <c r="BZ328" s="1924"/>
      <c r="CA328" s="1924"/>
      <c r="CB328" s="2367"/>
      <c r="CC328" s="2368"/>
      <c r="CD328" s="2368"/>
      <c r="CE328" s="2368"/>
      <c r="CF328" s="2368"/>
      <c r="CG328" s="2368"/>
      <c r="CH328" s="2368"/>
      <c r="CI328" s="2368"/>
      <c r="CJ328" s="2368"/>
      <c r="CK328" s="2368"/>
      <c r="CL328" s="2368"/>
      <c r="CM328" s="2368"/>
      <c r="CN328" s="2368"/>
      <c r="CO328" s="2368"/>
      <c r="CP328" s="2368"/>
      <c r="CQ328" s="2368"/>
      <c r="CR328" s="2368"/>
      <c r="CS328" s="2368"/>
      <c r="CT328" s="2368"/>
      <c r="CU328" s="2369"/>
      <c r="CV328" s="2360" t="str">
        <f t="shared" si="138"/>
        <v/>
      </c>
      <c r="CW328" s="2360"/>
      <c r="CX328" s="2360"/>
      <c r="CY328" s="2360"/>
      <c r="CZ328" s="2360"/>
      <c r="DA328" s="2360"/>
      <c r="DC328" s="600" t="str">
        <f t="shared" si="181"/>
        <v/>
      </c>
      <c r="DD328" s="381"/>
      <c r="DF328" s="34"/>
      <c r="DG328" s="34"/>
      <c r="DH328" s="34"/>
      <c r="DI328" s="34"/>
      <c r="DJ328" s="858" t="s">
        <v>5637</v>
      </c>
      <c r="DK328" s="1707" t="str">
        <f t="shared" si="182"/>
        <v/>
      </c>
      <c r="DL328" s="1692" t="str">
        <f t="shared" si="183"/>
        <v/>
      </c>
      <c r="DM328" s="1691">
        <f t="shared" si="139"/>
        <v>0</v>
      </c>
      <c r="DN328" s="111">
        <f t="shared" si="140"/>
        <v>0</v>
      </c>
      <c r="DO328" s="111">
        <f t="shared" si="141"/>
        <v>0</v>
      </c>
      <c r="DP328" s="474">
        <f t="shared" si="142"/>
        <v>0</v>
      </c>
      <c r="DQ328" s="115" t="s">
        <v>254</v>
      </c>
      <c r="DR328" s="473" t="str">
        <f>IF($U328="",P327,U328)</f>
        <v>土台の劣化及び損傷の状況</v>
      </c>
      <c r="DS328" s="112">
        <f t="shared" si="143"/>
        <v>0</v>
      </c>
      <c r="DT328" s="118" t="str">
        <f t="shared" si="144"/>
        <v/>
      </c>
      <c r="DU328" s="452" t="str">
        <f t="shared" si="145"/>
        <v/>
      </c>
      <c r="DV328" s="151" t="str">
        <f>IF($DT328="要是正",MAX($DV$321:DV327)+1,"")</f>
        <v/>
      </c>
      <c r="DW328" s="485" t="str">
        <f t="shared" si="146"/>
        <v/>
      </c>
      <c r="DX328" s="119" t="str">
        <f t="shared" si="184"/>
        <v/>
      </c>
      <c r="DY328" s="33" t="str">
        <f t="shared" si="147"/>
        <v/>
      </c>
      <c r="DZ328" s="217" t="str">
        <f t="shared" si="148"/>
        <v/>
      </c>
      <c r="EA328" s="397" t="str">
        <f t="shared" si="149"/>
        <v/>
      </c>
      <c r="EB328" s="234" t="str">
        <f t="shared" si="150"/>
        <v/>
      </c>
      <c r="EC328" s="227" t="str">
        <f t="shared" si="151"/>
        <v>0</v>
      </c>
      <c r="ED328" s="148" t="str">
        <f t="shared" si="185"/>
        <v/>
      </c>
      <c r="EE328" s="227" t="str">
        <f t="shared" si="186"/>
        <v>0</v>
      </c>
      <c r="EF328" s="598" t="str">
        <f t="shared" si="152"/>
        <v/>
      </c>
      <c r="EG328" s="204" t="str">
        <f t="shared" si="153"/>
        <v/>
      </c>
      <c r="EH328" s="134" t="str">
        <f t="shared" si="154"/>
        <v>0</v>
      </c>
      <c r="EI328" s="148" t="str">
        <f t="shared" si="187"/>
        <v/>
      </c>
      <c r="EJ328" s="227" t="str">
        <f t="shared" si="188"/>
        <v>0</v>
      </c>
      <c r="EK328" s="451" t="str">
        <f t="shared" si="155"/>
        <v/>
      </c>
      <c r="EL328" s="452" t="e">
        <f t="shared" si="156"/>
        <v>#N/A</v>
      </c>
      <c r="EM328" s="151" t="e">
        <f t="shared" si="157"/>
        <v>#N/A</v>
      </c>
      <c r="EN328" s="453" t="e">
        <f t="shared" si="158"/>
        <v>#N/A</v>
      </c>
      <c r="EO328" s="520">
        <v>14</v>
      </c>
      <c r="EP328" s="112" t="s">
        <v>1128</v>
      </c>
      <c r="EQ328" s="112" t="s">
        <v>1103</v>
      </c>
      <c r="ER328" s="220" t="s">
        <v>1121</v>
      </c>
      <c r="FK328" s="597" t="str">
        <f t="shared" si="159"/>
        <v/>
      </c>
      <c r="FL328" s="597" t="str">
        <f t="shared" si="71"/>
        <v/>
      </c>
      <c r="FM328" s="597" t="str">
        <f t="shared" si="72"/>
        <v/>
      </c>
      <c r="FN328" s="597">
        <f t="shared" si="160"/>
        <v>0</v>
      </c>
      <c r="FO328" s="1163" t="str">
        <f t="shared" si="161"/>
        <v/>
      </c>
      <c r="FQ328" s="234" t="str">
        <f t="shared" si="162"/>
        <v/>
      </c>
      <c r="FR328" s="227" t="str">
        <f t="shared" si="163"/>
        <v>0</v>
      </c>
      <c r="FS328" s="148" t="str">
        <f t="shared" si="189"/>
        <v/>
      </c>
      <c r="FT328" s="227" t="str">
        <f t="shared" si="190"/>
        <v>0</v>
      </c>
      <c r="FU328" s="416" t="str">
        <f t="shared" si="164"/>
        <v/>
      </c>
      <c r="FW328" s="1160">
        <f t="shared" si="78"/>
        <v>0</v>
      </c>
      <c r="FX328" s="123"/>
      <c r="FY328" s="123"/>
      <c r="FZ328" s="1161"/>
      <c r="GA328" s="34"/>
      <c r="GB328" s="1149">
        <f t="shared" si="79"/>
        <v>0</v>
      </c>
      <c r="GC328" s="1149">
        <f t="shared" si="80"/>
        <v>0</v>
      </c>
      <c r="GD328" s="1149">
        <f t="shared" si="81"/>
        <v>0</v>
      </c>
      <c r="GE328" s="1149" t="str">
        <f t="shared" si="165"/>
        <v/>
      </c>
      <c r="GF328" s="1149" t="str">
        <f t="shared" si="166"/>
        <v/>
      </c>
      <c r="GG328" s="1149" t="str">
        <f t="shared" si="167"/>
        <v/>
      </c>
      <c r="GH328" s="1149" t="str">
        <f t="shared" si="168"/>
        <v/>
      </c>
      <c r="GI328" s="1149" t="str">
        <f t="shared" si="169"/>
        <v/>
      </c>
      <c r="GJ328" s="1149" t="str">
        <f t="shared" si="170"/>
        <v/>
      </c>
      <c r="GK328" s="1149" t="str">
        <f t="shared" si="171"/>
        <v/>
      </c>
      <c r="GL328" s="1149" t="str">
        <f t="shared" si="172"/>
        <v/>
      </c>
      <c r="GM328" s="1149" t="str">
        <f t="shared" si="173"/>
        <v/>
      </c>
      <c r="GN328" s="1149" t="str">
        <f t="shared" si="174"/>
        <v/>
      </c>
      <c r="GO328" s="1149" t="str">
        <f t="shared" si="175"/>
        <v/>
      </c>
      <c r="GP328" s="1149" t="str">
        <f t="shared" si="176"/>
        <v/>
      </c>
      <c r="GQ328" s="1149" t="str">
        <f t="shared" si="177"/>
        <v/>
      </c>
      <c r="GR328" s="1149" t="str">
        <f t="shared" si="178"/>
        <v/>
      </c>
      <c r="GS328" s="1149" t="str">
        <f t="shared" si="179"/>
        <v/>
      </c>
      <c r="GT328" s="1149">
        <f t="shared" si="82"/>
        <v>0</v>
      </c>
      <c r="GU328" s="1149">
        <f t="shared" si="83"/>
        <v>0</v>
      </c>
      <c r="GV328" s="1149">
        <f t="shared" si="84"/>
        <v>0</v>
      </c>
      <c r="GW328" s="1149" t="b">
        <f t="shared" si="85"/>
        <v>0</v>
      </c>
      <c r="GX328" s="1149" t="b">
        <f t="shared" si="86"/>
        <v>0</v>
      </c>
      <c r="GY328" s="1149" t="b">
        <f t="shared" si="87"/>
        <v>0</v>
      </c>
      <c r="GZ328" s="1149" t="str">
        <f t="shared" si="180"/>
        <v/>
      </c>
      <c r="HB328" s="1149" t="str">
        <f t="shared" si="89"/>
        <v/>
      </c>
      <c r="HC328" s="1149" t="str">
        <f t="shared" si="90"/>
        <v/>
      </c>
      <c r="HD328" s="1149" t="str">
        <f t="shared" si="91"/>
        <v/>
      </c>
      <c r="HE328" s="1149" t="str">
        <f t="shared" si="92"/>
        <v/>
      </c>
      <c r="HF328" s="1149" t="str">
        <f t="shared" si="93"/>
        <v/>
      </c>
      <c r="HG328" s="1149" t="str">
        <f t="shared" si="94"/>
        <v/>
      </c>
      <c r="HH328" s="1149" t="str">
        <f t="shared" si="95"/>
        <v/>
      </c>
      <c r="HI328" s="1149" t="str">
        <f t="shared" si="96"/>
        <v/>
      </c>
      <c r="HJ328" s="1149" t="str">
        <f t="shared" si="97"/>
        <v/>
      </c>
      <c r="HK328" s="1149" t="str">
        <f t="shared" si="98"/>
        <v/>
      </c>
      <c r="HL328" s="1149" t="str">
        <f t="shared" si="99"/>
        <v/>
      </c>
      <c r="HM328" s="1149" t="str">
        <f t="shared" si="100"/>
        <v/>
      </c>
      <c r="HN328" s="1149" t="str">
        <f t="shared" si="101"/>
        <v/>
      </c>
      <c r="HO328" s="1149" t="str">
        <f t="shared" si="102"/>
        <v/>
      </c>
      <c r="HP328" s="1149" t="str">
        <f t="shared" si="103"/>
        <v/>
      </c>
      <c r="HQ328" s="1149" t="str">
        <f t="shared" si="104"/>
        <v/>
      </c>
      <c r="HR328" s="1149" t="str">
        <f t="shared" si="105"/>
        <v/>
      </c>
      <c r="HT328" s="1149">
        <f>LEFT(M328,1)*10000+MID(M328,3,LEN(M328)-3)*100+COUNTIF($M$307:M328,M328)</f>
        <v>20401</v>
      </c>
      <c r="HU328" s="1149" t="str">
        <f t="shared" si="106"/>
        <v/>
      </c>
      <c r="HV328" s="1149" t="str">
        <f t="shared" si="107"/>
        <v/>
      </c>
      <c r="HW328" s="1149" t="str">
        <f t="shared" si="108"/>
        <v/>
      </c>
      <c r="HX328" s="1149" t="str">
        <f t="shared" si="109"/>
        <v/>
      </c>
    </row>
    <row r="329" spans="1:232" s="69" customFormat="1" ht="50.15" customHeight="1">
      <c r="A329" s="645"/>
      <c r="B329" s="645"/>
      <c r="C329" s="645"/>
      <c r="D329" s="645"/>
      <c r="E329" s="646"/>
      <c r="F329" s="381"/>
      <c r="G329" s="381"/>
      <c r="H329" s="381"/>
      <c r="J329" s="80"/>
      <c r="K329" s="89"/>
      <c r="L329" s="89"/>
      <c r="M329" s="2079" t="s">
        <v>1200</v>
      </c>
      <c r="N329" s="2079"/>
      <c r="O329" s="2080"/>
      <c r="P329" s="2099" t="s">
        <v>168</v>
      </c>
      <c r="Q329" s="2099"/>
      <c r="R329" s="1966" t="s">
        <v>55</v>
      </c>
      <c r="S329" s="2065"/>
      <c r="T329" s="2065"/>
      <c r="U329" s="2011" t="s">
        <v>56</v>
      </c>
      <c r="V329" s="2011"/>
      <c r="W329" s="2011"/>
      <c r="X329" s="2011"/>
      <c r="Y329" s="2011"/>
      <c r="Z329" s="2011"/>
      <c r="AA329" s="2011"/>
      <c r="AB329" s="2011"/>
      <c r="AC329" s="2011"/>
      <c r="AD329" s="2011"/>
      <c r="AE329" s="2011"/>
      <c r="AF329" s="2010"/>
      <c r="AG329" s="2010"/>
      <c r="AH329" s="2010"/>
      <c r="AI329" s="2010"/>
      <c r="AJ329" s="2010"/>
      <c r="AK329" s="2010"/>
      <c r="AL329" s="2010"/>
      <c r="AM329" s="2010"/>
      <c r="AN329" s="2010"/>
      <c r="AO329" s="2010"/>
      <c r="AP329" s="2010"/>
      <c r="AQ329" s="2010"/>
      <c r="AR329" s="2017"/>
      <c r="AS329" s="2017"/>
      <c r="AT329" s="1929"/>
      <c r="AU329" s="1929"/>
      <c r="AV329" s="1929"/>
      <c r="AW329" s="1929"/>
      <c r="AX329" s="1929"/>
      <c r="AY329" s="1929"/>
      <c r="AZ329" s="1929"/>
      <c r="BA329" s="1929"/>
      <c r="BB329" s="1929"/>
      <c r="BC329" s="1929"/>
      <c r="BD329" s="1929"/>
      <c r="BE329" s="1929"/>
      <c r="BF329" s="1929"/>
      <c r="BG329" s="1929"/>
      <c r="BH329" s="1929"/>
      <c r="BI329" s="1929"/>
      <c r="BJ329" s="1929"/>
      <c r="BK329" s="1929"/>
      <c r="BL329" s="1929"/>
      <c r="BM329" s="1929"/>
      <c r="BN329" s="1929"/>
      <c r="BO329" s="1929"/>
      <c r="BP329" s="1929"/>
      <c r="BQ329" s="1929"/>
      <c r="BR329" s="1929"/>
      <c r="BS329" s="1885"/>
      <c r="BT329" s="1885"/>
      <c r="BU329" s="1885"/>
      <c r="BV329" s="1890"/>
      <c r="BW329" s="1890"/>
      <c r="BX329" s="1890"/>
      <c r="BY329" s="1890"/>
      <c r="BZ329" s="1891"/>
      <c r="CA329" s="1891"/>
      <c r="CB329" s="1925"/>
      <c r="CC329" s="1926"/>
      <c r="CD329" s="1926"/>
      <c r="CE329" s="1926"/>
      <c r="CF329" s="1926"/>
      <c r="CG329" s="1926"/>
      <c r="CH329" s="1926"/>
      <c r="CI329" s="1926"/>
      <c r="CJ329" s="1926"/>
      <c r="CK329" s="1926"/>
      <c r="CL329" s="1926"/>
      <c r="CM329" s="1926"/>
      <c r="CN329" s="1926"/>
      <c r="CO329" s="1926"/>
      <c r="CP329" s="1926"/>
      <c r="CQ329" s="1926"/>
      <c r="CR329" s="1926"/>
      <c r="CS329" s="1926"/>
      <c r="CT329" s="1926"/>
      <c r="CU329" s="1927"/>
      <c r="CV329" s="2360" t="str">
        <f t="shared" si="138"/>
        <v/>
      </c>
      <c r="CW329" s="2360"/>
      <c r="CX329" s="2360"/>
      <c r="CY329" s="2360"/>
      <c r="CZ329" s="2360"/>
      <c r="DA329" s="2360"/>
      <c r="DC329" s="600" t="str">
        <f t="shared" si="181"/>
        <v/>
      </c>
      <c r="DD329" s="381"/>
      <c r="DF329" s="34"/>
      <c r="DG329" s="34"/>
      <c r="DH329" s="34"/>
      <c r="DI329" s="34"/>
      <c r="DJ329" s="858" t="s">
        <v>5637</v>
      </c>
      <c r="DK329" s="1707" t="str">
        <f t="shared" si="182"/>
        <v/>
      </c>
      <c r="DL329" s="1692" t="str">
        <f t="shared" si="183"/>
        <v/>
      </c>
      <c r="DM329" s="1691">
        <f t="shared" si="139"/>
        <v>0</v>
      </c>
      <c r="DN329" s="111">
        <f t="shared" si="140"/>
        <v>0</v>
      </c>
      <c r="DO329" s="111">
        <f t="shared" si="141"/>
        <v>0</v>
      </c>
      <c r="DP329" s="474">
        <f t="shared" si="142"/>
        <v>0</v>
      </c>
      <c r="DQ329" s="115" t="s">
        <v>255</v>
      </c>
      <c r="DR329" s="473" t="str">
        <f t="shared" ref="DR329:DR341" si="191">IF($U329="",R329,U329)</f>
        <v>外壁、軒裏及び外壁の開口部で延焼のおそれのある部分の防火対策の状況</v>
      </c>
      <c r="DS329" s="112">
        <f t="shared" si="143"/>
        <v>0</v>
      </c>
      <c r="DT329" s="118" t="str">
        <f t="shared" si="144"/>
        <v/>
      </c>
      <c r="DU329" s="452" t="str">
        <f t="shared" si="145"/>
        <v/>
      </c>
      <c r="DV329" s="151" t="str">
        <f>IF($DT329="要是正",MAX($DV$321:DV328)+1,"")</f>
        <v/>
      </c>
      <c r="DW329" s="485" t="str">
        <f t="shared" si="146"/>
        <v/>
      </c>
      <c r="DX329" s="119" t="str">
        <f t="shared" si="184"/>
        <v/>
      </c>
      <c r="DY329" s="33" t="str">
        <f t="shared" si="147"/>
        <v/>
      </c>
      <c r="DZ329" s="217" t="str">
        <f t="shared" si="148"/>
        <v/>
      </c>
      <c r="EA329" s="397" t="str">
        <f t="shared" si="149"/>
        <v/>
      </c>
      <c r="EB329" s="234" t="str">
        <f t="shared" si="150"/>
        <v/>
      </c>
      <c r="EC329" s="227" t="str">
        <f t="shared" si="151"/>
        <v>0</v>
      </c>
      <c r="ED329" s="148" t="str">
        <f t="shared" si="185"/>
        <v/>
      </c>
      <c r="EE329" s="227" t="str">
        <f t="shared" si="186"/>
        <v>0</v>
      </c>
      <c r="EF329" s="598" t="str">
        <f t="shared" si="152"/>
        <v/>
      </c>
      <c r="EG329" s="204" t="str">
        <f t="shared" si="153"/>
        <v/>
      </c>
      <c r="EH329" s="134" t="str">
        <f t="shared" si="154"/>
        <v>0</v>
      </c>
      <c r="EI329" s="148" t="str">
        <f t="shared" si="187"/>
        <v/>
      </c>
      <c r="EJ329" s="227" t="str">
        <f t="shared" si="188"/>
        <v>0</v>
      </c>
      <c r="EK329" s="451" t="str">
        <f t="shared" si="155"/>
        <v/>
      </c>
      <c r="EL329" s="452" t="e">
        <f t="shared" si="156"/>
        <v>#N/A</v>
      </c>
      <c r="EM329" s="151" t="e">
        <f t="shared" si="157"/>
        <v>#N/A</v>
      </c>
      <c r="EN329" s="453" t="e">
        <f t="shared" si="158"/>
        <v>#N/A</v>
      </c>
      <c r="EO329" s="520">
        <v>15</v>
      </c>
      <c r="EP329" s="112" t="s">
        <v>1128</v>
      </c>
      <c r="EQ329" s="112" t="s">
        <v>1104</v>
      </c>
      <c r="ER329" s="220" t="s">
        <v>1122</v>
      </c>
      <c r="FK329" s="597" t="str">
        <f t="shared" si="159"/>
        <v/>
      </c>
      <c r="FL329" s="597" t="str">
        <f t="shared" si="71"/>
        <v/>
      </c>
      <c r="FM329" s="597" t="str">
        <f t="shared" si="72"/>
        <v/>
      </c>
      <c r="FN329" s="597">
        <f t="shared" si="160"/>
        <v>0</v>
      </c>
      <c r="FO329" s="1163" t="str">
        <f t="shared" si="161"/>
        <v/>
      </c>
      <c r="FQ329" s="234" t="str">
        <f t="shared" si="162"/>
        <v/>
      </c>
      <c r="FR329" s="227" t="str">
        <f t="shared" si="163"/>
        <v>0</v>
      </c>
      <c r="FS329" s="148" t="str">
        <f t="shared" si="189"/>
        <v/>
      </c>
      <c r="FT329" s="227" t="str">
        <f t="shared" si="190"/>
        <v>0</v>
      </c>
      <c r="FU329" s="416" t="str">
        <f t="shared" si="164"/>
        <v/>
      </c>
      <c r="FW329" s="1160">
        <f t="shared" si="78"/>
        <v>0</v>
      </c>
      <c r="FX329" s="123"/>
      <c r="FY329" s="123"/>
      <c r="FZ329" s="1161"/>
      <c r="GA329" s="34"/>
      <c r="GB329" s="1149">
        <f t="shared" si="79"/>
        <v>0</v>
      </c>
      <c r="GC329" s="1149">
        <f t="shared" si="80"/>
        <v>0</v>
      </c>
      <c r="GD329" s="1149">
        <f t="shared" si="81"/>
        <v>0</v>
      </c>
      <c r="GE329" s="1149" t="str">
        <f t="shared" si="165"/>
        <v/>
      </c>
      <c r="GF329" s="1149" t="str">
        <f t="shared" si="166"/>
        <v/>
      </c>
      <c r="GG329" s="1149" t="str">
        <f t="shared" si="167"/>
        <v/>
      </c>
      <c r="GH329" s="1149" t="str">
        <f t="shared" si="168"/>
        <v/>
      </c>
      <c r="GI329" s="1149" t="str">
        <f t="shared" si="169"/>
        <v/>
      </c>
      <c r="GJ329" s="1149" t="str">
        <f t="shared" si="170"/>
        <v/>
      </c>
      <c r="GK329" s="1149" t="str">
        <f t="shared" si="171"/>
        <v/>
      </c>
      <c r="GL329" s="1149" t="str">
        <f t="shared" si="172"/>
        <v/>
      </c>
      <c r="GM329" s="1149" t="str">
        <f t="shared" si="173"/>
        <v/>
      </c>
      <c r="GN329" s="1149" t="str">
        <f t="shared" si="174"/>
        <v/>
      </c>
      <c r="GO329" s="1149" t="str">
        <f t="shared" si="175"/>
        <v/>
      </c>
      <c r="GP329" s="1149" t="str">
        <f t="shared" si="176"/>
        <v/>
      </c>
      <c r="GQ329" s="1149" t="str">
        <f t="shared" si="177"/>
        <v/>
      </c>
      <c r="GR329" s="1149" t="str">
        <f t="shared" si="178"/>
        <v/>
      </c>
      <c r="GS329" s="1149" t="str">
        <f t="shared" si="179"/>
        <v/>
      </c>
      <c r="GT329" s="1149">
        <f t="shared" si="82"/>
        <v>0</v>
      </c>
      <c r="GU329" s="1149">
        <f t="shared" si="83"/>
        <v>0</v>
      </c>
      <c r="GV329" s="1149">
        <f t="shared" si="84"/>
        <v>0</v>
      </c>
      <c r="GW329" s="1149" t="b">
        <f t="shared" si="85"/>
        <v>0</v>
      </c>
      <c r="GX329" s="1149" t="b">
        <f t="shared" si="86"/>
        <v>0</v>
      </c>
      <c r="GY329" s="1149" t="b">
        <f t="shared" si="87"/>
        <v>0</v>
      </c>
      <c r="GZ329" s="1149" t="str">
        <f t="shared" si="180"/>
        <v/>
      </c>
      <c r="HB329" s="1149" t="str">
        <f t="shared" si="89"/>
        <v/>
      </c>
      <c r="HC329" s="1149" t="str">
        <f t="shared" si="90"/>
        <v/>
      </c>
      <c r="HD329" s="1149" t="str">
        <f t="shared" si="91"/>
        <v/>
      </c>
      <c r="HE329" s="1149" t="str">
        <f t="shared" si="92"/>
        <v/>
      </c>
      <c r="HF329" s="1149" t="str">
        <f t="shared" si="93"/>
        <v/>
      </c>
      <c r="HG329" s="1149" t="str">
        <f t="shared" si="94"/>
        <v/>
      </c>
      <c r="HH329" s="1149" t="str">
        <f t="shared" si="95"/>
        <v/>
      </c>
      <c r="HI329" s="1149" t="str">
        <f t="shared" si="96"/>
        <v/>
      </c>
      <c r="HJ329" s="1149" t="str">
        <f t="shared" si="97"/>
        <v/>
      </c>
      <c r="HK329" s="1149" t="str">
        <f t="shared" si="98"/>
        <v/>
      </c>
      <c r="HL329" s="1149" t="str">
        <f t="shared" si="99"/>
        <v/>
      </c>
      <c r="HM329" s="1149" t="str">
        <f t="shared" si="100"/>
        <v/>
      </c>
      <c r="HN329" s="1149" t="str">
        <f t="shared" si="101"/>
        <v/>
      </c>
      <c r="HO329" s="1149" t="str">
        <f t="shared" si="102"/>
        <v/>
      </c>
      <c r="HP329" s="1149" t="str">
        <f t="shared" si="103"/>
        <v/>
      </c>
      <c r="HQ329" s="1149" t="str">
        <f t="shared" si="104"/>
        <v/>
      </c>
      <c r="HR329" s="1149" t="str">
        <f t="shared" si="105"/>
        <v/>
      </c>
      <c r="HT329" s="1149">
        <f>LEFT(M329,1)*10000+MID(M329,3,LEN(M329)-3)*100+COUNTIF($M$307:M329,M329)</f>
        <v>20501</v>
      </c>
      <c r="HU329" s="1149" t="str">
        <f t="shared" si="106"/>
        <v/>
      </c>
      <c r="HV329" s="1149" t="str">
        <f t="shared" si="107"/>
        <v/>
      </c>
      <c r="HW329" s="1149" t="str">
        <f t="shared" si="108"/>
        <v/>
      </c>
      <c r="HX329" s="1149" t="str">
        <f t="shared" si="109"/>
        <v/>
      </c>
    </row>
    <row r="330" spans="1:232" s="69" customFormat="1" ht="50.15" customHeight="1">
      <c r="A330" s="645"/>
      <c r="B330" s="645"/>
      <c r="C330" s="645"/>
      <c r="D330" s="645"/>
      <c r="E330" s="646"/>
      <c r="F330" s="381"/>
      <c r="G330" s="381"/>
      <c r="H330" s="381"/>
      <c r="J330" s="80"/>
      <c r="K330" s="89"/>
      <c r="L330" s="89"/>
      <c r="M330" s="2079" t="s">
        <v>1201</v>
      </c>
      <c r="N330" s="2079"/>
      <c r="O330" s="2080"/>
      <c r="P330" s="2100"/>
      <c r="Q330" s="2100"/>
      <c r="R330" s="2065"/>
      <c r="S330" s="2065"/>
      <c r="T330" s="2065"/>
      <c r="U330" s="1899" t="s">
        <v>57</v>
      </c>
      <c r="V330" s="1899"/>
      <c r="W330" s="1899"/>
      <c r="X330" s="1899"/>
      <c r="Y330" s="1899"/>
      <c r="Z330" s="1899"/>
      <c r="AA330" s="1899"/>
      <c r="AB330" s="1899"/>
      <c r="AC330" s="1899"/>
      <c r="AD330" s="1899"/>
      <c r="AE330" s="1899"/>
      <c r="AF330" s="1898"/>
      <c r="AG330" s="1898"/>
      <c r="AH330" s="1898"/>
      <c r="AI330" s="1898"/>
      <c r="AJ330" s="1898"/>
      <c r="AK330" s="1898"/>
      <c r="AL330" s="1898"/>
      <c r="AM330" s="1898"/>
      <c r="AN330" s="1898"/>
      <c r="AO330" s="1898"/>
      <c r="AP330" s="1898"/>
      <c r="AQ330" s="1898"/>
      <c r="AR330" s="1910"/>
      <c r="AS330" s="1910"/>
      <c r="AT330" s="1993"/>
      <c r="AU330" s="1993"/>
      <c r="AV330" s="1993"/>
      <c r="AW330" s="1993"/>
      <c r="AX330" s="1993"/>
      <c r="AY330" s="1993"/>
      <c r="AZ330" s="1993"/>
      <c r="BA330" s="1993"/>
      <c r="BB330" s="1993"/>
      <c r="BC330" s="1993"/>
      <c r="BD330" s="1993"/>
      <c r="BE330" s="1993"/>
      <c r="BF330" s="1993"/>
      <c r="BG330" s="1993"/>
      <c r="BH330" s="1993"/>
      <c r="BI330" s="1993"/>
      <c r="BJ330" s="1993"/>
      <c r="BK330" s="1993"/>
      <c r="BL330" s="1993"/>
      <c r="BM330" s="1993"/>
      <c r="BN330" s="1993"/>
      <c r="BO330" s="1993"/>
      <c r="BP330" s="1993"/>
      <c r="BQ330" s="1993"/>
      <c r="BR330" s="1993"/>
      <c r="BS330" s="1895"/>
      <c r="BT330" s="1895"/>
      <c r="BU330" s="1895"/>
      <c r="BV330" s="1889"/>
      <c r="BW330" s="1889"/>
      <c r="BX330" s="1889"/>
      <c r="BY330" s="1889"/>
      <c r="BZ330" s="1896"/>
      <c r="CA330" s="1896"/>
      <c r="CB330" s="1886"/>
      <c r="CC330" s="1887"/>
      <c r="CD330" s="1887"/>
      <c r="CE330" s="1887"/>
      <c r="CF330" s="1887"/>
      <c r="CG330" s="1887"/>
      <c r="CH330" s="1887"/>
      <c r="CI330" s="1887"/>
      <c r="CJ330" s="1887"/>
      <c r="CK330" s="1887"/>
      <c r="CL330" s="1887"/>
      <c r="CM330" s="1887"/>
      <c r="CN330" s="1887"/>
      <c r="CO330" s="1887"/>
      <c r="CP330" s="1887"/>
      <c r="CQ330" s="1887"/>
      <c r="CR330" s="1887"/>
      <c r="CS330" s="1887"/>
      <c r="CT330" s="1887"/>
      <c r="CU330" s="1888"/>
      <c r="CV330" s="2360" t="str">
        <f t="shared" si="138"/>
        <v/>
      </c>
      <c r="CW330" s="2360"/>
      <c r="CX330" s="2360"/>
      <c r="CY330" s="2360"/>
      <c r="CZ330" s="2360"/>
      <c r="DA330" s="2360"/>
      <c r="DC330" s="600" t="str">
        <f t="shared" si="181"/>
        <v/>
      </c>
      <c r="DD330" s="381"/>
      <c r="DF330" s="34"/>
      <c r="DG330" s="34"/>
      <c r="DH330" s="34"/>
      <c r="DI330" s="34"/>
      <c r="DJ330" s="858" t="s">
        <v>5637</v>
      </c>
      <c r="DK330" s="1707" t="str">
        <f t="shared" si="182"/>
        <v/>
      </c>
      <c r="DL330" s="1692" t="str">
        <f t="shared" si="183"/>
        <v/>
      </c>
      <c r="DM330" s="1691">
        <f t="shared" si="139"/>
        <v>0</v>
      </c>
      <c r="DN330" s="111">
        <f t="shared" si="140"/>
        <v>0</v>
      </c>
      <c r="DO330" s="111">
        <f t="shared" si="141"/>
        <v>0</v>
      </c>
      <c r="DP330" s="474">
        <f t="shared" si="142"/>
        <v>0</v>
      </c>
      <c r="DQ330" s="116" t="s">
        <v>256</v>
      </c>
      <c r="DR330" s="473" t="str">
        <f>IF($U330="",R329,U330)</f>
        <v>木造の外壁躯体の劣化及び損傷の状況</v>
      </c>
      <c r="DS330" s="112">
        <f t="shared" si="143"/>
        <v>0</v>
      </c>
      <c r="DT330" s="118" t="str">
        <f t="shared" si="144"/>
        <v/>
      </c>
      <c r="DU330" s="452" t="str">
        <f t="shared" si="145"/>
        <v/>
      </c>
      <c r="DV330" s="151" t="str">
        <f>IF($DT330="要是正",MAX($DV$321:DV329)+1,"")</f>
        <v/>
      </c>
      <c r="DW330" s="485" t="str">
        <f t="shared" si="146"/>
        <v/>
      </c>
      <c r="DX330" s="119" t="str">
        <f t="shared" si="184"/>
        <v/>
      </c>
      <c r="DY330" s="33" t="str">
        <f t="shared" si="147"/>
        <v/>
      </c>
      <c r="DZ330" s="217" t="str">
        <f t="shared" si="148"/>
        <v/>
      </c>
      <c r="EA330" s="397" t="str">
        <f t="shared" si="149"/>
        <v/>
      </c>
      <c r="EB330" s="234" t="str">
        <f t="shared" si="150"/>
        <v/>
      </c>
      <c r="EC330" s="227" t="str">
        <f t="shared" si="151"/>
        <v>0</v>
      </c>
      <c r="ED330" s="148" t="str">
        <f t="shared" si="185"/>
        <v/>
      </c>
      <c r="EE330" s="227" t="str">
        <f t="shared" si="186"/>
        <v>0</v>
      </c>
      <c r="EF330" s="598" t="str">
        <f t="shared" si="152"/>
        <v/>
      </c>
      <c r="EG330" s="204" t="str">
        <f t="shared" si="153"/>
        <v/>
      </c>
      <c r="EH330" s="134" t="str">
        <f t="shared" si="154"/>
        <v>0</v>
      </c>
      <c r="EI330" s="148" t="str">
        <f t="shared" si="187"/>
        <v/>
      </c>
      <c r="EJ330" s="227" t="str">
        <f t="shared" si="188"/>
        <v>0</v>
      </c>
      <c r="EK330" s="451" t="str">
        <f t="shared" si="155"/>
        <v/>
      </c>
      <c r="EL330" s="452" t="e">
        <f t="shared" si="156"/>
        <v>#N/A</v>
      </c>
      <c r="EM330" s="151" t="e">
        <f t="shared" si="157"/>
        <v>#N/A</v>
      </c>
      <c r="EN330" s="453" t="e">
        <f t="shared" si="158"/>
        <v>#N/A</v>
      </c>
      <c r="EO330" s="520">
        <v>16</v>
      </c>
      <c r="EP330" s="112" t="s">
        <v>1128</v>
      </c>
      <c r="EQ330" s="112" t="s">
        <v>1105</v>
      </c>
      <c r="ER330" s="220" t="s">
        <v>1123</v>
      </c>
      <c r="FK330" s="597" t="str">
        <f t="shared" si="159"/>
        <v/>
      </c>
      <c r="FL330" s="597" t="str">
        <f t="shared" si="71"/>
        <v/>
      </c>
      <c r="FM330" s="597" t="str">
        <f t="shared" si="72"/>
        <v/>
      </c>
      <c r="FN330" s="597">
        <f t="shared" si="160"/>
        <v>0</v>
      </c>
      <c r="FO330" s="1163" t="str">
        <f t="shared" si="161"/>
        <v/>
      </c>
      <c r="FQ330" s="234" t="str">
        <f t="shared" si="162"/>
        <v/>
      </c>
      <c r="FR330" s="227" t="str">
        <f t="shared" si="163"/>
        <v>0</v>
      </c>
      <c r="FS330" s="148" t="str">
        <f t="shared" si="189"/>
        <v/>
      </c>
      <c r="FT330" s="227" t="str">
        <f t="shared" si="190"/>
        <v>0</v>
      </c>
      <c r="FU330" s="416" t="str">
        <f t="shared" si="164"/>
        <v/>
      </c>
      <c r="FW330" s="1160">
        <f t="shared" si="78"/>
        <v>0</v>
      </c>
      <c r="FX330" s="123"/>
      <c r="FY330" s="123"/>
      <c r="FZ330" s="1161"/>
      <c r="GA330" s="34"/>
      <c r="GB330" s="1149">
        <f t="shared" si="79"/>
        <v>0</v>
      </c>
      <c r="GC330" s="1149">
        <f t="shared" si="80"/>
        <v>0</v>
      </c>
      <c r="GD330" s="1149">
        <f t="shared" si="81"/>
        <v>0</v>
      </c>
      <c r="GE330" s="1149" t="str">
        <f t="shared" si="165"/>
        <v/>
      </c>
      <c r="GF330" s="1149" t="str">
        <f t="shared" si="166"/>
        <v/>
      </c>
      <c r="GG330" s="1149" t="str">
        <f t="shared" si="167"/>
        <v/>
      </c>
      <c r="GH330" s="1149" t="str">
        <f t="shared" si="168"/>
        <v/>
      </c>
      <c r="GI330" s="1149" t="str">
        <f t="shared" si="169"/>
        <v/>
      </c>
      <c r="GJ330" s="1149" t="str">
        <f t="shared" si="170"/>
        <v/>
      </c>
      <c r="GK330" s="1149" t="str">
        <f t="shared" si="171"/>
        <v/>
      </c>
      <c r="GL330" s="1149" t="str">
        <f t="shared" si="172"/>
        <v/>
      </c>
      <c r="GM330" s="1149" t="str">
        <f t="shared" si="173"/>
        <v/>
      </c>
      <c r="GN330" s="1149" t="str">
        <f t="shared" si="174"/>
        <v/>
      </c>
      <c r="GO330" s="1149" t="str">
        <f t="shared" si="175"/>
        <v/>
      </c>
      <c r="GP330" s="1149" t="str">
        <f t="shared" si="176"/>
        <v/>
      </c>
      <c r="GQ330" s="1149" t="str">
        <f t="shared" si="177"/>
        <v/>
      </c>
      <c r="GR330" s="1149" t="str">
        <f t="shared" si="178"/>
        <v/>
      </c>
      <c r="GS330" s="1149" t="str">
        <f t="shared" si="179"/>
        <v/>
      </c>
      <c r="GT330" s="1149">
        <f t="shared" si="82"/>
        <v>0</v>
      </c>
      <c r="GU330" s="1149">
        <f t="shared" si="83"/>
        <v>0</v>
      </c>
      <c r="GV330" s="1149">
        <f t="shared" si="84"/>
        <v>0</v>
      </c>
      <c r="GW330" s="1149" t="b">
        <f t="shared" si="85"/>
        <v>0</v>
      </c>
      <c r="GX330" s="1149" t="b">
        <f t="shared" si="86"/>
        <v>0</v>
      </c>
      <c r="GY330" s="1149" t="b">
        <f t="shared" si="87"/>
        <v>0</v>
      </c>
      <c r="GZ330" s="1149" t="str">
        <f t="shared" si="180"/>
        <v/>
      </c>
      <c r="HB330" s="1149" t="str">
        <f t="shared" si="89"/>
        <v/>
      </c>
      <c r="HC330" s="1149" t="str">
        <f t="shared" si="90"/>
        <v/>
      </c>
      <c r="HD330" s="1149" t="str">
        <f t="shared" si="91"/>
        <v/>
      </c>
      <c r="HE330" s="1149" t="str">
        <f t="shared" si="92"/>
        <v/>
      </c>
      <c r="HF330" s="1149" t="str">
        <f t="shared" si="93"/>
        <v/>
      </c>
      <c r="HG330" s="1149" t="str">
        <f t="shared" si="94"/>
        <v/>
      </c>
      <c r="HH330" s="1149" t="str">
        <f t="shared" si="95"/>
        <v/>
      </c>
      <c r="HI330" s="1149" t="str">
        <f t="shared" si="96"/>
        <v/>
      </c>
      <c r="HJ330" s="1149" t="str">
        <f t="shared" si="97"/>
        <v/>
      </c>
      <c r="HK330" s="1149" t="str">
        <f t="shared" si="98"/>
        <v/>
      </c>
      <c r="HL330" s="1149" t="str">
        <f t="shared" si="99"/>
        <v/>
      </c>
      <c r="HM330" s="1149" t="str">
        <f t="shared" si="100"/>
        <v/>
      </c>
      <c r="HN330" s="1149" t="str">
        <f t="shared" si="101"/>
        <v/>
      </c>
      <c r="HO330" s="1149" t="str">
        <f t="shared" si="102"/>
        <v/>
      </c>
      <c r="HP330" s="1149" t="str">
        <f t="shared" si="103"/>
        <v/>
      </c>
      <c r="HQ330" s="1149" t="str">
        <f t="shared" si="104"/>
        <v/>
      </c>
      <c r="HR330" s="1149" t="str">
        <f t="shared" si="105"/>
        <v/>
      </c>
      <c r="HT330" s="1149">
        <f>LEFT(M330,1)*10000+MID(M330,3,LEN(M330)-3)*100+COUNTIF($M$307:M330,M330)</f>
        <v>20601</v>
      </c>
      <c r="HU330" s="1149" t="str">
        <f t="shared" si="106"/>
        <v/>
      </c>
      <c r="HV330" s="1149" t="str">
        <f t="shared" si="107"/>
        <v/>
      </c>
      <c r="HW330" s="1149" t="str">
        <f t="shared" si="108"/>
        <v/>
      </c>
      <c r="HX330" s="1149" t="str">
        <f t="shared" si="109"/>
        <v/>
      </c>
    </row>
    <row r="331" spans="1:232" s="69" customFormat="1" ht="50.15" customHeight="1">
      <c r="A331" s="645"/>
      <c r="B331" s="645"/>
      <c r="C331" s="645"/>
      <c r="D331" s="645"/>
      <c r="E331" s="646"/>
      <c r="F331" s="381"/>
      <c r="G331" s="381"/>
      <c r="H331" s="381"/>
      <c r="J331" s="80"/>
      <c r="K331" s="89"/>
      <c r="L331" s="89"/>
      <c r="M331" s="2079" t="s">
        <v>1202</v>
      </c>
      <c r="N331" s="2079"/>
      <c r="O331" s="2080"/>
      <c r="P331" s="2100"/>
      <c r="Q331" s="2100"/>
      <c r="R331" s="2065"/>
      <c r="S331" s="2065"/>
      <c r="T331" s="2065"/>
      <c r="U331" s="1899" t="s">
        <v>58</v>
      </c>
      <c r="V331" s="1899"/>
      <c r="W331" s="1899"/>
      <c r="X331" s="1899"/>
      <c r="Y331" s="1899"/>
      <c r="Z331" s="1899"/>
      <c r="AA331" s="1899"/>
      <c r="AB331" s="1899"/>
      <c r="AC331" s="1899"/>
      <c r="AD331" s="1899"/>
      <c r="AE331" s="1899"/>
      <c r="AF331" s="1898"/>
      <c r="AG331" s="1898"/>
      <c r="AH331" s="1898"/>
      <c r="AI331" s="1898"/>
      <c r="AJ331" s="1898"/>
      <c r="AK331" s="1898"/>
      <c r="AL331" s="1898"/>
      <c r="AM331" s="1898"/>
      <c r="AN331" s="1898"/>
      <c r="AO331" s="1898"/>
      <c r="AP331" s="1898"/>
      <c r="AQ331" s="1898"/>
      <c r="AR331" s="1910"/>
      <c r="AS331" s="1910"/>
      <c r="AT331" s="1993"/>
      <c r="AU331" s="1993"/>
      <c r="AV331" s="1993"/>
      <c r="AW331" s="1993"/>
      <c r="AX331" s="1993"/>
      <c r="AY331" s="1993"/>
      <c r="AZ331" s="1993"/>
      <c r="BA331" s="1993"/>
      <c r="BB331" s="1993"/>
      <c r="BC331" s="1993"/>
      <c r="BD331" s="1993"/>
      <c r="BE331" s="1993"/>
      <c r="BF331" s="1993"/>
      <c r="BG331" s="1993"/>
      <c r="BH331" s="1993"/>
      <c r="BI331" s="1993"/>
      <c r="BJ331" s="1993"/>
      <c r="BK331" s="1993"/>
      <c r="BL331" s="1993"/>
      <c r="BM331" s="1993"/>
      <c r="BN331" s="1993"/>
      <c r="BO331" s="1993"/>
      <c r="BP331" s="1993"/>
      <c r="BQ331" s="1993"/>
      <c r="BR331" s="1993"/>
      <c r="BS331" s="1895"/>
      <c r="BT331" s="1895"/>
      <c r="BU331" s="1895"/>
      <c r="BV331" s="1889"/>
      <c r="BW331" s="1889"/>
      <c r="BX331" s="1889"/>
      <c r="BY331" s="1889"/>
      <c r="BZ331" s="1896"/>
      <c r="CA331" s="1896"/>
      <c r="CB331" s="1886"/>
      <c r="CC331" s="1887"/>
      <c r="CD331" s="1887"/>
      <c r="CE331" s="1887"/>
      <c r="CF331" s="1887"/>
      <c r="CG331" s="1887"/>
      <c r="CH331" s="1887"/>
      <c r="CI331" s="1887"/>
      <c r="CJ331" s="1887"/>
      <c r="CK331" s="1887"/>
      <c r="CL331" s="1887"/>
      <c r="CM331" s="1887"/>
      <c r="CN331" s="1887"/>
      <c r="CO331" s="1887"/>
      <c r="CP331" s="1887"/>
      <c r="CQ331" s="1887"/>
      <c r="CR331" s="1887"/>
      <c r="CS331" s="1887"/>
      <c r="CT331" s="1887"/>
      <c r="CU331" s="1888"/>
      <c r="CV331" s="2360" t="str">
        <f t="shared" si="138"/>
        <v/>
      </c>
      <c r="CW331" s="2360"/>
      <c r="CX331" s="2360"/>
      <c r="CY331" s="2360"/>
      <c r="CZ331" s="2360"/>
      <c r="DA331" s="2360"/>
      <c r="DC331" s="600" t="str">
        <f t="shared" si="181"/>
        <v/>
      </c>
      <c r="DD331" s="381"/>
      <c r="DF331" s="34"/>
      <c r="DG331" s="34"/>
      <c r="DH331" s="34"/>
      <c r="DI331" s="34"/>
      <c r="DJ331" s="858" t="s">
        <v>5637</v>
      </c>
      <c r="DK331" s="1707" t="str">
        <f t="shared" si="182"/>
        <v/>
      </c>
      <c r="DL331" s="1692" t="str">
        <f t="shared" si="183"/>
        <v/>
      </c>
      <c r="DM331" s="1691">
        <f t="shared" si="139"/>
        <v>0</v>
      </c>
      <c r="DN331" s="111">
        <f t="shared" si="140"/>
        <v>0</v>
      </c>
      <c r="DO331" s="111">
        <f t="shared" si="141"/>
        <v>0</v>
      </c>
      <c r="DP331" s="474">
        <f t="shared" si="142"/>
        <v>0</v>
      </c>
      <c r="DQ331" s="116" t="s">
        <v>257</v>
      </c>
      <c r="DR331" s="473" t="str">
        <f>IF($U331="",R329,U331)</f>
        <v>組積造の外壁躯体の劣化及び損傷の状況</v>
      </c>
      <c r="DS331" s="112">
        <f t="shared" si="143"/>
        <v>0</v>
      </c>
      <c r="DT331" s="118" t="str">
        <f t="shared" si="144"/>
        <v/>
      </c>
      <c r="DU331" s="452" t="str">
        <f t="shared" si="145"/>
        <v/>
      </c>
      <c r="DV331" s="151" t="str">
        <f>IF($DT331="要是正",MAX($DV$321:DV330)+1,"")</f>
        <v/>
      </c>
      <c r="DW331" s="485" t="str">
        <f t="shared" si="146"/>
        <v/>
      </c>
      <c r="DX331" s="119" t="str">
        <f t="shared" si="184"/>
        <v/>
      </c>
      <c r="DY331" s="33" t="str">
        <f t="shared" si="147"/>
        <v/>
      </c>
      <c r="DZ331" s="217" t="str">
        <f t="shared" si="148"/>
        <v/>
      </c>
      <c r="EA331" s="397" t="str">
        <f t="shared" si="149"/>
        <v/>
      </c>
      <c r="EB331" s="234" t="str">
        <f t="shared" si="150"/>
        <v/>
      </c>
      <c r="EC331" s="227" t="str">
        <f t="shared" si="151"/>
        <v>0</v>
      </c>
      <c r="ED331" s="148" t="str">
        <f t="shared" si="185"/>
        <v/>
      </c>
      <c r="EE331" s="227" t="str">
        <f t="shared" si="186"/>
        <v>0</v>
      </c>
      <c r="EF331" s="598" t="str">
        <f t="shared" si="152"/>
        <v/>
      </c>
      <c r="EG331" s="204" t="str">
        <f t="shared" si="153"/>
        <v/>
      </c>
      <c r="EH331" s="134" t="str">
        <f t="shared" si="154"/>
        <v>0</v>
      </c>
      <c r="EI331" s="148" t="str">
        <f t="shared" si="187"/>
        <v/>
      </c>
      <c r="EJ331" s="227" t="str">
        <f t="shared" si="188"/>
        <v>0</v>
      </c>
      <c r="EK331" s="451" t="str">
        <f t="shared" si="155"/>
        <v/>
      </c>
      <c r="EL331" s="452" t="e">
        <f t="shared" si="156"/>
        <v>#N/A</v>
      </c>
      <c r="EM331" s="151" t="e">
        <f t="shared" si="157"/>
        <v>#N/A</v>
      </c>
      <c r="EN331" s="453" t="e">
        <f t="shared" si="158"/>
        <v>#N/A</v>
      </c>
      <c r="EO331" s="520">
        <v>17</v>
      </c>
      <c r="EP331" s="112" t="s">
        <v>1128</v>
      </c>
      <c r="EQ331" s="112" t="s">
        <v>1106</v>
      </c>
      <c r="ER331" s="220" t="s">
        <v>1124</v>
      </c>
      <c r="FK331" s="597" t="str">
        <f t="shared" si="159"/>
        <v/>
      </c>
      <c r="FL331" s="597" t="str">
        <f t="shared" si="71"/>
        <v/>
      </c>
      <c r="FM331" s="597" t="str">
        <f t="shared" si="72"/>
        <v/>
      </c>
      <c r="FN331" s="597">
        <f t="shared" si="160"/>
        <v>0</v>
      </c>
      <c r="FO331" s="1163" t="str">
        <f t="shared" si="161"/>
        <v/>
      </c>
      <c r="FQ331" s="234" t="str">
        <f t="shared" si="162"/>
        <v/>
      </c>
      <c r="FR331" s="227" t="str">
        <f t="shared" si="163"/>
        <v>0</v>
      </c>
      <c r="FS331" s="148" t="str">
        <f t="shared" si="189"/>
        <v/>
      </c>
      <c r="FT331" s="227" t="str">
        <f t="shared" si="190"/>
        <v>0</v>
      </c>
      <c r="FU331" s="416" t="str">
        <f t="shared" si="164"/>
        <v/>
      </c>
      <c r="FW331" s="1160">
        <f t="shared" si="78"/>
        <v>0</v>
      </c>
      <c r="FX331" s="123"/>
      <c r="FY331" s="123"/>
      <c r="FZ331" s="1161"/>
      <c r="GA331" s="34"/>
      <c r="GB331" s="1149">
        <f t="shared" si="79"/>
        <v>0</v>
      </c>
      <c r="GC331" s="1149">
        <f t="shared" si="80"/>
        <v>0</v>
      </c>
      <c r="GD331" s="1149">
        <f t="shared" si="81"/>
        <v>0</v>
      </c>
      <c r="GE331" s="1149" t="str">
        <f t="shared" si="165"/>
        <v/>
      </c>
      <c r="GF331" s="1149" t="str">
        <f t="shared" si="166"/>
        <v/>
      </c>
      <c r="GG331" s="1149" t="str">
        <f t="shared" si="167"/>
        <v/>
      </c>
      <c r="GH331" s="1149" t="str">
        <f t="shared" si="168"/>
        <v/>
      </c>
      <c r="GI331" s="1149" t="str">
        <f t="shared" si="169"/>
        <v/>
      </c>
      <c r="GJ331" s="1149" t="str">
        <f t="shared" si="170"/>
        <v/>
      </c>
      <c r="GK331" s="1149" t="str">
        <f t="shared" si="171"/>
        <v/>
      </c>
      <c r="GL331" s="1149" t="str">
        <f t="shared" si="172"/>
        <v/>
      </c>
      <c r="GM331" s="1149" t="str">
        <f t="shared" si="173"/>
        <v/>
      </c>
      <c r="GN331" s="1149" t="str">
        <f t="shared" si="174"/>
        <v/>
      </c>
      <c r="GO331" s="1149" t="str">
        <f t="shared" si="175"/>
        <v/>
      </c>
      <c r="GP331" s="1149" t="str">
        <f t="shared" si="176"/>
        <v/>
      </c>
      <c r="GQ331" s="1149" t="str">
        <f t="shared" si="177"/>
        <v/>
      </c>
      <c r="GR331" s="1149" t="str">
        <f t="shared" si="178"/>
        <v/>
      </c>
      <c r="GS331" s="1149" t="str">
        <f t="shared" si="179"/>
        <v/>
      </c>
      <c r="GT331" s="1149">
        <f t="shared" si="82"/>
        <v>0</v>
      </c>
      <c r="GU331" s="1149">
        <f t="shared" si="83"/>
        <v>0</v>
      </c>
      <c r="GV331" s="1149">
        <f t="shared" si="84"/>
        <v>0</v>
      </c>
      <c r="GW331" s="1149" t="b">
        <f t="shared" si="85"/>
        <v>0</v>
      </c>
      <c r="GX331" s="1149" t="b">
        <f t="shared" si="86"/>
        <v>0</v>
      </c>
      <c r="GY331" s="1149" t="b">
        <f t="shared" si="87"/>
        <v>0</v>
      </c>
      <c r="GZ331" s="1149" t="str">
        <f t="shared" si="180"/>
        <v/>
      </c>
      <c r="HB331" s="1149" t="str">
        <f t="shared" si="89"/>
        <v/>
      </c>
      <c r="HC331" s="1149" t="str">
        <f t="shared" si="90"/>
        <v/>
      </c>
      <c r="HD331" s="1149" t="str">
        <f t="shared" si="91"/>
        <v/>
      </c>
      <c r="HE331" s="1149" t="str">
        <f t="shared" si="92"/>
        <v/>
      </c>
      <c r="HF331" s="1149" t="str">
        <f t="shared" si="93"/>
        <v/>
      </c>
      <c r="HG331" s="1149" t="str">
        <f t="shared" si="94"/>
        <v/>
      </c>
      <c r="HH331" s="1149" t="str">
        <f t="shared" si="95"/>
        <v/>
      </c>
      <c r="HI331" s="1149" t="str">
        <f t="shared" si="96"/>
        <v/>
      </c>
      <c r="HJ331" s="1149" t="str">
        <f t="shared" si="97"/>
        <v/>
      </c>
      <c r="HK331" s="1149" t="str">
        <f t="shared" si="98"/>
        <v/>
      </c>
      <c r="HL331" s="1149" t="str">
        <f t="shared" si="99"/>
        <v/>
      </c>
      <c r="HM331" s="1149" t="str">
        <f t="shared" si="100"/>
        <v/>
      </c>
      <c r="HN331" s="1149" t="str">
        <f t="shared" si="101"/>
        <v/>
      </c>
      <c r="HO331" s="1149" t="str">
        <f t="shared" si="102"/>
        <v/>
      </c>
      <c r="HP331" s="1149" t="str">
        <f t="shared" si="103"/>
        <v/>
      </c>
      <c r="HQ331" s="1149" t="str">
        <f t="shared" si="104"/>
        <v/>
      </c>
      <c r="HR331" s="1149" t="str">
        <f t="shared" si="105"/>
        <v/>
      </c>
      <c r="HT331" s="1149">
        <f>LEFT(M331,1)*10000+MID(M331,3,LEN(M331)-3)*100+COUNTIF($M$307:M331,M331)</f>
        <v>20701</v>
      </c>
      <c r="HU331" s="1149" t="str">
        <f t="shared" si="106"/>
        <v/>
      </c>
      <c r="HV331" s="1149" t="str">
        <f t="shared" si="107"/>
        <v/>
      </c>
      <c r="HW331" s="1149" t="str">
        <f t="shared" si="108"/>
        <v/>
      </c>
      <c r="HX331" s="1149" t="str">
        <f t="shared" si="109"/>
        <v/>
      </c>
    </row>
    <row r="332" spans="1:232" s="69" customFormat="1" ht="50.15" customHeight="1">
      <c r="A332" s="645"/>
      <c r="B332" s="645"/>
      <c r="C332" s="645"/>
      <c r="D332" s="645"/>
      <c r="E332" s="646"/>
      <c r="F332" s="381"/>
      <c r="G332" s="381"/>
      <c r="H332" s="381"/>
      <c r="J332" s="80"/>
      <c r="K332" s="89"/>
      <c r="L332" s="89"/>
      <c r="M332" s="2079" t="s">
        <v>1203</v>
      </c>
      <c r="N332" s="2079"/>
      <c r="O332" s="2080"/>
      <c r="P332" s="2100"/>
      <c r="Q332" s="2100"/>
      <c r="R332" s="2065"/>
      <c r="S332" s="2065"/>
      <c r="T332" s="2065"/>
      <c r="U332" s="1899" t="s">
        <v>59</v>
      </c>
      <c r="V332" s="1899"/>
      <c r="W332" s="1899"/>
      <c r="X332" s="1899"/>
      <c r="Y332" s="1899"/>
      <c r="Z332" s="1899"/>
      <c r="AA332" s="1899"/>
      <c r="AB332" s="1899"/>
      <c r="AC332" s="1899"/>
      <c r="AD332" s="1899"/>
      <c r="AE332" s="1899"/>
      <c r="AF332" s="1898"/>
      <c r="AG332" s="1898"/>
      <c r="AH332" s="1898"/>
      <c r="AI332" s="1898"/>
      <c r="AJ332" s="1898"/>
      <c r="AK332" s="1898"/>
      <c r="AL332" s="1898"/>
      <c r="AM332" s="1898"/>
      <c r="AN332" s="1898"/>
      <c r="AO332" s="1898"/>
      <c r="AP332" s="1898"/>
      <c r="AQ332" s="1898"/>
      <c r="AR332" s="1910"/>
      <c r="AS332" s="1910"/>
      <c r="AT332" s="1993"/>
      <c r="AU332" s="1993"/>
      <c r="AV332" s="1993"/>
      <c r="AW332" s="1993"/>
      <c r="AX332" s="1993"/>
      <c r="AY332" s="1993"/>
      <c r="AZ332" s="1993"/>
      <c r="BA332" s="1993"/>
      <c r="BB332" s="1993"/>
      <c r="BC332" s="1993"/>
      <c r="BD332" s="1993"/>
      <c r="BE332" s="1993"/>
      <c r="BF332" s="1993"/>
      <c r="BG332" s="1993"/>
      <c r="BH332" s="1993"/>
      <c r="BI332" s="1993"/>
      <c r="BJ332" s="1993"/>
      <c r="BK332" s="1993"/>
      <c r="BL332" s="1993"/>
      <c r="BM332" s="1993"/>
      <c r="BN332" s="1993"/>
      <c r="BO332" s="1993"/>
      <c r="BP332" s="1993"/>
      <c r="BQ332" s="1993"/>
      <c r="BR332" s="1993"/>
      <c r="BS332" s="1895"/>
      <c r="BT332" s="1895"/>
      <c r="BU332" s="1895"/>
      <c r="BV332" s="1889"/>
      <c r="BW332" s="1889"/>
      <c r="BX332" s="1889"/>
      <c r="BY332" s="1889"/>
      <c r="BZ332" s="1896"/>
      <c r="CA332" s="1896"/>
      <c r="CB332" s="1886"/>
      <c r="CC332" s="1887"/>
      <c r="CD332" s="1887"/>
      <c r="CE332" s="1887"/>
      <c r="CF332" s="1887"/>
      <c r="CG332" s="1887"/>
      <c r="CH332" s="1887"/>
      <c r="CI332" s="1887"/>
      <c r="CJ332" s="1887"/>
      <c r="CK332" s="1887"/>
      <c r="CL332" s="1887"/>
      <c r="CM332" s="1887"/>
      <c r="CN332" s="1887"/>
      <c r="CO332" s="1887"/>
      <c r="CP332" s="1887"/>
      <c r="CQ332" s="1887"/>
      <c r="CR332" s="1887"/>
      <c r="CS332" s="1887"/>
      <c r="CT332" s="1887"/>
      <c r="CU332" s="1888"/>
      <c r="CV332" s="2360" t="str">
        <f t="shared" si="138"/>
        <v/>
      </c>
      <c r="CW332" s="2360"/>
      <c r="CX332" s="2360"/>
      <c r="CY332" s="2360"/>
      <c r="CZ332" s="2360"/>
      <c r="DA332" s="2360"/>
      <c r="DC332" s="600" t="str">
        <f t="shared" si="181"/>
        <v/>
      </c>
      <c r="DD332" s="381"/>
      <c r="DF332" s="34"/>
      <c r="DG332" s="34"/>
      <c r="DH332" s="34"/>
      <c r="DI332" s="34"/>
      <c r="DJ332" s="858" t="s">
        <v>5637</v>
      </c>
      <c r="DK332" s="1707" t="str">
        <f t="shared" si="182"/>
        <v/>
      </c>
      <c r="DL332" s="1692" t="str">
        <f t="shared" si="183"/>
        <v/>
      </c>
      <c r="DM332" s="1691">
        <f t="shared" si="139"/>
        <v>0</v>
      </c>
      <c r="DN332" s="111">
        <f t="shared" si="140"/>
        <v>0</v>
      </c>
      <c r="DO332" s="111">
        <f t="shared" si="141"/>
        <v>0</v>
      </c>
      <c r="DP332" s="474">
        <f t="shared" si="142"/>
        <v>0</v>
      </c>
      <c r="DQ332" s="116" t="s">
        <v>258</v>
      </c>
      <c r="DR332" s="473" t="str">
        <f>IF($U332="",R329,U332)</f>
        <v>補強コンクリートブロック造の外壁躯体の劣化及び損傷の状況</v>
      </c>
      <c r="DS332" s="112">
        <f t="shared" si="143"/>
        <v>0</v>
      </c>
      <c r="DT332" s="118" t="str">
        <f t="shared" si="144"/>
        <v/>
      </c>
      <c r="DU332" s="452" t="str">
        <f t="shared" si="145"/>
        <v/>
      </c>
      <c r="DV332" s="151" t="str">
        <f>IF($DT332="要是正",MAX($DV$321:DV331)+1,"")</f>
        <v/>
      </c>
      <c r="DW332" s="485" t="str">
        <f t="shared" si="146"/>
        <v/>
      </c>
      <c r="DX332" s="119" t="str">
        <f t="shared" si="184"/>
        <v/>
      </c>
      <c r="DY332" s="33" t="str">
        <f t="shared" si="147"/>
        <v/>
      </c>
      <c r="DZ332" s="217" t="str">
        <f t="shared" si="148"/>
        <v/>
      </c>
      <c r="EA332" s="397" t="str">
        <f t="shared" si="149"/>
        <v/>
      </c>
      <c r="EB332" s="234" t="str">
        <f t="shared" si="150"/>
        <v/>
      </c>
      <c r="EC332" s="227" t="str">
        <f t="shared" si="151"/>
        <v>0</v>
      </c>
      <c r="ED332" s="148" t="str">
        <f t="shared" si="185"/>
        <v/>
      </c>
      <c r="EE332" s="227" t="str">
        <f t="shared" si="186"/>
        <v>0</v>
      </c>
      <c r="EF332" s="598" t="str">
        <f t="shared" si="152"/>
        <v/>
      </c>
      <c r="EG332" s="204" t="str">
        <f t="shared" si="153"/>
        <v/>
      </c>
      <c r="EH332" s="134" t="str">
        <f t="shared" si="154"/>
        <v>0</v>
      </c>
      <c r="EI332" s="148" t="str">
        <f t="shared" si="187"/>
        <v/>
      </c>
      <c r="EJ332" s="227" t="str">
        <f t="shared" si="188"/>
        <v>0</v>
      </c>
      <c r="EK332" s="451" t="str">
        <f t="shared" si="155"/>
        <v/>
      </c>
      <c r="EL332" s="452" t="e">
        <f t="shared" si="156"/>
        <v>#N/A</v>
      </c>
      <c r="EM332" s="151" t="e">
        <f t="shared" si="157"/>
        <v>#N/A</v>
      </c>
      <c r="EN332" s="453" t="e">
        <f t="shared" si="158"/>
        <v>#N/A</v>
      </c>
      <c r="EO332" s="520">
        <v>18</v>
      </c>
      <c r="EP332" s="112" t="s">
        <v>1128</v>
      </c>
      <c r="EQ332" s="112" t="s">
        <v>1107</v>
      </c>
      <c r="ER332" s="220" t="s">
        <v>1125</v>
      </c>
      <c r="FK332" s="597" t="str">
        <f t="shared" si="159"/>
        <v/>
      </c>
      <c r="FL332" s="597" t="str">
        <f t="shared" si="71"/>
        <v/>
      </c>
      <c r="FM332" s="597" t="str">
        <f t="shared" si="72"/>
        <v/>
      </c>
      <c r="FN332" s="597">
        <f t="shared" si="160"/>
        <v>0</v>
      </c>
      <c r="FO332" s="1163" t="str">
        <f t="shared" si="161"/>
        <v/>
      </c>
      <c r="FQ332" s="234" t="str">
        <f t="shared" si="162"/>
        <v/>
      </c>
      <c r="FR332" s="227" t="str">
        <f t="shared" si="163"/>
        <v>0</v>
      </c>
      <c r="FS332" s="148" t="str">
        <f t="shared" si="189"/>
        <v/>
      </c>
      <c r="FT332" s="227" t="str">
        <f t="shared" si="190"/>
        <v>0</v>
      </c>
      <c r="FU332" s="416" t="str">
        <f t="shared" si="164"/>
        <v/>
      </c>
      <c r="FW332" s="1160">
        <f t="shared" si="78"/>
        <v>0</v>
      </c>
      <c r="FX332" s="123"/>
      <c r="FY332" s="123"/>
      <c r="FZ332" s="1161"/>
      <c r="GA332" s="34"/>
      <c r="GB332" s="1149">
        <f t="shared" si="79"/>
        <v>0</v>
      </c>
      <c r="GC332" s="1149">
        <f t="shared" si="80"/>
        <v>0</v>
      </c>
      <c r="GD332" s="1149">
        <f t="shared" si="81"/>
        <v>0</v>
      </c>
      <c r="GE332" s="1149" t="str">
        <f t="shared" si="165"/>
        <v/>
      </c>
      <c r="GF332" s="1149" t="str">
        <f t="shared" si="166"/>
        <v/>
      </c>
      <c r="GG332" s="1149" t="str">
        <f t="shared" si="167"/>
        <v/>
      </c>
      <c r="GH332" s="1149" t="str">
        <f t="shared" si="168"/>
        <v/>
      </c>
      <c r="GI332" s="1149" t="str">
        <f t="shared" si="169"/>
        <v/>
      </c>
      <c r="GJ332" s="1149" t="str">
        <f t="shared" si="170"/>
        <v/>
      </c>
      <c r="GK332" s="1149" t="str">
        <f t="shared" si="171"/>
        <v/>
      </c>
      <c r="GL332" s="1149" t="str">
        <f t="shared" si="172"/>
        <v/>
      </c>
      <c r="GM332" s="1149" t="str">
        <f t="shared" si="173"/>
        <v/>
      </c>
      <c r="GN332" s="1149" t="str">
        <f t="shared" si="174"/>
        <v/>
      </c>
      <c r="GO332" s="1149" t="str">
        <f t="shared" si="175"/>
        <v/>
      </c>
      <c r="GP332" s="1149" t="str">
        <f t="shared" si="176"/>
        <v/>
      </c>
      <c r="GQ332" s="1149" t="str">
        <f t="shared" si="177"/>
        <v/>
      </c>
      <c r="GR332" s="1149" t="str">
        <f t="shared" si="178"/>
        <v/>
      </c>
      <c r="GS332" s="1149" t="str">
        <f t="shared" si="179"/>
        <v/>
      </c>
      <c r="GT332" s="1149">
        <f t="shared" si="82"/>
        <v>0</v>
      </c>
      <c r="GU332" s="1149">
        <f t="shared" si="83"/>
        <v>0</v>
      </c>
      <c r="GV332" s="1149">
        <f t="shared" si="84"/>
        <v>0</v>
      </c>
      <c r="GW332" s="1149" t="b">
        <f t="shared" si="85"/>
        <v>0</v>
      </c>
      <c r="GX332" s="1149" t="b">
        <f t="shared" si="86"/>
        <v>0</v>
      </c>
      <c r="GY332" s="1149" t="b">
        <f t="shared" si="87"/>
        <v>0</v>
      </c>
      <c r="GZ332" s="1149" t="str">
        <f t="shared" si="180"/>
        <v/>
      </c>
      <c r="HB332" s="1149" t="str">
        <f t="shared" si="89"/>
        <v/>
      </c>
      <c r="HC332" s="1149" t="str">
        <f t="shared" si="90"/>
        <v/>
      </c>
      <c r="HD332" s="1149" t="str">
        <f t="shared" si="91"/>
        <v/>
      </c>
      <c r="HE332" s="1149" t="str">
        <f t="shared" si="92"/>
        <v/>
      </c>
      <c r="HF332" s="1149" t="str">
        <f t="shared" si="93"/>
        <v/>
      </c>
      <c r="HG332" s="1149" t="str">
        <f t="shared" si="94"/>
        <v/>
      </c>
      <c r="HH332" s="1149" t="str">
        <f t="shared" si="95"/>
        <v/>
      </c>
      <c r="HI332" s="1149" t="str">
        <f t="shared" si="96"/>
        <v/>
      </c>
      <c r="HJ332" s="1149" t="str">
        <f t="shared" si="97"/>
        <v/>
      </c>
      <c r="HK332" s="1149" t="str">
        <f t="shared" si="98"/>
        <v/>
      </c>
      <c r="HL332" s="1149" t="str">
        <f t="shared" si="99"/>
        <v/>
      </c>
      <c r="HM332" s="1149" t="str">
        <f t="shared" si="100"/>
        <v/>
      </c>
      <c r="HN332" s="1149" t="str">
        <f t="shared" si="101"/>
        <v/>
      </c>
      <c r="HO332" s="1149" t="str">
        <f t="shared" si="102"/>
        <v/>
      </c>
      <c r="HP332" s="1149" t="str">
        <f t="shared" si="103"/>
        <v/>
      </c>
      <c r="HQ332" s="1149" t="str">
        <f t="shared" si="104"/>
        <v/>
      </c>
      <c r="HR332" s="1149" t="str">
        <f t="shared" si="105"/>
        <v/>
      </c>
      <c r="HT332" s="1149">
        <f>LEFT(M332,1)*10000+MID(M332,3,LEN(M332)-3)*100+COUNTIF($M$307:M332,M332)</f>
        <v>20801</v>
      </c>
      <c r="HU332" s="1149" t="str">
        <f t="shared" si="106"/>
        <v/>
      </c>
      <c r="HV332" s="1149" t="str">
        <f t="shared" si="107"/>
        <v/>
      </c>
      <c r="HW332" s="1149" t="str">
        <f t="shared" si="108"/>
        <v/>
      </c>
      <c r="HX332" s="1149" t="str">
        <f t="shared" si="109"/>
        <v/>
      </c>
    </row>
    <row r="333" spans="1:232" s="69" customFormat="1" ht="50.15" customHeight="1">
      <c r="A333" s="645"/>
      <c r="B333" s="645"/>
      <c r="C333" s="645"/>
      <c r="D333" s="645"/>
      <c r="E333" s="646"/>
      <c r="F333" s="381"/>
      <c r="G333" s="381"/>
      <c r="H333" s="381"/>
      <c r="J333" s="80"/>
      <c r="K333" s="89"/>
      <c r="L333" s="89"/>
      <c r="M333" s="2079" t="s">
        <v>1204</v>
      </c>
      <c r="N333" s="2079"/>
      <c r="O333" s="2080"/>
      <c r="P333" s="2100"/>
      <c r="Q333" s="2100"/>
      <c r="R333" s="2065"/>
      <c r="S333" s="2065"/>
      <c r="T333" s="2065"/>
      <c r="U333" s="1899" t="s">
        <v>60</v>
      </c>
      <c r="V333" s="1899"/>
      <c r="W333" s="1899"/>
      <c r="X333" s="1899"/>
      <c r="Y333" s="1899"/>
      <c r="Z333" s="1899"/>
      <c r="AA333" s="1899"/>
      <c r="AB333" s="1899"/>
      <c r="AC333" s="1899"/>
      <c r="AD333" s="1899"/>
      <c r="AE333" s="1899"/>
      <c r="AF333" s="1898"/>
      <c r="AG333" s="1898"/>
      <c r="AH333" s="1898"/>
      <c r="AI333" s="1898"/>
      <c r="AJ333" s="1898"/>
      <c r="AK333" s="1898"/>
      <c r="AL333" s="1898"/>
      <c r="AM333" s="1898"/>
      <c r="AN333" s="1898"/>
      <c r="AO333" s="1898"/>
      <c r="AP333" s="1898"/>
      <c r="AQ333" s="1898"/>
      <c r="AR333" s="1910"/>
      <c r="AS333" s="1910"/>
      <c r="AT333" s="1993"/>
      <c r="AU333" s="1993"/>
      <c r="AV333" s="1993"/>
      <c r="AW333" s="1993"/>
      <c r="AX333" s="1993"/>
      <c r="AY333" s="1993"/>
      <c r="AZ333" s="1993"/>
      <c r="BA333" s="1993"/>
      <c r="BB333" s="1993"/>
      <c r="BC333" s="1993"/>
      <c r="BD333" s="1993"/>
      <c r="BE333" s="1993"/>
      <c r="BF333" s="1993"/>
      <c r="BG333" s="1993"/>
      <c r="BH333" s="1993"/>
      <c r="BI333" s="1993"/>
      <c r="BJ333" s="1993"/>
      <c r="BK333" s="1993"/>
      <c r="BL333" s="1993"/>
      <c r="BM333" s="1993"/>
      <c r="BN333" s="1993"/>
      <c r="BO333" s="1993"/>
      <c r="BP333" s="1993"/>
      <c r="BQ333" s="1993"/>
      <c r="BR333" s="1993"/>
      <c r="BS333" s="1895"/>
      <c r="BT333" s="1895"/>
      <c r="BU333" s="1895"/>
      <c r="BV333" s="1889"/>
      <c r="BW333" s="1889"/>
      <c r="BX333" s="1889"/>
      <c r="BY333" s="1889"/>
      <c r="BZ333" s="1896"/>
      <c r="CA333" s="1896"/>
      <c r="CB333" s="1886"/>
      <c r="CC333" s="1887"/>
      <c r="CD333" s="1887"/>
      <c r="CE333" s="1887"/>
      <c r="CF333" s="1887"/>
      <c r="CG333" s="1887"/>
      <c r="CH333" s="1887"/>
      <c r="CI333" s="1887"/>
      <c r="CJ333" s="1887"/>
      <c r="CK333" s="1887"/>
      <c r="CL333" s="1887"/>
      <c r="CM333" s="1887"/>
      <c r="CN333" s="1887"/>
      <c r="CO333" s="1887"/>
      <c r="CP333" s="1887"/>
      <c r="CQ333" s="1887"/>
      <c r="CR333" s="1887"/>
      <c r="CS333" s="1887"/>
      <c r="CT333" s="1887"/>
      <c r="CU333" s="1888"/>
      <c r="CV333" s="2360" t="str">
        <f t="shared" si="138"/>
        <v/>
      </c>
      <c r="CW333" s="2360"/>
      <c r="CX333" s="2360"/>
      <c r="CY333" s="2360"/>
      <c r="CZ333" s="2360"/>
      <c r="DA333" s="2360"/>
      <c r="DC333" s="600" t="str">
        <f t="shared" si="181"/>
        <v/>
      </c>
      <c r="DD333" s="381"/>
      <c r="DF333" s="34"/>
      <c r="DG333" s="34"/>
      <c r="DH333" s="34"/>
      <c r="DI333" s="34"/>
      <c r="DJ333" s="858" t="s">
        <v>5637</v>
      </c>
      <c r="DK333" s="1707" t="str">
        <f t="shared" si="182"/>
        <v/>
      </c>
      <c r="DL333" s="1692" t="str">
        <f t="shared" si="183"/>
        <v/>
      </c>
      <c r="DM333" s="1691">
        <f t="shared" si="139"/>
        <v>0</v>
      </c>
      <c r="DN333" s="111">
        <f t="shared" si="140"/>
        <v>0</v>
      </c>
      <c r="DO333" s="111">
        <f t="shared" si="141"/>
        <v>0</v>
      </c>
      <c r="DP333" s="474">
        <f t="shared" si="142"/>
        <v>0</v>
      </c>
      <c r="DQ333" s="116" t="s">
        <v>259</v>
      </c>
      <c r="DR333" s="473" t="str">
        <f>IF($U333="",R329,U333)</f>
        <v>鉄骨造の外壁躯体の劣化及び損傷の状況</v>
      </c>
      <c r="DS333" s="112">
        <f t="shared" si="143"/>
        <v>0</v>
      </c>
      <c r="DT333" s="118" t="str">
        <f t="shared" si="144"/>
        <v/>
      </c>
      <c r="DU333" s="452" t="str">
        <f t="shared" si="145"/>
        <v/>
      </c>
      <c r="DV333" s="151" t="str">
        <f>IF($DT333="要是正",MAX($DV$321:DV332)+1,"")</f>
        <v/>
      </c>
      <c r="DW333" s="485" t="str">
        <f t="shared" si="146"/>
        <v/>
      </c>
      <c r="DX333" s="119" t="str">
        <f t="shared" si="184"/>
        <v/>
      </c>
      <c r="DY333" s="33" t="str">
        <f t="shared" si="147"/>
        <v/>
      </c>
      <c r="DZ333" s="217" t="str">
        <f t="shared" si="148"/>
        <v/>
      </c>
      <c r="EA333" s="397" t="str">
        <f t="shared" si="149"/>
        <v/>
      </c>
      <c r="EB333" s="234" t="str">
        <f t="shared" si="150"/>
        <v/>
      </c>
      <c r="EC333" s="227" t="str">
        <f t="shared" si="151"/>
        <v>0</v>
      </c>
      <c r="ED333" s="148" t="str">
        <f t="shared" si="185"/>
        <v/>
      </c>
      <c r="EE333" s="227" t="str">
        <f t="shared" si="186"/>
        <v>0</v>
      </c>
      <c r="EF333" s="598" t="str">
        <f t="shared" si="152"/>
        <v/>
      </c>
      <c r="EG333" s="204" t="str">
        <f t="shared" si="153"/>
        <v/>
      </c>
      <c r="EH333" s="134" t="str">
        <f t="shared" si="154"/>
        <v>0</v>
      </c>
      <c r="EI333" s="148" t="str">
        <f t="shared" si="187"/>
        <v/>
      </c>
      <c r="EJ333" s="227" t="str">
        <f t="shared" si="188"/>
        <v>0</v>
      </c>
      <c r="EK333" s="451" t="str">
        <f t="shared" si="155"/>
        <v/>
      </c>
      <c r="EL333" s="452" t="e">
        <f t="shared" si="156"/>
        <v>#N/A</v>
      </c>
      <c r="EM333" s="151" t="e">
        <f t="shared" si="157"/>
        <v>#N/A</v>
      </c>
      <c r="EN333" s="453" t="e">
        <f t="shared" si="158"/>
        <v>#N/A</v>
      </c>
      <c r="EO333" s="520">
        <v>19</v>
      </c>
      <c r="EP333" s="112" t="s">
        <v>1128</v>
      </c>
      <c r="EQ333" s="112" t="s">
        <v>1108</v>
      </c>
      <c r="ER333" s="220" t="s">
        <v>1126</v>
      </c>
      <c r="FK333" s="597" t="str">
        <f t="shared" si="159"/>
        <v/>
      </c>
      <c r="FL333" s="597" t="str">
        <f t="shared" si="71"/>
        <v/>
      </c>
      <c r="FM333" s="597" t="str">
        <f t="shared" si="72"/>
        <v/>
      </c>
      <c r="FN333" s="597">
        <f t="shared" si="160"/>
        <v>0</v>
      </c>
      <c r="FO333" s="1163" t="str">
        <f t="shared" si="161"/>
        <v/>
      </c>
      <c r="FQ333" s="234" t="str">
        <f t="shared" si="162"/>
        <v/>
      </c>
      <c r="FR333" s="227" t="str">
        <f t="shared" si="163"/>
        <v>0</v>
      </c>
      <c r="FS333" s="148" t="str">
        <f t="shared" si="189"/>
        <v/>
      </c>
      <c r="FT333" s="227" t="str">
        <f t="shared" si="190"/>
        <v>0</v>
      </c>
      <c r="FU333" s="416" t="str">
        <f t="shared" si="164"/>
        <v/>
      </c>
      <c r="FW333" s="1160">
        <f t="shared" si="78"/>
        <v>0</v>
      </c>
      <c r="FX333" s="123"/>
      <c r="FY333" s="123"/>
      <c r="FZ333" s="1161"/>
      <c r="GA333" s="34"/>
      <c r="GB333" s="1149">
        <f t="shared" si="79"/>
        <v>0</v>
      </c>
      <c r="GC333" s="1149">
        <f t="shared" si="80"/>
        <v>0</v>
      </c>
      <c r="GD333" s="1149">
        <f t="shared" si="81"/>
        <v>0</v>
      </c>
      <c r="GE333" s="1149" t="str">
        <f t="shared" si="165"/>
        <v/>
      </c>
      <c r="GF333" s="1149" t="str">
        <f t="shared" si="166"/>
        <v/>
      </c>
      <c r="GG333" s="1149" t="str">
        <f t="shared" si="167"/>
        <v/>
      </c>
      <c r="GH333" s="1149" t="str">
        <f t="shared" si="168"/>
        <v/>
      </c>
      <c r="GI333" s="1149" t="str">
        <f t="shared" si="169"/>
        <v/>
      </c>
      <c r="GJ333" s="1149" t="str">
        <f t="shared" si="170"/>
        <v/>
      </c>
      <c r="GK333" s="1149" t="str">
        <f t="shared" si="171"/>
        <v/>
      </c>
      <c r="GL333" s="1149" t="str">
        <f t="shared" si="172"/>
        <v/>
      </c>
      <c r="GM333" s="1149" t="str">
        <f t="shared" si="173"/>
        <v/>
      </c>
      <c r="GN333" s="1149" t="str">
        <f t="shared" si="174"/>
        <v/>
      </c>
      <c r="GO333" s="1149" t="str">
        <f t="shared" si="175"/>
        <v/>
      </c>
      <c r="GP333" s="1149" t="str">
        <f t="shared" si="176"/>
        <v/>
      </c>
      <c r="GQ333" s="1149" t="str">
        <f t="shared" si="177"/>
        <v/>
      </c>
      <c r="GR333" s="1149" t="str">
        <f t="shared" si="178"/>
        <v/>
      </c>
      <c r="GS333" s="1149" t="str">
        <f t="shared" si="179"/>
        <v/>
      </c>
      <c r="GT333" s="1149">
        <f t="shared" si="82"/>
        <v>0</v>
      </c>
      <c r="GU333" s="1149">
        <f t="shared" si="83"/>
        <v>0</v>
      </c>
      <c r="GV333" s="1149">
        <f t="shared" si="84"/>
        <v>0</v>
      </c>
      <c r="GW333" s="1149" t="b">
        <f t="shared" si="85"/>
        <v>0</v>
      </c>
      <c r="GX333" s="1149" t="b">
        <f t="shared" si="86"/>
        <v>0</v>
      </c>
      <c r="GY333" s="1149" t="b">
        <f t="shared" si="87"/>
        <v>0</v>
      </c>
      <c r="GZ333" s="1149" t="str">
        <f t="shared" si="180"/>
        <v/>
      </c>
      <c r="HB333" s="1149" t="str">
        <f t="shared" si="89"/>
        <v/>
      </c>
      <c r="HC333" s="1149" t="str">
        <f t="shared" si="90"/>
        <v/>
      </c>
      <c r="HD333" s="1149" t="str">
        <f t="shared" si="91"/>
        <v/>
      </c>
      <c r="HE333" s="1149" t="str">
        <f t="shared" si="92"/>
        <v/>
      </c>
      <c r="HF333" s="1149" t="str">
        <f t="shared" si="93"/>
        <v/>
      </c>
      <c r="HG333" s="1149" t="str">
        <f t="shared" si="94"/>
        <v/>
      </c>
      <c r="HH333" s="1149" t="str">
        <f t="shared" si="95"/>
        <v/>
      </c>
      <c r="HI333" s="1149" t="str">
        <f t="shared" si="96"/>
        <v/>
      </c>
      <c r="HJ333" s="1149" t="str">
        <f t="shared" si="97"/>
        <v/>
      </c>
      <c r="HK333" s="1149" t="str">
        <f t="shared" si="98"/>
        <v/>
      </c>
      <c r="HL333" s="1149" t="str">
        <f t="shared" si="99"/>
        <v/>
      </c>
      <c r="HM333" s="1149" t="str">
        <f t="shared" si="100"/>
        <v/>
      </c>
      <c r="HN333" s="1149" t="str">
        <f t="shared" si="101"/>
        <v/>
      </c>
      <c r="HO333" s="1149" t="str">
        <f t="shared" si="102"/>
        <v/>
      </c>
      <c r="HP333" s="1149" t="str">
        <f t="shared" si="103"/>
        <v/>
      </c>
      <c r="HQ333" s="1149" t="str">
        <f t="shared" si="104"/>
        <v/>
      </c>
      <c r="HR333" s="1149" t="str">
        <f t="shared" si="105"/>
        <v/>
      </c>
      <c r="HT333" s="1149">
        <f>LEFT(M333,1)*10000+MID(M333,3,LEN(M333)-3)*100+COUNTIF($M$307:M333,M333)</f>
        <v>20901</v>
      </c>
      <c r="HU333" s="1149" t="str">
        <f t="shared" si="106"/>
        <v/>
      </c>
      <c r="HV333" s="1149" t="str">
        <f t="shared" si="107"/>
        <v/>
      </c>
      <c r="HW333" s="1149" t="str">
        <f t="shared" si="108"/>
        <v/>
      </c>
      <c r="HX333" s="1149" t="str">
        <f t="shared" si="109"/>
        <v/>
      </c>
    </row>
    <row r="334" spans="1:232" s="69" customFormat="1" ht="50.15" customHeight="1" thickBot="1">
      <c r="A334" s="645"/>
      <c r="B334" s="645"/>
      <c r="C334" s="645"/>
      <c r="D334" s="645"/>
      <c r="E334" s="646"/>
      <c r="F334" s="381"/>
      <c r="G334" s="381"/>
      <c r="H334" s="381"/>
      <c r="J334" s="80"/>
      <c r="K334" s="89"/>
      <c r="L334" s="89"/>
      <c r="M334" s="2079" t="s">
        <v>1205</v>
      </c>
      <c r="N334" s="2079"/>
      <c r="O334" s="2080"/>
      <c r="P334" s="2100"/>
      <c r="Q334" s="2100"/>
      <c r="R334" s="2065"/>
      <c r="S334" s="2065"/>
      <c r="T334" s="2065"/>
      <c r="U334" s="2028" t="s">
        <v>61</v>
      </c>
      <c r="V334" s="2028"/>
      <c r="W334" s="2028"/>
      <c r="X334" s="2028"/>
      <c r="Y334" s="2028"/>
      <c r="Z334" s="2028"/>
      <c r="AA334" s="2028"/>
      <c r="AB334" s="2028"/>
      <c r="AC334" s="2028"/>
      <c r="AD334" s="2028"/>
      <c r="AE334" s="2028"/>
      <c r="AF334" s="2068"/>
      <c r="AG334" s="2068"/>
      <c r="AH334" s="2068"/>
      <c r="AI334" s="2068"/>
      <c r="AJ334" s="2068"/>
      <c r="AK334" s="2068"/>
      <c r="AL334" s="2068"/>
      <c r="AM334" s="2068"/>
      <c r="AN334" s="2068"/>
      <c r="AO334" s="2068"/>
      <c r="AP334" s="2068"/>
      <c r="AQ334" s="2068"/>
      <c r="AR334" s="1965"/>
      <c r="AS334" s="1965"/>
      <c r="AT334" s="1999"/>
      <c r="AU334" s="1999"/>
      <c r="AV334" s="1999"/>
      <c r="AW334" s="1999"/>
      <c r="AX334" s="1999"/>
      <c r="AY334" s="1999"/>
      <c r="AZ334" s="1999"/>
      <c r="BA334" s="1999"/>
      <c r="BB334" s="1999"/>
      <c r="BC334" s="1999"/>
      <c r="BD334" s="1999"/>
      <c r="BE334" s="1999"/>
      <c r="BF334" s="1999"/>
      <c r="BG334" s="1999"/>
      <c r="BH334" s="1999"/>
      <c r="BI334" s="1999"/>
      <c r="BJ334" s="1999"/>
      <c r="BK334" s="1999"/>
      <c r="BL334" s="1999"/>
      <c r="BM334" s="1999"/>
      <c r="BN334" s="1999"/>
      <c r="BO334" s="1999"/>
      <c r="BP334" s="1999"/>
      <c r="BQ334" s="1999"/>
      <c r="BR334" s="1999"/>
      <c r="BS334" s="2081"/>
      <c r="BT334" s="2081"/>
      <c r="BU334" s="2081"/>
      <c r="BV334" s="1923"/>
      <c r="BW334" s="1923"/>
      <c r="BX334" s="1923"/>
      <c r="BY334" s="1923"/>
      <c r="BZ334" s="1924"/>
      <c r="CA334" s="1924"/>
      <c r="CB334" s="2367"/>
      <c r="CC334" s="2368"/>
      <c r="CD334" s="2368"/>
      <c r="CE334" s="2368"/>
      <c r="CF334" s="2368"/>
      <c r="CG334" s="2368"/>
      <c r="CH334" s="2368"/>
      <c r="CI334" s="2368"/>
      <c r="CJ334" s="2368"/>
      <c r="CK334" s="2368"/>
      <c r="CL334" s="2368"/>
      <c r="CM334" s="2368"/>
      <c r="CN334" s="2368"/>
      <c r="CO334" s="2368"/>
      <c r="CP334" s="2368"/>
      <c r="CQ334" s="2368"/>
      <c r="CR334" s="2368"/>
      <c r="CS334" s="2368"/>
      <c r="CT334" s="2368"/>
      <c r="CU334" s="2369"/>
      <c r="CV334" s="2360" t="str">
        <f t="shared" si="138"/>
        <v/>
      </c>
      <c r="CW334" s="2360"/>
      <c r="CX334" s="2360"/>
      <c r="CY334" s="2360"/>
      <c r="CZ334" s="2360"/>
      <c r="DA334" s="2360"/>
      <c r="DC334" s="600" t="str">
        <f t="shared" si="181"/>
        <v/>
      </c>
      <c r="DD334" s="381"/>
      <c r="DF334" s="34"/>
      <c r="DG334" s="34"/>
      <c r="DH334" s="34"/>
      <c r="DI334" s="34"/>
      <c r="DJ334" s="858" t="s">
        <v>5637</v>
      </c>
      <c r="DK334" s="1707" t="str">
        <f t="shared" si="182"/>
        <v/>
      </c>
      <c r="DL334" s="1692" t="str">
        <f t="shared" si="183"/>
        <v/>
      </c>
      <c r="DM334" s="1691">
        <f t="shared" si="139"/>
        <v>0</v>
      </c>
      <c r="DN334" s="111">
        <f t="shared" si="140"/>
        <v>0</v>
      </c>
      <c r="DO334" s="111">
        <f t="shared" si="141"/>
        <v>0</v>
      </c>
      <c r="DP334" s="474">
        <f t="shared" si="142"/>
        <v>0</v>
      </c>
      <c r="DQ334" s="117" t="s">
        <v>260</v>
      </c>
      <c r="DR334" s="473" t="str">
        <f>IF($U334="",R329,U334)</f>
        <v>鉄筋コンクリート造及び鉄骨鉄筋コンクリート造の外壁躯体の劣化及び損傷の状況</v>
      </c>
      <c r="DS334" s="112">
        <f t="shared" si="143"/>
        <v>0</v>
      </c>
      <c r="DT334" s="118" t="str">
        <f t="shared" si="144"/>
        <v/>
      </c>
      <c r="DU334" s="452" t="str">
        <f t="shared" si="145"/>
        <v/>
      </c>
      <c r="DV334" s="151" t="str">
        <f>IF($DT334="要是正",MAX($DV$321:DV333)+1,"")</f>
        <v/>
      </c>
      <c r="DW334" s="485" t="str">
        <f t="shared" si="146"/>
        <v/>
      </c>
      <c r="DX334" s="119" t="str">
        <f>IF(OR($DT334="要是正",$DT334="既存不適格"),$DR334,"")</f>
        <v/>
      </c>
      <c r="DY334" s="33" t="str">
        <f t="shared" si="147"/>
        <v/>
      </c>
      <c r="DZ334" s="217" t="str">
        <f t="shared" si="148"/>
        <v/>
      </c>
      <c r="EA334" s="397" t="str">
        <f t="shared" si="149"/>
        <v/>
      </c>
      <c r="EB334" s="234" t="str">
        <f t="shared" si="150"/>
        <v/>
      </c>
      <c r="EC334" s="227" t="str">
        <f t="shared" si="151"/>
        <v>0</v>
      </c>
      <c r="ED334" s="148" t="str">
        <f t="shared" si="185"/>
        <v/>
      </c>
      <c r="EE334" s="227" t="str">
        <f t="shared" si="186"/>
        <v>0</v>
      </c>
      <c r="EF334" s="598" t="str">
        <f t="shared" si="152"/>
        <v/>
      </c>
      <c r="EG334" s="204" t="str">
        <f t="shared" si="153"/>
        <v/>
      </c>
      <c r="EH334" s="134" t="str">
        <f t="shared" si="154"/>
        <v>0</v>
      </c>
      <c r="EI334" s="148" t="str">
        <f t="shared" si="187"/>
        <v/>
      </c>
      <c r="EJ334" s="227" t="str">
        <f t="shared" si="188"/>
        <v>0</v>
      </c>
      <c r="EK334" s="451" t="str">
        <f t="shared" si="155"/>
        <v/>
      </c>
      <c r="EL334" s="452" t="e">
        <f t="shared" si="156"/>
        <v>#N/A</v>
      </c>
      <c r="EM334" s="151" t="e">
        <f t="shared" si="157"/>
        <v>#N/A</v>
      </c>
      <c r="EN334" s="453" t="e">
        <f t="shared" si="158"/>
        <v>#N/A</v>
      </c>
      <c r="EO334" s="521">
        <v>20</v>
      </c>
      <c r="EP334" s="221" t="s">
        <v>1128</v>
      </c>
      <c r="EQ334" s="221" t="s">
        <v>1109</v>
      </c>
      <c r="ER334" s="222" t="s">
        <v>1127</v>
      </c>
      <c r="FK334" s="597" t="str">
        <f t="shared" si="159"/>
        <v/>
      </c>
      <c r="FL334" s="597" t="str">
        <f t="shared" si="71"/>
        <v/>
      </c>
      <c r="FM334" s="597" t="str">
        <f t="shared" si="72"/>
        <v/>
      </c>
      <c r="FN334" s="597">
        <f t="shared" si="160"/>
        <v>0</v>
      </c>
      <c r="FO334" s="1163" t="str">
        <f t="shared" si="161"/>
        <v/>
      </c>
      <c r="FQ334" s="234" t="str">
        <f t="shared" si="162"/>
        <v/>
      </c>
      <c r="FR334" s="227" t="str">
        <f t="shared" si="163"/>
        <v>0</v>
      </c>
      <c r="FS334" s="148" t="str">
        <f t="shared" si="189"/>
        <v/>
      </c>
      <c r="FT334" s="227" t="str">
        <f t="shared" si="190"/>
        <v>0</v>
      </c>
      <c r="FU334" s="416" t="str">
        <f t="shared" si="164"/>
        <v/>
      </c>
      <c r="FW334" s="1160">
        <f t="shared" si="78"/>
        <v>0</v>
      </c>
      <c r="FX334" s="123"/>
      <c r="FY334" s="123"/>
      <c r="FZ334" s="1161"/>
      <c r="GA334" s="34"/>
      <c r="GB334" s="1149">
        <f t="shared" si="79"/>
        <v>0</v>
      </c>
      <c r="GC334" s="1149">
        <f t="shared" si="80"/>
        <v>0</v>
      </c>
      <c r="GD334" s="1149">
        <f t="shared" si="81"/>
        <v>0</v>
      </c>
      <c r="GE334" s="1149" t="str">
        <f t="shared" si="165"/>
        <v/>
      </c>
      <c r="GF334" s="1149" t="str">
        <f t="shared" si="166"/>
        <v/>
      </c>
      <c r="GG334" s="1149" t="str">
        <f t="shared" si="167"/>
        <v/>
      </c>
      <c r="GH334" s="1149" t="str">
        <f t="shared" si="168"/>
        <v/>
      </c>
      <c r="GI334" s="1149" t="str">
        <f t="shared" si="169"/>
        <v/>
      </c>
      <c r="GJ334" s="1149" t="str">
        <f t="shared" si="170"/>
        <v/>
      </c>
      <c r="GK334" s="1149" t="str">
        <f t="shared" si="171"/>
        <v/>
      </c>
      <c r="GL334" s="1149" t="str">
        <f t="shared" si="172"/>
        <v/>
      </c>
      <c r="GM334" s="1149" t="str">
        <f t="shared" si="173"/>
        <v/>
      </c>
      <c r="GN334" s="1149" t="str">
        <f t="shared" si="174"/>
        <v/>
      </c>
      <c r="GO334" s="1149" t="str">
        <f t="shared" si="175"/>
        <v/>
      </c>
      <c r="GP334" s="1149" t="str">
        <f t="shared" si="176"/>
        <v/>
      </c>
      <c r="GQ334" s="1149" t="str">
        <f t="shared" si="177"/>
        <v/>
      </c>
      <c r="GR334" s="1149" t="str">
        <f t="shared" si="178"/>
        <v/>
      </c>
      <c r="GS334" s="1149" t="str">
        <f t="shared" si="179"/>
        <v/>
      </c>
      <c r="GT334" s="1149">
        <f t="shared" si="82"/>
        <v>0</v>
      </c>
      <c r="GU334" s="1149">
        <f t="shared" si="83"/>
        <v>0</v>
      </c>
      <c r="GV334" s="1149">
        <f t="shared" si="84"/>
        <v>0</v>
      </c>
      <c r="GW334" s="1149" t="b">
        <f t="shared" si="85"/>
        <v>0</v>
      </c>
      <c r="GX334" s="1149" t="b">
        <f t="shared" si="86"/>
        <v>0</v>
      </c>
      <c r="GY334" s="1149" t="b">
        <f t="shared" si="87"/>
        <v>0</v>
      </c>
      <c r="GZ334" s="1149" t="str">
        <f t="shared" si="180"/>
        <v/>
      </c>
      <c r="HB334" s="1149" t="str">
        <f t="shared" si="89"/>
        <v/>
      </c>
      <c r="HC334" s="1149" t="str">
        <f t="shared" si="90"/>
        <v/>
      </c>
      <c r="HD334" s="1149" t="str">
        <f t="shared" si="91"/>
        <v/>
      </c>
      <c r="HE334" s="1149" t="str">
        <f t="shared" si="92"/>
        <v/>
      </c>
      <c r="HF334" s="1149" t="str">
        <f t="shared" si="93"/>
        <v/>
      </c>
      <c r="HG334" s="1149" t="str">
        <f t="shared" si="94"/>
        <v/>
      </c>
      <c r="HH334" s="1149" t="str">
        <f t="shared" si="95"/>
        <v/>
      </c>
      <c r="HI334" s="1149" t="str">
        <f t="shared" si="96"/>
        <v/>
      </c>
      <c r="HJ334" s="1149" t="str">
        <f t="shared" si="97"/>
        <v/>
      </c>
      <c r="HK334" s="1149" t="str">
        <f t="shared" si="98"/>
        <v/>
      </c>
      <c r="HL334" s="1149" t="str">
        <f t="shared" si="99"/>
        <v/>
      </c>
      <c r="HM334" s="1149" t="str">
        <f t="shared" si="100"/>
        <v/>
      </c>
      <c r="HN334" s="1149" t="str">
        <f t="shared" si="101"/>
        <v/>
      </c>
      <c r="HO334" s="1149" t="str">
        <f t="shared" si="102"/>
        <v/>
      </c>
      <c r="HP334" s="1149" t="str">
        <f t="shared" si="103"/>
        <v/>
      </c>
      <c r="HQ334" s="1149" t="str">
        <f t="shared" si="104"/>
        <v/>
      </c>
      <c r="HR334" s="1149" t="str">
        <f t="shared" si="105"/>
        <v/>
      </c>
      <c r="HT334" s="1149">
        <f>LEFT(M334,1)*10000+MID(M334,3,LEN(M334)-3)*100+COUNTIF($M$307:M334,M334)</f>
        <v>21001</v>
      </c>
      <c r="HU334" s="1149" t="str">
        <f t="shared" si="106"/>
        <v/>
      </c>
      <c r="HV334" s="1149" t="str">
        <f t="shared" si="107"/>
        <v/>
      </c>
      <c r="HW334" s="1149" t="str">
        <f t="shared" si="108"/>
        <v/>
      </c>
      <c r="HX334" s="1149" t="str">
        <f t="shared" si="109"/>
        <v/>
      </c>
    </row>
    <row r="335" spans="1:232" s="69" customFormat="1" ht="50.15" customHeight="1">
      <c r="A335" s="645"/>
      <c r="B335" s="645"/>
      <c r="C335" s="645"/>
      <c r="D335" s="645"/>
      <c r="E335" s="646"/>
      <c r="F335" s="381"/>
      <c r="G335" s="381"/>
      <c r="H335" s="381"/>
      <c r="J335" s="80"/>
      <c r="K335" s="89"/>
      <c r="L335" s="89"/>
      <c r="M335" s="2079" t="s">
        <v>1206</v>
      </c>
      <c r="N335" s="2079"/>
      <c r="O335" s="2080"/>
      <c r="P335" s="2100"/>
      <c r="Q335" s="2100"/>
      <c r="R335" s="1966" t="s">
        <v>62</v>
      </c>
      <c r="S335" s="2065"/>
      <c r="T335" s="2065"/>
      <c r="U335" s="2011" t="s">
        <v>221</v>
      </c>
      <c r="V335" s="2011"/>
      <c r="W335" s="2011"/>
      <c r="X335" s="2011"/>
      <c r="Y335" s="2011"/>
      <c r="Z335" s="2011"/>
      <c r="AA335" s="2011"/>
      <c r="AB335" s="2011"/>
      <c r="AC335" s="2011"/>
      <c r="AD335" s="2011"/>
      <c r="AE335" s="2011"/>
      <c r="AF335" s="2010"/>
      <c r="AG335" s="2010"/>
      <c r="AH335" s="2010"/>
      <c r="AI335" s="2010"/>
      <c r="AJ335" s="2010"/>
      <c r="AK335" s="2010"/>
      <c r="AL335" s="2010"/>
      <c r="AM335" s="2010"/>
      <c r="AN335" s="2010"/>
      <c r="AO335" s="2010"/>
      <c r="AP335" s="2010"/>
      <c r="AQ335" s="2010"/>
      <c r="AR335" s="2017"/>
      <c r="AS335" s="2017"/>
      <c r="AT335" s="1929"/>
      <c r="AU335" s="1929"/>
      <c r="AV335" s="1929"/>
      <c r="AW335" s="1929"/>
      <c r="AX335" s="1929"/>
      <c r="AY335" s="1929"/>
      <c r="AZ335" s="1929"/>
      <c r="BA335" s="1929"/>
      <c r="BB335" s="1929"/>
      <c r="BC335" s="1929"/>
      <c r="BD335" s="1929"/>
      <c r="BE335" s="1929"/>
      <c r="BF335" s="1929"/>
      <c r="BG335" s="1929"/>
      <c r="BH335" s="1929"/>
      <c r="BI335" s="1929"/>
      <c r="BJ335" s="1929"/>
      <c r="BK335" s="1929"/>
      <c r="BL335" s="1929"/>
      <c r="BM335" s="1929"/>
      <c r="BN335" s="1929"/>
      <c r="BO335" s="1929"/>
      <c r="BP335" s="1929"/>
      <c r="BQ335" s="1929"/>
      <c r="BR335" s="1929"/>
      <c r="BS335" s="1885"/>
      <c r="BT335" s="1885"/>
      <c r="BU335" s="1885"/>
      <c r="BV335" s="1890"/>
      <c r="BW335" s="1890"/>
      <c r="BX335" s="1890"/>
      <c r="BY335" s="1890"/>
      <c r="BZ335" s="1891"/>
      <c r="CA335" s="1891"/>
      <c r="CB335" s="2381" t="str">
        <f>IF(DP261=1,"19外装仕上げ材等についてに未設置と記載あり","")</f>
        <v/>
      </c>
      <c r="CC335" s="2382"/>
      <c r="CD335" s="2382"/>
      <c r="CE335" s="2382"/>
      <c r="CF335" s="2382"/>
      <c r="CG335" s="2382"/>
      <c r="CH335" s="2382"/>
      <c r="CI335" s="2382"/>
      <c r="CJ335" s="2382"/>
      <c r="CK335" s="2382"/>
      <c r="CL335" s="2382"/>
      <c r="CM335" s="2382"/>
      <c r="CN335" s="2382"/>
      <c r="CO335" s="2382"/>
      <c r="CP335" s="2382"/>
      <c r="CQ335" s="2382"/>
      <c r="CR335" s="2382"/>
      <c r="CS335" s="2382"/>
      <c r="CT335" s="2382"/>
      <c r="CU335" s="2383"/>
      <c r="CV335" s="2360" t="str">
        <f t="shared" si="138"/>
        <v/>
      </c>
      <c r="CW335" s="2360"/>
      <c r="CX335" s="2360"/>
      <c r="CY335" s="2360"/>
      <c r="CZ335" s="2360"/>
      <c r="DA335" s="2360"/>
      <c r="DC335" s="600" t="str">
        <f t="shared" si="181"/>
        <v/>
      </c>
      <c r="DD335" s="381"/>
      <c r="DF335" s="34"/>
      <c r="DG335" s="34"/>
      <c r="DH335" s="34"/>
      <c r="DI335" s="34"/>
      <c r="DJ335" s="858" t="s">
        <v>5637</v>
      </c>
      <c r="DK335" s="1707" t="str">
        <f t="shared" si="182"/>
        <v/>
      </c>
      <c r="DL335" s="1692" t="str">
        <f t="shared" si="183"/>
        <v/>
      </c>
      <c r="DM335" s="1691">
        <f t="shared" si="139"/>
        <v>0</v>
      </c>
      <c r="DN335" s="111">
        <f t="shared" si="140"/>
        <v>0</v>
      </c>
      <c r="DO335" s="111">
        <f t="shared" si="141"/>
        <v>0</v>
      </c>
      <c r="DP335" s="474">
        <f t="shared" si="142"/>
        <v>0</v>
      </c>
      <c r="DQ335" s="116" t="s">
        <v>261</v>
      </c>
      <c r="DR335" s="473" t="str">
        <f t="shared" si="191"/>
        <v>タイル、石貼り等（乾式工法によるものを除く。）、モルタル等の劣化及び損傷の状況</v>
      </c>
      <c r="DS335" s="112">
        <f t="shared" si="143"/>
        <v>0</v>
      </c>
      <c r="DT335" s="118" t="str">
        <f t="shared" si="144"/>
        <v/>
      </c>
      <c r="DU335" s="452" t="str">
        <f t="shared" si="145"/>
        <v/>
      </c>
      <c r="DV335" s="151" t="str">
        <f>IF($DT335="要是正",MAX($DV$321:DV334)+1,"")</f>
        <v/>
      </c>
      <c r="DW335" s="485" t="str">
        <f t="shared" si="146"/>
        <v/>
      </c>
      <c r="DX335" s="119" t="str">
        <f t="shared" si="184"/>
        <v/>
      </c>
      <c r="DY335" s="33" t="str">
        <f t="shared" si="147"/>
        <v/>
      </c>
      <c r="DZ335" s="217" t="str">
        <f t="shared" si="148"/>
        <v/>
      </c>
      <c r="EA335" s="397" t="str">
        <f t="shared" si="149"/>
        <v/>
      </c>
      <c r="EB335" s="234" t="str">
        <f t="shared" si="150"/>
        <v/>
      </c>
      <c r="EC335" s="227" t="str">
        <f t="shared" si="151"/>
        <v>0</v>
      </c>
      <c r="ED335" s="148" t="str">
        <f t="shared" si="185"/>
        <v/>
      </c>
      <c r="EE335" s="227" t="str">
        <f t="shared" si="186"/>
        <v>0</v>
      </c>
      <c r="EF335" s="598" t="str">
        <f t="shared" si="152"/>
        <v/>
      </c>
      <c r="EG335" s="204" t="str">
        <f t="shared" si="153"/>
        <v/>
      </c>
      <c r="EH335" s="134" t="str">
        <f t="shared" si="154"/>
        <v>0</v>
      </c>
      <c r="EI335" s="148" t="str">
        <f t="shared" si="187"/>
        <v/>
      </c>
      <c r="EJ335" s="227" t="str">
        <f t="shared" si="188"/>
        <v>0</v>
      </c>
      <c r="EK335" s="451" t="str">
        <f t="shared" si="155"/>
        <v/>
      </c>
      <c r="EL335" s="452" t="e">
        <f t="shared" si="156"/>
        <v>#N/A</v>
      </c>
      <c r="EM335" s="151" t="e">
        <f t="shared" si="157"/>
        <v>#N/A</v>
      </c>
      <c r="EN335" s="453" t="e">
        <f t="shared" si="158"/>
        <v>#N/A</v>
      </c>
      <c r="FK335" s="597" t="str">
        <f t="shared" si="159"/>
        <v/>
      </c>
      <c r="FL335" s="597" t="str">
        <f t="shared" si="71"/>
        <v/>
      </c>
      <c r="FM335" s="597" t="str">
        <f t="shared" si="72"/>
        <v/>
      </c>
      <c r="FN335" s="597">
        <f t="shared" si="160"/>
        <v>0</v>
      </c>
      <c r="FO335" s="1163" t="str">
        <f t="shared" si="161"/>
        <v/>
      </c>
      <c r="FQ335" s="234" t="str">
        <f t="shared" si="162"/>
        <v/>
      </c>
      <c r="FR335" s="227" t="str">
        <f t="shared" si="163"/>
        <v>0</v>
      </c>
      <c r="FS335" s="148" t="str">
        <f t="shared" si="189"/>
        <v/>
      </c>
      <c r="FT335" s="227" t="str">
        <f t="shared" si="190"/>
        <v>0</v>
      </c>
      <c r="FU335" s="416" t="str">
        <f t="shared" si="164"/>
        <v/>
      </c>
      <c r="FW335" s="1160">
        <f t="shared" si="78"/>
        <v>0</v>
      </c>
      <c r="FX335" s="123"/>
      <c r="FY335" s="123"/>
      <c r="FZ335" s="1161"/>
      <c r="GA335" s="34"/>
      <c r="GB335" s="1149">
        <f t="shared" si="79"/>
        <v>0</v>
      </c>
      <c r="GC335" s="1149">
        <f t="shared" si="80"/>
        <v>0</v>
      </c>
      <c r="GD335" s="1149">
        <f t="shared" si="81"/>
        <v>0</v>
      </c>
      <c r="GE335" s="1149" t="str">
        <f t="shared" si="165"/>
        <v/>
      </c>
      <c r="GF335" s="1149" t="str">
        <f t="shared" si="166"/>
        <v/>
      </c>
      <c r="GG335" s="1149" t="str">
        <f t="shared" si="167"/>
        <v/>
      </c>
      <c r="GH335" s="1149" t="str">
        <f t="shared" si="168"/>
        <v/>
      </c>
      <c r="GI335" s="1149" t="str">
        <f t="shared" si="169"/>
        <v/>
      </c>
      <c r="GJ335" s="1149" t="str">
        <f t="shared" si="170"/>
        <v/>
      </c>
      <c r="GK335" s="1149" t="str">
        <f t="shared" si="171"/>
        <v/>
      </c>
      <c r="GL335" s="1149" t="str">
        <f t="shared" si="172"/>
        <v/>
      </c>
      <c r="GM335" s="1149" t="str">
        <f t="shared" si="173"/>
        <v/>
      </c>
      <c r="GN335" s="1149" t="str">
        <f t="shared" si="174"/>
        <v/>
      </c>
      <c r="GO335" s="1149" t="str">
        <f t="shared" si="175"/>
        <v/>
      </c>
      <c r="GP335" s="1149" t="str">
        <f t="shared" si="176"/>
        <v/>
      </c>
      <c r="GQ335" s="1149" t="str">
        <f t="shared" si="177"/>
        <v/>
      </c>
      <c r="GR335" s="1149" t="str">
        <f t="shared" si="178"/>
        <v/>
      </c>
      <c r="GS335" s="1149" t="str">
        <f t="shared" si="179"/>
        <v/>
      </c>
      <c r="GT335" s="1149">
        <f t="shared" si="82"/>
        <v>0</v>
      </c>
      <c r="GU335" s="1149">
        <f t="shared" si="83"/>
        <v>0</v>
      </c>
      <c r="GV335" s="1149">
        <f t="shared" si="84"/>
        <v>0</v>
      </c>
      <c r="GW335" s="1149" t="b">
        <f t="shared" si="85"/>
        <v>0</v>
      </c>
      <c r="GX335" s="1149" t="b">
        <f t="shared" si="86"/>
        <v>0</v>
      </c>
      <c r="GY335" s="1149" t="b">
        <f t="shared" si="87"/>
        <v>0</v>
      </c>
      <c r="GZ335" s="1149" t="str">
        <f t="shared" si="180"/>
        <v/>
      </c>
      <c r="HB335" s="1149" t="str">
        <f t="shared" si="89"/>
        <v/>
      </c>
      <c r="HC335" s="1149" t="str">
        <f t="shared" si="90"/>
        <v/>
      </c>
      <c r="HD335" s="1149" t="str">
        <f t="shared" si="91"/>
        <v/>
      </c>
      <c r="HE335" s="1149" t="str">
        <f t="shared" si="92"/>
        <v/>
      </c>
      <c r="HF335" s="1149" t="str">
        <f t="shared" si="93"/>
        <v/>
      </c>
      <c r="HG335" s="1149" t="str">
        <f t="shared" si="94"/>
        <v/>
      </c>
      <c r="HH335" s="1149" t="str">
        <f t="shared" si="95"/>
        <v/>
      </c>
      <c r="HI335" s="1149" t="str">
        <f t="shared" si="96"/>
        <v/>
      </c>
      <c r="HJ335" s="1149" t="str">
        <f t="shared" si="97"/>
        <v/>
      </c>
      <c r="HK335" s="1149" t="str">
        <f t="shared" si="98"/>
        <v/>
      </c>
      <c r="HL335" s="1149" t="str">
        <f t="shared" si="99"/>
        <v/>
      </c>
      <c r="HM335" s="1149" t="str">
        <f t="shared" si="100"/>
        <v/>
      </c>
      <c r="HN335" s="1149" t="str">
        <f t="shared" si="101"/>
        <v/>
      </c>
      <c r="HO335" s="1149" t="str">
        <f t="shared" si="102"/>
        <v/>
      </c>
      <c r="HP335" s="1149" t="str">
        <f t="shared" si="103"/>
        <v/>
      </c>
      <c r="HQ335" s="1149" t="str">
        <f t="shared" si="104"/>
        <v/>
      </c>
      <c r="HR335" s="1149" t="str">
        <f t="shared" si="105"/>
        <v/>
      </c>
      <c r="HT335" s="1149">
        <f>LEFT(M335,1)*10000+MID(M335,3,LEN(M335)-3)*100+COUNTIF($M$307:M335,M335)</f>
        <v>21101</v>
      </c>
      <c r="HU335" s="1149" t="str">
        <f t="shared" si="106"/>
        <v/>
      </c>
      <c r="HV335" s="1149" t="str">
        <f t="shared" si="107"/>
        <v/>
      </c>
      <c r="HW335" s="1149" t="str">
        <f t="shared" si="108"/>
        <v/>
      </c>
      <c r="HX335" s="1149" t="str">
        <f t="shared" si="109"/>
        <v/>
      </c>
    </row>
    <row r="336" spans="1:232" s="69" customFormat="1" ht="50.15" customHeight="1">
      <c r="A336" s="645"/>
      <c r="B336" s="645"/>
      <c r="C336" s="645"/>
      <c r="D336" s="645"/>
      <c r="E336" s="646"/>
      <c r="F336" s="381"/>
      <c r="G336" s="381"/>
      <c r="H336" s="381"/>
      <c r="J336" s="80"/>
      <c r="K336" s="89"/>
      <c r="L336" s="89"/>
      <c r="M336" s="2079" t="s">
        <v>1207</v>
      </c>
      <c r="N336" s="2079"/>
      <c r="O336" s="2080"/>
      <c r="P336" s="2100"/>
      <c r="Q336" s="2100"/>
      <c r="R336" s="2065"/>
      <c r="S336" s="2065"/>
      <c r="T336" s="2065"/>
      <c r="U336" s="1899" t="s">
        <v>63</v>
      </c>
      <c r="V336" s="1899"/>
      <c r="W336" s="1899"/>
      <c r="X336" s="1899"/>
      <c r="Y336" s="1899"/>
      <c r="Z336" s="1899"/>
      <c r="AA336" s="1899"/>
      <c r="AB336" s="1899"/>
      <c r="AC336" s="1899"/>
      <c r="AD336" s="1899"/>
      <c r="AE336" s="1899"/>
      <c r="AF336" s="1898"/>
      <c r="AG336" s="1898"/>
      <c r="AH336" s="1898"/>
      <c r="AI336" s="1898"/>
      <c r="AJ336" s="1898"/>
      <c r="AK336" s="1898"/>
      <c r="AL336" s="1898"/>
      <c r="AM336" s="1898"/>
      <c r="AN336" s="1898"/>
      <c r="AO336" s="1898"/>
      <c r="AP336" s="1898"/>
      <c r="AQ336" s="1898"/>
      <c r="AR336" s="1910"/>
      <c r="AS336" s="1910"/>
      <c r="AT336" s="1993"/>
      <c r="AU336" s="1993"/>
      <c r="AV336" s="1993"/>
      <c r="AW336" s="1993"/>
      <c r="AX336" s="1993"/>
      <c r="AY336" s="1993"/>
      <c r="AZ336" s="1993"/>
      <c r="BA336" s="1993"/>
      <c r="BB336" s="1993"/>
      <c r="BC336" s="1993"/>
      <c r="BD336" s="1993"/>
      <c r="BE336" s="1993"/>
      <c r="BF336" s="1993"/>
      <c r="BG336" s="1993"/>
      <c r="BH336" s="1993"/>
      <c r="BI336" s="1993"/>
      <c r="BJ336" s="1993"/>
      <c r="BK336" s="1993"/>
      <c r="BL336" s="1993"/>
      <c r="BM336" s="1993"/>
      <c r="BN336" s="1993"/>
      <c r="BO336" s="1993"/>
      <c r="BP336" s="1993"/>
      <c r="BQ336" s="1993"/>
      <c r="BR336" s="1993"/>
      <c r="BS336" s="1895"/>
      <c r="BT336" s="1895"/>
      <c r="BU336" s="1895"/>
      <c r="BV336" s="1889"/>
      <c r="BW336" s="1889"/>
      <c r="BX336" s="1889"/>
      <c r="BY336" s="1889"/>
      <c r="BZ336" s="1896"/>
      <c r="CA336" s="1896"/>
      <c r="CB336" s="1886"/>
      <c r="CC336" s="1887"/>
      <c r="CD336" s="1887"/>
      <c r="CE336" s="1887"/>
      <c r="CF336" s="1887"/>
      <c r="CG336" s="1887"/>
      <c r="CH336" s="1887"/>
      <c r="CI336" s="1887"/>
      <c r="CJ336" s="1887"/>
      <c r="CK336" s="1887"/>
      <c r="CL336" s="1887"/>
      <c r="CM336" s="1887"/>
      <c r="CN336" s="1887"/>
      <c r="CO336" s="1887"/>
      <c r="CP336" s="1887"/>
      <c r="CQ336" s="1887"/>
      <c r="CR336" s="1887"/>
      <c r="CS336" s="1887"/>
      <c r="CT336" s="1887"/>
      <c r="CU336" s="1888"/>
      <c r="CV336" s="2360" t="str">
        <f t="shared" si="138"/>
        <v/>
      </c>
      <c r="CW336" s="2360"/>
      <c r="CX336" s="2360"/>
      <c r="CY336" s="2360"/>
      <c r="CZ336" s="2360"/>
      <c r="DA336" s="2360"/>
      <c r="DC336" s="600" t="str">
        <f t="shared" si="181"/>
        <v/>
      </c>
      <c r="DD336" s="381"/>
      <c r="DF336" s="34"/>
      <c r="DG336" s="34"/>
      <c r="DH336" s="34"/>
      <c r="DI336" s="34"/>
      <c r="DJ336" s="858" t="s">
        <v>5637</v>
      </c>
      <c r="DK336" s="1707" t="str">
        <f t="shared" si="182"/>
        <v/>
      </c>
      <c r="DL336" s="1692" t="str">
        <f t="shared" si="183"/>
        <v/>
      </c>
      <c r="DM336" s="1691">
        <f t="shared" si="139"/>
        <v>0</v>
      </c>
      <c r="DN336" s="111">
        <f t="shared" si="140"/>
        <v>0</v>
      </c>
      <c r="DO336" s="111">
        <f t="shared" si="141"/>
        <v>0</v>
      </c>
      <c r="DP336" s="474">
        <f t="shared" si="142"/>
        <v>0</v>
      </c>
      <c r="DQ336" s="116" t="s">
        <v>262</v>
      </c>
      <c r="DR336" s="473" t="str">
        <f>IF($U336="",R335,U336)</f>
        <v>乾式工法によるタイル、石貼り等の劣化及び損傷の状況</v>
      </c>
      <c r="DS336" s="112">
        <f t="shared" si="143"/>
        <v>0</v>
      </c>
      <c r="DT336" s="118" t="str">
        <f t="shared" si="144"/>
        <v/>
      </c>
      <c r="DU336" s="452" t="str">
        <f t="shared" si="145"/>
        <v/>
      </c>
      <c r="DV336" s="151" t="str">
        <f>IF($DT336="要是正",MAX($DV$321:DV335)+1,"")</f>
        <v/>
      </c>
      <c r="DW336" s="485" t="str">
        <f t="shared" si="146"/>
        <v/>
      </c>
      <c r="DX336" s="119" t="str">
        <f t="shared" si="184"/>
        <v/>
      </c>
      <c r="DY336" s="33" t="str">
        <f t="shared" si="147"/>
        <v/>
      </c>
      <c r="DZ336" s="217" t="str">
        <f t="shared" si="148"/>
        <v/>
      </c>
      <c r="EA336" s="397" t="str">
        <f t="shared" si="149"/>
        <v/>
      </c>
      <c r="EB336" s="234" t="str">
        <f t="shared" si="150"/>
        <v/>
      </c>
      <c r="EC336" s="227" t="str">
        <f t="shared" si="151"/>
        <v>0</v>
      </c>
      <c r="ED336" s="148" t="str">
        <f t="shared" si="185"/>
        <v/>
      </c>
      <c r="EE336" s="227" t="str">
        <f t="shared" si="186"/>
        <v>0</v>
      </c>
      <c r="EF336" s="598" t="str">
        <f t="shared" si="152"/>
        <v/>
      </c>
      <c r="EG336" s="204" t="str">
        <f t="shared" si="153"/>
        <v/>
      </c>
      <c r="EH336" s="134" t="str">
        <f t="shared" si="154"/>
        <v>0</v>
      </c>
      <c r="EI336" s="148" t="str">
        <f t="shared" si="187"/>
        <v/>
      </c>
      <c r="EJ336" s="227" t="str">
        <f t="shared" si="188"/>
        <v>0</v>
      </c>
      <c r="EK336" s="451" t="str">
        <f t="shared" si="155"/>
        <v/>
      </c>
      <c r="EL336" s="452" t="e">
        <f t="shared" si="156"/>
        <v>#N/A</v>
      </c>
      <c r="EM336" s="151" t="e">
        <f t="shared" si="157"/>
        <v>#N/A</v>
      </c>
      <c r="EN336" s="453" t="e">
        <f t="shared" si="158"/>
        <v>#N/A</v>
      </c>
      <c r="FK336" s="597" t="str">
        <f t="shared" si="159"/>
        <v/>
      </c>
      <c r="FL336" s="597" t="str">
        <f t="shared" si="71"/>
        <v/>
      </c>
      <c r="FM336" s="597" t="str">
        <f t="shared" si="72"/>
        <v/>
      </c>
      <c r="FN336" s="597">
        <f t="shared" si="160"/>
        <v>0</v>
      </c>
      <c r="FO336" s="1163" t="str">
        <f t="shared" si="161"/>
        <v/>
      </c>
      <c r="FQ336" s="234" t="str">
        <f t="shared" si="162"/>
        <v/>
      </c>
      <c r="FR336" s="227" t="str">
        <f t="shared" si="163"/>
        <v>0</v>
      </c>
      <c r="FS336" s="148" t="str">
        <f t="shared" si="189"/>
        <v/>
      </c>
      <c r="FT336" s="227" t="str">
        <f t="shared" si="190"/>
        <v>0</v>
      </c>
      <c r="FU336" s="416" t="str">
        <f t="shared" si="164"/>
        <v/>
      </c>
      <c r="FW336" s="1160">
        <f t="shared" si="78"/>
        <v>0</v>
      </c>
      <c r="FX336" s="123"/>
      <c r="FY336" s="123"/>
      <c r="FZ336" s="1161"/>
      <c r="GA336" s="34"/>
      <c r="GB336" s="1149">
        <f t="shared" si="79"/>
        <v>0</v>
      </c>
      <c r="GC336" s="1149">
        <f t="shared" si="80"/>
        <v>0</v>
      </c>
      <c r="GD336" s="1149">
        <f t="shared" si="81"/>
        <v>0</v>
      </c>
      <c r="GE336" s="1149" t="str">
        <f t="shared" si="165"/>
        <v/>
      </c>
      <c r="GF336" s="1149" t="str">
        <f t="shared" si="166"/>
        <v/>
      </c>
      <c r="GG336" s="1149" t="str">
        <f t="shared" si="167"/>
        <v/>
      </c>
      <c r="GH336" s="1149" t="str">
        <f t="shared" si="168"/>
        <v/>
      </c>
      <c r="GI336" s="1149" t="str">
        <f t="shared" si="169"/>
        <v/>
      </c>
      <c r="GJ336" s="1149" t="str">
        <f t="shared" si="170"/>
        <v/>
      </c>
      <c r="GK336" s="1149" t="str">
        <f t="shared" si="171"/>
        <v/>
      </c>
      <c r="GL336" s="1149" t="str">
        <f t="shared" si="172"/>
        <v/>
      </c>
      <c r="GM336" s="1149" t="str">
        <f t="shared" si="173"/>
        <v/>
      </c>
      <c r="GN336" s="1149" t="str">
        <f t="shared" si="174"/>
        <v/>
      </c>
      <c r="GO336" s="1149" t="str">
        <f t="shared" si="175"/>
        <v/>
      </c>
      <c r="GP336" s="1149" t="str">
        <f t="shared" si="176"/>
        <v/>
      </c>
      <c r="GQ336" s="1149" t="str">
        <f t="shared" si="177"/>
        <v/>
      </c>
      <c r="GR336" s="1149" t="str">
        <f t="shared" si="178"/>
        <v/>
      </c>
      <c r="GS336" s="1149" t="str">
        <f t="shared" si="179"/>
        <v/>
      </c>
      <c r="GT336" s="1149">
        <f t="shared" si="82"/>
        <v>0</v>
      </c>
      <c r="GU336" s="1149">
        <f t="shared" si="83"/>
        <v>0</v>
      </c>
      <c r="GV336" s="1149">
        <f t="shared" si="84"/>
        <v>0</v>
      </c>
      <c r="GW336" s="1149" t="b">
        <f t="shared" si="85"/>
        <v>0</v>
      </c>
      <c r="GX336" s="1149" t="b">
        <f t="shared" si="86"/>
        <v>0</v>
      </c>
      <c r="GY336" s="1149" t="b">
        <f t="shared" si="87"/>
        <v>0</v>
      </c>
      <c r="GZ336" s="1149" t="str">
        <f t="shared" si="180"/>
        <v/>
      </c>
      <c r="HB336" s="1149" t="str">
        <f t="shared" si="89"/>
        <v/>
      </c>
      <c r="HC336" s="1149" t="str">
        <f t="shared" si="90"/>
        <v/>
      </c>
      <c r="HD336" s="1149" t="str">
        <f t="shared" si="91"/>
        <v/>
      </c>
      <c r="HE336" s="1149" t="str">
        <f t="shared" si="92"/>
        <v/>
      </c>
      <c r="HF336" s="1149" t="str">
        <f t="shared" si="93"/>
        <v/>
      </c>
      <c r="HG336" s="1149" t="str">
        <f t="shared" si="94"/>
        <v/>
      </c>
      <c r="HH336" s="1149" t="str">
        <f t="shared" si="95"/>
        <v/>
      </c>
      <c r="HI336" s="1149" t="str">
        <f t="shared" si="96"/>
        <v/>
      </c>
      <c r="HJ336" s="1149" t="str">
        <f t="shared" si="97"/>
        <v/>
      </c>
      <c r="HK336" s="1149" t="str">
        <f t="shared" si="98"/>
        <v/>
      </c>
      <c r="HL336" s="1149" t="str">
        <f t="shared" si="99"/>
        <v/>
      </c>
      <c r="HM336" s="1149" t="str">
        <f t="shared" si="100"/>
        <v/>
      </c>
      <c r="HN336" s="1149" t="str">
        <f t="shared" si="101"/>
        <v/>
      </c>
      <c r="HO336" s="1149" t="str">
        <f t="shared" si="102"/>
        <v/>
      </c>
      <c r="HP336" s="1149" t="str">
        <f t="shared" si="103"/>
        <v/>
      </c>
      <c r="HQ336" s="1149" t="str">
        <f t="shared" si="104"/>
        <v/>
      </c>
      <c r="HR336" s="1149" t="str">
        <f t="shared" si="105"/>
        <v/>
      </c>
      <c r="HT336" s="1149">
        <f>LEFT(M336,1)*10000+MID(M336,3,LEN(M336)-3)*100+COUNTIF($M$307:M336,M336)</f>
        <v>21201</v>
      </c>
      <c r="HU336" s="1149" t="str">
        <f t="shared" si="106"/>
        <v/>
      </c>
      <c r="HV336" s="1149" t="str">
        <f t="shared" si="107"/>
        <v/>
      </c>
      <c r="HW336" s="1149" t="str">
        <f t="shared" si="108"/>
        <v/>
      </c>
      <c r="HX336" s="1149" t="str">
        <f t="shared" si="109"/>
        <v/>
      </c>
    </row>
    <row r="337" spans="1:232" s="69" customFormat="1" ht="50.15" customHeight="1">
      <c r="A337" s="645"/>
      <c r="B337" s="645"/>
      <c r="C337" s="645"/>
      <c r="D337" s="645"/>
      <c r="E337" s="646"/>
      <c r="F337" s="381"/>
      <c r="G337" s="381"/>
      <c r="H337" s="381"/>
      <c r="J337" s="80"/>
      <c r="K337" s="89"/>
      <c r="L337" s="89"/>
      <c r="M337" s="2079" t="s">
        <v>1208</v>
      </c>
      <c r="N337" s="2079"/>
      <c r="O337" s="2080"/>
      <c r="P337" s="2100"/>
      <c r="Q337" s="2100"/>
      <c r="R337" s="2065"/>
      <c r="S337" s="2065"/>
      <c r="T337" s="2065"/>
      <c r="U337" s="1899" t="s">
        <v>64</v>
      </c>
      <c r="V337" s="1899"/>
      <c r="W337" s="1899"/>
      <c r="X337" s="1899"/>
      <c r="Y337" s="1899"/>
      <c r="Z337" s="1899"/>
      <c r="AA337" s="1899"/>
      <c r="AB337" s="1899"/>
      <c r="AC337" s="1899"/>
      <c r="AD337" s="1899"/>
      <c r="AE337" s="1899"/>
      <c r="AF337" s="1898"/>
      <c r="AG337" s="1898"/>
      <c r="AH337" s="1898"/>
      <c r="AI337" s="1898"/>
      <c r="AJ337" s="1898"/>
      <c r="AK337" s="1898"/>
      <c r="AL337" s="1898"/>
      <c r="AM337" s="1898"/>
      <c r="AN337" s="1898"/>
      <c r="AO337" s="1898"/>
      <c r="AP337" s="1898"/>
      <c r="AQ337" s="1898"/>
      <c r="AR337" s="1910"/>
      <c r="AS337" s="1910"/>
      <c r="AT337" s="1993"/>
      <c r="AU337" s="1993"/>
      <c r="AV337" s="1993"/>
      <c r="AW337" s="1993"/>
      <c r="AX337" s="1993"/>
      <c r="AY337" s="1993"/>
      <c r="AZ337" s="1993"/>
      <c r="BA337" s="1993"/>
      <c r="BB337" s="1993"/>
      <c r="BC337" s="1993"/>
      <c r="BD337" s="1993"/>
      <c r="BE337" s="1993"/>
      <c r="BF337" s="1993"/>
      <c r="BG337" s="1993"/>
      <c r="BH337" s="1993"/>
      <c r="BI337" s="1993"/>
      <c r="BJ337" s="1993"/>
      <c r="BK337" s="1993"/>
      <c r="BL337" s="1993"/>
      <c r="BM337" s="1993"/>
      <c r="BN337" s="1993"/>
      <c r="BO337" s="1993"/>
      <c r="BP337" s="1993"/>
      <c r="BQ337" s="1993"/>
      <c r="BR337" s="1993"/>
      <c r="BS337" s="1895"/>
      <c r="BT337" s="1895"/>
      <c r="BU337" s="1895"/>
      <c r="BV337" s="1889"/>
      <c r="BW337" s="1889"/>
      <c r="BX337" s="1889"/>
      <c r="BY337" s="1889"/>
      <c r="BZ337" s="1896"/>
      <c r="CA337" s="1896"/>
      <c r="CB337" s="1886"/>
      <c r="CC337" s="1887"/>
      <c r="CD337" s="1887"/>
      <c r="CE337" s="1887"/>
      <c r="CF337" s="1887"/>
      <c r="CG337" s="1887"/>
      <c r="CH337" s="1887"/>
      <c r="CI337" s="1887"/>
      <c r="CJ337" s="1887"/>
      <c r="CK337" s="1887"/>
      <c r="CL337" s="1887"/>
      <c r="CM337" s="1887"/>
      <c r="CN337" s="1887"/>
      <c r="CO337" s="1887"/>
      <c r="CP337" s="1887"/>
      <c r="CQ337" s="1887"/>
      <c r="CR337" s="1887"/>
      <c r="CS337" s="1887"/>
      <c r="CT337" s="1887"/>
      <c r="CU337" s="1888"/>
      <c r="CV337" s="2360" t="str">
        <f t="shared" si="138"/>
        <v/>
      </c>
      <c r="CW337" s="2360"/>
      <c r="CX337" s="2360"/>
      <c r="CY337" s="2360"/>
      <c r="CZ337" s="2360"/>
      <c r="DA337" s="2360"/>
      <c r="DC337" s="600" t="str">
        <f t="shared" si="181"/>
        <v/>
      </c>
      <c r="DD337" s="381"/>
      <c r="DF337" s="34"/>
      <c r="DG337" s="34"/>
      <c r="DH337" s="34"/>
      <c r="DI337" s="34"/>
      <c r="DJ337" s="858" t="s">
        <v>5637</v>
      </c>
      <c r="DK337" s="1707" t="str">
        <f t="shared" si="182"/>
        <v/>
      </c>
      <c r="DL337" s="1692" t="str">
        <f t="shared" si="183"/>
        <v/>
      </c>
      <c r="DM337" s="1691">
        <f t="shared" si="139"/>
        <v>0</v>
      </c>
      <c r="DN337" s="111">
        <f t="shared" si="140"/>
        <v>0</v>
      </c>
      <c r="DO337" s="111">
        <f t="shared" si="141"/>
        <v>0</v>
      </c>
      <c r="DP337" s="474">
        <f t="shared" si="142"/>
        <v>0</v>
      </c>
      <c r="DQ337" s="116" t="s">
        <v>301</v>
      </c>
      <c r="DR337" s="473" t="str">
        <f>IF($U337="",R335,U337)</f>
        <v>金属系パネル（帳壁を含む。）の劣化及び損傷の状況</v>
      </c>
      <c r="DS337" s="112">
        <f t="shared" si="143"/>
        <v>0</v>
      </c>
      <c r="DT337" s="118" t="str">
        <f t="shared" si="144"/>
        <v/>
      </c>
      <c r="DU337" s="452" t="str">
        <f t="shared" si="145"/>
        <v/>
      </c>
      <c r="DV337" s="151" t="str">
        <f>IF($DT337="要是正",MAX($DV$321:DV336)+1,"")</f>
        <v/>
      </c>
      <c r="DW337" s="485" t="str">
        <f t="shared" si="146"/>
        <v/>
      </c>
      <c r="DX337" s="119" t="str">
        <f t="shared" si="184"/>
        <v/>
      </c>
      <c r="DY337" s="33" t="str">
        <f t="shared" si="147"/>
        <v/>
      </c>
      <c r="DZ337" s="217" t="str">
        <f t="shared" si="148"/>
        <v/>
      </c>
      <c r="EA337" s="397" t="str">
        <f t="shared" si="149"/>
        <v/>
      </c>
      <c r="EB337" s="234" t="str">
        <f t="shared" si="150"/>
        <v/>
      </c>
      <c r="EC337" s="227" t="str">
        <f t="shared" si="151"/>
        <v>0</v>
      </c>
      <c r="ED337" s="148" t="str">
        <f t="shared" si="185"/>
        <v/>
      </c>
      <c r="EE337" s="227" t="str">
        <f t="shared" si="186"/>
        <v>0</v>
      </c>
      <c r="EF337" s="598" t="str">
        <f t="shared" si="152"/>
        <v/>
      </c>
      <c r="EG337" s="204" t="str">
        <f t="shared" si="153"/>
        <v/>
      </c>
      <c r="EH337" s="134" t="str">
        <f t="shared" si="154"/>
        <v>0</v>
      </c>
      <c r="EI337" s="148" t="str">
        <f t="shared" si="187"/>
        <v/>
      </c>
      <c r="EJ337" s="227" t="str">
        <f t="shared" si="188"/>
        <v>0</v>
      </c>
      <c r="EK337" s="451" t="str">
        <f t="shared" si="155"/>
        <v/>
      </c>
      <c r="EL337" s="452" t="e">
        <f t="shared" si="156"/>
        <v>#N/A</v>
      </c>
      <c r="EM337" s="151" t="e">
        <f t="shared" si="157"/>
        <v>#N/A</v>
      </c>
      <c r="EN337" s="453" t="e">
        <f t="shared" si="158"/>
        <v>#N/A</v>
      </c>
      <c r="FK337" s="597" t="str">
        <f t="shared" si="159"/>
        <v/>
      </c>
      <c r="FL337" s="597" t="str">
        <f t="shared" si="71"/>
        <v/>
      </c>
      <c r="FM337" s="597" t="str">
        <f t="shared" si="72"/>
        <v/>
      </c>
      <c r="FN337" s="597">
        <f t="shared" si="160"/>
        <v>0</v>
      </c>
      <c r="FO337" s="1163" t="str">
        <f t="shared" si="161"/>
        <v/>
      </c>
      <c r="FQ337" s="234" t="str">
        <f t="shared" si="162"/>
        <v/>
      </c>
      <c r="FR337" s="227" t="str">
        <f t="shared" si="163"/>
        <v>0</v>
      </c>
      <c r="FS337" s="148" t="str">
        <f t="shared" si="189"/>
        <v/>
      </c>
      <c r="FT337" s="227" t="str">
        <f t="shared" si="190"/>
        <v>0</v>
      </c>
      <c r="FU337" s="416" t="str">
        <f t="shared" si="164"/>
        <v/>
      </c>
      <c r="FW337" s="1160">
        <f t="shared" si="78"/>
        <v>0</v>
      </c>
      <c r="FX337" s="123"/>
      <c r="FY337" s="123"/>
      <c r="FZ337" s="1161"/>
      <c r="GA337" s="34"/>
      <c r="GB337" s="1149">
        <f t="shared" si="79"/>
        <v>0</v>
      </c>
      <c r="GC337" s="1149">
        <f t="shared" si="80"/>
        <v>0</v>
      </c>
      <c r="GD337" s="1149">
        <f t="shared" si="81"/>
        <v>0</v>
      </c>
      <c r="GE337" s="1149" t="str">
        <f t="shared" si="165"/>
        <v/>
      </c>
      <c r="GF337" s="1149" t="str">
        <f t="shared" si="166"/>
        <v/>
      </c>
      <c r="GG337" s="1149" t="str">
        <f t="shared" si="167"/>
        <v/>
      </c>
      <c r="GH337" s="1149" t="str">
        <f t="shared" si="168"/>
        <v/>
      </c>
      <c r="GI337" s="1149" t="str">
        <f t="shared" si="169"/>
        <v/>
      </c>
      <c r="GJ337" s="1149" t="str">
        <f t="shared" si="170"/>
        <v/>
      </c>
      <c r="GK337" s="1149" t="str">
        <f t="shared" si="171"/>
        <v/>
      </c>
      <c r="GL337" s="1149" t="str">
        <f t="shared" si="172"/>
        <v/>
      </c>
      <c r="GM337" s="1149" t="str">
        <f t="shared" si="173"/>
        <v/>
      </c>
      <c r="GN337" s="1149" t="str">
        <f t="shared" si="174"/>
        <v/>
      </c>
      <c r="GO337" s="1149" t="str">
        <f t="shared" si="175"/>
        <v/>
      </c>
      <c r="GP337" s="1149" t="str">
        <f t="shared" si="176"/>
        <v/>
      </c>
      <c r="GQ337" s="1149" t="str">
        <f t="shared" si="177"/>
        <v/>
      </c>
      <c r="GR337" s="1149" t="str">
        <f t="shared" si="178"/>
        <v/>
      </c>
      <c r="GS337" s="1149" t="str">
        <f t="shared" si="179"/>
        <v/>
      </c>
      <c r="GT337" s="1149">
        <f t="shared" si="82"/>
        <v>0</v>
      </c>
      <c r="GU337" s="1149">
        <f t="shared" si="83"/>
        <v>0</v>
      </c>
      <c r="GV337" s="1149">
        <f t="shared" si="84"/>
        <v>0</v>
      </c>
      <c r="GW337" s="1149" t="b">
        <f t="shared" si="85"/>
        <v>0</v>
      </c>
      <c r="GX337" s="1149" t="b">
        <f t="shared" si="86"/>
        <v>0</v>
      </c>
      <c r="GY337" s="1149" t="b">
        <f t="shared" si="87"/>
        <v>0</v>
      </c>
      <c r="GZ337" s="1149" t="str">
        <f t="shared" si="180"/>
        <v/>
      </c>
      <c r="HB337" s="1149" t="str">
        <f t="shared" si="89"/>
        <v/>
      </c>
      <c r="HC337" s="1149" t="str">
        <f t="shared" si="90"/>
        <v/>
      </c>
      <c r="HD337" s="1149" t="str">
        <f t="shared" si="91"/>
        <v/>
      </c>
      <c r="HE337" s="1149" t="str">
        <f t="shared" si="92"/>
        <v/>
      </c>
      <c r="HF337" s="1149" t="str">
        <f t="shared" si="93"/>
        <v/>
      </c>
      <c r="HG337" s="1149" t="str">
        <f t="shared" si="94"/>
        <v/>
      </c>
      <c r="HH337" s="1149" t="str">
        <f t="shared" si="95"/>
        <v/>
      </c>
      <c r="HI337" s="1149" t="str">
        <f t="shared" si="96"/>
        <v/>
      </c>
      <c r="HJ337" s="1149" t="str">
        <f t="shared" si="97"/>
        <v/>
      </c>
      <c r="HK337" s="1149" t="str">
        <f t="shared" si="98"/>
        <v/>
      </c>
      <c r="HL337" s="1149" t="str">
        <f t="shared" si="99"/>
        <v/>
      </c>
      <c r="HM337" s="1149" t="str">
        <f t="shared" si="100"/>
        <v/>
      </c>
      <c r="HN337" s="1149" t="str">
        <f t="shared" si="101"/>
        <v/>
      </c>
      <c r="HO337" s="1149" t="str">
        <f t="shared" si="102"/>
        <v/>
      </c>
      <c r="HP337" s="1149" t="str">
        <f t="shared" si="103"/>
        <v/>
      </c>
      <c r="HQ337" s="1149" t="str">
        <f t="shared" si="104"/>
        <v/>
      </c>
      <c r="HR337" s="1149" t="str">
        <f t="shared" si="105"/>
        <v/>
      </c>
      <c r="HT337" s="1149">
        <f>LEFT(M337,1)*10000+MID(M337,3,LEN(M337)-3)*100+COUNTIF($M$307:M337,M337)</f>
        <v>21301</v>
      </c>
      <c r="HU337" s="1149" t="str">
        <f t="shared" si="106"/>
        <v/>
      </c>
      <c r="HV337" s="1149" t="str">
        <f t="shared" si="107"/>
        <v/>
      </c>
      <c r="HW337" s="1149" t="str">
        <f t="shared" si="108"/>
        <v/>
      </c>
      <c r="HX337" s="1149" t="str">
        <f t="shared" si="109"/>
        <v/>
      </c>
    </row>
    <row r="338" spans="1:232" s="69" customFormat="1" ht="50.15" customHeight="1">
      <c r="A338" s="645"/>
      <c r="B338" s="645"/>
      <c r="C338" s="645"/>
      <c r="D338" s="645"/>
      <c r="E338" s="646"/>
      <c r="F338" s="381"/>
      <c r="G338" s="381"/>
      <c r="H338" s="381"/>
      <c r="J338" s="80"/>
      <c r="K338" s="89"/>
      <c r="L338" s="89"/>
      <c r="M338" s="2079" t="s">
        <v>1209</v>
      </c>
      <c r="N338" s="2079"/>
      <c r="O338" s="2080"/>
      <c r="P338" s="2100"/>
      <c r="Q338" s="2100"/>
      <c r="R338" s="2065"/>
      <c r="S338" s="2065"/>
      <c r="T338" s="2065"/>
      <c r="U338" s="2028" t="s">
        <v>65</v>
      </c>
      <c r="V338" s="2028"/>
      <c r="W338" s="2028"/>
      <c r="X338" s="2028"/>
      <c r="Y338" s="2028"/>
      <c r="Z338" s="2028"/>
      <c r="AA338" s="2028"/>
      <c r="AB338" s="2028"/>
      <c r="AC338" s="2028"/>
      <c r="AD338" s="2028"/>
      <c r="AE338" s="2028"/>
      <c r="AF338" s="2068"/>
      <c r="AG338" s="2068"/>
      <c r="AH338" s="2068"/>
      <c r="AI338" s="2068"/>
      <c r="AJ338" s="2068"/>
      <c r="AK338" s="2068"/>
      <c r="AL338" s="2068"/>
      <c r="AM338" s="2068"/>
      <c r="AN338" s="2068"/>
      <c r="AO338" s="2068"/>
      <c r="AP338" s="2068"/>
      <c r="AQ338" s="2068"/>
      <c r="AR338" s="1965"/>
      <c r="AS338" s="1965"/>
      <c r="AT338" s="1999"/>
      <c r="AU338" s="1999"/>
      <c r="AV338" s="1999"/>
      <c r="AW338" s="1999"/>
      <c r="AX338" s="1999"/>
      <c r="AY338" s="1999"/>
      <c r="AZ338" s="1999"/>
      <c r="BA338" s="1999"/>
      <c r="BB338" s="1999"/>
      <c r="BC338" s="1999"/>
      <c r="BD338" s="1999"/>
      <c r="BE338" s="1999"/>
      <c r="BF338" s="1999"/>
      <c r="BG338" s="1999"/>
      <c r="BH338" s="1999"/>
      <c r="BI338" s="1999"/>
      <c r="BJ338" s="1999"/>
      <c r="BK338" s="1999"/>
      <c r="BL338" s="1999"/>
      <c r="BM338" s="1999"/>
      <c r="BN338" s="1999"/>
      <c r="BO338" s="1999"/>
      <c r="BP338" s="1999"/>
      <c r="BQ338" s="1999"/>
      <c r="BR338" s="1999"/>
      <c r="BS338" s="2081"/>
      <c r="BT338" s="2081"/>
      <c r="BU338" s="2081"/>
      <c r="BV338" s="1923"/>
      <c r="BW338" s="1923"/>
      <c r="BX338" s="1923"/>
      <c r="BY338" s="1923"/>
      <c r="BZ338" s="1924"/>
      <c r="CA338" s="1924"/>
      <c r="CB338" s="2367"/>
      <c r="CC338" s="2368"/>
      <c r="CD338" s="2368"/>
      <c r="CE338" s="2368"/>
      <c r="CF338" s="2368"/>
      <c r="CG338" s="2368"/>
      <c r="CH338" s="2368"/>
      <c r="CI338" s="2368"/>
      <c r="CJ338" s="2368"/>
      <c r="CK338" s="2368"/>
      <c r="CL338" s="2368"/>
      <c r="CM338" s="2368"/>
      <c r="CN338" s="2368"/>
      <c r="CO338" s="2368"/>
      <c r="CP338" s="2368"/>
      <c r="CQ338" s="2368"/>
      <c r="CR338" s="2368"/>
      <c r="CS338" s="2368"/>
      <c r="CT338" s="2368"/>
      <c r="CU338" s="2369"/>
      <c r="CV338" s="2360" t="str">
        <f t="shared" si="138"/>
        <v/>
      </c>
      <c r="CW338" s="2360"/>
      <c r="CX338" s="2360"/>
      <c r="CY338" s="2360"/>
      <c r="CZ338" s="2360"/>
      <c r="DA338" s="2360"/>
      <c r="DC338" s="600" t="str">
        <f t="shared" si="181"/>
        <v/>
      </c>
      <c r="DD338" s="381"/>
      <c r="DF338" s="34"/>
      <c r="DG338" s="34"/>
      <c r="DH338" s="34"/>
      <c r="DI338" s="34"/>
      <c r="DJ338" s="858" t="s">
        <v>5637</v>
      </c>
      <c r="DK338" s="1707" t="str">
        <f t="shared" si="182"/>
        <v/>
      </c>
      <c r="DL338" s="1692" t="str">
        <f t="shared" si="183"/>
        <v/>
      </c>
      <c r="DM338" s="1691">
        <f t="shared" si="139"/>
        <v>0</v>
      </c>
      <c r="DN338" s="111">
        <f t="shared" si="140"/>
        <v>0</v>
      </c>
      <c r="DO338" s="111">
        <f t="shared" si="141"/>
        <v>0</v>
      </c>
      <c r="DP338" s="474">
        <f t="shared" si="142"/>
        <v>0</v>
      </c>
      <c r="DQ338" s="116" t="s">
        <v>302</v>
      </c>
      <c r="DR338" s="473" t="str">
        <f>IF($U338="",R335,U338)</f>
        <v>コンクリート系パネル（帳壁を含む。）の劣化及び損傷の状況</v>
      </c>
      <c r="DS338" s="112">
        <f t="shared" si="143"/>
        <v>0</v>
      </c>
      <c r="DT338" s="118" t="str">
        <f t="shared" si="144"/>
        <v/>
      </c>
      <c r="DU338" s="452" t="str">
        <f t="shared" si="145"/>
        <v/>
      </c>
      <c r="DV338" s="151" t="str">
        <f>IF($DT338="要是正",MAX($DV$321:DV337)+1,"")</f>
        <v/>
      </c>
      <c r="DW338" s="485" t="str">
        <f t="shared" si="146"/>
        <v/>
      </c>
      <c r="DX338" s="119" t="str">
        <f t="shared" si="184"/>
        <v/>
      </c>
      <c r="DY338" s="33" t="str">
        <f t="shared" si="147"/>
        <v/>
      </c>
      <c r="DZ338" s="217" t="str">
        <f t="shared" si="148"/>
        <v/>
      </c>
      <c r="EA338" s="397" t="str">
        <f t="shared" si="149"/>
        <v/>
      </c>
      <c r="EB338" s="234" t="str">
        <f t="shared" si="150"/>
        <v/>
      </c>
      <c r="EC338" s="227" t="str">
        <f t="shared" si="151"/>
        <v>0</v>
      </c>
      <c r="ED338" s="148" t="str">
        <f t="shared" si="185"/>
        <v/>
      </c>
      <c r="EE338" s="227" t="str">
        <f t="shared" si="186"/>
        <v>0</v>
      </c>
      <c r="EF338" s="598" t="str">
        <f t="shared" si="152"/>
        <v/>
      </c>
      <c r="EG338" s="204" t="str">
        <f t="shared" si="153"/>
        <v/>
      </c>
      <c r="EH338" s="134" t="str">
        <f t="shared" si="154"/>
        <v>0</v>
      </c>
      <c r="EI338" s="148" t="str">
        <f t="shared" si="187"/>
        <v/>
      </c>
      <c r="EJ338" s="227" t="str">
        <f t="shared" si="188"/>
        <v>0</v>
      </c>
      <c r="EK338" s="451" t="str">
        <f t="shared" si="155"/>
        <v/>
      </c>
      <c r="EL338" s="452" t="e">
        <f t="shared" si="156"/>
        <v>#N/A</v>
      </c>
      <c r="EM338" s="151" t="e">
        <f t="shared" si="157"/>
        <v>#N/A</v>
      </c>
      <c r="EN338" s="453" t="e">
        <f t="shared" si="158"/>
        <v>#N/A</v>
      </c>
      <c r="FK338" s="597" t="str">
        <f t="shared" si="159"/>
        <v/>
      </c>
      <c r="FL338" s="597" t="str">
        <f t="shared" si="71"/>
        <v/>
      </c>
      <c r="FM338" s="597" t="str">
        <f t="shared" si="72"/>
        <v/>
      </c>
      <c r="FN338" s="597">
        <f t="shared" si="160"/>
        <v>0</v>
      </c>
      <c r="FO338" s="1163" t="str">
        <f t="shared" si="161"/>
        <v/>
      </c>
      <c r="FQ338" s="234" t="str">
        <f t="shared" si="162"/>
        <v/>
      </c>
      <c r="FR338" s="227" t="str">
        <f t="shared" si="163"/>
        <v>0</v>
      </c>
      <c r="FS338" s="148" t="str">
        <f t="shared" si="189"/>
        <v/>
      </c>
      <c r="FT338" s="227" t="str">
        <f t="shared" si="190"/>
        <v>0</v>
      </c>
      <c r="FU338" s="416" t="str">
        <f t="shared" si="164"/>
        <v/>
      </c>
      <c r="FW338" s="1160">
        <f t="shared" si="78"/>
        <v>0</v>
      </c>
      <c r="FX338" s="123"/>
      <c r="FY338" s="123"/>
      <c r="FZ338" s="1161"/>
      <c r="GA338" s="34"/>
      <c r="GB338" s="1149">
        <f t="shared" si="79"/>
        <v>0</v>
      </c>
      <c r="GC338" s="1149">
        <f t="shared" si="80"/>
        <v>0</v>
      </c>
      <c r="GD338" s="1149">
        <f t="shared" si="81"/>
        <v>0</v>
      </c>
      <c r="GE338" s="1149" t="str">
        <f t="shared" si="165"/>
        <v/>
      </c>
      <c r="GF338" s="1149" t="str">
        <f t="shared" si="166"/>
        <v/>
      </c>
      <c r="GG338" s="1149" t="str">
        <f t="shared" si="167"/>
        <v/>
      </c>
      <c r="GH338" s="1149" t="str">
        <f t="shared" si="168"/>
        <v/>
      </c>
      <c r="GI338" s="1149" t="str">
        <f t="shared" si="169"/>
        <v/>
      </c>
      <c r="GJ338" s="1149" t="str">
        <f t="shared" si="170"/>
        <v/>
      </c>
      <c r="GK338" s="1149" t="str">
        <f t="shared" si="171"/>
        <v/>
      </c>
      <c r="GL338" s="1149" t="str">
        <f t="shared" si="172"/>
        <v/>
      </c>
      <c r="GM338" s="1149" t="str">
        <f t="shared" si="173"/>
        <v/>
      </c>
      <c r="GN338" s="1149" t="str">
        <f t="shared" si="174"/>
        <v/>
      </c>
      <c r="GO338" s="1149" t="str">
        <f t="shared" si="175"/>
        <v/>
      </c>
      <c r="GP338" s="1149" t="str">
        <f t="shared" si="176"/>
        <v/>
      </c>
      <c r="GQ338" s="1149" t="str">
        <f t="shared" si="177"/>
        <v/>
      </c>
      <c r="GR338" s="1149" t="str">
        <f t="shared" si="178"/>
        <v/>
      </c>
      <c r="GS338" s="1149" t="str">
        <f t="shared" si="179"/>
        <v/>
      </c>
      <c r="GT338" s="1149">
        <f t="shared" si="82"/>
        <v>0</v>
      </c>
      <c r="GU338" s="1149">
        <f t="shared" si="83"/>
        <v>0</v>
      </c>
      <c r="GV338" s="1149">
        <f t="shared" si="84"/>
        <v>0</v>
      </c>
      <c r="GW338" s="1149" t="b">
        <f t="shared" si="85"/>
        <v>0</v>
      </c>
      <c r="GX338" s="1149" t="b">
        <f t="shared" si="86"/>
        <v>0</v>
      </c>
      <c r="GY338" s="1149" t="b">
        <f t="shared" si="87"/>
        <v>0</v>
      </c>
      <c r="GZ338" s="1149" t="str">
        <f t="shared" si="180"/>
        <v/>
      </c>
      <c r="HB338" s="1149" t="str">
        <f t="shared" si="89"/>
        <v/>
      </c>
      <c r="HC338" s="1149" t="str">
        <f t="shared" si="90"/>
        <v/>
      </c>
      <c r="HD338" s="1149" t="str">
        <f t="shared" si="91"/>
        <v/>
      </c>
      <c r="HE338" s="1149" t="str">
        <f t="shared" si="92"/>
        <v/>
      </c>
      <c r="HF338" s="1149" t="str">
        <f t="shared" si="93"/>
        <v/>
      </c>
      <c r="HG338" s="1149" t="str">
        <f t="shared" si="94"/>
        <v/>
      </c>
      <c r="HH338" s="1149" t="str">
        <f t="shared" si="95"/>
        <v/>
      </c>
      <c r="HI338" s="1149" t="str">
        <f t="shared" si="96"/>
        <v/>
      </c>
      <c r="HJ338" s="1149" t="str">
        <f t="shared" si="97"/>
        <v/>
      </c>
      <c r="HK338" s="1149" t="str">
        <f t="shared" si="98"/>
        <v/>
      </c>
      <c r="HL338" s="1149" t="str">
        <f t="shared" si="99"/>
        <v/>
      </c>
      <c r="HM338" s="1149" t="str">
        <f t="shared" si="100"/>
        <v/>
      </c>
      <c r="HN338" s="1149" t="str">
        <f t="shared" si="101"/>
        <v/>
      </c>
      <c r="HO338" s="1149" t="str">
        <f t="shared" si="102"/>
        <v/>
      </c>
      <c r="HP338" s="1149" t="str">
        <f t="shared" si="103"/>
        <v/>
      </c>
      <c r="HQ338" s="1149" t="str">
        <f t="shared" si="104"/>
        <v/>
      </c>
      <c r="HR338" s="1149" t="str">
        <f t="shared" si="105"/>
        <v/>
      </c>
      <c r="HT338" s="1149">
        <f>LEFT(M338,1)*10000+MID(M338,3,LEN(M338)-3)*100+COUNTIF($M$307:M338,M338)</f>
        <v>21401</v>
      </c>
      <c r="HU338" s="1149" t="str">
        <f t="shared" si="106"/>
        <v/>
      </c>
      <c r="HV338" s="1149" t="str">
        <f t="shared" si="107"/>
        <v/>
      </c>
      <c r="HW338" s="1149" t="str">
        <f t="shared" si="108"/>
        <v/>
      </c>
      <c r="HX338" s="1149" t="str">
        <f t="shared" si="109"/>
        <v/>
      </c>
    </row>
    <row r="339" spans="1:232" s="69" customFormat="1" ht="50.15" customHeight="1">
      <c r="A339" s="645"/>
      <c r="B339" s="645"/>
      <c r="C339" s="645"/>
      <c r="D339" s="645"/>
      <c r="E339" s="646"/>
      <c r="F339" s="381"/>
      <c r="G339" s="381"/>
      <c r="H339" s="381"/>
      <c r="J339" s="80"/>
      <c r="K339" s="89"/>
      <c r="L339" s="89"/>
      <c r="M339" s="2079" t="s">
        <v>1210</v>
      </c>
      <c r="N339" s="2079"/>
      <c r="O339" s="2080"/>
      <c r="P339" s="2100"/>
      <c r="Q339" s="2100"/>
      <c r="R339" s="1966" t="s">
        <v>66</v>
      </c>
      <c r="S339" s="1966"/>
      <c r="T339" s="1966"/>
      <c r="U339" s="2011" t="s">
        <v>67</v>
      </c>
      <c r="V339" s="2011"/>
      <c r="W339" s="2011"/>
      <c r="X339" s="2011"/>
      <c r="Y339" s="2011"/>
      <c r="Z339" s="2011"/>
      <c r="AA339" s="2011"/>
      <c r="AB339" s="2011"/>
      <c r="AC339" s="2011"/>
      <c r="AD339" s="2011"/>
      <c r="AE339" s="2011"/>
      <c r="AF339" s="2010"/>
      <c r="AG339" s="2010"/>
      <c r="AH339" s="2010"/>
      <c r="AI339" s="2010"/>
      <c r="AJ339" s="2010"/>
      <c r="AK339" s="2010"/>
      <c r="AL339" s="2010"/>
      <c r="AM339" s="2010"/>
      <c r="AN339" s="2010"/>
      <c r="AO339" s="2010"/>
      <c r="AP339" s="2010"/>
      <c r="AQ339" s="2010"/>
      <c r="AR339" s="2017"/>
      <c r="AS339" s="2017"/>
      <c r="AT339" s="1929"/>
      <c r="AU339" s="1929"/>
      <c r="AV339" s="1929"/>
      <c r="AW339" s="1929"/>
      <c r="AX339" s="1929"/>
      <c r="AY339" s="1929"/>
      <c r="AZ339" s="1929"/>
      <c r="BA339" s="1929"/>
      <c r="BB339" s="1929"/>
      <c r="BC339" s="1929"/>
      <c r="BD339" s="1929"/>
      <c r="BE339" s="1929"/>
      <c r="BF339" s="1929"/>
      <c r="BG339" s="1929"/>
      <c r="BH339" s="1929"/>
      <c r="BI339" s="1929"/>
      <c r="BJ339" s="1929"/>
      <c r="BK339" s="1929"/>
      <c r="BL339" s="1929"/>
      <c r="BM339" s="1929"/>
      <c r="BN339" s="1929"/>
      <c r="BO339" s="1929"/>
      <c r="BP339" s="1929"/>
      <c r="BQ339" s="1929"/>
      <c r="BR339" s="1929"/>
      <c r="BS339" s="1885"/>
      <c r="BT339" s="1885"/>
      <c r="BU339" s="1885"/>
      <c r="BV339" s="1890"/>
      <c r="BW339" s="1890"/>
      <c r="BX339" s="1890"/>
      <c r="BY339" s="1890"/>
      <c r="BZ339" s="1891"/>
      <c r="CA339" s="1891"/>
      <c r="CB339" s="1925"/>
      <c r="CC339" s="1926"/>
      <c r="CD339" s="1926"/>
      <c r="CE339" s="1926"/>
      <c r="CF339" s="1926"/>
      <c r="CG339" s="1926"/>
      <c r="CH339" s="1926"/>
      <c r="CI339" s="1926"/>
      <c r="CJ339" s="1926"/>
      <c r="CK339" s="1926"/>
      <c r="CL339" s="1926"/>
      <c r="CM339" s="1926"/>
      <c r="CN339" s="1926"/>
      <c r="CO339" s="1926"/>
      <c r="CP339" s="1926"/>
      <c r="CQ339" s="1926"/>
      <c r="CR339" s="1926"/>
      <c r="CS339" s="1926"/>
      <c r="CT339" s="1926"/>
      <c r="CU339" s="1927"/>
      <c r="CV339" s="2360" t="str">
        <f t="shared" si="138"/>
        <v/>
      </c>
      <c r="CW339" s="2360"/>
      <c r="CX339" s="2360"/>
      <c r="CY339" s="2360"/>
      <c r="CZ339" s="2360"/>
      <c r="DA339" s="2360"/>
      <c r="DC339" s="600" t="str">
        <f t="shared" si="181"/>
        <v/>
      </c>
      <c r="DD339" s="381"/>
      <c r="DF339" s="34"/>
      <c r="DG339" s="34"/>
      <c r="DH339" s="34"/>
      <c r="DI339" s="34"/>
      <c r="DJ339" s="858" t="s">
        <v>5637</v>
      </c>
      <c r="DK339" s="1707" t="str">
        <f t="shared" si="182"/>
        <v/>
      </c>
      <c r="DL339" s="1692" t="str">
        <f t="shared" si="183"/>
        <v/>
      </c>
      <c r="DM339" s="1691">
        <f t="shared" si="139"/>
        <v>0</v>
      </c>
      <c r="DN339" s="111">
        <f t="shared" si="140"/>
        <v>0</v>
      </c>
      <c r="DO339" s="111">
        <f t="shared" si="141"/>
        <v>0</v>
      </c>
      <c r="DP339" s="474">
        <f t="shared" si="142"/>
        <v>0</v>
      </c>
      <c r="DQ339" s="116" t="s">
        <v>303</v>
      </c>
      <c r="DR339" s="473" t="str">
        <f t="shared" si="191"/>
        <v>サッシ等の劣化及び損傷の状況</v>
      </c>
      <c r="DS339" s="112">
        <f t="shared" si="143"/>
        <v>0</v>
      </c>
      <c r="DT339" s="118" t="str">
        <f t="shared" si="144"/>
        <v/>
      </c>
      <c r="DU339" s="452" t="str">
        <f t="shared" si="145"/>
        <v/>
      </c>
      <c r="DV339" s="151" t="str">
        <f>IF($DT339="要是正",MAX($DV$321:DV338)+1,"")</f>
        <v/>
      </c>
      <c r="DW339" s="485" t="str">
        <f t="shared" si="146"/>
        <v/>
      </c>
      <c r="DX339" s="119" t="str">
        <f t="shared" si="184"/>
        <v/>
      </c>
      <c r="DY339" s="33" t="str">
        <f t="shared" si="147"/>
        <v/>
      </c>
      <c r="DZ339" s="217" t="str">
        <f t="shared" si="148"/>
        <v/>
      </c>
      <c r="EA339" s="397" t="str">
        <f t="shared" si="149"/>
        <v/>
      </c>
      <c r="EB339" s="234" t="str">
        <f t="shared" si="150"/>
        <v/>
      </c>
      <c r="EC339" s="227" t="str">
        <f t="shared" si="151"/>
        <v>0</v>
      </c>
      <c r="ED339" s="148" t="str">
        <f t="shared" si="185"/>
        <v/>
      </c>
      <c r="EE339" s="227" t="str">
        <f t="shared" si="186"/>
        <v>0</v>
      </c>
      <c r="EF339" s="598" t="str">
        <f t="shared" si="152"/>
        <v/>
      </c>
      <c r="EG339" s="204" t="str">
        <f t="shared" si="153"/>
        <v/>
      </c>
      <c r="EH339" s="134" t="str">
        <f t="shared" si="154"/>
        <v>0</v>
      </c>
      <c r="EI339" s="148" t="str">
        <f t="shared" si="187"/>
        <v/>
      </c>
      <c r="EJ339" s="227" t="str">
        <f t="shared" si="188"/>
        <v>0</v>
      </c>
      <c r="EK339" s="451" t="str">
        <f t="shared" si="155"/>
        <v/>
      </c>
      <c r="EL339" s="452" t="e">
        <f t="shared" si="156"/>
        <v>#N/A</v>
      </c>
      <c r="EM339" s="151" t="e">
        <f t="shared" si="157"/>
        <v>#N/A</v>
      </c>
      <c r="EN339" s="453" t="e">
        <f t="shared" si="158"/>
        <v>#N/A</v>
      </c>
      <c r="FK339" s="597" t="str">
        <f t="shared" si="159"/>
        <v/>
      </c>
      <c r="FL339" s="597" t="str">
        <f t="shared" si="71"/>
        <v/>
      </c>
      <c r="FM339" s="597" t="str">
        <f t="shared" si="72"/>
        <v/>
      </c>
      <c r="FN339" s="597">
        <f t="shared" si="160"/>
        <v>0</v>
      </c>
      <c r="FO339" s="1163" t="str">
        <f t="shared" si="161"/>
        <v/>
      </c>
      <c r="FQ339" s="234" t="str">
        <f t="shared" si="162"/>
        <v/>
      </c>
      <c r="FR339" s="227" t="str">
        <f t="shared" si="163"/>
        <v>0</v>
      </c>
      <c r="FS339" s="148" t="str">
        <f t="shared" si="189"/>
        <v/>
      </c>
      <c r="FT339" s="227" t="str">
        <f t="shared" si="190"/>
        <v>0</v>
      </c>
      <c r="FU339" s="416" t="str">
        <f t="shared" si="164"/>
        <v/>
      </c>
      <c r="FW339" s="1160">
        <f t="shared" si="78"/>
        <v>0</v>
      </c>
      <c r="FX339" s="123"/>
      <c r="FY339" s="123"/>
      <c r="FZ339" s="1161"/>
      <c r="GA339" s="34"/>
      <c r="GB339" s="1149">
        <f t="shared" si="79"/>
        <v>0</v>
      </c>
      <c r="GC339" s="1149">
        <f t="shared" si="80"/>
        <v>0</v>
      </c>
      <c r="GD339" s="1149">
        <f t="shared" si="81"/>
        <v>0</v>
      </c>
      <c r="GE339" s="1149" t="str">
        <f t="shared" si="165"/>
        <v/>
      </c>
      <c r="GF339" s="1149" t="str">
        <f t="shared" si="166"/>
        <v/>
      </c>
      <c r="GG339" s="1149" t="str">
        <f t="shared" si="167"/>
        <v/>
      </c>
      <c r="GH339" s="1149" t="str">
        <f t="shared" si="168"/>
        <v/>
      </c>
      <c r="GI339" s="1149" t="str">
        <f t="shared" si="169"/>
        <v/>
      </c>
      <c r="GJ339" s="1149" t="str">
        <f t="shared" si="170"/>
        <v/>
      </c>
      <c r="GK339" s="1149" t="str">
        <f t="shared" si="171"/>
        <v/>
      </c>
      <c r="GL339" s="1149" t="str">
        <f t="shared" si="172"/>
        <v/>
      </c>
      <c r="GM339" s="1149" t="str">
        <f t="shared" si="173"/>
        <v/>
      </c>
      <c r="GN339" s="1149" t="str">
        <f t="shared" si="174"/>
        <v/>
      </c>
      <c r="GO339" s="1149" t="str">
        <f t="shared" si="175"/>
        <v/>
      </c>
      <c r="GP339" s="1149" t="str">
        <f t="shared" si="176"/>
        <v/>
      </c>
      <c r="GQ339" s="1149" t="str">
        <f t="shared" si="177"/>
        <v/>
      </c>
      <c r="GR339" s="1149" t="str">
        <f t="shared" si="178"/>
        <v/>
      </c>
      <c r="GS339" s="1149" t="str">
        <f t="shared" si="179"/>
        <v/>
      </c>
      <c r="GT339" s="1149">
        <f t="shared" si="82"/>
        <v>0</v>
      </c>
      <c r="GU339" s="1149">
        <f t="shared" si="83"/>
        <v>0</v>
      </c>
      <c r="GV339" s="1149">
        <f t="shared" si="84"/>
        <v>0</v>
      </c>
      <c r="GW339" s="1149" t="b">
        <f t="shared" si="85"/>
        <v>0</v>
      </c>
      <c r="GX339" s="1149" t="b">
        <f t="shared" si="86"/>
        <v>0</v>
      </c>
      <c r="GY339" s="1149" t="b">
        <f t="shared" si="87"/>
        <v>0</v>
      </c>
      <c r="GZ339" s="1149" t="str">
        <f t="shared" si="180"/>
        <v/>
      </c>
      <c r="HB339" s="1149" t="str">
        <f t="shared" si="89"/>
        <v/>
      </c>
      <c r="HC339" s="1149" t="str">
        <f t="shared" si="90"/>
        <v/>
      </c>
      <c r="HD339" s="1149" t="str">
        <f t="shared" si="91"/>
        <v/>
      </c>
      <c r="HE339" s="1149" t="str">
        <f t="shared" si="92"/>
        <v/>
      </c>
      <c r="HF339" s="1149" t="str">
        <f t="shared" si="93"/>
        <v/>
      </c>
      <c r="HG339" s="1149" t="str">
        <f t="shared" si="94"/>
        <v/>
      </c>
      <c r="HH339" s="1149" t="str">
        <f t="shared" si="95"/>
        <v/>
      </c>
      <c r="HI339" s="1149" t="str">
        <f t="shared" si="96"/>
        <v/>
      </c>
      <c r="HJ339" s="1149" t="str">
        <f t="shared" si="97"/>
        <v/>
      </c>
      <c r="HK339" s="1149" t="str">
        <f t="shared" si="98"/>
        <v/>
      </c>
      <c r="HL339" s="1149" t="str">
        <f t="shared" si="99"/>
        <v/>
      </c>
      <c r="HM339" s="1149" t="str">
        <f t="shared" si="100"/>
        <v/>
      </c>
      <c r="HN339" s="1149" t="str">
        <f t="shared" si="101"/>
        <v/>
      </c>
      <c r="HO339" s="1149" t="str">
        <f t="shared" si="102"/>
        <v/>
      </c>
      <c r="HP339" s="1149" t="str">
        <f t="shared" si="103"/>
        <v/>
      </c>
      <c r="HQ339" s="1149" t="str">
        <f t="shared" si="104"/>
        <v/>
      </c>
      <c r="HR339" s="1149" t="str">
        <f t="shared" si="105"/>
        <v/>
      </c>
      <c r="HT339" s="1149">
        <f>LEFT(M339,1)*10000+MID(M339,3,LEN(M339)-3)*100+COUNTIF($M$307:M339,M339)</f>
        <v>21501</v>
      </c>
      <c r="HU339" s="1149" t="str">
        <f t="shared" si="106"/>
        <v/>
      </c>
      <c r="HV339" s="1149" t="str">
        <f t="shared" si="107"/>
        <v/>
      </c>
      <c r="HW339" s="1149" t="str">
        <f t="shared" si="108"/>
        <v/>
      </c>
      <c r="HX339" s="1149" t="str">
        <f t="shared" si="109"/>
        <v/>
      </c>
    </row>
    <row r="340" spans="1:232" s="69" customFormat="1" ht="50.15" customHeight="1">
      <c r="A340" s="645"/>
      <c r="B340" s="645"/>
      <c r="C340" s="645"/>
      <c r="D340" s="645"/>
      <c r="E340" s="646"/>
      <c r="F340" s="381"/>
      <c r="G340" s="381"/>
      <c r="H340" s="381"/>
      <c r="J340" s="80"/>
      <c r="K340" s="89"/>
      <c r="L340" s="89"/>
      <c r="M340" s="2079" t="s">
        <v>1211</v>
      </c>
      <c r="N340" s="2079"/>
      <c r="O340" s="2080"/>
      <c r="P340" s="2100"/>
      <c r="Q340" s="2100"/>
      <c r="R340" s="1966"/>
      <c r="S340" s="1966"/>
      <c r="T340" s="1966"/>
      <c r="U340" s="2028" t="s">
        <v>68</v>
      </c>
      <c r="V340" s="2028"/>
      <c r="W340" s="2028"/>
      <c r="X340" s="2028"/>
      <c r="Y340" s="2028"/>
      <c r="Z340" s="2028"/>
      <c r="AA340" s="2028"/>
      <c r="AB340" s="2028"/>
      <c r="AC340" s="2028"/>
      <c r="AD340" s="2028"/>
      <c r="AE340" s="2028"/>
      <c r="AF340" s="2068"/>
      <c r="AG340" s="2068"/>
      <c r="AH340" s="2068"/>
      <c r="AI340" s="2068"/>
      <c r="AJ340" s="2068"/>
      <c r="AK340" s="2068"/>
      <c r="AL340" s="2068"/>
      <c r="AM340" s="2068"/>
      <c r="AN340" s="2068"/>
      <c r="AO340" s="2068"/>
      <c r="AP340" s="2068"/>
      <c r="AQ340" s="2068"/>
      <c r="AR340" s="1965"/>
      <c r="AS340" s="1965"/>
      <c r="AT340" s="1999"/>
      <c r="AU340" s="1999"/>
      <c r="AV340" s="1999"/>
      <c r="AW340" s="1999"/>
      <c r="AX340" s="1999"/>
      <c r="AY340" s="1999"/>
      <c r="AZ340" s="1999"/>
      <c r="BA340" s="1999"/>
      <c r="BB340" s="1999"/>
      <c r="BC340" s="1999"/>
      <c r="BD340" s="1999"/>
      <c r="BE340" s="1999"/>
      <c r="BF340" s="1999"/>
      <c r="BG340" s="1999"/>
      <c r="BH340" s="1999"/>
      <c r="BI340" s="1999"/>
      <c r="BJ340" s="1999"/>
      <c r="BK340" s="1999"/>
      <c r="BL340" s="1999"/>
      <c r="BM340" s="1999"/>
      <c r="BN340" s="1999"/>
      <c r="BO340" s="1999"/>
      <c r="BP340" s="1999"/>
      <c r="BQ340" s="1999"/>
      <c r="BR340" s="1999"/>
      <c r="BS340" s="2081"/>
      <c r="BT340" s="2081"/>
      <c r="BU340" s="2081"/>
      <c r="BV340" s="1923"/>
      <c r="BW340" s="1923"/>
      <c r="BX340" s="1923"/>
      <c r="BY340" s="1923"/>
      <c r="BZ340" s="1924"/>
      <c r="CA340" s="1924"/>
      <c r="CB340" s="2367"/>
      <c r="CC340" s="2368"/>
      <c r="CD340" s="2368"/>
      <c r="CE340" s="2368"/>
      <c r="CF340" s="2368"/>
      <c r="CG340" s="2368"/>
      <c r="CH340" s="2368"/>
      <c r="CI340" s="2368"/>
      <c r="CJ340" s="2368"/>
      <c r="CK340" s="2368"/>
      <c r="CL340" s="2368"/>
      <c r="CM340" s="2368"/>
      <c r="CN340" s="2368"/>
      <c r="CO340" s="2368"/>
      <c r="CP340" s="2368"/>
      <c r="CQ340" s="2368"/>
      <c r="CR340" s="2368"/>
      <c r="CS340" s="2368"/>
      <c r="CT340" s="2368"/>
      <c r="CU340" s="2369"/>
      <c r="CV340" s="2360" t="str">
        <f t="shared" si="138"/>
        <v/>
      </c>
      <c r="CW340" s="2360"/>
      <c r="CX340" s="2360"/>
      <c r="CY340" s="2360"/>
      <c r="CZ340" s="2360"/>
      <c r="DA340" s="2360"/>
      <c r="DC340" s="600" t="str">
        <f t="shared" si="181"/>
        <v/>
      </c>
      <c r="DD340" s="381"/>
      <c r="DF340" s="34"/>
      <c r="DG340" s="34"/>
      <c r="DH340" s="34"/>
      <c r="DI340" s="34"/>
      <c r="DJ340" s="858" t="s">
        <v>5637</v>
      </c>
      <c r="DK340" s="1707" t="str">
        <f t="shared" si="182"/>
        <v/>
      </c>
      <c r="DL340" s="1692" t="str">
        <f t="shared" si="183"/>
        <v/>
      </c>
      <c r="DM340" s="1691">
        <f t="shared" si="139"/>
        <v>0</v>
      </c>
      <c r="DN340" s="111">
        <f t="shared" si="140"/>
        <v>0</v>
      </c>
      <c r="DO340" s="111">
        <f t="shared" si="141"/>
        <v>0</v>
      </c>
      <c r="DP340" s="474">
        <f t="shared" si="142"/>
        <v>0</v>
      </c>
      <c r="DQ340" s="116" t="s">
        <v>304</v>
      </c>
      <c r="DR340" s="473" t="str">
        <f>IF($U340="",R339,U340)</f>
        <v>はめ殺し窓のガラスの固定の状況</v>
      </c>
      <c r="DS340" s="112">
        <f t="shared" si="143"/>
        <v>0</v>
      </c>
      <c r="DT340" s="118" t="str">
        <f t="shared" si="144"/>
        <v/>
      </c>
      <c r="DU340" s="452" t="str">
        <f t="shared" si="145"/>
        <v/>
      </c>
      <c r="DV340" s="151" t="str">
        <f>IF($DT340="要是正",MAX($DV$321:DV339)+1,"")</f>
        <v/>
      </c>
      <c r="DW340" s="485" t="str">
        <f t="shared" si="146"/>
        <v/>
      </c>
      <c r="DX340" s="119" t="str">
        <f t="shared" si="184"/>
        <v/>
      </c>
      <c r="DY340" s="33" t="str">
        <f t="shared" si="147"/>
        <v/>
      </c>
      <c r="DZ340" s="217" t="str">
        <f t="shared" si="148"/>
        <v/>
      </c>
      <c r="EA340" s="397" t="str">
        <f t="shared" si="149"/>
        <v/>
      </c>
      <c r="EB340" s="234" t="str">
        <f t="shared" si="150"/>
        <v/>
      </c>
      <c r="EC340" s="227" t="str">
        <f t="shared" si="151"/>
        <v>0</v>
      </c>
      <c r="ED340" s="148" t="str">
        <f t="shared" si="185"/>
        <v/>
      </c>
      <c r="EE340" s="227" t="str">
        <f t="shared" si="186"/>
        <v>0</v>
      </c>
      <c r="EF340" s="598" t="str">
        <f t="shared" si="152"/>
        <v/>
      </c>
      <c r="EG340" s="204" t="str">
        <f t="shared" si="153"/>
        <v/>
      </c>
      <c r="EH340" s="134" t="str">
        <f t="shared" si="154"/>
        <v>0</v>
      </c>
      <c r="EI340" s="148" t="str">
        <f t="shared" si="187"/>
        <v/>
      </c>
      <c r="EJ340" s="227" t="str">
        <f t="shared" si="188"/>
        <v>0</v>
      </c>
      <c r="EK340" s="451" t="str">
        <f t="shared" si="155"/>
        <v/>
      </c>
      <c r="EL340" s="452" t="e">
        <f t="shared" si="156"/>
        <v>#N/A</v>
      </c>
      <c r="EM340" s="151" t="e">
        <f t="shared" si="157"/>
        <v>#N/A</v>
      </c>
      <c r="EN340" s="453" t="e">
        <f t="shared" si="158"/>
        <v>#N/A</v>
      </c>
      <c r="FK340" s="597" t="str">
        <f t="shared" si="159"/>
        <v/>
      </c>
      <c r="FL340" s="597" t="str">
        <f t="shared" si="71"/>
        <v/>
      </c>
      <c r="FM340" s="597" t="str">
        <f t="shared" si="72"/>
        <v/>
      </c>
      <c r="FN340" s="597">
        <f t="shared" si="160"/>
        <v>0</v>
      </c>
      <c r="FO340" s="1163" t="str">
        <f t="shared" si="161"/>
        <v/>
      </c>
      <c r="FQ340" s="234" t="str">
        <f t="shared" si="162"/>
        <v/>
      </c>
      <c r="FR340" s="227" t="str">
        <f t="shared" si="163"/>
        <v>0</v>
      </c>
      <c r="FS340" s="148" t="str">
        <f t="shared" si="189"/>
        <v/>
      </c>
      <c r="FT340" s="227" t="str">
        <f t="shared" si="190"/>
        <v>0</v>
      </c>
      <c r="FU340" s="416" t="str">
        <f t="shared" si="164"/>
        <v/>
      </c>
      <c r="FW340" s="1160">
        <f t="shared" si="78"/>
        <v>0</v>
      </c>
      <c r="FX340" s="123"/>
      <c r="FY340" s="123"/>
      <c r="FZ340" s="1161"/>
      <c r="GA340" s="34"/>
      <c r="GB340" s="1149">
        <f t="shared" si="79"/>
        <v>0</v>
      </c>
      <c r="GC340" s="1149">
        <f t="shared" si="80"/>
        <v>0</v>
      </c>
      <c r="GD340" s="1149">
        <f t="shared" si="81"/>
        <v>0</v>
      </c>
      <c r="GE340" s="1149" t="str">
        <f t="shared" si="165"/>
        <v/>
      </c>
      <c r="GF340" s="1149" t="str">
        <f t="shared" si="166"/>
        <v/>
      </c>
      <c r="GG340" s="1149" t="str">
        <f t="shared" si="167"/>
        <v/>
      </c>
      <c r="GH340" s="1149" t="str">
        <f t="shared" si="168"/>
        <v/>
      </c>
      <c r="GI340" s="1149" t="str">
        <f t="shared" si="169"/>
        <v/>
      </c>
      <c r="GJ340" s="1149" t="str">
        <f t="shared" si="170"/>
        <v/>
      </c>
      <c r="GK340" s="1149" t="str">
        <f t="shared" si="171"/>
        <v/>
      </c>
      <c r="GL340" s="1149" t="str">
        <f t="shared" si="172"/>
        <v/>
      </c>
      <c r="GM340" s="1149" t="str">
        <f t="shared" si="173"/>
        <v/>
      </c>
      <c r="GN340" s="1149" t="str">
        <f t="shared" si="174"/>
        <v/>
      </c>
      <c r="GO340" s="1149" t="str">
        <f t="shared" si="175"/>
        <v/>
      </c>
      <c r="GP340" s="1149" t="str">
        <f t="shared" si="176"/>
        <v/>
      </c>
      <c r="GQ340" s="1149" t="str">
        <f t="shared" si="177"/>
        <v/>
      </c>
      <c r="GR340" s="1149" t="str">
        <f t="shared" si="178"/>
        <v/>
      </c>
      <c r="GS340" s="1149" t="str">
        <f t="shared" si="179"/>
        <v/>
      </c>
      <c r="GT340" s="1149">
        <f t="shared" si="82"/>
        <v>0</v>
      </c>
      <c r="GU340" s="1149">
        <f t="shared" si="83"/>
        <v>0</v>
      </c>
      <c r="GV340" s="1149">
        <f t="shared" si="84"/>
        <v>0</v>
      </c>
      <c r="GW340" s="1149" t="b">
        <f t="shared" si="85"/>
        <v>0</v>
      </c>
      <c r="GX340" s="1149" t="b">
        <f t="shared" si="86"/>
        <v>0</v>
      </c>
      <c r="GY340" s="1149" t="b">
        <f t="shared" si="87"/>
        <v>0</v>
      </c>
      <c r="GZ340" s="1149" t="str">
        <f t="shared" si="180"/>
        <v/>
      </c>
      <c r="HB340" s="1149" t="str">
        <f t="shared" si="89"/>
        <v/>
      </c>
      <c r="HC340" s="1149" t="str">
        <f t="shared" si="90"/>
        <v/>
      </c>
      <c r="HD340" s="1149" t="str">
        <f t="shared" si="91"/>
        <v/>
      </c>
      <c r="HE340" s="1149" t="str">
        <f t="shared" si="92"/>
        <v/>
      </c>
      <c r="HF340" s="1149" t="str">
        <f t="shared" si="93"/>
        <v/>
      </c>
      <c r="HG340" s="1149" t="str">
        <f t="shared" si="94"/>
        <v/>
      </c>
      <c r="HH340" s="1149" t="str">
        <f t="shared" si="95"/>
        <v/>
      </c>
      <c r="HI340" s="1149" t="str">
        <f t="shared" si="96"/>
        <v/>
      </c>
      <c r="HJ340" s="1149" t="str">
        <f t="shared" si="97"/>
        <v/>
      </c>
      <c r="HK340" s="1149" t="str">
        <f t="shared" si="98"/>
        <v/>
      </c>
      <c r="HL340" s="1149" t="str">
        <f t="shared" si="99"/>
        <v/>
      </c>
      <c r="HM340" s="1149" t="str">
        <f t="shared" si="100"/>
        <v/>
      </c>
      <c r="HN340" s="1149" t="str">
        <f t="shared" si="101"/>
        <v/>
      </c>
      <c r="HO340" s="1149" t="str">
        <f t="shared" si="102"/>
        <v/>
      </c>
      <c r="HP340" s="1149" t="str">
        <f t="shared" si="103"/>
        <v/>
      </c>
      <c r="HQ340" s="1149" t="str">
        <f t="shared" si="104"/>
        <v/>
      </c>
      <c r="HR340" s="1149" t="str">
        <f t="shared" si="105"/>
        <v/>
      </c>
      <c r="HT340" s="1149">
        <f>LEFT(M340,1)*10000+MID(M340,3,LEN(M340)-3)*100+COUNTIF($M$307:M340,M340)</f>
        <v>21601</v>
      </c>
      <c r="HU340" s="1149" t="str">
        <f t="shared" si="106"/>
        <v/>
      </c>
      <c r="HV340" s="1149" t="str">
        <f t="shared" si="107"/>
        <v/>
      </c>
      <c r="HW340" s="1149" t="str">
        <f t="shared" si="108"/>
        <v/>
      </c>
      <c r="HX340" s="1149" t="str">
        <f t="shared" si="109"/>
        <v/>
      </c>
    </row>
    <row r="341" spans="1:232" s="69" customFormat="1" ht="50.15" customHeight="1">
      <c r="A341" s="645"/>
      <c r="B341" s="645"/>
      <c r="C341" s="645"/>
      <c r="D341" s="645"/>
      <c r="E341" s="646"/>
      <c r="F341" s="381"/>
      <c r="G341" s="381"/>
      <c r="H341" s="381"/>
      <c r="J341" s="80"/>
      <c r="K341" s="89"/>
      <c r="L341" s="89"/>
      <c r="M341" s="2079" t="s">
        <v>1212</v>
      </c>
      <c r="N341" s="2079"/>
      <c r="O341" s="2080"/>
      <c r="P341" s="2100"/>
      <c r="Q341" s="2100"/>
      <c r="R341" s="2096" t="s">
        <v>69</v>
      </c>
      <c r="S341" s="2096"/>
      <c r="T341" s="2096"/>
      <c r="U341" s="2011" t="s">
        <v>70</v>
      </c>
      <c r="V341" s="2011"/>
      <c r="W341" s="2011"/>
      <c r="X341" s="2011"/>
      <c r="Y341" s="2011"/>
      <c r="Z341" s="2011"/>
      <c r="AA341" s="2011"/>
      <c r="AB341" s="2011"/>
      <c r="AC341" s="2011"/>
      <c r="AD341" s="2011"/>
      <c r="AE341" s="2011"/>
      <c r="AF341" s="2010"/>
      <c r="AG341" s="2010"/>
      <c r="AH341" s="2010"/>
      <c r="AI341" s="2010"/>
      <c r="AJ341" s="2010"/>
      <c r="AK341" s="2010"/>
      <c r="AL341" s="2010"/>
      <c r="AM341" s="2010"/>
      <c r="AN341" s="2010"/>
      <c r="AO341" s="2010"/>
      <c r="AP341" s="2010"/>
      <c r="AQ341" s="2010"/>
      <c r="AR341" s="2017"/>
      <c r="AS341" s="2017"/>
      <c r="AT341" s="1929"/>
      <c r="AU341" s="1929"/>
      <c r="AV341" s="1929"/>
      <c r="AW341" s="1929"/>
      <c r="AX341" s="1929"/>
      <c r="AY341" s="1929"/>
      <c r="AZ341" s="1929"/>
      <c r="BA341" s="1929"/>
      <c r="BB341" s="1929"/>
      <c r="BC341" s="1929"/>
      <c r="BD341" s="1929"/>
      <c r="BE341" s="1929"/>
      <c r="BF341" s="1929"/>
      <c r="BG341" s="1929"/>
      <c r="BH341" s="1929"/>
      <c r="BI341" s="1929"/>
      <c r="BJ341" s="1929"/>
      <c r="BK341" s="1929"/>
      <c r="BL341" s="1929"/>
      <c r="BM341" s="1929"/>
      <c r="BN341" s="1929"/>
      <c r="BO341" s="1929"/>
      <c r="BP341" s="1929"/>
      <c r="BQ341" s="1929"/>
      <c r="BR341" s="1929"/>
      <c r="BS341" s="1885"/>
      <c r="BT341" s="1885"/>
      <c r="BU341" s="1885"/>
      <c r="BV341" s="1890"/>
      <c r="BW341" s="1890"/>
      <c r="BX341" s="1890"/>
      <c r="BY341" s="1890"/>
      <c r="BZ341" s="1891"/>
      <c r="CA341" s="1891"/>
      <c r="CB341" s="1925"/>
      <c r="CC341" s="1926"/>
      <c r="CD341" s="1926"/>
      <c r="CE341" s="1926"/>
      <c r="CF341" s="1926"/>
      <c r="CG341" s="1926"/>
      <c r="CH341" s="1926"/>
      <c r="CI341" s="1926"/>
      <c r="CJ341" s="1926"/>
      <c r="CK341" s="1926"/>
      <c r="CL341" s="1926"/>
      <c r="CM341" s="1926"/>
      <c r="CN341" s="1926"/>
      <c r="CO341" s="1926"/>
      <c r="CP341" s="1926"/>
      <c r="CQ341" s="1926"/>
      <c r="CR341" s="1926"/>
      <c r="CS341" s="1926"/>
      <c r="CT341" s="1926"/>
      <c r="CU341" s="1927"/>
      <c r="CV341" s="2360" t="str">
        <f t="shared" si="138"/>
        <v/>
      </c>
      <c r="CW341" s="2360"/>
      <c r="CX341" s="2360"/>
      <c r="CY341" s="2360"/>
      <c r="CZ341" s="2360"/>
      <c r="DA341" s="2360"/>
      <c r="DC341" s="600" t="str">
        <f t="shared" si="181"/>
        <v/>
      </c>
      <c r="DD341" s="381"/>
      <c r="DF341" s="34"/>
      <c r="DG341" s="34"/>
      <c r="DH341" s="34"/>
      <c r="DI341" s="34"/>
      <c r="DJ341" s="858" t="s">
        <v>5637</v>
      </c>
      <c r="DK341" s="1707" t="str">
        <f t="shared" si="182"/>
        <v/>
      </c>
      <c r="DL341" s="1692" t="str">
        <f t="shared" si="183"/>
        <v/>
      </c>
      <c r="DM341" s="1691">
        <f t="shared" si="139"/>
        <v>0</v>
      </c>
      <c r="DN341" s="111">
        <f t="shared" si="140"/>
        <v>0</v>
      </c>
      <c r="DO341" s="111">
        <f t="shared" si="141"/>
        <v>0</v>
      </c>
      <c r="DP341" s="474">
        <f t="shared" si="142"/>
        <v>0</v>
      </c>
      <c r="DQ341" s="116" t="s">
        <v>305</v>
      </c>
      <c r="DR341" s="473" t="str">
        <f t="shared" si="191"/>
        <v>機器本体の劣化及び損傷の状況</v>
      </c>
      <c r="DS341" s="112">
        <f t="shared" si="143"/>
        <v>0</v>
      </c>
      <c r="DT341" s="118" t="str">
        <f t="shared" si="144"/>
        <v/>
      </c>
      <c r="DU341" s="452" t="str">
        <f t="shared" si="145"/>
        <v/>
      </c>
      <c r="DV341" s="151" t="str">
        <f>IF($DT341="要是正",MAX($DV$321:DV340)+1,"")</f>
        <v/>
      </c>
      <c r="DW341" s="485" t="str">
        <f t="shared" si="146"/>
        <v/>
      </c>
      <c r="DX341" s="119" t="str">
        <f t="shared" si="184"/>
        <v/>
      </c>
      <c r="DY341" s="33" t="str">
        <f t="shared" si="147"/>
        <v/>
      </c>
      <c r="DZ341" s="217" t="str">
        <f t="shared" si="148"/>
        <v/>
      </c>
      <c r="EA341" s="397" t="str">
        <f t="shared" si="149"/>
        <v/>
      </c>
      <c r="EB341" s="234" t="str">
        <f t="shared" si="150"/>
        <v/>
      </c>
      <c r="EC341" s="227" t="str">
        <f t="shared" si="151"/>
        <v>0</v>
      </c>
      <c r="ED341" s="148" t="str">
        <f t="shared" si="185"/>
        <v/>
      </c>
      <c r="EE341" s="227" t="str">
        <f t="shared" si="186"/>
        <v>0</v>
      </c>
      <c r="EF341" s="598" t="str">
        <f t="shared" si="152"/>
        <v/>
      </c>
      <c r="EG341" s="204" t="str">
        <f t="shared" si="153"/>
        <v/>
      </c>
      <c r="EH341" s="134" t="str">
        <f t="shared" si="154"/>
        <v>0</v>
      </c>
      <c r="EI341" s="148" t="str">
        <f t="shared" si="187"/>
        <v/>
      </c>
      <c r="EJ341" s="227" t="str">
        <f t="shared" si="188"/>
        <v>0</v>
      </c>
      <c r="EK341" s="451" t="str">
        <f t="shared" si="155"/>
        <v/>
      </c>
      <c r="EL341" s="452" t="e">
        <f t="shared" si="156"/>
        <v>#N/A</v>
      </c>
      <c r="EM341" s="151" t="e">
        <f t="shared" si="157"/>
        <v>#N/A</v>
      </c>
      <c r="EN341" s="453" t="e">
        <f t="shared" si="158"/>
        <v>#N/A</v>
      </c>
      <c r="FK341" s="597" t="str">
        <f t="shared" si="159"/>
        <v/>
      </c>
      <c r="FL341" s="597" t="str">
        <f t="shared" si="71"/>
        <v/>
      </c>
      <c r="FM341" s="597" t="str">
        <f t="shared" si="72"/>
        <v/>
      </c>
      <c r="FN341" s="597">
        <f t="shared" si="160"/>
        <v>0</v>
      </c>
      <c r="FO341" s="1163" t="str">
        <f t="shared" si="161"/>
        <v/>
      </c>
      <c r="FQ341" s="234" t="str">
        <f t="shared" si="162"/>
        <v/>
      </c>
      <c r="FR341" s="227" t="str">
        <f t="shared" si="163"/>
        <v>0</v>
      </c>
      <c r="FS341" s="148" t="str">
        <f t="shared" si="189"/>
        <v/>
      </c>
      <c r="FT341" s="227" t="str">
        <f t="shared" si="190"/>
        <v>0</v>
      </c>
      <c r="FU341" s="416" t="str">
        <f t="shared" si="164"/>
        <v/>
      </c>
      <c r="FW341" s="1160">
        <f t="shared" si="78"/>
        <v>0</v>
      </c>
      <c r="FX341" s="123"/>
      <c r="FY341" s="123"/>
      <c r="FZ341" s="1161"/>
      <c r="GA341" s="34"/>
      <c r="GB341" s="1149">
        <f t="shared" si="79"/>
        <v>0</v>
      </c>
      <c r="GC341" s="1149">
        <f t="shared" si="80"/>
        <v>0</v>
      </c>
      <c r="GD341" s="1149">
        <f t="shared" si="81"/>
        <v>0</v>
      </c>
      <c r="GE341" s="1149" t="str">
        <f t="shared" si="165"/>
        <v/>
      </c>
      <c r="GF341" s="1149" t="str">
        <f t="shared" si="166"/>
        <v/>
      </c>
      <c r="GG341" s="1149" t="str">
        <f t="shared" si="167"/>
        <v/>
      </c>
      <c r="GH341" s="1149" t="str">
        <f t="shared" si="168"/>
        <v/>
      </c>
      <c r="GI341" s="1149" t="str">
        <f t="shared" si="169"/>
        <v/>
      </c>
      <c r="GJ341" s="1149" t="str">
        <f t="shared" si="170"/>
        <v/>
      </c>
      <c r="GK341" s="1149" t="str">
        <f t="shared" si="171"/>
        <v/>
      </c>
      <c r="GL341" s="1149" t="str">
        <f t="shared" si="172"/>
        <v/>
      </c>
      <c r="GM341" s="1149" t="str">
        <f t="shared" si="173"/>
        <v/>
      </c>
      <c r="GN341" s="1149" t="str">
        <f t="shared" si="174"/>
        <v/>
      </c>
      <c r="GO341" s="1149" t="str">
        <f t="shared" si="175"/>
        <v/>
      </c>
      <c r="GP341" s="1149" t="str">
        <f t="shared" si="176"/>
        <v/>
      </c>
      <c r="GQ341" s="1149" t="str">
        <f t="shared" si="177"/>
        <v/>
      </c>
      <c r="GR341" s="1149" t="str">
        <f t="shared" si="178"/>
        <v/>
      </c>
      <c r="GS341" s="1149" t="str">
        <f t="shared" si="179"/>
        <v/>
      </c>
      <c r="GT341" s="1149">
        <f t="shared" si="82"/>
        <v>0</v>
      </c>
      <c r="GU341" s="1149">
        <f t="shared" si="83"/>
        <v>0</v>
      </c>
      <c r="GV341" s="1149">
        <f t="shared" si="84"/>
        <v>0</v>
      </c>
      <c r="GW341" s="1149" t="b">
        <f t="shared" si="85"/>
        <v>0</v>
      </c>
      <c r="GX341" s="1149" t="b">
        <f t="shared" si="86"/>
        <v>0</v>
      </c>
      <c r="GY341" s="1149" t="b">
        <f t="shared" si="87"/>
        <v>0</v>
      </c>
      <c r="GZ341" s="1149" t="str">
        <f t="shared" si="180"/>
        <v/>
      </c>
      <c r="HB341" s="1149" t="str">
        <f t="shared" si="89"/>
        <v/>
      </c>
      <c r="HC341" s="1149" t="str">
        <f t="shared" si="90"/>
        <v/>
      </c>
      <c r="HD341" s="1149" t="str">
        <f t="shared" si="91"/>
        <v/>
      </c>
      <c r="HE341" s="1149" t="str">
        <f t="shared" si="92"/>
        <v/>
      </c>
      <c r="HF341" s="1149" t="str">
        <f t="shared" si="93"/>
        <v/>
      </c>
      <c r="HG341" s="1149" t="str">
        <f t="shared" si="94"/>
        <v/>
      </c>
      <c r="HH341" s="1149" t="str">
        <f t="shared" si="95"/>
        <v/>
      </c>
      <c r="HI341" s="1149" t="str">
        <f t="shared" si="96"/>
        <v/>
      </c>
      <c r="HJ341" s="1149" t="str">
        <f t="shared" si="97"/>
        <v/>
      </c>
      <c r="HK341" s="1149" t="str">
        <f t="shared" si="98"/>
        <v/>
      </c>
      <c r="HL341" s="1149" t="str">
        <f t="shared" si="99"/>
        <v/>
      </c>
      <c r="HM341" s="1149" t="str">
        <f t="shared" si="100"/>
        <v/>
      </c>
      <c r="HN341" s="1149" t="str">
        <f t="shared" si="101"/>
        <v/>
      </c>
      <c r="HO341" s="1149" t="str">
        <f t="shared" si="102"/>
        <v/>
      </c>
      <c r="HP341" s="1149" t="str">
        <f t="shared" si="103"/>
        <v/>
      </c>
      <c r="HQ341" s="1149" t="str">
        <f t="shared" si="104"/>
        <v/>
      </c>
      <c r="HR341" s="1149" t="str">
        <f t="shared" si="105"/>
        <v/>
      </c>
      <c r="HT341" s="1149">
        <f>LEFT(M341,1)*10000+MID(M341,3,LEN(M341)-3)*100+COUNTIF($M$307:M341,M341)</f>
        <v>21701</v>
      </c>
      <c r="HU341" s="1149" t="str">
        <f t="shared" si="106"/>
        <v/>
      </c>
      <c r="HV341" s="1149" t="str">
        <f t="shared" si="107"/>
        <v/>
      </c>
      <c r="HW341" s="1149" t="str">
        <f t="shared" si="108"/>
        <v/>
      </c>
      <c r="HX341" s="1149" t="str">
        <f t="shared" si="109"/>
        <v/>
      </c>
    </row>
    <row r="342" spans="1:232" s="69" customFormat="1" ht="50.15" customHeight="1" thickBot="1">
      <c r="A342" s="645"/>
      <c r="B342" s="645"/>
      <c r="C342" s="645"/>
      <c r="D342" s="645"/>
      <c r="E342" s="646"/>
      <c r="F342" s="381"/>
      <c r="G342" s="381"/>
      <c r="H342" s="381"/>
      <c r="J342" s="80"/>
      <c r="K342" s="89"/>
      <c r="L342" s="89"/>
      <c r="M342" s="1963" t="s">
        <v>1213</v>
      </c>
      <c r="N342" s="1963"/>
      <c r="O342" s="1963"/>
      <c r="P342" s="2100"/>
      <c r="Q342" s="2100"/>
      <c r="R342" s="2029"/>
      <c r="S342" s="2029"/>
      <c r="T342" s="2029"/>
      <c r="U342" s="2012" t="s">
        <v>71</v>
      </c>
      <c r="V342" s="2012"/>
      <c r="W342" s="2012"/>
      <c r="X342" s="2012"/>
      <c r="Y342" s="2012"/>
      <c r="Z342" s="2012"/>
      <c r="AA342" s="2012"/>
      <c r="AB342" s="2012"/>
      <c r="AC342" s="2012"/>
      <c r="AD342" s="2012"/>
      <c r="AE342" s="2012"/>
      <c r="AF342" s="2349"/>
      <c r="AG342" s="2349"/>
      <c r="AH342" s="2349"/>
      <c r="AI342" s="2349"/>
      <c r="AJ342" s="2349"/>
      <c r="AK342" s="2349"/>
      <c r="AL342" s="2349"/>
      <c r="AM342" s="2349"/>
      <c r="AN342" s="2349"/>
      <c r="AO342" s="2349"/>
      <c r="AP342" s="2349"/>
      <c r="AQ342" s="2349"/>
      <c r="AR342" s="2103"/>
      <c r="AS342" s="2103"/>
      <c r="AT342" s="2098"/>
      <c r="AU342" s="2098"/>
      <c r="AV342" s="2098"/>
      <c r="AW342" s="2098"/>
      <c r="AX342" s="2098"/>
      <c r="AY342" s="2098"/>
      <c r="AZ342" s="2098"/>
      <c r="BA342" s="2098"/>
      <c r="BB342" s="2098"/>
      <c r="BC342" s="2098"/>
      <c r="BD342" s="2098"/>
      <c r="BE342" s="2098"/>
      <c r="BF342" s="2098"/>
      <c r="BG342" s="2098"/>
      <c r="BH342" s="2098"/>
      <c r="BI342" s="2098"/>
      <c r="BJ342" s="2098"/>
      <c r="BK342" s="2098"/>
      <c r="BL342" s="2098"/>
      <c r="BM342" s="2098"/>
      <c r="BN342" s="2098"/>
      <c r="BO342" s="2098"/>
      <c r="BP342" s="2098"/>
      <c r="BQ342" s="2098"/>
      <c r="BR342" s="2098"/>
      <c r="BS342" s="2102"/>
      <c r="BT342" s="2102"/>
      <c r="BU342" s="2102"/>
      <c r="BV342" s="2380"/>
      <c r="BW342" s="2380"/>
      <c r="BX342" s="2380"/>
      <c r="BY342" s="2380"/>
      <c r="BZ342" s="2387"/>
      <c r="CA342" s="2387"/>
      <c r="CB342" s="1886"/>
      <c r="CC342" s="1887"/>
      <c r="CD342" s="1887"/>
      <c r="CE342" s="1887"/>
      <c r="CF342" s="1887"/>
      <c r="CG342" s="1887"/>
      <c r="CH342" s="1887"/>
      <c r="CI342" s="1887"/>
      <c r="CJ342" s="1887"/>
      <c r="CK342" s="1887"/>
      <c r="CL342" s="1887"/>
      <c r="CM342" s="1887"/>
      <c r="CN342" s="1887"/>
      <c r="CO342" s="1887"/>
      <c r="CP342" s="1887"/>
      <c r="CQ342" s="1887"/>
      <c r="CR342" s="1887"/>
      <c r="CS342" s="1887"/>
      <c r="CT342" s="1887"/>
      <c r="CU342" s="1888"/>
      <c r="CV342" s="2360" t="str">
        <f t="shared" si="138"/>
        <v/>
      </c>
      <c r="CW342" s="2360"/>
      <c r="CX342" s="2360"/>
      <c r="CY342" s="2360"/>
      <c r="CZ342" s="2360"/>
      <c r="DA342" s="2360"/>
      <c r="DC342" s="600" t="str">
        <f t="shared" si="181"/>
        <v/>
      </c>
      <c r="DD342" s="381"/>
      <c r="DF342" s="34"/>
      <c r="DG342" s="34"/>
      <c r="DH342" s="34"/>
      <c r="DI342" s="34"/>
      <c r="DJ342" s="858" t="s">
        <v>5637</v>
      </c>
      <c r="DK342" s="1707" t="str">
        <f t="shared" si="182"/>
        <v/>
      </c>
      <c r="DL342" s="1692" t="str">
        <f t="shared" si="183"/>
        <v/>
      </c>
      <c r="DM342" s="1694">
        <f t="shared" si="139"/>
        <v>0</v>
      </c>
      <c r="DN342" s="476">
        <f t="shared" si="140"/>
        <v>0</v>
      </c>
      <c r="DO342" s="476">
        <f t="shared" si="141"/>
        <v>0</v>
      </c>
      <c r="DP342" s="477">
        <f t="shared" si="142"/>
        <v>0</v>
      </c>
      <c r="DQ342" s="116" t="s">
        <v>306</v>
      </c>
      <c r="DR342" s="475" t="str">
        <f>IF($U342="",R341,U342)</f>
        <v>支持部分等の劣化及び損傷の状況</v>
      </c>
      <c r="DS342" s="221">
        <f t="shared" si="143"/>
        <v>0</v>
      </c>
      <c r="DT342" s="480" t="str">
        <f t="shared" si="144"/>
        <v/>
      </c>
      <c r="DU342" s="232" t="str">
        <f t="shared" si="145"/>
        <v/>
      </c>
      <c r="DV342" s="233" t="str">
        <f>IF($DT342="要是正",MAX($DV$321:DV341)+1,"")</f>
        <v/>
      </c>
      <c r="DW342" s="486" t="str">
        <f t="shared" si="146"/>
        <v/>
      </c>
      <c r="DX342" s="532" t="str">
        <f t="shared" si="184"/>
        <v/>
      </c>
      <c r="DY342" s="533" t="str">
        <f t="shared" si="147"/>
        <v/>
      </c>
      <c r="DZ342" s="534" t="str">
        <f t="shared" si="148"/>
        <v/>
      </c>
      <c r="EA342" s="397" t="str">
        <f t="shared" si="149"/>
        <v/>
      </c>
      <c r="EB342" s="234" t="str">
        <f t="shared" si="150"/>
        <v/>
      </c>
      <c r="EC342" s="227" t="str">
        <f t="shared" si="151"/>
        <v>0</v>
      </c>
      <c r="ED342" s="148" t="str">
        <f t="shared" si="185"/>
        <v/>
      </c>
      <c r="EE342" s="227" t="str">
        <f t="shared" si="186"/>
        <v>0</v>
      </c>
      <c r="EF342" s="598" t="str">
        <f t="shared" si="152"/>
        <v/>
      </c>
      <c r="EG342" s="204" t="str">
        <f t="shared" si="153"/>
        <v/>
      </c>
      <c r="EH342" s="134" t="str">
        <f t="shared" si="154"/>
        <v>0</v>
      </c>
      <c r="EI342" s="148" t="str">
        <f t="shared" si="187"/>
        <v/>
      </c>
      <c r="EJ342" s="227" t="str">
        <f t="shared" si="188"/>
        <v>0</v>
      </c>
      <c r="EK342" s="451" t="str">
        <f t="shared" si="155"/>
        <v/>
      </c>
      <c r="EL342" s="452" t="e">
        <f t="shared" si="156"/>
        <v>#N/A</v>
      </c>
      <c r="EM342" s="151" t="e">
        <f t="shared" si="157"/>
        <v>#N/A</v>
      </c>
      <c r="EN342" s="453" t="e">
        <f t="shared" si="158"/>
        <v>#N/A</v>
      </c>
      <c r="FK342" s="597" t="str">
        <f t="shared" si="159"/>
        <v/>
      </c>
      <c r="FL342" s="597" t="str">
        <f t="shared" si="71"/>
        <v/>
      </c>
      <c r="FM342" s="597" t="str">
        <f t="shared" si="72"/>
        <v/>
      </c>
      <c r="FN342" s="597">
        <f t="shared" si="160"/>
        <v>0</v>
      </c>
      <c r="FO342" s="1163" t="str">
        <f t="shared" si="161"/>
        <v/>
      </c>
      <c r="FQ342" s="234" t="str">
        <f t="shared" si="162"/>
        <v/>
      </c>
      <c r="FR342" s="227" t="str">
        <f t="shared" si="163"/>
        <v>0</v>
      </c>
      <c r="FS342" s="148" t="str">
        <f t="shared" si="189"/>
        <v/>
      </c>
      <c r="FT342" s="227" t="str">
        <f t="shared" si="190"/>
        <v>0</v>
      </c>
      <c r="FU342" s="416" t="str">
        <f t="shared" si="164"/>
        <v/>
      </c>
      <c r="FW342" s="1160">
        <f t="shared" si="78"/>
        <v>0</v>
      </c>
      <c r="FX342" s="123"/>
      <c r="FY342" s="123"/>
      <c r="FZ342" s="1161"/>
      <c r="GA342" s="34"/>
      <c r="GB342" s="1149">
        <f t="shared" si="79"/>
        <v>0</v>
      </c>
      <c r="GC342" s="1149">
        <f t="shared" si="80"/>
        <v>0</v>
      </c>
      <c r="GD342" s="1149">
        <f t="shared" si="81"/>
        <v>0</v>
      </c>
      <c r="GE342" s="1149" t="str">
        <f t="shared" si="165"/>
        <v/>
      </c>
      <c r="GF342" s="1149" t="str">
        <f t="shared" si="166"/>
        <v/>
      </c>
      <c r="GG342" s="1149" t="str">
        <f t="shared" si="167"/>
        <v/>
      </c>
      <c r="GH342" s="1149" t="str">
        <f t="shared" si="168"/>
        <v/>
      </c>
      <c r="GI342" s="1149" t="str">
        <f t="shared" si="169"/>
        <v/>
      </c>
      <c r="GJ342" s="1149" t="str">
        <f t="shared" si="170"/>
        <v/>
      </c>
      <c r="GK342" s="1149" t="str">
        <f t="shared" si="171"/>
        <v/>
      </c>
      <c r="GL342" s="1149" t="str">
        <f t="shared" si="172"/>
        <v/>
      </c>
      <c r="GM342" s="1149" t="str">
        <f t="shared" si="173"/>
        <v/>
      </c>
      <c r="GN342" s="1149" t="str">
        <f t="shared" si="174"/>
        <v/>
      </c>
      <c r="GO342" s="1149" t="str">
        <f t="shared" si="175"/>
        <v/>
      </c>
      <c r="GP342" s="1149" t="str">
        <f t="shared" si="176"/>
        <v/>
      </c>
      <c r="GQ342" s="1149" t="str">
        <f t="shared" si="177"/>
        <v/>
      </c>
      <c r="GR342" s="1149" t="str">
        <f t="shared" si="178"/>
        <v/>
      </c>
      <c r="GS342" s="1149" t="str">
        <f t="shared" si="179"/>
        <v/>
      </c>
      <c r="GT342" s="1149">
        <f t="shared" si="82"/>
        <v>0</v>
      </c>
      <c r="GU342" s="1149">
        <f t="shared" si="83"/>
        <v>0</v>
      </c>
      <c r="GV342" s="1149">
        <f t="shared" si="84"/>
        <v>0</v>
      </c>
      <c r="GW342" s="1149" t="b">
        <f t="shared" si="85"/>
        <v>0</v>
      </c>
      <c r="GX342" s="1149" t="b">
        <f t="shared" si="86"/>
        <v>0</v>
      </c>
      <c r="GY342" s="1149" t="b">
        <f t="shared" si="87"/>
        <v>0</v>
      </c>
      <c r="GZ342" s="1149" t="str">
        <f t="shared" si="180"/>
        <v/>
      </c>
      <c r="HB342" s="1149" t="str">
        <f t="shared" si="89"/>
        <v/>
      </c>
      <c r="HC342" s="1149" t="str">
        <f t="shared" si="90"/>
        <v/>
      </c>
      <c r="HD342" s="1149" t="str">
        <f t="shared" si="91"/>
        <v/>
      </c>
      <c r="HE342" s="1149" t="str">
        <f t="shared" si="92"/>
        <v/>
      </c>
      <c r="HF342" s="1149" t="str">
        <f t="shared" si="93"/>
        <v/>
      </c>
      <c r="HG342" s="1149" t="str">
        <f t="shared" si="94"/>
        <v/>
      </c>
      <c r="HH342" s="1149" t="str">
        <f t="shared" si="95"/>
        <v/>
      </c>
      <c r="HI342" s="1149" t="str">
        <f t="shared" si="96"/>
        <v/>
      </c>
      <c r="HJ342" s="1149" t="str">
        <f t="shared" si="97"/>
        <v/>
      </c>
      <c r="HK342" s="1149" t="str">
        <f t="shared" si="98"/>
        <v/>
      </c>
      <c r="HL342" s="1149" t="str">
        <f t="shared" si="99"/>
        <v/>
      </c>
      <c r="HM342" s="1149" t="str">
        <f t="shared" si="100"/>
        <v/>
      </c>
      <c r="HN342" s="1149" t="str">
        <f t="shared" si="101"/>
        <v/>
      </c>
      <c r="HO342" s="1149" t="str">
        <f t="shared" si="102"/>
        <v/>
      </c>
      <c r="HP342" s="1149" t="str">
        <f t="shared" si="103"/>
        <v/>
      </c>
      <c r="HQ342" s="1149" t="str">
        <f t="shared" si="104"/>
        <v/>
      </c>
      <c r="HR342" s="1149" t="str">
        <f t="shared" si="105"/>
        <v/>
      </c>
      <c r="HT342" s="1149">
        <f>LEFT(M342,1)*10000+MID(M342,3,LEN(M342)-3)*100+COUNTIF($M$307:M342,M342)</f>
        <v>21801</v>
      </c>
      <c r="HU342" s="1149" t="str">
        <f t="shared" si="106"/>
        <v/>
      </c>
      <c r="HV342" s="1149" t="str">
        <f t="shared" si="107"/>
        <v/>
      </c>
      <c r="HW342" s="1149" t="str">
        <f t="shared" si="108"/>
        <v/>
      </c>
      <c r="HX342" s="1149" t="str">
        <f t="shared" si="109"/>
        <v/>
      </c>
    </row>
    <row r="343" spans="1:232" s="69" customFormat="1" ht="50.15" hidden="1" customHeight="1" thickBot="1">
      <c r="A343" s="645"/>
      <c r="B343" s="645"/>
      <c r="C343" s="645"/>
      <c r="D343" s="645"/>
      <c r="E343" s="646"/>
      <c r="F343" s="381"/>
      <c r="G343" s="381"/>
      <c r="H343" s="381"/>
      <c r="J343" s="80"/>
      <c r="K343" s="89"/>
      <c r="L343" s="89"/>
      <c r="M343" s="1963" t="s">
        <v>2566</v>
      </c>
      <c r="N343" s="1963"/>
      <c r="O343" s="1963"/>
      <c r="P343" s="2100"/>
      <c r="Q343" s="2100"/>
      <c r="R343" s="2029"/>
      <c r="S343" s="2029"/>
      <c r="T343" s="2029"/>
      <c r="U343" s="1899"/>
      <c r="V343" s="1899"/>
      <c r="W343" s="1899"/>
      <c r="X343" s="1899"/>
      <c r="Y343" s="1899"/>
      <c r="Z343" s="1899"/>
      <c r="AA343" s="1899"/>
      <c r="AB343" s="1899"/>
      <c r="AC343" s="1899"/>
      <c r="AD343" s="1899"/>
      <c r="AE343" s="1899"/>
      <c r="AF343" s="1898"/>
      <c r="AG343" s="1898"/>
      <c r="AH343" s="1898"/>
      <c r="AI343" s="1898"/>
      <c r="AJ343" s="1898"/>
      <c r="AK343" s="1898"/>
      <c r="AL343" s="1898"/>
      <c r="AM343" s="1898"/>
      <c r="AN343" s="1898"/>
      <c r="AO343" s="1898"/>
      <c r="AP343" s="1898"/>
      <c r="AQ343" s="1898"/>
      <c r="AR343" s="1910"/>
      <c r="AS343" s="1910"/>
      <c r="AT343" s="1993"/>
      <c r="AU343" s="1993"/>
      <c r="AV343" s="1993"/>
      <c r="AW343" s="1993"/>
      <c r="AX343" s="1993"/>
      <c r="AY343" s="1993"/>
      <c r="AZ343" s="1993"/>
      <c r="BA343" s="1993"/>
      <c r="BB343" s="1993"/>
      <c r="BC343" s="1993"/>
      <c r="BD343" s="1993"/>
      <c r="BE343" s="1993"/>
      <c r="BF343" s="1993"/>
      <c r="BG343" s="1993"/>
      <c r="BH343" s="1993"/>
      <c r="BI343" s="1993"/>
      <c r="BJ343" s="1993"/>
      <c r="BK343" s="1993"/>
      <c r="BL343" s="1993"/>
      <c r="BM343" s="1993"/>
      <c r="BN343" s="1993"/>
      <c r="BO343" s="1993"/>
      <c r="BP343" s="1993"/>
      <c r="BQ343" s="1993"/>
      <c r="BR343" s="1993"/>
      <c r="BS343" s="1895"/>
      <c r="BT343" s="1895"/>
      <c r="BU343" s="1895"/>
      <c r="BV343" s="1889"/>
      <c r="BW343" s="1889"/>
      <c r="BX343" s="1889"/>
      <c r="BY343" s="1889"/>
      <c r="BZ343" s="1896"/>
      <c r="CA343" s="1896"/>
      <c r="CB343" s="1886"/>
      <c r="CC343" s="1887"/>
      <c r="CD343" s="1887"/>
      <c r="CE343" s="1887"/>
      <c r="CF343" s="1887"/>
      <c r="CG343" s="1887"/>
      <c r="CH343" s="1887"/>
      <c r="CI343" s="1887"/>
      <c r="CJ343" s="1887"/>
      <c r="CK343" s="1887"/>
      <c r="CL343" s="1887"/>
      <c r="CM343" s="1887"/>
      <c r="CN343" s="1887"/>
      <c r="CO343" s="1887"/>
      <c r="CP343" s="1887"/>
      <c r="CQ343" s="1887"/>
      <c r="CR343" s="1887"/>
      <c r="CS343" s="1887"/>
      <c r="CT343" s="1887"/>
      <c r="CU343" s="1888"/>
      <c r="CV343" s="2360" t="str">
        <f t="shared" ref="CV343:CV347" si="192">IF(AND(DT343="要是正",DU343&lt;21),HYPERLINK("#"&amp;EL343&amp;"!"&amp;EM343&amp;":"&amp;EN343&amp;"","関連写真添付"),"")</f>
        <v/>
      </c>
      <c r="CW343" s="2360"/>
      <c r="CX343" s="2360"/>
      <c r="CY343" s="2360"/>
      <c r="CZ343" s="2360"/>
      <c r="DA343" s="2360"/>
      <c r="DC343" s="600" t="str">
        <f t="shared" ref="DC343:DC347" si="193">IF(AND(DU343&lt;&gt;"",DU343&gt;20),"「別途様式を作成、提出してください。」","")</f>
        <v/>
      </c>
      <c r="DD343" s="381"/>
      <c r="DF343" s="34"/>
      <c r="DG343" s="34"/>
      <c r="DH343" s="34"/>
      <c r="DI343" s="34"/>
      <c r="DJ343" s="858" t="s">
        <v>5637</v>
      </c>
      <c r="DK343" s="1707" t="str">
        <f t="shared" si="182"/>
        <v/>
      </c>
      <c r="DL343" s="1692" t="str">
        <f t="shared" si="183"/>
        <v/>
      </c>
      <c r="DM343" s="1694">
        <f t="shared" si="139"/>
        <v>0</v>
      </c>
      <c r="DN343" s="476">
        <f t="shared" ref="DN343:DN347" si="194">COUNTIFS(AF343,"○指摘なし")</f>
        <v>0</v>
      </c>
      <c r="DO343" s="476">
        <f t="shared" ref="DO343:DO347" si="195">COUNTIFS(AF343,"×要是正（既存不適格以外）")</f>
        <v>0</v>
      </c>
      <c r="DP343" s="477">
        <f t="shared" ref="DP343:DP347" si="196">COUNTIFS(AF343,"△既存不適格")</f>
        <v>0</v>
      </c>
      <c r="DQ343" s="116" t="s">
        <v>2566</v>
      </c>
      <c r="DR343" s="475">
        <f t="shared" ref="DR343:DR347" si="197">IF($U343="",R343,U343)</f>
        <v>0</v>
      </c>
      <c r="DS343" s="221">
        <f t="shared" ref="DS343:DS347" si="198">COUNTA(BS343:BX343)</f>
        <v>0</v>
      </c>
      <c r="DT343" s="480" t="str">
        <f t="shared" ref="DT343:DT347" si="199">IF(AF343="×要是正（既存不適格以外）","要是正","")&amp;IF(AF343="△既存不適格","既存不適格","")</f>
        <v/>
      </c>
      <c r="DU343" s="232" t="str">
        <f t="shared" si="145"/>
        <v/>
      </c>
      <c r="DV343" s="233" t="str">
        <f>IF($DT343="要是正",MAX($DV$321:DV342)+1,"")</f>
        <v/>
      </c>
      <c r="DW343" s="486" t="str">
        <f t="shared" ref="DW343:DW347" si="200">IF(OR(AF343="×要是正（既存不適格以外）",AF343="△既存不適格"),DQ343,"")</f>
        <v/>
      </c>
      <c r="DX343" s="532" t="str">
        <f t="shared" si="184"/>
        <v/>
      </c>
      <c r="DY343" s="533" t="str">
        <f t="shared" ref="DY343:DY347" si="201">IF($DT343="要是正",IF(AT343="","",DQ343 &amp;" " &amp; AT343),"")</f>
        <v/>
      </c>
      <c r="DZ343" s="534" t="str">
        <f t="shared" ref="DZ343:DZ347" si="202">IF($DT343="要是正",IF(BD343="","",BD343),"")</f>
        <v/>
      </c>
      <c r="EA343" s="397" t="str">
        <f t="shared" si="149"/>
        <v/>
      </c>
      <c r="EB343" s="234" t="str">
        <f t="shared" si="150"/>
        <v/>
      </c>
      <c r="EC343" s="227" t="str">
        <f t="shared" si="151"/>
        <v>0</v>
      </c>
      <c r="ED343" s="148" t="str">
        <f t="shared" ref="ED343:ED347" si="203">IF(DT343="要是正",IF(AND(BY343="予定",DS343=2),1,IF(BY343="改善済",2,"")),"")</f>
        <v/>
      </c>
      <c r="EE343" s="227" t="str">
        <f t="shared" ref="EE343:EE347" si="204">IF(ED343=1,EC343,"0")</f>
        <v>0</v>
      </c>
      <c r="EF343" s="598" t="str">
        <f t="shared" ref="EF343:EF347" si="205">IF(AND(DT343="要是正",AND(DS343=0,BY343="未定")),BY343,"")</f>
        <v/>
      </c>
      <c r="EG343" s="204" t="str">
        <f t="shared" si="153"/>
        <v/>
      </c>
      <c r="EH343" s="134" t="str">
        <f t="shared" si="154"/>
        <v>0</v>
      </c>
      <c r="EI343" s="148" t="str">
        <f t="shared" ref="EI343:EI347" si="206">IF(DT343="既存不適格",IF(AND(BY343="予定",DS343=2),1,IF(BY343="改善済",2,"")),"")</f>
        <v/>
      </c>
      <c r="EJ343" s="227" t="str">
        <f t="shared" ref="EJ343:EJ347" si="207">IF(EI343=1,EH343,"0")</f>
        <v>0</v>
      </c>
      <c r="EK343" s="451" t="str">
        <f t="shared" ref="EK343:EK347" si="208">IF(AND(DT343="既存不適格",AND(DS343=0,BY343="未定")),BY343,"")</f>
        <v/>
      </c>
      <c r="EL343" s="452" t="e">
        <f t="shared" ref="EL343:EL347" si="209">VLOOKUP($DU343,$EO$306:$ER$334,2,FALSE)</f>
        <v>#N/A</v>
      </c>
      <c r="EM343" s="151" t="e">
        <f t="shared" ref="EM343:EM347" si="210">VLOOKUP($DU343,$EO$306:$ER$334,3,FALSE)</f>
        <v>#N/A</v>
      </c>
      <c r="EN343" s="453" t="e">
        <f t="shared" ref="EN343:EN347" si="211">VLOOKUP($DU343,$EO$306:$ER$334,4,FALSE)</f>
        <v>#N/A</v>
      </c>
      <c r="FK343" s="597" t="str">
        <f t="shared" si="159"/>
        <v/>
      </c>
      <c r="FL343" s="597" t="str">
        <f t="shared" si="71"/>
        <v/>
      </c>
      <c r="FM343" s="597" t="str">
        <f t="shared" si="72"/>
        <v/>
      </c>
      <c r="FN343" s="597">
        <f t="shared" ref="FN343:FN347" si="212">AR343</f>
        <v>0</v>
      </c>
      <c r="FO343" s="1163" t="str">
        <f t="shared" si="161"/>
        <v/>
      </c>
      <c r="FQ343" s="234" t="str">
        <f t="shared" si="162"/>
        <v/>
      </c>
      <c r="FR343" s="227" t="str">
        <f t="shared" si="163"/>
        <v>0</v>
      </c>
      <c r="FS343" s="148" t="str">
        <f t="shared" ref="FS343:FS347" si="213">IF(OR(BY343="予定",BY343="改善済"),1,"")</f>
        <v/>
      </c>
      <c r="FT343" s="227" t="str">
        <f t="shared" ref="FT343:FT347" si="214">IF(FS343=1,FR343,"0")</f>
        <v>0</v>
      </c>
      <c r="FU343" s="416" t="str">
        <f t="shared" ref="FU343:FU347" si="215">IF(AND(DT343="要是正",AND(DS343=0,BY343="未定")),BY343,"")</f>
        <v/>
      </c>
      <c r="FW343" s="1160">
        <f t="shared" ref="FW343:FW347" si="216">IF(AF343="△既存不適格",AT343&amp;"(既存不適格)",AT343)</f>
        <v>0</v>
      </c>
      <c r="FX343" s="123"/>
      <c r="FY343" s="123"/>
      <c r="FZ343" s="1161"/>
      <c r="GA343" s="34"/>
      <c r="GB343" s="123">
        <f t="shared" si="79"/>
        <v>0</v>
      </c>
      <c r="GC343" s="123">
        <f t="shared" si="80"/>
        <v>0</v>
      </c>
      <c r="GD343" s="69">
        <f t="shared" si="81"/>
        <v>0</v>
      </c>
      <c r="GE343" s="1149" t="str">
        <f t="shared" si="165"/>
        <v/>
      </c>
      <c r="GF343" s="1149" t="str">
        <f t="shared" si="166"/>
        <v/>
      </c>
      <c r="GG343" s="1149" t="str">
        <f t="shared" si="167"/>
        <v/>
      </c>
      <c r="GH343" s="1149" t="str">
        <f t="shared" si="168"/>
        <v/>
      </c>
      <c r="GI343" s="1149" t="str">
        <f t="shared" si="169"/>
        <v/>
      </c>
      <c r="GJ343" s="1149" t="str">
        <f t="shared" si="170"/>
        <v/>
      </c>
      <c r="GK343" s="1149" t="str">
        <f t="shared" si="171"/>
        <v/>
      </c>
      <c r="GL343" s="1149" t="str">
        <f t="shared" si="172"/>
        <v/>
      </c>
      <c r="GM343" s="1149" t="str">
        <f t="shared" si="173"/>
        <v/>
      </c>
      <c r="GN343" s="1149" t="str">
        <f t="shared" si="174"/>
        <v/>
      </c>
      <c r="GO343" s="1149" t="str">
        <f t="shared" si="175"/>
        <v/>
      </c>
      <c r="GP343" s="1149" t="str">
        <f t="shared" si="176"/>
        <v/>
      </c>
      <c r="GQ343" s="1149" t="str">
        <f t="shared" si="177"/>
        <v/>
      </c>
      <c r="GR343" s="1149" t="str">
        <f t="shared" si="178"/>
        <v/>
      </c>
      <c r="GS343" s="1149" t="str">
        <f t="shared" si="179"/>
        <v/>
      </c>
      <c r="GT343" s="1149">
        <f t="shared" si="82"/>
        <v>0</v>
      </c>
      <c r="GU343" s="1149">
        <f t="shared" si="83"/>
        <v>0</v>
      </c>
      <c r="GV343" s="1149">
        <f t="shared" si="84"/>
        <v>0</v>
      </c>
      <c r="GW343" s="1149" t="b">
        <f t="shared" si="85"/>
        <v>0</v>
      </c>
      <c r="GX343" s="1149" t="b">
        <f t="shared" si="86"/>
        <v>0</v>
      </c>
      <c r="GY343" s="1149" t="b">
        <f t="shared" si="87"/>
        <v>0</v>
      </c>
      <c r="GZ343" s="1149" t="str">
        <f t="shared" si="180"/>
        <v/>
      </c>
      <c r="HB343" s="1149" t="str">
        <f t="shared" si="89"/>
        <v/>
      </c>
      <c r="HC343" s="1149" t="str">
        <f t="shared" si="90"/>
        <v/>
      </c>
      <c r="HD343" s="1149" t="str">
        <f t="shared" si="91"/>
        <v/>
      </c>
      <c r="HE343" s="1149" t="str">
        <f t="shared" si="92"/>
        <v/>
      </c>
      <c r="HF343" s="1149" t="str">
        <f t="shared" si="93"/>
        <v/>
      </c>
      <c r="HG343" s="1149" t="str">
        <f t="shared" si="94"/>
        <v/>
      </c>
      <c r="HH343" s="1149" t="str">
        <f t="shared" si="95"/>
        <v/>
      </c>
      <c r="HI343" s="1149" t="str">
        <f t="shared" si="96"/>
        <v/>
      </c>
      <c r="HJ343" s="1149" t="str">
        <f t="shared" si="97"/>
        <v/>
      </c>
      <c r="HK343" s="1149" t="str">
        <f t="shared" si="98"/>
        <v/>
      </c>
      <c r="HL343" s="1149" t="str">
        <f t="shared" si="99"/>
        <v/>
      </c>
      <c r="HM343" s="1149" t="str">
        <f t="shared" si="100"/>
        <v/>
      </c>
      <c r="HN343" s="1149" t="str">
        <f t="shared" si="101"/>
        <v/>
      </c>
      <c r="HO343" s="1149" t="str">
        <f t="shared" si="102"/>
        <v/>
      </c>
      <c r="HP343" s="1149" t="str">
        <f t="shared" si="103"/>
        <v/>
      </c>
      <c r="HQ343" s="1149" t="str">
        <f t="shared" si="104"/>
        <v/>
      </c>
      <c r="HR343" s="1149" t="str">
        <f t="shared" si="105"/>
        <v/>
      </c>
      <c r="HT343" s="1149">
        <f>LEFT(M343,1)*10000+MID(M343,3,LEN(M343)-3)*100+COUNTIF($M$307:M343,M343)</f>
        <v>21901</v>
      </c>
      <c r="HU343" s="1149" t="str">
        <f t="shared" si="106"/>
        <v/>
      </c>
      <c r="HV343" s="1149" t="str">
        <f t="shared" si="107"/>
        <v/>
      </c>
      <c r="HW343" s="1149" t="str">
        <f t="shared" si="108"/>
        <v/>
      </c>
      <c r="HX343" s="1149" t="str">
        <f t="shared" si="109"/>
        <v/>
      </c>
    </row>
    <row r="344" spans="1:232" s="69" customFormat="1" ht="50.15" hidden="1" customHeight="1" thickBot="1">
      <c r="A344" s="645"/>
      <c r="B344" s="645"/>
      <c r="C344" s="645"/>
      <c r="D344" s="645"/>
      <c r="E344" s="646"/>
      <c r="F344" s="381"/>
      <c r="G344" s="381"/>
      <c r="H344" s="381"/>
      <c r="J344" s="80"/>
      <c r="K344" s="89"/>
      <c r="L344" s="89"/>
      <c r="M344" s="1963" t="s">
        <v>2567</v>
      </c>
      <c r="N344" s="1963"/>
      <c r="O344" s="1963"/>
      <c r="P344" s="2100"/>
      <c r="Q344" s="2100"/>
      <c r="R344" s="2029"/>
      <c r="S344" s="2029"/>
      <c r="T344" s="2029"/>
      <c r="U344" s="1899"/>
      <c r="V344" s="1899"/>
      <c r="W344" s="1899"/>
      <c r="X344" s="1899"/>
      <c r="Y344" s="1899"/>
      <c r="Z344" s="1899"/>
      <c r="AA344" s="1899"/>
      <c r="AB344" s="1899"/>
      <c r="AC344" s="1899"/>
      <c r="AD344" s="1899"/>
      <c r="AE344" s="1899"/>
      <c r="AF344" s="1898"/>
      <c r="AG344" s="1898"/>
      <c r="AH344" s="1898"/>
      <c r="AI344" s="1898"/>
      <c r="AJ344" s="1898"/>
      <c r="AK344" s="1898"/>
      <c r="AL344" s="1898"/>
      <c r="AM344" s="1898"/>
      <c r="AN344" s="1898"/>
      <c r="AO344" s="1898"/>
      <c r="AP344" s="1898"/>
      <c r="AQ344" s="1898"/>
      <c r="AR344" s="1910"/>
      <c r="AS344" s="1910"/>
      <c r="AT344" s="1993"/>
      <c r="AU344" s="1993"/>
      <c r="AV344" s="1993"/>
      <c r="AW344" s="1993"/>
      <c r="AX344" s="1993"/>
      <c r="AY344" s="1993"/>
      <c r="AZ344" s="1993"/>
      <c r="BA344" s="1993"/>
      <c r="BB344" s="1993"/>
      <c r="BC344" s="1993"/>
      <c r="BD344" s="1993"/>
      <c r="BE344" s="1993"/>
      <c r="BF344" s="1993"/>
      <c r="BG344" s="1993"/>
      <c r="BH344" s="1993"/>
      <c r="BI344" s="1993"/>
      <c r="BJ344" s="1993"/>
      <c r="BK344" s="1993"/>
      <c r="BL344" s="1993"/>
      <c r="BM344" s="1993"/>
      <c r="BN344" s="1993"/>
      <c r="BO344" s="1993"/>
      <c r="BP344" s="1993"/>
      <c r="BQ344" s="1993"/>
      <c r="BR344" s="1993"/>
      <c r="BS344" s="1895"/>
      <c r="BT344" s="1895"/>
      <c r="BU344" s="1895"/>
      <c r="BV344" s="1889"/>
      <c r="BW344" s="1889"/>
      <c r="BX344" s="1889"/>
      <c r="BY344" s="1889"/>
      <c r="BZ344" s="1896"/>
      <c r="CA344" s="1896"/>
      <c r="CB344" s="1886"/>
      <c r="CC344" s="1887"/>
      <c r="CD344" s="1887"/>
      <c r="CE344" s="1887"/>
      <c r="CF344" s="1887"/>
      <c r="CG344" s="1887"/>
      <c r="CH344" s="1887"/>
      <c r="CI344" s="1887"/>
      <c r="CJ344" s="1887"/>
      <c r="CK344" s="1887"/>
      <c r="CL344" s="1887"/>
      <c r="CM344" s="1887"/>
      <c r="CN344" s="1887"/>
      <c r="CO344" s="1887"/>
      <c r="CP344" s="1887"/>
      <c r="CQ344" s="1887"/>
      <c r="CR344" s="1887"/>
      <c r="CS344" s="1887"/>
      <c r="CT344" s="1887"/>
      <c r="CU344" s="1888"/>
      <c r="CV344" s="2360" t="str">
        <f t="shared" si="192"/>
        <v/>
      </c>
      <c r="CW344" s="2360"/>
      <c r="CX344" s="2360"/>
      <c r="CY344" s="2360"/>
      <c r="CZ344" s="2360"/>
      <c r="DA344" s="2360"/>
      <c r="DC344" s="600" t="str">
        <f t="shared" si="193"/>
        <v/>
      </c>
      <c r="DD344" s="381"/>
      <c r="DF344" s="34"/>
      <c r="DG344" s="34"/>
      <c r="DH344" s="34"/>
      <c r="DI344" s="34"/>
      <c r="DJ344" s="858" t="s">
        <v>5637</v>
      </c>
      <c r="DK344" s="1707" t="str">
        <f t="shared" si="182"/>
        <v/>
      </c>
      <c r="DL344" s="1692" t="str">
        <f t="shared" si="183"/>
        <v/>
      </c>
      <c r="DM344" s="1694">
        <f t="shared" si="139"/>
        <v>0</v>
      </c>
      <c r="DN344" s="476">
        <f t="shared" si="194"/>
        <v>0</v>
      </c>
      <c r="DO344" s="476">
        <f t="shared" si="195"/>
        <v>0</v>
      </c>
      <c r="DP344" s="477">
        <f t="shared" si="196"/>
        <v>0</v>
      </c>
      <c r="DQ344" s="116" t="s">
        <v>2606</v>
      </c>
      <c r="DR344" s="475">
        <f t="shared" si="197"/>
        <v>0</v>
      </c>
      <c r="DS344" s="221">
        <f t="shared" si="198"/>
        <v>0</v>
      </c>
      <c r="DT344" s="480" t="str">
        <f t="shared" si="199"/>
        <v/>
      </c>
      <c r="DU344" s="232" t="str">
        <f t="shared" si="145"/>
        <v/>
      </c>
      <c r="DV344" s="233" t="str">
        <f>IF($DT344="要是正",MAX($DV$321:DV343)+1,"")</f>
        <v/>
      </c>
      <c r="DW344" s="486" t="str">
        <f t="shared" si="200"/>
        <v/>
      </c>
      <c r="DX344" s="532" t="str">
        <f t="shared" si="184"/>
        <v/>
      </c>
      <c r="DY344" s="533" t="str">
        <f t="shared" si="201"/>
        <v/>
      </c>
      <c r="DZ344" s="534" t="str">
        <f t="shared" si="202"/>
        <v/>
      </c>
      <c r="EA344" s="397" t="str">
        <f t="shared" si="149"/>
        <v/>
      </c>
      <c r="EB344" s="234" t="str">
        <f t="shared" si="150"/>
        <v/>
      </c>
      <c r="EC344" s="227" t="str">
        <f t="shared" si="151"/>
        <v>0</v>
      </c>
      <c r="ED344" s="148" t="str">
        <f t="shared" si="203"/>
        <v/>
      </c>
      <c r="EE344" s="227" t="str">
        <f t="shared" si="204"/>
        <v>0</v>
      </c>
      <c r="EF344" s="598" t="str">
        <f t="shared" si="205"/>
        <v/>
      </c>
      <c r="EG344" s="204" t="str">
        <f t="shared" si="153"/>
        <v/>
      </c>
      <c r="EH344" s="134" t="str">
        <f t="shared" si="154"/>
        <v>0</v>
      </c>
      <c r="EI344" s="148" t="str">
        <f t="shared" si="206"/>
        <v/>
      </c>
      <c r="EJ344" s="227" t="str">
        <f t="shared" si="207"/>
        <v>0</v>
      </c>
      <c r="EK344" s="451" t="str">
        <f t="shared" si="208"/>
        <v/>
      </c>
      <c r="EL344" s="452" t="e">
        <f t="shared" si="209"/>
        <v>#N/A</v>
      </c>
      <c r="EM344" s="151" t="e">
        <f t="shared" si="210"/>
        <v>#N/A</v>
      </c>
      <c r="EN344" s="453" t="e">
        <f t="shared" si="211"/>
        <v>#N/A</v>
      </c>
      <c r="FK344" s="597" t="str">
        <f t="shared" si="159"/>
        <v/>
      </c>
      <c r="FL344" s="597" t="str">
        <f t="shared" si="71"/>
        <v/>
      </c>
      <c r="FM344" s="597" t="str">
        <f t="shared" si="72"/>
        <v/>
      </c>
      <c r="FN344" s="597">
        <f t="shared" si="212"/>
        <v>0</v>
      </c>
      <c r="FO344" s="1163" t="str">
        <f t="shared" si="161"/>
        <v/>
      </c>
      <c r="FQ344" s="234" t="str">
        <f t="shared" si="162"/>
        <v/>
      </c>
      <c r="FR344" s="227" t="str">
        <f t="shared" si="163"/>
        <v>0</v>
      </c>
      <c r="FS344" s="148" t="str">
        <f t="shared" si="213"/>
        <v/>
      </c>
      <c r="FT344" s="227" t="str">
        <f t="shared" si="214"/>
        <v>0</v>
      </c>
      <c r="FU344" s="416" t="str">
        <f t="shared" si="215"/>
        <v/>
      </c>
      <c r="FW344" s="1160">
        <f t="shared" si="216"/>
        <v>0</v>
      </c>
      <c r="FX344" s="123"/>
      <c r="FY344" s="123"/>
      <c r="FZ344" s="1161"/>
      <c r="GA344" s="34"/>
      <c r="GB344" s="123">
        <f t="shared" si="79"/>
        <v>0</v>
      </c>
      <c r="GC344" s="123">
        <f t="shared" si="80"/>
        <v>0</v>
      </c>
      <c r="GD344" s="69">
        <f t="shared" si="81"/>
        <v>0</v>
      </c>
      <c r="GE344" s="1149" t="str">
        <f t="shared" si="165"/>
        <v/>
      </c>
      <c r="GF344" s="1149" t="str">
        <f t="shared" si="166"/>
        <v/>
      </c>
      <c r="GG344" s="1149" t="str">
        <f t="shared" si="167"/>
        <v/>
      </c>
      <c r="GH344" s="1149" t="str">
        <f t="shared" si="168"/>
        <v/>
      </c>
      <c r="GI344" s="1149" t="str">
        <f t="shared" si="169"/>
        <v/>
      </c>
      <c r="GJ344" s="1149" t="str">
        <f t="shared" si="170"/>
        <v/>
      </c>
      <c r="GK344" s="1149" t="str">
        <f t="shared" si="171"/>
        <v/>
      </c>
      <c r="GL344" s="1149" t="str">
        <f t="shared" si="172"/>
        <v/>
      </c>
      <c r="GM344" s="1149" t="str">
        <f t="shared" si="173"/>
        <v/>
      </c>
      <c r="GN344" s="1149" t="str">
        <f t="shared" si="174"/>
        <v/>
      </c>
      <c r="GO344" s="1149" t="str">
        <f t="shared" si="175"/>
        <v/>
      </c>
      <c r="GP344" s="1149" t="str">
        <f t="shared" si="176"/>
        <v/>
      </c>
      <c r="GQ344" s="1149" t="str">
        <f t="shared" si="177"/>
        <v/>
      </c>
      <c r="GR344" s="1149" t="str">
        <f t="shared" si="178"/>
        <v/>
      </c>
      <c r="GS344" s="1149" t="str">
        <f t="shared" si="179"/>
        <v/>
      </c>
      <c r="GT344" s="1149">
        <f t="shared" si="82"/>
        <v>0</v>
      </c>
      <c r="GU344" s="1149">
        <f t="shared" si="83"/>
        <v>0</v>
      </c>
      <c r="GV344" s="1149">
        <f t="shared" si="84"/>
        <v>0</v>
      </c>
      <c r="GW344" s="1149" t="b">
        <f t="shared" si="85"/>
        <v>0</v>
      </c>
      <c r="GX344" s="1149" t="b">
        <f t="shared" si="86"/>
        <v>0</v>
      </c>
      <c r="GY344" s="1149" t="b">
        <f t="shared" si="87"/>
        <v>0</v>
      </c>
      <c r="GZ344" s="1149" t="str">
        <f t="shared" si="180"/>
        <v/>
      </c>
      <c r="HB344" s="1149" t="str">
        <f t="shared" si="89"/>
        <v/>
      </c>
      <c r="HC344" s="1149" t="str">
        <f t="shared" si="90"/>
        <v/>
      </c>
      <c r="HD344" s="1149" t="str">
        <f t="shared" si="91"/>
        <v/>
      </c>
      <c r="HE344" s="1149" t="str">
        <f t="shared" si="92"/>
        <v/>
      </c>
      <c r="HF344" s="1149" t="str">
        <f t="shared" si="93"/>
        <v/>
      </c>
      <c r="HG344" s="1149" t="str">
        <f t="shared" si="94"/>
        <v/>
      </c>
      <c r="HH344" s="1149" t="str">
        <f t="shared" si="95"/>
        <v/>
      </c>
      <c r="HI344" s="1149" t="str">
        <f t="shared" si="96"/>
        <v/>
      </c>
      <c r="HJ344" s="1149" t="str">
        <f t="shared" si="97"/>
        <v/>
      </c>
      <c r="HK344" s="1149" t="str">
        <f t="shared" si="98"/>
        <v/>
      </c>
      <c r="HL344" s="1149" t="str">
        <f t="shared" si="99"/>
        <v/>
      </c>
      <c r="HM344" s="1149" t="str">
        <f t="shared" si="100"/>
        <v/>
      </c>
      <c r="HN344" s="1149" t="str">
        <f t="shared" si="101"/>
        <v/>
      </c>
      <c r="HO344" s="1149" t="str">
        <f t="shared" si="102"/>
        <v/>
      </c>
      <c r="HP344" s="1149" t="str">
        <f t="shared" si="103"/>
        <v/>
      </c>
      <c r="HQ344" s="1149" t="str">
        <f t="shared" si="104"/>
        <v/>
      </c>
      <c r="HR344" s="1149" t="str">
        <f t="shared" si="105"/>
        <v/>
      </c>
      <c r="HT344" s="1149">
        <f>LEFT(M344,1)*10000+MID(M344,3,LEN(M344)-3)*100+COUNTIF($M$307:M344,M344)</f>
        <v>20001</v>
      </c>
      <c r="HU344" s="1149" t="str">
        <f t="shared" si="106"/>
        <v/>
      </c>
      <c r="HV344" s="1149" t="str">
        <f t="shared" si="107"/>
        <v/>
      </c>
      <c r="HW344" s="1149" t="str">
        <f t="shared" si="108"/>
        <v/>
      </c>
      <c r="HX344" s="1149" t="str">
        <f t="shared" si="109"/>
        <v/>
      </c>
    </row>
    <row r="345" spans="1:232" s="69" customFormat="1" ht="50.15" hidden="1" customHeight="1" thickBot="1">
      <c r="A345" s="645"/>
      <c r="B345" s="645"/>
      <c r="C345" s="645"/>
      <c r="D345" s="645"/>
      <c r="E345" s="646"/>
      <c r="F345" s="381"/>
      <c r="G345" s="381"/>
      <c r="H345" s="381"/>
      <c r="J345" s="80"/>
      <c r="K345" s="89"/>
      <c r="L345" s="89"/>
      <c r="M345" s="1963" t="s">
        <v>2568</v>
      </c>
      <c r="N345" s="1963"/>
      <c r="O345" s="1963"/>
      <c r="P345" s="2100"/>
      <c r="Q345" s="2100"/>
      <c r="R345" s="2029"/>
      <c r="S345" s="2029"/>
      <c r="T345" s="2029"/>
      <c r="U345" s="1899"/>
      <c r="V345" s="1899"/>
      <c r="W345" s="1899"/>
      <c r="X345" s="1899"/>
      <c r="Y345" s="1899"/>
      <c r="Z345" s="1899"/>
      <c r="AA345" s="1899"/>
      <c r="AB345" s="1899"/>
      <c r="AC345" s="1899"/>
      <c r="AD345" s="1899"/>
      <c r="AE345" s="1899"/>
      <c r="AF345" s="1898"/>
      <c r="AG345" s="1898"/>
      <c r="AH345" s="1898"/>
      <c r="AI345" s="1898"/>
      <c r="AJ345" s="1898"/>
      <c r="AK345" s="1898"/>
      <c r="AL345" s="1898"/>
      <c r="AM345" s="1898"/>
      <c r="AN345" s="1898"/>
      <c r="AO345" s="1898"/>
      <c r="AP345" s="1898"/>
      <c r="AQ345" s="1898"/>
      <c r="AR345" s="1910"/>
      <c r="AS345" s="1910"/>
      <c r="AT345" s="1993"/>
      <c r="AU345" s="1993"/>
      <c r="AV345" s="1993"/>
      <c r="AW345" s="1993"/>
      <c r="AX345" s="1993"/>
      <c r="AY345" s="1993"/>
      <c r="AZ345" s="1993"/>
      <c r="BA345" s="1993"/>
      <c r="BB345" s="1993"/>
      <c r="BC345" s="1993"/>
      <c r="BD345" s="1993"/>
      <c r="BE345" s="1993"/>
      <c r="BF345" s="1993"/>
      <c r="BG345" s="1993"/>
      <c r="BH345" s="1993"/>
      <c r="BI345" s="1993"/>
      <c r="BJ345" s="1993"/>
      <c r="BK345" s="1993"/>
      <c r="BL345" s="1993"/>
      <c r="BM345" s="1993"/>
      <c r="BN345" s="1993"/>
      <c r="BO345" s="1993"/>
      <c r="BP345" s="1993"/>
      <c r="BQ345" s="1993"/>
      <c r="BR345" s="1993"/>
      <c r="BS345" s="1895"/>
      <c r="BT345" s="1895"/>
      <c r="BU345" s="1895"/>
      <c r="BV345" s="1889"/>
      <c r="BW345" s="1889"/>
      <c r="BX345" s="1889"/>
      <c r="BY345" s="1889"/>
      <c r="BZ345" s="1896"/>
      <c r="CA345" s="1896"/>
      <c r="CB345" s="1886"/>
      <c r="CC345" s="1887"/>
      <c r="CD345" s="1887"/>
      <c r="CE345" s="1887"/>
      <c r="CF345" s="1887"/>
      <c r="CG345" s="1887"/>
      <c r="CH345" s="1887"/>
      <c r="CI345" s="1887"/>
      <c r="CJ345" s="1887"/>
      <c r="CK345" s="1887"/>
      <c r="CL345" s="1887"/>
      <c r="CM345" s="1887"/>
      <c r="CN345" s="1887"/>
      <c r="CO345" s="1887"/>
      <c r="CP345" s="1887"/>
      <c r="CQ345" s="1887"/>
      <c r="CR345" s="1887"/>
      <c r="CS345" s="1887"/>
      <c r="CT345" s="1887"/>
      <c r="CU345" s="1888"/>
      <c r="CV345" s="2360" t="str">
        <f t="shared" si="192"/>
        <v/>
      </c>
      <c r="CW345" s="2360"/>
      <c r="CX345" s="2360"/>
      <c r="CY345" s="2360"/>
      <c r="CZ345" s="2360"/>
      <c r="DA345" s="2360"/>
      <c r="DC345" s="600" t="str">
        <f t="shared" si="193"/>
        <v/>
      </c>
      <c r="DD345" s="381"/>
      <c r="DF345" s="34"/>
      <c r="DG345" s="34"/>
      <c r="DH345" s="34"/>
      <c r="DI345" s="34"/>
      <c r="DJ345" s="858" t="s">
        <v>5637</v>
      </c>
      <c r="DK345" s="1707" t="str">
        <f t="shared" si="182"/>
        <v/>
      </c>
      <c r="DL345" s="1692" t="str">
        <f t="shared" si="183"/>
        <v/>
      </c>
      <c r="DM345" s="1694">
        <f t="shared" si="139"/>
        <v>0</v>
      </c>
      <c r="DN345" s="476">
        <f t="shared" si="194"/>
        <v>0</v>
      </c>
      <c r="DO345" s="476">
        <f t="shared" si="195"/>
        <v>0</v>
      </c>
      <c r="DP345" s="477">
        <f t="shared" si="196"/>
        <v>0</v>
      </c>
      <c r="DQ345" s="116" t="s">
        <v>2568</v>
      </c>
      <c r="DR345" s="475">
        <f t="shared" si="197"/>
        <v>0</v>
      </c>
      <c r="DS345" s="221">
        <f t="shared" si="198"/>
        <v>0</v>
      </c>
      <c r="DT345" s="480" t="str">
        <f t="shared" si="199"/>
        <v/>
      </c>
      <c r="DU345" s="232" t="str">
        <f t="shared" si="145"/>
        <v/>
      </c>
      <c r="DV345" s="233" t="str">
        <f>IF($DT345="要是正",MAX($DV$321:DV344)+1,"")</f>
        <v/>
      </c>
      <c r="DW345" s="486" t="str">
        <f t="shared" si="200"/>
        <v/>
      </c>
      <c r="DX345" s="532" t="str">
        <f t="shared" si="184"/>
        <v/>
      </c>
      <c r="DY345" s="533" t="str">
        <f t="shared" si="201"/>
        <v/>
      </c>
      <c r="DZ345" s="534" t="str">
        <f t="shared" si="202"/>
        <v/>
      </c>
      <c r="EA345" s="397" t="str">
        <f t="shared" si="149"/>
        <v/>
      </c>
      <c r="EB345" s="234" t="str">
        <f t="shared" si="150"/>
        <v/>
      </c>
      <c r="EC345" s="227" t="str">
        <f t="shared" si="151"/>
        <v>0</v>
      </c>
      <c r="ED345" s="148" t="str">
        <f t="shared" si="203"/>
        <v/>
      </c>
      <c r="EE345" s="227" t="str">
        <f t="shared" si="204"/>
        <v>0</v>
      </c>
      <c r="EF345" s="598" t="str">
        <f t="shared" si="205"/>
        <v/>
      </c>
      <c r="EG345" s="204" t="str">
        <f t="shared" si="153"/>
        <v/>
      </c>
      <c r="EH345" s="134" t="str">
        <f t="shared" si="154"/>
        <v>0</v>
      </c>
      <c r="EI345" s="148" t="str">
        <f t="shared" si="206"/>
        <v/>
      </c>
      <c r="EJ345" s="227" t="str">
        <f t="shared" si="207"/>
        <v>0</v>
      </c>
      <c r="EK345" s="451" t="str">
        <f t="shared" si="208"/>
        <v/>
      </c>
      <c r="EL345" s="452" t="e">
        <f t="shared" si="209"/>
        <v>#N/A</v>
      </c>
      <c r="EM345" s="151" t="e">
        <f t="shared" si="210"/>
        <v>#N/A</v>
      </c>
      <c r="EN345" s="453" t="e">
        <f t="shared" si="211"/>
        <v>#N/A</v>
      </c>
      <c r="FK345" s="597" t="str">
        <f t="shared" si="159"/>
        <v/>
      </c>
      <c r="FL345" s="597" t="str">
        <f t="shared" si="71"/>
        <v/>
      </c>
      <c r="FM345" s="597" t="str">
        <f t="shared" si="72"/>
        <v/>
      </c>
      <c r="FN345" s="597">
        <f t="shared" si="212"/>
        <v>0</v>
      </c>
      <c r="FO345" s="1163" t="str">
        <f t="shared" si="161"/>
        <v/>
      </c>
      <c r="FQ345" s="234" t="str">
        <f t="shared" si="162"/>
        <v/>
      </c>
      <c r="FR345" s="227" t="str">
        <f t="shared" si="163"/>
        <v>0</v>
      </c>
      <c r="FS345" s="148" t="str">
        <f t="shared" si="213"/>
        <v/>
      </c>
      <c r="FT345" s="227" t="str">
        <f t="shared" si="214"/>
        <v>0</v>
      </c>
      <c r="FU345" s="416" t="str">
        <f t="shared" si="215"/>
        <v/>
      </c>
      <c r="FW345" s="1160">
        <f t="shared" si="216"/>
        <v>0</v>
      </c>
      <c r="FX345" s="123"/>
      <c r="FY345" s="123"/>
      <c r="FZ345" s="1161"/>
      <c r="GA345" s="34"/>
      <c r="GB345" s="123">
        <f t="shared" si="79"/>
        <v>0</v>
      </c>
      <c r="GC345" s="123">
        <f t="shared" si="80"/>
        <v>0</v>
      </c>
      <c r="GD345" s="69">
        <f t="shared" si="81"/>
        <v>0</v>
      </c>
      <c r="GE345" s="1149" t="str">
        <f t="shared" si="165"/>
        <v/>
      </c>
      <c r="GF345" s="1149" t="str">
        <f t="shared" si="166"/>
        <v/>
      </c>
      <c r="GG345" s="1149" t="str">
        <f t="shared" si="167"/>
        <v/>
      </c>
      <c r="GH345" s="1149" t="str">
        <f t="shared" si="168"/>
        <v/>
      </c>
      <c r="GI345" s="1149" t="str">
        <f t="shared" si="169"/>
        <v/>
      </c>
      <c r="GJ345" s="1149" t="str">
        <f t="shared" si="170"/>
        <v/>
      </c>
      <c r="GK345" s="1149" t="str">
        <f t="shared" si="171"/>
        <v/>
      </c>
      <c r="GL345" s="1149" t="str">
        <f t="shared" si="172"/>
        <v/>
      </c>
      <c r="GM345" s="1149" t="str">
        <f t="shared" si="173"/>
        <v/>
      </c>
      <c r="GN345" s="1149" t="str">
        <f t="shared" si="174"/>
        <v/>
      </c>
      <c r="GO345" s="1149" t="str">
        <f t="shared" si="175"/>
        <v/>
      </c>
      <c r="GP345" s="1149" t="str">
        <f t="shared" si="176"/>
        <v/>
      </c>
      <c r="GQ345" s="1149" t="str">
        <f t="shared" si="177"/>
        <v/>
      </c>
      <c r="GR345" s="1149" t="str">
        <f t="shared" si="178"/>
        <v/>
      </c>
      <c r="GS345" s="1149" t="str">
        <f t="shared" si="179"/>
        <v/>
      </c>
      <c r="GT345" s="1149">
        <f t="shared" si="82"/>
        <v>0</v>
      </c>
      <c r="GU345" s="1149">
        <f t="shared" si="83"/>
        <v>0</v>
      </c>
      <c r="GV345" s="1149">
        <f t="shared" si="84"/>
        <v>0</v>
      </c>
      <c r="GW345" s="1149" t="b">
        <f t="shared" si="85"/>
        <v>0</v>
      </c>
      <c r="GX345" s="1149" t="b">
        <f t="shared" si="86"/>
        <v>0</v>
      </c>
      <c r="GY345" s="1149" t="b">
        <f t="shared" si="87"/>
        <v>0</v>
      </c>
      <c r="GZ345" s="1149" t="str">
        <f t="shared" si="180"/>
        <v/>
      </c>
      <c r="HB345" s="1149" t="str">
        <f t="shared" si="89"/>
        <v/>
      </c>
      <c r="HC345" s="1149" t="str">
        <f t="shared" si="90"/>
        <v/>
      </c>
      <c r="HD345" s="1149" t="str">
        <f t="shared" si="91"/>
        <v/>
      </c>
      <c r="HE345" s="1149" t="str">
        <f t="shared" si="92"/>
        <v/>
      </c>
      <c r="HF345" s="1149" t="str">
        <f t="shared" si="93"/>
        <v/>
      </c>
      <c r="HG345" s="1149" t="str">
        <f t="shared" si="94"/>
        <v/>
      </c>
      <c r="HH345" s="1149" t="str">
        <f t="shared" si="95"/>
        <v/>
      </c>
      <c r="HI345" s="1149" t="str">
        <f t="shared" si="96"/>
        <v/>
      </c>
      <c r="HJ345" s="1149" t="str">
        <f t="shared" si="97"/>
        <v/>
      </c>
      <c r="HK345" s="1149" t="str">
        <f t="shared" si="98"/>
        <v/>
      </c>
      <c r="HL345" s="1149" t="str">
        <f t="shared" si="99"/>
        <v/>
      </c>
      <c r="HM345" s="1149" t="str">
        <f t="shared" si="100"/>
        <v/>
      </c>
      <c r="HN345" s="1149" t="str">
        <f t="shared" si="101"/>
        <v/>
      </c>
      <c r="HO345" s="1149" t="str">
        <f t="shared" si="102"/>
        <v/>
      </c>
      <c r="HP345" s="1149" t="str">
        <f t="shared" si="103"/>
        <v/>
      </c>
      <c r="HQ345" s="1149" t="str">
        <f t="shared" si="104"/>
        <v/>
      </c>
      <c r="HR345" s="1149" t="str">
        <f t="shared" si="105"/>
        <v/>
      </c>
      <c r="HT345" s="1149">
        <f>LEFT(M345,1)*10000+MID(M345,3,LEN(M345)-3)*100+COUNTIF($M$307:M345,M345)</f>
        <v>22101</v>
      </c>
      <c r="HU345" s="1149" t="str">
        <f t="shared" si="106"/>
        <v/>
      </c>
      <c r="HV345" s="1149" t="str">
        <f t="shared" si="107"/>
        <v/>
      </c>
      <c r="HW345" s="1149" t="str">
        <f t="shared" si="108"/>
        <v/>
      </c>
      <c r="HX345" s="1149" t="str">
        <f t="shared" si="109"/>
        <v/>
      </c>
    </row>
    <row r="346" spans="1:232" s="69" customFormat="1" ht="50.15" hidden="1" customHeight="1" thickBot="1">
      <c r="A346" s="645"/>
      <c r="B346" s="645"/>
      <c r="C346" s="645"/>
      <c r="D346" s="645"/>
      <c r="E346" s="646"/>
      <c r="F346" s="381"/>
      <c r="G346" s="381"/>
      <c r="H346" s="381"/>
      <c r="J346" s="80"/>
      <c r="K346" s="89"/>
      <c r="L346" s="89"/>
      <c r="M346" s="1963" t="s">
        <v>2569</v>
      </c>
      <c r="N346" s="1963"/>
      <c r="O346" s="1963"/>
      <c r="P346" s="2100"/>
      <c r="Q346" s="2100"/>
      <c r="R346" s="2029"/>
      <c r="S346" s="2029"/>
      <c r="T346" s="2029"/>
      <c r="U346" s="1899"/>
      <c r="V346" s="1899"/>
      <c r="W346" s="1899"/>
      <c r="X346" s="1899"/>
      <c r="Y346" s="1899"/>
      <c r="Z346" s="1899"/>
      <c r="AA346" s="1899"/>
      <c r="AB346" s="1899"/>
      <c r="AC346" s="1899"/>
      <c r="AD346" s="1899"/>
      <c r="AE346" s="1899"/>
      <c r="AF346" s="1898"/>
      <c r="AG346" s="1898"/>
      <c r="AH346" s="1898"/>
      <c r="AI346" s="1898"/>
      <c r="AJ346" s="1898"/>
      <c r="AK346" s="1898"/>
      <c r="AL346" s="1898"/>
      <c r="AM346" s="1898"/>
      <c r="AN346" s="1898"/>
      <c r="AO346" s="1898"/>
      <c r="AP346" s="1898"/>
      <c r="AQ346" s="1898"/>
      <c r="AR346" s="1910"/>
      <c r="AS346" s="1910"/>
      <c r="AT346" s="1993"/>
      <c r="AU346" s="1993"/>
      <c r="AV346" s="1993"/>
      <c r="AW346" s="1993"/>
      <c r="AX346" s="1993"/>
      <c r="AY346" s="1993"/>
      <c r="AZ346" s="1993"/>
      <c r="BA346" s="1993"/>
      <c r="BB346" s="1993"/>
      <c r="BC346" s="1993"/>
      <c r="BD346" s="1993"/>
      <c r="BE346" s="1993"/>
      <c r="BF346" s="1993"/>
      <c r="BG346" s="1993"/>
      <c r="BH346" s="1993"/>
      <c r="BI346" s="1993"/>
      <c r="BJ346" s="1993"/>
      <c r="BK346" s="1993"/>
      <c r="BL346" s="1993"/>
      <c r="BM346" s="1993"/>
      <c r="BN346" s="1993"/>
      <c r="BO346" s="1993"/>
      <c r="BP346" s="1993"/>
      <c r="BQ346" s="1993"/>
      <c r="BR346" s="1993"/>
      <c r="BS346" s="1895"/>
      <c r="BT346" s="1895"/>
      <c r="BU346" s="1895"/>
      <c r="BV346" s="1889"/>
      <c r="BW346" s="1889"/>
      <c r="BX346" s="1889"/>
      <c r="BY346" s="1889"/>
      <c r="BZ346" s="1896"/>
      <c r="CA346" s="1896"/>
      <c r="CB346" s="1886"/>
      <c r="CC346" s="1887"/>
      <c r="CD346" s="1887"/>
      <c r="CE346" s="1887"/>
      <c r="CF346" s="1887"/>
      <c r="CG346" s="1887"/>
      <c r="CH346" s="1887"/>
      <c r="CI346" s="1887"/>
      <c r="CJ346" s="1887"/>
      <c r="CK346" s="1887"/>
      <c r="CL346" s="1887"/>
      <c r="CM346" s="1887"/>
      <c r="CN346" s="1887"/>
      <c r="CO346" s="1887"/>
      <c r="CP346" s="1887"/>
      <c r="CQ346" s="1887"/>
      <c r="CR346" s="1887"/>
      <c r="CS346" s="1887"/>
      <c r="CT346" s="1887"/>
      <c r="CU346" s="1888"/>
      <c r="CV346" s="2360" t="str">
        <f t="shared" si="192"/>
        <v/>
      </c>
      <c r="CW346" s="2360"/>
      <c r="CX346" s="2360"/>
      <c r="CY346" s="2360"/>
      <c r="CZ346" s="2360"/>
      <c r="DA346" s="2360"/>
      <c r="DC346" s="600" t="str">
        <f t="shared" si="193"/>
        <v/>
      </c>
      <c r="DD346" s="381"/>
      <c r="DF346" s="34"/>
      <c r="DG346" s="34"/>
      <c r="DH346" s="34"/>
      <c r="DI346" s="34"/>
      <c r="DJ346" s="858" t="s">
        <v>5637</v>
      </c>
      <c r="DK346" s="1707" t="str">
        <f t="shared" si="182"/>
        <v/>
      </c>
      <c r="DL346" s="1692" t="str">
        <f t="shared" si="183"/>
        <v/>
      </c>
      <c r="DM346" s="1694">
        <f t="shared" si="139"/>
        <v>0</v>
      </c>
      <c r="DN346" s="476">
        <f t="shared" si="194"/>
        <v>0</v>
      </c>
      <c r="DO346" s="476">
        <f t="shared" si="195"/>
        <v>0</v>
      </c>
      <c r="DP346" s="477">
        <f t="shared" si="196"/>
        <v>0</v>
      </c>
      <c r="DQ346" s="116" t="s">
        <v>2569</v>
      </c>
      <c r="DR346" s="475">
        <f t="shared" si="197"/>
        <v>0</v>
      </c>
      <c r="DS346" s="221">
        <f t="shared" si="198"/>
        <v>0</v>
      </c>
      <c r="DT346" s="480" t="str">
        <f t="shared" si="199"/>
        <v/>
      </c>
      <c r="DU346" s="232" t="str">
        <f t="shared" si="145"/>
        <v/>
      </c>
      <c r="DV346" s="233" t="str">
        <f>IF($DT346="要是正",MAX($DV$321:DV345)+1,"")</f>
        <v/>
      </c>
      <c r="DW346" s="486" t="str">
        <f t="shared" si="200"/>
        <v/>
      </c>
      <c r="DX346" s="532" t="str">
        <f t="shared" si="184"/>
        <v/>
      </c>
      <c r="DY346" s="533" t="str">
        <f t="shared" si="201"/>
        <v/>
      </c>
      <c r="DZ346" s="534" t="str">
        <f t="shared" si="202"/>
        <v/>
      </c>
      <c r="EA346" s="397" t="str">
        <f t="shared" si="149"/>
        <v/>
      </c>
      <c r="EB346" s="234" t="str">
        <f t="shared" si="150"/>
        <v/>
      </c>
      <c r="EC346" s="227" t="str">
        <f t="shared" si="151"/>
        <v>0</v>
      </c>
      <c r="ED346" s="148" t="str">
        <f t="shared" si="203"/>
        <v/>
      </c>
      <c r="EE346" s="227" t="str">
        <f t="shared" si="204"/>
        <v>0</v>
      </c>
      <c r="EF346" s="598" t="str">
        <f t="shared" si="205"/>
        <v/>
      </c>
      <c r="EG346" s="204" t="str">
        <f t="shared" si="153"/>
        <v/>
      </c>
      <c r="EH346" s="134" t="str">
        <f t="shared" si="154"/>
        <v>0</v>
      </c>
      <c r="EI346" s="148" t="str">
        <f t="shared" si="206"/>
        <v/>
      </c>
      <c r="EJ346" s="227" t="str">
        <f t="shared" si="207"/>
        <v>0</v>
      </c>
      <c r="EK346" s="451" t="str">
        <f t="shared" si="208"/>
        <v/>
      </c>
      <c r="EL346" s="452" t="e">
        <f t="shared" si="209"/>
        <v>#N/A</v>
      </c>
      <c r="EM346" s="151" t="e">
        <f t="shared" si="210"/>
        <v>#N/A</v>
      </c>
      <c r="EN346" s="453" t="e">
        <f t="shared" si="211"/>
        <v>#N/A</v>
      </c>
      <c r="FK346" s="597" t="str">
        <f t="shared" si="159"/>
        <v/>
      </c>
      <c r="FL346" s="597" t="str">
        <f t="shared" si="71"/>
        <v/>
      </c>
      <c r="FM346" s="597" t="str">
        <f t="shared" si="72"/>
        <v/>
      </c>
      <c r="FN346" s="597">
        <f t="shared" si="212"/>
        <v>0</v>
      </c>
      <c r="FO346" s="1163" t="str">
        <f t="shared" si="161"/>
        <v/>
      </c>
      <c r="FQ346" s="234" t="str">
        <f t="shared" si="162"/>
        <v/>
      </c>
      <c r="FR346" s="227" t="str">
        <f t="shared" si="163"/>
        <v>0</v>
      </c>
      <c r="FS346" s="148" t="str">
        <f t="shared" si="213"/>
        <v/>
      </c>
      <c r="FT346" s="227" t="str">
        <f t="shared" si="214"/>
        <v>0</v>
      </c>
      <c r="FU346" s="416" t="str">
        <f t="shared" si="215"/>
        <v/>
      </c>
      <c r="FW346" s="1160">
        <f t="shared" si="216"/>
        <v>0</v>
      </c>
      <c r="FX346" s="123"/>
      <c r="FY346" s="123"/>
      <c r="FZ346" s="1161"/>
      <c r="GA346" s="34"/>
      <c r="GB346" s="123">
        <f t="shared" si="79"/>
        <v>0</v>
      </c>
      <c r="GC346" s="123">
        <f t="shared" si="80"/>
        <v>0</v>
      </c>
      <c r="GD346" s="69">
        <f t="shared" si="81"/>
        <v>0</v>
      </c>
      <c r="GE346" s="1149" t="str">
        <f t="shared" si="165"/>
        <v/>
      </c>
      <c r="GF346" s="1149" t="str">
        <f t="shared" si="166"/>
        <v/>
      </c>
      <c r="GG346" s="1149" t="str">
        <f t="shared" si="167"/>
        <v/>
      </c>
      <c r="GH346" s="1149" t="str">
        <f t="shared" si="168"/>
        <v/>
      </c>
      <c r="GI346" s="1149" t="str">
        <f t="shared" si="169"/>
        <v/>
      </c>
      <c r="GJ346" s="1149" t="str">
        <f t="shared" si="170"/>
        <v/>
      </c>
      <c r="GK346" s="1149" t="str">
        <f t="shared" si="171"/>
        <v/>
      </c>
      <c r="GL346" s="1149" t="str">
        <f t="shared" si="172"/>
        <v/>
      </c>
      <c r="GM346" s="1149" t="str">
        <f t="shared" si="173"/>
        <v/>
      </c>
      <c r="GN346" s="1149" t="str">
        <f t="shared" si="174"/>
        <v/>
      </c>
      <c r="GO346" s="1149" t="str">
        <f t="shared" si="175"/>
        <v/>
      </c>
      <c r="GP346" s="1149" t="str">
        <f t="shared" si="176"/>
        <v/>
      </c>
      <c r="GQ346" s="1149" t="str">
        <f t="shared" si="177"/>
        <v/>
      </c>
      <c r="GR346" s="1149" t="str">
        <f t="shared" si="178"/>
        <v/>
      </c>
      <c r="GS346" s="1149" t="str">
        <f t="shared" si="179"/>
        <v/>
      </c>
      <c r="GT346" s="1149">
        <f t="shared" si="82"/>
        <v>0</v>
      </c>
      <c r="GU346" s="1149">
        <f t="shared" si="83"/>
        <v>0</v>
      </c>
      <c r="GV346" s="1149">
        <f t="shared" si="84"/>
        <v>0</v>
      </c>
      <c r="GW346" s="1149" t="b">
        <f t="shared" si="85"/>
        <v>0</v>
      </c>
      <c r="GX346" s="1149" t="b">
        <f t="shared" si="86"/>
        <v>0</v>
      </c>
      <c r="GY346" s="1149" t="b">
        <f t="shared" si="87"/>
        <v>0</v>
      </c>
      <c r="GZ346" s="1149" t="str">
        <f t="shared" si="180"/>
        <v/>
      </c>
      <c r="HB346" s="1149" t="str">
        <f t="shared" si="89"/>
        <v/>
      </c>
      <c r="HC346" s="1149" t="str">
        <f t="shared" si="90"/>
        <v/>
      </c>
      <c r="HD346" s="1149" t="str">
        <f t="shared" si="91"/>
        <v/>
      </c>
      <c r="HE346" s="1149" t="str">
        <f t="shared" si="92"/>
        <v/>
      </c>
      <c r="HF346" s="1149" t="str">
        <f t="shared" si="93"/>
        <v/>
      </c>
      <c r="HG346" s="1149" t="str">
        <f t="shared" si="94"/>
        <v/>
      </c>
      <c r="HH346" s="1149" t="str">
        <f t="shared" si="95"/>
        <v/>
      </c>
      <c r="HI346" s="1149" t="str">
        <f t="shared" si="96"/>
        <v/>
      </c>
      <c r="HJ346" s="1149" t="str">
        <f t="shared" si="97"/>
        <v/>
      </c>
      <c r="HK346" s="1149" t="str">
        <f t="shared" si="98"/>
        <v/>
      </c>
      <c r="HL346" s="1149" t="str">
        <f t="shared" si="99"/>
        <v/>
      </c>
      <c r="HM346" s="1149" t="str">
        <f t="shared" si="100"/>
        <v/>
      </c>
      <c r="HN346" s="1149" t="str">
        <f t="shared" si="101"/>
        <v/>
      </c>
      <c r="HO346" s="1149" t="str">
        <f t="shared" si="102"/>
        <v/>
      </c>
      <c r="HP346" s="1149" t="str">
        <f t="shared" si="103"/>
        <v/>
      </c>
      <c r="HQ346" s="1149" t="str">
        <f t="shared" si="104"/>
        <v/>
      </c>
      <c r="HR346" s="1149" t="str">
        <f t="shared" si="105"/>
        <v/>
      </c>
      <c r="HT346" s="1149">
        <f>LEFT(M346,1)*10000+MID(M346,3,LEN(M346)-3)*100+COUNTIF($M$307:M346,M346)</f>
        <v>22201</v>
      </c>
      <c r="HU346" s="1149" t="str">
        <f t="shared" si="106"/>
        <v/>
      </c>
      <c r="HV346" s="1149" t="str">
        <f t="shared" si="107"/>
        <v/>
      </c>
      <c r="HW346" s="1149" t="str">
        <f t="shared" si="108"/>
        <v/>
      </c>
      <c r="HX346" s="1149" t="str">
        <f t="shared" si="109"/>
        <v/>
      </c>
    </row>
    <row r="347" spans="1:232" s="69" customFormat="1" ht="50.15" hidden="1" customHeight="1" thickBot="1">
      <c r="A347" s="645"/>
      <c r="B347" s="645"/>
      <c r="C347" s="645"/>
      <c r="D347" s="645"/>
      <c r="E347" s="646"/>
      <c r="F347" s="381"/>
      <c r="G347" s="381"/>
      <c r="H347" s="381"/>
      <c r="J347" s="80"/>
      <c r="K347" s="89"/>
      <c r="L347" s="89"/>
      <c r="M347" s="1963" t="s">
        <v>2570</v>
      </c>
      <c r="N347" s="1963"/>
      <c r="O347" s="1963"/>
      <c r="P347" s="2101"/>
      <c r="Q347" s="2101"/>
      <c r="R347" s="2028"/>
      <c r="S347" s="2028"/>
      <c r="T347" s="2028"/>
      <c r="U347" s="2029"/>
      <c r="V347" s="2029"/>
      <c r="W347" s="2029"/>
      <c r="X347" s="2029"/>
      <c r="Y347" s="2029"/>
      <c r="Z347" s="2029"/>
      <c r="AA347" s="2029"/>
      <c r="AB347" s="2029"/>
      <c r="AC347" s="2029"/>
      <c r="AD347" s="2029"/>
      <c r="AE347" s="2029"/>
      <c r="AF347" s="2068"/>
      <c r="AG347" s="2068"/>
      <c r="AH347" s="2068"/>
      <c r="AI347" s="2068"/>
      <c r="AJ347" s="2068"/>
      <c r="AK347" s="2068"/>
      <c r="AL347" s="2068"/>
      <c r="AM347" s="2068"/>
      <c r="AN347" s="2068"/>
      <c r="AO347" s="2068"/>
      <c r="AP347" s="2068"/>
      <c r="AQ347" s="2068"/>
      <c r="AR347" s="2110"/>
      <c r="AS347" s="2110"/>
      <c r="AT347" s="1999"/>
      <c r="AU347" s="1999"/>
      <c r="AV347" s="1999"/>
      <c r="AW347" s="1999"/>
      <c r="AX347" s="1999"/>
      <c r="AY347" s="1999"/>
      <c r="AZ347" s="1999"/>
      <c r="BA347" s="1999"/>
      <c r="BB347" s="1999"/>
      <c r="BC347" s="1999"/>
      <c r="BD347" s="1999"/>
      <c r="BE347" s="1999"/>
      <c r="BF347" s="1999"/>
      <c r="BG347" s="1999"/>
      <c r="BH347" s="1999"/>
      <c r="BI347" s="1999"/>
      <c r="BJ347" s="1999"/>
      <c r="BK347" s="1999"/>
      <c r="BL347" s="1999"/>
      <c r="BM347" s="1999"/>
      <c r="BN347" s="1999"/>
      <c r="BO347" s="1999"/>
      <c r="BP347" s="1999"/>
      <c r="BQ347" s="1999"/>
      <c r="BR347" s="1999"/>
      <c r="BS347" s="2081"/>
      <c r="BT347" s="2081"/>
      <c r="BU347" s="2081"/>
      <c r="BV347" s="2089"/>
      <c r="BW347" s="2089"/>
      <c r="BX347" s="2089"/>
      <c r="BY347" s="1923"/>
      <c r="BZ347" s="1924"/>
      <c r="CA347" s="1924"/>
      <c r="CB347" s="2370"/>
      <c r="CC347" s="2371"/>
      <c r="CD347" s="2371"/>
      <c r="CE347" s="2371"/>
      <c r="CF347" s="2371"/>
      <c r="CG347" s="2371"/>
      <c r="CH347" s="2371"/>
      <c r="CI347" s="2371"/>
      <c r="CJ347" s="2371"/>
      <c r="CK347" s="2371"/>
      <c r="CL347" s="2371"/>
      <c r="CM347" s="2371"/>
      <c r="CN347" s="2371"/>
      <c r="CO347" s="2371"/>
      <c r="CP347" s="2371"/>
      <c r="CQ347" s="2371"/>
      <c r="CR347" s="2371"/>
      <c r="CS347" s="2371"/>
      <c r="CT347" s="2371"/>
      <c r="CU347" s="2372"/>
      <c r="CV347" s="2360" t="str">
        <f t="shared" si="192"/>
        <v/>
      </c>
      <c r="CW347" s="2360"/>
      <c r="CX347" s="2360"/>
      <c r="CY347" s="2360"/>
      <c r="CZ347" s="2360"/>
      <c r="DA347" s="2360"/>
      <c r="DC347" s="600" t="str">
        <f t="shared" si="193"/>
        <v/>
      </c>
      <c r="DD347" s="381"/>
      <c r="DF347" s="34"/>
      <c r="DG347" s="34"/>
      <c r="DH347" s="34"/>
      <c r="DI347" s="34"/>
      <c r="DJ347" s="1699" t="s">
        <v>5637</v>
      </c>
      <c r="DK347" s="1708" t="str">
        <f t="shared" si="182"/>
        <v/>
      </c>
      <c r="DL347" s="1700" t="str">
        <f t="shared" si="183"/>
        <v/>
      </c>
      <c r="DM347" s="1694">
        <f t="shared" si="139"/>
        <v>0</v>
      </c>
      <c r="DN347" s="476">
        <f t="shared" si="194"/>
        <v>0</v>
      </c>
      <c r="DO347" s="476">
        <f t="shared" si="195"/>
        <v>0</v>
      </c>
      <c r="DP347" s="477">
        <f t="shared" si="196"/>
        <v>0</v>
      </c>
      <c r="DQ347" s="116" t="s">
        <v>2570</v>
      </c>
      <c r="DR347" s="475">
        <f t="shared" si="197"/>
        <v>0</v>
      </c>
      <c r="DS347" s="221">
        <f t="shared" si="198"/>
        <v>0</v>
      </c>
      <c r="DT347" s="480" t="str">
        <f t="shared" si="199"/>
        <v/>
      </c>
      <c r="DU347" s="232" t="str">
        <f t="shared" si="145"/>
        <v/>
      </c>
      <c r="DV347" s="233" t="str">
        <f>IF($DT347="要是正",MAX($DV$321:DV346)+1,"")</f>
        <v/>
      </c>
      <c r="DW347" s="486" t="str">
        <f t="shared" si="200"/>
        <v/>
      </c>
      <c r="DX347" s="532" t="str">
        <f t="shared" si="184"/>
        <v/>
      </c>
      <c r="DY347" s="533" t="str">
        <f t="shared" si="201"/>
        <v/>
      </c>
      <c r="DZ347" s="534" t="str">
        <f t="shared" si="202"/>
        <v/>
      </c>
      <c r="EA347" s="397" t="str">
        <f t="shared" si="149"/>
        <v/>
      </c>
      <c r="EB347" s="234" t="str">
        <f t="shared" si="150"/>
        <v/>
      </c>
      <c r="EC347" s="227" t="str">
        <f t="shared" si="151"/>
        <v>0</v>
      </c>
      <c r="ED347" s="148" t="str">
        <f t="shared" si="203"/>
        <v/>
      </c>
      <c r="EE347" s="227" t="str">
        <f t="shared" si="204"/>
        <v>0</v>
      </c>
      <c r="EF347" s="598" t="str">
        <f t="shared" si="205"/>
        <v/>
      </c>
      <c r="EG347" s="204" t="str">
        <f t="shared" si="153"/>
        <v/>
      </c>
      <c r="EH347" s="134" t="str">
        <f t="shared" si="154"/>
        <v>0</v>
      </c>
      <c r="EI347" s="148" t="str">
        <f t="shared" si="206"/>
        <v/>
      </c>
      <c r="EJ347" s="227" t="str">
        <f t="shared" si="207"/>
        <v>0</v>
      </c>
      <c r="EK347" s="451" t="str">
        <f t="shared" si="208"/>
        <v/>
      </c>
      <c r="EL347" s="452" t="e">
        <f t="shared" si="209"/>
        <v>#N/A</v>
      </c>
      <c r="EM347" s="151" t="e">
        <f t="shared" si="210"/>
        <v>#N/A</v>
      </c>
      <c r="EN347" s="453" t="e">
        <f t="shared" si="211"/>
        <v>#N/A</v>
      </c>
      <c r="FK347" s="597" t="str">
        <f t="shared" si="159"/>
        <v/>
      </c>
      <c r="FL347" s="597" t="str">
        <f t="shared" si="71"/>
        <v/>
      </c>
      <c r="FM347" s="597" t="str">
        <f t="shared" si="72"/>
        <v/>
      </c>
      <c r="FN347" s="597">
        <f t="shared" si="212"/>
        <v>0</v>
      </c>
      <c r="FO347" s="1163" t="str">
        <f t="shared" si="161"/>
        <v/>
      </c>
      <c r="FQ347" s="234" t="str">
        <f t="shared" si="162"/>
        <v/>
      </c>
      <c r="FR347" s="227" t="str">
        <f t="shared" si="163"/>
        <v>0</v>
      </c>
      <c r="FS347" s="148" t="str">
        <f t="shared" si="213"/>
        <v/>
      </c>
      <c r="FT347" s="227" t="str">
        <f t="shared" si="214"/>
        <v>0</v>
      </c>
      <c r="FU347" s="416" t="str">
        <f t="shared" si="215"/>
        <v/>
      </c>
      <c r="FW347" s="1160">
        <f t="shared" si="216"/>
        <v>0</v>
      </c>
      <c r="FX347" s="123"/>
      <c r="FY347" s="123"/>
      <c r="FZ347" s="1161"/>
      <c r="GA347" s="34"/>
      <c r="GB347" s="123">
        <f t="shared" si="79"/>
        <v>0</v>
      </c>
      <c r="GC347" s="123">
        <f t="shared" si="80"/>
        <v>0</v>
      </c>
      <c r="GD347" s="69">
        <f t="shared" si="81"/>
        <v>0</v>
      </c>
      <c r="GE347" s="1149" t="str">
        <f t="shared" si="165"/>
        <v/>
      </c>
      <c r="GF347" s="1149" t="str">
        <f t="shared" si="166"/>
        <v/>
      </c>
      <c r="GG347" s="1149" t="str">
        <f t="shared" si="167"/>
        <v/>
      </c>
      <c r="GH347" s="1149" t="str">
        <f t="shared" si="168"/>
        <v/>
      </c>
      <c r="GI347" s="1149" t="str">
        <f t="shared" si="169"/>
        <v/>
      </c>
      <c r="GJ347" s="1149" t="str">
        <f t="shared" si="170"/>
        <v/>
      </c>
      <c r="GK347" s="1149" t="str">
        <f t="shared" si="171"/>
        <v/>
      </c>
      <c r="GL347" s="1149" t="str">
        <f t="shared" si="172"/>
        <v/>
      </c>
      <c r="GM347" s="1149" t="str">
        <f t="shared" si="173"/>
        <v/>
      </c>
      <c r="GN347" s="1149" t="str">
        <f t="shared" si="174"/>
        <v/>
      </c>
      <c r="GO347" s="1149" t="str">
        <f t="shared" si="175"/>
        <v/>
      </c>
      <c r="GP347" s="1149" t="str">
        <f t="shared" si="176"/>
        <v/>
      </c>
      <c r="GQ347" s="1149" t="str">
        <f t="shared" si="177"/>
        <v/>
      </c>
      <c r="GR347" s="1149" t="str">
        <f t="shared" si="178"/>
        <v/>
      </c>
      <c r="GS347" s="1149" t="str">
        <f t="shared" si="179"/>
        <v/>
      </c>
      <c r="GT347" s="1149">
        <f t="shared" si="82"/>
        <v>0</v>
      </c>
      <c r="GU347" s="1149">
        <f t="shared" si="83"/>
        <v>0</v>
      </c>
      <c r="GV347" s="1149">
        <f t="shared" si="84"/>
        <v>0</v>
      </c>
      <c r="GW347" s="1149" t="b">
        <f t="shared" si="85"/>
        <v>0</v>
      </c>
      <c r="GX347" s="1149" t="b">
        <f t="shared" si="86"/>
        <v>0</v>
      </c>
      <c r="GY347" s="1149" t="b">
        <f t="shared" si="87"/>
        <v>0</v>
      </c>
      <c r="GZ347" s="1149" t="str">
        <f t="shared" si="180"/>
        <v/>
      </c>
      <c r="HB347" s="1149" t="str">
        <f t="shared" si="89"/>
        <v/>
      </c>
      <c r="HC347" s="1149" t="str">
        <f t="shared" si="90"/>
        <v/>
      </c>
      <c r="HD347" s="1149" t="str">
        <f t="shared" si="91"/>
        <v/>
      </c>
      <c r="HE347" s="1149" t="str">
        <f t="shared" si="92"/>
        <v/>
      </c>
      <c r="HF347" s="1149" t="str">
        <f t="shared" si="93"/>
        <v/>
      </c>
      <c r="HG347" s="1149" t="str">
        <f t="shared" si="94"/>
        <v/>
      </c>
      <c r="HH347" s="1149" t="str">
        <f t="shared" si="95"/>
        <v/>
      </c>
      <c r="HI347" s="1149" t="str">
        <f t="shared" si="96"/>
        <v/>
      </c>
      <c r="HJ347" s="1149" t="str">
        <f t="shared" si="97"/>
        <v/>
      </c>
      <c r="HK347" s="1149" t="str">
        <f t="shared" si="98"/>
        <v/>
      </c>
      <c r="HL347" s="1149" t="str">
        <f t="shared" si="99"/>
        <v/>
      </c>
      <c r="HM347" s="1149" t="str">
        <f t="shared" si="100"/>
        <v/>
      </c>
      <c r="HN347" s="1149" t="str">
        <f t="shared" si="101"/>
        <v/>
      </c>
      <c r="HO347" s="1149" t="str">
        <f t="shared" si="102"/>
        <v/>
      </c>
      <c r="HP347" s="1149" t="str">
        <f t="shared" si="103"/>
        <v/>
      </c>
      <c r="HQ347" s="1149" t="str">
        <f t="shared" si="104"/>
        <v/>
      </c>
      <c r="HR347" s="1149" t="str">
        <f t="shared" si="105"/>
        <v/>
      </c>
      <c r="HT347" s="1149">
        <f>LEFT(M347,1)*10000+MID(M347,3,LEN(M347)-3)*100+COUNTIF($M$307:M347,M347)</f>
        <v>22301</v>
      </c>
      <c r="HU347" s="1149" t="str">
        <f t="shared" si="106"/>
        <v/>
      </c>
      <c r="HV347" s="1149" t="str">
        <f t="shared" si="107"/>
        <v/>
      </c>
      <c r="HW347" s="1149" t="str">
        <f t="shared" si="108"/>
        <v/>
      </c>
      <c r="HX347" s="1149" t="str">
        <f t="shared" si="109"/>
        <v/>
      </c>
    </row>
    <row r="348" spans="1:232" ht="15" customHeight="1" thickBot="1">
      <c r="A348" s="645"/>
      <c r="B348" s="645"/>
      <c r="C348" s="645"/>
      <c r="D348" s="645"/>
      <c r="E348" s="646"/>
      <c r="J348" s="282"/>
      <c r="K348" s="300"/>
      <c r="L348" s="300"/>
      <c r="M348" s="556"/>
      <c r="N348" s="556"/>
      <c r="O348" s="556"/>
      <c r="P348" s="556"/>
      <c r="Q348" s="556"/>
      <c r="R348" s="556"/>
      <c r="S348" s="556"/>
      <c r="T348" s="556"/>
      <c r="U348" s="556"/>
      <c r="V348" s="556"/>
      <c r="W348" s="556"/>
      <c r="X348" s="556"/>
      <c r="Y348" s="556"/>
      <c r="Z348" s="556"/>
      <c r="AA348" s="556"/>
      <c r="AB348" s="556"/>
      <c r="AC348" s="556"/>
      <c r="AD348" s="556"/>
      <c r="AE348" s="92"/>
      <c r="AF348" s="92"/>
      <c r="AG348" s="92"/>
      <c r="AH348" s="92"/>
      <c r="AI348" s="92"/>
      <c r="AJ348" s="92"/>
      <c r="AK348" s="92"/>
      <c r="AL348" s="92"/>
      <c r="AM348" s="92"/>
      <c r="AN348" s="92"/>
      <c r="AO348" s="92"/>
      <c r="AP348" s="92"/>
      <c r="AQ348" s="92"/>
      <c r="AR348" s="557"/>
      <c r="AS348" s="557"/>
      <c r="AT348" s="92"/>
      <c r="AU348" s="92"/>
      <c r="AV348" s="92"/>
      <c r="AW348" s="92"/>
      <c r="AX348" s="92"/>
      <c r="AY348" s="92"/>
      <c r="AZ348" s="92"/>
      <c r="BA348" s="92"/>
      <c r="BB348" s="92"/>
      <c r="BC348" s="92"/>
      <c r="BD348" s="92"/>
      <c r="BE348" s="92"/>
      <c r="BF348" s="92"/>
      <c r="BG348" s="92"/>
      <c r="BH348" s="92"/>
      <c r="BI348" s="92"/>
      <c r="BJ348" s="92"/>
      <c r="BK348" s="92"/>
      <c r="BL348" s="92"/>
      <c r="BM348" s="92"/>
      <c r="BN348" s="92"/>
      <c r="BO348" s="92"/>
      <c r="BP348" s="92"/>
      <c r="BQ348" s="92"/>
      <c r="BR348" s="92"/>
      <c r="BS348" s="557"/>
      <c r="BT348" s="557"/>
      <c r="BU348" s="745"/>
      <c r="BV348" s="745"/>
      <c r="BW348" s="745"/>
      <c r="BX348" s="745"/>
      <c r="BY348" s="746"/>
      <c r="BZ348" s="746"/>
      <c r="CA348" s="746"/>
      <c r="CB348" s="746"/>
      <c r="CC348" s="746"/>
      <c r="CD348" s="746"/>
      <c r="CE348" s="746"/>
      <c r="CF348" s="746"/>
      <c r="CG348" s="746"/>
      <c r="CH348" s="746"/>
      <c r="CI348" s="746"/>
      <c r="CJ348" s="746"/>
      <c r="CK348" s="746"/>
      <c r="CL348" s="746"/>
      <c r="CM348" s="746"/>
      <c r="CN348" s="746"/>
      <c r="CO348" s="746"/>
      <c r="CP348" s="746"/>
      <c r="CQ348" s="746"/>
      <c r="CR348" s="746"/>
      <c r="CS348" s="746"/>
      <c r="CT348" s="746"/>
      <c r="CU348" s="747"/>
      <c r="CV348" s="2360"/>
      <c r="CW348" s="2360"/>
      <c r="CX348" s="2360"/>
      <c r="CY348" s="2360"/>
      <c r="CZ348" s="2360"/>
      <c r="DA348" s="2360"/>
      <c r="DC348" s="600"/>
      <c r="DD348" s="381"/>
      <c r="DE348" s="36"/>
      <c r="DF348" s="36"/>
      <c r="DG348" s="36"/>
      <c r="DH348" s="36"/>
      <c r="DI348" s="36"/>
      <c r="DJ348" s="641"/>
      <c r="DK348" s="1709"/>
      <c r="DL348" s="1685"/>
      <c r="DM348" s="193">
        <f>SUM(DM325:DM347)</f>
        <v>0</v>
      </c>
      <c r="DN348" s="193">
        <f>SUM(DN325:DN347)</f>
        <v>0</v>
      </c>
      <c r="DO348" s="193">
        <f>SUM(DO325:DO347)</f>
        <v>0</v>
      </c>
      <c r="DP348" s="193">
        <f>SUM(DP325:DP347)</f>
        <v>0</v>
      </c>
      <c r="DU348" s="506"/>
      <c r="DX348" s="2488" t="s">
        <v>2427</v>
      </c>
      <c r="DY348" s="904" t="s">
        <v>2430</v>
      </c>
      <c r="DZ348" s="427"/>
      <c r="EA348" s="535"/>
      <c r="EB348" s="1166"/>
      <c r="EC348" s="229"/>
      <c r="ED348" s="207">
        <f>COUNTIF(ED325:ED347,"1")</f>
        <v>0</v>
      </c>
      <c r="EE348" s="206" t="str">
        <f t="array" ref="EE348">INDEX(EE325:EE347,MATCH(MIN(ABS(EE325:EE347-$DP$4)),ABS(EE325:EE347-$DP$4),0))</f>
        <v>0</v>
      </c>
      <c r="EF348" s="207">
        <f>COUNTIF(EF325:EF347,"未定")</f>
        <v>0</v>
      </c>
      <c r="EG348" s="205"/>
      <c r="EH348" s="229"/>
      <c r="EI348" s="207">
        <f>COUNTIF(EI325:EI347,"1")</f>
        <v>0</v>
      </c>
      <c r="EJ348" s="206" t="str">
        <f t="array" ref="EJ348">INDEX(EJ325:EJ347,MATCH(MIN(ABS(EJ325:EJ347-$DP$4)),ABS(EJ325:EJ347-$DP$4),0))</f>
        <v>0</v>
      </c>
      <c r="EK348" s="519">
        <f>COUNTIF(EK325:EK347,"未定")</f>
        <v>0</v>
      </c>
      <c r="EL348" s="1167"/>
      <c r="EM348" s="31"/>
      <c r="EN348" s="1168"/>
      <c r="FK348" s="632"/>
      <c r="FL348" s="632"/>
      <c r="FM348" s="632"/>
      <c r="FN348" s="632"/>
      <c r="FO348" s="1163"/>
      <c r="FQ348" s="1166"/>
      <c r="FR348" s="229"/>
      <c r="FS348" s="207">
        <f>COUNTIF(FS325:FS347,"1")</f>
        <v>0</v>
      </c>
      <c r="FT348" s="206" t="str">
        <f t="array" ref="FT348">INDEX(FT325:FT347,MATCH(MIN(ABS(FT325:FT347-$DP$4)),ABS(FT325:FT347-$DP$4),0))</f>
        <v>0</v>
      </c>
      <c r="FU348" s="417">
        <f>COUNTIF(FU325:FU347,"未定")</f>
        <v>0</v>
      </c>
      <c r="FV348" s="167"/>
      <c r="FW348" s="1160">
        <f t="shared" si="78"/>
        <v>0</v>
      </c>
      <c r="FX348" s="31"/>
      <c r="FY348" s="31"/>
      <c r="FZ348" s="1164"/>
      <c r="GB348" s="1149">
        <f t="shared" ref="GB348" si="217">IF(SUM(GB325:GB347)&gt;0,1,0)</f>
        <v>0</v>
      </c>
      <c r="GC348" s="1149">
        <f t="shared" ref="GC348" si="218">IF(SUM(GC325:GC347)&gt;0,1,0)</f>
        <v>0</v>
      </c>
      <c r="GD348" s="1149">
        <f>IF(SUM(GD325:GD347)&gt;0,1,0)</f>
        <v>0</v>
      </c>
      <c r="GE348" s="1151"/>
      <c r="GF348" s="1151"/>
      <c r="GG348" s="1151"/>
      <c r="GH348" s="1151"/>
      <c r="GI348" s="1151"/>
      <c r="GJ348" s="1151"/>
      <c r="GK348" s="1151"/>
      <c r="GL348" s="1151"/>
      <c r="GM348" s="1151"/>
      <c r="GN348" s="1151"/>
      <c r="GO348" s="1151"/>
      <c r="GP348" s="1151"/>
      <c r="GQ348" s="1151"/>
      <c r="GR348" s="1151"/>
      <c r="GS348" s="1151"/>
      <c r="GT348" s="1149">
        <f t="shared" ref="GT348:GU348" si="219">IF(SUM(GT325:GT347)&gt;0,1,0)</f>
        <v>0</v>
      </c>
      <c r="GU348" s="1149">
        <f t="shared" si="219"/>
        <v>0</v>
      </c>
      <c r="GV348" s="1149">
        <f>IF(SUM(GV325:GV347)&gt;0,1,0)</f>
        <v>0</v>
      </c>
      <c r="GW348" s="1149" t="b">
        <f t="shared" si="85"/>
        <v>0</v>
      </c>
      <c r="GX348" s="1149" t="b">
        <f t="shared" si="86"/>
        <v>0</v>
      </c>
      <c r="GY348" s="1149" t="b">
        <f t="shared" si="87"/>
        <v>0</v>
      </c>
      <c r="GZ348" s="1149" t="str">
        <f t="shared" si="180"/>
        <v/>
      </c>
      <c r="HB348" s="1151"/>
      <c r="HC348" s="1151"/>
      <c r="HD348" s="1151"/>
      <c r="HE348" s="1151"/>
      <c r="HF348" s="1151"/>
      <c r="HG348" s="1151"/>
      <c r="HH348" s="1151"/>
      <c r="HI348" s="1151"/>
      <c r="HJ348" s="1151"/>
      <c r="HK348" s="1151"/>
      <c r="HL348" s="1151"/>
      <c r="HM348" s="1151"/>
      <c r="HN348" s="1151"/>
      <c r="HO348" s="1151"/>
      <c r="HP348" s="1151"/>
      <c r="HQ348" s="1151"/>
      <c r="HR348" s="1151"/>
      <c r="HT348" s="1702"/>
      <c r="HU348" s="1702"/>
      <c r="HV348" s="1702"/>
      <c r="HW348" s="1702"/>
      <c r="HX348" s="1702"/>
    </row>
    <row r="349" spans="1:232" s="69" customFormat="1" ht="34.5" customHeight="1" thickBot="1">
      <c r="A349" s="645"/>
      <c r="B349" s="645"/>
      <c r="C349" s="645"/>
      <c r="D349" s="645"/>
      <c r="E349" s="646"/>
      <c r="F349" s="381"/>
      <c r="G349" s="381"/>
      <c r="H349" s="381"/>
      <c r="J349" s="80"/>
      <c r="K349" s="89"/>
      <c r="L349" s="89"/>
      <c r="M349" s="2058" t="s">
        <v>72</v>
      </c>
      <c r="N349" s="2058"/>
      <c r="O349" s="2058"/>
      <c r="P349" s="2058"/>
      <c r="Q349" s="2058"/>
      <c r="R349" s="2058"/>
      <c r="S349" s="2058"/>
      <c r="T349" s="2058"/>
      <c r="U349" s="2058"/>
      <c r="V349" s="2058"/>
      <c r="W349" s="2058"/>
      <c r="X349" s="2058"/>
      <c r="Y349" s="2058"/>
      <c r="Z349" s="2058"/>
      <c r="AA349" s="2058"/>
      <c r="AB349" s="2058"/>
      <c r="AC349" s="2058"/>
      <c r="AD349" s="2058"/>
      <c r="AE349" s="2058"/>
      <c r="AF349" s="2058"/>
      <c r="AG349" s="2058"/>
      <c r="AH349" s="2058"/>
      <c r="AI349" s="2058"/>
      <c r="AJ349" s="2058"/>
      <c r="AK349" s="2058"/>
      <c r="AL349" s="2058"/>
      <c r="AM349" s="2058"/>
      <c r="AN349" s="2058"/>
      <c r="AO349" s="2058"/>
      <c r="AP349" s="2058"/>
      <c r="AQ349" s="2058"/>
      <c r="AR349" s="2058"/>
      <c r="AS349" s="2058"/>
      <c r="AT349" s="2058"/>
      <c r="AU349" s="2058"/>
      <c r="AV349" s="2058"/>
      <c r="AW349" s="2058"/>
      <c r="AX349" s="2058"/>
      <c r="AY349" s="2058"/>
      <c r="AZ349" s="2058"/>
      <c r="BA349" s="2058"/>
      <c r="BB349" s="2058"/>
      <c r="BC349" s="2058"/>
      <c r="BD349" s="2058"/>
      <c r="BE349" s="2058"/>
      <c r="BF349" s="2058"/>
      <c r="BG349" s="2058"/>
      <c r="BH349" s="2058"/>
      <c r="BI349" s="2058"/>
      <c r="BJ349" s="2058"/>
      <c r="BK349" s="2058"/>
      <c r="BL349" s="2058"/>
      <c r="BM349" s="2058"/>
      <c r="BN349" s="2058"/>
      <c r="BO349" s="2058"/>
      <c r="BP349" s="2058"/>
      <c r="BQ349" s="2058"/>
      <c r="BR349" s="2058"/>
      <c r="BS349" s="2058"/>
      <c r="BT349" s="2058"/>
      <c r="BU349" s="2058"/>
      <c r="BV349" s="2058"/>
      <c r="BW349" s="2058"/>
      <c r="BX349" s="2058"/>
      <c r="BY349" s="2058"/>
      <c r="BZ349" s="2058"/>
      <c r="CA349" s="2058"/>
      <c r="CB349" s="2058"/>
      <c r="CC349" s="2058"/>
      <c r="CD349" s="2058"/>
      <c r="CE349" s="2058"/>
      <c r="CF349" s="2058"/>
      <c r="CG349" s="2058"/>
      <c r="CH349" s="2058"/>
      <c r="CI349" s="2058"/>
      <c r="CJ349" s="2058"/>
      <c r="CK349" s="2058"/>
      <c r="CL349" s="2058"/>
      <c r="CM349" s="2058"/>
      <c r="CN349" s="2058"/>
      <c r="CO349" s="2058"/>
      <c r="CP349" s="2058"/>
      <c r="CQ349" s="2058"/>
      <c r="CR349" s="2058"/>
      <c r="CS349" s="2058"/>
      <c r="CT349" s="2058"/>
      <c r="CU349" s="2059"/>
      <c r="CV349" s="2360" t="str">
        <f>IF(AND(DT349="要是正",DU349&lt;21),HYPERLINK("#"&amp;EL349&amp;"!"&amp;EM349&amp;":"&amp;EN349&amp;"","関連写真添付"),"")</f>
        <v/>
      </c>
      <c r="CW349" s="2360"/>
      <c r="CX349" s="2360"/>
      <c r="CY349" s="2360"/>
      <c r="CZ349" s="2360"/>
      <c r="DA349" s="2360"/>
      <c r="DC349" s="600"/>
      <c r="DD349" s="381"/>
      <c r="DF349" s="34"/>
      <c r="DG349" s="34"/>
      <c r="DH349" s="34"/>
      <c r="DI349" s="34"/>
      <c r="DJ349" s="34"/>
      <c r="DK349" s="1711"/>
      <c r="DL349" s="114"/>
      <c r="DM349" s="386" t="str">
        <f>IF(AND(DN349="",DO349="",DP349="",DM366&lt;&gt;0),"レ","")</f>
        <v/>
      </c>
      <c r="DN349" s="386" t="str">
        <f>IF(AND(DO349="",DP349="",DN366&lt;&gt;0),"レ","")</f>
        <v/>
      </c>
      <c r="DO349" s="386" t="str">
        <f>IF(DO366&lt;&gt;0,"レ","")</f>
        <v/>
      </c>
      <c r="DP349" s="386" t="str">
        <f>IF(AND(DO349="",DP366&lt;&gt;0),"レ","")</f>
        <v/>
      </c>
      <c r="DQ349" s="114"/>
      <c r="DR349" s="114"/>
      <c r="DS349" s="114"/>
      <c r="DT349" s="113"/>
      <c r="DU349" s="442"/>
      <c r="DV349" s="113"/>
      <c r="DW349" s="113"/>
      <c r="DX349" s="2489"/>
      <c r="DY349" s="135" t="str">
        <f>SUBSTITUTE(TRIM(DY352&amp;"　"&amp;DY353&amp;"　"&amp;DY354&amp;"　"&amp;DY355&amp;"　"&amp;DY356&amp;"　"&amp;DY357&amp;"　"&amp;DY358&amp;"　"&amp;DY359&amp;"　"&amp;DY360&amp;"　"&amp;DY361&amp;"　"&amp;DY362&amp;"　"&amp;DY363&amp;"　"&amp;DY364&amp;"　"&amp;DY365),"　",", ")&amp;HN528</f>
        <v/>
      </c>
      <c r="DZ349" s="2518" t="s">
        <v>2436</v>
      </c>
      <c r="EA349" s="2519"/>
      <c r="EB349" s="230" t="str">
        <f>IF(COUNTIF(ED352:ED365,1)&gt;0,"レ","")</f>
        <v/>
      </c>
      <c r="EC349" s="389"/>
      <c r="ED349" s="231" t="str">
        <f>IF(EB349="レ",YEAR(EE366)-VLOOKUP(EE366,$DS$6:$DV$9,4,TRUE),"")</f>
        <v/>
      </c>
      <c r="EE349" s="231" t="str">
        <f>IF(EB349="レ",MONTH(EE366),IF(AND(DO349="レ",EF349="レ",EF366=0),"",IF(AND(DO349="レ",EF349="レ",EF366&gt;0),"","")))</f>
        <v/>
      </c>
      <c r="EF349" s="387" t="str">
        <f>IF(EB349="",IF(OR(EF366&gt;0,DO349="レ"),"レ",""),"")</f>
        <v/>
      </c>
      <c r="EG349" s="230" t="str">
        <f>IF(AND(COUNTIF(DT352:DT360,"要是正")=0,COUNTIF(EI352:EI360,1)&gt;0),"レ","")</f>
        <v/>
      </c>
      <c r="EH349" s="389"/>
      <c r="EI349" s="231" t="str">
        <f>IF(EG349="レ",YEAR(EJ366)-VLOOKUP(EJ366,$DS$6:$DV$9,4,TRUE),"")</f>
        <v/>
      </c>
      <c r="EJ349" s="231" t="str">
        <f>IF(EG349="レ",MONTH(EJ366),IF(AND(DP349="レ",EK349="レ",EK366=0),"",IF(AND(DP349="レ",EK349="レ",EK366&gt;0),"","")))</f>
        <v/>
      </c>
      <c r="EK349" s="446" t="str">
        <f>IF(EG349="",IF(OR(EK366&gt;0,DP349="レ"),"レ",""),"")</f>
        <v/>
      </c>
      <c r="EL349" s="232" t="e">
        <f>VLOOKUP($DU349,$EO$306:$ER$334,2,FALSE)</f>
        <v>#N/A</v>
      </c>
      <c r="EM349" s="233" t="e">
        <f>VLOOKUP($DU349,$EO$306:$ER$334,3,FALSE)</f>
        <v>#N/A</v>
      </c>
      <c r="EN349" s="454" t="e">
        <f>VLOOKUP($DU349,$EO$306:$ER$334,4,FALSE)</f>
        <v>#N/A</v>
      </c>
      <c r="EO349" s="35"/>
      <c r="EP349" s="35"/>
      <c r="EQ349" s="35"/>
      <c r="ER349" s="35"/>
      <c r="ES349" s="35" t="str">
        <f>$GX$531</f>
        <v>要是正なし</v>
      </c>
      <c r="ET349" s="35"/>
      <c r="EU349" s="35"/>
      <c r="EV349" s="35"/>
      <c r="EW349" s="35"/>
      <c r="EX349" s="35"/>
      <c r="EY349" s="35"/>
      <c r="EZ349" s="35"/>
      <c r="FA349" s="35"/>
      <c r="FB349" s="35"/>
      <c r="FC349" s="35"/>
      <c r="FD349" s="35"/>
      <c r="FE349" s="35"/>
      <c r="FF349" s="35"/>
      <c r="FG349" s="35"/>
      <c r="FH349" s="35"/>
      <c r="FI349" s="35"/>
      <c r="FK349" s="632"/>
      <c r="FL349" s="632"/>
      <c r="FM349" s="632"/>
      <c r="FN349" s="632"/>
      <c r="FO349" s="1163"/>
      <c r="FQ349" s="230" t="str">
        <f>IF(COUNTIF(FS352:FS365,1)&gt;0,"レ","")</f>
        <v/>
      </c>
      <c r="FR349" s="389"/>
      <c r="FS349" s="231" t="str">
        <f>IF(FQ349="レ",TEXT(FT366,"ee"),"")</f>
        <v/>
      </c>
      <c r="FT349" s="231" t="str">
        <f>IF(FQ349="レ",MONTH(FT366),IF(AND(FH349="レ",FU349="レ",FU366=0),"",IF(AND(FH349="レ",FU349="レ",FU366&gt;0),"未定","")))</f>
        <v/>
      </c>
      <c r="FU349" s="387" t="str">
        <f>IF(FQ349="",IF(OR(FU366&gt;0,FH349="レ"),"レ",""),"")</f>
        <v/>
      </c>
      <c r="FW349" s="1160">
        <f t="shared" ref="FW349:FW385" si="220">IF(AF349="△既存不適格",AT349&amp;"(既存不適格)",AT349)</f>
        <v>0</v>
      </c>
      <c r="FX349" s="123"/>
      <c r="FY349" s="123"/>
      <c r="FZ349" s="1161"/>
      <c r="GA349" s="34"/>
      <c r="GB349" s="123"/>
      <c r="GC349" s="123"/>
      <c r="GE349" s="123"/>
      <c r="GF349" s="123"/>
      <c r="GG349" s="123"/>
      <c r="GH349" s="123"/>
      <c r="GI349" s="123"/>
      <c r="GJ349" s="123"/>
      <c r="GK349" s="123"/>
      <c r="GL349" s="123"/>
      <c r="GM349" s="123"/>
      <c r="GN349" s="123"/>
      <c r="GO349" s="123"/>
      <c r="GP349" s="123"/>
      <c r="GQ349" s="123"/>
      <c r="GR349" s="123"/>
      <c r="GS349" s="123"/>
      <c r="GT349" s="123"/>
      <c r="GU349" s="123"/>
      <c r="GV349" s="123"/>
      <c r="GW349" s="123"/>
      <c r="GX349" s="123"/>
      <c r="GY349" s="123"/>
      <c r="HB349" s="123"/>
      <c r="HC349" s="123"/>
      <c r="HD349" s="123"/>
      <c r="HE349" s="123"/>
      <c r="HF349" s="123"/>
      <c r="HG349" s="123"/>
      <c r="HH349" s="123"/>
      <c r="HI349" s="123"/>
      <c r="HJ349" s="123"/>
      <c r="HK349" s="123"/>
      <c r="HL349" s="123"/>
      <c r="HM349" s="123"/>
      <c r="HN349" s="123"/>
      <c r="HO349" s="123"/>
      <c r="HP349" s="123"/>
      <c r="HQ349" s="123"/>
      <c r="HR349" s="123"/>
      <c r="HT349" s="1703"/>
      <c r="HU349" s="1703"/>
      <c r="HV349" s="1703"/>
      <c r="HW349" s="1703"/>
      <c r="HX349" s="1703"/>
    </row>
    <row r="350" spans="1:232" s="69" customFormat="1" ht="36" customHeight="1" thickBot="1">
      <c r="A350" s="645"/>
      <c r="B350" s="645"/>
      <c r="C350" s="645"/>
      <c r="D350" s="645"/>
      <c r="E350" s="646"/>
      <c r="F350" s="381"/>
      <c r="G350" s="381"/>
      <c r="H350" s="381"/>
      <c r="I350" s="123"/>
      <c r="J350" s="88"/>
      <c r="K350" s="89"/>
      <c r="L350" s="89"/>
      <c r="M350" s="2030" t="s">
        <v>31</v>
      </c>
      <c r="N350" s="2030"/>
      <c r="O350" s="2030"/>
      <c r="P350" s="2006" t="s">
        <v>32</v>
      </c>
      <c r="Q350" s="2006"/>
      <c r="R350" s="2006"/>
      <c r="S350" s="2006"/>
      <c r="T350" s="2006"/>
      <c r="U350" s="2006"/>
      <c r="V350" s="2006"/>
      <c r="W350" s="2006"/>
      <c r="X350" s="2006"/>
      <c r="Y350" s="2006"/>
      <c r="Z350" s="2006"/>
      <c r="AA350" s="2006"/>
      <c r="AB350" s="2006"/>
      <c r="AC350" s="2006"/>
      <c r="AD350" s="2006"/>
      <c r="AE350" s="2006"/>
      <c r="AF350" s="2006" t="s">
        <v>33</v>
      </c>
      <c r="AG350" s="2006"/>
      <c r="AH350" s="2006"/>
      <c r="AI350" s="2006"/>
      <c r="AJ350" s="2006"/>
      <c r="AK350" s="2006"/>
      <c r="AL350" s="2006"/>
      <c r="AM350" s="2006"/>
      <c r="AN350" s="2006"/>
      <c r="AO350" s="2006"/>
      <c r="AP350" s="2006"/>
      <c r="AQ350" s="2006"/>
      <c r="AR350" s="2006" t="s">
        <v>752</v>
      </c>
      <c r="AS350" s="2006"/>
      <c r="AT350" s="2003" t="s">
        <v>156</v>
      </c>
      <c r="AU350" s="2003"/>
      <c r="AV350" s="2003"/>
      <c r="AW350" s="2003"/>
      <c r="AX350" s="2003"/>
      <c r="AY350" s="2003"/>
      <c r="AZ350" s="2003"/>
      <c r="BA350" s="2003"/>
      <c r="BB350" s="2003"/>
      <c r="BC350" s="2003"/>
      <c r="BD350" s="2003" t="s">
        <v>194</v>
      </c>
      <c r="BE350" s="2003"/>
      <c r="BF350" s="2003"/>
      <c r="BG350" s="2003"/>
      <c r="BH350" s="2003"/>
      <c r="BI350" s="2003"/>
      <c r="BJ350" s="2003"/>
      <c r="BK350" s="2003"/>
      <c r="BL350" s="2003"/>
      <c r="BM350" s="2003"/>
      <c r="BN350" s="2003"/>
      <c r="BO350" s="2003"/>
      <c r="BP350" s="2003"/>
      <c r="BQ350" s="2003"/>
      <c r="BR350" s="2003"/>
      <c r="BS350" s="2006" t="s">
        <v>387</v>
      </c>
      <c r="BT350" s="2003"/>
      <c r="BU350" s="2003"/>
      <c r="BV350" s="2003"/>
      <c r="BW350" s="2003"/>
      <c r="BX350" s="2003"/>
      <c r="BY350" s="2003"/>
      <c r="BZ350" s="2003"/>
      <c r="CA350" s="2003"/>
      <c r="CB350" s="2120" t="s">
        <v>2818</v>
      </c>
      <c r="CC350" s="2120"/>
      <c r="CD350" s="2120"/>
      <c r="CE350" s="2120"/>
      <c r="CF350" s="2120"/>
      <c r="CG350" s="2120"/>
      <c r="CH350" s="2120"/>
      <c r="CI350" s="2120"/>
      <c r="CJ350" s="2120"/>
      <c r="CK350" s="2120"/>
      <c r="CL350" s="2120"/>
      <c r="CM350" s="2120"/>
      <c r="CN350" s="2120"/>
      <c r="CO350" s="2120"/>
      <c r="CP350" s="2120"/>
      <c r="CQ350" s="2120"/>
      <c r="CR350" s="2120"/>
      <c r="CS350" s="2120"/>
      <c r="CT350" s="2120"/>
      <c r="CU350" s="2121"/>
      <c r="CV350" s="108"/>
      <c r="CW350" s="108"/>
      <c r="CX350" s="108"/>
      <c r="CY350" s="108"/>
      <c r="CZ350" s="108"/>
      <c r="DA350" s="108"/>
      <c r="DB350" s="108"/>
      <c r="DC350" s="35"/>
      <c r="DD350" s="381"/>
      <c r="DE350" s="34"/>
      <c r="DF350" s="34"/>
      <c r="DG350" s="34"/>
      <c r="DH350" s="34"/>
      <c r="DI350" s="34"/>
      <c r="DJ350" s="34"/>
      <c r="DK350" s="1711"/>
      <c r="DL350" s="114"/>
      <c r="DM350" s="166" t="s">
        <v>3355</v>
      </c>
      <c r="DN350" s="34"/>
      <c r="DO350" s="34"/>
      <c r="DP350" s="34"/>
      <c r="DQ350" s="34"/>
      <c r="DR350" s="34"/>
      <c r="DU350" s="310"/>
      <c r="DV350" s="310"/>
      <c r="DW350" s="123"/>
      <c r="DX350" s="2489"/>
      <c r="DY350" s="1972" t="s">
        <v>911</v>
      </c>
      <c r="DZ350" s="1974" t="s">
        <v>194</v>
      </c>
      <c r="EA350" s="2517" t="s">
        <v>2402</v>
      </c>
      <c r="EB350" s="1907" t="s">
        <v>24</v>
      </c>
      <c r="EC350" s="1908"/>
      <c r="ED350" s="1908"/>
      <c r="EE350" s="1908"/>
      <c r="EF350" s="1908"/>
      <c r="EG350" s="1969" t="s">
        <v>931</v>
      </c>
      <c r="EH350" s="1970"/>
      <c r="EI350" s="1970"/>
      <c r="EJ350" s="1970"/>
      <c r="EK350" s="1971"/>
      <c r="EL350" s="1882" t="s">
        <v>938</v>
      </c>
      <c r="EM350" s="1883"/>
      <c r="EN350" s="1884"/>
      <c r="EO350" s="1897"/>
      <c r="EP350" s="1897"/>
      <c r="EQ350" s="1897"/>
      <c r="ER350" s="1897"/>
      <c r="ES350" s="35"/>
      <c r="ET350" s="1897"/>
      <c r="EU350" s="1897"/>
      <c r="EV350" s="1897"/>
      <c r="EW350" s="1897"/>
      <c r="EX350" s="1897"/>
      <c r="EY350" s="1900"/>
      <c r="EZ350" s="1900"/>
      <c r="FA350" s="1900"/>
      <c r="FB350" s="1900"/>
      <c r="FC350" s="1900"/>
      <c r="FD350" s="1900"/>
      <c r="FE350" s="1900"/>
      <c r="FF350" s="1900"/>
      <c r="FG350" s="1900"/>
      <c r="FH350" s="1900"/>
      <c r="FI350" s="120"/>
      <c r="FJ350" s="108"/>
      <c r="FK350" s="1901" t="s">
        <v>1180</v>
      </c>
      <c r="FL350" s="1902"/>
      <c r="FM350" s="1902"/>
      <c r="FN350" s="1902"/>
      <c r="FO350" s="1903"/>
      <c r="FQ350" s="1907" t="s">
        <v>24</v>
      </c>
      <c r="FR350" s="1908"/>
      <c r="FS350" s="1908"/>
      <c r="FT350" s="1908"/>
      <c r="FU350" s="1909"/>
      <c r="FW350" s="1160" t="str">
        <f t="shared" si="220"/>
        <v>指摘の具体的内容等</v>
      </c>
      <c r="FX350" s="123"/>
      <c r="FY350" s="123"/>
      <c r="FZ350" s="1161"/>
      <c r="GA350" s="34"/>
      <c r="GB350" s="123"/>
      <c r="GC350" s="123"/>
      <c r="GE350" s="123"/>
      <c r="GF350" s="123"/>
      <c r="GG350" s="123"/>
      <c r="GH350" s="123"/>
      <c r="GI350" s="123"/>
      <c r="GJ350" s="123"/>
      <c r="GK350" s="123"/>
      <c r="GL350" s="123"/>
      <c r="GM350" s="123"/>
      <c r="GN350" s="123"/>
      <c r="GO350" s="123"/>
      <c r="GP350" s="123"/>
      <c r="GQ350" s="123"/>
      <c r="GR350" s="123"/>
      <c r="GS350" s="123"/>
      <c r="GT350" s="123"/>
      <c r="GU350" s="123"/>
      <c r="GV350" s="167"/>
      <c r="GW350" s="123"/>
      <c r="GX350" s="123"/>
      <c r="GY350" s="123"/>
      <c r="HB350" s="123"/>
      <c r="HC350" s="123"/>
      <c r="HD350" s="123"/>
      <c r="HE350" s="123"/>
      <c r="HF350" s="123"/>
      <c r="HG350" s="123"/>
      <c r="HH350" s="123"/>
      <c r="HI350" s="123"/>
      <c r="HJ350" s="123"/>
      <c r="HK350" s="123"/>
      <c r="HL350" s="123"/>
      <c r="HM350" s="123"/>
      <c r="HN350" s="123"/>
      <c r="HO350" s="123"/>
      <c r="HP350" s="123"/>
      <c r="HQ350" s="123"/>
      <c r="HR350" s="123"/>
      <c r="HS350" s="167"/>
      <c r="HT350" s="1703"/>
      <c r="HU350" s="1703"/>
      <c r="HV350" s="1703"/>
      <c r="HW350" s="1703"/>
      <c r="HX350" s="1703"/>
    </row>
    <row r="351" spans="1:232" s="69" customFormat="1" ht="36" customHeight="1" thickBot="1">
      <c r="A351" s="645"/>
      <c r="B351" s="645"/>
      <c r="C351" s="645"/>
      <c r="D351" s="645"/>
      <c r="E351" s="646"/>
      <c r="F351" s="381"/>
      <c r="G351" s="381"/>
      <c r="H351" s="381"/>
      <c r="I351" s="123"/>
      <c r="J351" s="88"/>
      <c r="K351" s="89"/>
      <c r="L351" s="89"/>
      <c r="M351" s="1976"/>
      <c r="N351" s="1976"/>
      <c r="O351" s="1976"/>
      <c r="P351" s="1976"/>
      <c r="Q351" s="1976"/>
      <c r="R351" s="1976"/>
      <c r="S351" s="1976"/>
      <c r="T351" s="1976"/>
      <c r="U351" s="1976"/>
      <c r="V351" s="1976"/>
      <c r="W351" s="1976"/>
      <c r="X351" s="1976"/>
      <c r="Y351" s="1976"/>
      <c r="Z351" s="1976"/>
      <c r="AA351" s="1976"/>
      <c r="AB351" s="1976"/>
      <c r="AC351" s="1976"/>
      <c r="AD351" s="1976"/>
      <c r="AE351" s="1976"/>
      <c r="AF351" s="1976"/>
      <c r="AG351" s="1976"/>
      <c r="AH351" s="1976"/>
      <c r="AI351" s="1976"/>
      <c r="AJ351" s="1976"/>
      <c r="AK351" s="1976"/>
      <c r="AL351" s="1976"/>
      <c r="AM351" s="1976"/>
      <c r="AN351" s="1976"/>
      <c r="AO351" s="1976"/>
      <c r="AP351" s="1976"/>
      <c r="AQ351" s="1976"/>
      <c r="AR351" s="1976"/>
      <c r="AS351" s="1976"/>
      <c r="AT351" s="2004"/>
      <c r="AU351" s="2004"/>
      <c r="AV351" s="2004"/>
      <c r="AW351" s="2004"/>
      <c r="AX351" s="2004"/>
      <c r="AY351" s="2004"/>
      <c r="AZ351" s="2004"/>
      <c r="BA351" s="2004"/>
      <c r="BB351" s="2004"/>
      <c r="BC351" s="2004"/>
      <c r="BD351" s="2004"/>
      <c r="BE351" s="2004"/>
      <c r="BF351" s="2004"/>
      <c r="BG351" s="2004"/>
      <c r="BH351" s="2004"/>
      <c r="BI351" s="2004"/>
      <c r="BJ351" s="2004"/>
      <c r="BK351" s="2004"/>
      <c r="BL351" s="2004"/>
      <c r="BM351" s="2004"/>
      <c r="BN351" s="2004"/>
      <c r="BO351" s="2004"/>
      <c r="BP351" s="2004"/>
      <c r="BQ351" s="2004"/>
      <c r="BR351" s="2004"/>
      <c r="BS351" s="1976" t="s">
        <v>865</v>
      </c>
      <c r="BT351" s="1976"/>
      <c r="BU351" s="1976"/>
      <c r="BV351" s="1977" t="s">
        <v>383</v>
      </c>
      <c r="BW351" s="1977"/>
      <c r="BX351" s="1977"/>
      <c r="BY351" s="1977" t="s">
        <v>1700</v>
      </c>
      <c r="BZ351" s="1978"/>
      <c r="CA351" s="1978"/>
      <c r="CB351" s="2122"/>
      <c r="CC351" s="2122"/>
      <c r="CD351" s="2122"/>
      <c r="CE351" s="2122"/>
      <c r="CF351" s="2122"/>
      <c r="CG351" s="2122"/>
      <c r="CH351" s="2122"/>
      <c r="CI351" s="2122"/>
      <c r="CJ351" s="2122"/>
      <c r="CK351" s="2122"/>
      <c r="CL351" s="2122"/>
      <c r="CM351" s="2122"/>
      <c r="CN351" s="2122"/>
      <c r="CO351" s="2122"/>
      <c r="CP351" s="2122"/>
      <c r="CQ351" s="2122"/>
      <c r="CR351" s="2122"/>
      <c r="CS351" s="2122"/>
      <c r="CT351" s="2122"/>
      <c r="CU351" s="2123"/>
      <c r="CV351" s="108"/>
      <c r="CW351" s="108"/>
      <c r="CX351" s="108"/>
      <c r="CY351" s="108"/>
      <c r="CZ351" s="108"/>
      <c r="DA351" s="108"/>
      <c r="DB351" s="108"/>
      <c r="DC351" s="35"/>
      <c r="DD351" s="381"/>
      <c r="DE351" s="34"/>
      <c r="DF351" s="34"/>
      <c r="DG351" s="34"/>
      <c r="DH351" s="34"/>
      <c r="DI351" s="34"/>
      <c r="DJ351" s="1695" t="s">
        <v>5640</v>
      </c>
      <c r="DK351" s="1706" t="s">
        <v>5639</v>
      </c>
      <c r="DL351" s="1696" t="s">
        <v>5641</v>
      </c>
      <c r="DM351" s="512" t="s">
        <v>347</v>
      </c>
      <c r="DN351" s="471" t="s">
        <v>348</v>
      </c>
      <c r="DO351" s="471" t="s">
        <v>349</v>
      </c>
      <c r="DP351" s="472" t="s">
        <v>350</v>
      </c>
      <c r="DQ351" s="192" t="s">
        <v>863</v>
      </c>
      <c r="DR351" s="470" t="s">
        <v>754</v>
      </c>
      <c r="DS351" s="478" t="s">
        <v>753</v>
      </c>
      <c r="DT351" s="479" t="s">
        <v>746</v>
      </c>
      <c r="DU351" s="523" t="s">
        <v>920</v>
      </c>
      <c r="DV351" s="524" t="s">
        <v>912</v>
      </c>
      <c r="DW351" s="525" t="s">
        <v>695</v>
      </c>
      <c r="DX351" s="2490"/>
      <c r="DY351" s="1973"/>
      <c r="DZ351" s="1975"/>
      <c r="EA351" s="2486"/>
      <c r="EB351" s="235" t="s">
        <v>950</v>
      </c>
      <c r="EC351" s="228" t="s">
        <v>949</v>
      </c>
      <c r="ED351" s="228" t="s">
        <v>943</v>
      </c>
      <c r="EE351" s="215" t="s">
        <v>944</v>
      </c>
      <c r="EF351" s="216" t="s">
        <v>945</v>
      </c>
      <c r="EG351" s="214" t="s">
        <v>941</v>
      </c>
      <c r="EH351" s="215" t="s">
        <v>942</v>
      </c>
      <c r="EI351" s="228" t="s">
        <v>943</v>
      </c>
      <c r="EJ351" s="215" t="s">
        <v>944</v>
      </c>
      <c r="EK351" s="450" t="s">
        <v>945</v>
      </c>
      <c r="EL351" s="223" t="s">
        <v>358</v>
      </c>
      <c r="EM351" s="112" t="s">
        <v>693</v>
      </c>
      <c r="EN351" s="220" t="s">
        <v>694</v>
      </c>
      <c r="EO351" s="35"/>
      <c r="EP351" s="313"/>
      <c r="EQ351" s="313"/>
      <c r="ER351" s="313"/>
      <c r="ES351" s="309"/>
      <c r="ET351" s="35"/>
      <c r="EU351" s="309"/>
      <c r="EV351" s="309"/>
      <c r="EW351" s="309"/>
      <c r="EX351" s="309"/>
      <c r="EY351" s="310"/>
      <c r="EZ351" s="310"/>
      <c r="FA351" s="310"/>
      <c r="FB351" s="310"/>
      <c r="FC351" s="310"/>
      <c r="FD351" s="310"/>
      <c r="FE351" s="310"/>
      <c r="FF351" s="310"/>
      <c r="FG351" s="310"/>
      <c r="FH351" s="310"/>
      <c r="FI351" s="120"/>
      <c r="FJ351" s="108"/>
      <c r="FK351" s="1904"/>
      <c r="FL351" s="1905"/>
      <c r="FM351" s="1905"/>
      <c r="FN351" s="1905"/>
      <c r="FO351" s="1906"/>
      <c r="FQ351" s="235" t="s">
        <v>950</v>
      </c>
      <c r="FR351" s="228" t="s">
        <v>949</v>
      </c>
      <c r="FS351" s="228" t="s">
        <v>943</v>
      </c>
      <c r="FT351" s="215" t="s">
        <v>944</v>
      </c>
      <c r="FU351" s="415" t="s">
        <v>945</v>
      </c>
      <c r="FW351" s="1160">
        <f t="shared" si="220"/>
        <v>0</v>
      </c>
      <c r="FX351" s="123"/>
      <c r="FY351" s="123"/>
      <c r="FZ351" s="1161"/>
      <c r="GA351" s="34"/>
      <c r="GB351" s="123"/>
      <c r="GC351" s="123"/>
      <c r="GE351" s="1165"/>
      <c r="GF351" s="1165"/>
      <c r="GG351" s="1165"/>
      <c r="GH351" s="1165"/>
      <c r="GI351" s="1165"/>
      <c r="GJ351" s="1165"/>
      <c r="GK351" s="1165"/>
      <c r="GL351" s="1165"/>
      <c r="GM351" s="1165"/>
      <c r="GN351" s="1165"/>
      <c r="GO351" s="1165"/>
      <c r="GP351" s="1165"/>
      <c r="GQ351" s="1165"/>
      <c r="GR351" s="1165"/>
      <c r="GS351" s="1165"/>
      <c r="GT351" s="1165"/>
      <c r="GU351" s="1165"/>
      <c r="GV351" s="1165"/>
      <c r="GW351" s="123"/>
      <c r="GX351" s="123"/>
      <c r="GY351" s="123"/>
      <c r="HB351" s="1165"/>
      <c r="HC351" s="1165"/>
      <c r="HD351" s="1165"/>
      <c r="HE351" s="1165"/>
      <c r="HF351" s="1165"/>
      <c r="HG351" s="1165"/>
      <c r="HH351" s="1165"/>
      <c r="HI351" s="1165"/>
      <c r="HJ351" s="1165"/>
      <c r="HK351" s="1165"/>
      <c r="HL351" s="1165"/>
      <c r="HM351" s="1165"/>
      <c r="HN351" s="1165"/>
      <c r="HO351" s="1165"/>
      <c r="HP351" s="1165"/>
      <c r="HQ351" s="1165"/>
      <c r="HR351" s="1165"/>
      <c r="HT351" s="1704"/>
      <c r="HU351" s="1704"/>
      <c r="HV351" s="1704"/>
      <c r="HW351" s="1704"/>
      <c r="HX351" s="1704"/>
    </row>
    <row r="352" spans="1:232" s="69" customFormat="1" ht="50.15" customHeight="1">
      <c r="A352" s="645"/>
      <c r="B352" s="645"/>
      <c r="C352" s="645"/>
      <c r="D352" s="645"/>
      <c r="E352" s="646"/>
      <c r="F352" s="381"/>
      <c r="G352" s="381"/>
      <c r="H352" s="381"/>
      <c r="J352" s="80"/>
      <c r="K352" s="89"/>
      <c r="L352" s="89"/>
      <c r="M352" s="1968" t="s">
        <v>307</v>
      </c>
      <c r="N352" s="1968"/>
      <c r="O352" s="1968"/>
      <c r="P352" s="1966" t="s">
        <v>73</v>
      </c>
      <c r="Q352" s="1966"/>
      <c r="R352" s="1966"/>
      <c r="S352" s="1966"/>
      <c r="T352" s="1966"/>
      <c r="U352" s="1966" t="s">
        <v>74</v>
      </c>
      <c r="V352" s="1966"/>
      <c r="W352" s="1966"/>
      <c r="X352" s="1966"/>
      <c r="Y352" s="1966"/>
      <c r="Z352" s="1966"/>
      <c r="AA352" s="1966"/>
      <c r="AB352" s="1966"/>
      <c r="AC352" s="1966"/>
      <c r="AD352" s="1966"/>
      <c r="AE352" s="1966"/>
      <c r="AF352" s="1995"/>
      <c r="AG352" s="1995"/>
      <c r="AH352" s="1995"/>
      <c r="AI352" s="1995"/>
      <c r="AJ352" s="1995"/>
      <c r="AK352" s="1995"/>
      <c r="AL352" s="1995"/>
      <c r="AM352" s="1995"/>
      <c r="AN352" s="1995"/>
      <c r="AO352" s="1995"/>
      <c r="AP352" s="1995"/>
      <c r="AQ352" s="1995"/>
      <c r="AR352" s="1957"/>
      <c r="AS352" s="1957"/>
      <c r="AT352" s="1928"/>
      <c r="AU352" s="1928"/>
      <c r="AV352" s="1928"/>
      <c r="AW352" s="1928"/>
      <c r="AX352" s="1928"/>
      <c r="AY352" s="1928"/>
      <c r="AZ352" s="1928"/>
      <c r="BA352" s="1928"/>
      <c r="BB352" s="1928"/>
      <c r="BC352" s="1928"/>
      <c r="BD352" s="1928"/>
      <c r="BE352" s="1928"/>
      <c r="BF352" s="1928"/>
      <c r="BG352" s="1928"/>
      <c r="BH352" s="1928"/>
      <c r="BI352" s="1928"/>
      <c r="BJ352" s="1928"/>
      <c r="BK352" s="1928"/>
      <c r="BL352" s="1928"/>
      <c r="BM352" s="1928"/>
      <c r="BN352" s="1928"/>
      <c r="BO352" s="1928"/>
      <c r="BP352" s="1928"/>
      <c r="BQ352" s="1928"/>
      <c r="BR352" s="1928"/>
      <c r="BS352" s="1998"/>
      <c r="BT352" s="1998"/>
      <c r="BU352" s="1998"/>
      <c r="BV352" s="1989"/>
      <c r="BW352" s="1989"/>
      <c r="BX352" s="1989"/>
      <c r="BY352" s="1989"/>
      <c r="BZ352" s="1990"/>
      <c r="CA352" s="1990"/>
      <c r="CB352" s="2338"/>
      <c r="CC352" s="2339"/>
      <c r="CD352" s="2339"/>
      <c r="CE352" s="2339"/>
      <c r="CF352" s="2339"/>
      <c r="CG352" s="2339"/>
      <c r="CH352" s="2339"/>
      <c r="CI352" s="2339"/>
      <c r="CJ352" s="2339"/>
      <c r="CK352" s="2339"/>
      <c r="CL352" s="2339"/>
      <c r="CM352" s="2339"/>
      <c r="CN352" s="2339"/>
      <c r="CO352" s="2339"/>
      <c r="CP352" s="2339"/>
      <c r="CQ352" s="2339"/>
      <c r="CR352" s="2339"/>
      <c r="CS352" s="2339"/>
      <c r="CT352" s="2339"/>
      <c r="CU352" s="2340"/>
      <c r="CV352" s="2360" t="str">
        <f t="shared" ref="CV352:CV360" si="221">IF(AND(DT352="要是正",DU352&lt;21),HYPERLINK("#"&amp;EL352&amp;"!"&amp;EM352&amp;":"&amp;EN352&amp;"","関連写真添付"),"")</f>
        <v/>
      </c>
      <c r="CW352" s="2360"/>
      <c r="CX352" s="2360"/>
      <c r="CY352" s="2360"/>
      <c r="CZ352" s="2360"/>
      <c r="DA352" s="2360"/>
      <c r="DC352" s="600" t="str">
        <f t="shared" ref="DC352:DC360" si="222">IF(AND(DU352&lt;&gt;"",DU352&gt;20),"「別途様式を作成、提出してください。」","")</f>
        <v/>
      </c>
      <c r="DD352" s="381"/>
      <c r="DF352" s="34"/>
      <c r="DG352" s="34"/>
      <c r="DH352" s="34"/>
      <c r="DI352" s="34"/>
      <c r="DJ352" s="858" t="s">
        <v>5637</v>
      </c>
      <c r="DK352" s="1707" t="str">
        <f>IF(DS352=2,DATE(VLOOKUP(DJ352,$DU$6:$DV$9,2,FALSE)+BS352,BV352,1),"")</f>
        <v/>
      </c>
      <c r="DL352" s="1692" t="str">
        <f>IF(DS352=2,DJ352&amp;BS352&amp;"."&amp;BV352,"")</f>
        <v/>
      </c>
      <c r="DM352" s="1691">
        <f t="shared" ref="DM352:DM365" si="223">COUNTIFS(AF352,"―対象外")</f>
        <v>0</v>
      </c>
      <c r="DN352" s="111">
        <f t="shared" ref="DN352:DN360" si="224">COUNTIFS(AF352,"○指摘なし")</f>
        <v>0</v>
      </c>
      <c r="DO352" s="111">
        <f t="shared" ref="DO352:DO360" si="225">COUNTIFS(AF352,"×要是正（既存不適格以外）")</f>
        <v>0</v>
      </c>
      <c r="DP352" s="474">
        <f t="shared" ref="DP352:DP360" si="226">COUNTIFS(AF352,"△既存不適格")</f>
        <v>0</v>
      </c>
      <c r="DQ352" s="126" t="s">
        <v>307</v>
      </c>
      <c r="DR352" s="473" t="str">
        <f>IF($U352="",P352,U352)</f>
        <v>屋上面の劣化及び損傷の状況</v>
      </c>
      <c r="DS352" s="112">
        <f t="shared" ref="DS352:DS360" si="227">COUNTA(BS352:BX352)</f>
        <v>0</v>
      </c>
      <c r="DT352" s="118" t="str">
        <f t="shared" ref="DT352:DT360" si="228">IF(AF352="×要是正（既存不適格以外）","要是正","")&amp;IF(AF352="△既存不適格","既存不適格","")</f>
        <v/>
      </c>
      <c r="DU352" s="452" t="str">
        <f t="shared" ref="DU352:DU365" si="229">IF(HV352="","",HV352)</f>
        <v/>
      </c>
      <c r="DV352" s="151" t="str">
        <f>IF($DT352="要是正",MAX($DV$348:DV349)+1,"")</f>
        <v/>
      </c>
      <c r="DW352" s="485" t="str">
        <f t="shared" ref="DW352:DW360" si="230">IF(OR(AF352="×要是正（既存不適格以外）",AF352="△既存不適格"),DQ352,"")</f>
        <v/>
      </c>
      <c r="DX352" s="119" t="str">
        <f t="shared" ref="DX352:DX365" si="231">IF(OR($DT352="要是正",$DT352="既存不適格"),$DR352,"")</f>
        <v/>
      </c>
      <c r="DY352" s="33" t="str">
        <f>IF($DT352="要是正",IF(AT352="","",DQ352 &amp;" " &amp; AT352),"")</f>
        <v/>
      </c>
      <c r="DZ352" s="217" t="str">
        <f t="shared" ref="DZ352:DZ360" si="232">IF($DT352="要是正",IF(BD352="","",BD352),"")</f>
        <v/>
      </c>
      <c r="EA352" s="466" t="str">
        <f t="shared" ref="EA352:EA365" si="233">IF(BY352="未定","未定",IF(FR352="0","",IF(BY352="予定","("&amp;DL352&amp;")",IF(BY352="改善済",DL352,DL352))))</f>
        <v/>
      </c>
      <c r="EB352" s="234" t="str">
        <f t="shared" ref="EB352:EB365" si="234">IF(OR(DT352="要是正",DT352="既存不適格"),IF(OR(DS352&lt;2,BY352&lt;&gt;"予定"),"",DK352),"")</f>
        <v/>
      </c>
      <c r="EC352" s="227" t="str">
        <f t="shared" ref="EC352:EC365" si="235">IF(EB352="","0",EB352)</f>
        <v>0</v>
      </c>
      <c r="ED352" s="148" t="str">
        <f>IF(DT352="要是正",IF(AND(BY352="予定",DS352=2),1,IF(BY352="改善済",2,"")),"")</f>
        <v/>
      </c>
      <c r="EE352" s="227" t="str">
        <f>IF(ED352=1,EC352,"0")</f>
        <v>0</v>
      </c>
      <c r="EF352" s="130" t="str">
        <f t="shared" ref="EF352:EF360" si="236">IF(AND(DT352="要是正",AND(DS352=0,BY352="未定")),BY352,"")</f>
        <v/>
      </c>
      <c r="EG352" s="204" t="str">
        <f t="shared" ref="EG352:EG365" si="237">IF(DT352="既存不適格",IF(OR(DS352&lt;2,BY352&lt;&gt;"予定"),"",DK352),"")</f>
        <v/>
      </c>
      <c r="EH352" s="134" t="str">
        <f t="shared" ref="EH352:EH365" si="238">IF(EG352="","0",EG352)</f>
        <v>0</v>
      </c>
      <c r="EI352" s="148" t="str">
        <f>IF(DT352="既存不適格",IF(AND(BY352="予定",DS352=2),1,IF(BY352="改善済",2,"")),"")</f>
        <v/>
      </c>
      <c r="EJ352" s="227" t="str">
        <f>IF(EI352=1,EH352,"0")</f>
        <v>0</v>
      </c>
      <c r="EK352" s="451" t="str">
        <f t="shared" ref="EK352:EK360" si="239">IF(AND(DT352="既存不適格",AND(DS352=0,BY352="未定")),BY352,"")</f>
        <v/>
      </c>
      <c r="EL352" s="452" t="e">
        <f t="shared" ref="EL352:EL360" si="240">VLOOKUP($DU352,$EO$306:$ER$334,2,FALSE)</f>
        <v>#N/A</v>
      </c>
      <c r="EM352" s="151" t="e">
        <f t="shared" ref="EM352:EM360" si="241">VLOOKUP($DU352,$EO$306:$ER$334,3,FALSE)</f>
        <v>#N/A</v>
      </c>
      <c r="EN352" s="453" t="e">
        <f t="shared" ref="EN352:EN360" si="242">VLOOKUP($DU352,$EO$306:$ER$334,4,FALSE)</f>
        <v>#N/A</v>
      </c>
      <c r="EO352" s="35"/>
      <c r="EP352" s="35"/>
      <c r="EQ352" s="35"/>
      <c r="ER352" s="35"/>
      <c r="ES352" s="35"/>
      <c r="ET352" s="35"/>
      <c r="EU352" s="35"/>
      <c r="EV352" s="35"/>
      <c r="EW352" s="35"/>
      <c r="EX352" s="35"/>
      <c r="EY352" s="35"/>
      <c r="EZ352" s="35"/>
      <c r="FA352" s="35"/>
      <c r="FB352" s="35"/>
      <c r="FC352" s="35"/>
      <c r="FD352" s="35"/>
      <c r="FE352" s="35"/>
      <c r="FF352" s="35"/>
      <c r="FG352" s="35"/>
      <c r="FH352" s="35"/>
      <c r="FI352" s="35"/>
      <c r="FK352" s="597" t="str">
        <f t="shared" ref="FK352:FK365" si="243">IF($AF352="○指摘なし","○",IF($AF352="―対象外","―",""))</f>
        <v/>
      </c>
      <c r="FL352" s="597" t="str">
        <f t="shared" si="71"/>
        <v/>
      </c>
      <c r="FM352" s="597" t="str">
        <f t="shared" si="72"/>
        <v/>
      </c>
      <c r="FN352" s="597">
        <f t="shared" ref="FN352:FN360" si="244">AR352</f>
        <v>0</v>
      </c>
      <c r="FO352" s="1163" t="str">
        <f t="shared" ref="FO352:FO365" si="245">IF($AF352="―対象外","○","")</f>
        <v/>
      </c>
      <c r="FQ352" s="234" t="str">
        <f t="shared" ref="FQ352:FQ365" si="246">IF(NOT(OR(BY352="未定",BY352="")),DK352,"")</f>
        <v/>
      </c>
      <c r="FR352" s="227" t="str">
        <f t="shared" ref="FR352:FR365" si="247">IF(FQ352="","0",FQ352)</f>
        <v>0</v>
      </c>
      <c r="FS352" s="148" t="str">
        <f t="shared" ref="FS352:FS360" si="248">IF(OR(BY352="予定",BY352="改善済"),1,"")</f>
        <v/>
      </c>
      <c r="FT352" s="227" t="str">
        <f>IF(FS352=1,FR352,"0")</f>
        <v>0</v>
      </c>
      <c r="FU352" s="416" t="str">
        <f t="shared" ref="FU352:FU360" si="249">IF(AND(DT352="要是正",AND(DS352=0,BY352="未定")),BY352,"")</f>
        <v/>
      </c>
      <c r="FW352" s="1160">
        <f t="shared" si="220"/>
        <v>0</v>
      </c>
      <c r="FX352" s="123"/>
      <c r="FY352" s="123"/>
      <c r="FZ352" s="1161"/>
      <c r="GA352" s="34"/>
      <c r="GB352" s="1149">
        <f t="shared" si="79"/>
        <v>0</v>
      </c>
      <c r="GC352" s="1149">
        <f t="shared" si="80"/>
        <v>0</v>
      </c>
      <c r="GD352" s="1149">
        <f t="shared" si="81"/>
        <v>0</v>
      </c>
      <c r="GE352" s="1149" t="str">
        <f t="shared" ref="GE352:GE365" si="250">IF(GE$306=$M352,$BY$512,"")</f>
        <v/>
      </c>
      <c r="GF352" s="1149" t="str">
        <f t="shared" ref="GF352:GF365" si="251">IF(GF$306=$M352,$BY$513,"")</f>
        <v/>
      </c>
      <c r="GG352" s="1149" t="str">
        <f t="shared" ref="GG352:GG365" si="252">IF(GG$306=$M352,$BY$514,"")</f>
        <v/>
      </c>
      <c r="GH352" s="1149" t="str">
        <f t="shared" ref="GH352:GH365" si="253">IF(GH$306=$M352,$BY$515,"")</f>
        <v/>
      </c>
      <c r="GI352" s="1149" t="str">
        <f t="shared" ref="GI352:GI365" si="254">IF(GI$306=$M352,$BY$516,"")</f>
        <v/>
      </c>
      <c r="GJ352" s="1149" t="str">
        <f t="shared" ref="GJ352:GJ365" si="255">IF(GJ$306=$M352,$BY$517,"")</f>
        <v/>
      </c>
      <c r="GK352" s="1149" t="str">
        <f t="shared" ref="GK352:GK365" si="256">IF(GK$306=$M352,$BY$518,"")</f>
        <v/>
      </c>
      <c r="GL352" s="1149" t="str">
        <f t="shared" ref="GL352:GL365" si="257">IF(GL$306=$M352,$BY$519,"")</f>
        <v/>
      </c>
      <c r="GM352" s="1149" t="str">
        <f t="shared" ref="GM352:GM365" si="258">IF(GM$306=$M352,$BY$520,"")</f>
        <v/>
      </c>
      <c r="GN352" s="1149" t="str">
        <f t="shared" ref="GN352:GN365" si="259">IF(GN$306=$M352,$BY$521,"")</f>
        <v/>
      </c>
      <c r="GO352" s="1149" t="str">
        <f t="shared" ref="GO352:GO365" si="260">IF(GO$306=$M352,$BY$522,"")</f>
        <v/>
      </c>
      <c r="GP352" s="1149" t="str">
        <f t="shared" ref="GP352:GP365" si="261">IF(GP$306=$M352,$BY$523,"")</f>
        <v/>
      </c>
      <c r="GQ352" s="1149" t="str">
        <f t="shared" ref="GQ352:GQ365" si="262">IF(GQ$306=$M352,$BY$524,"")</f>
        <v/>
      </c>
      <c r="GR352" s="1149" t="str">
        <f t="shared" ref="GR352:GR365" si="263">IF(GR$306=$M352,$BY$525,"")</f>
        <v/>
      </c>
      <c r="GS352" s="1149" t="str">
        <f t="shared" ref="GS352:GS365" si="264">IF(GS$306=$M352,$BY$526,"")</f>
        <v/>
      </c>
      <c r="GT352" s="1149">
        <f t="shared" si="82"/>
        <v>0</v>
      </c>
      <c r="GU352" s="1149">
        <f t="shared" si="83"/>
        <v>0</v>
      </c>
      <c r="GV352" s="1149">
        <f t="shared" si="84"/>
        <v>0</v>
      </c>
      <c r="GW352" s="1149" t="b">
        <f t="shared" si="85"/>
        <v>0</v>
      </c>
      <c r="GX352" s="1149" t="b">
        <f t="shared" si="86"/>
        <v>0</v>
      </c>
      <c r="GY352" s="1149" t="b">
        <f t="shared" si="87"/>
        <v>0</v>
      </c>
      <c r="GZ352" s="1149" t="str">
        <f t="shared" si="180"/>
        <v/>
      </c>
      <c r="HB352" s="1149" t="str">
        <f t="shared" si="89"/>
        <v/>
      </c>
      <c r="HC352" s="1149" t="str">
        <f t="shared" si="90"/>
        <v/>
      </c>
      <c r="HD352" s="1149" t="str">
        <f t="shared" si="91"/>
        <v/>
      </c>
      <c r="HE352" s="1149" t="str">
        <f t="shared" si="92"/>
        <v/>
      </c>
      <c r="HF352" s="1149" t="str">
        <f t="shared" si="93"/>
        <v/>
      </c>
      <c r="HG352" s="1149" t="str">
        <f t="shared" si="94"/>
        <v/>
      </c>
      <c r="HH352" s="1149" t="str">
        <f t="shared" si="95"/>
        <v/>
      </c>
      <c r="HI352" s="1149" t="str">
        <f t="shared" si="96"/>
        <v/>
      </c>
      <c r="HJ352" s="1149" t="str">
        <f t="shared" si="97"/>
        <v/>
      </c>
      <c r="HK352" s="1149" t="str">
        <f t="shared" si="98"/>
        <v/>
      </c>
      <c r="HL352" s="1149" t="str">
        <f t="shared" si="99"/>
        <v/>
      </c>
      <c r="HM352" s="1149" t="str">
        <f t="shared" si="100"/>
        <v/>
      </c>
      <c r="HN352" s="1149" t="str">
        <f t="shared" si="101"/>
        <v/>
      </c>
      <c r="HO352" s="1149" t="str">
        <f t="shared" si="102"/>
        <v/>
      </c>
      <c r="HP352" s="1149" t="str">
        <f t="shared" si="103"/>
        <v/>
      </c>
      <c r="HQ352" s="1149" t="str">
        <f t="shared" si="104"/>
        <v/>
      </c>
      <c r="HR352" s="1149" t="str">
        <f t="shared" si="105"/>
        <v/>
      </c>
      <c r="HT352" s="1149">
        <f>LEFT(M352,1)*10000+MID(M352,3,LEN(M352)-3)*100+COUNTIF($M$307:M352,M352)</f>
        <v>30101</v>
      </c>
      <c r="HU352" s="1149" t="str">
        <f t="shared" si="106"/>
        <v/>
      </c>
      <c r="HV352" s="1149" t="str">
        <f t="shared" si="107"/>
        <v/>
      </c>
      <c r="HW352" s="1149" t="str">
        <f t="shared" si="108"/>
        <v/>
      </c>
      <c r="HX352" s="1149" t="str">
        <f t="shared" si="109"/>
        <v/>
      </c>
    </row>
    <row r="353" spans="1:232" s="69" customFormat="1" ht="50.15" customHeight="1">
      <c r="A353" s="645"/>
      <c r="B353" s="645"/>
      <c r="C353" s="645"/>
      <c r="D353" s="645"/>
      <c r="E353" s="646"/>
      <c r="F353" s="381"/>
      <c r="G353" s="381"/>
      <c r="H353" s="381"/>
      <c r="J353" s="80"/>
      <c r="K353" s="89"/>
      <c r="L353" s="89"/>
      <c r="M353" s="1968" t="s">
        <v>1214</v>
      </c>
      <c r="N353" s="1968"/>
      <c r="O353" s="1968"/>
      <c r="P353" s="2096" t="s">
        <v>220</v>
      </c>
      <c r="Q353" s="2096"/>
      <c r="R353" s="2096"/>
      <c r="S353" s="2096"/>
      <c r="T353" s="2096"/>
      <c r="U353" s="2011" t="s">
        <v>75</v>
      </c>
      <c r="V353" s="2011"/>
      <c r="W353" s="2011"/>
      <c r="X353" s="2011"/>
      <c r="Y353" s="2011"/>
      <c r="Z353" s="2011"/>
      <c r="AA353" s="2011"/>
      <c r="AB353" s="2011"/>
      <c r="AC353" s="2011"/>
      <c r="AD353" s="2011"/>
      <c r="AE353" s="2011"/>
      <c r="AF353" s="2010"/>
      <c r="AG353" s="2010"/>
      <c r="AH353" s="2010"/>
      <c r="AI353" s="2010"/>
      <c r="AJ353" s="2010"/>
      <c r="AK353" s="2010"/>
      <c r="AL353" s="2010"/>
      <c r="AM353" s="2010"/>
      <c r="AN353" s="2010"/>
      <c r="AO353" s="2010"/>
      <c r="AP353" s="2010"/>
      <c r="AQ353" s="2010"/>
      <c r="AR353" s="2017"/>
      <c r="AS353" s="2017"/>
      <c r="AT353" s="1929"/>
      <c r="AU353" s="1929"/>
      <c r="AV353" s="1929"/>
      <c r="AW353" s="1929"/>
      <c r="AX353" s="1929"/>
      <c r="AY353" s="1929"/>
      <c r="AZ353" s="1929"/>
      <c r="BA353" s="1929"/>
      <c r="BB353" s="1929"/>
      <c r="BC353" s="1929"/>
      <c r="BD353" s="1929"/>
      <c r="BE353" s="1929"/>
      <c r="BF353" s="1929"/>
      <c r="BG353" s="1929"/>
      <c r="BH353" s="1929"/>
      <c r="BI353" s="1929"/>
      <c r="BJ353" s="1929"/>
      <c r="BK353" s="1929"/>
      <c r="BL353" s="1929"/>
      <c r="BM353" s="1929"/>
      <c r="BN353" s="1929"/>
      <c r="BO353" s="1929"/>
      <c r="BP353" s="1929"/>
      <c r="BQ353" s="1929"/>
      <c r="BR353" s="1929"/>
      <c r="BS353" s="1885"/>
      <c r="BT353" s="1885"/>
      <c r="BU353" s="1885"/>
      <c r="BV353" s="1890"/>
      <c r="BW353" s="1890"/>
      <c r="BX353" s="1890"/>
      <c r="BY353" s="1890"/>
      <c r="BZ353" s="1891"/>
      <c r="CA353" s="1891"/>
      <c r="CB353" s="1925"/>
      <c r="CC353" s="1926"/>
      <c r="CD353" s="1926"/>
      <c r="CE353" s="1926"/>
      <c r="CF353" s="1926"/>
      <c r="CG353" s="1926"/>
      <c r="CH353" s="1926"/>
      <c r="CI353" s="1926"/>
      <c r="CJ353" s="1926"/>
      <c r="CK353" s="1926"/>
      <c r="CL353" s="1926"/>
      <c r="CM353" s="1926"/>
      <c r="CN353" s="1926"/>
      <c r="CO353" s="1926"/>
      <c r="CP353" s="1926"/>
      <c r="CQ353" s="1926"/>
      <c r="CR353" s="1926"/>
      <c r="CS353" s="1926"/>
      <c r="CT353" s="1926"/>
      <c r="CU353" s="1927"/>
      <c r="CV353" s="2360" t="str">
        <f t="shared" si="221"/>
        <v/>
      </c>
      <c r="CW353" s="2360"/>
      <c r="CX353" s="2360"/>
      <c r="CY353" s="2360"/>
      <c r="CZ353" s="2360"/>
      <c r="DA353" s="2360"/>
      <c r="DC353" s="600" t="str">
        <f t="shared" si="222"/>
        <v/>
      </c>
      <c r="DD353" s="381"/>
      <c r="DF353" s="34"/>
      <c r="DG353" s="34"/>
      <c r="DH353" s="34"/>
      <c r="DI353" s="34"/>
      <c r="DJ353" s="858" t="s">
        <v>5637</v>
      </c>
      <c r="DK353" s="1707" t="str">
        <f t="shared" ref="DK353:DK365" si="265">IF(DS353=2,DATE(VLOOKUP(DJ353,$DU$6:$DV$9,2,FALSE)+BS353,BV353,1),"")</f>
        <v/>
      </c>
      <c r="DL353" s="1692" t="str">
        <f t="shared" ref="DL353:DL365" si="266">IF(DS353=2,DJ353&amp;BS353&amp;"."&amp;BV353,"")</f>
        <v/>
      </c>
      <c r="DM353" s="1691">
        <f t="shared" si="223"/>
        <v>0</v>
      </c>
      <c r="DN353" s="111">
        <f t="shared" si="224"/>
        <v>0</v>
      </c>
      <c r="DO353" s="111">
        <f t="shared" si="225"/>
        <v>0</v>
      </c>
      <c r="DP353" s="474">
        <f t="shared" si="226"/>
        <v>0</v>
      </c>
      <c r="DQ353" s="126" t="s">
        <v>308</v>
      </c>
      <c r="DR353" s="473" t="str">
        <f>IF($U353="",P353,U353)</f>
        <v>パラペットの立上り面の劣化及び損傷の状況</v>
      </c>
      <c r="DS353" s="112">
        <f t="shared" si="227"/>
        <v>0</v>
      </c>
      <c r="DT353" s="118" t="str">
        <f t="shared" si="228"/>
        <v/>
      </c>
      <c r="DU353" s="452" t="str">
        <f t="shared" si="229"/>
        <v/>
      </c>
      <c r="DV353" s="151" t="str">
        <f>IF($DT353="要是正",MAX($DV$348:DV352)+1,"")</f>
        <v/>
      </c>
      <c r="DW353" s="485" t="str">
        <f t="shared" si="230"/>
        <v/>
      </c>
      <c r="DX353" s="119" t="str">
        <f t="shared" si="231"/>
        <v/>
      </c>
      <c r="DY353" s="33" t="str">
        <f t="shared" ref="DY353:DY360" si="267">IF($DT353="要是正",IF(AT353="","",DQ353 &amp;" " &amp; AT353),"")</f>
        <v/>
      </c>
      <c r="DZ353" s="217" t="str">
        <f t="shared" si="232"/>
        <v/>
      </c>
      <c r="EA353" s="466" t="str">
        <f t="shared" si="233"/>
        <v/>
      </c>
      <c r="EB353" s="234" t="str">
        <f t="shared" si="234"/>
        <v/>
      </c>
      <c r="EC353" s="227" t="str">
        <f t="shared" si="235"/>
        <v>0</v>
      </c>
      <c r="ED353" s="148" t="str">
        <f t="shared" ref="ED353:ED360" si="268">IF(DT353="要是正",IF(AND(BY353="予定",DS353=2),1,IF(BY353="改善済",2,"")),"")</f>
        <v/>
      </c>
      <c r="EE353" s="227" t="str">
        <f t="shared" ref="EE353:EE360" si="269">IF(ED353=1,EC353,"0")</f>
        <v>0</v>
      </c>
      <c r="EF353" s="130" t="str">
        <f t="shared" si="236"/>
        <v/>
      </c>
      <c r="EG353" s="204" t="str">
        <f t="shared" si="237"/>
        <v/>
      </c>
      <c r="EH353" s="134" t="str">
        <f t="shared" si="238"/>
        <v>0</v>
      </c>
      <c r="EI353" s="148" t="str">
        <f t="shared" ref="EI353:EI360" si="270">IF(DT353="既存不適格",IF(AND(BY353="予定",DS353=2),1,IF(BY353="改善済",2,"")),"")</f>
        <v/>
      </c>
      <c r="EJ353" s="227" t="str">
        <f t="shared" ref="EJ353:EJ360" si="271">IF(EI353=1,EH353,"0")</f>
        <v>0</v>
      </c>
      <c r="EK353" s="451" t="str">
        <f t="shared" si="239"/>
        <v/>
      </c>
      <c r="EL353" s="452" t="e">
        <f t="shared" si="240"/>
        <v>#N/A</v>
      </c>
      <c r="EM353" s="151" t="e">
        <f t="shared" si="241"/>
        <v>#N/A</v>
      </c>
      <c r="EN353" s="453" t="e">
        <f t="shared" si="242"/>
        <v>#N/A</v>
      </c>
      <c r="FK353" s="597" t="str">
        <f t="shared" si="243"/>
        <v/>
      </c>
      <c r="FL353" s="597" t="str">
        <f t="shared" si="71"/>
        <v/>
      </c>
      <c r="FM353" s="597" t="str">
        <f t="shared" si="72"/>
        <v/>
      </c>
      <c r="FN353" s="597">
        <f t="shared" si="244"/>
        <v>0</v>
      </c>
      <c r="FO353" s="1163" t="str">
        <f t="shared" si="245"/>
        <v/>
      </c>
      <c r="FQ353" s="234" t="str">
        <f t="shared" si="246"/>
        <v/>
      </c>
      <c r="FR353" s="227" t="str">
        <f t="shared" si="247"/>
        <v>0</v>
      </c>
      <c r="FS353" s="148" t="str">
        <f t="shared" si="248"/>
        <v/>
      </c>
      <c r="FT353" s="227" t="str">
        <f t="shared" ref="FT353:FT360" si="272">IF(FS353=1,FR353,"0")</f>
        <v>0</v>
      </c>
      <c r="FU353" s="416" t="str">
        <f t="shared" si="249"/>
        <v/>
      </c>
      <c r="FW353" s="1160">
        <f t="shared" si="220"/>
        <v>0</v>
      </c>
      <c r="FX353" s="123"/>
      <c r="FY353" s="123"/>
      <c r="FZ353" s="1161"/>
      <c r="GA353" s="34"/>
      <c r="GB353" s="1149">
        <f t="shared" si="79"/>
        <v>0</v>
      </c>
      <c r="GC353" s="1149">
        <f t="shared" si="80"/>
        <v>0</v>
      </c>
      <c r="GD353" s="1149">
        <f t="shared" si="81"/>
        <v>0</v>
      </c>
      <c r="GE353" s="1149" t="str">
        <f t="shared" si="250"/>
        <v/>
      </c>
      <c r="GF353" s="1149" t="str">
        <f t="shared" si="251"/>
        <v/>
      </c>
      <c r="GG353" s="1149" t="str">
        <f t="shared" si="252"/>
        <v/>
      </c>
      <c r="GH353" s="1149" t="str">
        <f t="shared" si="253"/>
        <v/>
      </c>
      <c r="GI353" s="1149" t="str">
        <f t="shared" si="254"/>
        <v/>
      </c>
      <c r="GJ353" s="1149" t="str">
        <f t="shared" si="255"/>
        <v/>
      </c>
      <c r="GK353" s="1149" t="str">
        <f t="shared" si="256"/>
        <v/>
      </c>
      <c r="GL353" s="1149" t="str">
        <f t="shared" si="257"/>
        <v/>
      </c>
      <c r="GM353" s="1149" t="str">
        <f t="shared" si="258"/>
        <v/>
      </c>
      <c r="GN353" s="1149" t="str">
        <f t="shared" si="259"/>
        <v/>
      </c>
      <c r="GO353" s="1149" t="str">
        <f t="shared" si="260"/>
        <v/>
      </c>
      <c r="GP353" s="1149" t="str">
        <f t="shared" si="261"/>
        <v/>
      </c>
      <c r="GQ353" s="1149" t="str">
        <f t="shared" si="262"/>
        <v/>
      </c>
      <c r="GR353" s="1149" t="str">
        <f t="shared" si="263"/>
        <v/>
      </c>
      <c r="GS353" s="1149" t="str">
        <f t="shared" si="264"/>
        <v/>
      </c>
      <c r="GT353" s="1149">
        <f t="shared" si="82"/>
        <v>0</v>
      </c>
      <c r="GU353" s="1149">
        <f t="shared" si="83"/>
        <v>0</v>
      </c>
      <c r="GV353" s="1149">
        <f t="shared" si="84"/>
        <v>0</v>
      </c>
      <c r="GW353" s="1149" t="b">
        <f t="shared" si="85"/>
        <v>0</v>
      </c>
      <c r="GX353" s="1149" t="b">
        <f t="shared" si="86"/>
        <v>0</v>
      </c>
      <c r="GY353" s="1149" t="b">
        <f t="shared" si="87"/>
        <v>0</v>
      </c>
      <c r="GZ353" s="1149" t="str">
        <f t="shared" si="180"/>
        <v/>
      </c>
      <c r="HB353" s="1149" t="str">
        <f t="shared" si="89"/>
        <v/>
      </c>
      <c r="HC353" s="1149" t="str">
        <f t="shared" si="90"/>
        <v/>
      </c>
      <c r="HD353" s="1149" t="str">
        <f t="shared" si="91"/>
        <v/>
      </c>
      <c r="HE353" s="1149" t="str">
        <f t="shared" si="92"/>
        <v/>
      </c>
      <c r="HF353" s="1149" t="str">
        <f t="shared" si="93"/>
        <v/>
      </c>
      <c r="HG353" s="1149" t="str">
        <f t="shared" si="94"/>
        <v/>
      </c>
      <c r="HH353" s="1149" t="str">
        <f t="shared" si="95"/>
        <v/>
      </c>
      <c r="HI353" s="1149" t="str">
        <f t="shared" si="96"/>
        <v/>
      </c>
      <c r="HJ353" s="1149" t="str">
        <f t="shared" si="97"/>
        <v/>
      </c>
      <c r="HK353" s="1149" t="str">
        <f t="shared" si="98"/>
        <v/>
      </c>
      <c r="HL353" s="1149" t="str">
        <f t="shared" si="99"/>
        <v/>
      </c>
      <c r="HM353" s="1149" t="str">
        <f t="shared" si="100"/>
        <v/>
      </c>
      <c r="HN353" s="1149" t="str">
        <f t="shared" si="101"/>
        <v/>
      </c>
      <c r="HO353" s="1149" t="str">
        <f t="shared" si="102"/>
        <v/>
      </c>
      <c r="HP353" s="1149" t="str">
        <f t="shared" si="103"/>
        <v/>
      </c>
      <c r="HQ353" s="1149" t="str">
        <f t="shared" si="104"/>
        <v/>
      </c>
      <c r="HR353" s="1149" t="str">
        <f t="shared" si="105"/>
        <v/>
      </c>
      <c r="HT353" s="1149">
        <f>LEFT(M353,1)*10000+MID(M353,3,LEN(M353)-3)*100+COUNTIF($M$307:M353,M353)</f>
        <v>30201</v>
      </c>
      <c r="HU353" s="1149" t="str">
        <f t="shared" si="106"/>
        <v/>
      </c>
      <c r="HV353" s="1149" t="str">
        <f t="shared" si="107"/>
        <v/>
      </c>
      <c r="HW353" s="1149" t="str">
        <f t="shared" si="108"/>
        <v/>
      </c>
      <c r="HX353" s="1149" t="str">
        <f t="shared" si="109"/>
        <v/>
      </c>
    </row>
    <row r="354" spans="1:232" s="69" customFormat="1" ht="50.15" customHeight="1">
      <c r="A354" s="645"/>
      <c r="B354" s="645"/>
      <c r="C354" s="645"/>
      <c r="D354" s="645"/>
      <c r="E354" s="646"/>
      <c r="F354" s="381"/>
      <c r="G354" s="381"/>
      <c r="H354" s="381"/>
      <c r="J354" s="80"/>
      <c r="K354" s="89"/>
      <c r="L354" s="89"/>
      <c r="M354" s="1968" t="s">
        <v>1215</v>
      </c>
      <c r="N354" s="1968"/>
      <c r="O354" s="1968"/>
      <c r="P354" s="2029"/>
      <c r="Q354" s="2029"/>
      <c r="R354" s="2029"/>
      <c r="S354" s="2029"/>
      <c r="T354" s="2029"/>
      <c r="U354" s="1899" t="s">
        <v>76</v>
      </c>
      <c r="V354" s="1899"/>
      <c r="W354" s="1899"/>
      <c r="X354" s="1899"/>
      <c r="Y354" s="1899"/>
      <c r="Z354" s="1899"/>
      <c r="AA354" s="1899"/>
      <c r="AB354" s="1899"/>
      <c r="AC354" s="1899"/>
      <c r="AD354" s="1899"/>
      <c r="AE354" s="1899"/>
      <c r="AF354" s="1898"/>
      <c r="AG354" s="1898"/>
      <c r="AH354" s="1898"/>
      <c r="AI354" s="1898"/>
      <c r="AJ354" s="1898"/>
      <c r="AK354" s="1898"/>
      <c r="AL354" s="1898"/>
      <c r="AM354" s="1898"/>
      <c r="AN354" s="1898"/>
      <c r="AO354" s="1898"/>
      <c r="AP354" s="1898"/>
      <c r="AQ354" s="1898"/>
      <c r="AR354" s="1910"/>
      <c r="AS354" s="1910"/>
      <c r="AT354" s="1993"/>
      <c r="AU354" s="1993"/>
      <c r="AV354" s="1993"/>
      <c r="AW354" s="1993"/>
      <c r="AX354" s="1993"/>
      <c r="AY354" s="1993"/>
      <c r="AZ354" s="1993"/>
      <c r="BA354" s="1993"/>
      <c r="BB354" s="1993"/>
      <c r="BC354" s="1993"/>
      <c r="BD354" s="1993"/>
      <c r="BE354" s="1993"/>
      <c r="BF354" s="1993"/>
      <c r="BG354" s="1993"/>
      <c r="BH354" s="1993"/>
      <c r="BI354" s="1993"/>
      <c r="BJ354" s="1993"/>
      <c r="BK354" s="1993"/>
      <c r="BL354" s="1993"/>
      <c r="BM354" s="1993"/>
      <c r="BN354" s="1993"/>
      <c r="BO354" s="1993"/>
      <c r="BP354" s="1993"/>
      <c r="BQ354" s="1993"/>
      <c r="BR354" s="1993"/>
      <c r="BS354" s="1895"/>
      <c r="BT354" s="1895"/>
      <c r="BU354" s="1895"/>
      <c r="BV354" s="1889"/>
      <c r="BW354" s="1889"/>
      <c r="BX354" s="1889"/>
      <c r="BY354" s="1889"/>
      <c r="BZ354" s="1896"/>
      <c r="CA354" s="1896"/>
      <c r="CB354" s="1886"/>
      <c r="CC354" s="1887"/>
      <c r="CD354" s="1887"/>
      <c r="CE354" s="1887"/>
      <c r="CF354" s="1887"/>
      <c r="CG354" s="1887"/>
      <c r="CH354" s="1887"/>
      <c r="CI354" s="1887"/>
      <c r="CJ354" s="1887"/>
      <c r="CK354" s="1887"/>
      <c r="CL354" s="1887"/>
      <c r="CM354" s="1887"/>
      <c r="CN354" s="1887"/>
      <c r="CO354" s="1887"/>
      <c r="CP354" s="1887"/>
      <c r="CQ354" s="1887"/>
      <c r="CR354" s="1887"/>
      <c r="CS354" s="1887"/>
      <c r="CT354" s="1887"/>
      <c r="CU354" s="1888"/>
      <c r="CV354" s="2360" t="str">
        <f t="shared" si="221"/>
        <v/>
      </c>
      <c r="CW354" s="2360"/>
      <c r="CX354" s="2360"/>
      <c r="CY354" s="2360"/>
      <c r="CZ354" s="2360"/>
      <c r="DA354" s="2360"/>
      <c r="DC354" s="600" t="str">
        <f t="shared" si="222"/>
        <v/>
      </c>
      <c r="DD354" s="381"/>
      <c r="DF354" s="34"/>
      <c r="DG354" s="34"/>
      <c r="DH354" s="34"/>
      <c r="DI354" s="34"/>
      <c r="DJ354" s="858" t="s">
        <v>5637</v>
      </c>
      <c r="DK354" s="1707" t="str">
        <f t="shared" si="265"/>
        <v/>
      </c>
      <c r="DL354" s="1692" t="str">
        <f t="shared" si="266"/>
        <v/>
      </c>
      <c r="DM354" s="1691">
        <f t="shared" si="223"/>
        <v>0</v>
      </c>
      <c r="DN354" s="111">
        <f t="shared" si="224"/>
        <v>0</v>
      </c>
      <c r="DO354" s="111">
        <f t="shared" si="225"/>
        <v>0</v>
      </c>
      <c r="DP354" s="474">
        <f t="shared" si="226"/>
        <v>0</v>
      </c>
      <c r="DQ354" s="126" t="s">
        <v>309</v>
      </c>
      <c r="DR354" s="473" t="str">
        <f>IF($U354="",P353,U354)</f>
        <v>笠木モルタル等の劣化及び損傷の状況</v>
      </c>
      <c r="DS354" s="112">
        <f t="shared" si="227"/>
        <v>0</v>
      </c>
      <c r="DT354" s="118" t="str">
        <f t="shared" si="228"/>
        <v/>
      </c>
      <c r="DU354" s="452" t="str">
        <f t="shared" si="229"/>
        <v/>
      </c>
      <c r="DV354" s="151" t="str">
        <f>IF($DT354="要是正",MAX($DV$348:DV353)+1,"")</f>
        <v/>
      </c>
      <c r="DW354" s="485" t="str">
        <f t="shared" si="230"/>
        <v/>
      </c>
      <c r="DX354" s="119" t="str">
        <f t="shared" si="231"/>
        <v/>
      </c>
      <c r="DY354" s="33" t="str">
        <f t="shared" si="267"/>
        <v/>
      </c>
      <c r="DZ354" s="217" t="str">
        <f t="shared" si="232"/>
        <v/>
      </c>
      <c r="EA354" s="466" t="str">
        <f t="shared" si="233"/>
        <v/>
      </c>
      <c r="EB354" s="234" t="str">
        <f t="shared" si="234"/>
        <v/>
      </c>
      <c r="EC354" s="227" t="str">
        <f t="shared" si="235"/>
        <v>0</v>
      </c>
      <c r="ED354" s="148" t="str">
        <f t="shared" si="268"/>
        <v/>
      </c>
      <c r="EE354" s="227" t="str">
        <f t="shared" si="269"/>
        <v>0</v>
      </c>
      <c r="EF354" s="130" t="str">
        <f t="shared" si="236"/>
        <v/>
      </c>
      <c r="EG354" s="204" t="str">
        <f t="shared" si="237"/>
        <v/>
      </c>
      <c r="EH354" s="134" t="str">
        <f t="shared" si="238"/>
        <v>0</v>
      </c>
      <c r="EI354" s="148" t="str">
        <f t="shared" si="270"/>
        <v/>
      </c>
      <c r="EJ354" s="227" t="str">
        <f t="shared" si="271"/>
        <v>0</v>
      </c>
      <c r="EK354" s="451" t="str">
        <f t="shared" si="239"/>
        <v/>
      </c>
      <c r="EL354" s="452" t="e">
        <f t="shared" si="240"/>
        <v>#N/A</v>
      </c>
      <c r="EM354" s="151" t="e">
        <f t="shared" si="241"/>
        <v>#N/A</v>
      </c>
      <c r="EN354" s="453" t="e">
        <f t="shared" si="242"/>
        <v>#N/A</v>
      </c>
      <c r="FK354" s="597" t="str">
        <f t="shared" si="243"/>
        <v/>
      </c>
      <c r="FL354" s="597" t="str">
        <f t="shared" si="71"/>
        <v/>
      </c>
      <c r="FM354" s="597" t="str">
        <f t="shared" si="72"/>
        <v/>
      </c>
      <c r="FN354" s="597">
        <f t="shared" si="244"/>
        <v>0</v>
      </c>
      <c r="FO354" s="1163" t="str">
        <f t="shared" si="245"/>
        <v/>
      </c>
      <c r="FQ354" s="234" t="str">
        <f t="shared" si="246"/>
        <v/>
      </c>
      <c r="FR354" s="227" t="str">
        <f t="shared" si="247"/>
        <v>0</v>
      </c>
      <c r="FS354" s="148" t="str">
        <f t="shared" si="248"/>
        <v/>
      </c>
      <c r="FT354" s="227" t="str">
        <f t="shared" si="272"/>
        <v>0</v>
      </c>
      <c r="FU354" s="416" t="str">
        <f t="shared" si="249"/>
        <v/>
      </c>
      <c r="FW354" s="1160">
        <f t="shared" si="220"/>
        <v>0</v>
      </c>
      <c r="FX354" s="123"/>
      <c r="FY354" s="123"/>
      <c r="FZ354" s="1161"/>
      <c r="GA354" s="34"/>
      <c r="GB354" s="1149">
        <f t="shared" si="79"/>
        <v>0</v>
      </c>
      <c r="GC354" s="1149">
        <f t="shared" si="80"/>
        <v>0</v>
      </c>
      <c r="GD354" s="1149">
        <f t="shared" si="81"/>
        <v>0</v>
      </c>
      <c r="GE354" s="1149" t="str">
        <f t="shared" si="250"/>
        <v/>
      </c>
      <c r="GF354" s="1149" t="str">
        <f t="shared" si="251"/>
        <v/>
      </c>
      <c r="GG354" s="1149" t="str">
        <f t="shared" si="252"/>
        <v/>
      </c>
      <c r="GH354" s="1149" t="str">
        <f t="shared" si="253"/>
        <v/>
      </c>
      <c r="GI354" s="1149" t="str">
        <f t="shared" si="254"/>
        <v/>
      </c>
      <c r="GJ354" s="1149" t="str">
        <f t="shared" si="255"/>
        <v/>
      </c>
      <c r="GK354" s="1149" t="str">
        <f t="shared" si="256"/>
        <v/>
      </c>
      <c r="GL354" s="1149" t="str">
        <f t="shared" si="257"/>
        <v/>
      </c>
      <c r="GM354" s="1149" t="str">
        <f t="shared" si="258"/>
        <v/>
      </c>
      <c r="GN354" s="1149" t="str">
        <f t="shared" si="259"/>
        <v/>
      </c>
      <c r="GO354" s="1149" t="str">
        <f t="shared" si="260"/>
        <v/>
      </c>
      <c r="GP354" s="1149" t="str">
        <f t="shared" si="261"/>
        <v/>
      </c>
      <c r="GQ354" s="1149" t="str">
        <f t="shared" si="262"/>
        <v/>
      </c>
      <c r="GR354" s="1149" t="str">
        <f t="shared" si="263"/>
        <v/>
      </c>
      <c r="GS354" s="1149" t="str">
        <f t="shared" si="264"/>
        <v/>
      </c>
      <c r="GT354" s="1149">
        <f t="shared" si="82"/>
        <v>0</v>
      </c>
      <c r="GU354" s="1149">
        <f t="shared" si="83"/>
        <v>0</v>
      </c>
      <c r="GV354" s="1149">
        <f t="shared" si="84"/>
        <v>0</v>
      </c>
      <c r="GW354" s="1149" t="b">
        <f t="shared" si="85"/>
        <v>0</v>
      </c>
      <c r="GX354" s="1149" t="b">
        <f t="shared" si="86"/>
        <v>0</v>
      </c>
      <c r="GY354" s="1149" t="b">
        <f t="shared" si="87"/>
        <v>0</v>
      </c>
      <c r="GZ354" s="1149" t="str">
        <f t="shared" si="180"/>
        <v/>
      </c>
      <c r="HB354" s="1149" t="str">
        <f t="shared" si="89"/>
        <v/>
      </c>
      <c r="HC354" s="1149" t="str">
        <f t="shared" si="90"/>
        <v/>
      </c>
      <c r="HD354" s="1149" t="str">
        <f t="shared" si="91"/>
        <v/>
      </c>
      <c r="HE354" s="1149" t="str">
        <f t="shared" si="92"/>
        <v/>
      </c>
      <c r="HF354" s="1149" t="str">
        <f t="shared" si="93"/>
        <v/>
      </c>
      <c r="HG354" s="1149" t="str">
        <f t="shared" si="94"/>
        <v/>
      </c>
      <c r="HH354" s="1149" t="str">
        <f t="shared" si="95"/>
        <v/>
      </c>
      <c r="HI354" s="1149" t="str">
        <f t="shared" si="96"/>
        <v/>
      </c>
      <c r="HJ354" s="1149" t="str">
        <f t="shared" si="97"/>
        <v/>
      </c>
      <c r="HK354" s="1149" t="str">
        <f t="shared" si="98"/>
        <v/>
      </c>
      <c r="HL354" s="1149" t="str">
        <f t="shared" si="99"/>
        <v/>
      </c>
      <c r="HM354" s="1149" t="str">
        <f t="shared" si="100"/>
        <v/>
      </c>
      <c r="HN354" s="1149" t="str">
        <f t="shared" si="101"/>
        <v/>
      </c>
      <c r="HO354" s="1149" t="str">
        <f t="shared" si="102"/>
        <v/>
      </c>
      <c r="HP354" s="1149" t="str">
        <f t="shared" si="103"/>
        <v/>
      </c>
      <c r="HQ354" s="1149" t="str">
        <f t="shared" si="104"/>
        <v/>
      </c>
      <c r="HR354" s="1149" t="str">
        <f t="shared" si="105"/>
        <v/>
      </c>
      <c r="HT354" s="1149">
        <f>LEFT(M354,1)*10000+MID(M354,3,LEN(M354)-3)*100+COUNTIF($M$307:M354,M354)</f>
        <v>30301</v>
      </c>
      <c r="HU354" s="1149" t="str">
        <f t="shared" si="106"/>
        <v/>
      </c>
      <c r="HV354" s="1149" t="str">
        <f t="shared" si="107"/>
        <v/>
      </c>
      <c r="HW354" s="1149" t="str">
        <f t="shared" si="108"/>
        <v/>
      </c>
      <c r="HX354" s="1149" t="str">
        <f t="shared" si="109"/>
        <v/>
      </c>
    </row>
    <row r="355" spans="1:232" s="69" customFormat="1" ht="50.15" customHeight="1">
      <c r="A355" s="645"/>
      <c r="B355" s="645"/>
      <c r="C355" s="645"/>
      <c r="D355" s="645"/>
      <c r="E355" s="646"/>
      <c r="F355" s="381"/>
      <c r="G355" s="381"/>
      <c r="H355" s="381"/>
      <c r="J355" s="80"/>
      <c r="K355" s="89"/>
      <c r="L355" s="89"/>
      <c r="M355" s="1968" t="s">
        <v>1216</v>
      </c>
      <c r="N355" s="1968"/>
      <c r="O355" s="1968"/>
      <c r="P355" s="2029"/>
      <c r="Q355" s="2029"/>
      <c r="R355" s="2029"/>
      <c r="S355" s="2029"/>
      <c r="T355" s="2029"/>
      <c r="U355" s="1899" t="s">
        <v>77</v>
      </c>
      <c r="V355" s="1899"/>
      <c r="W355" s="1899"/>
      <c r="X355" s="1899"/>
      <c r="Y355" s="1899"/>
      <c r="Z355" s="1899"/>
      <c r="AA355" s="1899"/>
      <c r="AB355" s="1899"/>
      <c r="AC355" s="1899"/>
      <c r="AD355" s="1899"/>
      <c r="AE355" s="1899"/>
      <c r="AF355" s="1898"/>
      <c r="AG355" s="1898"/>
      <c r="AH355" s="1898"/>
      <c r="AI355" s="1898"/>
      <c r="AJ355" s="1898"/>
      <c r="AK355" s="1898"/>
      <c r="AL355" s="1898"/>
      <c r="AM355" s="1898"/>
      <c r="AN355" s="1898"/>
      <c r="AO355" s="1898"/>
      <c r="AP355" s="1898"/>
      <c r="AQ355" s="1898"/>
      <c r="AR355" s="1910"/>
      <c r="AS355" s="1910"/>
      <c r="AT355" s="1993"/>
      <c r="AU355" s="1993"/>
      <c r="AV355" s="1993"/>
      <c r="AW355" s="1993"/>
      <c r="AX355" s="1993"/>
      <c r="AY355" s="1993"/>
      <c r="AZ355" s="1993"/>
      <c r="BA355" s="1993"/>
      <c r="BB355" s="1993"/>
      <c r="BC355" s="1993"/>
      <c r="BD355" s="1993"/>
      <c r="BE355" s="1993"/>
      <c r="BF355" s="1993"/>
      <c r="BG355" s="1993"/>
      <c r="BH355" s="1993"/>
      <c r="BI355" s="1993"/>
      <c r="BJ355" s="1993"/>
      <c r="BK355" s="1993"/>
      <c r="BL355" s="1993"/>
      <c r="BM355" s="1993"/>
      <c r="BN355" s="1993"/>
      <c r="BO355" s="1993"/>
      <c r="BP355" s="1993"/>
      <c r="BQ355" s="1993"/>
      <c r="BR355" s="1993"/>
      <c r="BS355" s="1895"/>
      <c r="BT355" s="1895"/>
      <c r="BU355" s="1895"/>
      <c r="BV355" s="1889"/>
      <c r="BW355" s="1889"/>
      <c r="BX355" s="1889"/>
      <c r="BY355" s="1889"/>
      <c r="BZ355" s="1896"/>
      <c r="CA355" s="1896"/>
      <c r="CB355" s="1886"/>
      <c r="CC355" s="1887"/>
      <c r="CD355" s="1887"/>
      <c r="CE355" s="1887"/>
      <c r="CF355" s="1887"/>
      <c r="CG355" s="1887"/>
      <c r="CH355" s="1887"/>
      <c r="CI355" s="1887"/>
      <c r="CJ355" s="1887"/>
      <c r="CK355" s="1887"/>
      <c r="CL355" s="1887"/>
      <c r="CM355" s="1887"/>
      <c r="CN355" s="1887"/>
      <c r="CO355" s="1887"/>
      <c r="CP355" s="1887"/>
      <c r="CQ355" s="1887"/>
      <c r="CR355" s="1887"/>
      <c r="CS355" s="1887"/>
      <c r="CT355" s="1887"/>
      <c r="CU355" s="1888"/>
      <c r="CV355" s="2360" t="str">
        <f t="shared" si="221"/>
        <v/>
      </c>
      <c r="CW355" s="2360"/>
      <c r="CX355" s="2360"/>
      <c r="CY355" s="2360"/>
      <c r="CZ355" s="2360"/>
      <c r="DA355" s="2360"/>
      <c r="DC355" s="600" t="str">
        <f t="shared" si="222"/>
        <v/>
      </c>
      <c r="DD355" s="381"/>
      <c r="DF355" s="34"/>
      <c r="DG355" s="34"/>
      <c r="DH355" s="34"/>
      <c r="DI355" s="34"/>
      <c r="DJ355" s="858" t="s">
        <v>5637</v>
      </c>
      <c r="DK355" s="1707" t="str">
        <f t="shared" si="265"/>
        <v/>
      </c>
      <c r="DL355" s="1692" t="str">
        <f t="shared" si="266"/>
        <v/>
      </c>
      <c r="DM355" s="1691">
        <f t="shared" si="223"/>
        <v>0</v>
      </c>
      <c r="DN355" s="111">
        <f t="shared" si="224"/>
        <v>0</v>
      </c>
      <c r="DO355" s="111">
        <f t="shared" si="225"/>
        <v>0</v>
      </c>
      <c r="DP355" s="474">
        <f t="shared" si="226"/>
        <v>0</v>
      </c>
      <c r="DQ355" s="126" t="s">
        <v>310</v>
      </c>
      <c r="DR355" s="473" t="str">
        <f>IF($U355="",P353,U355)</f>
        <v>金属笠木の劣化及び損傷の状況</v>
      </c>
      <c r="DS355" s="112">
        <f t="shared" si="227"/>
        <v>0</v>
      </c>
      <c r="DT355" s="118" t="str">
        <f t="shared" si="228"/>
        <v/>
      </c>
      <c r="DU355" s="452" t="str">
        <f t="shared" si="229"/>
        <v/>
      </c>
      <c r="DV355" s="151" t="str">
        <f>IF($DT355="要是正",MAX($DV$348:DV354)+1,"")</f>
        <v/>
      </c>
      <c r="DW355" s="485" t="str">
        <f t="shared" si="230"/>
        <v/>
      </c>
      <c r="DX355" s="119" t="str">
        <f t="shared" si="231"/>
        <v/>
      </c>
      <c r="DY355" s="33" t="str">
        <f t="shared" si="267"/>
        <v/>
      </c>
      <c r="DZ355" s="217" t="str">
        <f t="shared" si="232"/>
        <v/>
      </c>
      <c r="EA355" s="466" t="str">
        <f t="shared" si="233"/>
        <v/>
      </c>
      <c r="EB355" s="234" t="str">
        <f t="shared" si="234"/>
        <v/>
      </c>
      <c r="EC355" s="227" t="str">
        <f t="shared" si="235"/>
        <v>0</v>
      </c>
      <c r="ED355" s="148" t="str">
        <f t="shared" si="268"/>
        <v/>
      </c>
      <c r="EE355" s="227" t="str">
        <f t="shared" si="269"/>
        <v>0</v>
      </c>
      <c r="EF355" s="130" t="str">
        <f t="shared" si="236"/>
        <v/>
      </c>
      <c r="EG355" s="204" t="str">
        <f t="shared" si="237"/>
        <v/>
      </c>
      <c r="EH355" s="134" t="str">
        <f t="shared" si="238"/>
        <v>0</v>
      </c>
      <c r="EI355" s="148" t="str">
        <f t="shared" si="270"/>
        <v/>
      </c>
      <c r="EJ355" s="227" t="str">
        <f t="shared" si="271"/>
        <v>0</v>
      </c>
      <c r="EK355" s="451" t="str">
        <f t="shared" si="239"/>
        <v/>
      </c>
      <c r="EL355" s="452" t="e">
        <f t="shared" si="240"/>
        <v>#N/A</v>
      </c>
      <c r="EM355" s="151" t="e">
        <f t="shared" si="241"/>
        <v>#N/A</v>
      </c>
      <c r="EN355" s="453" t="e">
        <f t="shared" si="242"/>
        <v>#N/A</v>
      </c>
      <c r="FK355" s="597" t="str">
        <f t="shared" si="243"/>
        <v/>
      </c>
      <c r="FL355" s="597" t="str">
        <f t="shared" si="71"/>
        <v/>
      </c>
      <c r="FM355" s="597" t="str">
        <f t="shared" si="72"/>
        <v/>
      </c>
      <c r="FN355" s="597">
        <f t="shared" si="244"/>
        <v>0</v>
      </c>
      <c r="FO355" s="1163" t="str">
        <f t="shared" si="245"/>
        <v/>
      </c>
      <c r="FQ355" s="234" t="str">
        <f t="shared" si="246"/>
        <v/>
      </c>
      <c r="FR355" s="227" t="str">
        <f t="shared" si="247"/>
        <v>0</v>
      </c>
      <c r="FS355" s="148" t="str">
        <f t="shared" si="248"/>
        <v/>
      </c>
      <c r="FT355" s="227" t="str">
        <f t="shared" si="272"/>
        <v>0</v>
      </c>
      <c r="FU355" s="416" t="str">
        <f t="shared" si="249"/>
        <v/>
      </c>
      <c r="FW355" s="1160">
        <f t="shared" si="220"/>
        <v>0</v>
      </c>
      <c r="FX355" s="123"/>
      <c r="FY355" s="123"/>
      <c r="FZ355" s="1161"/>
      <c r="GA355" s="34"/>
      <c r="GB355" s="1149">
        <f t="shared" si="79"/>
        <v>0</v>
      </c>
      <c r="GC355" s="1149">
        <f t="shared" si="80"/>
        <v>0</v>
      </c>
      <c r="GD355" s="1149">
        <f t="shared" si="81"/>
        <v>0</v>
      </c>
      <c r="GE355" s="1149" t="str">
        <f t="shared" si="250"/>
        <v/>
      </c>
      <c r="GF355" s="1149" t="str">
        <f t="shared" si="251"/>
        <v/>
      </c>
      <c r="GG355" s="1149" t="str">
        <f t="shared" si="252"/>
        <v/>
      </c>
      <c r="GH355" s="1149" t="str">
        <f t="shared" si="253"/>
        <v/>
      </c>
      <c r="GI355" s="1149" t="str">
        <f t="shared" si="254"/>
        <v/>
      </c>
      <c r="GJ355" s="1149" t="str">
        <f t="shared" si="255"/>
        <v/>
      </c>
      <c r="GK355" s="1149" t="str">
        <f t="shared" si="256"/>
        <v/>
      </c>
      <c r="GL355" s="1149" t="str">
        <f t="shared" si="257"/>
        <v/>
      </c>
      <c r="GM355" s="1149" t="str">
        <f t="shared" si="258"/>
        <v/>
      </c>
      <c r="GN355" s="1149" t="str">
        <f t="shared" si="259"/>
        <v/>
      </c>
      <c r="GO355" s="1149" t="str">
        <f t="shared" si="260"/>
        <v/>
      </c>
      <c r="GP355" s="1149" t="str">
        <f t="shared" si="261"/>
        <v/>
      </c>
      <c r="GQ355" s="1149" t="str">
        <f t="shared" si="262"/>
        <v/>
      </c>
      <c r="GR355" s="1149" t="str">
        <f t="shared" si="263"/>
        <v/>
      </c>
      <c r="GS355" s="1149" t="str">
        <f t="shared" si="264"/>
        <v/>
      </c>
      <c r="GT355" s="1149">
        <f t="shared" si="82"/>
        <v>0</v>
      </c>
      <c r="GU355" s="1149">
        <f t="shared" si="83"/>
        <v>0</v>
      </c>
      <c r="GV355" s="1149">
        <f t="shared" si="84"/>
        <v>0</v>
      </c>
      <c r="GW355" s="1149" t="b">
        <f t="shared" si="85"/>
        <v>0</v>
      </c>
      <c r="GX355" s="1149" t="b">
        <f t="shared" si="86"/>
        <v>0</v>
      </c>
      <c r="GY355" s="1149" t="b">
        <f t="shared" si="87"/>
        <v>0</v>
      </c>
      <c r="GZ355" s="1149" t="str">
        <f t="shared" si="180"/>
        <v/>
      </c>
      <c r="HB355" s="1149" t="str">
        <f t="shared" si="89"/>
        <v/>
      </c>
      <c r="HC355" s="1149" t="str">
        <f t="shared" si="90"/>
        <v/>
      </c>
      <c r="HD355" s="1149" t="str">
        <f t="shared" si="91"/>
        <v/>
      </c>
      <c r="HE355" s="1149" t="str">
        <f t="shared" si="92"/>
        <v/>
      </c>
      <c r="HF355" s="1149" t="str">
        <f t="shared" si="93"/>
        <v/>
      </c>
      <c r="HG355" s="1149" t="str">
        <f t="shared" si="94"/>
        <v/>
      </c>
      <c r="HH355" s="1149" t="str">
        <f t="shared" si="95"/>
        <v/>
      </c>
      <c r="HI355" s="1149" t="str">
        <f t="shared" si="96"/>
        <v/>
      </c>
      <c r="HJ355" s="1149" t="str">
        <f t="shared" si="97"/>
        <v/>
      </c>
      <c r="HK355" s="1149" t="str">
        <f t="shared" si="98"/>
        <v/>
      </c>
      <c r="HL355" s="1149" t="str">
        <f t="shared" si="99"/>
        <v/>
      </c>
      <c r="HM355" s="1149" t="str">
        <f t="shared" si="100"/>
        <v/>
      </c>
      <c r="HN355" s="1149" t="str">
        <f t="shared" si="101"/>
        <v/>
      </c>
      <c r="HO355" s="1149" t="str">
        <f t="shared" si="102"/>
        <v/>
      </c>
      <c r="HP355" s="1149" t="str">
        <f t="shared" si="103"/>
        <v/>
      </c>
      <c r="HQ355" s="1149" t="str">
        <f t="shared" si="104"/>
        <v/>
      </c>
      <c r="HR355" s="1149" t="str">
        <f t="shared" si="105"/>
        <v/>
      </c>
      <c r="HT355" s="1149">
        <f>LEFT(M355,1)*10000+MID(M355,3,LEN(M355)-3)*100+COUNTIF($M$307:M355,M355)</f>
        <v>30401</v>
      </c>
      <c r="HU355" s="1149" t="str">
        <f t="shared" si="106"/>
        <v/>
      </c>
      <c r="HV355" s="1149" t="str">
        <f t="shared" si="107"/>
        <v/>
      </c>
      <c r="HW355" s="1149" t="str">
        <f t="shared" si="108"/>
        <v/>
      </c>
      <c r="HX355" s="1149" t="str">
        <f t="shared" si="109"/>
        <v/>
      </c>
    </row>
    <row r="356" spans="1:232" s="69" customFormat="1" ht="50.15" customHeight="1">
      <c r="A356" s="645"/>
      <c r="B356" s="645"/>
      <c r="C356" s="645"/>
      <c r="D356" s="645"/>
      <c r="E356" s="646"/>
      <c r="F356" s="381"/>
      <c r="G356" s="381"/>
      <c r="H356" s="381"/>
      <c r="J356" s="80"/>
      <c r="K356" s="89"/>
      <c r="L356" s="89"/>
      <c r="M356" s="1968" t="s">
        <v>1217</v>
      </c>
      <c r="N356" s="1968"/>
      <c r="O356" s="1968"/>
      <c r="P356" s="2028"/>
      <c r="Q356" s="2028"/>
      <c r="R356" s="2028"/>
      <c r="S356" s="2028"/>
      <c r="T356" s="2028"/>
      <c r="U356" s="2028" t="s">
        <v>219</v>
      </c>
      <c r="V356" s="2028"/>
      <c r="W356" s="2028"/>
      <c r="X356" s="2028"/>
      <c r="Y356" s="2028"/>
      <c r="Z356" s="2028"/>
      <c r="AA356" s="2028"/>
      <c r="AB356" s="2028"/>
      <c r="AC356" s="2028"/>
      <c r="AD356" s="2028"/>
      <c r="AE356" s="2028"/>
      <c r="AF356" s="2068"/>
      <c r="AG356" s="2068"/>
      <c r="AH356" s="2068"/>
      <c r="AI356" s="2068"/>
      <c r="AJ356" s="2068"/>
      <c r="AK356" s="2068"/>
      <c r="AL356" s="2068"/>
      <c r="AM356" s="2068"/>
      <c r="AN356" s="2068"/>
      <c r="AO356" s="2068"/>
      <c r="AP356" s="2068"/>
      <c r="AQ356" s="2068"/>
      <c r="AR356" s="1965"/>
      <c r="AS356" s="1965"/>
      <c r="AT356" s="1999"/>
      <c r="AU356" s="1999"/>
      <c r="AV356" s="1999"/>
      <c r="AW356" s="1999"/>
      <c r="AX356" s="1999"/>
      <c r="AY356" s="1999"/>
      <c r="AZ356" s="1999"/>
      <c r="BA356" s="1999"/>
      <c r="BB356" s="1999"/>
      <c r="BC356" s="1999"/>
      <c r="BD356" s="1999"/>
      <c r="BE356" s="1999"/>
      <c r="BF356" s="1999"/>
      <c r="BG356" s="1999"/>
      <c r="BH356" s="1999"/>
      <c r="BI356" s="1999"/>
      <c r="BJ356" s="1999"/>
      <c r="BK356" s="1999"/>
      <c r="BL356" s="1999"/>
      <c r="BM356" s="1999"/>
      <c r="BN356" s="1999"/>
      <c r="BO356" s="1999"/>
      <c r="BP356" s="1999"/>
      <c r="BQ356" s="1999"/>
      <c r="BR356" s="1999"/>
      <c r="BS356" s="2081"/>
      <c r="BT356" s="2081"/>
      <c r="BU356" s="2081"/>
      <c r="BV356" s="1923"/>
      <c r="BW356" s="1923"/>
      <c r="BX356" s="1923"/>
      <c r="BY356" s="1923"/>
      <c r="BZ356" s="1924"/>
      <c r="CA356" s="1924"/>
      <c r="CB356" s="2367"/>
      <c r="CC356" s="2368"/>
      <c r="CD356" s="2368"/>
      <c r="CE356" s="2368"/>
      <c r="CF356" s="2368"/>
      <c r="CG356" s="2368"/>
      <c r="CH356" s="2368"/>
      <c r="CI356" s="2368"/>
      <c r="CJ356" s="2368"/>
      <c r="CK356" s="2368"/>
      <c r="CL356" s="2368"/>
      <c r="CM356" s="2368"/>
      <c r="CN356" s="2368"/>
      <c r="CO356" s="2368"/>
      <c r="CP356" s="2368"/>
      <c r="CQ356" s="2368"/>
      <c r="CR356" s="2368"/>
      <c r="CS356" s="2368"/>
      <c r="CT356" s="2368"/>
      <c r="CU356" s="2369"/>
      <c r="CV356" s="2360" t="str">
        <f t="shared" si="221"/>
        <v/>
      </c>
      <c r="CW356" s="2360"/>
      <c r="CX356" s="2360"/>
      <c r="CY356" s="2360"/>
      <c r="CZ356" s="2360"/>
      <c r="DA356" s="2360"/>
      <c r="DC356" s="600" t="str">
        <f t="shared" si="222"/>
        <v/>
      </c>
      <c r="DD356" s="381"/>
      <c r="DF356" s="34"/>
      <c r="DG356" s="34"/>
      <c r="DH356" s="34"/>
      <c r="DI356" s="34"/>
      <c r="DJ356" s="858" t="s">
        <v>5637</v>
      </c>
      <c r="DK356" s="1707" t="str">
        <f t="shared" si="265"/>
        <v/>
      </c>
      <c r="DL356" s="1692" t="str">
        <f t="shared" si="266"/>
        <v/>
      </c>
      <c r="DM356" s="1691">
        <f t="shared" si="223"/>
        <v>0</v>
      </c>
      <c r="DN356" s="111">
        <f t="shared" si="224"/>
        <v>0</v>
      </c>
      <c r="DO356" s="111">
        <f t="shared" si="225"/>
        <v>0</v>
      </c>
      <c r="DP356" s="474">
        <f t="shared" si="226"/>
        <v>0</v>
      </c>
      <c r="DQ356" s="126" t="s">
        <v>311</v>
      </c>
      <c r="DR356" s="473" t="str">
        <f>IF($U356="",P353,U356)</f>
        <v>排水溝（ドレーンを含む。）の劣化及び損傷の状況</v>
      </c>
      <c r="DS356" s="112">
        <f t="shared" si="227"/>
        <v>0</v>
      </c>
      <c r="DT356" s="118" t="str">
        <f t="shared" si="228"/>
        <v/>
      </c>
      <c r="DU356" s="452" t="str">
        <f t="shared" si="229"/>
        <v/>
      </c>
      <c r="DV356" s="151" t="str">
        <f>IF($DT356="要是正",MAX($DV$348:DV355)+1,"")</f>
        <v/>
      </c>
      <c r="DW356" s="485" t="str">
        <f t="shared" si="230"/>
        <v/>
      </c>
      <c r="DX356" s="119" t="str">
        <f t="shared" si="231"/>
        <v/>
      </c>
      <c r="DY356" s="33" t="str">
        <f t="shared" si="267"/>
        <v/>
      </c>
      <c r="DZ356" s="217" t="str">
        <f t="shared" si="232"/>
        <v/>
      </c>
      <c r="EA356" s="466" t="str">
        <f t="shared" si="233"/>
        <v/>
      </c>
      <c r="EB356" s="234" t="str">
        <f t="shared" si="234"/>
        <v/>
      </c>
      <c r="EC356" s="227" t="str">
        <f t="shared" si="235"/>
        <v>0</v>
      </c>
      <c r="ED356" s="148" t="str">
        <f t="shared" si="268"/>
        <v/>
      </c>
      <c r="EE356" s="227" t="str">
        <f t="shared" si="269"/>
        <v>0</v>
      </c>
      <c r="EF356" s="130" t="str">
        <f t="shared" si="236"/>
        <v/>
      </c>
      <c r="EG356" s="204" t="str">
        <f t="shared" si="237"/>
        <v/>
      </c>
      <c r="EH356" s="134" t="str">
        <f t="shared" si="238"/>
        <v>0</v>
      </c>
      <c r="EI356" s="148" t="str">
        <f t="shared" si="270"/>
        <v/>
      </c>
      <c r="EJ356" s="227" t="str">
        <f t="shared" si="271"/>
        <v>0</v>
      </c>
      <c r="EK356" s="451" t="str">
        <f t="shared" si="239"/>
        <v/>
      </c>
      <c r="EL356" s="452" t="e">
        <f t="shared" si="240"/>
        <v>#N/A</v>
      </c>
      <c r="EM356" s="151" t="e">
        <f t="shared" si="241"/>
        <v>#N/A</v>
      </c>
      <c r="EN356" s="453" t="e">
        <f t="shared" si="242"/>
        <v>#N/A</v>
      </c>
      <c r="FK356" s="597" t="str">
        <f t="shared" si="243"/>
        <v/>
      </c>
      <c r="FL356" s="597" t="str">
        <f t="shared" si="71"/>
        <v/>
      </c>
      <c r="FM356" s="597" t="str">
        <f t="shared" si="72"/>
        <v/>
      </c>
      <c r="FN356" s="597">
        <f t="shared" si="244"/>
        <v>0</v>
      </c>
      <c r="FO356" s="1163" t="str">
        <f t="shared" si="245"/>
        <v/>
      </c>
      <c r="FQ356" s="234" t="str">
        <f t="shared" si="246"/>
        <v/>
      </c>
      <c r="FR356" s="227" t="str">
        <f t="shared" si="247"/>
        <v>0</v>
      </c>
      <c r="FS356" s="148" t="str">
        <f t="shared" si="248"/>
        <v/>
      </c>
      <c r="FT356" s="227" t="str">
        <f t="shared" si="272"/>
        <v>0</v>
      </c>
      <c r="FU356" s="416" t="str">
        <f t="shared" si="249"/>
        <v/>
      </c>
      <c r="FW356" s="1160">
        <f t="shared" si="220"/>
        <v>0</v>
      </c>
      <c r="FX356" s="123"/>
      <c r="FY356" s="123"/>
      <c r="FZ356" s="1161"/>
      <c r="GA356" s="34"/>
      <c r="GB356" s="1149">
        <f t="shared" si="79"/>
        <v>0</v>
      </c>
      <c r="GC356" s="1149">
        <f t="shared" si="80"/>
        <v>0</v>
      </c>
      <c r="GD356" s="1149">
        <f t="shared" si="81"/>
        <v>0</v>
      </c>
      <c r="GE356" s="1149" t="str">
        <f t="shared" si="250"/>
        <v/>
      </c>
      <c r="GF356" s="1149" t="str">
        <f t="shared" si="251"/>
        <v/>
      </c>
      <c r="GG356" s="1149" t="str">
        <f t="shared" si="252"/>
        <v/>
      </c>
      <c r="GH356" s="1149" t="str">
        <f t="shared" si="253"/>
        <v/>
      </c>
      <c r="GI356" s="1149" t="str">
        <f t="shared" si="254"/>
        <v/>
      </c>
      <c r="GJ356" s="1149" t="str">
        <f t="shared" si="255"/>
        <v/>
      </c>
      <c r="GK356" s="1149" t="str">
        <f t="shared" si="256"/>
        <v/>
      </c>
      <c r="GL356" s="1149" t="str">
        <f t="shared" si="257"/>
        <v/>
      </c>
      <c r="GM356" s="1149" t="str">
        <f t="shared" si="258"/>
        <v/>
      </c>
      <c r="GN356" s="1149" t="str">
        <f t="shared" si="259"/>
        <v/>
      </c>
      <c r="GO356" s="1149" t="str">
        <f t="shared" si="260"/>
        <v/>
      </c>
      <c r="GP356" s="1149" t="str">
        <f t="shared" si="261"/>
        <v/>
      </c>
      <c r="GQ356" s="1149" t="str">
        <f t="shared" si="262"/>
        <v/>
      </c>
      <c r="GR356" s="1149" t="str">
        <f t="shared" si="263"/>
        <v/>
      </c>
      <c r="GS356" s="1149" t="str">
        <f t="shared" si="264"/>
        <v/>
      </c>
      <c r="GT356" s="1149">
        <f t="shared" si="82"/>
        <v>0</v>
      </c>
      <c r="GU356" s="1149">
        <f t="shared" si="83"/>
        <v>0</v>
      </c>
      <c r="GV356" s="1149">
        <f t="shared" si="84"/>
        <v>0</v>
      </c>
      <c r="GW356" s="1149" t="b">
        <f t="shared" si="85"/>
        <v>0</v>
      </c>
      <c r="GX356" s="1149" t="b">
        <f t="shared" si="86"/>
        <v>0</v>
      </c>
      <c r="GY356" s="1149" t="b">
        <f t="shared" si="87"/>
        <v>0</v>
      </c>
      <c r="GZ356" s="1149" t="str">
        <f t="shared" si="180"/>
        <v/>
      </c>
      <c r="HB356" s="1149" t="str">
        <f t="shared" si="89"/>
        <v/>
      </c>
      <c r="HC356" s="1149" t="str">
        <f t="shared" si="90"/>
        <v/>
      </c>
      <c r="HD356" s="1149" t="str">
        <f t="shared" si="91"/>
        <v/>
      </c>
      <c r="HE356" s="1149" t="str">
        <f t="shared" si="92"/>
        <v/>
      </c>
      <c r="HF356" s="1149" t="str">
        <f t="shared" si="93"/>
        <v/>
      </c>
      <c r="HG356" s="1149" t="str">
        <f t="shared" si="94"/>
        <v/>
      </c>
      <c r="HH356" s="1149" t="str">
        <f t="shared" si="95"/>
        <v/>
      </c>
      <c r="HI356" s="1149" t="str">
        <f t="shared" si="96"/>
        <v/>
      </c>
      <c r="HJ356" s="1149" t="str">
        <f t="shared" si="97"/>
        <v/>
      </c>
      <c r="HK356" s="1149" t="str">
        <f t="shared" si="98"/>
        <v/>
      </c>
      <c r="HL356" s="1149" t="str">
        <f t="shared" si="99"/>
        <v/>
      </c>
      <c r="HM356" s="1149" t="str">
        <f t="shared" si="100"/>
        <v/>
      </c>
      <c r="HN356" s="1149" t="str">
        <f t="shared" si="101"/>
        <v/>
      </c>
      <c r="HO356" s="1149" t="str">
        <f t="shared" si="102"/>
        <v/>
      </c>
      <c r="HP356" s="1149" t="str">
        <f t="shared" si="103"/>
        <v/>
      </c>
      <c r="HQ356" s="1149" t="str">
        <f t="shared" si="104"/>
        <v/>
      </c>
      <c r="HR356" s="1149" t="str">
        <f t="shared" si="105"/>
        <v/>
      </c>
      <c r="HT356" s="1149">
        <f>LEFT(M356,1)*10000+MID(M356,3,LEN(M356)-3)*100+COUNTIF($M$307:M356,M356)</f>
        <v>30501</v>
      </c>
      <c r="HU356" s="1149" t="str">
        <f t="shared" si="106"/>
        <v/>
      </c>
      <c r="HV356" s="1149" t="str">
        <f t="shared" si="107"/>
        <v/>
      </c>
      <c r="HW356" s="1149" t="str">
        <f t="shared" si="108"/>
        <v/>
      </c>
      <c r="HX356" s="1149" t="str">
        <f t="shared" si="109"/>
        <v/>
      </c>
    </row>
    <row r="357" spans="1:232" s="69" customFormat="1" ht="50.15" customHeight="1">
      <c r="A357" s="645"/>
      <c r="B357" s="645"/>
      <c r="C357" s="645"/>
      <c r="D357" s="645"/>
      <c r="E357" s="646"/>
      <c r="F357" s="381"/>
      <c r="G357" s="381"/>
      <c r="H357" s="381"/>
      <c r="J357" s="80"/>
      <c r="K357" s="89"/>
      <c r="L357" s="89"/>
      <c r="M357" s="1968" t="s">
        <v>1218</v>
      </c>
      <c r="N357" s="1968"/>
      <c r="O357" s="1968"/>
      <c r="P357" s="2096" t="s">
        <v>175</v>
      </c>
      <c r="Q357" s="2096"/>
      <c r="R357" s="2096"/>
      <c r="S357" s="2096"/>
      <c r="T357" s="2096"/>
      <c r="U357" s="2011" t="s">
        <v>78</v>
      </c>
      <c r="V357" s="2011"/>
      <c r="W357" s="2011"/>
      <c r="X357" s="2011"/>
      <c r="Y357" s="2011"/>
      <c r="Z357" s="2011"/>
      <c r="AA357" s="2011"/>
      <c r="AB357" s="2011"/>
      <c r="AC357" s="2011"/>
      <c r="AD357" s="2011"/>
      <c r="AE357" s="2011"/>
      <c r="AF357" s="2010"/>
      <c r="AG357" s="2010"/>
      <c r="AH357" s="2010"/>
      <c r="AI357" s="2010"/>
      <c r="AJ357" s="2010"/>
      <c r="AK357" s="2010"/>
      <c r="AL357" s="2010"/>
      <c r="AM357" s="2010"/>
      <c r="AN357" s="2010"/>
      <c r="AO357" s="2010"/>
      <c r="AP357" s="2010"/>
      <c r="AQ357" s="2010"/>
      <c r="AR357" s="2017"/>
      <c r="AS357" s="2017"/>
      <c r="AT357" s="1929"/>
      <c r="AU357" s="1929"/>
      <c r="AV357" s="1929"/>
      <c r="AW357" s="1929"/>
      <c r="AX357" s="1929"/>
      <c r="AY357" s="1929"/>
      <c r="AZ357" s="1929"/>
      <c r="BA357" s="1929"/>
      <c r="BB357" s="1929"/>
      <c r="BC357" s="1929"/>
      <c r="BD357" s="1929"/>
      <c r="BE357" s="1929"/>
      <c r="BF357" s="1929"/>
      <c r="BG357" s="1929"/>
      <c r="BH357" s="1929"/>
      <c r="BI357" s="1929"/>
      <c r="BJ357" s="1929"/>
      <c r="BK357" s="1929"/>
      <c r="BL357" s="1929"/>
      <c r="BM357" s="1929"/>
      <c r="BN357" s="1929"/>
      <c r="BO357" s="1929"/>
      <c r="BP357" s="1929"/>
      <c r="BQ357" s="1929"/>
      <c r="BR357" s="1929"/>
      <c r="BS357" s="1885"/>
      <c r="BT357" s="1885"/>
      <c r="BU357" s="1885"/>
      <c r="BV357" s="1890"/>
      <c r="BW357" s="1890"/>
      <c r="BX357" s="1890"/>
      <c r="BY357" s="1890"/>
      <c r="BZ357" s="1891"/>
      <c r="CA357" s="1891"/>
      <c r="CB357" s="1925"/>
      <c r="CC357" s="1926"/>
      <c r="CD357" s="1926"/>
      <c r="CE357" s="1926"/>
      <c r="CF357" s="1926"/>
      <c r="CG357" s="1926"/>
      <c r="CH357" s="1926"/>
      <c r="CI357" s="1926"/>
      <c r="CJ357" s="1926"/>
      <c r="CK357" s="1926"/>
      <c r="CL357" s="1926"/>
      <c r="CM357" s="1926"/>
      <c r="CN357" s="1926"/>
      <c r="CO357" s="1926"/>
      <c r="CP357" s="1926"/>
      <c r="CQ357" s="1926"/>
      <c r="CR357" s="1926"/>
      <c r="CS357" s="1926"/>
      <c r="CT357" s="1926"/>
      <c r="CU357" s="1927"/>
      <c r="CV357" s="2360" t="str">
        <f t="shared" si="221"/>
        <v/>
      </c>
      <c r="CW357" s="2360"/>
      <c r="CX357" s="2360"/>
      <c r="CY357" s="2360"/>
      <c r="CZ357" s="2360"/>
      <c r="DA357" s="2360"/>
      <c r="DC357" s="600" t="str">
        <f t="shared" si="222"/>
        <v/>
      </c>
      <c r="DD357" s="381"/>
      <c r="DF357" s="34"/>
      <c r="DG357" s="34"/>
      <c r="DH357" s="34"/>
      <c r="DI357" s="34"/>
      <c r="DJ357" s="858" t="s">
        <v>5637</v>
      </c>
      <c r="DK357" s="1707" t="str">
        <f t="shared" si="265"/>
        <v/>
      </c>
      <c r="DL357" s="1692" t="str">
        <f t="shared" si="266"/>
        <v/>
      </c>
      <c r="DM357" s="1691">
        <f t="shared" si="223"/>
        <v>0</v>
      </c>
      <c r="DN357" s="111">
        <f t="shared" si="224"/>
        <v>0</v>
      </c>
      <c r="DO357" s="111">
        <f t="shared" si="225"/>
        <v>0</v>
      </c>
      <c r="DP357" s="474">
        <f t="shared" si="226"/>
        <v>0</v>
      </c>
      <c r="DQ357" s="126" t="s">
        <v>312</v>
      </c>
      <c r="DR357" s="473" t="str">
        <f>IF($U357="",P357,U357)</f>
        <v>屋根の防火対策の状況</v>
      </c>
      <c r="DS357" s="112">
        <f t="shared" si="227"/>
        <v>0</v>
      </c>
      <c r="DT357" s="118" t="str">
        <f t="shared" si="228"/>
        <v/>
      </c>
      <c r="DU357" s="452" t="str">
        <f t="shared" si="229"/>
        <v/>
      </c>
      <c r="DV357" s="151" t="str">
        <f>IF($DT357="要是正",MAX($DV$348:DV356)+1,"")</f>
        <v/>
      </c>
      <c r="DW357" s="485" t="str">
        <f t="shared" si="230"/>
        <v/>
      </c>
      <c r="DX357" s="119" t="str">
        <f t="shared" si="231"/>
        <v/>
      </c>
      <c r="DY357" s="33" t="str">
        <f t="shared" si="267"/>
        <v/>
      </c>
      <c r="DZ357" s="217" t="str">
        <f t="shared" si="232"/>
        <v/>
      </c>
      <c r="EA357" s="466" t="str">
        <f t="shared" si="233"/>
        <v/>
      </c>
      <c r="EB357" s="234" t="str">
        <f t="shared" si="234"/>
        <v/>
      </c>
      <c r="EC357" s="227" t="str">
        <f t="shared" si="235"/>
        <v>0</v>
      </c>
      <c r="ED357" s="148" t="str">
        <f t="shared" si="268"/>
        <v/>
      </c>
      <c r="EE357" s="227" t="str">
        <f t="shared" si="269"/>
        <v>0</v>
      </c>
      <c r="EF357" s="130" t="str">
        <f t="shared" si="236"/>
        <v/>
      </c>
      <c r="EG357" s="204" t="str">
        <f t="shared" si="237"/>
        <v/>
      </c>
      <c r="EH357" s="134" t="str">
        <f t="shared" si="238"/>
        <v>0</v>
      </c>
      <c r="EI357" s="148" t="str">
        <f t="shared" si="270"/>
        <v/>
      </c>
      <c r="EJ357" s="227" t="str">
        <f t="shared" si="271"/>
        <v>0</v>
      </c>
      <c r="EK357" s="451" t="str">
        <f t="shared" si="239"/>
        <v/>
      </c>
      <c r="EL357" s="452" t="e">
        <f t="shared" si="240"/>
        <v>#N/A</v>
      </c>
      <c r="EM357" s="151" t="e">
        <f t="shared" si="241"/>
        <v>#N/A</v>
      </c>
      <c r="EN357" s="453" t="e">
        <f t="shared" si="242"/>
        <v>#N/A</v>
      </c>
      <c r="FK357" s="597" t="str">
        <f t="shared" si="243"/>
        <v/>
      </c>
      <c r="FL357" s="597" t="str">
        <f t="shared" si="71"/>
        <v/>
      </c>
      <c r="FM357" s="597" t="str">
        <f t="shared" si="72"/>
        <v/>
      </c>
      <c r="FN357" s="597">
        <f t="shared" si="244"/>
        <v>0</v>
      </c>
      <c r="FO357" s="1163" t="str">
        <f t="shared" si="245"/>
        <v/>
      </c>
      <c r="FQ357" s="234" t="str">
        <f t="shared" si="246"/>
        <v/>
      </c>
      <c r="FR357" s="227" t="str">
        <f t="shared" si="247"/>
        <v>0</v>
      </c>
      <c r="FS357" s="148" t="str">
        <f t="shared" si="248"/>
        <v/>
      </c>
      <c r="FT357" s="227" t="str">
        <f t="shared" si="272"/>
        <v>0</v>
      </c>
      <c r="FU357" s="416" t="str">
        <f t="shared" si="249"/>
        <v/>
      </c>
      <c r="FW357" s="1160">
        <f t="shared" si="220"/>
        <v>0</v>
      </c>
      <c r="FX357" s="123"/>
      <c r="FY357" s="123"/>
      <c r="FZ357" s="1161"/>
      <c r="GA357" s="34"/>
      <c r="GB357" s="1149">
        <f t="shared" si="79"/>
        <v>0</v>
      </c>
      <c r="GC357" s="1149">
        <f t="shared" si="80"/>
        <v>0</v>
      </c>
      <c r="GD357" s="1149">
        <f t="shared" si="81"/>
        <v>0</v>
      </c>
      <c r="GE357" s="1149" t="str">
        <f t="shared" si="250"/>
        <v/>
      </c>
      <c r="GF357" s="1149" t="str">
        <f t="shared" si="251"/>
        <v/>
      </c>
      <c r="GG357" s="1149" t="str">
        <f t="shared" si="252"/>
        <v/>
      </c>
      <c r="GH357" s="1149" t="str">
        <f t="shared" si="253"/>
        <v/>
      </c>
      <c r="GI357" s="1149" t="str">
        <f t="shared" si="254"/>
        <v/>
      </c>
      <c r="GJ357" s="1149" t="str">
        <f t="shared" si="255"/>
        <v/>
      </c>
      <c r="GK357" s="1149" t="str">
        <f t="shared" si="256"/>
        <v/>
      </c>
      <c r="GL357" s="1149" t="str">
        <f t="shared" si="257"/>
        <v/>
      </c>
      <c r="GM357" s="1149" t="str">
        <f t="shared" si="258"/>
        <v/>
      </c>
      <c r="GN357" s="1149" t="str">
        <f t="shared" si="259"/>
        <v/>
      </c>
      <c r="GO357" s="1149" t="str">
        <f t="shared" si="260"/>
        <v/>
      </c>
      <c r="GP357" s="1149" t="str">
        <f t="shared" si="261"/>
        <v/>
      </c>
      <c r="GQ357" s="1149" t="str">
        <f t="shared" si="262"/>
        <v/>
      </c>
      <c r="GR357" s="1149" t="str">
        <f t="shared" si="263"/>
        <v/>
      </c>
      <c r="GS357" s="1149" t="str">
        <f t="shared" si="264"/>
        <v/>
      </c>
      <c r="GT357" s="1149">
        <f t="shared" si="82"/>
        <v>0</v>
      </c>
      <c r="GU357" s="1149">
        <f t="shared" si="83"/>
        <v>0</v>
      </c>
      <c r="GV357" s="1149">
        <f t="shared" si="84"/>
        <v>0</v>
      </c>
      <c r="GW357" s="1149" t="b">
        <f t="shared" si="85"/>
        <v>0</v>
      </c>
      <c r="GX357" s="1149" t="b">
        <f t="shared" si="86"/>
        <v>0</v>
      </c>
      <c r="GY357" s="1149" t="b">
        <f t="shared" si="87"/>
        <v>0</v>
      </c>
      <c r="GZ357" s="1149" t="str">
        <f t="shared" si="180"/>
        <v/>
      </c>
      <c r="HB357" s="1149" t="str">
        <f t="shared" si="89"/>
        <v/>
      </c>
      <c r="HC357" s="1149" t="str">
        <f t="shared" si="90"/>
        <v/>
      </c>
      <c r="HD357" s="1149" t="str">
        <f t="shared" si="91"/>
        <v/>
      </c>
      <c r="HE357" s="1149" t="str">
        <f t="shared" si="92"/>
        <v/>
      </c>
      <c r="HF357" s="1149" t="str">
        <f t="shared" si="93"/>
        <v/>
      </c>
      <c r="HG357" s="1149" t="str">
        <f t="shared" si="94"/>
        <v/>
      </c>
      <c r="HH357" s="1149" t="str">
        <f t="shared" si="95"/>
        <v/>
      </c>
      <c r="HI357" s="1149" t="str">
        <f t="shared" si="96"/>
        <v/>
      </c>
      <c r="HJ357" s="1149" t="str">
        <f t="shared" si="97"/>
        <v/>
      </c>
      <c r="HK357" s="1149" t="str">
        <f t="shared" si="98"/>
        <v/>
      </c>
      <c r="HL357" s="1149" t="str">
        <f t="shared" si="99"/>
        <v/>
      </c>
      <c r="HM357" s="1149" t="str">
        <f t="shared" si="100"/>
        <v/>
      </c>
      <c r="HN357" s="1149" t="str">
        <f t="shared" si="101"/>
        <v/>
      </c>
      <c r="HO357" s="1149" t="str">
        <f t="shared" si="102"/>
        <v/>
      </c>
      <c r="HP357" s="1149" t="str">
        <f t="shared" si="103"/>
        <v/>
      </c>
      <c r="HQ357" s="1149" t="str">
        <f t="shared" si="104"/>
        <v/>
      </c>
      <c r="HR357" s="1149" t="str">
        <f t="shared" si="105"/>
        <v/>
      </c>
      <c r="HT357" s="1149">
        <f>LEFT(M357,1)*10000+MID(M357,3,LEN(M357)-3)*100+COUNTIF($M$307:M357,M357)</f>
        <v>30601</v>
      </c>
      <c r="HU357" s="1149" t="str">
        <f t="shared" si="106"/>
        <v/>
      </c>
      <c r="HV357" s="1149" t="str">
        <f t="shared" si="107"/>
        <v/>
      </c>
      <c r="HW357" s="1149" t="str">
        <f t="shared" si="108"/>
        <v/>
      </c>
      <c r="HX357" s="1149" t="str">
        <f t="shared" si="109"/>
        <v/>
      </c>
    </row>
    <row r="358" spans="1:232" s="69" customFormat="1" ht="50.15" customHeight="1">
      <c r="A358" s="645"/>
      <c r="B358" s="645"/>
      <c r="C358" s="645"/>
      <c r="D358" s="645"/>
      <c r="E358" s="646"/>
      <c r="F358" s="381"/>
      <c r="G358" s="381"/>
      <c r="H358" s="381"/>
      <c r="J358" s="80"/>
      <c r="K358" s="89"/>
      <c r="L358" s="89"/>
      <c r="M358" s="1968" t="s">
        <v>1219</v>
      </c>
      <c r="N358" s="1968"/>
      <c r="O358" s="1968"/>
      <c r="P358" s="2028"/>
      <c r="Q358" s="2028"/>
      <c r="R358" s="2028"/>
      <c r="S358" s="2028"/>
      <c r="T358" s="2028"/>
      <c r="U358" s="2028" t="s">
        <v>79</v>
      </c>
      <c r="V358" s="2028"/>
      <c r="W358" s="2028"/>
      <c r="X358" s="2028"/>
      <c r="Y358" s="2028"/>
      <c r="Z358" s="2028"/>
      <c r="AA358" s="2028"/>
      <c r="AB358" s="2028"/>
      <c r="AC358" s="2028"/>
      <c r="AD358" s="2028"/>
      <c r="AE358" s="2028"/>
      <c r="AF358" s="2068"/>
      <c r="AG358" s="2068"/>
      <c r="AH358" s="2068"/>
      <c r="AI358" s="2068"/>
      <c r="AJ358" s="2068"/>
      <c r="AK358" s="2068"/>
      <c r="AL358" s="2068"/>
      <c r="AM358" s="2068"/>
      <c r="AN358" s="2068"/>
      <c r="AO358" s="2068"/>
      <c r="AP358" s="2068"/>
      <c r="AQ358" s="2068"/>
      <c r="AR358" s="1965"/>
      <c r="AS358" s="1965"/>
      <c r="AT358" s="1999"/>
      <c r="AU358" s="1999"/>
      <c r="AV358" s="1999"/>
      <c r="AW358" s="1999"/>
      <c r="AX358" s="1999"/>
      <c r="AY358" s="1999"/>
      <c r="AZ358" s="1999"/>
      <c r="BA358" s="1999"/>
      <c r="BB358" s="1999"/>
      <c r="BC358" s="1999"/>
      <c r="BD358" s="1999"/>
      <c r="BE358" s="1999"/>
      <c r="BF358" s="1999"/>
      <c r="BG358" s="1999"/>
      <c r="BH358" s="1999"/>
      <c r="BI358" s="1999"/>
      <c r="BJ358" s="1999"/>
      <c r="BK358" s="1999"/>
      <c r="BL358" s="1999"/>
      <c r="BM358" s="1999"/>
      <c r="BN358" s="1999"/>
      <c r="BO358" s="1999"/>
      <c r="BP358" s="1999"/>
      <c r="BQ358" s="1999"/>
      <c r="BR358" s="1999"/>
      <c r="BS358" s="2081"/>
      <c r="BT358" s="2081"/>
      <c r="BU358" s="2081"/>
      <c r="BV358" s="1923"/>
      <c r="BW358" s="1923"/>
      <c r="BX358" s="1923"/>
      <c r="BY358" s="1923"/>
      <c r="BZ358" s="1924"/>
      <c r="CA358" s="1924"/>
      <c r="CB358" s="2367"/>
      <c r="CC358" s="2368"/>
      <c r="CD358" s="2368"/>
      <c r="CE358" s="2368"/>
      <c r="CF358" s="2368"/>
      <c r="CG358" s="2368"/>
      <c r="CH358" s="2368"/>
      <c r="CI358" s="2368"/>
      <c r="CJ358" s="2368"/>
      <c r="CK358" s="2368"/>
      <c r="CL358" s="2368"/>
      <c r="CM358" s="2368"/>
      <c r="CN358" s="2368"/>
      <c r="CO358" s="2368"/>
      <c r="CP358" s="2368"/>
      <c r="CQ358" s="2368"/>
      <c r="CR358" s="2368"/>
      <c r="CS358" s="2368"/>
      <c r="CT358" s="2368"/>
      <c r="CU358" s="2369"/>
      <c r="CV358" s="2360" t="str">
        <f t="shared" si="221"/>
        <v/>
      </c>
      <c r="CW358" s="2360"/>
      <c r="CX358" s="2360"/>
      <c r="CY358" s="2360"/>
      <c r="CZ358" s="2360"/>
      <c r="DA358" s="2360"/>
      <c r="DC358" s="600" t="str">
        <f t="shared" si="222"/>
        <v/>
      </c>
      <c r="DD358" s="381"/>
      <c r="DF358" s="34"/>
      <c r="DG358" s="34"/>
      <c r="DH358" s="34"/>
      <c r="DI358" s="34"/>
      <c r="DJ358" s="858" t="s">
        <v>5637</v>
      </c>
      <c r="DK358" s="1707" t="str">
        <f t="shared" si="265"/>
        <v/>
      </c>
      <c r="DL358" s="1692" t="str">
        <f t="shared" si="266"/>
        <v/>
      </c>
      <c r="DM358" s="1691">
        <f t="shared" si="223"/>
        <v>0</v>
      </c>
      <c r="DN358" s="111">
        <f t="shared" si="224"/>
        <v>0</v>
      </c>
      <c r="DO358" s="111">
        <f t="shared" si="225"/>
        <v>0</v>
      </c>
      <c r="DP358" s="474">
        <f t="shared" si="226"/>
        <v>0</v>
      </c>
      <c r="DQ358" s="126" t="s">
        <v>313</v>
      </c>
      <c r="DR358" s="473" t="str">
        <f>IF($U358="",P357,U358)</f>
        <v>屋根の劣化及び損傷の状況</v>
      </c>
      <c r="DS358" s="112">
        <f t="shared" si="227"/>
        <v>0</v>
      </c>
      <c r="DT358" s="118" t="str">
        <f t="shared" si="228"/>
        <v/>
      </c>
      <c r="DU358" s="452" t="str">
        <f t="shared" si="229"/>
        <v/>
      </c>
      <c r="DV358" s="151" t="str">
        <f>IF($DT358="要是正",MAX($DV$348:DV357)+1,"")</f>
        <v/>
      </c>
      <c r="DW358" s="485" t="str">
        <f t="shared" si="230"/>
        <v/>
      </c>
      <c r="DX358" s="119" t="str">
        <f t="shared" si="231"/>
        <v/>
      </c>
      <c r="DY358" s="33" t="str">
        <f t="shared" si="267"/>
        <v/>
      </c>
      <c r="DZ358" s="217" t="str">
        <f t="shared" si="232"/>
        <v/>
      </c>
      <c r="EA358" s="466" t="str">
        <f t="shared" si="233"/>
        <v/>
      </c>
      <c r="EB358" s="234" t="str">
        <f t="shared" si="234"/>
        <v/>
      </c>
      <c r="EC358" s="227" t="str">
        <f t="shared" si="235"/>
        <v>0</v>
      </c>
      <c r="ED358" s="148" t="str">
        <f t="shared" si="268"/>
        <v/>
      </c>
      <c r="EE358" s="227" t="str">
        <f t="shared" si="269"/>
        <v>0</v>
      </c>
      <c r="EF358" s="130" t="str">
        <f t="shared" si="236"/>
        <v/>
      </c>
      <c r="EG358" s="204" t="str">
        <f t="shared" si="237"/>
        <v/>
      </c>
      <c r="EH358" s="134" t="str">
        <f t="shared" si="238"/>
        <v>0</v>
      </c>
      <c r="EI358" s="148" t="str">
        <f t="shared" si="270"/>
        <v/>
      </c>
      <c r="EJ358" s="227" t="str">
        <f t="shared" si="271"/>
        <v>0</v>
      </c>
      <c r="EK358" s="451" t="str">
        <f t="shared" si="239"/>
        <v/>
      </c>
      <c r="EL358" s="452" t="e">
        <f t="shared" si="240"/>
        <v>#N/A</v>
      </c>
      <c r="EM358" s="151" t="e">
        <f t="shared" si="241"/>
        <v>#N/A</v>
      </c>
      <c r="EN358" s="453" t="e">
        <f t="shared" si="242"/>
        <v>#N/A</v>
      </c>
      <c r="FK358" s="597" t="str">
        <f t="shared" si="243"/>
        <v/>
      </c>
      <c r="FL358" s="597" t="str">
        <f t="shared" si="71"/>
        <v/>
      </c>
      <c r="FM358" s="597" t="str">
        <f t="shared" si="72"/>
        <v/>
      </c>
      <c r="FN358" s="597">
        <f t="shared" si="244"/>
        <v>0</v>
      </c>
      <c r="FO358" s="1163" t="str">
        <f t="shared" si="245"/>
        <v/>
      </c>
      <c r="FQ358" s="234" t="str">
        <f t="shared" si="246"/>
        <v/>
      </c>
      <c r="FR358" s="227" t="str">
        <f t="shared" si="247"/>
        <v>0</v>
      </c>
      <c r="FS358" s="148" t="str">
        <f t="shared" si="248"/>
        <v/>
      </c>
      <c r="FT358" s="227" t="str">
        <f t="shared" si="272"/>
        <v>0</v>
      </c>
      <c r="FU358" s="416" t="str">
        <f t="shared" si="249"/>
        <v/>
      </c>
      <c r="FW358" s="1160">
        <f t="shared" si="220"/>
        <v>0</v>
      </c>
      <c r="FX358" s="123"/>
      <c r="FY358" s="123"/>
      <c r="FZ358" s="1161"/>
      <c r="GA358" s="34"/>
      <c r="GB358" s="1149">
        <f t="shared" si="79"/>
        <v>0</v>
      </c>
      <c r="GC358" s="1149">
        <f t="shared" si="80"/>
        <v>0</v>
      </c>
      <c r="GD358" s="1149">
        <f t="shared" si="81"/>
        <v>0</v>
      </c>
      <c r="GE358" s="1149" t="str">
        <f t="shared" si="250"/>
        <v/>
      </c>
      <c r="GF358" s="1149" t="str">
        <f t="shared" si="251"/>
        <v/>
      </c>
      <c r="GG358" s="1149" t="str">
        <f t="shared" si="252"/>
        <v/>
      </c>
      <c r="GH358" s="1149" t="str">
        <f t="shared" si="253"/>
        <v/>
      </c>
      <c r="GI358" s="1149" t="str">
        <f t="shared" si="254"/>
        <v/>
      </c>
      <c r="GJ358" s="1149" t="str">
        <f t="shared" si="255"/>
        <v/>
      </c>
      <c r="GK358" s="1149" t="str">
        <f t="shared" si="256"/>
        <v/>
      </c>
      <c r="GL358" s="1149" t="str">
        <f t="shared" si="257"/>
        <v/>
      </c>
      <c r="GM358" s="1149" t="str">
        <f t="shared" si="258"/>
        <v/>
      </c>
      <c r="GN358" s="1149" t="str">
        <f t="shared" si="259"/>
        <v/>
      </c>
      <c r="GO358" s="1149" t="str">
        <f t="shared" si="260"/>
        <v/>
      </c>
      <c r="GP358" s="1149" t="str">
        <f t="shared" si="261"/>
        <v/>
      </c>
      <c r="GQ358" s="1149" t="str">
        <f t="shared" si="262"/>
        <v/>
      </c>
      <c r="GR358" s="1149" t="str">
        <f t="shared" si="263"/>
        <v/>
      </c>
      <c r="GS358" s="1149" t="str">
        <f t="shared" si="264"/>
        <v/>
      </c>
      <c r="GT358" s="1149">
        <f t="shared" si="82"/>
        <v>0</v>
      </c>
      <c r="GU358" s="1149">
        <f t="shared" si="83"/>
        <v>0</v>
      </c>
      <c r="GV358" s="1149">
        <f t="shared" si="84"/>
        <v>0</v>
      </c>
      <c r="GW358" s="1149" t="b">
        <f t="shared" si="85"/>
        <v>0</v>
      </c>
      <c r="GX358" s="1149" t="b">
        <f t="shared" si="86"/>
        <v>0</v>
      </c>
      <c r="GY358" s="1149" t="b">
        <f t="shared" si="87"/>
        <v>0</v>
      </c>
      <c r="GZ358" s="1149" t="str">
        <f t="shared" si="180"/>
        <v/>
      </c>
      <c r="HB358" s="1149" t="str">
        <f t="shared" si="89"/>
        <v/>
      </c>
      <c r="HC358" s="1149" t="str">
        <f t="shared" si="90"/>
        <v/>
      </c>
      <c r="HD358" s="1149" t="str">
        <f t="shared" si="91"/>
        <v/>
      </c>
      <c r="HE358" s="1149" t="str">
        <f t="shared" si="92"/>
        <v/>
      </c>
      <c r="HF358" s="1149" t="str">
        <f t="shared" si="93"/>
        <v/>
      </c>
      <c r="HG358" s="1149" t="str">
        <f t="shared" si="94"/>
        <v/>
      </c>
      <c r="HH358" s="1149" t="str">
        <f t="shared" si="95"/>
        <v/>
      </c>
      <c r="HI358" s="1149" t="str">
        <f t="shared" si="96"/>
        <v/>
      </c>
      <c r="HJ358" s="1149" t="str">
        <f t="shared" si="97"/>
        <v/>
      </c>
      <c r="HK358" s="1149" t="str">
        <f t="shared" si="98"/>
        <v/>
      </c>
      <c r="HL358" s="1149" t="str">
        <f t="shared" si="99"/>
        <v/>
      </c>
      <c r="HM358" s="1149" t="str">
        <f t="shared" si="100"/>
        <v/>
      </c>
      <c r="HN358" s="1149" t="str">
        <f t="shared" si="101"/>
        <v/>
      </c>
      <c r="HO358" s="1149" t="str">
        <f t="shared" si="102"/>
        <v/>
      </c>
      <c r="HP358" s="1149" t="str">
        <f t="shared" si="103"/>
        <v/>
      </c>
      <c r="HQ358" s="1149" t="str">
        <f t="shared" si="104"/>
        <v/>
      </c>
      <c r="HR358" s="1149" t="str">
        <f t="shared" si="105"/>
        <v/>
      </c>
      <c r="HT358" s="1149">
        <f>LEFT(M358,1)*10000+MID(M358,3,LEN(M358)-3)*100+COUNTIF($M$307:M358,M358)</f>
        <v>30701</v>
      </c>
      <c r="HU358" s="1149" t="str">
        <f t="shared" si="106"/>
        <v/>
      </c>
      <c r="HV358" s="1149" t="str">
        <f t="shared" si="107"/>
        <v/>
      </c>
      <c r="HW358" s="1149" t="str">
        <f t="shared" si="108"/>
        <v/>
      </c>
      <c r="HX358" s="1149" t="str">
        <f t="shared" si="109"/>
        <v/>
      </c>
    </row>
    <row r="359" spans="1:232" s="69" customFormat="1" ht="50.15" customHeight="1">
      <c r="A359" s="645"/>
      <c r="B359" s="645"/>
      <c r="C359" s="645"/>
      <c r="D359" s="645"/>
      <c r="E359" s="646"/>
      <c r="F359" s="381"/>
      <c r="G359" s="381"/>
      <c r="H359" s="381"/>
      <c r="J359" s="80"/>
      <c r="K359" s="89"/>
      <c r="L359" s="89"/>
      <c r="M359" s="1968" t="s">
        <v>1220</v>
      </c>
      <c r="N359" s="1968"/>
      <c r="O359" s="1968"/>
      <c r="P359" s="2096" t="s">
        <v>218</v>
      </c>
      <c r="Q359" s="2096"/>
      <c r="R359" s="2096"/>
      <c r="S359" s="2096"/>
      <c r="T359" s="2096"/>
      <c r="U359" s="2011" t="s">
        <v>80</v>
      </c>
      <c r="V359" s="2011"/>
      <c r="W359" s="2011"/>
      <c r="X359" s="2011"/>
      <c r="Y359" s="2011"/>
      <c r="Z359" s="2011"/>
      <c r="AA359" s="2011"/>
      <c r="AB359" s="2011"/>
      <c r="AC359" s="2011"/>
      <c r="AD359" s="2011"/>
      <c r="AE359" s="2011"/>
      <c r="AF359" s="2010"/>
      <c r="AG359" s="2010"/>
      <c r="AH359" s="2010"/>
      <c r="AI359" s="2010"/>
      <c r="AJ359" s="2010"/>
      <c r="AK359" s="2010"/>
      <c r="AL359" s="2010"/>
      <c r="AM359" s="2010"/>
      <c r="AN359" s="2010"/>
      <c r="AO359" s="2010"/>
      <c r="AP359" s="2010"/>
      <c r="AQ359" s="2010"/>
      <c r="AR359" s="2017"/>
      <c r="AS359" s="2017"/>
      <c r="AT359" s="1929"/>
      <c r="AU359" s="1929"/>
      <c r="AV359" s="1929"/>
      <c r="AW359" s="1929"/>
      <c r="AX359" s="1929"/>
      <c r="AY359" s="1929"/>
      <c r="AZ359" s="1929"/>
      <c r="BA359" s="1929"/>
      <c r="BB359" s="1929"/>
      <c r="BC359" s="1929"/>
      <c r="BD359" s="1929"/>
      <c r="BE359" s="1929"/>
      <c r="BF359" s="1929"/>
      <c r="BG359" s="1929"/>
      <c r="BH359" s="1929"/>
      <c r="BI359" s="1929"/>
      <c r="BJ359" s="1929"/>
      <c r="BK359" s="1929"/>
      <c r="BL359" s="1929"/>
      <c r="BM359" s="1929"/>
      <c r="BN359" s="1929"/>
      <c r="BO359" s="1929"/>
      <c r="BP359" s="1929"/>
      <c r="BQ359" s="1929"/>
      <c r="BR359" s="1929"/>
      <c r="BS359" s="1885"/>
      <c r="BT359" s="1885"/>
      <c r="BU359" s="1885"/>
      <c r="BV359" s="1890"/>
      <c r="BW359" s="1890"/>
      <c r="BX359" s="1890"/>
      <c r="BY359" s="1890"/>
      <c r="BZ359" s="1891"/>
      <c r="CA359" s="1891"/>
      <c r="CB359" s="1925"/>
      <c r="CC359" s="1926"/>
      <c r="CD359" s="1926"/>
      <c r="CE359" s="1926"/>
      <c r="CF359" s="1926"/>
      <c r="CG359" s="1926"/>
      <c r="CH359" s="1926"/>
      <c r="CI359" s="1926"/>
      <c r="CJ359" s="1926"/>
      <c r="CK359" s="1926"/>
      <c r="CL359" s="1926"/>
      <c r="CM359" s="1926"/>
      <c r="CN359" s="1926"/>
      <c r="CO359" s="1926"/>
      <c r="CP359" s="1926"/>
      <c r="CQ359" s="1926"/>
      <c r="CR359" s="1926"/>
      <c r="CS359" s="1926"/>
      <c r="CT359" s="1926"/>
      <c r="CU359" s="1927"/>
      <c r="CV359" s="2360" t="str">
        <f t="shared" si="221"/>
        <v/>
      </c>
      <c r="CW359" s="2360"/>
      <c r="CX359" s="2360"/>
      <c r="CY359" s="2360"/>
      <c r="CZ359" s="2360"/>
      <c r="DA359" s="2360"/>
      <c r="DC359" s="600" t="str">
        <f t="shared" si="222"/>
        <v/>
      </c>
      <c r="DD359" s="381"/>
      <c r="DF359" s="34"/>
      <c r="DG359" s="34"/>
      <c r="DH359" s="34"/>
      <c r="DI359" s="34"/>
      <c r="DJ359" s="858" t="s">
        <v>5637</v>
      </c>
      <c r="DK359" s="1707" t="str">
        <f t="shared" si="265"/>
        <v/>
      </c>
      <c r="DL359" s="1692" t="str">
        <f t="shared" si="266"/>
        <v/>
      </c>
      <c r="DM359" s="1691">
        <f t="shared" si="223"/>
        <v>0</v>
      </c>
      <c r="DN359" s="111">
        <f t="shared" si="224"/>
        <v>0</v>
      </c>
      <c r="DO359" s="111">
        <f t="shared" si="225"/>
        <v>0</v>
      </c>
      <c r="DP359" s="474">
        <f t="shared" si="226"/>
        <v>0</v>
      </c>
      <c r="DQ359" s="126" t="s">
        <v>314</v>
      </c>
      <c r="DR359" s="473" t="str">
        <f>IF($U359="",P359,U359)</f>
        <v>機器、工作物本体及び接合部の劣化及び損傷の状況</v>
      </c>
      <c r="DS359" s="112">
        <f t="shared" si="227"/>
        <v>0</v>
      </c>
      <c r="DT359" s="118" t="str">
        <f t="shared" si="228"/>
        <v/>
      </c>
      <c r="DU359" s="452" t="str">
        <f t="shared" si="229"/>
        <v/>
      </c>
      <c r="DV359" s="151" t="str">
        <f>IF($DT359="要是正",MAX($DV$348:DV358)+1,"")</f>
        <v/>
      </c>
      <c r="DW359" s="485" t="str">
        <f t="shared" si="230"/>
        <v/>
      </c>
      <c r="DX359" s="119" t="str">
        <f t="shared" si="231"/>
        <v/>
      </c>
      <c r="DY359" s="33" t="str">
        <f t="shared" si="267"/>
        <v/>
      </c>
      <c r="DZ359" s="217" t="str">
        <f t="shared" si="232"/>
        <v/>
      </c>
      <c r="EA359" s="466" t="str">
        <f t="shared" si="233"/>
        <v/>
      </c>
      <c r="EB359" s="234" t="str">
        <f t="shared" si="234"/>
        <v/>
      </c>
      <c r="EC359" s="227" t="str">
        <f t="shared" si="235"/>
        <v>0</v>
      </c>
      <c r="ED359" s="148" t="str">
        <f t="shared" si="268"/>
        <v/>
      </c>
      <c r="EE359" s="227" t="str">
        <f t="shared" si="269"/>
        <v>0</v>
      </c>
      <c r="EF359" s="130" t="str">
        <f t="shared" si="236"/>
        <v/>
      </c>
      <c r="EG359" s="204" t="str">
        <f t="shared" si="237"/>
        <v/>
      </c>
      <c r="EH359" s="134" t="str">
        <f t="shared" si="238"/>
        <v>0</v>
      </c>
      <c r="EI359" s="148" t="str">
        <f t="shared" si="270"/>
        <v/>
      </c>
      <c r="EJ359" s="227" t="str">
        <f t="shared" si="271"/>
        <v>0</v>
      </c>
      <c r="EK359" s="451" t="str">
        <f t="shared" si="239"/>
        <v/>
      </c>
      <c r="EL359" s="452" t="e">
        <f t="shared" si="240"/>
        <v>#N/A</v>
      </c>
      <c r="EM359" s="151" t="e">
        <f t="shared" si="241"/>
        <v>#N/A</v>
      </c>
      <c r="EN359" s="453" t="e">
        <f t="shared" si="242"/>
        <v>#N/A</v>
      </c>
      <c r="FK359" s="597" t="str">
        <f t="shared" si="243"/>
        <v/>
      </c>
      <c r="FL359" s="597" t="str">
        <f t="shared" si="71"/>
        <v/>
      </c>
      <c r="FM359" s="597" t="str">
        <f t="shared" si="72"/>
        <v/>
      </c>
      <c r="FN359" s="597">
        <f t="shared" si="244"/>
        <v>0</v>
      </c>
      <c r="FO359" s="1163" t="str">
        <f t="shared" si="245"/>
        <v/>
      </c>
      <c r="FQ359" s="234" t="str">
        <f t="shared" si="246"/>
        <v/>
      </c>
      <c r="FR359" s="227" t="str">
        <f t="shared" si="247"/>
        <v>0</v>
      </c>
      <c r="FS359" s="148" t="str">
        <f t="shared" si="248"/>
        <v/>
      </c>
      <c r="FT359" s="227" t="str">
        <f t="shared" si="272"/>
        <v>0</v>
      </c>
      <c r="FU359" s="416" t="str">
        <f t="shared" si="249"/>
        <v/>
      </c>
      <c r="FW359" s="1160">
        <f t="shared" si="220"/>
        <v>0</v>
      </c>
      <c r="FX359" s="123"/>
      <c r="FY359" s="123"/>
      <c r="FZ359" s="1161"/>
      <c r="GA359" s="34"/>
      <c r="GB359" s="1149">
        <f t="shared" si="79"/>
        <v>0</v>
      </c>
      <c r="GC359" s="1149">
        <f t="shared" si="80"/>
        <v>0</v>
      </c>
      <c r="GD359" s="1149">
        <f t="shared" si="81"/>
        <v>0</v>
      </c>
      <c r="GE359" s="1149" t="str">
        <f t="shared" si="250"/>
        <v/>
      </c>
      <c r="GF359" s="1149" t="str">
        <f t="shared" si="251"/>
        <v/>
      </c>
      <c r="GG359" s="1149" t="str">
        <f t="shared" si="252"/>
        <v/>
      </c>
      <c r="GH359" s="1149" t="str">
        <f t="shared" si="253"/>
        <v/>
      </c>
      <c r="GI359" s="1149" t="str">
        <f t="shared" si="254"/>
        <v/>
      </c>
      <c r="GJ359" s="1149" t="str">
        <f t="shared" si="255"/>
        <v/>
      </c>
      <c r="GK359" s="1149" t="str">
        <f t="shared" si="256"/>
        <v/>
      </c>
      <c r="GL359" s="1149" t="str">
        <f t="shared" si="257"/>
        <v/>
      </c>
      <c r="GM359" s="1149" t="str">
        <f t="shared" si="258"/>
        <v/>
      </c>
      <c r="GN359" s="1149" t="str">
        <f t="shared" si="259"/>
        <v/>
      </c>
      <c r="GO359" s="1149" t="str">
        <f t="shared" si="260"/>
        <v/>
      </c>
      <c r="GP359" s="1149" t="str">
        <f t="shared" si="261"/>
        <v/>
      </c>
      <c r="GQ359" s="1149" t="str">
        <f t="shared" si="262"/>
        <v/>
      </c>
      <c r="GR359" s="1149" t="str">
        <f t="shared" si="263"/>
        <v/>
      </c>
      <c r="GS359" s="1149" t="str">
        <f t="shared" si="264"/>
        <v/>
      </c>
      <c r="GT359" s="1149">
        <f t="shared" si="82"/>
        <v>0</v>
      </c>
      <c r="GU359" s="1149">
        <f t="shared" si="83"/>
        <v>0</v>
      </c>
      <c r="GV359" s="1149">
        <f t="shared" si="84"/>
        <v>0</v>
      </c>
      <c r="GW359" s="1149" t="b">
        <f t="shared" si="85"/>
        <v>0</v>
      </c>
      <c r="GX359" s="1149" t="b">
        <f t="shared" si="86"/>
        <v>0</v>
      </c>
      <c r="GY359" s="1149" t="b">
        <f t="shared" si="87"/>
        <v>0</v>
      </c>
      <c r="GZ359" s="1149" t="str">
        <f t="shared" si="180"/>
        <v/>
      </c>
      <c r="HB359" s="1149" t="str">
        <f t="shared" si="89"/>
        <v/>
      </c>
      <c r="HC359" s="1149" t="str">
        <f t="shared" si="90"/>
        <v/>
      </c>
      <c r="HD359" s="1149" t="str">
        <f t="shared" si="91"/>
        <v/>
      </c>
      <c r="HE359" s="1149" t="str">
        <f t="shared" si="92"/>
        <v/>
      </c>
      <c r="HF359" s="1149" t="str">
        <f t="shared" si="93"/>
        <v/>
      </c>
      <c r="HG359" s="1149" t="str">
        <f t="shared" si="94"/>
        <v/>
      </c>
      <c r="HH359" s="1149" t="str">
        <f t="shared" si="95"/>
        <v/>
      </c>
      <c r="HI359" s="1149" t="str">
        <f t="shared" si="96"/>
        <v/>
      </c>
      <c r="HJ359" s="1149" t="str">
        <f t="shared" si="97"/>
        <v/>
      </c>
      <c r="HK359" s="1149" t="str">
        <f t="shared" si="98"/>
        <v/>
      </c>
      <c r="HL359" s="1149" t="str">
        <f t="shared" si="99"/>
        <v/>
      </c>
      <c r="HM359" s="1149" t="str">
        <f t="shared" si="100"/>
        <v/>
      </c>
      <c r="HN359" s="1149" t="str">
        <f t="shared" si="101"/>
        <v/>
      </c>
      <c r="HO359" s="1149" t="str">
        <f t="shared" si="102"/>
        <v/>
      </c>
      <c r="HP359" s="1149" t="str">
        <f t="shared" si="103"/>
        <v/>
      </c>
      <c r="HQ359" s="1149" t="str">
        <f t="shared" si="104"/>
        <v/>
      </c>
      <c r="HR359" s="1149" t="str">
        <f t="shared" si="105"/>
        <v/>
      </c>
      <c r="HT359" s="1149">
        <f>LEFT(M359,1)*10000+MID(M359,3,LEN(M359)-3)*100+COUNTIF($M$307:M359,M359)</f>
        <v>30801</v>
      </c>
      <c r="HU359" s="1149" t="str">
        <f t="shared" si="106"/>
        <v/>
      </c>
      <c r="HV359" s="1149" t="str">
        <f t="shared" si="107"/>
        <v/>
      </c>
      <c r="HW359" s="1149" t="str">
        <f t="shared" si="108"/>
        <v/>
      </c>
      <c r="HX359" s="1149" t="str">
        <f t="shared" si="109"/>
        <v/>
      </c>
    </row>
    <row r="360" spans="1:232" s="69" customFormat="1" ht="50.15" customHeight="1" thickBot="1">
      <c r="A360" s="645"/>
      <c r="B360" s="645"/>
      <c r="C360" s="645"/>
      <c r="D360" s="645"/>
      <c r="E360" s="646"/>
      <c r="F360" s="381"/>
      <c r="G360" s="381"/>
      <c r="H360" s="381"/>
      <c r="J360" s="80"/>
      <c r="K360" s="89"/>
      <c r="L360" s="89"/>
      <c r="M360" s="1964" t="s">
        <v>1221</v>
      </c>
      <c r="N360" s="1964"/>
      <c r="O360" s="1964"/>
      <c r="P360" s="2029"/>
      <c r="Q360" s="2029"/>
      <c r="R360" s="2029"/>
      <c r="S360" s="2029"/>
      <c r="T360" s="2029"/>
      <c r="U360" s="1899" t="s">
        <v>71</v>
      </c>
      <c r="V360" s="1899"/>
      <c r="W360" s="1899"/>
      <c r="X360" s="1899"/>
      <c r="Y360" s="1899"/>
      <c r="Z360" s="1899"/>
      <c r="AA360" s="1899"/>
      <c r="AB360" s="1899"/>
      <c r="AC360" s="1899"/>
      <c r="AD360" s="1899"/>
      <c r="AE360" s="1899"/>
      <c r="AF360" s="1898"/>
      <c r="AG360" s="1898"/>
      <c r="AH360" s="1898"/>
      <c r="AI360" s="1898"/>
      <c r="AJ360" s="1898"/>
      <c r="AK360" s="1898"/>
      <c r="AL360" s="1898"/>
      <c r="AM360" s="1898"/>
      <c r="AN360" s="1898"/>
      <c r="AO360" s="1898"/>
      <c r="AP360" s="1898"/>
      <c r="AQ360" s="1898"/>
      <c r="AR360" s="1910"/>
      <c r="AS360" s="1910"/>
      <c r="AT360" s="1993"/>
      <c r="AU360" s="1993"/>
      <c r="AV360" s="1993"/>
      <c r="AW360" s="1993"/>
      <c r="AX360" s="1993"/>
      <c r="AY360" s="1993"/>
      <c r="AZ360" s="1993"/>
      <c r="BA360" s="1993"/>
      <c r="BB360" s="1993"/>
      <c r="BC360" s="1993"/>
      <c r="BD360" s="1993"/>
      <c r="BE360" s="1993"/>
      <c r="BF360" s="1993"/>
      <c r="BG360" s="1993"/>
      <c r="BH360" s="1993"/>
      <c r="BI360" s="1993"/>
      <c r="BJ360" s="1993"/>
      <c r="BK360" s="1993"/>
      <c r="BL360" s="1993"/>
      <c r="BM360" s="1993"/>
      <c r="BN360" s="1993"/>
      <c r="BO360" s="1993"/>
      <c r="BP360" s="1993"/>
      <c r="BQ360" s="1993"/>
      <c r="BR360" s="1993"/>
      <c r="BS360" s="1895"/>
      <c r="BT360" s="1895"/>
      <c r="BU360" s="1895"/>
      <c r="BV360" s="1889"/>
      <c r="BW360" s="1889"/>
      <c r="BX360" s="1889"/>
      <c r="BY360" s="1889"/>
      <c r="BZ360" s="1896"/>
      <c r="CA360" s="1896"/>
      <c r="CB360" s="1886"/>
      <c r="CC360" s="1887"/>
      <c r="CD360" s="1887"/>
      <c r="CE360" s="1887"/>
      <c r="CF360" s="1887"/>
      <c r="CG360" s="1887"/>
      <c r="CH360" s="1887"/>
      <c r="CI360" s="1887"/>
      <c r="CJ360" s="1887"/>
      <c r="CK360" s="1887"/>
      <c r="CL360" s="1887"/>
      <c r="CM360" s="1887"/>
      <c r="CN360" s="1887"/>
      <c r="CO360" s="1887"/>
      <c r="CP360" s="1887"/>
      <c r="CQ360" s="1887"/>
      <c r="CR360" s="1887"/>
      <c r="CS360" s="1887"/>
      <c r="CT360" s="1887"/>
      <c r="CU360" s="1888"/>
      <c r="CV360" s="2360" t="str">
        <f t="shared" si="221"/>
        <v/>
      </c>
      <c r="CW360" s="2360"/>
      <c r="CX360" s="2360"/>
      <c r="CY360" s="2360"/>
      <c r="CZ360" s="2360"/>
      <c r="DA360" s="2360"/>
      <c r="DC360" s="600" t="str">
        <f t="shared" si="222"/>
        <v/>
      </c>
      <c r="DD360" s="381"/>
      <c r="DF360" s="34"/>
      <c r="DG360" s="34"/>
      <c r="DH360" s="34"/>
      <c r="DI360" s="34"/>
      <c r="DJ360" s="858" t="s">
        <v>5637</v>
      </c>
      <c r="DK360" s="1707" t="str">
        <f t="shared" si="265"/>
        <v/>
      </c>
      <c r="DL360" s="1692" t="str">
        <f t="shared" si="266"/>
        <v/>
      </c>
      <c r="DM360" s="1694">
        <f t="shared" si="223"/>
        <v>0</v>
      </c>
      <c r="DN360" s="476">
        <f t="shared" si="224"/>
        <v>0</v>
      </c>
      <c r="DO360" s="476">
        <f t="shared" si="225"/>
        <v>0</v>
      </c>
      <c r="DP360" s="477">
        <f t="shared" si="226"/>
        <v>0</v>
      </c>
      <c r="DQ360" s="126" t="s">
        <v>315</v>
      </c>
      <c r="DR360" s="475" t="str">
        <f>IF($U360="",P359,U360)</f>
        <v>支持部分等の劣化及び損傷の状況</v>
      </c>
      <c r="DS360" s="221">
        <f t="shared" si="227"/>
        <v>0</v>
      </c>
      <c r="DT360" s="480" t="str">
        <f t="shared" si="228"/>
        <v/>
      </c>
      <c r="DU360" s="232" t="str">
        <f t="shared" si="229"/>
        <v/>
      </c>
      <c r="DV360" s="233" t="str">
        <f>IF($DT360="要是正",MAX($DV$348:DV359)+1,"")</f>
        <v/>
      </c>
      <c r="DW360" s="486" t="str">
        <f t="shared" si="230"/>
        <v/>
      </c>
      <c r="DX360" s="467" t="str">
        <f t="shared" si="231"/>
        <v/>
      </c>
      <c r="DY360" s="468" t="str">
        <f t="shared" si="267"/>
        <v/>
      </c>
      <c r="DZ360" s="469" t="str">
        <f t="shared" si="232"/>
        <v/>
      </c>
      <c r="EA360" s="466" t="str">
        <f t="shared" si="233"/>
        <v/>
      </c>
      <c r="EB360" s="465" t="str">
        <f t="shared" si="234"/>
        <v/>
      </c>
      <c r="EC360" s="460" t="str">
        <f t="shared" si="235"/>
        <v>0</v>
      </c>
      <c r="ED360" s="459" t="str">
        <f t="shared" si="268"/>
        <v/>
      </c>
      <c r="EE360" s="460" t="str">
        <f t="shared" si="269"/>
        <v>0</v>
      </c>
      <c r="EF360" s="461" t="str">
        <f t="shared" si="236"/>
        <v/>
      </c>
      <c r="EG360" s="204" t="str">
        <f t="shared" si="237"/>
        <v/>
      </c>
      <c r="EH360" s="134" t="str">
        <f t="shared" si="238"/>
        <v>0</v>
      </c>
      <c r="EI360" s="148" t="str">
        <f t="shared" si="270"/>
        <v/>
      </c>
      <c r="EJ360" s="227" t="str">
        <f t="shared" si="271"/>
        <v>0</v>
      </c>
      <c r="EK360" s="451" t="str">
        <f t="shared" si="239"/>
        <v/>
      </c>
      <c r="EL360" s="452" t="e">
        <f t="shared" si="240"/>
        <v>#N/A</v>
      </c>
      <c r="EM360" s="151" t="e">
        <f t="shared" si="241"/>
        <v>#N/A</v>
      </c>
      <c r="EN360" s="453" t="e">
        <f t="shared" si="242"/>
        <v>#N/A</v>
      </c>
      <c r="FK360" s="597" t="str">
        <f t="shared" si="243"/>
        <v/>
      </c>
      <c r="FL360" s="597" t="str">
        <f t="shared" si="71"/>
        <v/>
      </c>
      <c r="FM360" s="597" t="str">
        <f t="shared" si="72"/>
        <v/>
      </c>
      <c r="FN360" s="597">
        <f t="shared" si="244"/>
        <v>0</v>
      </c>
      <c r="FO360" s="1163" t="str">
        <f t="shared" si="245"/>
        <v/>
      </c>
      <c r="FQ360" s="234" t="str">
        <f t="shared" si="246"/>
        <v/>
      </c>
      <c r="FR360" s="227" t="str">
        <f t="shared" si="247"/>
        <v>0</v>
      </c>
      <c r="FS360" s="148" t="str">
        <f t="shared" si="248"/>
        <v/>
      </c>
      <c r="FT360" s="227" t="str">
        <f t="shared" si="272"/>
        <v>0</v>
      </c>
      <c r="FU360" s="416" t="str">
        <f t="shared" si="249"/>
        <v/>
      </c>
      <c r="FW360" s="1160">
        <f t="shared" si="220"/>
        <v>0</v>
      </c>
      <c r="FX360" s="123"/>
      <c r="FY360" s="123"/>
      <c r="FZ360" s="1161"/>
      <c r="GA360" s="34"/>
      <c r="GB360" s="1149">
        <f t="shared" si="79"/>
        <v>0</v>
      </c>
      <c r="GC360" s="1149">
        <f t="shared" si="80"/>
        <v>0</v>
      </c>
      <c r="GD360" s="1149">
        <f t="shared" si="81"/>
        <v>0</v>
      </c>
      <c r="GE360" s="1149" t="str">
        <f t="shared" si="250"/>
        <v/>
      </c>
      <c r="GF360" s="1149" t="str">
        <f t="shared" si="251"/>
        <v/>
      </c>
      <c r="GG360" s="1149" t="str">
        <f t="shared" si="252"/>
        <v/>
      </c>
      <c r="GH360" s="1149" t="str">
        <f t="shared" si="253"/>
        <v/>
      </c>
      <c r="GI360" s="1149" t="str">
        <f t="shared" si="254"/>
        <v/>
      </c>
      <c r="GJ360" s="1149" t="str">
        <f t="shared" si="255"/>
        <v/>
      </c>
      <c r="GK360" s="1149" t="str">
        <f t="shared" si="256"/>
        <v/>
      </c>
      <c r="GL360" s="1149" t="str">
        <f t="shared" si="257"/>
        <v/>
      </c>
      <c r="GM360" s="1149" t="str">
        <f t="shared" si="258"/>
        <v/>
      </c>
      <c r="GN360" s="1149" t="str">
        <f t="shared" si="259"/>
        <v/>
      </c>
      <c r="GO360" s="1149" t="str">
        <f t="shared" si="260"/>
        <v/>
      </c>
      <c r="GP360" s="1149" t="str">
        <f t="shared" si="261"/>
        <v/>
      </c>
      <c r="GQ360" s="1149" t="str">
        <f t="shared" si="262"/>
        <v/>
      </c>
      <c r="GR360" s="1149" t="str">
        <f t="shared" si="263"/>
        <v/>
      </c>
      <c r="GS360" s="1149" t="str">
        <f t="shared" si="264"/>
        <v/>
      </c>
      <c r="GT360" s="1149">
        <f t="shared" si="82"/>
        <v>0</v>
      </c>
      <c r="GU360" s="1149">
        <f t="shared" si="83"/>
        <v>0</v>
      </c>
      <c r="GV360" s="1149">
        <f t="shared" si="84"/>
        <v>0</v>
      </c>
      <c r="GW360" s="1149" t="b">
        <f t="shared" si="85"/>
        <v>0</v>
      </c>
      <c r="GX360" s="1149" t="b">
        <f t="shared" si="86"/>
        <v>0</v>
      </c>
      <c r="GY360" s="1149" t="b">
        <f t="shared" si="87"/>
        <v>0</v>
      </c>
      <c r="GZ360" s="1149" t="str">
        <f t="shared" si="180"/>
        <v/>
      </c>
      <c r="HB360" s="1149" t="str">
        <f t="shared" si="89"/>
        <v/>
      </c>
      <c r="HC360" s="1149" t="str">
        <f t="shared" si="90"/>
        <v/>
      </c>
      <c r="HD360" s="1149" t="str">
        <f t="shared" si="91"/>
        <v/>
      </c>
      <c r="HE360" s="1149" t="str">
        <f t="shared" si="92"/>
        <v/>
      </c>
      <c r="HF360" s="1149" t="str">
        <f t="shared" si="93"/>
        <v/>
      </c>
      <c r="HG360" s="1149" t="str">
        <f t="shared" si="94"/>
        <v/>
      </c>
      <c r="HH360" s="1149" t="str">
        <f t="shared" si="95"/>
        <v/>
      </c>
      <c r="HI360" s="1149" t="str">
        <f t="shared" si="96"/>
        <v/>
      </c>
      <c r="HJ360" s="1149" t="str">
        <f t="shared" si="97"/>
        <v/>
      </c>
      <c r="HK360" s="1149" t="str">
        <f t="shared" si="98"/>
        <v/>
      </c>
      <c r="HL360" s="1149" t="str">
        <f t="shared" si="99"/>
        <v/>
      </c>
      <c r="HM360" s="1149" t="str">
        <f t="shared" si="100"/>
        <v/>
      </c>
      <c r="HN360" s="1149" t="str">
        <f t="shared" si="101"/>
        <v/>
      </c>
      <c r="HO360" s="1149" t="str">
        <f t="shared" si="102"/>
        <v/>
      </c>
      <c r="HP360" s="1149" t="str">
        <f t="shared" si="103"/>
        <v/>
      </c>
      <c r="HQ360" s="1149" t="str">
        <f t="shared" si="104"/>
        <v/>
      </c>
      <c r="HR360" s="1149" t="str">
        <f t="shared" si="105"/>
        <v/>
      </c>
      <c r="HT360" s="1149">
        <f>LEFT(M360,1)*10000+MID(M360,3,LEN(M360)-3)*100+COUNTIF($M$307:M360,M360)</f>
        <v>30901</v>
      </c>
      <c r="HU360" s="1149" t="str">
        <f t="shared" si="106"/>
        <v/>
      </c>
      <c r="HV360" s="1149" t="str">
        <f t="shared" si="107"/>
        <v/>
      </c>
      <c r="HW360" s="1149" t="str">
        <f t="shared" si="108"/>
        <v/>
      </c>
      <c r="HX360" s="1149" t="str">
        <f t="shared" si="109"/>
        <v/>
      </c>
    </row>
    <row r="361" spans="1:232" s="69" customFormat="1" ht="50.15" hidden="1" customHeight="1" thickBot="1">
      <c r="A361" s="645"/>
      <c r="B361" s="645"/>
      <c r="C361" s="645"/>
      <c r="D361" s="645"/>
      <c r="E361" s="646"/>
      <c r="F361" s="381"/>
      <c r="G361" s="381"/>
      <c r="H361" s="381"/>
      <c r="J361" s="80"/>
      <c r="K361" s="89"/>
      <c r="L361" s="89"/>
      <c r="M361" s="1964" t="s">
        <v>2571</v>
      </c>
      <c r="N361" s="1964"/>
      <c r="O361" s="1964"/>
      <c r="P361" s="2029"/>
      <c r="Q361" s="2029"/>
      <c r="R361" s="2029"/>
      <c r="S361" s="2029"/>
      <c r="T361" s="2029"/>
      <c r="U361" s="1899"/>
      <c r="V361" s="1899"/>
      <c r="W361" s="1899"/>
      <c r="X361" s="1899"/>
      <c r="Y361" s="1899"/>
      <c r="Z361" s="1899"/>
      <c r="AA361" s="1899"/>
      <c r="AB361" s="1899"/>
      <c r="AC361" s="1899"/>
      <c r="AD361" s="1899"/>
      <c r="AE361" s="1899"/>
      <c r="AF361" s="1898"/>
      <c r="AG361" s="1898"/>
      <c r="AH361" s="1898"/>
      <c r="AI361" s="1898"/>
      <c r="AJ361" s="1898"/>
      <c r="AK361" s="1898"/>
      <c r="AL361" s="1898"/>
      <c r="AM361" s="1898"/>
      <c r="AN361" s="1898"/>
      <c r="AO361" s="1898"/>
      <c r="AP361" s="1898"/>
      <c r="AQ361" s="1898"/>
      <c r="AR361" s="1910"/>
      <c r="AS361" s="1910"/>
      <c r="AT361" s="1993"/>
      <c r="AU361" s="1993"/>
      <c r="AV361" s="1993"/>
      <c r="AW361" s="1993"/>
      <c r="AX361" s="1993"/>
      <c r="AY361" s="1993"/>
      <c r="AZ361" s="1993"/>
      <c r="BA361" s="1993"/>
      <c r="BB361" s="1993"/>
      <c r="BC361" s="1993"/>
      <c r="BD361" s="1993"/>
      <c r="BE361" s="1993"/>
      <c r="BF361" s="1993"/>
      <c r="BG361" s="1993"/>
      <c r="BH361" s="1993"/>
      <c r="BI361" s="1993"/>
      <c r="BJ361" s="1993"/>
      <c r="BK361" s="1993"/>
      <c r="BL361" s="1993"/>
      <c r="BM361" s="1993"/>
      <c r="BN361" s="1993"/>
      <c r="BO361" s="1993"/>
      <c r="BP361" s="1993"/>
      <c r="BQ361" s="1993"/>
      <c r="BR361" s="1993"/>
      <c r="BS361" s="1895"/>
      <c r="BT361" s="1895"/>
      <c r="BU361" s="1895"/>
      <c r="BV361" s="1889"/>
      <c r="BW361" s="1889"/>
      <c r="BX361" s="1889"/>
      <c r="BY361" s="1889"/>
      <c r="BZ361" s="1896"/>
      <c r="CA361" s="1896"/>
      <c r="CB361" s="1886"/>
      <c r="CC361" s="1887"/>
      <c r="CD361" s="1887"/>
      <c r="CE361" s="1887"/>
      <c r="CF361" s="1887"/>
      <c r="CG361" s="1887"/>
      <c r="CH361" s="1887"/>
      <c r="CI361" s="1887"/>
      <c r="CJ361" s="1887"/>
      <c r="CK361" s="1887"/>
      <c r="CL361" s="1887"/>
      <c r="CM361" s="1887"/>
      <c r="CN361" s="1887"/>
      <c r="CO361" s="1887"/>
      <c r="CP361" s="1887"/>
      <c r="CQ361" s="1887"/>
      <c r="CR361" s="1887"/>
      <c r="CS361" s="1887"/>
      <c r="CT361" s="1887"/>
      <c r="CU361" s="1888"/>
      <c r="CV361" s="2360" t="str">
        <f t="shared" ref="CV361:CV365" si="273">IF(AND(DT361="要是正",DU361&lt;21),HYPERLINK("#"&amp;EL361&amp;"!"&amp;EM361&amp;":"&amp;EN361&amp;"","関連写真添付"),"")</f>
        <v/>
      </c>
      <c r="CW361" s="2360"/>
      <c r="CX361" s="2360"/>
      <c r="CY361" s="2360"/>
      <c r="CZ361" s="2360"/>
      <c r="DA361" s="2360"/>
      <c r="DC361" s="600" t="str">
        <f t="shared" ref="DC361:DC365" si="274">IF(AND(DU361&lt;&gt;"",DU361&gt;20),"「別途様式を作成、提出してください。」","")</f>
        <v/>
      </c>
      <c r="DD361" s="381"/>
      <c r="DF361" s="34"/>
      <c r="DG361" s="34"/>
      <c r="DH361" s="34"/>
      <c r="DI361" s="34"/>
      <c r="DJ361" s="858" t="s">
        <v>5637</v>
      </c>
      <c r="DK361" s="1707" t="str">
        <f t="shared" si="265"/>
        <v/>
      </c>
      <c r="DL361" s="1692" t="str">
        <f t="shared" si="266"/>
        <v/>
      </c>
      <c r="DM361" s="1694">
        <f t="shared" si="223"/>
        <v>0</v>
      </c>
      <c r="DN361" s="476">
        <f t="shared" ref="DN361:DN365" si="275">COUNTIFS(AF361,"○指摘なし")</f>
        <v>0</v>
      </c>
      <c r="DO361" s="476">
        <f t="shared" ref="DO361:DO365" si="276">COUNTIFS(AF361,"×要是正（既存不適格以外）")</f>
        <v>0</v>
      </c>
      <c r="DP361" s="477">
        <f t="shared" ref="DP361:DP365" si="277">COUNTIFS(AF361,"△既存不適格")</f>
        <v>0</v>
      </c>
      <c r="DQ361" s="126" t="s">
        <v>2619</v>
      </c>
      <c r="DR361" s="475">
        <f t="shared" ref="DR361:DR365" si="278">IF($U361="",R361,U361)</f>
        <v>0</v>
      </c>
      <c r="DS361" s="221">
        <f t="shared" ref="DS361:DS365" si="279">COUNTA(BS361:BX361)</f>
        <v>0</v>
      </c>
      <c r="DT361" s="480" t="str">
        <f t="shared" ref="DT361:DT365" si="280">IF(AF361="×要是正（既存不適格以外）","要是正","")&amp;IF(AF361="△既存不適格","既存不適格","")</f>
        <v/>
      </c>
      <c r="DU361" s="232" t="str">
        <f t="shared" si="229"/>
        <v/>
      </c>
      <c r="DV361" s="233" t="str">
        <f>IF($DT361="要是正",MAX($DV$348:DV360)+1,"")</f>
        <v/>
      </c>
      <c r="DW361" s="486" t="str">
        <f t="shared" ref="DW361:DW365" si="281">IF(OR(AF361="×要是正（既存不適格以外）",AF361="△既存不適格"),DQ361,"")</f>
        <v/>
      </c>
      <c r="DX361" s="467" t="str">
        <f t="shared" si="231"/>
        <v/>
      </c>
      <c r="DY361" s="468" t="str">
        <f t="shared" ref="DY361:DY365" si="282">IF($DT361="要是正",IF(AT361="","",DQ361 &amp;" " &amp; AT361),"")</f>
        <v/>
      </c>
      <c r="DZ361" s="469" t="str">
        <f t="shared" ref="DZ361:DZ365" si="283">IF($DT361="要是正",IF(BD361="","",BD361),"")</f>
        <v/>
      </c>
      <c r="EA361" s="466" t="str">
        <f t="shared" si="233"/>
        <v/>
      </c>
      <c r="EB361" s="465" t="str">
        <f t="shared" si="234"/>
        <v/>
      </c>
      <c r="EC361" s="460" t="str">
        <f t="shared" si="235"/>
        <v>0</v>
      </c>
      <c r="ED361" s="459" t="str">
        <f t="shared" ref="ED361:ED365" si="284">IF(DT361="要是正",IF(AND(BY361="予定",DS361=2),1,IF(BY361="改善済",2,"")),"")</f>
        <v/>
      </c>
      <c r="EE361" s="460" t="str">
        <f t="shared" ref="EE361:EE365" si="285">IF(ED361=1,EC361,"0")</f>
        <v>0</v>
      </c>
      <c r="EF361" s="461" t="str">
        <f t="shared" ref="EF361:EF365" si="286">IF(AND(DT361="要是正",AND(DS361=0,BY361="未定")),BY361,"")</f>
        <v/>
      </c>
      <c r="EG361" s="204" t="str">
        <f t="shared" si="237"/>
        <v/>
      </c>
      <c r="EH361" s="134" t="str">
        <f t="shared" si="238"/>
        <v>0</v>
      </c>
      <c r="EI361" s="148" t="str">
        <f t="shared" ref="EI361:EI365" si="287">IF(DT361="既存不適格",IF(AND(BY361="予定",DS361=2),1,IF(BY361="改善済",2,"")),"")</f>
        <v/>
      </c>
      <c r="EJ361" s="227" t="str">
        <f t="shared" ref="EJ361:EJ365" si="288">IF(EI361=1,EH361,"0")</f>
        <v>0</v>
      </c>
      <c r="EK361" s="451" t="str">
        <f t="shared" ref="EK361:EK365" si="289">IF(AND(DT361="既存不適格",AND(DS361=0,BY361="未定")),BY361,"")</f>
        <v/>
      </c>
      <c r="EL361" s="452" t="e">
        <f t="shared" ref="EL361:EL365" si="290">VLOOKUP($DU361,$EO$306:$ER$334,2,FALSE)</f>
        <v>#N/A</v>
      </c>
      <c r="EM361" s="151" t="e">
        <f t="shared" ref="EM361:EM365" si="291">VLOOKUP($DU361,$EO$306:$ER$334,3,FALSE)</f>
        <v>#N/A</v>
      </c>
      <c r="EN361" s="453" t="e">
        <f t="shared" ref="EN361:EN365" si="292">VLOOKUP($DU361,$EO$306:$ER$334,4,FALSE)</f>
        <v>#N/A</v>
      </c>
      <c r="FK361" s="597" t="str">
        <f t="shared" si="243"/>
        <v/>
      </c>
      <c r="FL361" s="597" t="str">
        <f t="shared" si="71"/>
        <v/>
      </c>
      <c r="FM361" s="597" t="str">
        <f t="shared" si="72"/>
        <v/>
      </c>
      <c r="FN361" s="597">
        <f t="shared" ref="FN361:FN365" si="293">AR361</f>
        <v>0</v>
      </c>
      <c r="FO361" s="1163" t="str">
        <f t="shared" si="245"/>
        <v/>
      </c>
      <c r="FQ361" s="234" t="str">
        <f t="shared" si="246"/>
        <v/>
      </c>
      <c r="FR361" s="227" t="str">
        <f t="shared" si="247"/>
        <v>0</v>
      </c>
      <c r="FS361" s="148" t="str">
        <f t="shared" ref="FS361:FS365" si="294">IF(OR(BY361="予定",BY361="改善済"),1,"")</f>
        <v/>
      </c>
      <c r="FT361" s="227" t="str">
        <f t="shared" ref="FT361:FT365" si="295">IF(FS361=1,FR361,"0")</f>
        <v>0</v>
      </c>
      <c r="FU361" s="416" t="str">
        <f t="shared" ref="FU361:FU365" si="296">IF(AND(DT361="要是正",AND(DS361=0,BY361="未定")),BY361,"")</f>
        <v/>
      </c>
      <c r="FW361" s="1160">
        <f t="shared" ref="FW361:FW365" si="297">IF(AF361="△既存不適格",AT361&amp;"(既存不適格)",AT361)</f>
        <v>0</v>
      </c>
      <c r="FX361" s="123"/>
      <c r="FY361" s="123"/>
      <c r="FZ361" s="1161"/>
      <c r="GA361" s="34"/>
      <c r="GB361" s="123">
        <f t="shared" si="79"/>
        <v>0</v>
      </c>
      <c r="GC361" s="123">
        <f t="shared" si="80"/>
        <v>0</v>
      </c>
      <c r="GD361" s="69">
        <f t="shared" si="81"/>
        <v>0</v>
      </c>
      <c r="GE361" s="1149" t="str">
        <f t="shared" si="250"/>
        <v/>
      </c>
      <c r="GF361" s="1149" t="str">
        <f t="shared" si="251"/>
        <v/>
      </c>
      <c r="GG361" s="1149" t="str">
        <f t="shared" si="252"/>
        <v/>
      </c>
      <c r="GH361" s="1149" t="str">
        <f t="shared" si="253"/>
        <v/>
      </c>
      <c r="GI361" s="1149" t="str">
        <f t="shared" si="254"/>
        <v/>
      </c>
      <c r="GJ361" s="1149" t="str">
        <f t="shared" si="255"/>
        <v/>
      </c>
      <c r="GK361" s="1149" t="str">
        <f t="shared" si="256"/>
        <v/>
      </c>
      <c r="GL361" s="1149" t="str">
        <f t="shared" si="257"/>
        <v/>
      </c>
      <c r="GM361" s="1149" t="str">
        <f t="shared" si="258"/>
        <v/>
      </c>
      <c r="GN361" s="1149" t="str">
        <f t="shared" si="259"/>
        <v/>
      </c>
      <c r="GO361" s="1149" t="str">
        <f t="shared" si="260"/>
        <v/>
      </c>
      <c r="GP361" s="1149" t="str">
        <f t="shared" si="261"/>
        <v/>
      </c>
      <c r="GQ361" s="1149" t="str">
        <f t="shared" si="262"/>
        <v/>
      </c>
      <c r="GR361" s="1149" t="str">
        <f t="shared" si="263"/>
        <v/>
      </c>
      <c r="GS361" s="1149" t="str">
        <f t="shared" si="264"/>
        <v/>
      </c>
      <c r="GT361" s="1149">
        <f t="shared" si="82"/>
        <v>0</v>
      </c>
      <c r="GU361" s="1149">
        <f t="shared" si="83"/>
        <v>0</v>
      </c>
      <c r="GV361" s="1149">
        <f t="shared" si="84"/>
        <v>0</v>
      </c>
      <c r="GW361" s="1149" t="b">
        <f t="shared" si="85"/>
        <v>0</v>
      </c>
      <c r="GX361" s="1149" t="b">
        <f t="shared" si="86"/>
        <v>0</v>
      </c>
      <c r="GY361" s="1149" t="b">
        <f t="shared" si="87"/>
        <v>0</v>
      </c>
      <c r="GZ361" s="1149" t="str">
        <f t="shared" si="180"/>
        <v/>
      </c>
      <c r="HB361" s="1149" t="str">
        <f t="shared" si="89"/>
        <v/>
      </c>
      <c r="HC361" s="1149" t="str">
        <f t="shared" si="90"/>
        <v/>
      </c>
      <c r="HD361" s="1149" t="str">
        <f t="shared" si="91"/>
        <v/>
      </c>
      <c r="HE361" s="1149" t="str">
        <f t="shared" si="92"/>
        <v/>
      </c>
      <c r="HF361" s="1149" t="str">
        <f t="shared" si="93"/>
        <v/>
      </c>
      <c r="HG361" s="1149" t="str">
        <f t="shared" si="94"/>
        <v/>
      </c>
      <c r="HH361" s="1149" t="str">
        <f t="shared" si="95"/>
        <v/>
      </c>
      <c r="HI361" s="1149" t="str">
        <f t="shared" si="96"/>
        <v/>
      </c>
      <c r="HJ361" s="1149" t="str">
        <f t="shared" si="97"/>
        <v/>
      </c>
      <c r="HK361" s="1149" t="str">
        <f t="shared" si="98"/>
        <v/>
      </c>
      <c r="HL361" s="1149" t="str">
        <f t="shared" si="99"/>
        <v/>
      </c>
      <c r="HM361" s="1149" t="str">
        <f t="shared" si="100"/>
        <v/>
      </c>
      <c r="HN361" s="1149" t="str">
        <f t="shared" si="101"/>
        <v/>
      </c>
      <c r="HO361" s="1149" t="str">
        <f t="shared" si="102"/>
        <v/>
      </c>
      <c r="HP361" s="1149" t="str">
        <f t="shared" si="103"/>
        <v/>
      </c>
      <c r="HQ361" s="1149" t="str">
        <f t="shared" si="104"/>
        <v/>
      </c>
      <c r="HR361" s="1149" t="str">
        <f t="shared" si="105"/>
        <v/>
      </c>
      <c r="HT361" s="1149">
        <f>LEFT(M361,1)*10000+MID(M361,3,LEN(M361)-3)*100+COUNTIF($M$307:M361,M361)</f>
        <v>31001</v>
      </c>
      <c r="HU361" s="1149" t="str">
        <f t="shared" si="106"/>
        <v/>
      </c>
      <c r="HV361" s="1149" t="str">
        <f t="shared" si="107"/>
        <v/>
      </c>
      <c r="HW361" s="1149" t="str">
        <f t="shared" si="108"/>
        <v/>
      </c>
      <c r="HX361" s="1149" t="str">
        <f t="shared" si="109"/>
        <v/>
      </c>
    </row>
    <row r="362" spans="1:232" s="69" customFormat="1" ht="50.15" hidden="1" customHeight="1" thickBot="1">
      <c r="A362" s="645"/>
      <c r="B362" s="645"/>
      <c r="C362" s="645"/>
      <c r="D362" s="645"/>
      <c r="E362" s="646"/>
      <c r="F362" s="381"/>
      <c r="G362" s="381"/>
      <c r="H362" s="381"/>
      <c r="J362" s="80"/>
      <c r="K362" s="89"/>
      <c r="L362" s="89"/>
      <c r="M362" s="1964" t="s">
        <v>2572</v>
      </c>
      <c r="N362" s="1964"/>
      <c r="O362" s="1964"/>
      <c r="P362" s="2029"/>
      <c r="Q362" s="2029"/>
      <c r="R362" s="2029"/>
      <c r="S362" s="2029"/>
      <c r="T362" s="2029"/>
      <c r="U362" s="1899"/>
      <c r="V362" s="1899"/>
      <c r="W362" s="1899"/>
      <c r="X362" s="1899"/>
      <c r="Y362" s="1899"/>
      <c r="Z362" s="1899"/>
      <c r="AA362" s="1899"/>
      <c r="AB362" s="1899"/>
      <c r="AC362" s="1899"/>
      <c r="AD362" s="1899"/>
      <c r="AE362" s="1899"/>
      <c r="AF362" s="1898"/>
      <c r="AG362" s="1898"/>
      <c r="AH362" s="1898"/>
      <c r="AI362" s="1898"/>
      <c r="AJ362" s="1898"/>
      <c r="AK362" s="1898"/>
      <c r="AL362" s="1898"/>
      <c r="AM362" s="1898"/>
      <c r="AN362" s="1898"/>
      <c r="AO362" s="1898"/>
      <c r="AP362" s="1898"/>
      <c r="AQ362" s="1898"/>
      <c r="AR362" s="1910"/>
      <c r="AS362" s="1910"/>
      <c r="AT362" s="1993"/>
      <c r="AU362" s="1993"/>
      <c r="AV362" s="1993"/>
      <c r="AW362" s="1993"/>
      <c r="AX362" s="1993"/>
      <c r="AY362" s="1993"/>
      <c r="AZ362" s="1993"/>
      <c r="BA362" s="1993"/>
      <c r="BB362" s="1993"/>
      <c r="BC362" s="1993"/>
      <c r="BD362" s="1993"/>
      <c r="BE362" s="1993"/>
      <c r="BF362" s="1993"/>
      <c r="BG362" s="1993"/>
      <c r="BH362" s="1993"/>
      <c r="BI362" s="1993"/>
      <c r="BJ362" s="1993"/>
      <c r="BK362" s="1993"/>
      <c r="BL362" s="1993"/>
      <c r="BM362" s="1993"/>
      <c r="BN362" s="1993"/>
      <c r="BO362" s="1993"/>
      <c r="BP362" s="1993"/>
      <c r="BQ362" s="1993"/>
      <c r="BR362" s="1993"/>
      <c r="BS362" s="1895"/>
      <c r="BT362" s="1895"/>
      <c r="BU362" s="1895"/>
      <c r="BV362" s="1889"/>
      <c r="BW362" s="1889"/>
      <c r="BX362" s="1889"/>
      <c r="BY362" s="1889"/>
      <c r="BZ362" s="1896"/>
      <c r="CA362" s="1896"/>
      <c r="CB362" s="1886"/>
      <c r="CC362" s="1887"/>
      <c r="CD362" s="1887"/>
      <c r="CE362" s="1887"/>
      <c r="CF362" s="1887"/>
      <c r="CG362" s="1887"/>
      <c r="CH362" s="1887"/>
      <c r="CI362" s="1887"/>
      <c r="CJ362" s="1887"/>
      <c r="CK362" s="1887"/>
      <c r="CL362" s="1887"/>
      <c r="CM362" s="1887"/>
      <c r="CN362" s="1887"/>
      <c r="CO362" s="1887"/>
      <c r="CP362" s="1887"/>
      <c r="CQ362" s="1887"/>
      <c r="CR362" s="1887"/>
      <c r="CS362" s="1887"/>
      <c r="CT362" s="1887"/>
      <c r="CU362" s="1888"/>
      <c r="CV362" s="2360" t="str">
        <f t="shared" si="273"/>
        <v/>
      </c>
      <c r="CW362" s="2360"/>
      <c r="CX362" s="2360"/>
      <c r="CY362" s="2360"/>
      <c r="CZ362" s="2360"/>
      <c r="DA362" s="2360"/>
      <c r="DC362" s="600" t="str">
        <f t="shared" si="274"/>
        <v/>
      </c>
      <c r="DD362" s="381"/>
      <c r="DF362" s="34"/>
      <c r="DG362" s="34"/>
      <c r="DH362" s="34"/>
      <c r="DI362" s="34"/>
      <c r="DJ362" s="858" t="s">
        <v>5637</v>
      </c>
      <c r="DK362" s="1707" t="str">
        <f t="shared" si="265"/>
        <v/>
      </c>
      <c r="DL362" s="1692" t="str">
        <f t="shared" si="266"/>
        <v/>
      </c>
      <c r="DM362" s="1694">
        <f t="shared" si="223"/>
        <v>0</v>
      </c>
      <c r="DN362" s="476">
        <f t="shared" si="275"/>
        <v>0</v>
      </c>
      <c r="DO362" s="476">
        <f t="shared" si="276"/>
        <v>0</v>
      </c>
      <c r="DP362" s="477">
        <f t="shared" si="277"/>
        <v>0</v>
      </c>
      <c r="DQ362" s="126" t="s">
        <v>2620</v>
      </c>
      <c r="DR362" s="475">
        <f t="shared" si="278"/>
        <v>0</v>
      </c>
      <c r="DS362" s="221">
        <f t="shared" si="279"/>
        <v>0</v>
      </c>
      <c r="DT362" s="480" t="str">
        <f t="shared" si="280"/>
        <v/>
      </c>
      <c r="DU362" s="232" t="str">
        <f t="shared" si="229"/>
        <v/>
      </c>
      <c r="DV362" s="233" t="str">
        <f>IF($DT362="要是正",MAX($DV$348:DV361)+1,"")</f>
        <v/>
      </c>
      <c r="DW362" s="486" t="str">
        <f t="shared" si="281"/>
        <v/>
      </c>
      <c r="DX362" s="467" t="str">
        <f t="shared" si="231"/>
        <v/>
      </c>
      <c r="DY362" s="468" t="str">
        <f t="shared" si="282"/>
        <v/>
      </c>
      <c r="DZ362" s="469" t="str">
        <f t="shared" si="283"/>
        <v/>
      </c>
      <c r="EA362" s="466" t="str">
        <f t="shared" si="233"/>
        <v/>
      </c>
      <c r="EB362" s="465" t="str">
        <f t="shared" si="234"/>
        <v/>
      </c>
      <c r="EC362" s="460" t="str">
        <f t="shared" si="235"/>
        <v>0</v>
      </c>
      <c r="ED362" s="459" t="str">
        <f t="shared" si="284"/>
        <v/>
      </c>
      <c r="EE362" s="460" t="str">
        <f t="shared" si="285"/>
        <v>0</v>
      </c>
      <c r="EF362" s="461" t="str">
        <f t="shared" si="286"/>
        <v/>
      </c>
      <c r="EG362" s="204" t="str">
        <f t="shared" si="237"/>
        <v/>
      </c>
      <c r="EH362" s="134" t="str">
        <f t="shared" si="238"/>
        <v>0</v>
      </c>
      <c r="EI362" s="148" t="str">
        <f t="shared" si="287"/>
        <v/>
      </c>
      <c r="EJ362" s="227" t="str">
        <f t="shared" si="288"/>
        <v>0</v>
      </c>
      <c r="EK362" s="451" t="str">
        <f t="shared" si="289"/>
        <v/>
      </c>
      <c r="EL362" s="452" t="e">
        <f t="shared" si="290"/>
        <v>#N/A</v>
      </c>
      <c r="EM362" s="151" t="e">
        <f t="shared" si="291"/>
        <v>#N/A</v>
      </c>
      <c r="EN362" s="453" t="e">
        <f t="shared" si="292"/>
        <v>#N/A</v>
      </c>
      <c r="FK362" s="597" t="str">
        <f t="shared" si="243"/>
        <v/>
      </c>
      <c r="FL362" s="597" t="str">
        <f t="shared" si="71"/>
        <v/>
      </c>
      <c r="FM362" s="597" t="str">
        <f t="shared" si="72"/>
        <v/>
      </c>
      <c r="FN362" s="597">
        <f t="shared" si="293"/>
        <v>0</v>
      </c>
      <c r="FO362" s="1163" t="str">
        <f t="shared" si="245"/>
        <v/>
      </c>
      <c r="FQ362" s="234" t="str">
        <f t="shared" si="246"/>
        <v/>
      </c>
      <c r="FR362" s="227" t="str">
        <f t="shared" si="247"/>
        <v>0</v>
      </c>
      <c r="FS362" s="148" t="str">
        <f t="shared" si="294"/>
        <v/>
      </c>
      <c r="FT362" s="227" t="str">
        <f t="shared" si="295"/>
        <v>0</v>
      </c>
      <c r="FU362" s="416" t="str">
        <f t="shared" si="296"/>
        <v/>
      </c>
      <c r="FW362" s="1160">
        <f t="shared" si="297"/>
        <v>0</v>
      </c>
      <c r="FX362" s="123"/>
      <c r="FY362" s="123"/>
      <c r="FZ362" s="1161"/>
      <c r="GA362" s="34"/>
      <c r="GB362" s="123">
        <f t="shared" si="79"/>
        <v>0</v>
      </c>
      <c r="GC362" s="123">
        <f t="shared" si="80"/>
        <v>0</v>
      </c>
      <c r="GD362" s="69">
        <f t="shared" si="81"/>
        <v>0</v>
      </c>
      <c r="GE362" s="1149" t="str">
        <f t="shared" si="250"/>
        <v/>
      </c>
      <c r="GF362" s="1149" t="str">
        <f t="shared" si="251"/>
        <v/>
      </c>
      <c r="GG362" s="1149" t="str">
        <f t="shared" si="252"/>
        <v/>
      </c>
      <c r="GH362" s="1149" t="str">
        <f t="shared" si="253"/>
        <v/>
      </c>
      <c r="GI362" s="1149" t="str">
        <f t="shared" si="254"/>
        <v/>
      </c>
      <c r="GJ362" s="1149" t="str">
        <f t="shared" si="255"/>
        <v/>
      </c>
      <c r="GK362" s="1149" t="str">
        <f t="shared" si="256"/>
        <v/>
      </c>
      <c r="GL362" s="1149" t="str">
        <f t="shared" si="257"/>
        <v/>
      </c>
      <c r="GM362" s="1149" t="str">
        <f t="shared" si="258"/>
        <v/>
      </c>
      <c r="GN362" s="1149" t="str">
        <f t="shared" si="259"/>
        <v/>
      </c>
      <c r="GO362" s="1149" t="str">
        <f t="shared" si="260"/>
        <v/>
      </c>
      <c r="GP362" s="1149" t="str">
        <f t="shared" si="261"/>
        <v/>
      </c>
      <c r="GQ362" s="1149" t="str">
        <f t="shared" si="262"/>
        <v/>
      </c>
      <c r="GR362" s="1149" t="str">
        <f t="shared" si="263"/>
        <v/>
      </c>
      <c r="GS362" s="1149" t="str">
        <f t="shared" si="264"/>
        <v/>
      </c>
      <c r="GT362" s="1149">
        <f t="shared" si="82"/>
        <v>0</v>
      </c>
      <c r="GU362" s="1149">
        <f t="shared" si="83"/>
        <v>0</v>
      </c>
      <c r="GV362" s="1149">
        <f t="shared" si="84"/>
        <v>0</v>
      </c>
      <c r="GW362" s="1149" t="b">
        <f t="shared" si="85"/>
        <v>0</v>
      </c>
      <c r="GX362" s="1149" t="b">
        <f t="shared" si="86"/>
        <v>0</v>
      </c>
      <c r="GY362" s="1149" t="b">
        <f t="shared" si="87"/>
        <v>0</v>
      </c>
      <c r="GZ362" s="1149" t="str">
        <f t="shared" si="180"/>
        <v/>
      </c>
      <c r="HB362" s="1149" t="str">
        <f t="shared" si="89"/>
        <v/>
      </c>
      <c r="HC362" s="1149" t="str">
        <f t="shared" si="90"/>
        <v/>
      </c>
      <c r="HD362" s="1149" t="str">
        <f t="shared" si="91"/>
        <v/>
      </c>
      <c r="HE362" s="1149" t="str">
        <f t="shared" si="92"/>
        <v/>
      </c>
      <c r="HF362" s="1149" t="str">
        <f t="shared" si="93"/>
        <v/>
      </c>
      <c r="HG362" s="1149" t="str">
        <f t="shared" si="94"/>
        <v/>
      </c>
      <c r="HH362" s="1149" t="str">
        <f t="shared" si="95"/>
        <v/>
      </c>
      <c r="HI362" s="1149" t="str">
        <f t="shared" si="96"/>
        <v/>
      </c>
      <c r="HJ362" s="1149" t="str">
        <f t="shared" si="97"/>
        <v/>
      </c>
      <c r="HK362" s="1149" t="str">
        <f t="shared" si="98"/>
        <v/>
      </c>
      <c r="HL362" s="1149" t="str">
        <f t="shared" si="99"/>
        <v/>
      </c>
      <c r="HM362" s="1149" t="str">
        <f t="shared" si="100"/>
        <v/>
      </c>
      <c r="HN362" s="1149" t="str">
        <f t="shared" si="101"/>
        <v/>
      </c>
      <c r="HO362" s="1149" t="str">
        <f t="shared" si="102"/>
        <v/>
      </c>
      <c r="HP362" s="1149" t="str">
        <f t="shared" si="103"/>
        <v/>
      </c>
      <c r="HQ362" s="1149" t="str">
        <f t="shared" si="104"/>
        <v/>
      </c>
      <c r="HR362" s="1149" t="str">
        <f t="shared" si="105"/>
        <v/>
      </c>
      <c r="HT362" s="1149">
        <f>LEFT(M362,1)*10000+MID(M362,3,LEN(M362)-3)*100+COUNTIF($M$307:M362,M362)</f>
        <v>31101</v>
      </c>
      <c r="HU362" s="1149" t="str">
        <f t="shared" si="106"/>
        <v/>
      </c>
      <c r="HV362" s="1149" t="str">
        <f t="shared" si="107"/>
        <v/>
      </c>
      <c r="HW362" s="1149" t="str">
        <f t="shared" si="108"/>
        <v/>
      </c>
      <c r="HX362" s="1149" t="str">
        <f t="shared" si="109"/>
        <v/>
      </c>
    </row>
    <row r="363" spans="1:232" s="69" customFormat="1" ht="50.15" hidden="1" customHeight="1" thickBot="1">
      <c r="A363" s="645"/>
      <c r="B363" s="645"/>
      <c r="C363" s="645"/>
      <c r="D363" s="645"/>
      <c r="E363" s="646"/>
      <c r="F363" s="381"/>
      <c r="G363" s="381"/>
      <c r="H363" s="381"/>
      <c r="J363" s="80"/>
      <c r="K363" s="89"/>
      <c r="L363" s="89"/>
      <c r="M363" s="1964" t="s">
        <v>2573</v>
      </c>
      <c r="N363" s="1964"/>
      <c r="O363" s="1964"/>
      <c r="P363" s="2029"/>
      <c r="Q363" s="2029"/>
      <c r="R363" s="2029"/>
      <c r="S363" s="2029"/>
      <c r="T363" s="2029"/>
      <c r="U363" s="1899"/>
      <c r="V363" s="1899"/>
      <c r="W363" s="1899"/>
      <c r="X363" s="1899"/>
      <c r="Y363" s="1899"/>
      <c r="Z363" s="1899"/>
      <c r="AA363" s="1899"/>
      <c r="AB363" s="1899"/>
      <c r="AC363" s="1899"/>
      <c r="AD363" s="1899"/>
      <c r="AE363" s="1899"/>
      <c r="AF363" s="1898"/>
      <c r="AG363" s="1898"/>
      <c r="AH363" s="1898"/>
      <c r="AI363" s="1898"/>
      <c r="AJ363" s="1898"/>
      <c r="AK363" s="1898"/>
      <c r="AL363" s="1898"/>
      <c r="AM363" s="1898"/>
      <c r="AN363" s="1898"/>
      <c r="AO363" s="1898"/>
      <c r="AP363" s="1898"/>
      <c r="AQ363" s="1898"/>
      <c r="AR363" s="1910"/>
      <c r="AS363" s="1910"/>
      <c r="AT363" s="1993"/>
      <c r="AU363" s="1993"/>
      <c r="AV363" s="1993"/>
      <c r="AW363" s="1993"/>
      <c r="AX363" s="1993"/>
      <c r="AY363" s="1993"/>
      <c r="AZ363" s="1993"/>
      <c r="BA363" s="1993"/>
      <c r="BB363" s="1993"/>
      <c r="BC363" s="1993"/>
      <c r="BD363" s="1993"/>
      <c r="BE363" s="1993"/>
      <c r="BF363" s="1993"/>
      <c r="BG363" s="1993"/>
      <c r="BH363" s="1993"/>
      <c r="BI363" s="1993"/>
      <c r="BJ363" s="1993"/>
      <c r="BK363" s="1993"/>
      <c r="BL363" s="1993"/>
      <c r="BM363" s="1993"/>
      <c r="BN363" s="1993"/>
      <c r="BO363" s="1993"/>
      <c r="BP363" s="1993"/>
      <c r="BQ363" s="1993"/>
      <c r="BR363" s="1993"/>
      <c r="BS363" s="1895"/>
      <c r="BT363" s="1895"/>
      <c r="BU363" s="1895"/>
      <c r="BV363" s="1889"/>
      <c r="BW363" s="1889"/>
      <c r="BX363" s="1889"/>
      <c r="BY363" s="1889"/>
      <c r="BZ363" s="1896"/>
      <c r="CA363" s="1896"/>
      <c r="CB363" s="1886"/>
      <c r="CC363" s="1887"/>
      <c r="CD363" s="1887"/>
      <c r="CE363" s="1887"/>
      <c r="CF363" s="1887"/>
      <c r="CG363" s="1887"/>
      <c r="CH363" s="1887"/>
      <c r="CI363" s="1887"/>
      <c r="CJ363" s="1887"/>
      <c r="CK363" s="1887"/>
      <c r="CL363" s="1887"/>
      <c r="CM363" s="1887"/>
      <c r="CN363" s="1887"/>
      <c r="CO363" s="1887"/>
      <c r="CP363" s="1887"/>
      <c r="CQ363" s="1887"/>
      <c r="CR363" s="1887"/>
      <c r="CS363" s="1887"/>
      <c r="CT363" s="1887"/>
      <c r="CU363" s="1888"/>
      <c r="CV363" s="2360" t="str">
        <f t="shared" si="273"/>
        <v/>
      </c>
      <c r="CW363" s="2360"/>
      <c r="CX363" s="2360"/>
      <c r="CY363" s="2360"/>
      <c r="CZ363" s="2360"/>
      <c r="DA363" s="2360"/>
      <c r="DC363" s="600" t="str">
        <f t="shared" si="274"/>
        <v/>
      </c>
      <c r="DD363" s="381"/>
      <c r="DF363" s="34"/>
      <c r="DG363" s="34"/>
      <c r="DH363" s="34"/>
      <c r="DI363" s="34"/>
      <c r="DJ363" s="858" t="s">
        <v>5637</v>
      </c>
      <c r="DK363" s="1707" t="str">
        <f t="shared" si="265"/>
        <v/>
      </c>
      <c r="DL363" s="1692" t="str">
        <f t="shared" si="266"/>
        <v/>
      </c>
      <c r="DM363" s="1694">
        <f t="shared" si="223"/>
        <v>0</v>
      </c>
      <c r="DN363" s="476">
        <f t="shared" si="275"/>
        <v>0</v>
      </c>
      <c r="DO363" s="476">
        <f t="shared" si="276"/>
        <v>0</v>
      </c>
      <c r="DP363" s="477">
        <f t="shared" si="277"/>
        <v>0</v>
      </c>
      <c r="DQ363" s="126" t="s">
        <v>2621</v>
      </c>
      <c r="DR363" s="475">
        <f t="shared" si="278"/>
        <v>0</v>
      </c>
      <c r="DS363" s="221">
        <f t="shared" si="279"/>
        <v>0</v>
      </c>
      <c r="DT363" s="480" t="str">
        <f t="shared" si="280"/>
        <v/>
      </c>
      <c r="DU363" s="232" t="str">
        <f t="shared" si="229"/>
        <v/>
      </c>
      <c r="DV363" s="233" t="str">
        <f>IF($DT363="要是正",MAX($DV$348:DV362)+1,"")</f>
        <v/>
      </c>
      <c r="DW363" s="486" t="str">
        <f t="shared" si="281"/>
        <v/>
      </c>
      <c r="DX363" s="467" t="str">
        <f t="shared" si="231"/>
        <v/>
      </c>
      <c r="DY363" s="468" t="str">
        <f t="shared" si="282"/>
        <v/>
      </c>
      <c r="DZ363" s="469" t="str">
        <f t="shared" si="283"/>
        <v/>
      </c>
      <c r="EA363" s="466" t="str">
        <f t="shared" si="233"/>
        <v/>
      </c>
      <c r="EB363" s="465" t="str">
        <f t="shared" si="234"/>
        <v/>
      </c>
      <c r="EC363" s="460" t="str">
        <f t="shared" si="235"/>
        <v>0</v>
      </c>
      <c r="ED363" s="459" t="str">
        <f t="shared" si="284"/>
        <v/>
      </c>
      <c r="EE363" s="460" t="str">
        <f t="shared" si="285"/>
        <v>0</v>
      </c>
      <c r="EF363" s="461" t="str">
        <f t="shared" si="286"/>
        <v/>
      </c>
      <c r="EG363" s="204" t="str">
        <f t="shared" si="237"/>
        <v/>
      </c>
      <c r="EH363" s="134" t="str">
        <f t="shared" si="238"/>
        <v>0</v>
      </c>
      <c r="EI363" s="148" t="str">
        <f t="shared" si="287"/>
        <v/>
      </c>
      <c r="EJ363" s="227" t="str">
        <f t="shared" si="288"/>
        <v>0</v>
      </c>
      <c r="EK363" s="451" t="str">
        <f t="shared" si="289"/>
        <v/>
      </c>
      <c r="EL363" s="452" t="e">
        <f t="shared" si="290"/>
        <v>#N/A</v>
      </c>
      <c r="EM363" s="151" t="e">
        <f t="shared" si="291"/>
        <v>#N/A</v>
      </c>
      <c r="EN363" s="453" t="e">
        <f t="shared" si="292"/>
        <v>#N/A</v>
      </c>
      <c r="FK363" s="597" t="str">
        <f t="shared" si="243"/>
        <v/>
      </c>
      <c r="FL363" s="597" t="str">
        <f t="shared" si="71"/>
        <v/>
      </c>
      <c r="FM363" s="597" t="str">
        <f t="shared" si="72"/>
        <v/>
      </c>
      <c r="FN363" s="597">
        <f t="shared" si="293"/>
        <v>0</v>
      </c>
      <c r="FO363" s="1163" t="str">
        <f t="shared" si="245"/>
        <v/>
      </c>
      <c r="FQ363" s="234" t="str">
        <f t="shared" si="246"/>
        <v/>
      </c>
      <c r="FR363" s="227" t="str">
        <f t="shared" si="247"/>
        <v>0</v>
      </c>
      <c r="FS363" s="148" t="str">
        <f t="shared" si="294"/>
        <v/>
      </c>
      <c r="FT363" s="227" t="str">
        <f t="shared" si="295"/>
        <v>0</v>
      </c>
      <c r="FU363" s="416" t="str">
        <f t="shared" si="296"/>
        <v/>
      </c>
      <c r="FW363" s="1160">
        <f t="shared" si="297"/>
        <v>0</v>
      </c>
      <c r="FX363" s="123"/>
      <c r="FY363" s="123"/>
      <c r="FZ363" s="1161"/>
      <c r="GA363" s="34"/>
      <c r="GB363" s="123">
        <f t="shared" si="79"/>
        <v>0</v>
      </c>
      <c r="GC363" s="123">
        <f t="shared" si="80"/>
        <v>0</v>
      </c>
      <c r="GD363" s="69">
        <f t="shared" si="81"/>
        <v>0</v>
      </c>
      <c r="GE363" s="1149" t="str">
        <f t="shared" si="250"/>
        <v/>
      </c>
      <c r="GF363" s="1149" t="str">
        <f t="shared" si="251"/>
        <v/>
      </c>
      <c r="GG363" s="1149" t="str">
        <f t="shared" si="252"/>
        <v/>
      </c>
      <c r="GH363" s="1149" t="str">
        <f t="shared" si="253"/>
        <v/>
      </c>
      <c r="GI363" s="1149" t="str">
        <f t="shared" si="254"/>
        <v/>
      </c>
      <c r="GJ363" s="1149" t="str">
        <f t="shared" si="255"/>
        <v/>
      </c>
      <c r="GK363" s="1149" t="str">
        <f t="shared" si="256"/>
        <v/>
      </c>
      <c r="GL363" s="1149" t="str">
        <f t="shared" si="257"/>
        <v/>
      </c>
      <c r="GM363" s="1149" t="str">
        <f t="shared" si="258"/>
        <v/>
      </c>
      <c r="GN363" s="1149" t="str">
        <f t="shared" si="259"/>
        <v/>
      </c>
      <c r="GO363" s="1149" t="str">
        <f t="shared" si="260"/>
        <v/>
      </c>
      <c r="GP363" s="1149" t="str">
        <f t="shared" si="261"/>
        <v/>
      </c>
      <c r="GQ363" s="1149" t="str">
        <f t="shared" si="262"/>
        <v/>
      </c>
      <c r="GR363" s="1149" t="str">
        <f t="shared" si="263"/>
        <v/>
      </c>
      <c r="GS363" s="1149" t="str">
        <f t="shared" si="264"/>
        <v/>
      </c>
      <c r="GT363" s="1149">
        <f t="shared" si="82"/>
        <v>0</v>
      </c>
      <c r="GU363" s="1149">
        <f t="shared" si="83"/>
        <v>0</v>
      </c>
      <c r="GV363" s="1149">
        <f t="shared" si="84"/>
        <v>0</v>
      </c>
      <c r="GW363" s="1149" t="b">
        <f t="shared" si="85"/>
        <v>0</v>
      </c>
      <c r="GX363" s="1149" t="b">
        <f t="shared" si="86"/>
        <v>0</v>
      </c>
      <c r="GY363" s="1149" t="b">
        <f t="shared" si="87"/>
        <v>0</v>
      </c>
      <c r="GZ363" s="1149" t="str">
        <f t="shared" si="180"/>
        <v/>
      </c>
      <c r="HB363" s="1149" t="str">
        <f t="shared" si="89"/>
        <v/>
      </c>
      <c r="HC363" s="1149" t="str">
        <f t="shared" si="90"/>
        <v/>
      </c>
      <c r="HD363" s="1149" t="str">
        <f t="shared" si="91"/>
        <v/>
      </c>
      <c r="HE363" s="1149" t="str">
        <f t="shared" si="92"/>
        <v/>
      </c>
      <c r="HF363" s="1149" t="str">
        <f t="shared" si="93"/>
        <v/>
      </c>
      <c r="HG363" s="1149" t="str">
        <f t="shared" si="94"/>
        <v/>
      </c>
      <c r="HH363" s="1149" t="str">
        <f t="shared" si="95"/>
        <v/>
      </c>
      <c r="HI363" s="1149" t="str">
        <f t="shared" si="96"/>
        <v/>
      </c>
      <c r="HJ363" s="1149" t="str">
        <f t="shared" si="97"/>
        <v/>
      </c>
      <c r="HK363" s="1149" t="str">
        <f t="shared" si="98"/>
        <v/>
      </c>
      <c r="HL363" s="1149" t="str">
        <f t="shared" si="99"/>
        <v/>
      </c>
      <c r="HM363" s="1149" t="str">
        <f t="shared" si="100"/>
        <v/>
      </c>
      <c r="HN363" s="1149" t="str">
        <f t="shared" si="101"/>
        <v/>
      </c>
      <c r="HO363" s="1149" t="str">
        <f t="shared" si="102"/>
        <v/>
      </c>
      <c r="HP363" s="1149" t="str">
        <f t="shared" si="103"/>
        <v/>
      </c>
      <c r="HQ363" s="1149" t="str">
        <f t="shared" si="104"/>
        <v/>
      </c>
      <c r="HR363" s="1149" t="str">
        <f t="shared" si="105"/>
        <v/>
      </c>
      <c r="HT363" s="1149">
        <f>LEFT(M363,1)*10000+MID(M363,3,LEN(M363)-3)*100+COUNTIF($M$307:M363,M363)</f>
        <v>31201</v>
      </c>
      <c r="HU363" s="1149" t="str">
        <f t="shared" si="106"/>
        <v/>
      </c>
      <c r="HV363" s="1149" t="str">
        <f t="shared" si="107"/>
        <v/>
      </c>
      <c r="HW363" s="1149" t="str">
        <f t="shared" si="108"/>
        <v/>
      </c>
      <c r="HX363" s="1149" t="str">
        <f t="shared" si="109"/>
        <v/>
      </c>
    </row>
    <row r="364" spans="1:232" s="69" customFormat="1" ht="50.15" hidden="1" customHeight="1" thickBot="1">
      <c r="A364" s="645"/>
      <c r="B364" s="645"/>
      <c r="C364" s="645"/>
      <c r="D364" s="645"/>
      <c r="E364" s="646"/>
      <c r="F364" s="381"/>
      <c r="G364" s="381"/>
      <c r="H364" s="381"/>
      <c r="J364" s="80"/>
      <c r="K364" s="89"/>
      <c r="L364" s="89"/>
      <c r="M364" s="1964" t="s">
        <v>2574</v>
      </c>
      <c r="N364" s="1964"/>
      <c r="O364" s="1964"/>
      <c r="P364" s="2029"/>
      <c r="Q364" s="2029"/>
      <c r="R364" s="2029"/>
      <c r="S364" s="2029"/>
      <c r="T364" s="2029"/>
      <c r="U364" s="1899"/>
      <c r="V364" s="1899"/>
      <c r="W364" s="1899"/>
      <c r="X364" s="1899"/>
      <c r="Y364" s="1899"/>
      <c r="Z364" s="1899"/>
      <c r="AA364" s="1899"/>
      <c r="AB364" s="1899"/>
      <c r="AC364" s="1899"/>
      <c r="AD364" s="1899"/>
      <c r="AE364" s="1899"/>
      <c r="AF364" s="1898"/>
      <c r="AG364" s="1898"/>
      <c r="AH364" s="1898"/>
      <c r="AI364" s="1898"/>
      <c r="AJ364" s="1898"/>
      <c r="AK364" s="1898"/>
      <c r="AL364" s="1898"/>
      <c r="AM364" s="1898"/>
      <c r="AN364" s="1898"/>
      <c r="AO364" s="1898"/>
      <c r="AP364" s="1898"/>
      <c r="AQ364" s="1898"/>
      <c r="AR364" s="1910"/>
      <c r="AS364" s="1910"/>
      <c r="AT364" s="1993"/>
      <c r="AU364" s="1993"/>
      <c r="AV364" s="1993"/>
      <c r="AW364" s="1993"/>
      <c r="AX364" s="1993"/>
      <c r="AY364" s="1993"/>
      <c r="AZ364" s="1993"/>
      <c r="BA364" s="1993"/>
      <c r="BB364" s="1993"/>
      <c r="BC364" s="1993"/>
      <c r="BD364" s="1993"/>
      <c r="BE364" s="1993"/>
      <c r="BF364" s="1993"/>
      <c r="BG364" s="1993"/>
      <c r="BH364" s="1993"/>
      <c r="BI364" s="1993"/>
      <c r="BJ364" s="1993"/>
      <c r="BK364" s="1993"/>
      <c r="BL364" s="1993"/>
      <c r="BM364" s="1993"/>
      <c r="BN364" s="1993"/>
      <c r="BO364" s="1993"/>
      <c r="BP364" s="1993"/>
      <c r="BQ364" s="1993"/>
      <c r="BR364" s="1993"/>
      <c r="BS364" s="1895"/>
      <c r="BT364" s="1895"/>
      <c r="BU364" s="1895"/>
      <c r="BV364" s="1889"/>
      <c r="BW364" s="1889"/>
      <c r="BX364" s="1889"/>
      <c r="BY364" s="1889"/>
      <c r="BZ364" s="1896"/>
      <c r="CA364" s="1896"/>
      <c r="CB364" s="1886"/>
      <c r="CC364" s="1887"/>
      <c r="CD364" s="1887"/>
      <c r="CE364" s="1887"/>
      <c r="CF364" s="1887"/>
      <c r="CG364" s="1887"/>
      <c r="CH364" s="1887"/>
      <c r="CI364" s="1887"/>
      <c r="CJ364" s="1887"/>
      <c r="CK364" s="1887"/>
      <c r="CL364" s="1887"/>
      <c r="CM364" s="1887"/>
      <c r="CN364" s="1887"/>
      <c r="CO364" s="1887"/>
      <c r="CP364" s="1887"/>
      <c r="CQ364" s="1887"/>
      <c r="CR364" s="1887"/>
      <c r="CS364" s="1887"/>
      <c r="CT364" s="1887"/>
      <c r="CU364" s="1888"/>
      <c r="CV364" s="2360" t="str">
        <f t="shared" si="273"/>
        <v/>
      </c>
      <c r="CW364" s="2360"/>
      <c r="CX364" s="2360"/>
      <c r="CY364" s="2360"/>
      <c r="CZ364" s="2360"/>
      <c r="DA364" s="2360"/>
      <c r="DC364" s="600" t="str">
        <f t="shared" si="274"/>
        <v/>
      </c>
      <c r="DD364" s="381"/>
      <c r="DF364" s="34"/>
      <c r="DG364" s="34"/>
      <c r="DH364" s="34"/>
      <c r="DI364" s="34"/>
      <c r="DJ364" s="858" t="s">
        <v>5637</v>
      </c>
      <c r="DK364" s="1707" t="str">
        <f t="shared" si="265"/>
        <v/>
      </c>
      <c r="DL364" s="1692" t="str">
        <f t="shared" si="266"/>
        <v/>
      </c>
      <c r="DM364" s="1694">
        <f t="shared" si="223"/>
        <v>0</v>
      </c>
      <c r="DN364" s="476">
        <f t="shared" si="275"/>
        <v>0</v>
      </c>
      <c r="DO364" s="476">
        <f t="shared" si="276"/>
        <v>0</v>
      </c>
      <c r="DP364" s="477">
        <f t="shared" si="277"/>
        <v>0</v>
      </c>
      <c r="DQ364" s="126" t="s">
        <v>2622</v>
      </c>
      <c r="DR364" s="475">
        <f t="shared" si="278"/>
        <v>0</v>
      </c>
      <c r="DS364" s="221">
        <f t="shared" si="279"/>
        <v>0</v>
      </c>
      <c r="DT364" s="480" t="str">
        <f t="shared" si="280"/>
        <v/>
      </c>
      <c r="DU364" s="232" t="str">
        <f t="shared" si="229"/>
        <v/>
      </c>
      <c r="DV364" s="233" t="str">
        <f>IF($DT364="要是正",MAX($DV$348:DV363)+1,"")</f>
        <v/>
      </c>
      <c r="DW364" s="486" t="str">
        <f t="shared" si="281"/>
        <v/>
      </c>
      <c r="DX364" s="467" t="str">
        <f t="shared" si="231"/>
        <v/>
      </c>
      <c r="DY364" s="468" t="str">
        <f t="shared" si="282"/>
        <v/>
      </c>
      <c r="DZ364" s="469" t="str">
        <f t="shared" si="283"/>
        <v/>
      </c>
      <c r="EA364" s="466" t="str">
        <f t="shared" si="233"/>
        <v/>
      </c>
      <c r="EB364" s="465" t="str">
        <f t="shared" si="234"/>
        <v/>
      </c>
      <c r="EC364" s="460" t="str">
        <f t="shared" si="235"/>
        <v>0</v>
      </c>
      <c r="ED364" s="459" t="str">
        <f t="shared" si="284"/>
        <v/>
      </c>
      <c r="EE364" s="460" t="str">
        <f t="shared" si="285"/>
        <v>0</v>
      </c>
      <c r="EF364" s="461" t="str">
        <f t="shared" si="286"/>
        <v/>
      </c>
      <c r="EG364" s="204" t="str">
        <f t="shared" si="237"/>
        <v/>
      </c>
      <c r="EH364" s="134" t="str">
        <f t="shared" si="238"/>
        <v>0</v>
      </c>
      <c r="EI364" s="148" t="str">
        <f t="shared" si="287"/>
        <v/>
      </c>
      <c r="EJ364" s="227" t="str">
        <f t="shared" si="288"/>
        <v>0</v>
      </c>
      <c r="EK364" s="451" t="str">
        <f t="shared" si="289"/>
        <v/>
      </c>
      <c r="EL364" s="452" t="e">
        <f t="shared" si="290"/>
        <v>#N/A</v>
      </c>
      <c r="EM364" s="151" t="e">
        <f t="shared" si="291"/>
        <v>#N/A</v>
      </c>
      <c r="EN364" s="453" t="e">
        <f t="shared" si="292"/>
        <v>#N/A</v>
      </c>
      <c r="FK364" s="597" t="str">
        <f t="shared" si="243"/>
        <v/>
      </c>
      <c r="FL364" s="597" t="str">
        <f t="shared" si="71"/>
        <v/>
      </c>
      <c r="FM364" s="597" t="str">
        <f t="shared" si="72"/>
        <v/>
      </c>
      <c r="FN364" s="597">
        <f t="shared" si="293"/>
        <v>0</v>
      </c>
      <c r="FO364" s="1163" t="str">
        <f t="shared" si="245"/>
        <v/>
      </c>
      <c r="FQ364" s="234" t="str">
        <f t="shared" si="246"/>
        <v/>
      </c>
      <c r="FR364" s="227" t="str">
        <f t="shared" si="247"/>
        <v>0</v>
      </c>
      <c r="FS364" s="148" t="str">
        <f t="shared" si="294"/>
        <v/>
      </c>
      <c r="FT364" s="227" t="str">
        <f t="shared" si="295"/>
        <v>0</v>
      </c>
      <c r="FU364" s="416" t="str">
        <f t="shared" si="296"/>
        <v/>
      </c>
      <c r="FW364" s="1160">
        <f t="shared" si="297"/>
        <v>0</v>
      </c>
      <c r="FX364" s="123"/>
      <c r="FY364" s="123"/>
      <c r="FZ364" s="1161"/>
      <c r="GA364" s="34"/>
      <c r="GB364" s="123">
        <f t="shared" si="79"/>
        <v>0</v>
      </c>
      <c r="GC364" s="123">
        <f t="shared" si="80"/>
        <v>0</v>
      </c>
      <c r="GD364" s="69">
        <f t="shared" si="81"/>
        <v>0</v>
      </c>
      <c r="GE364" s="1149" t="str">
        <f t="shared" si="250"/>
        <v/>
      </c>
      <c r="GF364" s="1149" t="str">
        <f t="shared" si="251"/>
        <v/>
      </c>
      <c r="GG364" s="1149" t="str">
        <f t="shared" si="252"/>
        <v/>
      </c>
      <c r="GH364" s="1149" t="str">
        <f t="shared" si="253"/>
        <v/>
      </c>
      <c r="GI364" s="1149" t="str">
        <f t="shared" si="254"/>
        <v/>
      </c>
      <c r="GJ364" s="1149" t="str">
        <f t="shared" si="255"/>
        <v/>
      </c>
      <c r="GK364" s="1149" t="str">
        <f t="shared" si="256"/>
        <v/>
      </c>
      <c r="GL364" s="1149" t="str">
        <f t="shared" si="257"/>
        <v/>
      </c>
      <c r="GM364" s="1149" t="str">
        <f t="shared" si="258"/>
        <v/>
      </c>
      <c r="GN364" s="1149" t="str">
        <f t="shared" si="259"/>
        <v/>
      </c>
      <c r="GO364" s="1149" t="str">
        <f t="shared" si="260"/>
        <v/>
      </c>
      <c r="GP364" s="1149" t="str">
        <f t="shared" si="261"/>
        <v/>
      </c>
      <c r="GQ364" s="1149" t="str">
        <f t="shared" si="262"/>
        <v/>
      </c>
      <c r="GR364" s="1149" t="str">
        <f t="shared" si="263"/>
        <v/>
      </c>
      <c r="GS364" s="1149" t="str">
        <f t="shared" si="264"/>
        <v/>
      </c>
      <c r="GT364" s="1149">
        <f t="shared" si="82"/>
        <v>0</v>
      </c>
      <c r="GU364" s="1149">
        <f t="shared" si="83"/>
        <v>0</v>
      </c>
      <c r="GV364" s="1149">
        <f t="shared" si="84"/>
        <v>0</v>
      </c>
      <c r="GW364" s="1149" t="b">
        <f t="shared" si="85"/>
        <v>0</v>
      </c>
      <c r="GX364" s="1149" t="b">
        <f t="shared" si="86"/>
        <v>0</v>
      </c>
      <c r="GY364" s="1149" t="b">
        <f t="shared" si="87"/>
        <v>0</v>
      </c>
      <c r="GZ364" s="1149" t="str">
        <f t="shared" si="180"/>
        <v/>
      </c>
      <c r="HB364" s="1149" t="str">
        <f t="shared" si="89"/>
        <v/>
      </c>
      <c r="HC364" s="1149" t="str">
        <f t="shared" si="90"/>
        <v/>
      </c>
      <c r="HD364" s="1149" t="str">
        <f t="shared" si="91"/>
        <v/>
      </c>
      <c r="HE364" s="1149" t="str">
        <f t="shared" si="92"/>
        <v/>
      </c>
      <c r="HF364" s="1149" t="str">
        <f t="shared" si="93"/>
        <v/>
      </c>
      <c r="HG364" s="1149" t="str">
        <f t="shared" si="94"/>
        <v/>
      </c>
      <c r="HH364" s="1149" t="str">
        <f t="shared" si="95"/>
        <v/>
      </c>
      <c r="HI364" s="1149" t="str">
        <f t="shared" si="96"/>
        <v/>
      </c>
      <c r="HJ364" s="1149" t="str">
        <f t="shared" si="97"/>
        <v/>
      </c>
      <c r="HK364" s="1149" t="str">
        <f t="shared" si="98"/>
        <v/>
      </c>
      <c r="HL364" s="1149" t="str">
        <f t="shared" si="99"/>
        <v/>
      </c>
      <c r="HM364" s="1149" t="str">
        <f t="shared" si="100"/>
        <v/>
      </c>
      <c r="HN364" s="1149" t="str">
        <f t="shared" si="101"/>
        <v/>
      </c>
      <c r="HO364" s="1149" t="str">
        <f t="shared" si="102"/>
        <v/>
      </c>
      <c r="HP364" s="1149" t="str">
        <f t="shared" si="103"/>
        <v/>
      </c>
      <c r="HQ364" s="1149" t="str">
        <f t="shared" si="104"/>
        <v/>
      </c>
      <c r="HR364" s="1149" t="str">
        <f t="shared" si="105"/>
        <v/>
      </c>
      <c r="HT364" s="1149">
        <f>LEFT(M364,1)*10000+MID(M364,3,LEN(M364)-3)*100+COUNTIF($M$307:M364,M364)</f>
        <v>31301</v>
      </c>
      <c r="HU364" s="1149" t="str">
        <f t="shared" si="106"/>
        <v/>
      </c>
      <c r="HV364" s="1149" t="str">
        <f t="shared" si="107"/>
        <v/>
      </c>
      <c r="HW364" s="1149" t="str">
        <f t="shared" si="108"/>
        <v/>
      </c>
      <c r="HX364" s="1149" t="str">
        <f t="shared" si="109"/>
        <v/>
      </c>
    </row>
    <row r="365" spans="1:232" s="69" customFormat="1" ht="50.15" hidden="1" customHeight="1" thickBot="1">
      <c r="A365" s="645"/>
      <c r="B365" s="645"/>
      <c r="C365" s="645"/>
      <c r="D365" s="645"/>
      <c r="E365" s="646"/>
      <c r="F365" s="381"/>
      <c r="G365" s="381"/>
      <c r="H365" s="381"/>
      <c r="J365" s="80"/>
      <c r="K365" s="89"/>
      <c r="L365" s="89"/>
      <c r="M365" s="1964" t="s">
        <v>2575</v>
      </c>
      <c r="N365" s="1964"/>
      <c r="O365" s="1964"/>
      <c r="P365" s="2028"/>
      <c r="Q365" s="2028"/>
      <c r="R365" s="2028"/>
      <c r="S365" s="2028"/>
      <c r="T365" s="2028"/>
      <c r="U365" s="2029"/>
      <c r="V365" s="2029"/>
      <c r="W365" s="2029"/>
      <c r="X365" s="2029"/>
      <c r="Y365" s="2029"/>
      <c r="Z365" s="2029"/>
      <c r="AA365" s="2029"/>
      <c r="AB365" s="2029"/>
      <c r="AC365" s="2029"/>
      <c r="AD365" s="2029"/>
      <c r="AE365" s="2029"/>
      <c r="AF365" s="2068"/>
      <c r="AG365" s="2068"/>
      <c r="AH365" s="2068"/>
      <c r="AI365" s="2068"/>
      <c r="AJ365" s="2068"/>
      <c r="AK365" s="2068"/>
      <c r="AL365" s="2068"/>
      <c r="AM365" s="2068"/>
      <c r="AN365" s="2068"/>
      <c r="AO365" s="2068"/>
      <c r="AP365" s="2068"/>
      <c r="AQ365" s="2068"/>
      <c r="AR365" s="2110"/>
      <c r="AS365" s="2110"/>
      <c r="AT365" s="1999"/>
      <c r="AU365" s="1999"/>
      <c r="AV365" s="1999"/>
      <c r="AW365" s="1999"/>
      <c r="AX365" s="1999"/>
      <c r="AY365" s="1999"/>
      <c r="AZ365" s="1999"/>
      <c r="BA365" s="1999"/>
      <c r="BB365" s="1999"/>
      <c r="BC365" s="1999"/>
      <c r="BD365" s="1999"/>
      <c r="BE365" s="1999"/>
      <c r="BF365" s="1999"/>
      <c r="BG365" s="1999"/>
      <c r="BH365" s="1999"/>
      <c r="BI365" s="1999"/>
      <c r="BJ365" s="1999"/>
      <c r="BK365" s="1999"/>
      <c r="BL365" s="1999"/>
      <c r="BM365" s="1999"/>
      <c r="BN365" s="1999"/>
      <c r="BO365" s="1999"/>
      <c r="BP365" s="1999"/>
      <c r="BQ365" s="1999"/>
      <c r="BR365" s="1999"/>
      <c r="BS365" s="2081"/>
      <c r="BT365" s="2081"/>
      <c r="BU365" s="2081"/>
      <c r="BV365" s="2089"/>
      <c r="BW365" s="2089"/>
      <c r="BX365" s="2089"/>
      <c r="BY365" s="1923"/>
      <c r="BZ365" s="1924"/>
      <c r="CA365" s="1924"/>
      <c r="CB365" s="2370"/>
      <c r="CC365" s="2371"/>
      <c r="CD365" s="2371"/>
      <c r="CE365" s="2371"/>
      <c r="CF365" s="2371"/>
      <c r="CG365" s="2371"/>
      <c r="CH365" s="2371"/>
      <c r="CI365" s="2371"/>
      <c r="CJ365" s="2371"/>
      <c r="CK365" s="2371"/>
      <c r="CL365" s="2371"/>
      <c r="CM365" s="2371"/>
      <c r="CN365" s="2371"/>
      <c r="CO365" s="2371"/>
      <c r="CP365" s="2371"/>
      <c r="CQ365" s="2371"/>
      <c r="CR365" s="2371"/>
      <c r="CS365" s="2371"/>
      <c r="CT365" s="2371"/>
      <c r="CU365" s="2372"/>
      <c r="CV365" s="2360" t="str">
        <f t="shared" si="273"/>
        <v/>
      </c>
      <c r="CW365" s="2360"/>
      <c r="CX365" s="2360"/>
      <c r="CY365" s="2360"/>
      <c r="CZ365" s="2360"/>
      <c r="DA365" s="2360"/>
      <c r="DC365" s="600" t="str">
        <f t="shared" si="274"/>
        <v/>
      </c>
      <c r="DD365" s="381"/>
      <c r="DF365" s="34"/>
      <c r="DG365" s="34"/>
      <c r="DH365" s="34"/>
      <c r="DI365" s="34"/>
      <c r="DJ365" s="1699" t="s">
        <v>5637</v>
      </c>
      <c r="DK365" s="1708" t="str">
        <f t="shared" si="265"/>
        <v/>
      </c>
      <c r="DL365" s="1700" t="str">
        <f t="shared" si="266"/>
        <v/>
      </c>
      <c r="DM365" s="1694">
        <f t="shared" si="223"/>
        <v>0</v>
      </c>
      <c r="DN365" s="476">
        <f t="shared" si="275"/>
        <v>0</v>
      </c>
      <c r="DO365" s="476">
        <f t="shared" si="276"/>
        <v>0</v>
      </c>
      <c r="DP365" s="477">
        <f t="shared" si="277"/>
        <v>0</v>
      </c>
      <c r="DQ365" s="126" t="s">
        <v>2623</v>
      </c>
      <c r="DR365" s="475">
        <f t="shared" si="278"/>
        <v>0</v>
      </c>
      <c r="DS365" s="221">
        <f t="shared" si="279"/>
        <v>0</v>
      </c>
      <c r="DT365" s="480" t="str">
        <f t="shared" si="280"/>
        <v/>
      </c>
      <c r="DU365" s="232" t="str">
        <f t="shared" si="229"/>
        <v/>
      </c>
      <c r="DV365" s="233" t="str">
        <f>IF($DT365="要是正",MAX($DV$348:DV364)+1,"")</f>
        <v/>
      </c>
      <c r="DW365" s="486" t="str">
        <f t="shared" si="281"/>
        <v/>
      </c>
      <c r="DX365" s="467" t="str">
        <f t="shared" si="231"/>
        <v/>
      </c>
      <c r="DY365" s="468" t="str">
        <f t="shared" si="282"/>
        <v/>
      </c>
      <c r="DZ365" s="469" t="str">
        <f t="shared" si="283"/>
        <v/>
      </c>
      <c r="EA365" s="466" t="str">
        <f t="shared" si="233"/>
        <v/>
      </c>
      <c r="EB365" s="465" t="str">
        <f t="shared" si="234"/>
        <v/>
      </c>
      <c r="EC365" s="460" t="str">
        <f t="shared" si="235"/>
        <v>0</v>
      </c>
      <c r="ED365" s="459" t="str">
        <f t="shared" si="284"/>
        <v/>
      </c>
      <c r="EE365" s="460" t="str">
        <f t="shared" si="285"/>
        <v>0</v>
      </c>
      <c r="EF365" s="461" t="str">
        <f t="shared" si="286"/>
        <v/>
      </c>
      <c r="EG365" s="204" t="str">
        <f t="shared" si="237"/>
        <v/>
      </c>
      <c r="EH365" s="134" t="str">
        <f t="shared" si="238"/>
        <v>0</v>
      </c>
      <c r="EI365" s="148" t="str">
        <f t="shared" si="287"/>
        <v/>
      </c>
      <c r="EJ365" s="227" t="str">
        <f t="shared" si="288"/>
        <v>0</v>
      </c>
      <c r="EK365" s="451" t="str">
        <f t="shared" si="289"/>
        <v/>
      </c>
      <c r="EL365" s="452" t="e">
        <f t="shared" si="290"/>
        <v>#N/A</v>
      </c>
      <c r="EM365" s="151" t="e">
        <f t="shared" si="291"/>
        <v>#N/A</v>
      </c>
      <c r="EN365" s="453" t="e">
        <f t="shared" si="292"/>
        <v>#N/A</v>
      </c>
      <c r="FK365" s="597" t="str">
        <f t="shared" si="243"/>
        <v/>
      </c>
      <c r="FL365" s="597" t="str">
        <f t="shared" si="71"/>
        <v/>
      </c>
      <c r="FM365" s="597" t="str">
        <f t="shared" si="72"/>
        <v/>
      </c>
      <c r="FN365" s="597">
        <f t="shared" si="293"/>
        <v>0</v>
      </c>
      <c r="FO365" s="1163" t="str">
        <f t="shared" si="245"/>
        <v/>
      </c>
      <c r="FQ365" s="234" t="str">
        <f t="shared" si="246"/>
        <v/>
      </c>
      <c r="FR365" s="227" t="str">
        <f t="shared" si="247"/>
        <v>0</v>
      </c>
      <c r="FS365" s="148" t="str">
        <f t="shared" si="294"/>
        <v/>
      </c>
      <c r="FT365" s="227" t="str">
        <f t="shared" si="295"/>
        <v>0</v>
      </c>
      <c r="FU365" s="416" t="str">
        <f t="shared" si="296"/>
        <v/>
      </c>
      <c r="FW365" s="1160">
        <f t="shared" si="297"/>
        <v>0</v>
      </c>
      <c r="FX365" s="123"/>
      <c r="FY365" s="123"/>
      <c r="FZ365" s="1161"/>
      <c r="GA365" s="34"/>
      <c r="GB365" s="123">
        <f t="shared" si="79"/>
        <v>0</v>
      </c>
      <c r="GC365" s="123">
        <f t="shared" si="80"/>
        <v>0</v>
      </c>
      <c r="GD365" s="69">
        <f t="shared" si="81"/>
        <v>0</v>
      </c>
      <c r="GE365" s="1149" t="str">
        <f t="shared" si="250"/>
        <v/>
      </c>
      <c r="GF365" s="1149" t="str">
        <f t="shared" si="251"/>
        <v/>
      </c>
      <c r="GG365" s="1149" t="str">
        <f t="shared" si="252"/>
        <v/>
      </c>
      <c r="GH365" s="1149" t="str">
        <f t="shared" si="253"/>
        <v/>
      </c>
      <c r="GI365" s="1149" t="str">
        <f t="shared" si="254"/>
        <v/>
      </c>
      <c r="GJ365" s="1149" t="str">
        <f t="shared" si="255"/>
        <v/>
      </c>
      <c r="GK365" s="1149" t="str">
        <f t="shared" si="256"/>
        <v/>
      </c>
      <c r="GL365" s="1149" t="str">
        <f t="shared" si="257"/>
        <v/>
      </c>
      <c r="GM365" s="1149" t="str">
        <f t="shared" si="258"/>
        <v/>
      </c>
      <c r="GN365" s="1149" t="str">
        <f t="shared" si="259"/>
        <v/>
      </c>
      <c r="GO365" s="1149" t="str">
        <f t="shared" si="260"/>
        <v/>
      </c>
      <c r="GP365" s="1149" t="str">
        <f t="shared" si="261"/>
        <v/>
      </c>
      <c r="GQ365" s="1149" t="str">
        <f t="shared" si="262"/>
        <v/>
      </c>
      <c r="GR365" s="1149" t="str">
        <f t="shared" si="263"/>
        <v/>
      </c>
      <c r="GS365" s="1149" t="str">
        <f t="shared" si="264"/>
        <v/>
      </c>
      <c r="GT365" s="1149">
        <f t="shared" si="82"/>
        <v>0</v>
      </c>
      <c r="GU365" s="1149">
        <f t="shared" si="83"/>
        <v>0</v>
      </c>
      <c r="GV365" s="1149">
        <f t="shared" si="84"/>
        <v>0</v>
      </c>
      <c r="GW365" s="1149" t="b">
        <f t="shared" si="85"/>
        <v>0</v>
      </c>
      <c r="GX365" s="1149" t="b">
        <f t="shared" si="86"/>
        <v>0</v>
      </c>
      <c r="GY365" s="1149" t="b">
        <f t="shared" si="87"/>
        <v>0</v>
      </c>
      <c r="GZ365" s="1149" t="str">
        <f t="shared" si="180"/>
        <v/>
      </c>
      <c r="HB365" s="1149" t="str">
        <f t="shared" si="89"/>
        <v/>
      </c>
      <c r="HC365" s="1149" t="str">
        <f t="shared" si="90"/>
        <v/>
      </c>
      <c r="HD365" s="1149" t="str">
        <f t="shared" si="91"/>
        <v/>
      </c>
      <c r="HE365" s="1149" t="str">
        <f t="shared" si="92"/>
        <v/>
      </c>
      <c r="HF365" s="1149" t="str">
        <f t="shared" si="93"/>
        <v/>
      </c>
      <c r="HG365" s="1149" t="str">
        <f t="shared" si="94"/>
        <v/>
      </c>
      <c r="HH365" s="1149" t="str">
        <f t="shared" si="95"/>
        <v/>
      </c>
      <c r="HI365" s="1149" t="str">
        <f t="shared" si="96"/>
        <v/>
      </c>
      <c r="HJ365" s="1149" t="str">
        <f t="shared" si="97"/>
        <v/>
      </c>
      <c r="HK365" s="1149" t="str">
        <f t="shared" si="98"/>
        <v/>
      </c>
      <c r="HL365" s="1149" t="str">
        <f t="shared" si="99"/>
        <v/>
      </c>
      <c r="HM365" s="1149" t="str">
        <f t="shared" si="100"/>
        <v/>
      </c>
      <c r="HN365" s="1149" t="str">
        <f t="shared" si="101"/>
        <v/>
      </c>
      <c r="HO365" s="1149" t="str">
        <f t="shared" si="102"/>
        <v/>
      </c>
      <c r="HP365" s="1149" t="str">
        <f t="shared" si="103"/>
        <v/>
      </c>
      <c r="HQ365" s="1149" t="str">
        <f t="shared" si="104"/>
        <v/>
      </c>
      <c r="HR365" s="1149" t="str">
        <f t="shared" si="105"/>
        <v/>
      </c>
      <c r="HT365" s="1149">
        <f>LEFT(M365,1)*10000+MID(M365,3,LEN(M365)-3)*100+COUNTIF($M$307:M365,M365)</f>
        <v>31401</v>
      </c>
      <c r="HU365" s="1149" t="str">
        <f t="shared" si="106"/>
        <v/>
      </c>
      <c r="HV365" s="1149" t="str">
        <f t="shared" si="107"/>
        <v/>
      </c>
      <c r="HW365" s="1149" t="str">
        <f t="shared" si="108"/>
        <v/>
      </c>
      <c r="HX365" s="1149" t="str">
        <f t="shared" si="109"/>
        <v/>
      </c>
    </row>
    <row r="366" spans="1:232" ht="15" customHeight="1" thickBot="1">
      <c r="A366" s="645"/>
      <c r="B366" s="645"/>
      <c r="C366" s="645"/>
      <c r="D366" s="645"/>
      <c r="E366" s="646"/>
      <c r="J366" s="282"/>
      <c r="K366" s="300"/>
      <c r="L366" s="300"/>
      <c r="M366" s="556"/>
      <c r="N366" s="556"/>
      <c r="O366" s="556"/>
      <c r="P366" s="556"/>
      <c r="Q366" s="556"/>
      <c r="R366" s="556"/>
      <c r="S366" s="556"/>
      <c r="T366" s="556"/>
      <c r="U366" s="556"/>
      <c r="V366" s="556"/>
      <c r="W366" s="556"/>
      <c r="X366" s="556"/>
      <c r="Y366" s="556"/>
      <c r="Z366" s="556"/>
      <c r="AA366" s="556"/>
      <c r="AB366" s="556"/>
      <c r="AC366" s="556"/>
      <c r="AD366" s="556"/>
      <c r="AE366" s="92"/>
      <c r="AF366" s="92"/>
      <c r="AG366" s="92"/>
      <c r="AH366" s="92"/>
      <c r="AI366" s="92"/>
      <c r="AJ366" s="92"/>
      <c r="AK366" s="92"/>
      <c r="AL366" s="92"/>
      <c r="AM366" s="92"/>
      <c r="AN366" s="92"/>
      <c r="AO366" s="92"/>
      <c r="AP366" s="92"/>
      <c r="AQ366" s="92"/>
      <c r="AR366" s="557"/>
      <c r="AS366" s="557"/>
      <c r="AT366" s="92"/>
      <c r="AU366" s="92"/>
      <c r="AV366" s="92"/>
      <c r="AW366" s="92"/>
      <c r="AX366" s="92"/>
      <c r="AY366" s="92"/>
      <c r="AZ366" s="92"/>
      <c r="BA366" s="92"/>
      <c r="BB366" s="92"/>
      <c r="BC366" s="92"/>
      <c r="BD366" s="92"/>
      <c r="BE366" s="92"/>
      <c r="BF366" s="92"/>
      <c r="BG366" s="92"/>
      <c r="BH366" s="92"/>
      <c r="BI366" s="92"/>
      <c r="BJ366" s="92"/>
      <c r="BK366" s="92"/>
      <c r="BL366" s="92"/>
      <c r="BM366" s="92"/>
      <c r="BN366" s="92"/>
      <c r="BO366" s="92"/>
      <c r="BP366" s="92"/>
      <c r="BQ366" s="92"/>
      <c r="BR366" s="92"/>
      <c r="BS366" s="557"/>
      <c r="BT366" s="557"/>
      <c r="BU366" s="745"/>
      <c r="BV366" s="745"/>
      <c r="BW366" s="745"/>
      <c r="BX366" s="745"/>
      <c r="BY366" s="746"/>
      <c r="BZ366" s="746"/>
      <c r="CA366" s="746"/>
      <c r="CB366" s="746"/>
      <c r="CC366" s="746"/>
      <c r="CD366" s="746"/>
      <c r="CE366" s="746"/>
      <c r="CF366" s="746"/>
      <c r="CG366" s="746"/>
      <c r="CH366" s="746"/>
      <c r="CI366" s="746"/>
      <c r="CJ366" s="746"/>
      <c r="CK366" s="746"/>
      <c r="CL366" s="746"/>
      <c r="CM366" s="746"/>
      <c r="CN366" s="746"/>
      <c r="CO366" s="746"/>
      <c r="CP366" s="746"/>
      <c r="CQ366" s="746"/>
      <c r="CR366" s="746"/>
      <c r="CS366" s="746"/>
      <c r="CT366" s="746"/>
      <c r="CU366" s="747"/>
      <c r="CV366" s="2360"/>
      <c r="CW366" s="2360"/>
      <c r="CX366" s="2360"/>
      <c r="CY366" s="2360"/>
      <c r="CZ366" s="2360"/>
      <c r="DA366" s="2360"/>
      <c r="DD366" s="381"/>
      <c r="DE366" s="36"/>
      <c r="DF366" s="36"/>
      <c r="DG366" s="36"/>
      <c r="DH366" s="36"/>
      <c r="DI366" s="36"/>
      <c r="DJ366" s="641"/>
      <c r="DK366" s="1709"/>
      <c r="DL366" s="1685"/>
      <c r="DM366" s="193">
        <f>SUM(DM352:DM365)</f>
        <v>0</v>
      </c>
      <c r="DN366" s="193">
        <f>SUM(DN352:DN365)</f>
        <v>0</v>
      </c>
      <c r="DO366" s="193">
        <f>SUM(DO352:DO365)</f>
        <v>0</v>
      </c>
      <c r="DP366" s="193">
        <f>SUM(DP352:DP365)</f>
        <v>0</v>
      </c>
      <c r="DU366" s="506"/>
      <c r="DX366" s="2488" t="s">
        <v>2427</v>
      </c>
      <c r="DY366" s="904" t="s">
        <v>2430</v>
      </c>
      <c r="DZ366" s="166"/>
      <c r="EA366" s="166"/>
      <c r="EB366" s="1166"/>
      <c r="EC366" s="229"/>
      <c r="ED366" s="207">
        <f>COUNTIF(ED352:ED365,"1")</f>
        <v>0</v>
      </c>
      <c r="EE366" s="206" t="str">
        <f t="array" ref="EE366">INDEX(EE352:EE365,MATCH(MIN(ABS(EE352:EE365-$DP$4)),ABS(EE352:EE365-$DP$4),0))</f>
        <v>0</v>
      </c>
      <c r="EF366" s="207">
        <f>COUNTIF(EF352:EF365,"未定")</f>
        <v>0</v>
      </c>
      <c r="EG366" s="205"/>
      <c r="EH366" s="229"/>
      <c r="EI366" s="207">
        <f>COUNTIF(EI352:EI365,"1")</f>
        <v>0</v>
      </c>
      <c r="EJ366" s="206" t="str">
        <f t="array" ref="EJ366">INDEX(EJ352:EJ365,MATCH(MIN(ABS(EJ352:EJ365-$DP$4)),ABS(EJ352:EJ365-$DP$4),0))</f>
        <v>0</v>
      </c>
      <c r="EK366" s="519">
        <f>COUNTIF(EK352:EK365,"未定")</f>
        <v>0</v>
      </c>
      <c r="EL366" s="1167"/>
      <c r="EM366" s="31"/>
      <c r="EN366" s="1168"/>
      <c r="FK366" s="632"/>
      <c r="FL366" s="632"/>
      <c r="FM366" s="632"/>
      <c r="FN366" s="632"/>
      <c r="FO366" s="1163"/>
      <c r="FQ366" s="1166"/>
      <c r="FR366" s="229"/>
      <c r="FS366" s="207">
        <f>COUNTIF(FS352:FS365,"1")</f>
        <v>0</v>
      </c>
      <c r="FT366" s="206" t="str">
        <f t="array" ref="FT366">INDEX(FT352:FT365,MATCH(MIN(ABS(FT352:FT365-$DP$4)),ABS(FT352:FT365-$DP$4),0))</f>
        <v>0</v>
      </c>
      <c r="FU366" s="417">
        <f>COUNTIF(FU352:FU365,"未定")</f>
        <v>0</v>
      </c>
      <c r="FV366" s="167"/>
      <c r="FW366" s="1160">
        <f t="shared" si="220"/>
        <v>0</v>
      </c>
      <c r="FX366" s="31"/>
      <c r="FY366" s="31"/>
      <c r="FZ366" s="1164"/>
      <c r="GB366" s="1149">
        <f t="shared" ref="GB366" si="298">IF(SUM(GB352:GB365)&gt;0,1,0)</f>
        <v>0</v>
      </c>
      <c r="GC366" s="1149">
        <f t="shared" ref="GC366" si="299">IF(SUM(GC352:GC365)&gt;0,1,0)</f>
        <v>0</v>
      </c>
      <c r="GD366" s="1149">
        <f>IF(SUM(GD352:GD365)&gt;0,1,0)</f>
        <v>0</v>
      </c>
      <c r="GE366" s="1151"/>
      <c r="GF366" s="1151"/>
      <c r="GG366" s="1151"/>
      <c r="GH366" s="1151"/>
      <c r="GI366" s="1151"/>
      <c r="GJ366" s="1151"/>
      <c r="GK366" s="1151"/>
      <c r="GL366" s="1151"/>
      <c r="GM366" s="1151"/>
      <c r="GN366" s="1151"/>
      <c r="GO366" s="1151"/>
      <c r="GP366" s="1151"/>
      <c r="GQ366" s="1151"/>
      <c r="GR366" s="1151"/>
      <c r="GS366" s="1151"/>
      <c r="GT366" s="1149">
        <f t="shared" ref="GT366:GU366" si="300">IF(SUM(GT352:GT365)&gt;0,1,0)</f>
        <v>0</v>
      </c>
      <c r="GU366" s="1149">
        <f t="shared" si="300"/>
        <v>0</v>
      </c>
      <c r="GV366" s="1149">
        <f>IF(SUM(GV352:GV365)&gt;0,1,0)</f>
        <v>0</v>
      </c>
      <c r="GW366" s="1149" t="b">
        <f t="shared" si="85"/>
        <v>0</v>
      </c>
      <c r="GX366" s="1149" t="b">
        <f t="shared" si="86"/>
        <v>0</v>
      </c>
      <c r="GY366" s="1149" t="b">
        <f t="shared" si="87"/>
        <v>0</v>
      </c>
      <c r="GZ366" s="1149" t="str">
        <f t="shared" si="180"/>
        <v/>
      </c>
      <c r="HB366" s="1151"/>
      <c r="HC366" s="1151"/>
      <c r="HD366" s="1151"/>
      <c r="HE366" s="1151"/>
      <c r="HF366" s="1151"/>
      <c r="HG366" s="1151"/>
      <c r="HH366" s="1151"/>
      <c r="HI366" s="1151"/>
      <c r="HJ366" s="1151"/>
      <c r="HK366" s="1151"/>
      <c r="HL366" s="1151"/>
      <c r="HM366" s="1151"/>
      <c r="HN366" s="1151"/>
      <c r="HO366" s="1151"/>
      <c r="HP366" s="1151"/>
      <c r="HQ366" s="1151"/>
      <c r="HR366" s="1151"/>
      <c r="HT366" s="1702"/>
      <c r="HU366" s="1702"/>
      <c r="HV366" s="1702"/>
      <c r="HW366" s="1702"/>
      <c r="HX366" s="1702"/>
    </row>
    <row r="367" spans="1:232" s="69" customFormat="1" ht="35.15" customHeight="1" thickBot="1">
      <c r="A367" s="645"/>
      <c r="B367" s="645"/>
      <c r="C367" s="645"/>
      <c r="D367" s="645"/>
      <c r="E367" s="646"/>
      <c r="F367" s="381"/>
      <c r="G367" s="381"/>
      <c r="H367" s="381"/>
      <c r="J367" s="80"/>
      <c r="K367" s="89"/>
      <c r="L367" s="89"/>
      <c r="M367" s="2058" t="s">
        <v>81</v>
      </c>
      <c r="N367" s="2058"/>
      <c r="O367" s="2058"/>
      <c r="P367" s="2058"/>
      <c r="Q367" s="2058"/>
      <c r="R367" s="2058"/>
      <c r="S367" s="2058"/>
      <c r="T367" s="2058"/>
      <c r="U367" s="2058"/>
      <c r="V367" s="2058"/>
      <c r="W367" s="2058"/>
      <c r="X367" s="2058"/>
      <c r="Y367" s="2058"/>
      <c r="Z367" s="2058"/>
      <c r="AA367" s="2058"/>
      <c r="AB367" s="2058"/>
      <c r="AC367" s="2058"/>
      <c r="AD367" s="2058"/>
      <c r="AE367" s="2058"/>
      <c r="AF367" s="2058"/>
      <c r="AG367" s="2058"/>
      <c r="AH367" s="2058"/>
      <c r="AI367" s="2058"/>
      <c r="AJ367" s="2058"/>
      <c r="AK367" s="2058"/>
      <c r="AL367" s="2058"/>
      <c r="AM367" s="2058"/>
      <c r="AN367" s="2058"/>
      <c r="AO367" s="2058"/>
      <c r="AP367" s="2058"/>
      <c r="AQ367" s="2058"/>
      <c r="AR367" s="2058"/>
      <c r="AS367" s="2058"/>
      <c r="AT367" s="2058"/>
      <c r="AU367" s="2058"/>
      <c r="AV367" s="2058"/>
      <c r="AW367" s="2058"/>
      <c r="AX367" s="2058"/>
      <c r="AY367" s="2058"/>
      <c r="AZ367" s="2058"/>
      <c r="BA367" s="2058"/>
      <c r="BB367" s="2058"/>
      <c r="BC367" s="2058"/>
      <c r="BD367" s="2058"/>
      <c r="BE367" s="2058"/>
      <c r="BF367" s="2058"/>
      <c r="BG367" s="2058"/>
      <c r="BH367" s="2058"/>
      <c r="BI367" s="2058"/>
      <c r="BJ367" s="2058"/>
      <c r="BK367" s="2058"/>
      <c r="BL367" s="2058"/>
      <c r="BM367" s="2058"/>
      <c r="BN367" s="2058"/>
      <c r="BO367" s="2058"/>
      <c r="BP367" s="2058"/>
      <c r="BQ367" s="2058"/>
      <c r="BR367" s="2058"/>
      <c r="BS367" s="2058"/>
      <c r="BT367" s="2058"/>
      <c r="BU367" s="2058"/>
      <c r="BV367" s="2058"/>
      <c r="BW367" s="2058"/>
      <c r="BX367" s="2058"/>
      <c r="BY367" s="2058"/>
      <c r="BZ367" s="2058"/>
      <c r="CA367" s="2058"/>
      <c r="CB367" s="2058"/>
      <c r="CC367" s="2058"/>
      <c r="CD367" s="2058"/>
      <c r="CE367" s="2058"/>
      <c r="CF367" s="2058"/>
      <c r="CG367" s="2058"/>
      <c r="CH367" s="2058"/>
      <c r="CI367" s="2058"/>
      <c r="CJ367" s="2058"/>
      <c r="CK367" s="2058"/>
      <c r="CL367" s="2058"/>
      <c r="CM367" s="2058"/>
      <c r="CN367" s="2058"/>
      <c r="CO367" s="2058"/>
      <c r="CP367" s="2058"/>
      <c r="CQ367" s="2058"/>
      <c r="CR367" s="2058"/>
      <c r="CS367" s="2058"/>
      <c r="CT367" s="2058"/>
      <c r="CU367" s="2059"/>
      <c r="CV367" s="2360" t="str">
        <f>IF(AND(DT367="要是正",DU367&lt;21),HYPERLINK("#"&amp;EL367&amp;"!"&amp;EM367&amp;":"&amp;EN367&amp;"","関連写真添付"),"")</f>
        <v/>
      </c>
      <c r="CW367" s="2360"/>
      <c r="CX367" s="2360"/>
      <c r="CY367" s="2360"/>
      <c r="CZ367" s="2360"/>
      <c r="DA367" s="2360"/>
      <c r="DC367" s="600" t="str">
        <f>IF(AND(DU367&lt;&gt;"",DU367&gt;10),"「別途様式を作成、提出してください。」","")</f>
        <v/>
      </c>
      <c r="DD367" s="381"/>
      <c r="DF367" s="34"/>
      <c r="DG367" s="34"/>
      <c r="DH367" s="34"/>
      <c r="DI367" s="34"/>
      <c r="DJ367" s="34"/>
      <c r="DK367" s="1711"/>
      <c r="DL367" s="114"/>
      <c r="DM367" s="386" t="str">
        <f>IF(AND(DN367="",DO367="",DP367="",DM422&lt;&gt;0),"レ","")</f>
        <v/>
      </c>
      <c r="DN367" s="386" t="str">
        <f>IF(AND(DO367="",DP367="",DN422&lt;&gt;0),"レ","")</f>
        <v/>
      </c>
      <c r="DO367" s="386" t="str">
        <f>IF(DO422&lt;&gt;0,"レ","")</f>
        <v/>
      </c>
      <c r="DP367" s="386" t="str">
        <f>IF(AND(DO367="",DP422&lt;&gt;0),"レ","")</f>
        <v/>
      </c>
      <c r="DQ367" s="114"/>
      <c r="DR367" s="114"/>
      <c r="DS367" s="114"/>
      <c r="DT367" s="113"/>
      <c r="DU367" s="151"/>
      <c r="DV367" s="113"/>
      <c r="DW367" s="113"/>
      <c r="DX367" s="2489"/>
      <c r="DY367" s="530" t="str">
        <f>SUBSTITUTE(TRIM(DY370&amp;"　"&amp;DY371&amp;"　"&amp;DY372&amp;"　"&amp;DY373&amp;"　"&amp;DY374&amp;"　"&amp;DY375&amp;"　"&amp;DY376&amp;"　"&amp;DY377&amp;"　"&amp;DY378&amp;"　"&amp;DY379&amp;"　"&amp;DY380&amp;"　"&amp;DY381&amp;"　"&amp;DY382&amp;"　"&amp;DY383&amp;"　"&amp;DY384&amp;"　"&amp;DY385&amp;"　"&amp;DY386&amp;"　"&amp;DY387&amp;"　"&amp;DY388&amp;"　"&amp;DY389&amp;"　"&amp;DY390&amp;"　"&amp;DY391&amp;"　"&amp;DY392&amp;"　"&amp;DY393&amp;"　"&amp;DY394&amp;"　"&amp;DY395&amp;"　"&amp;DY396&amp;"　"&amp;DY397&amp;"　"&amp;DY398&amp;"　"&amp;DY399&amp;"　"&amp;DY400&amp;"　"&amp;DY401&amp;"　"&amp;DY402&amp;"　"&amp;DY403&amp;"　"&amp;DY404&amp;"　"&amp;DY405&amp;"　"&amp;DY406&amp;"　"&amp;DY407&amp;"　"&amp;DY408&amp;"　"&amp;DY409&amp;"　"&amp;DY410&amp;"　"&amp;DY411&amp;"　"&amp;DY412&amp;"　"&amp;DY413&amp;"　"&amp;DY414&amp;"　"&amp;DY415&amp;"　"&amp;DY416&amp;"　"&amp;DY417&amp;"　"&amp;DY418&amp;"　"&amp;DY419&amp;"　"&amp;DY420&amp;"　"&amp;DY421),"　",", ")&amp;HO528</f>
        <v/>
      </c>
      <c r="DZ367" s="2518" t="s">
        <v>2436</v>
      </c>
      <c r="EA367" s="2519"/>
      <c r="EB367" s="230" t="str">
        <f>IF(COUNTIF(ED370:ED421,1)&gt;0,"レ","")</f>
        <v/>
      </c>
      <c r="EC367" s="389"/>
      <c r="ED367" s="231" t="str">
        <f>IF(EB367="レ",YEAR(EE422)-VLOOKUP(EE422,$DS$6:$DV$9,4,TRUE),"")</f>
        <v/>
      </c>
      <c r="EE367" s="231" t="str">
        <f>IF(EB367="レ",MONTH(EE422),IF(AND(DO367="レ",EF367="レ",EF422=0),"",IF(AND(DO367="レ",EF367="レ",EF422&gt;0),"","")))</f>
        <v/>
      </c>
      <c r="EF367" s="387" t="str">
        <f>IF(EB367="",IF(OR(EF422&gt;0,DO367="レ"),"レ",""),"")</f>
        <v/>
      </c>
      <c r="EG367" s="230" t="str">
        <f>IF(AND(COUNTIF(DT370:DT421,"要是正")=0,COUNTIF(EI370:EI421,1)&gt;0),"レ","")</f>
        <v/>
      </c>
      <c r="EH367" s="389"/>
      <c r="EI367" s="231" t="str">
        <f>IF(EG367="レ",YEAR(EJ422)-VLOOKUP(EJ422,$DS$6:$DV$9,4,TRUE),"")</f>
        <v/>
      </c>
      <c r="EJ367" s="231" t="str">
        <f>IF(EG367="レ",MONTH(EJ422),IF(AND(DP367="レ",EK367="レ",EK422=0),"",IF(AND(DP367="レ",EK367="レ",EK422&gt;0),"","")))</f>
        <v/>
      </c>
      <c r="EK367" s="446" t="str">
        <f>IF(EG367="",IF(OR(EK422&gt;0,DP367="レ"),"レ",""),"")</f>
        <v/>
      </c>
      <c r="EL367" s="232" t="e">
        <f>VLOOKUP($DU367,$EO$306:$ER$334,2,FALSE)</f>
        <v>#N/A</v>
      </c>
      <c r="EM367" s="233" t="e">
        <f>VLOOKUP($DU367,$EO$306:$ER$334,3,FALSE)</f>
        <v>#N/A</v>
      </c>
      <c r="EN367" s="454" t="e">
        <f>VLOOKUP($DU367,$EO$306:$ER$334,4,FALSE)</f>
        <v>#N/A</v>
      </c>
      <c r="EO367" s="35"/>
      <c r="EP367" s="35"/>
      <c r="EQ367" s="35"/>
      <c r="ER367" s="35"/>
      <c r="ES367" s="35" t="str">
        <f>$GY$531</f>
        <v>要是正なし</v>
      </c>
      <c r="ET367" s="35"/>
      <c r="EU367" s="35"/>
      <c r="EV367" s="35"/>
      <c r="EW367" s="35"/>
      <c r="EX367" s="35"/>
      <c r="EY367" s="35"/>
      <c r="EZ367" s="35"/>
      <c r="FA367" s="35"/>
      <c r="FB367" s="35"/>
      <c r="FC367" s="35"/>
      <c r="FD367" s="35"/>
      <c r="FE367" s="35"/>
      <c r="FF367" s="35"/>
      <c r="FG367" s="35"/>
      <c r="FH367" s="35"/>
      <c r="FI367" s="35"/>
      <c r="FK367" s="632"/>
      <c r="FL367" s="632"/>
      <c r="FM367" s="632"/>
      <c r="FN367" s="632"/>
      <c r="FO367" s="1163"/>
      <c r="FQ367" s="230" t="str">
        <f>IF(COUNTIF(FS370:FS421,1)&gt;0,"レ","")</f>
        <v/>
      </c>
      <c r="FR367" s="389"/>
      <c r="FS367" s="231" t="str">
        <f>IF(FQ367="レ",TEXT(FT422,"ee"),"")</f>
        <v/>
      </c>
      <c r="FT367" s="231" t="str">
        <f>IF(FQ367="レ",MONTH(FT422),IF(AND(FH367="レ",FU367="レ",FU422=0),"",IF(AND(FH367="レ",FU367="レ",FU422&gt;0),"未定","")))</f>
        <v/>
      </c>
      <c r="FU367" s="387" t="str">
        <f>IF(FQ367="",IF(OR(FU422&gt;0,FH367="レ"),"レ",""),"")</f>
        <v/>
      </c>
      <c r="FW367" s="1160">
        <f t="shared" si="220"/>
        <v>0</v>
      </c>
      <c r="FX367" s="123"/>
      <c r="FY367" s="123"/>
      <c r="FZ367" s="1161"/>
      <c r="GA367" s="34"/>
      <c r="GB367" s="123"/>
      <c r="GC367" s="123"/>
      <c r="GE367" s="123"/>
      <c r="GF367" s="123"/>
      <c r="GG367" s="123"/>
      <c r="GH367" s="123"/>
      <c r="GI367" s="123"/>
      <c r="GJ367" s="123"/>
      <c r="GK367" s="123"/>
      <c r="GL367" s="123"/>
      <c r="GM367" s="123"/>
      <c r="GN367" s="123"/>
      <c r="GO367" s="123"/>
      <c r="GP367" s="123"/>
      <c r="GQ367" s="123"/>
      <c r="GR367" s="123"/>
      <c r="GS367" s="123"/>
      <c r="GT367" s="123"/>
      <c r="GU367" s="123"/>
      <c r="GV367" s="123"/>
      <c r="GW367" s="123"/>
      <c r="GX367" s="123"/>
      <c r="GY367" s="123"/>
      <c r="HB367" s="123"/>
      <c r="HC367" s="123"/>
      <c r="HD367" s="123"/>
      <c r="HE367" s="123"/>
      <c r="HF367" s="123"/>
      <c r="HG367" s="123"/>
      <c r="HH367" s="123"/>
      <c r="HI367" s="123"/>
      <c r="HJ367" s="123"/>
      <c r="HK367" s="123"/>
      <c r="HL367" s="123"/>
      <c r="HM367" s="123"/>
      <c r="HN367" s="123"/>
      <c r="HO367" s="123"/>
      <c r="HP367" s="123"/>
      <c r="HQ367" s="123"/>
      <c r="HR367" s="123"/>
      <c r="HT367" s="1703"/>
      <c r="HU367" s="1703"/>
      <c r="HV367" s="1703"/>
      <c r="HW367" s="1703"/>
      <c r="HX367" s="1703"/>
    </row>
    <row r="368" spans="1:232" s="69" customFormat="1" ht="36" customHeight="1" thickBot="1">
      <c r="A368" s="645"/>
      <c r="B368" s="645"/>
      <c r="C368" s="645"/>
      <c r="D368" s="645"/>
      <c r="E368" s="646"/>
      <c r="F368" s="381"/>
      <c r="G368" s="381"/>
      <c r="H368" s="381"/>
      <c r="I368" s="123"/>
      <c r="J368" s="88"/>
      <c r="K368" s="89"/>
      <c r="L368" s="89"/>
      <c r="M368" s="2030" t="s">
        <v>31</v>
      </c>
      <c r="N368" s="2030"/>
      <c r="O368" s="2030"/>
      <c r="P368" s="2006" t="s">
        <v>32</v>
      </c>
      <c r="Q368" s="2006"/>
      <c r="R368" s="2006"/>
      <c r="S368" s="2006"/>
      <c r="T368" s="2006"/>
      <c r="U368" s="2006"/>
      <c r="V368" s="2006"/>
      <c r="W368" s="2006"/>
      <c r="X368" s="2006"/>
      <c r="Y368" s="2006"/>
      <c r="Z368" s="2006"/>
      <c r="AA368" s="2006"/>
      <c r="AB368" s="2006"/>
      <c r="AC368" s="2006"/>
      <c r="AD368" s="2006"/>
      <c r="AE368" s="2006"/>
      <c r="AF368" s="2006" t="s">
        <v>33</v>
      </c>
      <c r="AG368" s="2006"/>
      <c r="AH368" s="2006"/>
      <c r="AI368" s="2006"/>
      <c r="AJ368" s="2006"/>
      <c r="AK368" s="2006"/>
      <c r="AL368" s="2006"/>
      <c r="AM368" s="2006"/>
      <c r="AN368" s="2006"/>
      <c r="AO368" s="2006"/>
      <c r="AP368" s="2006"/>
      <c r="AQ368" s="2006"/>
      <c r="AR368" s="2006" t="s">
        <v>752</v>
      </c>
      <c r="AS368" s="2006"/>
      <c r="AT368" s="2003" t="s">
        <v>156</v>
      </c>
      <c r="AU368" s="2003"/>
      <c r="AV368" s="2003"/>
      <c r="AW368" s="2003"/>
      <c r="AX368" s="2003"/>
      <c r="AY368" s="2003"/>
      <c r="AZ368" s="2003"/>
      <c r="BA368" s="2003"/>
      <c r="BB368" s="2003"/>
      <c r="BC368" s="2003"/>
      <c r="BD368" s="2003" t="s">
        <v>194</v>
      </c>
      <c r="BE368" s="2003"/>
      <c r="BF368" s="2003"/>
      <c r="BG368" s="2003"/>
      <c r="BH368" s="2003"/>
      <c r="BI368" s="2003"/>
      <c r="BJ368" s="2003"/>
      <c r="BK368" s="2003"/>
      <c r="BL368" s="2003"/>
      <c r="BM368" s="2003"/>
      <c r="BN368" s="2003"/>
      <c r="BO368" s="2003"/>
      <c r="BP368" s="2003"/>
      <c r="BQ368" s="2003"/>
      <c r="BR368" s="2003"/>
      <c r="BS368" s="2006" t="s">
        <v>387</v>
      </c>
      <c r="BT368" s="2003"/>
      <c r="BU368" s="2003"/>
      <c r="BV368" s="2003"/>
      <c r="BW368" s="2003"/>
      <c r="BX368" s="2003"/>
      <c r="BY368" s="2003"/>
      <c r="BZ368" s="2003"/>
      <c r="CA368" s="2003"/>
      <c r="CB368" s="2120" t="s">
        <v>2818</v>
      </c>
      <c r="CC368" s="2120"/>
      <c r="CD368" s="2120"/>
      <c r="CE368" s="2120"/>
      <c r="CF368" s="2120"/>
      <c r="CG368" s="2120"/>
      <c r="CH368" s="2120"/>
      <c r="CI368" s="2120"/>
      <c r="CJ368" s="2120"/>
      <c r="CK368" s="2120"/>
      <c r="CL368" s="2120"/>
      <c r="CM368" s="2120"/>
      <c r="CN368" s="2120"/>
      <c r="CO368" s="2120"/>
      <c r="CP368" s="2120"/>
      <c r="CQ368" s="2120"/>
      <c r="CR368" s="2120"/>
      <c r="CS368" s="2120"/>
      <c r="CT368" s="2120"/>
      <c r="CU368" s="2121"/>
      <c r="CV368" s="108"/>
      <c r="CW368" s="108"/>
      <c r="CX368" s="108"/>
      <c r="CY368" s="108"/>
      <c r="CZ368" s="108"/>
      <c r="DA368" s="108"/>
      <c r="DB368" s="108"/>
      <c r="DC368" s="35"/>
      <c r="DD368" s="381"/>
      <c r="DE368" s="34"/>
      <c r="DF368" s="34"/>
      <c r="DG368" s="34"/>
      <c r="DH368" s="34"/>
      <c r="DI368" s="34"/>
      <c r="DJ368" s="34"/>
      <c r="DK368" s="1711"/>
      <c r="DL368" s="114"/>
      <c r="DM368" s="166" t="s">
        <v>3356</v>
      </c>
      <c r="DN368" s="34"/>
      <c r="DO368" s="34"/>
      <c r="DP368" s="34"/>
      <c r="DQ368" s="34"/>
      <c r="DR368" s="34"/>
      <c r="DU368" s="381"/>
      <c r="DX368" s="2489"/>
      <c r="DY368" s="1972" t="s">
        <v>911</v>
      </c>
      <c r="DZ368" s="1974" t="s">
        <v>194</v>
      </c>
      <c r="EA368" s="2517" t="s">
        <v>2402</v>
      </c>
      <c r="EB368" s="1907" t="s">
        <v>24</v>
      </c>
      <c r="EC368" s="1908"/>
      <c r="ED368" s="1908"/>
      <c r="EE368" s="1908"/>
      <c r="EF368" s="1908"/>
      <c r="EG368" s="1969" t="s">
        <v>931</v>
      </c>
      <c r="EH368" s="1970"/>
      <c r="EI368" s="1970"/>
      <c r="EJ368" s="1970"/>
      <c r="EK368" s="1971"/>
      <c r="EL368" s="1882" t="s">
        <v>938</v>
      </c>
      <c r="EM368" s="1883"/>
      <c r="EN368" s="1884"/>
      <c r="EO368" s="1897"/>
      <c r="EP368" s="1897"/>
      <c r="EQ368" s="1897"/>
      <c r="ER368" s="1897"/>
      <c r="ES368" s="35"/>
      <c r="ET368" s="1897"/>
      <c r="EU368" s="1897"/>
      <c r="EV368" s="1897"/>
      <c r="EW368" s="1897"/>
      <c r="EX368" s="1897"/>
      <c r="EY368" s="1900"/>
      <c r="EZ368" s="1900"/>
      <c r="FA368" s="1900"/>
      <c r="FB368" s="1900"/>
      <c r="FC368" s="1900"/>
      <c r="FD368" s="1900"/>
      <c r="FE368" s="1900"/>
      <c r="FF368" s="1900"/>
      <c r="FG368" s="1900"/>
      <c r="FH368" s="1900"/>
      <c r="FI368" s="120"/>
      <c r="FJ368" s="108"/>
      <c r="FK368" s="1901" t="s">
        <v>1180</v>
      </c>
      <c r="FL368" s="1902"/>
      <c r="FM368" s="1902"/>
      <c r="FN368" s="1902"/>
      <c r="FO368" s="1903"/>
      <c r="FQ368" s="1907" t="s">
        <v>24</v>
      </c>
      <c r="FR368" s="1908"/>
      <c r="FS368" s="1908"/>
      <c r="FT368" s="1908"/>
      <c r="FU368" s="1909"/>
      <c r="FW368" s="1160" t="str">
        <f t="shared" si="220"/>
        <v>指摘の具体的内容等</v>
      </c>
      <c r="FX368" s="123"/>
      <c r="FY368" s="123"/>
      <c r="FZ368" s="1161"/>
      <c r="GA368" s="34"/>
      <c r="GB368" s="123"/>
      <c r="GC368" s="123"/>
      <c r="GE368" s="123"/>
      <c r="GF368" s="123"/>
      <c r="GG368" s="123"/>
      <c r="GH368" s="123"/>
      <c r="GI368" s="123"/>
      <c r="GJ368" s="123"/>
      <c r="GK368" s="123"/>
      <c r="GL368" s="123"/>
      <c r="GM368" s="123"/>
      <c r="GN368" s="123"/>
      <c r="GO368" s="123"/>
      <c r="GP368" s="123"/>
      <c r="GQ368" s="123"/>
      <c r="GR368" s="123"/>
      <c r="GS368" s="123"/>
      <c r="GT368" s="123"/>
      <c r="GU368" s="123"/>
      <c r="GV368" s="167"/>
      <c r="GW368" s="123"/>
      <c r="GX368" s="123"/>
      <c r="GY368" s="123"/>
      <c r="HB368" s="123"/>
      <c r="HC368" s="123"/>
      <c r="HD368" s="123"/>
      <c r="HE368" s="123"/>
      <c r="HF368" s="123"/>
      <c r="HG368" s="123"/>
      <c r="HH368" s="123"/>
      <c r="HI368" s="123"/>
      <c r="HJ368" s="123"/>
      <c r="HK368" s="123"/>
      <c r="HL368" s="123"/>
      <c r="HM368" s="123"/>
      <c r="HN368" s="123"/>
      <c r="HO368" s="123"/>
      <c r="HP368" s="123"/>
      <c r="HQ368" s="123"/>
      <c r="HR368" s="123"/>
      <c r="HS368" s="167"/>
      <c r="HT368" s="1703"/>
      <c r="HU368" s="1703"/>
      <c r="HV368" s="1703"/>
      <c r="HW368" s="1703"/>
      <c r="HX368" s="1703"/>
    </row>
    <row r="369" spans="1:232" s="69" customFormat="1" ht="36" customHeight="1" thickBot="1">
      <c r="A369" s="645"/>
      <c r="B369" s="645"/>
      <c r="C369" s="645"/>
      <c r="D369" s="645"/>
      <c r="E369" s="646"/>
      <c r="F369" s="381"/>
      <c r="G369" s="381"/>
      <c r="H369" s="381"/>
      <c r="I369" s="123"/>
      <c r="J369" s="88"/>
      <c r="K369" s="89"/>
      <c r="L369" s="89"/>
      <c r="M369" s="1976"/>
      <c r="N369" s="1976"/>
      <c r="O369" s="1976"/>
      <c r="P369" s="1976"/>
      <c r="Q369" s="1976"/>
      <c r="R369" s="1976"/>
      <c r="S369" s="1976"/>
      <c r="T369" s="1976"/>
      <c r="U369" s="1976"/>
      <c r="V369" s="1976"/>
      <c r="W369" s="1976"/>
      <c r="X369" s="1976"/>
      <c r="Y369" s="1976"/>
      <c r="Z369" s="1976"/>
      <c r="AA369" s="1976"/>
      <c r="AB369" s="1976"/>
      <c r="AC369" s="1976"/>
      <c r="AD369" s="1976"/>
      <c r="AE369" s="1976"/>
      <c r="AF369" s="1976"/>
      <c r="AG369" s="1976"/>
      <c r="AH369" s="1976"/>
      <c r="AI369" s="1976"/>
      <c r="AJ369" s="1976"/>
      <c r="AK369" s="1976"/>
      <c r="AL369" s="1976"/>
      <c r="AM369" s="1976"/>
      <c r="AN369" s="1976"/>
      <c r="AO369" s="1976"/>
      <c r="AP369" s="1976"/>
      <c r="AQ369" s="1976"/>
      <c r="AR369" s="1976"/>
      <c r="AS369" s="1976"/>
      <c r="AT369" s="2004"/>
      <c r="AU369" s="2004"/>
      <c r="AV369" s="2004"/>
      <c r="AW369" s="2004"/>
      <c r="AX369" s="2004"/>
      <c r="AY369" s="2004"/>
      <c r="AZ369" s="2004"/>
      <c r="BA369" s="2004"/>
      <c r="BB369" s="2004"/>
      <c r="BC369" s="2004"/>
      <c r="BD369" s="2004"/>
      <c r="BE369" s="2004"/>
      <c r="BF369" s="2004"/>
      <c r="BG369" s="2004"/>
      <c r="BH369" s="2004"/>
      <c r="BI369" s="2004"/>
      <c r="BJ369" s="2004"/>
      <c r="BK369" s="2004"/>
      <c r="BL369" s="2004"/>
      <c r="BM369" s="2004"/>
      <c r="BN369" s="2004"/>
      <c r="BO369" s="2004"/>
      <c r="BP369" s="2004"/>
      <c r="BQ369" s="2004"/>
      <c r="BR369" s="2004"/>
      <c r="BS369" s="1976" t="s">
        <v>865</v>
      </c>
      <c r="BT369" s="1976"/>
      <c r="BU369" s="1976"/>
      <c r="BV369" s="1977" t="s">
        <v>383</v>
      </c>
      <c r="BW369" s="1977"/>
      <c r="BX369" s="1977"/>
      <c r="BY369" s="1977" t="s">
        <v>1700</v>
      </c>
      <c r="BZ369" s="1978"/>
      <c r="CA369" s="1978"/>
      <c r="CB369" s="2122"/>
      <c r="CC369" s="2122"/>
      <c r="CD369" s="2122"/>
      <c r="CE369" s="2122"/>
      <c r="CF369" s="2122"/>
      <c r="CG369" s="2122"/>
      <c r="CH369" s="2122"/>
      <c r="CI369" s="2122"/>
      <c r="CJ369" s="2122"/>
      <c r="CK369" s="2122"/>
      <c r="CL369" s="2122"/>
      <c r="CM369" s="2122"/>
      <c r="CN369" s="2122"/>
      <c r="CO369" s="2122"/>
      <c r="CP369" s="2122"/>
      <c r="CQ369" s="2122"/>
      <c r="CR369" s="2122"/>
      <c r="CS369" s="2122"/>
      <c r="CT369" s="2122"/>
      <c r="CU369" s="2123"/>
      <c r="CV369" s="108"/>
      <c r="CW369" s="108"/>
      <c r="CX369" s="108"/>
      <c r="CY369" s="108"/>
      <c r="CZ369" s="108"/>
      <c r="DA369" s="108"/>
      <c r="DB369" s="108"/>
      <c r="DC369" s="35"/>
      <c r="DD369" s="381"/>
      <c r="DE369" s="34"/>
      <c r="DF369" s="34"/>
      <c r="DG369" s="34"/>
      <c r="DH369" s="34"/>
      <c r="DI369" s="34"/>
      <c r="DJ369" s="1695" t="s">
        <v>5640</v>
      </c>
      <c r="DK369" s="1706" t="s">
        <v>5639</v>
      </c>
      <c r="DL369" s="1696" t="s">
        <v>5641</v>
      </c>
      <c r="DM369" s="512" t="s">
        <v>347</v>
      </c>
      <c r="DN369" s="471" t="s">
        <v>348</v>
      </c>
      <c r="DO369" s="471" t="s">
        <v>349</v>
      </c>
      <c r="DP369" s="472" t="s">
        <v>350</v>
      </c>
      <c r="DQ369" s="192" t="s">
        <v>863</v>
      </c>
      <c r="DR369" s="470" t="s">
        <v>754</v>
      </c>
      <c r="DS369" s="514" t="s">
        <v>753</v>
      </c>
      <c r="DT369" s="479" t="s">
        <v>746</v>
      </c>
      <c r="DU369" s="481" t="s">
        <v>920</v>
      </c>
      <c r="DV369" s="522" t="s">
        <v>912</v>
      </c>
      <c r="DW369" s="529" t="s">
        <v>695</v>
      </c>
      <c r="DX369" s="2490"/>
      <c r="DY369" s="1973"/>
      <c r="DZ369" s="1975"/>
      <c r="EA369" s="2486"/>
      <c r="EB369" s="235" t="s">
        <v>950</v>
      </c>
      <c r="EC369" s="228" t="s">
        <v>949</v>
      </c>
      <c r="ED369" s="228" t="s">
        <v>943</v>
      </c>
      <c r="EE369" s="215" t="s">
        <v>944</v>
      </c>
      <c r="EF369" s="216" t="s">
        <v>945</v>
      </c>
      <c r="EG369" s="214" t="s">
        <v>941</v>
      </c>
      <c r="EH369" s="215" t="s">
        <v>942</v>
      </c>
      <c r="EI369" s="228" t="s">
        <v>943</v>
      </c>
      <c r="EJ369" s="215" t="s">
        <v>944</v>
      </c>
      <c r="EK369" s="450" t="s">
        <v>945</v>
      </c>
      <c r="EL369" s="223" t="s">
        <v>358</v>
      </c>
      <c r="EM369" s="112" t="s">
        <v>693</v>
      </c>
      <c r="EN369" s="220" t="s">
        <v>694</v>
      </c>
      <c r="EO369" s="35"/>
      <c r="EP369" s="313"/>
      <c r="EQ369" s="313"/>
      <c r="ER369" s="313"/>
      <c r="ES369" s="309"/>
      <c r="ET369" s="35"/>
      <c r="EU369" s="309"/>
      <c r="EV369" s="309"/>
      <c r="EW369" s="309"/>
      <c r="EX369" s="309"/>
      <c r="EY369" s="310"/>
      <c r="EZ369" s="310"/>
      <c r="FA369" s="310"/>
      <c r="FB369" s="310"/>
      <c r="FC369" s="310"/>
      <c r="FD369" s="310"/>
      <c r="FE369" s="310"/>
      <c r="FF369" s="310"/>
      <c r="FG369" s="310"/>
      <c r="FH369" s="310"/>
      <c r="FI369" s="120"/>
      <c r="FJ369" s="108"/>
      <c r="FK369" s="1904"/>
      <c r="FL369" s="1905"/>
      <c r="FM369" s="1905"/>
      <c r="FN369" s="1905"/>
      <c r="FO369" s="1906"/>
      <c r="FQ369" s="235" t="s">
        <v>950</v>
      </c>
      <c r="FR369" s="228" t="s">
        <v>949</v>
      </c>
      <c r="FS369" s="228" t="s">
        <v>943</v>
      </c>
      <c r="FT369" s="215" t="s">
        <v>944</v>
      </c>
      <c r="FU369" s="415" t="s">
        <v>945</v>
      </c>
      <c r="FW369" s="1160">
        <f t="shared" si="220"/>
        <v>0</v>
      </c>
      <c r="FX369" s="123"/>
      <c r="FY369" s="123"/>
      <c r="FZ369" s="1161"/>
      <c r="GA369" s="34"/>
      <c r="GB369" s="123"/>
      <c r="GC369" s="123"/>
      <c r="GE369" s="1165"/>
      <c r="GF369" s="1165"/>
      <c r="GG369" s="1165"/>
      <c r="GH369" s="1165"/>
      <c r="GI369" s="1165"/>
      <c r="GJ369" s="1165"/>
      <c r="GK369" s="1165"/>
      <c r="GL369" s="1165"/>
      <c r="GM369" s="1165"/>
      <c r="GN369" s="1165"/>
      <c r="GO369" s="1165"/>
      <c r="GP369" s="1165"/>
      <c r="GQ369" s="1165"/>
      <c r="GR369" s="1165"/>
      <c r="GS369" s="1165"/>
      <c r="GT369" s="1165"/>
      <c r="GU369" s="1165"/>
      <c r="GV369" s="1165"/>
      <c r="GW369" s="123"/>
      <c r="GX369" s="123"/>
      <c r="GY369" s="123"/>
      <c r="HB369" s="1165"/>
      <c r="HC369" s="1165"/>
      <c r="HD369" s="1165"/>
      <c r="HE369" s="1165"/>
      <c r="HF369" s="1165"/>
      <c r="HG369" s="1165"/>
      <c r="HH369" s="1165"/>
      <c r="HI369" s="1165"/>
      <c r="HJ369" s="1165"/>
      <c r="HK369" s="1165"/>
      <c r="HL369" s="1165"/>
      <c r="HM369" s="1165"/>
      <c r="HN369" s="1165"/>
      <c r="HO369" s="1165"/>
      <c r="HP369" s="1165"/>
      <c r="HQ369" s="1165"/>
      <c r="HR369" s="1165"/>
      <c r="HT369" s="1704"/>
      <c r="HU369" s="1704"/>
      <c r="HV369" s="1704"/>
      <c r="HW369" s="1704"/>
      <c r="HX369" s="1704"/>
    </row>
    <row r="370" spans="1:232" s="69" customFormat="1" ht="50.15" customHeight="1">
      <c r="A370" s="645"/>
      <c r="B370" s="645"/>
      <c r="C370" s="645"/>
      <c r="D370" s="645"/>
      <c r="E370" s="646"/>
      <c r="F370" s="381"/>
      <c r="G370" s="381"/>
      <c r="H370" s="381"/>
      <c r="I370" s="1169"/>
      <c r="J370" s="80"/>
      <c r="K370" s="89"/>
      <c r="L370" s="89"/>
      <c r="M370" s="1967" t="s">
        <v>1222</v>
      </c>
      <c r="N370" s="1967"/>
      <c r="O370" s="1968"/>
      <c r="P370" s="2016" t="s">
        <v>82</v>
      </c>
      <c r="Q370" s="2027"/>
      <c r="R370" s="1966" t="s">
        <v>227</v>
      </c>
      <c r="S370" s="1966"/>
      <c r="T370" s="1966"/>
      <c r="U370" s="1966"/>
      <c r="V370" s="1966"/>
      <c r="W370" s="1966"/>
      <c r="X370" s="1966"/>
      <c r="Y370" s="1966"/>
      <c r="Z370" s="1966"/>
      <c r="AA370" s="1966"/>
      <c r="AB370" s="1966"/>
      <c r="AC370" s="1966"/>
      <c r="AD370" s="1966"/>
      <c r="AE370" s="1966"/>
      <c r="AF370" s="1995"/>
      <c r="AG370" s="1995"/>
      <c r="AH370" s="1995"/>
      <c r="AI370" s="1995"/>
      <c r="AJ370" s="1995"/>
      <c r="AK370" s="1995"/>
      <c r="AL370" s="1995"/>
      <c r="AM370" s="1995"/>
      <c r="AN370" s="1995"/>
      <c r="AO370" s="1995"/>
      <c r="AP370" s="1995"/>
      <c r="AQ370" s="1995"/>
      <c r="AR370" s="1957"/>
      <c r="AS370" s="1957"/>
      <c r="AT370" s="1928"/>
      <c r="AU370" s="1928"/>
      <c r="AV370" s="1928"/>
      <c r="AW370" s="1928"/>
      <c r="AX370" s="1928"/>
      <c r="AY370" s="1928"/>
      <c r="AZ370" s="1928"/>
      <c r="BA370" s="1928"/>
      <c r="BB370" s="1928"/>
      <c r="BC370" s="1928"/>
      <c r="BD370" s="1928"/>
      <c r="BE370" s="1928"/>
      <c r="BF370" s="1928"/>
      <c r="BG370" s="1928"/>
      <c r="BH370" s="1928"/>
      <c r="BI370" s="1928"/>
      <c r="BJ370" s="1928"/>
      <c r="BK370" s="1928"/>
      <c r="BL370" s="1928"/>
      <c r="BM370" s="1928"/>
      <c r="BN370" s="1928"/>
      <c r="BO370" s="1928"/>
      <c r="BP370" s="1928"/>
      <c r="BQ370" s="1928"/>
      <c r="BR370" s="1928"/>
      <c r="BS370" s="1998"/>
      <c r="BT370" s="1998"/>
      <c r="BU370" s="1998"/>
      <c r="BV370" s="1989"/>
      <c r="BW370" s="1989"/>
      <c r="BX370" s="1989"/>
      <c r="BY370" s="1989"/>
      <c r="BZ370" s="1990"/>
      <c r="CA370" s="1990"/>
      <c r="CB370" s="2031" t="s">
        <v>2831</v>
      </c>
      <c r="CC370" s="2032"/>
      <c r="CD370" s="2032"/>
      <c r="CE370" s="2032"/>
      <c r="CF370" s="2032"/>
      <c r="CG370" s="2032"/>
      <c r="CH370" s="2032"/>
      <c r="CI370" s="2032"/>
      <c r="CJ370" s="2032"/>
      <c r="CK370" s="2032"/>
      <c r="CL370" s="2032"/>
      <c r="CM370" s="2032"/>
      <c r="CN370" s="2032"/>
      <c r="CO370" s="2032"/>
      <c r="CP370" s="2032"/>
      <c r="CQ370" s="2032"/>
      <c r="CR370" s="2032"/>
      <c r="CS370" s="2032"/>
      <c r="CT370" s="2032"/>
      <c r="CU370" s="2033"/>
      <c r="CV370" s="2360" t="str">
        <f t="shared" ref="CV370:CV416" si="301">IF(AND(DT370="要是正",DU370&lt;21),HYPERLINK("#"&amp;EL370&amp;"!"&amp;EM370&amp;":"&amp;EN370&amp;"","関連写真添付"),"")</f>
        <v/>
      </c>
      <c r="CW370" s="2360"/>
      <c r="CX370" s="2360"/>
      <c r="CY370" s="2360"/>
      <c r="CZ370" s="2360"/>
      <c r="DA370" s="2360"/>
      <c r="DC370" s="600" t="str">
        <f t="shared" ref="DC370:DC404" si="302">IF(AND(DU370&lt;&gt;"",DU370&gt;20),"「別途様式を作成、提出してください。」","")</f>
        <v/>
      </c>
      <c r="DD370" s="381"/>
      <c r="DF370" s="34"/>
      <c r="DG370" s="34"/>
      <c r="DH370" s="34"/>
      <c r="DI370" s="34"/>
      <c r="DJ370" s="858" t="s">
        <v>5637</v>
      </c>
      <c r="DK370" s="1707" t="str">
        <f>IF(DS370=2,DATE(VLOOKUP(DJ370,$DU$6:$DV$9,2,FALSE)+BS370,BV370,1),"")</f>
        <v/>
      </c>
      <c r="DL370" s="1692" t="str">
        <f>IF(DS370=2,DJ370&amp;BS370&amp;"."&amp;BV370,"")</f>
        <v/>
      </c>
      <c r="DM370" s="1691">
        <f t="shared" ref="DM370:DM401" si="303">COUNTIFS(AF370,"―対象外")</f>
        <v>0</v>
      </c>
      <c r="DN370" s="111">
        <f t="shared" ref="DN370:DN416" si="304">COUNTIFS(AF370,"○指摘なし")</f>
        <v>0</v>
      </c>
      <c r="DO370" s="111">
        <f t="shared" ref="DO370:DO416" si="305">COUNTIFS(AF370,"×要是正（既存不適格以外）")</f>
        <v>0</v>
      </c>
      <c r="DP370" s="474">
        <f t="shared" ref="DP370:DP416" si="306">COUNTIFS(AF370,"△既存不適格")</f>
        <v>0</v>
      </c>
      <c r="DQ370" s="123" t="s">
        <v>764</v>
      </c>
      <c r="DR370" s="473" t="str">
        <f t="shared" ref="DR370:DR416" si="307">IF($U370="",R370,U370)</f>
        <v>令第112条第11項から第13項までに規定する区画の状況</v>
      </c>
      <c r="DS370" s="112">
        <f t="shared" ref="DS370:DS416" si="308">COUNTA(BS370:BX370)</f>
        <v>0</v>
      </c>
      <c r="DT370" s="118" t="str">
        <f t="shared" ref="DT370:DT416" si="309">IF(AF370="×要是正（既存不適格以外）","要是正","")&amp;IF(AF370="△既存不適格","既存不適格","")</f>
        <v/>
      </c>
      <c r="DU370" s="452" t="str">
        <f t="shared" ref="DU370:DU421" si="310">IF(HV370="","",HV370)</f>
        <v/>
      </c>
      <c r="DV370" s="151" t="str">
        <f>IF($DT370="要是正",MAX($DV$366:DV367)+1,"")</f>
        <v/>
      </c>
      <c r="DW370" s="119" t="str">
        <f t="shared" ref="DW370:DW416" si="311">IF(OR(AF370="×要是正（既存不適格以外）",AF370="△既存不適格"),DQ370,"")</f>
        <v/>
      </c>
      <c r="DX370" s="119" t="str">
        <f t="shared" ref="DX370:DX412" si="312">IF(OR($DT370="要是正",$DT370="既存不適格"),$DR370,"")</f>
        <v/>
      </c>
      <c r="DY370" s="33" t="str">
        <f t="shared" ref="DY370:DY412" si="313">IF($DT370="要是正",IF(AT370="","",DQ370 &amp;" " &amp; AT370),"")</f>
        <v/>
      </c>
      <c r="DZ370" s="217" t="str">
        <f t="shared" ref="DZ370:DZ416" si="314">IF($DT370="要是正",IF(BD370="","",BD370),"")</f>
        <v/>
      </c>
      <c r="EA370" s="466" t="str">
        <f t="shared" ref="EA370:EA421" si="315">IF(BY370="未定","未定",IF(FR370="0","",IF(BY370="予定","("&amp;DL370&amp;")",IF(BY370="改善済",DL370,DL370))))</f>
        <v/>
      </c>
      <c r="EB370" s="234" t="str">
        <f t="shared" ref="EB370:EB421" si="316">IF(OR(DT370="要是正",DT370="既存不適格"),IF(OR(DS370&lt;2,BY370&lt;&gt;"予定"),"",DK370),"")</f>
        <v/>
      </c>
      <c r="EC370" s="227" t="str">
        <f t="shared" ref="EC370:EC421" si="317">IF(EB370="","0",EB370)</f>
        <v>0</v>
      </c>
      <c r="ED370" s="148" t="str">
        <f>IF(DT370="要是正",IF(AND(BY370="予定",DS370=2),1,IF(BY370="改善済",2,"")),"")</f>
        <v/>
      </c>
      <c r="EE370" s="227" t="str">
        <f>IF(ED370=1,EC370,"0")</f>
        <v>0</v>
      </c>
      <c r="EF370" s="130" t="str">
        <f t="shared" ref="EF370:EF412" si="318">IF(AND(DT370="要是正",AND(DS370=0,BY370="未定")),BY370,"")</f>
        <v/>
      </c>
      <c r="EG370" s="204" t="str">
        <f t="shared" ref="EG370:EG421" si="319">IF(DT370="既存不適格",IF(OR(DS370&lt;2,BY370&lt;&gt;"予定"),"",DK370),"")</f>
        <v/>
      </c>
      <c r="EH370" s="134" t="str">
        <f t="shared" ref="EH370:EH421" si="320">IF(EG370="","0",EG370)</f>
        <v>0</v>
      </c>
      <c r="EI370" s="148" t="str">
        <f>IF(DT370="既存不適格",IF(AND(BY370="予定",DS370=2),1,IF(BY370="改善済",2,"")),"")</f>
        <v/>
      </c>
      <c r="EJ370" s="227" t="str">
        <f>IF(EI370=1,EH370,"0")</f>
        <v>0</v>
      </c>
      <c r="EK370" s="451" t="str">
        <f t="shared" ref="EK370:EK416" si="321">IF(AND(DT370="既存不適格",AND(DS370=0,BY370="未定")),BY370,"")</f>
        <v/>
      </c>
      <c r="EL370" s="452" t="e">
        <f t="shared" ref="EL370:EL416" si="322">VLOOKUP($DU370,$EO$306:$ER$334,2,FALSE)</f>
        <v>#N/A</v>
      </c>
      <c r="EM370" s="151" t="e">
        <f t="shared" ref="EM370:EM416" si="323">VLOOKUP($DU370,$EO$306:$ER$334,3,FALSE)</f>
        <v>#N/A</v>
      </c>
      <c r="EN370" s="453" t="e">
        <f t="shared" ref="EN370:EN416" si="324">VLOOKUP($DU370,$EO$306:$ER$334,4,FALSE)</f>
        <v>#N/A</v>
      </c>
      <c r="EO370" s="35"/>
      <c r="EP370" s="35"/>
      <c r="EQ370" s="35"/>
      <c r="ER370" s="35"/>
      <c r="ES370" s="35"/>
      <c r="ET370" s="35"/>
      <c r="EU370" s="35"/>
      <c r="EV370" s="35"/>
      <c r="EW370" s="35"/>
      <c r="EX370" s="35"/>
      <c r="EY370" s="35"/>
      <c r="EZ370" s="35"/>
      <c r="FA370" s="35"/>
      <c r="FB370" s="35"/>
      <c r="FC370" s="35"/>
      <c r="FD370" s="35"/>
      <c r="FE370" s="35"/>
      <c r="FF370" s="35"/>
      <c r="FG370" s="35"/>
      <c r="FH370" s="35"/>
      <c r="FI370" s="35"/>
      <c r="FK370" s="597" t="str">
        <f t="shared" ref="FK370:FK401" si="325">IF($AF370="○指摘なし","○",IF($AF370="―対象外","―",""))</f>
        <v/>
      </c>
      <c r="FL370" s="597" t="str">
        <f t="shared" si="71"/>
        <v/>
      </c>
      <c r="FM370" s="597" t="str">
        <f t="shared" si="72"/>
        <v/>
      </c>
      <c r="FN370" s="597">
        <f t="shared" ref="FN370:FN416" si="326">AR370</f>
        <v>0</v>
      </c>
      <c r="FO370" s="1163" t="str">
        <f t="shared" ref="FO370:FO401" si="327">IF($AF370="―対象外","○","")</f>
        <v/>
      </c>
      <c r="FQ370" s="234" t="str">
        <f t="shared" ref="FQ370:FQ421" si="328">IF(NOT(OR(BY370="未定",BY370="")),DK370,"")</f>
        <v/>
      </c>
      <c r="FR370" s="227" t="str">
        <f t="shared" ref="FR370:FR421" si="329">IF(FQ370="","0",FQ370)</f>
        <v>0</v>
      </c>
      <c r="FS370" s="148" t="str">
        <f t="shared" ref="FS370:FS412" si="330">IF(OR(BY370="予定",BY370="改善済"),1,"")</f>
        <v/>
      </c>
      <c r="FT370" s="227" t="str">
        <f>IF(FS370=1,FR370,"0")</f>
        <v>0</v>
      </c>
      <c r="FU370" s="416" t="str">
        <f t="shared" ref="FU370:FU412" si="331">IF(AND(FM370="要是正",AND(FL370=0,DR370="未定")),DR370,"")</f>
        <v/>
      </c>
      <c r="FW370" s="1160">
        <f t="shared" si="220"/>
        <v>0</v>
      </c>
      <c r="FX370" s="123"/>
      <c r="FY370" s="123"/>
      <c r="FZ370" s="1161"/>
      <c r="GA370" s="34"/>
      <c r="GB370" s="1149">
        <f t="shared" si="79"/>
        <v>0</v>
      </c>
      <c r="GC370" s="1149">
        <f t="shared" si="80"/>
        <v>0</v>
      </c>
      <c r="GD370" s="1149">
        <f t="shared" si="81"/>
        <v>0</v>
      </c>
      <c r="GE370" s="1149" t="str">
        <f t="shared" ref="GE370:GE401" si="332">IF(GE$306=$M370,$BY$512,"")</f>
        <v/>
      </c>
      <c r="GF370" s="1149" t="str">
        <f t="shared" ref="GF370:GF401" si="333">IF(GF$306=$M370,$BY$513,"")</f>
        <v/>
      </c>
      <c r="GG370" s="1149" t="str">
        <f t="shared" ref="GG370:GG401" si="334">IF(GG$306=$M370,$BY$514,"")</f>
        <v/>
      </c>
      <c r="GH370" s="1149" t="str">
        <f t="shared" ref="GH370:GH401" si="335">IF(GH$306=$M370,$BY$515,"")</f>
        <v/>
      </c>
      <c r="GI370" s="1149" t="str">
        <f t="shared" ref="GI370:GI401" si="336">IF(GI$306=$M370,$BY$516,"")</f>
        <v/>
      </c>
      <c r="GJ370" s="1149" t="str">
        <f t="shared" ref="GJ370:GJ401" si="337">IF(GJ$306=$M370,$BY$517,"")</f>
        <v/>
      </c>
      <c r="GK370" s="1149" t="str">
        <f t="shared" ref="GK370:GK401" si="338">IF(GK$306=$M370,$BY$518,"")</f>
        <v/>
      </c>
      <c r="GL370" s="1149" t="str">
        <f t="shared" ref="GL370:GL401" si="339">IF(GL$306=$M370,$BY$519,"")</f>
        <v/>
      </c>
      <c r="GM370" s="1149" t="str">
        <f t="shared" ref="GM370:GM401" si="340">IF(GM$306=$M370,$BY$520,"")</f>
        <v/>
      </c>
      <c r="GN370" s="1149" t="str">
        <f t="shared" ref="GN370:GN401" si="341">IF(GN$306=$M370,$BY$521,"")</f>
        <v/>
      </c>
      <c r="GO370" s="1149" t="str">
        <f t="shared" ref="GO370:GO401" si="342">IF(GO$306=$M370,$BY$522,"")</f>
        <v/>
      </c>
      <c r="GP370" s="1149" t="str">
        <f t="shared" ref="GP370:GP401" si="343">IF(GP$306=$M370,$BY$523,"")</f>
        <v/>
      </c>
      <c r="GQ370" s="1149" t="str">
        <f t="shared" ref="GQ370:GQ401" si="344">IF(GQ$306=$M370,$BY$524,"")</f>
        <v/>
      </c>
      <c r="GR370" s="1149" t="str">
        <f t="shared" ref="GR370:GR401" si="345">IF(GR$306=$M370,$BY$525,"")</f>
        <v/>
      </c>
      <c r="GS370" s="1149" t="str">
        <f t="shared" ref="GS370:GS401" si="346">IF(GS$306=$M370,$BY$526,"")</f>
        <v/>
      </c>
      <c r="GT370" s="1149">
        <f t="shared" si="82"/>
        <v>0</v>
      </c>
      <c r="GU370" s="1149">
        <f t="shared" si="83"/>
        <v>0</v>
      </c>
      <c r="GV370" s="1149">
        <f t="shared" si="84"/>
        <v>0</v>
      </c>
      <c r="GW370" s="1149" t="b">
        <f t="shared" si="85"/>
        <v>0</v>
      </c>
      <c r="GX370" s="1149" t="b">
        <f t="shared" si="86"/>
        <v>0</v>
      </c>
      <c r="GY370" s="1149" t="b">
        <f t="shared" si="87"/>
        <v>0</v>
      </c>
      <c r="GZ370" s="1149" t="str">
        <f t="shared" si="180"/>
        <v/>
      </c>
      <c r="HB370" s="1149" t="str">
        <f t="shared" si="89"/>
        <v/>
      </c>
      <c r="HC370" s="1149" t="str">
        <f t="shared" si="90"/>
        <v/>
      </c>
      <c r="HD370" s="1149" t="str">
        <f t="shared" si="91"/>
        <v/>
      </c>
      <c r="HE370" s="1149" t="str">
        <f t="shared" si="92"/>
        <v/>
      </c>
      <c r="HF370" s="1149" t="str">
        <f t="shared" si="93"/>
        <v/>
      </c>
      <c r="HG370" s="1149" t="str">
        <f t="shared" si="94"/>
        <v/>
      </c>
      <c r="HH370" s="1149" t="str">
        <f t="shared" si="95"/>
        <v/>
      </c>
      <c r="HI370" s="1149" t="str">
        <f t="shared" si="96"/>
        <v/>
      </c>
      <c r="HJ370" s="1149" t="str">
        <f t="shared" si="97"/>
        <v/>
      </c>
      <c r="HK370" s="1149" t="str">
        <f t="shared" si="98"/>
        <v/>
      </c>
      <c r="HL370" s="1149" t="str">
        <f t="shared" si="99"/>
        <v/>
      </c>
      <c r="HM370" s="1149" t="str">
        <f t="shared" si="100"/>
        <v/>
      </c>
      <c r="HN370" s="1149" t="str">
        <f t="shared" si="101"/>
        <v/>
      </c>
      <c r="HO370" s="1149" t="str">
        <f t="shared" si="102"/>
        <v/>
      </c>
      <c r="HP370" s="1149" t="str">
        <f t="shared" si="103"/>
        <v/>
      </c>
      <c r="HQ370" s="1149" t="str">
        <f t="shared" si="104"/>
        <v/>
      </c>
      <c r="HR370" s="1149" t="str">
        <f t="shared" si="105"/>
        <v/>
      </c>
      <c r="HT370" s="1149">
        <f>LEFT(M370,1)*10000+MID(M370,3,LEN(M370)-3)*100+COUNTIF($M$307:M370,M370)</f>
        <v>40101</v>
      </c>
      <c r="HU370" s="1149" t="str">
        <f t="shared" si="106"/>
        <v/>
      </c>
      <c r="HV370" s="1149" t="str">
        <f t="shared" si="107"/>
        <v/>
      </c>
      <c r="HW370" s="1149" t="str">
        <f t="shared" si="108"/>
        <v/>
      </c>
      <c r="HX370" s="1149" t="str">
        <f t="shared" si="109"/>
        <v/>
      </c>
    </row>
    <row r="371" spans="1:232" s="69" customFormat="1" ht="50.15" customHeight="1">
      <c r="A371" s="645"/>
      <c r="B371" s="645"/>
      <c r="C371" s="645"/>
      <c r="D371" s="645"/>
      <c r="E371" s="646"/>
      <c r="F371" s="381"/>
      <c r="G371" s="381"/>
      <c r="H371" s="381"/>
      <c r="I371" s="1169"/>
      <c r="J371" s="80"/>
      <c r="K371" s="89"/>
      <c r="L371" s="89"/>
      <c r="M371" s="1967" t="s">
        <v>1223</v>
      </c>
      <c r="N371" s="1967"/>
      <c r="O371" s="1968"/>
      <c r="P371" s="2027"/>
      <c r="Q371" s="2027"/>
      <c r="R371" s="1966" t="s">
        <v>228</v>
      </c>
      <c r="S371" s="1966"/>
      <c r="T371" s="1966"/>
      <c r="U371" s="1966"/>
      <c r="V371" s="1966"/>
      <c r="W371" s="1966"/>
      <c r="X371" s="1966"/>
      <c r="Y371" s="1966"/>
      <c r="Z371" s="1966"/>
      <c r="AA371" s="1966"/>
      <c r="AB371" s="1966"/>
      <c r="AC371" s="1966"/>
      <c r="AD371" s="1966"/>
      <c r="AE371" s="1966"/>
      <c r="AF371" s="2013"/>
      <c r="AG371" s="2014"/>
      <c r="AH371" s="2014"/>
      <c r="AI371" s="2014"/>
      <c r="AJ371" s="2014"/>
      <c r="AK371" s="2014"/>
      <c r="AL371" s="2014"/>
      <c r="AM371" s="2014"/>
      <c r="AN371" s="2014"/>
      <c r="AO371" s="2014"/>
      <c r="AP371" s="2014"/>
      <c r="AQ371" s="2015"/>
      <c r="AR371" s="1957"/>
      <c r="AS371" s="1957"/>
      <c r="AT371" s="1928"/>
      <c r="AU371" s="1928"/>
      <c r="AV371" s="1928"/>
      <c r="AW371" s="1928"/>
      <c r="AX371" s="1928"/>
      <c r="AY371" s="1928"/>
      <c r="AZ371" s="1928"/>
      <c r="BA371" s="1928"/>
      <c r="BB371" s="1928"/>
      <c r="BC371" s="1928"/>
      <c r="BD371" s="1928"/>
      <c r="BE371" s="1928"/>
      <c r="BF371" s="1928"/>
      <c r="BG371" s="1928"/>
      <c r="BH371" s="1928"/>
      <c r="BI371" s="1928"/>
      <c r="BJ371" s="1928"/>
      <c r="BK371" s="1928"/>
      <c r="BL371" s="1928"/>
      <c r="BM371" s="1928"/>
      <c r="BN371" s="1928"/>
      <c r="BO371" s="1928"/>
      <c r="BP371" s="1928"/>
      <c r="BQ371" s="1928"/>
      <c r="BR371" s="1928"/>
      <c r="BS371" s="1998"/>
      <c r="BT371" s="1998"/>
      <c r="BU371" s="1998"/>
      <c r="BV371" s="1989"/>
      <c r="BW371" s="1989"/>
      <c r="BX371" s="1989"/>
      <c r="BY371" s="1989"/>
      <c r="BZ371" s="1990"/>
      <c r="CA371" s="1990"/>
      <c r="CB371" s="2361" t="s">
        <v>2819</v>
      </c>
      <c r="CC371" s="2362"/>
      <c r="CD371" s="2362"/>
      <c r="CE371" s="2362"/>
      <c r="CF371" s="2362"/>
      <c r="CG371" s="2362"/>
      <c r="CH371" s="2362"/>
      <c r="CI371" s="2362"/>
      <c r="CJ371" s="2362"/>
      <c r="CK371" s="2362"/>
      <c r="CL371" s="2362"/>
      <c r="CM371" s="2362"/>
      <c r="CN371" s="2362"/>
      <c r="CO371" s="2362"/>
      <c r="CP371" s="2362"/>
      <c r="CQ371" s="2362"/>
      <c r="CR371" s="2362"/>
      <c r="CS371" s="2362"/>
      <c r="CT371" s="2362"/>
      <c r="CU371" s="2363"/>
      <c r="CV371" s="2360" t="str">
        <f t="shared" si="301"/>
        <v/>
      </c>
      <c r="CW371" s="2360"/>
      <c r="CX371" s="2360"/>
      <c r="CY371" s="2360"/>
      <c r="CZ371" s="2360"/>
      <c r="DA371" s="2360"/>
      <c r="DC371" s="600" t="str">
        <f t="shared" si="302"/>
        <v/>
      </c>
      <c r="DD371" s="381"/>
      <c r="DF371" s="34"/>
      <c r="DG371" s="34"/>
      <c r="DH371" s="34"/>
      <c r="DI371" s="34"/>
      <c r="DJ371" s="858" t="s">
        <v>5637</v>
      </c>
      <c r="DK371" s="1707" t="str">
        <f t="shared" ref="DK371:DK421" si="347">IF(DS371=2,DATE(VLOOKUP(DJ371,$DU$6:$DV$9,2,FALSE)+BS371,BV371,1),"")</f>
        <v/>
      </c>
      <c r="DL371" s="1692" t="str">
        <f t="shared" ref="DL371:DL421" si="348">IF(DS371=2,DJ371&amp;BS371&amp;"."&amp;BV371,"")</f>
        <v/>
      </c>
      <c r="DM371" s="1691">
        <f t="shared" si="303"/>
        <v>0</v>
      </c>
      <c r="DN371" s="111">
        <f t="shared" si="304"/>
        <v>0</v>
      </c>
      <c r="DO371" s="111">
        <f t="shared" si="305"/>
        <v>0</v>
      </c>
      <c r="DP371" s="474">
        <f t="shared" si="306"/>
        <v>0</v>
      </c>
      <c r="DQ371" s="123" t="s">
        <v>765</v>
      </c>
      <c r="DR371" s="473" t="str">
        <f t="shared" si="307"/>
        <v>令第112条第1項、第4項、第5項又は第7項から第10項までの各項に規定する区画の状況</v>
      </c>
      <c r="DS371" s="112">
        <f t="shared" si="308"/>
        <v>0</v>
      </c>
      <c r="DT371" s="118" t="str">
        <f t="shared" si="309"/>
        <v/>
      </c>
      <c r="DU371" s="452" t="str">
        <f t="shared" si="310"/>
        <v/>
      </c>
      <c r="DV371" s="151" t="str">
        <f>IF($DT371="要是正",MAX($DV$366:DV370)+1,"")</f>
        <v/>
      </c>
      <c r="DW371" s="119" t="str">
        <f t="shared" si="311"/>
        <v/>
      </c>
      <c r="DX371" s="119" t="str">
        <f t="shared" si="312"/>
        <v/>
      </c>
      <c r="DY371" s="33" t="str">
        <f t="shared" si="313"/>
        <v/>
      </c>
      <c r="DZ371" s="217" t="str">
        <f t="shared" si="314"/>
        <v/>
      </c>
      <c r="EA371" s="466" t="str">
        <f t="shared" si="315"/>
        <v/>
      </c>
      <c r="EB371" s="234" t="str">
        <f t="shared" si="316"/>
        <v/>
      </c>
      <c r="EC371" s="227" t="str">
        <f t="shared" si="317"/>
        <v>0</v>
      </c>
      <c r="ED371" s="148" t="str">
        <f t="shared" ref="ED371:ED412" si="349">IF(DT371="要是正",IF(AND(BY371="予定",DS371=2),1,IF(BY371="改善済",2,"")),"")</f>
        <v/>
      </c>
      <c r="EE371" s="227" t="str">
        <f t="shared" ref="EE371:EE412" si="350">IF(ED371=1,EC371,"0")</f>
        <v>0</v>
      </c>
      <c r="EF371" s="130" t="str">
        <f t="shared" si="318"/>
        <v/>
      </c>
      <c r="EG371" s="204" t="str">
        <f t="shared" si="319"/>
        <v/>
      </c>
      <c r="EH371" s="134" t="str">
        <f t="shared" si="320"/>
        <v>0</v>
      </c>
      <c r="EI371" s="148" t="str">
        <f t="shared" ref="EI371:EI416" si="351">IF(DT371="既存不適格",IF(AND(BY371="予定",DS371=2),1,IF(BY371="改善済",2,"")),"")</f>
        <v/>
      </c>
      <c r="EJ371" s="227" t="str">
        <f t="shared" ref="EJ371:EJ412" si="352">IF(EI371=1,EH371,"0")</f>
        <v>0</v>
      </c>
      <c r="EK371" s="451" t="str">
        <f t="shared" si="321"/>
        <v/>
      </c>
      <c r="EL371" s="452" t="e">
        <f t="shared" si="322"/>
        <v>#N/A</v>
      </c>
      <c r="EM371" s="151" t="e">
        <f t="shared" si="323"/>
        <v>#N/A</v>
      </c>
      <c r="EN371" s="453" t="e">
        <f t="shared" si="324"/>
        <v>#N/A</v>
      </c>
      <c r="FK371" s="597" t="str">
        <f t="shared" si="325"/>
        <v/>
      </c>
      <c r="FL371" s="597" t="str">
        <f t="shared" si="71"/>
        <v/>
      </c>
      <c r="FM371" s="597" t="str">
        <f t="shared" si="72"/>
        <v/>
      </c>
      <c r="FN371" s="597">
        <f t="shared" si="326"/>
        <v>0</v>
      </c>
      <c r="FO371" s="1163" t="str">
        <f t="shared" si="327"/>
        <v/>
      </c>
      <c r="FQ371" s="234" t="str">
        <f t="shared" si="328"/>
        <v/>
      </c>
      <c r="FR371" s="227" t="str">
        <f t="shared" si="329"/>
        <v>0</v>
      </c>
      <c r="FS371" s="148" t="str">
        <f t="shared" si="330"/>
        <v/>
      </c>
      <c r="FT371" s="227" t="str">
        <f t="shared" ref="FT371:FT416" si="353">IF(FS371=1,FR371,"0")</f>
        <v>0</v>
      </c>
      <c r="FU371" s="416" t="str">
        <f t="shared" si="331"/>
        <v/>
      </c>
      <c r="FW371" s="1160">
        <f t="shared" si="220"/>
        <v>0</v>
      </c>
      <c r="FX371" s="123"/>
      <c r="FY371" s="123"/>
      <c r="FZ371" s="1161"/>
      <c r="GA371" s="34"/>
      <c r="GB371" s="1149">
        <f t="shared" si="79"/>
        <v>0</v>
      </c>
      <c r="GC371" s="1149">
        <f t="shared" si="80"/>
        <v>0</v>
      </c>
      <c r="GD371" s="1149">
        <f t="shared" si="81"/>
        <v>0</v>
      </c>
      <c r="GE371" s="1149" t="str">
        <f t="shared" si="332"/>
        <v/>
      </c>
      <c r="GF371" s="1149" t="str">
        <f t="shared" si="333"/>
        <v/>
      </c>
      <c r="GG371" s="1149" t="str">
        <f t="shared" si="334"/>
        <v/>
      </c>
      <c r="GH371" s="1149" t="str">
        <f t="shared" si="335"/>
        <v/>
      </c>
      <c r="GI371" s="1149" t="str">
        <f t="shared" si="336"/>
        <v/>
      </c>
      <c r="GJ371" s="1149" t="str">
        <f t="shared" si="337"/>
        <v/>
      </c>
      <c r="GK371" s="1149" t="str">
        <f t="shared" si="338"/>
        <v/>
      </c>
      <c r="GL371" s="1149" t="str">
        <f t="shared" si="339"/>
        <v/>
      </c>
      <c r="GM371" s="1149" t="str">
        <f t="shared" si="340"/>
        <v/>
      </c>
      <c r="GN371" s="1149" t="str">
        <f t="shared" si="341"/>
        <v/>
      </c>
      <c r="GO371" s="1149" t="str">
        <f t="shared" si="342"/>
        <v/>
      </c>
      <c r="GP371" s="1149" t="str">
        <f t="shared" si="343"/>
        <v/>
      </c>
      <c r="GQ371" s="1149" t="str">
        <f t="shared" si="344"/>
        <v/>
      </c>
      <c r="GR371" s="1149" t="str">
        <f t="shared" si="345"/>
        <v/>
      </c>
      <c r="GS371" s="1149" t="str">
        <f t="shared" si="346"/>
        <v/>
      </c>
      <c r="GT371" s="1149">
        <f t="shared" si="82"/>
        <v>0</v>
      </c>
      <c r="GU371" s="1149">
        <f t="shared" si="83"/>
        <v>0</v>
      </c>
      <c r="GV371" s="1149">
        <f t="shared" si="84"/>
        <v>0</v>
      </c>
      <c r="GW371" s="1149" t="b">
        <f t="shared" si="85"/>
        <v>0</v>
      </c>
      <c r="GX371" s="1149" t="b">
        <f t="shared" si="86"/>
        <v>0</v>
      </c>
      <c r="GY371" s="1149" t="b">
        <f t="shared" si="87"/>
        <v>0</v>
      </c>
      <c r="GZ371" s="1149" t="str">
        <f t="shared" si="180"/>
        <v/>
      </c>
      <c r="HB371" s="1149" t="str">
        <f t="shared" si="89"/>
        <v/>
      </c>
      <c r="HC371" s="1149" t="str">
        <f t="shared" si="90"/>
        <v/>
      </c>
      <c r="HD371" s="1149" t="str">
        <f t="shared" si="91"/>
        <v/>
      </c>
      <c r="HE371" s="1149" t="str">
        <f t="shared" si="92"/>
        <v/>
      </c>
      <c r="HF371" s="1149" t="str">
        <f t="shared" si="93"/>
        <v/>
      </c>
      <c r="HG371" s="1149" t="str">
        <f t="shared" si="94"/>
        <v/>
      </c>
      <c r="HH371" s="1149" t="str">
        <f t="shared" si="95"/>
        <v/>
      </c>
      <c r="HI371" s="1149" t="str">
        <f t="shared" si="96"/>
        <v/>
      </c>
      <c r="HJ371" s="1149" t="str">
        <f t="shared" si="97"/>
        <v/>
      </c>
      <c r="HK371" s="1149" t="str">
        <f t="shared" si="98"/>
        <v/>
      </c>
      <c r="HL371" s="1149" t="str">
        <f t="shared" si="99"/>
        <v/>
      </c>
      <c r="HM371" s="1149" t="str">
        <f t="shared" si="100"/>
        <v/>
      </c>
      <c r="HN371" s="1149" t="str">
        <f t="shared" si="101"/>
        <v/>
      </c>
      <c r="HO371" s="1149" t="str">
        <f t="shared" si="102"/>
        <v/>
      </c>
      <c r="HP371" s="1149" t="str">
        <f t="shared" si="103"/>
        <v/>
      </c>
      <c r="HQ371" s="1149" t="str">
        <f t="shared" si="104"/>
        <v/>
      </c>
      <c r="HR371" s="1149" t="str">
        <f t="shared" si="105"/>
        <v/>
      </c>
      <c r="HT371" s="1149">
        <f>LEFT(M371,1)*10000+MID(M371,3,LEN(M371)-3)*100+COUNTIF($M$307:M371,M371)</f>
        <v>40201</v>
      </c>
      <c r="HU371" s="1149" t="str">
        <f t="shared" si="106"/>
        <v/>
      </c>
      <c r="HV371" s="1149" t="str">
        <f t="shared" si="107"/>
        <v/>
      </c>
      <c r="HW371" s="1149" t="str">
        <f t="shared" si="108"/>
        <v/>
      </c>
      <c r="HX371" s="1149" t="str">
        <f t="shared" si="109"/>
        <v/>
      </c>
    </row>
    <row r="372" spans="1:232" s="69" customFormat="1" ht="50.15" customHeight="1">
      <c r="A372" s="645"/>
      <c r="B372" s="645"/>
      <c r="C372" s="645"/>
      <c r="D372" s="645"/>
      <c r="E372" s="646"/>
      <c r="F372" s="381"/>
      <c r="G372" s="381"/>
      <c r="H372" s="381"/>
      <c r="I372" s="1169"/>
      <c r="J372" s="80"/>
      <c r="K372" s="89"/>
      <c r="L372" s="89"/>
      <c r="M372" s="1967" t="s">
        <v>1224</v>
      </c>
      <c r="N372" s="1967"/>
      <c r="O372" s="1968"/>
      <c r="P372" s="2027"/>
      <c r="Q372" s="2027"/>
      <c r="R372" s="1966" t="s">
        <v>229</v>
      </c>
      <c r="S372" s="1966"/>
      <c r="T372" s="1966"/>
      <c r="U372" s="1966"/>
      <c r="V372" s="1966"/>
      <c r="W372" s="1966"/>
      <c r="X372" s="1966"/>
      <c r="Y372" s="1966"/>
      <c r="Z372" s="1966"/>
      <c r="AA372" s="1966"/>
      <c r="AB372" s="1966"/>
      <c r="AC372" s="1966"/>
      <c r="AD372" s="1966"/>
      <c r="AE372" s="1966"/>
      <c r="AF372" s="2013"/>
      <c r="AG372" s="2014"/>
      <c r="AH372" s="2014"/>
      <c r="AI372" s="2014"/>
      <c r="AJ372" s="2014"/>
      <c r="AK372" s="2014"/>
      <c r="AL372" s="2014"/>
      <c r="AM372" s="2014"/>
      <c r="AN372" s="2014"/>
      <c r="AO372" s="2014"/>
      <c r="AP372" s="2014"/>
      <c r="AQ372" s="2015"/>
      <c r="AR372" s="1957"/>
      <c r="AS372" s="1957"/>
      <c r="AT372" s="1928"/>
      <c r="AU372" s="1928"/>
      <c r="AV372" s="1928"/>
      <c r="AW372" s="1928"/>
      <c r="AX372" s="1928"/>
      <c r="AY372" s="1928"/>
      <c r="AZ372" s="1928"/>
      <c r="BA372" s="1928"/>
      <c r="BB372" s="1928"/>
      <c r="BC372" s="1928"/>
      <c r="BD372" s="1928"/>
      <c r="BE372" s="1928"/>
      <c r="BF372" s="1928"/>
      <c r="BG372" s="1928"/>
      <c r="BH372" s="1928"/>
      <c r="BI372" s="1928"/>
      <c r="BJ372" s="1928"/>
      <c r="BK372" s="1928"/>
      <c r="BL372" s="1928"/>
      <c r="BM372" s="1928"/>
      <c r="BN372" s="1928"/>
      <c r="BO372" s="1928"/>
      <c r="BP372" s="1928"/>
      <c r="BQ372" s="1928"/>
      <c r="BR372" s="1928"/>
      <c r="BS372" s="1998"/>
      <c r="BT372" s="1998"/>
      <c r="BU372" s="1998"/>
      <c r="BV372" s="1989"/>
      <c r="BW372" s="1989"/>
      <c r="BX372" s="1989"/>
      <c r="BY372" s="1989"/>
      <c r="BZ372" s="1990"/>
      <c r="CA372" s="1990"/>
      <c r="CB372" s="2361" t="s">
        <v>2820</v>
      </c>
      <c r="CC372" s="2362"/>
      <c r="CD372" s="2362"/>
      <c r="CE372" s="2362"/>
      <c r="CF372" s="2362"/>
      <c r="CG372" s="2362"/>
      <c r="CH372" s="2362"/>
      <c r="CI372" s="2362"/>
      <c r="CJ372" s="2362"/>
      <c r="CK372" s="2362"/>
      <c r="CL372" s="2362"/>
      <c r="CM372" s="2362"/>
      <c r="CN372" s="2362"/>
      <c r="CO372" s="2362"/>
      <c r="CP372" s="2362"/>
      <c r="CQ372" s="2362"/>
      <c r="CR372" s="2362"/>
      <c r="CS372" s="2362"/>
      <c r="CT372" s="2362"/>
      <c r="CU372" s="2363"/>
      <c r="CV372" s="2360" t="str">
        <f t="shared" si="301"/>
        <v/>
      </c>
      <c r="CW372" s="2360"/>
      <c r="CX372" s="2360"/>
      <c r="CY372" s="2360"/>
      <c r="CZ372" s="2360"/>
      <c r="DA372" s="2360"/>
      <c r="DC372" s="600" t="str">
        <f t="shared" si="302"/>
        <v/>
      </c>
      <c r="DD372" s="381"/>
      <c r="DF372" s="34"/>
      <c r="DG372" s="34"/>
      <c r="DH372" s="34"/>
      <c r="DI372" s="34"/>
      <c r="DJ372" s="858" t="s">
        <v>5637</v>
      </c>
      <c r="DK372" s="1707" t="str">
        <f t="shared" si="347"/>
        <v/>
      </c>
      <c r="DL372" s="1692" t="str">
        <f t="shared" si="348"/>
        <v/>
      </c>
      <c r="DM372" s="1691">
        <f t="shared" si="303"/>
        <v>0</v>
      </c>
      <c r="DN372" s="111">
        <f t="shared" si="304"/>
        <v>0</v>
      </c>
      <c r="DO372" s="111">
        <f t="shared" si="305"/>
        <v>0</v>
      </c>
      <c r="DP372" s="474">
        <f t="shared" si="306"/>
        <v>0</v>
      </c>
      <c r="DQ372" s="123" t="s">
        <v>766</v>
      </c>
      <c r="DR372" s="473" t="str">
        <f t="shared" si="307"/>
        <v>令第112条第18項に規定する区画の状況</v>
      </c>
      <c r="DS372" s="112">
        <f t="shared" si="308"/>
        <v>0</v>
      </c>
      <c r="DT372" s="118" t="str">
        <f t="shared" si="309"/>
        <v/>
      </c>
      <c r="DU372" s="452" t="str">
        <f t="shared" si="310"/>
        <v/>
      </c>
      <c r="DV372" s="151" t="str">
        <f>IF($DT372="要是正",MAX($DV$366:DV371)+1,"")</f>
        <v/>
      </c>
      <c r="DW372" s="119" t="str">
        <f t="shared" si="311"/>
        <v/>
      </c>
      <c r="DX372" s="119" t="str">
        <f t="shared" si="312"/>
        <v/>
      </c>
      <c r="DY372" s="33" t="str">
        <f t="shared" si="313"/>
        <v/>
      </c>
      <c r="DZ372" s="217" t="str">
        <f t="shared" si="314"/>
        <v/>
      </c>
      <c r="EA372" s="466" t="str">
        <f t="shared" si="315"/>
        <v/>
      </c>
      <c r="EB372" s="234" t="str">
        <f t="shared" si="316"/>
        <v/>
      </c>
      <c r="EC372" s="227" t="str">
        <f t="shared" si="317"/>
        <v>0</v>
      </c>
      <c r="ED372" s="148" t="str">
        <f t="shared" si="349"/>
        <v/>
      </c>
      <c r="EE372" s="227" t="str">
        <f t="shared" si="350"/>
        <v>0</v>
      </c>
      <c r="EF372" s="130" t="str">
        <f t="shared" si="318"/>
        <v/>
      </c>
      <c r="EG372" s="204" t="str">
        <f t="shared" si="319"/>
        <v/>
      </c>
      <c r="EH372" s="134" t="str">
        <f t="shared" si="320"/>
        <v>0</v>
      </c>
      <c r="EI372" s="148" t="str">
        <f t="shared" si="351"/>
        <v/>
      </c>
      <c r="EJ372" s="227" t="str">
        <f t="shared" si="352"/>
        <v>0</v>
      </c>
      <c r="EK372" s="451" t="str">
        <f t="shared" si="321"/>
        <v/>
      </c>
      <c r="EL372" s="452" t="e">
        <f t="shared" si="322"/>
        <v>#N/A</v>
      </c>
      <c r="EM372" s="151" t="e">
        <f t="shared" si="323"/>
        <v>#N/A</v>
      </c>
      <c r="EN372" s="453" t="e">
        <f t="shared" si="324"/>
        <v>#N/A</v>
      </c>
      <c r="FK372" s="597" t="str">
        <f t="shared" si="325"/>
        <v/>
      </c>
      <c r="FL372" s="597" t="str">
        <f t="shared" si="71"/>
        <v/>
      </c>
      <c r="FM372" s="597" t="str">
        <f t="shared" si="72"/>
        <v/>
      </c>
      <c r="FN372" s="597">
        <f t="shared" si="326"/>
        <v>0</v>
      </c>
      <c r="FO372" s="1163" t="str">
        <f t="shared" si="327"/>
        <v/>
      </c>
      <c r="FQ372" s="234" t="str">
        <f t="shared" si="328"/>
        <v/>
      </c>
      <c r="FR372" s="227" t="str">
        <f t="shared" si="329"/>
        <v>0</v>
      </c>
      <c r="FS372" s="148" t="str">
        <f t="shared" si="330"/>
        <v/>
      </c>
      <c r="FT372" s="227" t="str">
        <f t="shared" si="353"/>
        <v>0</v>
      </c>
      <c r="FU372" s="416" t="str">
        <f t="shared" si="331"/>
        <v/>
      </c>
      <c r="FW372" s="1160">
        <f t="shared" si="220"/>
        <v>0</v>
      </c>
      <c r="FX372" s="123"/>
      <c r="FY372" s="123"/>
      <c r="FZ372" s="1161"/>
      <c r="GA372" s="34"/>
      <c r="GB372" s="1149">
        <f t="shared" ref="GB372:GB435" si="354">IF(BY372="予定",1,0)</f>
        <v>0</v>
      </c>
      <c r="GC372" s="1149">
        <f t="shared" ref="GC372:GC435" si="355">IF(BY372="改善済",1,0)</f>
        <v>0</v>
      </c>
      <c r="GD372" s="1149">
        <f t="shared" ref="GD372:GD435" si="356">IF(BY372="未定",1,0)</f>
        <v>0</v>
      </c>
      <c r="GE372" s="1149" t="str">
        <f t="shared" si="332"/>
        <v/>
      </c>
      <c r="GF372" s="1149" t="str">
        <f t="shared" si="333"/>
        <v/>
      </c>
      <c r="GG372" s="1149" t="str">
        <f t="shared" si="334"/>
        <v/>
      </c>
      <c r="GH372" s="1149" t="str">
        <f t="shared" si="335"/>
        <v/>
      </c>
      <c r="GI372" s="1149" t="str">
        <f t="shared" si="336"/>
        <v/>
      </c>
      <c r="GJ372" s="1149" t="str">
        <f t="shared" si="337"/>
        <v/>
      </c>
      <c r="GK372" s="1149" t="str">
        <f t="shared" si="338"/>
        <v/>
      </c>
      <c r="GL372" s="1149" t="str">
        <f t="shared" si="339"/>
        <v/>
      </c>
      <c r="GM372" s="1149" t="str">
        <f t="shared" si="340"/>
        <v/>
      </c>
      <c r="GN372" s="1149" t="str">
        <f t="shared" si="341"/>
        <v/>
      </c>
      <c r="GO372" s="1149" t="str">
        <f t="shared" si="342"/>
        <v/>
      </c>
      <c r="GP372" s="1149" t="str">
        <f t="shared" si="343"/>
        <v/>
      </c>
      <c r="GQ372" s="1149" t="str">
        <f t="shared" si="344"/>
        <v/>
      </c>
      <c r="GR372" s="1149" t="str">
        <f t="shared" si="345"/>
        <v/>
      </c>
      <c r="GS372" s="1149" t="str">
        <f t="shared" si="346"/>
        <v/>
      </c>
      <c r="GT372" s="1149">
        <f t="shared" ref="GT372:GT435" si="357">IF(COUNTIF(GE372:GS372,"予定")&gt;0,1,0)</f>
        <v>0</v>
      </c>
      <c r="GU372" s="1149">
        <f t="shared" ref="GU372:GU435" si="358">IF(COUNTIF(GE372:GS372,"改善済")&gt;0,1,0)</f>
        <v>0</v>
      </c>
      <c r="GV372" s="1149">
        <f t="shared" ref="GV372:GV435" si="359">IF(COUNTIF(GE372:GS372,"未定")&gt;0,1,0)</f>
        <v>0</v>
      </c>
      <c r="GW372" s="1149" t="b">
        <f t="shared" ref="GW372:GW435" si="360">(GB372+GT372)&gt;0</f>
        <v>0</v>
      </c>
      <c r="GX372" s="1149" t="b">
        <f t="shared" ref="GX372:GX435" si="361">(GC372+GU372)&gt;0</f>
        <v>0</v>
      </c>
      <c r="GY372" s="1149" t="b">
        <f t="shared" ref="GY372:GY435" si="362">(GD372+GV372)&gt;0</f>
        <v>0</v>
      </c>
      <c r="GZ372" s="1149" t="str">
        <f t="shared" si="180"/>
        <v/>
      </c>
      <c r="HB372" s="1149" t="str">
        <f t="shared" ref="HB372:HB435" si="363">IF(FW372=0,"",FW372&amp;", ")</f>
        <v/>
      </c>
      <c r="HC372" s="1149" t="str">
        <f t="shared" ref="HC372:HC435" si="364">IF(HC$306=$M372,$FW$512&amp;", ","")</f>
        <v/>
      </c>
      <c r="HD372" s="1149" t="str">
        <f t="shared" ref="HD372:HD435" si="365">IF(HD$306=$M372,$FW$513&amp;", ","")</f>
        <v/>
      </c>
      <c r="HE372" s="1149" t="str">
        <f t="shared" ref="HE372:HE435" si="366">IF(HE$306=$M372,$FW$514&amp;", ","")</f>
        <v/>
      </c>
      <c r="HF372" s="1149" t="str">
        <f t="shared" ref="HF372:HF435" si="367">IF(HF$306=$M372,$FW$515&amp;", ","")</f>
        <v/>
      </c>
      <c r="HG372" s="1149" t="str">
        <f t="shared" ref="HG372:HG435" si="368">IF(HG$306=$M372,$FW$516&amp;", ","")</f>
        <v/>
      </c>
      <c r="HH372" s="1149" t="str">
        <f t="shared" ref="HH372:HH435" si="369">IF(HH$306=$M372,$FW$517&amp;", ","")</f>
        <v/>
      </c>
      <c r="HI372" s="1149" t="str">
        <f t="shared" ref="HI372:HI435" si="370">IF(HI$306=$M372,$FW$518&amp;", ","")</f>
        <v/>
      </c>
      <c r="HJ372" s="1149" t="str">
        <f t="shared" ref="HJ372:HJ435" si="371">IF(HJ$306=$M372,$FW$519&amp;", ","")</f>
        <v/>
      </c>
      <c r="HK372" s="1149" t="str">
        <f t="shared" ref="HK372:HK435" si="372">IF(HK$306=$M372,$FW$520&amp;", ","")</f>
        <v/>
      </c>
      <c r="HL372" s="1149" t="str">
        <f t="shared" ref="HL372:HL435" si="373">IF(HL$306=$M372,$FW$521&amp;", ","")</f>
        <v/>
      </c>
      <c r="HM372" s="1149" t="str">
        <f t="shared" ref="HM372:HM435" si="374">IF(HM$306=$M372,$FW$522&amp;", ","")</f>
        <v/>
      </c>
      <c r="HN372" s="1149" t="str">
        <f t="shared" ref="HN372:HN435" si="375">IF(HN$306=$M372,$FW$523&amp;", ","")</f>
        <v/>
      </c>
      <c r="HO372" s="1149" t="str">
        <f t="shared" ref="HO372:HO435" si="376">IF(HO$306=$M372,$FW$524&amp;", ","")</f>
        <v/>
      </c>
      <c r="HP372" s="1149" t="str">
        <f t="shared" ref="HP372:HP435" si="377">IF(HP$306=$M372,$FW$525&amp;", ","")</f>
        <v/>
      </c>
      <c r="HQ372" s="1149" t="str">
        <f t="shared" ref="HQ372:HQ435" si="378">IF(HQ$306=$M372,$FW$526&amp;", ","")</f>
        <v/>
      </c>
      <c r="HR372" s="1149" t="str">
        <f t="shared" ref="HR372:HR435" si="379">CONCATENATE(HB372,HC372,HD372,HE372,HF372,HG372,HH372,HI372,HJ372,HK372,HL372,HM372,HN372,HO372,HP372,HQ372)</f>
        <v/>
      </c>
      <c r="HT372" s="1149">
        <f>LEFT(M372,1)*10000+MID(M372,3,LEN(M372)-3)*100+COUNTIF($M$307:M372,M372)</f>
        <v>40301</v>
      </c>
      <c r="HU372" s="1149" t="str">
        <f t="shared" ref="HU372:HU435" si="380">IF($DT372="要是正",$HT372,"")</f>
        <v/>
      </c>
      <c r="HV372" s="1149" t="str">
        <f t="shared" ref="HV372:HV435" si="381">IF(HU372="","",RANK(HU372,HU$307:HU$526,1))</f>
        <v/>
      </c>
      <c r="HW372" s="1149" t="str">
        <f t="shared" ref="HW372:HW435" si="382">IF(OR($DT372="要是正",$DT372="既存不適格"),$HT372,"")</f>
        <v/>
      </c>
      <c r="HX372" s="1149" t="str">
        <f t="shared" ref="HX372:HX435" si="383">IF(HW372="","",RANK(HW372,HW$307:HW$526,1))</f>
        <v/>
      </c>
    </row>
    <row r="373" spans="1:232" s="69" customFormat="1" ht="70" customHeight="1">
      <c r="A373" s="645"/>
      <c r="B373" s="645"/>
      <c r="C373" s="645"/>
      <c r="D373" s="645"/>
      <c r="E373" s="646"/>
      <c r="F373" s="381"/>
      <c r="G373" s="381"/>
      <c r="H373" s="381"/>
      <c r="I373" s="1169"/>
      <c r="J373" s="80"/>
      <c r="K373" s="89"/>
      <c r="L373" s="89"/>
      <c r="M373" s="1967" t="s">
        <v>1225</v>
      </c>
      <c r="N373" s="1967"/>
      <c r="O373" s="1968"/>
      <c r="P373" s="2027"/>
      <c r="Q373" s="2027"/>
      <c r="R373" s="1966" t="s">
        <v>83</v>
      </c>
      <c r="S373" s="2027"/>
      <c r="T373" s="2027"/>
      <c r="U373" s="2011" t="s">
        <v>230</v>
      </c>
      <c r="V373" s="2011"/>
      <c r="W373" s="2011"/>
      <c r="X373" s="2011"/>
      <c r="Y373" s="2011"/>
      <c r="Z373" s="2011"/>
      <c r="AA373" s="2011"/>
      <c r="AB373" s="2011"/>
      <c r="AC373" s="2011"/>
      <c r="AD373" s="2011"/>
      <c r="AE373" s="2011"/>
      <c r="AF373" s="2019"/>
      <c r="AG373" s="2020"/>
      <c r="AH373" s="2020"/>
      <c r="AI373" s="2020"/>
      <c r="AJ373" s="2020"/>
      <c r="AK373" s="2020"/>
      <c r="AL373" s="2020"/>
      <c r="AM373" s="2020"/>
      <c r="AN373" s="2020"/>
      <c r="AO373" s="2020"/>
      <c r="AP373" s="2020"/>
      <c r="AQ373" s="2021"/>
      <c r="AR373" s="2017"/>
      <c r="AS373" s="2017"/>
      <c r="AT373" s="1929"/>
      <c r="AU373" s="1929"/>
      <c r="AV373" s="1929"/>
      <c r="AW373" s="1929"/>
      <c r="AX373" s="1929"/>
      <c r="AY373" s="1929"/>
      <c r="AZ373" s="1929"/>
      <c r="BA373" s="1929"/>
      <c r="BB373" s="1929"/>
      <c r="BC373" s="1929"/>
      <c r="BD373" s="1929"/>
      <c r="BE373" s="1929"/>
      <c r="BF373" s="1929"/>
      <c r="BG373" s="1929"/>
      <c r="BH373" s="1929"/>
      <c r="BI373" s="1929"/>
      <c r="BJ373" s="1929"/>
      <c r="BK373" s="1929"/>
      <c r="BL373" s="1929"/>
      <c r="BM373" s="1929"/>
      <c r="BN373" s="1929"/>
      <c r="BO373" s="1929"/>
      <c r="BP373" s="1929"/>
      <c r="BQ373" s="1929"/>
      <c r="BR373" s="1929"/>
      <c r="BS373" s="1885"/>
      <c r="BT373" s="1885"/>
      <c r="BU373" s="1885"/>
      <c r="BV373" s="1890"/>
      <c r="BW373" s="1890"/>
      <c r="BX373" s="1890"/>
      <c r="BY373" s="1890"/>
      <c r="BZ373" s="1891"/>
      <c r="CA373" s="1891"/>
      <c r="CB373" s="2356" t="s">
        <v>2821</v>
      </c>
      <c r="CC373" s="2357"/>
      <c r="CD373" s="2357"/>
      <c r="CE373" s="2357"/>
      <c r="CF373" s="2357"/>
      <c r="CG373" s="2357"/>
      <c r="CH373" s="2357"/>
      <c r="CI373" s="2357"/>
      <c r="CJ373" s="2357"/>
      <c r="CK373" s="2357"/>
      <c r="CL373" s="2357"/>
      <c r="CM373" s="2357"/>
      <c r="CN373" s="2357"/>
      <c r="CO373" s="2357"/>
      <c r="CP373" s="2357"/>
      <c r="CQ373" s="2357"/>
      <c r="CR373" s="2357"/>
      <c r="CS373" s="2357"/>
      <c r="CT373" s="2357"/>
      <c r="CU373" s="2358"/>
      <c r="CV373" s="2360" t="str">
        <f t="shared" si="301"/>
        <v/>
      </c>
      <c r="CW373" s="2360"/>
      <c r="CX373" s="2360"/>
      <c r="CY373" s="2360"/>
      <c r="CZ373" s="2360"/>
      <c r="DA373" s="2360"/>
      <c r="DC373" s="600" t="str">
        <f t="shared" si="302"/>
        <v/>
      </c>
      <c r="DD373" s="381"/>
      <c r="DF373" s="34"/>
      <c r="DG373" s="34"/>
      <c r="DH373" s="34"/>
      <c r="DI373" s="34"/>
      <c r="DJ373" s="858" t="s">
        <v>5637</v>
      </c>
      <c r="DK373" s="1707" t="str">
        <f t="shared" si="347"/>
        <v/>
      </c>
      <c r="DL373" s="1692" t="str">
        <f t="shared" si="348"/>
        <v/>
      </c>
      <c r="DM373" s="1691">
        <f t="shared" si="303"/>
        <v>0</v>
      </c>
      <c r="DN373" s="111">
        <f t="shared" si="304"/>
        <v>0</v>
      </c>
      <c r="DO373" s="111">
        <f t="shared" si="305"/>
        <v>0</v>
      </c>
      <c r="DP373" s="474">
        <f t="shared" si="306"/>
        <v>0</v>
      </c>
      <c r="DQ373" s="123" t="s">
        <v>767</v>
      </c>
      <c r="DR373" s="473" t="str">
        <f t="shared" si="307"/>
        <v>令第112条第16項に規定する外壁等及び同条第17項に規定する防火設備の処置の状況</v>
      </c>
      <c r="DS373" s="112">
        <f t="shared" si="308"/>
        <v>0</v>
      </c>
      <c r="DT373" s="118" t="str">
        <f t="shared" si="309"/>
        <v/>
      </c>
      <c r="DU373" s="452" t="str">
        <f t="shared" si="310"/>
        <v/>
      </c>
      <c r="DV373" s="151" t="str">
        <f>IF($DT373="要是正",MAX($DV$366:DV372)+1,"")</f>
        <v/>
      </c>
      <c r="DW373" s="119" t="str">
        <f t="shared" si="311"/>
        <v/>
      </c>
      <c r="DX373" s="119" t="str">
        <f t="shared" si="312"/>
        <v/>
      </c>
      <c r="DY373" s="33" t="str">
        <f t="shared" si="313"/>
        <v/>
      </c>
      <c r="DZ373" s="217" t="str">
        <f t="shared" si="314"/>
        <v/>
      </c>
      <c r="EA373" s="466" t="str">
        <f t="shared" si="315"/>
        <v/>
      </c>
      <c r="EB373" s="234" t="str">
        <f t="shared" si="316"/>
        <v/>
      </c>
      <c r="EC373" s="227" t="str">
        <f t="shared" si="317"/>
        <v>0</v>
      </c>
      <c r="ED373" s="148" t="str">
        <f t="shared" si="349"/>
        <v/>
      </c>
      <c r="EE373" s="227" t="str">
        <f t="shared" si="350"/>
        <v>0</v>
      </c>
      <c r="EF373" s="130" t="str">
        <f t="shared" si="318"/>
        <v/>
      </c>
      <c r="EG373" s="204" t="str">
        <f t="shared" si="319"/>
        <v/>
      </c>
      <c r="EH373" s="134" t="str">
        <f t="shared" si="320"/>
        <v>0</v>
      </c>
      <c r="EI373" s="148" t="str">
        <f t="shared" si="351"/>
        <v/>
      </c>
      <c r="EJ373" s="227" t="str">
        <f t="shared" si="352"/>
        <v>0</v>
      </c>
      <c r="EK373" s="451" t="str">
        <f t="shared" si="321"/>
        <v/>
      </c>
      <c r="EL373" s="452" t="e">
        <f t="shared" si="322"/>
        <v>#N/A</v>
      </c>
      <c r="EM373" s="151" t="e">
        <f t="shared" si="323"/>
        <v>#N/A</v>
      </c>
      <c r="EN373" s="453" t="e">
        <f t="shared" si="324"/>
        <v>#N/A</v>
      </c>
      <c r="FK373" s="597" t="str">
        <f t="shared" si="325"/>
        <v/>
      </c>
      <c r="FL373" s="597" t="str">
        <f t="shared" si="71"/>
        <v/>
      </c>
      <c r="FM373" s="597" t="str">
        <f t="shared" si="72"/>
        <v/>
      </c>
      <c r="FN373" s="597">
        <f t="shared" si="326"/>
        <v>0</v>
      </c>
      <c r="FO373" s="1163" t="str">
        <f t="shared" si="327"/>
        <v/>
      </c>
      <c r="FQ373" s="234" t="str">
        <f t="shared" si="328"/>
        <v/>
      </c>
      <c r="FR373" s="227" t="str">
        <f t="shared" si="329"/>
        <v>0</v>
      </c>
      <c r="FS373" s="148" t="str">
        <f t="shared" si="330"/>
        <v/>
      </c>
      <c r="FT373" s="227" t="str">
        <f t="shared" si="353"/>
        <v>0</v>
      </c>
      <c r="FU373" s="416" t="str">
        <f t="shared" si="331"/>
        <v/>
      </c>
      <c r="FW373" s="1160">
        <f t="shared" si="220"/>
        <v>0</v>
      </c>
      <c r="FX373" s="123"/>
      <c r="FY373" s="123"/>
      <c r="FZ373" s="1161"/>
      <c r="GA373" s="34"/>
      <c r="GB373" s="1149">
        <f t="shared" si="354"/>
        <v>0</v>
      </c>
      <c r="GC373" s="1149">
        <f t="shared" si="355"/>
        <v>0</v>
      </c>
      <c r="GD373" s="1149">
        <f t="shared" si="356"/>
        <v>0</v>
      </c>
      <c r="GE373" s="1149" t="str">
        <f t="shared" si="332"/>
        <v/>
      </c>
      <c r="GF373" s="1149" t="str">
        <f t="shared" si="333"/>
        <v/>
      </c>
      <c r="GG373" s="1149" t="str">
        <f t="shared" si="334"/>
        <v/>
      </c>
      <c r="GH373" s="1149" t="str">
        <f t="shared" si="335"/>
        <v/>
      </c>
      <c r="GI373" s="1149" t="str">
        <f t="shared" si="336"/>
        <v/>
      </c>
      <c r="GJ373" s="1149" t="str">
        <f t="shared" si="337"/>
        <v/>
      </c>
      <c r="GK373" s="1149" t="str">
        <f t="shared" si="338"/>
        <v/>
      </c>
      <c r="GL373" s="1149" t="str">
        <f t="shared" si="339"/>
        <v/>
      </c>
      <c r="GM373" s="1149" t="str">
        <f t="shared" si="340"/>
        <v/>
      </c>
      <c r="GN373" s="1149" t="str">
        <f t="shared" si="341"/>
        <v/>
      </c>
      <c r="GO373" s="1149" t="str">
        <f t="shared" si="342"/>
        <v/>
      </c>
      <c r="GP373" s="1149" t="str">
        <f t="shared" si="343"/>
        <v/>
      </c>
      <c r="GQ373" s="1149" t="str">
        <f t="shared" si="344"/>
        <v/>
      </c>
      <c r="GR373" s="1149" t="str">
        <f t="shared" si="345"/>
        <v/>
      </c>
      <c r="GS373" s="1149" t="str">
        <f t="shared" si="346"/>
        <v/>
      </c>
      <c r="GT373" s="1149">
        <f t="shared" si="357"/>
        <v>0</v>
      </c>
      <c r="GU373" s="1149">
        <f t="shared" si="358"/>
        <v>0</v>
      </c>
      <c r="GV373" s="1149">
        <f t="shared" si="359"/>
        <v>0</v>
      </c>
      <c r="GW373" s="1149" t="b">
        <f t="shared" si="360"/>
        <v>0</v>
      </c>
      <c r="GX373" s="1149" t="b">
        <f t="shared" si="361"/>
        <v>0</v>
      </c>
      <c r="GY373" s="1149" t="b">
        <f t="shared" si="362"/>
        <v>0</v>
      </c>
      <c r="GZ373" s="1149" t="str">
        <f t="shared" si="180"/>
        <v/>
      </c>
      <c r="HB373" s="1149" t="str">
        <f t="shared" si="363"/>
        <v/>
      </c>
      <c r="HC373" s="1149" t="str">
        <f t="shared" si="364"/>
        <v/>
      </c>
      <c r="HD373" s="1149" t="str">
        <f t="shared" si="365"/>
        <v/>
      </c>
      <c r="HE373" s="1149" t="str">
        <f t="shared" si="366"/>
        <v/>
      </c>
      <c r="HF373" s="1149" t="str">
        <f t="shared" si="367"/>
        <v/>
      </c>
      <c r="HG373" s="1149" t="str">
        <f t="shared" si="368"/>
        <v/>
      </c>
      <c r="HH373" s="1149" t="str">
        <f t="shared" si="369"/>
        <v/>
      </c>
      <c r="HI373" s="1149" t="str">
        <f t="shared" si="370"/>
        <v/>
      </c>
      <c r="HJ373" s="1149" t="str">
        <f t="shared" si="371"/>
        <v/>
      </c>
      <c r="HK373" s="1149" t="str">
        <f t="shared" si="372"/>
        <v/>
      </c>
      <c r="HL373" s="1149" t="str">
        <f t="shared" si="373"/>
        <v/>
      </c>
      <c r="HM373" s="1149" t="str">
        <f t="shared" si="374"/>
        <v/>
      </c>
      <c r="HN373" s="1149" t="str">
        <f t="shared" si="375"/>
        <v/>
      </c>
      <c r="HO373" s="1149" t="str">
        <f t="shared" si="376"/>
        <v/>
      </c>
      <c r="HP373" s="1149" t="str">
        <f t="shared" si="377"/>
        <v/>
      </c>
      <c r="HQ373" s="1149" t="str">
        <f t="shared" si="378"/>
        <v/>
      </c>
      <c r="HR373" s="1149" t="str">
        <f t="shared" si="379"/>
        <v/>
      </c>
      <c r="HT373" s="1149">
        <f>LEFT(M373,1)*10000+MID(M373,3,LEN(M373)-3)*100+COUNTIF($M$307:M373,M373)</f>
        <v>40401</v>
      </c>
      <c r="HU373" s="1149" t="str">
        <f t="shared" si="380"/>
        <v/>
      </c>
      <c r="HV373" s="1149" t="str">
        <f t="shared" si="381"/>
        <v/>
      </c>
      <c r="HW373" s="1149" t="str">
        <f t="shared" si="382"/>
        <v/>
      </c>
      <c r="HX373" s="1149" t="str">
        <f t="shared" si="383"/>
        <v/>
      </c>
    </row>
    <row r="374" spans="1:232" s="69" customFormat="1" ht="70" customHeight="1">
      <c r="A374" s="645"/>
      <c r="B374" s="645"/>
      <c r="C374" s="645"/>
      <c r="D374" s="645"/>
      <c r="E374" s="646"/>
      <c r="F374" s="381"/>
      <c r="G374" s="381"/>
      <c r="H374" s="381"/>
      <c r="I374" s="1169"/>
      <c r="J374" s="80"/>
      <c r="K374" s="89"/>
      <c r="L374" s="89"/>
      <c r="M374" s="1967" t="s">
        <v>1226</v>
      </c>
      <c r="N374" s="1967"/>
      <c r="O374" s="1968"/>
      <c r="P374" s="2027"/>
      <c r="Q374" s="2027"/>
      <c r="R374" s="2027"/>
      <c r="S374" s="2027"/>
      <c r="T374" s="2027"/>
      <c r="U374" s="2028" t="s">
        <v>231</v>
      </c>
      <c r="V374" s="2028"/>
      <c r="W374" s="2028"/>
      <c r="X374" s="2028"/>
      <c r="Y374" s="2028"/>
      <c r="Z374" s="2028"/>
      <c r="AA374" s="2028"/>
      <c r="AB374" s="2028"/>
      <c r="AC374" s="2028"/>
      <c r="AD374" s="2028"/>
      <c r="AE374" s="2028"/>
      <c r="AF374" s="2104"/>
      <c r="AG374" s="2105"/>
      <c r="AH374" s="2105"/>
      <c r="AI374" s="2105"/>
      <c r="AJ374" s="2105"/>
      <c r="AK374" s="2105"/>
      <c r="AL374" s="2105"/>
      <c r="AM374" s="2105"/>
      <c r="AN374" s="2105"/>
      <c r="AO374" s="2105"/>
      <c r="AP374" s="2105"/>
      <c r="AQ374" s="2106"/>
      <c r="AR374" s="1965"/>
      <c r="AS374" s="1965"/>
      <c r="AT374" s="1999"/>
      <c r="AU374" s="1999"/>
      <c r="AV374" s="1999"/>
      <c r="AW374" s="1999"/>
      <c r="AX374" s="1999"/>
      <c r="AY374" s="1999"/>
      <c r="AZ374" s="1999"/>
      <c r="BA374" s="1999"/>
      <c r="BB374" s="1999"/>
      <c r="BC374" s="1999"/>
      <c r="BD374" s="1999"/>
      <c r="BE374" s="1999"/>
      <c r="BF374" s="1999"/>
      <c r="BG374" s="1999"/>
      <c r="BH374" s="1999"/>
      <c r="BI374" s="1999"/>
      <c r="BJ374" s="1999"/>
      <c r="BK374" s="1999"/>
      <c r="BL374" s="1999"/>
      <c r="BM374" s="1999"/>
      <c r="BN374" s="1999"/>
      <c r="BO374" s="1999"/>
      <c r="BP374" s="1999"/>
      <c r="BQ374" s="1999"/>
      <c r="BR374" s="1999"/>
      <c r="BS374" s="2081"/>
      <c r="BT374" s="2081"/>
      <c r="BU374" s="2081"/>
      <c r="BV374" s="1923"/>
      <c r="BW374" s="1923"/>
      <c r="BX374" s="1923"/>
      <c r="BY374" s="1923"/>
      <c r="BZ374" s="1924"/>
      <c r="CA374" s="1924"/>
      <c r="CB374" s="2115"/>
      <c r="CC374" s="2116"/>
      <c r="CD374" s="2116"/>
      <c r="CE374" s="2116"/>
      <c r="CF374" s="2116"/>
      <c r="CG374" s="2116"/>
      <c r="CH374" s="2116"/>
      <c r="CI374" s="2116"/>
      <c r="CJ374" s="2116"/>
      <c r="CK374" s="2116"/>
      <c r="CL374" s="2116"/>
      <c r="CM374" s="2116"/>
      <c r="CN374" s="2116"/>
      <c r="CO374" s="2116"/>
      <c r="CP374" s="2116"/>
      <c r="CQ374" s="2116"/>
      <c r="CR374" s="2116"/>
      <c r="CS374" s="2116"/>
      <c r="CT374" s="2116"/>
      <c r="CU374" s="2117"/>
      <c r="CV374" s="2360" t="str">
        <f t="shared" si="301"/>
        <v/>
      </c>
      <c r="CW374" s="2360"/>
      <c r="CX374" s="2360"/>
      <c r="CY374" s="2360"/>
      <c r="CZ374" s="2360"/>
      <c r="DA374" s="2360"/>
      <c r="DC374" s="600" t="str">
        <f t="shared" si="302"/>
        <v/>
      </c>
      <c r="DD374" s="381"/>
      <c r="DF374" s="34"/>
      <c r="DG374" s="34"/>
      <c r="DH374" s="34"/>
      <c r="DI374" s="34"/>
      <c r="DJ374" s="858" t="s">
        <v>5637</v>
      </c>
      <c r="DK374" s="1707" t="str">
        <f t="shared" si="347"/>
        <v/>
      </c>
      <c r="DL374" s="1692" t="str">
        <f t="shared" si="348"/>
        <v/>
      </c>
      <c r="DM374" s="1691">
        <f t="shared" si="303"/>
        <v>0</v>
      </c>
      <c r="DN374" s="111">
        <f t="shared" si="304"/>
        <v>0</v>
      </c>
      <c r="DO374" s="111">
        <f t="shared" si="305"/>
        <v>0</v>
      </c>
      <c r="DP374" s="474">
        <f t="shared" si="306"/>
        <v>0</v>
      </c>
      <c r="DQ374" s="123" t="s">
        <v>768</v>
      </c>
      <c r="DR374" s="473" t="str">
        <f>IF($U374="",R373,U374)</f>
        <v>令第112条第16項に規定する外壁等及び同条第17項に規定する防火設備の劣化及び損傷の状況</v>
      </c>
      <c r="DS374" s="112">
        <f t="shared" si="308"/>
        <v>0</v>
      </c>
      <c r="DT374" s="118" t="str">
        <f t="shared" si="309"/>
        <v/>
      </c>
      <c r="DU374" s="452" t="str">
        <f t="shared" si="310"/>
        <v/>
      </c>
      <c r="DV374" s="151" t="str">
        <f>IF($DT374="要是正",MAX($DV$366:DV373)+1,"")</f>
        <v/>
      </c>
      <c r="DW374" s="119" t="str">
        <f t="shared" si="311"/>
        <v/>
      </c>
      <c r="DX374" s="119" t="str">
        <f t="shared" si="312"/>
        <v/>
      </c>
      <c r="DY374" s="33" t="str">
        <f t="shared" si="313"/>
        <v/>
      </c>
      <c r="DZ374" s="217" t="str">
        <f t="shared" si="314"/>
        <v/>
      </c>
      <c r="EA374" s="466" t="str">
        <f t="shared" si="315"/>
        <v/>
      </c>
      <c r="EB374" s="234" t="str">
        <f t="shared" si="316"/>
        <v/>
      </c>
      <c r="EC374" s="227" t="str">
        <f t="shared" si="317"/>
        <v>0</v>
      </c>
      <c r="ED374" s="148" t="str">
        <f t="shared" si="349"/>
        <v/>
      </c>
      <c r="EE374" s="227" t="str">
        <f t="shared" si="350"/>
        <v>0</v>
      </c>
      <c r="EF374" s="130" t="str">
        <f t="shared" si="318"/>
        <v/>
      </c>
      <c r="EG374" s="204" t="str">
        <f t="shared" si="319"/>
        <v/>
      </c>
      <c r="EH374" s="134" t="str">
        <f t="shared" si="320"/>
        <v>0</v>
      </c>
      <c r="EI374" s="148" t="str">
        <f t="shared" si="351"/>
        <v/>
      </c>
      <c r="EJ374" s="227" t="str">
        <f t="shared" si="352"/>
        <v>0</v>
      </c>
      <c r="EK374" s="451" t="str">
        <f t="shared" si="321"/>
        <v/>
      </c>
      <c r="EL374" s="452" t="e">
        <f t="shared" si="322"/>
        <v>#N/A</v>
      </c>
      <c r="EM374" s="151" t="e">
        <f t="shared" si="323"/>
        <v>#N/A</v>
      </c>
      <c r="EN374" s="453" t="e">
        <f t="shared" si="324"/>
        <v>#N/A</v>
      </c>
      <c r="FK374" s="597" t="str">
        <f t="shared" si="325"/>
        <v/>
      </c>
      <c r="FL374" s="597" t="str">
        <f t="shared" si="71"/>
        <v/>
      </c>
      <c r="FM374" s="597" t="str">
        <f t="shared" si="72"/>
        <v/>
      </c>
      <c r="FN374" s="597">
        <f t="shared" si="326"/>
        <v>0</v>
      </c>
      <c r="FO374" s="1163" t="str">
        <f t="shared" si="327"/>
        <v/>
      </c>
      <c r="FQ374" s="234" t="str">
        <f t="shared" si="328"/>
        <v/>
      </c>
      <c r="FR374" s="227" t="str">
        <f t="shared" si="329"/>
        <v>0</v>
      </c>
      <c r="FS374" s="148" t="str">
        <f t="shared" si="330"/>
        <v/>
      </c>
      <c r="FT374" s="227" t="str">
        <f t="shared" si="353"/>
        <v>0</v>
      </c>
      <c r="FU374" s="416" t="str">
        <f t="shared" si="331"/>
        <v/>
      </c>
      <c r="FW374" s="1160">
        <f t="shared" si="220"/>
        <v>0</v>
      </c>
      <c r="FX374" s="123"/>
      <c r="FY374" s="123"/>
      <c r="FZ374" s="1161"/>
      <c r="GA374" s="34"/>
      <c r="GB374" s="1149">
        <f t="shared" si="354"/>
        <v>0</v>
      </c>
      <c r="GC374" s="1149">
        <f t="shared" si="355"/>
        <v>0</v>
      </c>
      <c r="GD374" s="1149">
        <f t="shared" si="356"/>
        <v>0</v>
      </c>
      <c r="GE374" s="1149" t="str">
        <f t="shared" si="332"/>
        <v/>
      </c>
      <c r="GF374" s="1149" t="str">
        <f t="shared" si="333"/>
        <v/>
      </c>
      <c r="GG374" s="1149" t="str">
        <f t="shared" si="334"/>
        <v/>
      </c>
      <c r="GH374" s="1149" t="str">
        <f t="shared" si="335"/>
        <v/>
      </c>
      <c r="GI374" s="1149" t="str">
        <f t="shared" si="336"/>
        <v/>
      </c>
      <c r="GJ374" s="1149" t="str">
        <f t="shared" si="337"/>
        <v/>
      </c>
      <c r="GK374" s="1149" t="str">
        <f t="shared" si="338"/>
        <v/>
      </c>
      <c r="GL374" s="1149" t="str">
        <f t="shared" si="339"/>
        <v/>
      </c>
      <c r="GM374" s="1149" t="str">
        <f t="shared" si="340"/>
        <v/>
      </c>
      <c r="GN374" s="1149" t="str">
        <f t="shared" si="341"/>
        <v/>
      </c>
      <c r="GO374" s="1149" t="str">
        <f t="shared" si="342"/>
        <v/>
      </c>
      <c r="GP374" s="1149" t="str">
        <f t="shared" si="343"/>
        <v/>
      </c>
      <c r="GQ374" s="1149" t="str">
        <f t="shared" si="344"/>
        <v/>
      </c>
      <c r="GR374" s="1149" t="str">
        <f t="shared" si="345"/>
        <v/>
      </c>
      <c r="GS374" s="1149" t="str">
        <f t="shared" si="346"/>
        <v/>
      </c>
      <c r="GT374" s="1149">
        <f t="shared" si="357"/>
        <v>0</v>
      </c>
      <c r="GU374" s="1149">
        <f t="shared" si="358"/>
        <v>0</v>
      </c>
      <c r="GV374" s="1149">
        <f t="shared" si="359"/>
        <v>0</v>
      </c>
      <c r="GW374" s="1149" t="b">
        <f t="shared" si="360"/>
        <v>0</v>
      </c>
      <c r="GX374" s="1149" t="b">
        <f t="shared" si="361"/>
        <v>0</v>
      </c>
      <c r="GY374" s="1149" t="b">
        <f t="shared" si="362"/>
        <v>0</v>
      </c>
      <c r="GZ374" s="1149" t="str">
        <f t="shared" si="180"/>
        <v/>
      </c>
      <c r="HB374" s="1149" t="str">
        <f t="shared" si="363"/>
        <v/>
      </c>
      <c r="HC374" s="1149" t="str">
        <f t="shared" si="364"/>
        <v/>
      </c>
      <c r="HD374" s="1149" t="str">
        <f t="shared" si="365"/>
        <v/>
      </c>
      <c r="HE374" s="1149" t="str">
        <f t="shared" si="366"/>
        <v/>
      </c>
      <c r="HF374" s="1149" t="str">
        <f t="shared" si="367"/>
        <v/>
      </c>
      <c r="HG374" s="1149" t="str">
        <f t="shared" si="368"/>
        <v/>
      </c>
      <c r="HH374" s="1149" t="str">
        <f t="shared" si="369"/>
        <v/>
      </c>
      <c r="HI374" s="1149" t="str">
        <f t="shared" si="370"/>
        <v/>
      </c>
      <c r="HJ374" s="1149" t="str">
        <f t="shared" si="371"/>
        <v/>
      </c>
      <c r="HK374" s="1149" t="str">
        <f t="shared" si="372"/>
        <v/>
      </c>
      <c r="HL374" s="1149" t="str">
        <f t="shared" si="373"/>
        <v/>
      </c>
      <c r="HM374" s="1149" t="str">
        <f t="shared" si="374"/>
        <v/>
      </c>
      <c r="HN374" s="1149" t="str">
        <f t="shared" si="375"/>
        <v/>
      </c>
      <c r="HO374" s="1149" t="str">
        <f t="shared" si="376"/>
        <v/>
      </c>
      <c r="HP374" s="1149" t="str">
        <f t="shared" si="377"/>
        <v/>
      </c>
      <c r="HQ374" s="1149" t="str">
        <f t="shared" si="378"/>
        <v/>
      </c>
      <c r="HR374" s="1149" t="str">
        <f t="shared" si="379"/>
        <v/>
      </c>
      <c r="HT374" s="1149">
        <f>LEFT(M374,1)*10000+MID(M374,3,LEN(M374)-3)*100+COUNTIF($M$307:M374,M374)</f>
        <v>40501</v>
      </c>
      <c r="HU374" s="1149" t="str">
        <f t="shared" si="380"/>
        <v/>
      </c>
      <c r="HV374" s="1149" t="str">
        <f t="shared" si="381"/>
        <v/>
      </c>
      <c r="HW374" s="1149" t="str">
        <f t="shared" si="382"/>
        <v/>
      </c>
      <c r="HX374" s="1149" t="str">
        <f t="shared" si="383"/>
        <v/>
      </c>
    </row>
    <row r="375" spans="1:232" s="69" customFormat="1" ht="50.15" customHeight="1">
      <c r="A375" s="645"/>
      <c r="B375" s="645"/>
      <c r="C375" s="645"/>
      <c r="D375" s="645"/>
      <c r="E375" s="646"/>
      <c r="F375" s="381"/>
      <c r="G375" s="381"/>
      <c r="H375" s="381"/>
      <c r="I375" s="1169"/>
      <c r="J375" s="80"/>
      <c r="K375" s="89"/>
      <c r="L375" s="89"/>
      <c r="M375" s="1967" t="s">
        <v>1227</v>
      </c>
      <c r="N375" s="1967"/>
      <c r="O375" s="1968"/>
      <c r="P375" s="2016" t="s">
        <v>169</v>
      </c>
      <c r="Q375" s="2016"/>
      <c r="R375" s="1966" t="s">
        <v>55</v>
      </c>
      <c r="S375" s="1966"/>
      <c r="T375" s="1966"/>
      <c r="U375" s="2011" t="s">
        <v>84</v>
      </c>
      <c r="V375" s="2011"/>
      <c r="W375" s="2011"/>
      <c r="X375" s="2011"/>
      <c r="Y375" s="2011"/>
      <c r="Z375" s="2011"/>
      <c r="AA375" s="2011"/>
      <c r="AB375" s="2011"/>
      <c r="AC375" s="2011"/>
      <c r="AD375" s="2011"/>
      <c r="AE375" s="2011"/>
      <c r="AF375" s="2019"/>
      <c r="AG375" s="2020"/>
      <c r="AH375" s="2020"/>
      <c r="AI375" s="2020"/>
      <c r="AJ375" s="2020"/>
      <c r="AK375" s="2020"/>
      <c r="AL375" s="2020"/>
      <c r="AM375" s="2020"/>
      <c r="AN375" s="2020"/>
      <c r="AO375" s="2020"/>
      <c r="AP375" s="2020"/>
      <c r="AQ375" s="2021"/>
      <c r="AR375" s="2017"/>
      <c r="AS375" s="2017"/>
      <c r="AT375" s="1929"/>
      <c r="AU375" s="1929"/>
      <c r="AV375" s="1929"/>
      <c r="AW375" s="1929"/>
      <c r="AX375" s="1929"/>
      <c r="AY375" s="1929"/>
      <c r="AZ375" s="1929"/>
      <c r="BA375" s="1929"/>
      <c r="BB375" s="1929"/>
      <c r="BC375" s="1929"/>
      <c r="BD375" s="1929"/>
      <c r="BE375" s="1929"/>
      <c r="BF375" s="1929"/>
      <c r="BG375" s="1929"/>
      <c r="BH375" s="1929"/>
      <c r="BI375" s="1929"/>
      <c r="BJ375" s="1929"/>
      <c r="BK375" s="1929"/>
      <c r="BL375" s="1929"/>
      <c r="BM375" s="1929"/>
      <c r="BN375" s="1929"/>
      <c r="BO375" s="1929"/>
      <c r="BP375" s="1929"/>
      <c r="BQ375" s="1929"/>
      <c r="BR375" s="1929"/>
      <c r="BS375" s="1885"/>
      <c r="BT375" s="1885"/>
      <c r="BU375" s="1885"/>
      <c r="BV375" s="1890"/>
      <c r="BW375" s="1890"/>
      <c r="BX375" s="1890"/>
      <c r="BY375" s="1890"/>
      <c r="BZ375" s="1891"/>
      <c r="CA375" s="1891"/>
      <c r="CB375" s="2083"/>
      <c r="CC375" s="2084"/>
      <c r="CD375" s="2084"/>
      <c r="CE375" s="2084"/>
      <c r="CF375" s="2084"/>
      <c r="CG375" s="2084"/>
      <c r="CH375" s="2084"/>
      <c r="CI375" s="2084"/>
      <c r="CJ375" s="2084"/>
      <c r="CK375" s="2084"/>
      <c r="CL375" s="2084"/>
      <c r="CM375" s="2084"/>
      <c r="CN375" s="2084"/>
      <c r="CO375" s="2084"/>
      <c r="CP375" s="2084"/>
      <c r="CQ375" s="2084"/>
      <c r="CR375" s="2084"/>
      <c r="CS375" s="2084"/>
      <c r="CT375" s="2084"/>
      <c r="CU375" s="2085"/>
      <c r="CV375" s="2360" t="str">
        <f t="shared" si="301"/>
        <v/>
      </c>
      <c r="CW375" s="2360"/>
      <c r="CX375" s="2360"/>
      <c r="CY375" s="2360"/>
      <c r="CZ375" s="2360"/>
      <c r="DA375" s="2360"/>
      <c r="DC375" s="600" t="str">
        <f t="shared" si="302"/>
        <v/>
      </c>
      <c r="DD375" s="381"/>
      <c r="DF375" s="34"/>
      <c r="DG375" s="34"/>
      <c r="DH375" s="34"/>
      <c r="DI375" s="34"/>
      <c r="DJ375" s="858" t="s">
        <v>5637</v>
      </c>
      <c r="DK375" s="1707" t="str">
        <f t="shared" si="347"/>
        <v/>
      </c>
      <c r="DL375" s="1692" t="str">
        <f t="shared" si="348"/>
        <v/>
      </c>
      <c r="DM375" s="1691">
        <f t="shared" si="303"/>
        <v>0</v>
      </c>
      <c r="DN375" s="111">
        <f t="shared" si="304"/>
        <v>0</v>
      </c>
      <c r="DO375" s="111">
        <f t="shared" si="305"/>
        <v>0</v>
      </c>
      <c r="DP375" s="474">
        <f t="shared" si="306"/>
        <v>0</v>
      </c>
      <c r="DQ375" s="123" t="s">
        <v>769</v>
      </c>
      <c r="DR375" s="473" t="str">
        <f t="shared" si="307"/>
        <v>木造の壁の室内に面する部分の躯体の劣化及び損傷の状況</v>
      </c>
      <c r="DS375" s="112">
        <f t="shared" si="308"/>
        <v>0</v>
      </c>
      <c r="DT375" s="118" t="str">
        <f t="shared" si="309"/>
        <v/>
      </c>
      <c r="DU375" s="452" t="str">
        <f t="shared" si="310"/>
        <v/>
      </c>
      <c r="DV375" s="151" t="str">
        <f>IF($DT375="要是正",MAX($DV$366:DV374)+1,"")</f>
        <v/>
      </c>
      <c r="DW375" s="119" t="str">
        <f t="shared" si="311"/>
        <v/>
      </c>
      <c r="DX375" s="119" t="str">
        <f t="shared" si="312"/>
        <v/>
      </c>
      <c r="DY375" s="33" t="str">
        <f t="shared" si="313"/>
        <v/>
      </c>
      <c r="DZ375" s="217" t="str">
        <f t="shared" si="314"/>
        <v/>
      </c>
      <c r="EA375" s="466" t="str">
        <f t="shared" si="315"/>
        <v/>
      </c>
      <c r="EB375" s="234" t="str">
        <f t="shared" si="316"/>
        <v/>
      </c>
      <c r="EC375" s="227" t="str">
        <f t="shared" si="317"/>
        <v>0</v>
      </c>
      <c r="ED375" s="148" t="str">
        <f t="shared" si="349"/>
        <v/>
      </c>
      <c r="EE375" s="227" t="str">
        <f t="shared" si="350"/>
        <v>0</v>
      </c>
      <c r="EF375" s="130" t="str">
        <f t="shared" si="318"/>
        <v/>
      </c>
      <c r="EG375" s="204" t="str">
        <f t="shared" si="319"/>
        <v/>
      </c>
      <c r="EH375" s="134" t="str">
        <f t="shared" si="320"/>
        <v>0</v>
      </c>
      <c r="EI375" s="148" t="str">
        <f t="shared" si="351"/>
        <v/>
      </c>
      <c r="EJ375" s="227" t="str">
        <f t="shared" si="352"/>
        <v>0</v>
      </c>
      <c r="EK375" s="451" t="str">
        <f t="shared" si="321"/>
        <v/>
      </c>
      <c r="EL375" s="452" t="e">
        <f t="shared" si="322"/>
        <v>#N/A</v>
      </c>
      <c r="EM375" s="151" t="e">
        <f t="shared" si="323"/>
        <v>#N/A</v>
      </c>
      <c r="EN375" s="453" t="e">
        <f t="shared" si="324"/>
        <v>#N/A</v>
      </c>
      <c r="FK375" s="597" t="str">
        <f t="shared" si="325"/>
        <v/>
      </c>
      <c r="FL375" s="597" t="str">
        <f t="shared" si="71"/>
        <v/>
      </c>
      <c r="FM375" s="597" t="str">
        <f t="shared" si="72"/>
        <v/>
      </c>
      <c r="FN375" s="597">
        <f t="shared" si="326"/>
        <v>0</v>
      </c>
      <c r="FO375" s="1163" t="str">
        <f t="shared" si="327"/>
        <v/>
      </c>
      <c r="FQ375" s="234" t="str">
        <f t="shared" si="328"/>
        <v/>
      </c>
      <c r="FR375" s="227" t="str">
        <f t="shared" si="329"/>
        <v>0</v>
      </c>
      <c r="FS375" s="148" t="str">
        <f t="shared" si="330"/>
        <v/>
      </c>
      <c r="FT375" s="227" t="str">
        <f t="shared" si="353"/>
        <v>0</v>
      </c>
      <c r="FU375" s="416" t="str">
        <f t="shared" si="331"/>
        <v/>
      </c>
      <c r="FW375" s="1160">
        <f t="shared" si="220"/>
        <v>0</v>
      </c>
      <c r="FX375" s="123"/>
      <c r="FY375" s="123"/>
      <c r="FZ375" s="1161"/>
      <c r="GA375" s="34"/>
      <c r="GB375" s="1149">
        <f t="shared" si="354"/>
        <v>0</v>
      </c>
      <c r="GC375" s="1149">
        <f t="shared" si="355"/>
        <v>0</v>
      </c>
      <c r="GD375" s="1149">
        <f t="shared" si="356"/>
        <v>0</v>
      </c>
      <c r="GE375" s="1149" t="str">
        <f t="shared" si="332"/>
        <v/>
      </c>
      <c r="GF375" s="1149" t="str">
        <f t="shared" si="333"/>
        <v/>
      </c>
      <c r="GG375" s="1149" t="str">
        <f t="shared" si="334"/>
        <v/>
      </c>
      <c r="GH375" s="1149" t="str">
        <f t="shared" si="335"/>
        <v/>
      </c>
      <c r="GI375" s="1149" t="str">
        <f t="shared" si="336"/>
        <v/>
      </c>
      <c r="GJ375" s="1149" t="str">
        <f t="shared" si="337"/>
        <v/>
      </c>
      <c r="GK375" s="1149" t="str">
        <f t="shared" si="338"/>
        <v/>
      </c>
      <c r="GL375" s="1149" t="str">
        <f t="shared" si="339"/>
        <v/>
      </c>
      <c r="GM375" s="1149" t="str">
        <f t="shared" si="340"/>
        <v/>
      </c>
      <c r="GN375" s="1149" t="str">
        <f t="shared" si="341"/>
        <v/>
      </c>
      <c r="GO375" s="1149" t="str">
        <f t="shared" si="342"/>
        <v/>
      </c>
      <c r="GP375" s="1149" t="str">
        <f t="shared" si="343"/>
        <v/>
      </c>
      <c r="GQ375" s="1149" t="str">
        <f t="shared" si="344"/>
        <v/>
      </c>
      <c r="GR375" s="1149" t="str">
        <f t="shared" si="345"/>
        <v/>
      </c>
      <c r="GS375" s="1149" t="str">
        <f t="shared" si="346"/>
        <v/>
      </c>
      <c r="GT375" s="1149">
        <f t="shared" si="357"/>
        <v>0</v>
      </c>
      <c r="GU375" s="1149">
        <f t="shared" si="358"/>
        <v>0</v>
      </c>
      <c r="GV375" s="1149">
        <f t="shared" si="359"/>
        <v>0</v>
      </c>
      <c r="GW375" s="1149" t="b">
        <f t="shared" si="360"/>
        <v>0</v>
      </c>
      <c r="GX375" s="1149" t="b">
        <f t="shared" si="361"/>
        <v>0</v>
      </c>
      <c r="GY375" s="1149" t="b">
        <f t="shared" si="362"/>
        <v>0</v>
      </c>
      <c r="GZ375" s="1149" t="str">
        <f t="shared" si="180"/>
        <v/>
      </c>
      <c r="HB375" s="1149" t="str">
        <f t="shared" si="363"/>
        <v/>
      </c>
      <c r="HC375" s="1149" t="str">
        <f t="shared" si="364"/>
        <v/>
      </c>
      <c r="HD375" s="1149" t="str">
        <f t="shared" si="365"/>
        <v/>
      </c>
      <c r="HE375" s="1149" t="str">
        <f t="shared" si="366"/>
        <v/>
      </c>
      <c r="HF375" s="1149" t="str">
        <f t="shared" si="367"/>
        <v/>
      </c>
      <c r="HG375" s="1149" t="str">
        <f t="shared" si="368"/>
        <v/>
      </c>
      <c r="HH375" s="1149" t="str">
        <f t="shared" si="369"/>
        <v/>
      </c>
      <c r="HI375" s="1149" t="str">
        <f t="shared" si="370"/>
        <v/>
      </c>
      <c r="HJ375" s="1149" t="str">
        <f t="shared" si="371"/>
        <v/>
      </c>
      <c r="HK375" s="1149" t="str">
        <f t="shared" si="372"/>
        <v/>
      </c>
      <c r="HL375" s="1149" t="str">
        <f t="shared" si="373"/>
        <v/>
      </c>
      <c r="HM375" s="1149" t="str">
        <f t="shared" si="374"/>
        <v/>
      </c>
      <c r="HN375" s="1149" t="str">
        <f t="shared" si="375"/>
        <v/>
      </c>
      <c r="HO375" s="1149" t="str">
        <f t="shared" si="376"/>
        <v/>
      </c>
      <c r="HP375" s="1149" t="str">
        <f t="shared" si="377"/>
        <v/>
      </c>
      <c r="HQ375" s="1149" t="str">
        <f t="shared" si="378"/>
        <v/>
      </c>
      <c r="HR375" s="1149" t="str">
        <f t="shared" si="379"/>
        <v/>
      </c>
      <c r="HT375" s="1149">
        <f>LEFT(M375,1)*10000+MID(M375,3,LEN(M375)-3)*100+COUNTIF($M$307:M375,M375)</f>
        <v>40601</v>
      </c>
      <c r="HU375" s="1149" t="str">
        <f t="shared" si="380"/>
        <v/>
      </c>
      <c r="HV375" s="1149" t="str">
        <f t="shared" si="381"/>
        <v/>
      </c>
      <c r="HW375" s="1149" t="str">
        <f t="shared" si="382"/>
        <v/>
      </c>
      <c r="HX375" s="1149" t="str">
        <f t="shared" si="383"/>
        <v/>
      </c>
    </row>
    <row r="376" spans="1:232" s="69" customFormat="1" ht="50.15" customHeight="1">
      <c r="A376" s="645"/>
      <c r="B376" s="645"/>
      <c r="C376" s="645"/>
      <c r="D376" s="645"/>
      <c r="E376" s="646"/>
      <c r="F376" s="381"/>
      <c r="G376" s="381"/>
      <c r="H376" s="381"/>
      <c r="I376" s="1169"/>
      <c r="J376" s="80"/>
      <c r="K376" s="89"/>
      <c r="L376" s="89"/>
      <c r="M376" s="1967" t="s">
        <v>1228</v>
      </c>
      <c r="N376" s="1967"/>
      <c r="O376" s="1968"/>
      <c r="P376" s="2016"/>
      <c r="Q376" s="2016"/>
      <c r="R376" s="1966"/>
      <c r="S376" s="1966"/>
      <c r="T376" s="1966"/>
      <c r="U376" s="1899" t="s">
        <v>85</v>
      </c>
      <c r="V376" s="1899"/>
      <c r="W376" s="1899"/>
      <c r="X376" s="1899"/>
      <c r="Y376" s="1899"/>
      <c r="Z376" s="1899"/>
      <c r="AA376" s="1899"/>
      <c r="AB376" s="1899"/>
      <c r="AC376" s="1899"/>
      <c r="AD376" s="1899"/>
      <c r="AE376" s="1899"/>
      <c r="AF376" s="2007"/>
      <c r="AG376" s="2008"/>
      <c r="AH376" s="2008"/>
      <c r="AI376" s="2008"/>
      <c r="AJ376" s="2008"/>
      <c r="AK376" s="2008"/>
      <c r="AL376" s="2008"/>
      <c r="AM376" s="2008"/>
      <c r="AN376" s="2008"/>
      <c r="AO376" s="2008"/>
      <c r="AP376" s="2008"/>
      <c r="AQ376" s="2009"/>
      <c r="AR376" s="1910"/>
      <c r="AS376" s="1910"/>
      <c r="AT376" s="1993"/>
      <c r="AU376" s="1993"/>
      <c r="AV376" s="1993"/>
      <c r="AW376" s="1993"/>
      <c r="AX376" s="1993"/>
      <c r="AY376" s="1993"/>
      <c r="AZ376" s="1993"/>
      <c r="BA376" s="1993"/>
      <c r="BB376" s="1993"/>
      <c r="BC376" s="1993"/>
      <c r="BD376" s="1993"/>
      <c r="BE376" s="1993"/>
      <c r="BF376" s="1993"/>
      <c r="BG376" s="1993"/>
      <c r="BH376" s="1993"/>
      <c r="BI376" s="1993"/>
      <c r="BJ376" s="1993"/>
      <c r="BK376" s="1993"/>
      <c r="BL376" s="1993"/>
      <c r="BM376" s="1993"/>
      <c r="BN376" s="1993"/>
      <c r="BO376" s="1993"/>
      <c r="BP376" s="1993"/>
      <c r="BQ376" s="1993"/>
      <c r="BR376" s="1993"/>
      <c r="BS376" s="1895"/>
      <c r="BT376" s="1895"/>
      <c r="BU376" s="1895"/>
      <c r="BV376" s="1889"/>
      <c r="BW376" s="1889"/>
      <c r="BX376" s="1889"/>
      <c r="BY376" s="1889"/>
      <c r="BZ376" s="1896"/>
      <c r="CA376" s="1896"/>
      <c r="CB376" s="2022"/>
      <c r="CC376" s="2023"/>
      <c r="CD376" s="2023"/>
      <c r="CE376" s="2023"/>
      <c r="CF376" s="2023"/>
      <c r="CG376" s="2023"/>
      <c r="CH376" s="2023"/>
      <c r="CI376" s="2023"/>
      <c r="CJ376" s="2023"/>
      <c r="CK376" s="2023"/>
      <c r="CL376" s="2023"/>
      <c r="CM376" s="2023"/>
      <c r="CN376" s="2023"/>
      <c r="CO376" s="2023"/>
      <c r="CP376" s="2023"/>
      <c r="CQ376" s="2023"/>
      <c r="CR376" s="2023"/>
      <c r="CS376" s="2023"/>
      <c r="CT376" s="2023"/>
      <c r="CU376" s="2024"/>
      <c r="CV376" s="2360" t="str">
        <f t="shared" si="301"/>
        <v/>
      </c>
      <c r="CW376" s="2360"/>
      <c r="CX376" s="2360"/>
      <c r="CY376" s="2360"/>
      <c r="CZ376" s="2360"/>
      <c r="DA376" s="2360"/>
      <c r="DC376" s="600" t="str">
        <f t="shared" si="302"/>
        <v/>
      </c>
      <c r="DD376" s="381"/>
      <c r="DF376" s="34"/>
      <c r="DG376" s="34"/>
      <c r="DH376" s="34"/>
      <c r="DI376" s="34"/>
      <c r="DJ376" s="858" t="s">
        <v>5637</v>
      </c>
      <c r="DK376" s="1707" t="str">
        <f t="shared" si="347"/>
        <v/>
      </c>
      <c r="DL376" s="1692" t="str">
        <f t="shared" si="348"/>
        <v/>
      </c>
      <c r="DM376" s="1691">
        <f t="shared" si="303"/>
        <v>0</v>
      </c>
      <c r="DN376" s="111">
        <f t="shared" si="304"/>
        <v>0</v>
      </c>
      <c r="DO376" s="111">
        <f t="shared" si="305"/>
        <v>0</v>
      </c>
      <c r="DP376" s="474">
        <f t="shared" si="306"/>
        <v>0</v>
      </c>
      <c r="DQ376" s="123" t="s">
        <v>770</v>
      </c>
      <c r="DR376" s="473" t="str">
        <f>IF($U376="",R375,U376)</f>
        <v>組積造の壁の室内に面する部分の躯体の劣化及び損傷の状況</v>
      </c>
      <c r="DS376" s="112">
        <f t="shared" si="308"/>
        <v>0</v>
      </c>
      <c r="DT376" s="118" t="str">
        <f t="shared" si="309"/>
        <v/>
      </c>
      <c r="DU376" s="452" t="str">
        <f t="shared" si="310"/>
        <v/>
      </c>
      <c r="DV376" s="151" t="str">
        <f>IF($DT376="要是正",MAX($DV$366:DV375)+1,"")</f>
        <v/>
      </c>
      <c r="DW376" s="119" t="str">
        <f t="shared" si="311"/>
        <v/>
      </c>
      <c r="DX376" s="119" t="str">
        <f t="shared" si="312"/>
        <v/>
      </c>
      <c r="DY376" s="33" t="str">
        <f t="shared" si="313"/>
        <v/>
      </c>
      <c r="DZ376" s="217" t="str">
        <f t="shared" si="314"/>
        <v/>
      </c>
      <c r="EA376" s="466" t="str">
        <f t="shared" si="315"/>
        <v/>
      </c>
      <c r="EB376" s="234" t="str">
        <f t="shared" si="316"/>
        <v/>
      </c>
      <c r="EC376" s="227" t="str">
        <f t="shared" si="317"/>
        <v>0</v>
      </c>
      <c r="ED376" s="148" t="str">
        <f t="shared" si="349"/>
        <v/>
      </c>
      <c r="EE376" s="227" t="str">
        <f t="shared" si="350"/>
        <v>0</v>
      </c>
      <c r="EF376" s="130" t="str">
        <f t="shared" si="318"/>
        <v/>
      </c>
      <c r="EG376" s="204" t="str">
        <f t="shared" si="319"/>
        <v/>
      </c>
      <c r="EH376" s="134" t="str">
        <f t="shared" si="320"/>
        <v>0</v>
      </c>
      <c r="EI376" s="148" t="str">
        <f t="shared" si="351"/>
        <v/>
      </c>
      <c r="EJ376" s="227" t="str">
        <f t="shared" si="352"/>
        <v>0</v>
      </c>
      <c r="EK376" s="451" t="str">
        <f t="shared" si="321"/>
        <v/>
      </c>
      <c r="EL376" s="452" t="e">
        <f t="shared" si="322"/>
        <v>#N/A</v>
      </c>
      <c r="EM376" s="151" t="e">
        <f t="shared" si="323"/>
        <v>#N/A</v>
      </c>
      <c r="EN376" s="453" t="e">
        <f t="shared" si="324"/>
        <v>#N/A</v>
      </c>
      <c r="FK376" s="597" t="str">
        <f t="shared" si="325"/>
        <v/>
      </c>
      <c r="FL376" s="597" t="str">
        <f t="shared" si="71"/>
        <v/>
      </c>
      <c r="FM376" s="597" t="str">
        <f t="shared" si="72"/>
        <v/>
      </c>
      <c r="FN376" s="597">
        <f t="shared" si="326"/>
        <v>0</v>
      </c>
      <c r="FO376" s="1163" t="str">
        <f t="shared" si="327"/>
        <v/>
      </c>
      <c r="FQ376" s="234" t="str">
        <f t="shared" si="328"/>
        <v/>
      </c>
      <c r="FR376" s="227" t="str">
        <f t="shared" si="329"/>
        <v>0</v>
      </c>
      <c r="FS376" s="148" t="str">
        <f t="shared" si="330"/>
        <v/>
      </c>
      <c r="FT376" s="227" t="str">
        <f t="shared" si="353"/>
        <v>0</v>
      </c>
      <c r="FU376" s="416" t="str">
        <f t="shared" si="331"/>
        <v/>
      </c>
      <c r="FW376" s="1160">
        <f t="shared" si="220"/>
        <v>0</v>
      </c>
      <c r="FX376" s="123"/>
      <c r="FY376" s="123"/>
      <c r="FZ376" s="1161"/>
      <c r="GA376" s="34"/>
      <c r="GB376" s="1149">
        <f t="shared" si="354"/>
        <v>0</v>
      </c>
      <c r="GC376" s="1149">
        <f t="shared" si="355"/>
        <v>0</v>
      </c>
      <c r="GD376" s="1149">
        <f t="shared" si="356"/>
        <v>0</v>
      </c>
      <c r="GE376" s="1149" t="str">
        <f t="shared" si="332"/>
        <v/>
      </c>
      <c r="GF376" s="1149" t="str">
        <f t="shared" si="333"/>
        <v/>
      </c>
      <c r="GG376" s="1149" t="str">
        <f t="shared" si="334"/>
        <v/>
      </c>
      <c r="GH376" s="1149" t="str">
        <f t="shared" si="335"/>
        <v/>
      </c>
      <c r="GI376" s="1149" t="str">
        <f t="shared" si="336"/>
        <v/>
      </c>
      <c r="GJ376" s="1149" t="str">
        <f t="shared" si="337"/>
        <v/>
      </c>
      <c r="GK376" s="1149" t="str">
        <f t="shared" si="338"/>
        <v/>
      </c>
      <c r="GL376" s="1149" t="str">
        <f t="shared" si="339"/>
        <v/>
      </c>
      <c r="GM376" s="1149" t="str">
        <f t="shared" si="340"/>
        <v/>
      </c>
      <c r="GN376" s="1149" t="str">
        <f t="shared" si="341"/>
        <v/>
      </c>
      <c r="GO376" s="1149" t="str">
        <f t="shared" si="342"/>
        <v/>
      </c>
      <c r="GP376" s="1149" t="str">
        <f t="shared" si="343"/>
        <v/>
      </c>
      <c r="GQ376" s="1149" t="str">
        <f t="shared" si="344"/>
        <v/>
      </c>
      <c r="GR376" s="1149" t="str">
        <f t="shared" si="345"/>
        <v/>
      </c>
      <c r="GS376" s="1149" t="str">
        <f t="shared" si="346"/>
        <v/>
      </c>
      <c r="GT376" s="1149">
        <f t="shared" si="357"/>
        <v>0</v>
      </c>
      <c r="GU376" s="1149">
        <f t="shared" si="358"/>
        <v>0</v>
      </c>
      <c r="GV376" s="1149">
        <f t="shared" si="359"/>
        <v>0</v>
      </c>
      <c r="GW376" s="1149" t="b">
        <f t="shared" si="360"/>
        <v>0</v>
      </c>
      <c r="GX376" s="1149" t="b">
        <f t="shared" si="361"/>
        <v>0</v>
      </c>
      <c r="GY376" s="1149" t="b">
        <f t="shared" si="362"/>
        <v>0</v>
      </c>
      <c r="GZ376" s="1149" t="str">
        <f t="shared" si="180"/>
        <v/>
      </c>
      <c r="HB376" s="1149" t="str">
        <f t="shared" si="363"/>
        <v/>
      </c>
      <c r="HC376" s="1149" t="str">
        <f t="shared" si="364"/>
        <v/>
      </c>
      <c r="HD376" s="1149" t="str">
        <f t="shared" si="365"/>
        <v/>
      </c>
      <c r="HE376" s="1149" t="str">
        <f t="shared" si="366"/>
        <v/>
      </c>
      <c r="HF376" s="1149" t="str">
        <f t="shared" si="367"/>
        <v/>
      </c>
      <c r="HG376" s="1149" t="str">
        <f t="shared" si="368"/>
        <v/>
      </c>
      <c r="HH376" s="1149" t="str">
        <f t="shared" si="369"/>
        <v/>
      </c>
      <c r="HI376" s="1149" t="str">
        <f t="shared" si="370"/>
        <v/>
      </c>
      <c r="HJ376" s="1149" t="str">
        <f t="shared" si="371"/>
        <v/>
      </c>
      <c r="HK376" s="1149" t="str">
        <f t="shared" si="372"/>
        <v/>
      </c>
      <c r="HL376" s="1149" t="str">
        <f t="shared" si="373"/>
        <v/>
      </c>
      <c r="HM376" s="1149" t="str">
        <f t="shared" si="374"/>
        <v/>
      </c>
      <c r="HN376" s="1149" t="str">
        <f t="shared" si="375"/>
        <v/>
      </c>
      <c r="HO376" s="1149" t="str">
        <f t="shared" si="376"/>
        <v/>
      </c>
      <c r="HP376" s="1149" t="str">
        <f t="shared" si="377"/>
        <v/>
      </c>
      <c r="HQ376" s="1149" t="str">
        <f t="shared" si="378"/>
        <v/>
      </c>
      <c r="HR376" s="1149" t="str">
        <f t="shared" si="379"/>
        <v/>
      </c>
      <c r="HT376" s="1149">
        <f>LEFT(M376,1)*10000+MID(M376,3,LEN(M376)-3)*100+COUNTIF($M$307:M376,M376)</f>
        <v>40701</v>
      </c>
      <c r="HU376" s="1149" t="str">
        <f t="shared" si="380"/>
        <v/>
      </c>
      <c r="HV376" s="1149" t="str">
        <f t="shared" si="381"/>
        <v/>
      </c>
      <c r="HW376" s="1149" t="str">
        <f t="shared" si="382"/>
        <v/>
      </c>
      <c r="HX376" s="1149" t="str">
        <f t="shared" si="383"/>
        <v/>
      </c>
    </row>
    <row r="377" spans="1:232" s="69" customFormat="1" ht="50.15" customHeight="1">
      <c r="A377" s="645"/>
      <c r="B377" s="645"/>
      <c r="C377" s="645"/>
      <c r="D377" s="645"/>
      <c r="E377" s="646"/>
      <c r="F377" s="381"/>
      <c r="G377" s="381"/>
      <c r="H377" s="381"/>
      <c r="I377" s="1169"/>
      <c r="J377" s="80"/>
      <c r="K377" s="89"/>
      <c r="L377" s="89"/>
      <c r="M377" s="1967" t="s">
        <v>1229</v>
      </c>
      <c r="N377" s="1967"/>
      <c r="O377" s="1968"/>
      <c r="P377" s="2016"/>
      <c r="Q377" s="2016"/>
      <c r="R377" s="1966"/>
      <c r="S377" s="1966"/>
      <c r="T377" s="1966"/>
      <c r="U377" s="1899" t="s">
        <v>86</v>
      </c>
      <c r="V377" s="1899"/>
      <c r="W377" s="1899"/>
      <c r="X377" s="1899"/>
      <c r="Y377" s="1899"/>
      <c r="Z377" s="1899"/>
      <c r="AA377" s="1899"/>
      <c r="AB377" s="1899"/>
      <c r="AC377" s="1899"/>
      <c r="AD377" s="1899"/>
      <c r="AE377" s="1899"/>
      <c r="AF377" s="2007"/>
      <c r="AG377" s="2008"/>
      <c r="AH377" s="2008"/>
      <c r="AI377" s="2008"/>
      <c r="AJ377" s="2008"/>
      <c r="AK377" s="2008"/>
      <c r="AL377" s="2008"/>
      <c r="AM377" s="2008"/>
      <c r="AN377" s="2008"/>
      <c r="AO377" s="2008"/>
      <c r="AP377" s="2008"/>
      <c r="AQ377" s="2009"/>
      <c r="AR377" s="1910"/>
      <c r="AS377" s="1910"/>
      <c r="AT377" s="1993"/>
      <c r="AU377" s="1993"/>
      <c r="AV377" s="1993"/>
      <c r="AW377" s="1993"/>
      <c r="AX377" s="1993"/>
      <c r="AY377" s="1993"/>
      <c r="AZ377" s="1993"/>
      <c r="BA377" s="1993"/>
      <c r="BB377" s="1993"/>
      <c r="BC377" s="1993"/>
      <c r="BD377" s="1993"/>
      <c r="BE377" s="1993"/>
      <c r="BF377" s="1993"/>
      <c r="BG377" s="1993"/>
      <c r="BH377" s="1993"/>
      <c r="BI377" s="1993"/>
      <c r="BJ377" s="1993"/>
      <c r="BK377" s="1993"/>
      <c r="BL377" s="1993"/>
      <c r="BM377" s="1993"/>
      <c r="BN377" s="1993"/>
      <c r="BO377" s="1993"/>
      <c r="BP377" s="1993"/>
      <c r="BQ377" s="1993"/>
      <c r="BR377" s="1993"/>
      <c r="BS377" s="1895"/>
      <c r="BT377" s="1895"/>
      <c r="BU377" s="1895"/>
      <c r="BV377" s="1889"/>
      <c r="BW377" s="1889"/>
      <c r="BX377" s="1889"/>
      <c r="BY377" s="1889"/>
      <c r="BZ377" s="1896"/>
      <c r="CA377" s="1896"/>
      <c r="CB377" s="2022"/>
      <c r="CC377" s="2023"/>
      <c r="CD377" s="2023"/>
      <c r="CE377" s="2023"/>
      <c r="CF377" s="2023"/>
      <c r="CG377" s="2023"/>
      <c r="CH377" s="2023"/>
      <c r="CI377" s="2023"/>
      <c r="CJ377" s="2023"/>
      <c r="CK377" s="2023"/>
      <c r="CL377" s="2023"/>
      <c r="CM377" s="2023"/>
      <c r="CN377" s="2023"/>
      <c r="CO377" s="2023"/>
      <c r="CP377" s="2023"/>
      <c r="CQ377" s="2023"/>
      <c r="CR377" s="2023"/>
      <c r="CS377" s="2023"/>
      <c r="CT377" s="2023"/>
      <c r="CU377" s="2024"/>
      <c r="CV377" s="2360" t="str">
        <f t="shared" si="301"/>
        <v/>
      </c>
      <c r="CW377" s="2360"/>
      <c r="CX377" s="2360"/>
      <c r="CY377" s="2360"/>
      <c r="CZ377" s="2360"/>
      <c r="DA377" s="2360"/>
      <c r="DC377" s="600" t="str">
        <f t="shared" si="302"/>
        <v/>
      </c>
      <c r="DD377" s="381"/>
      <c r="DF377" s="34"/>
      <c r="DG377" s="34"/>
      <c r="DH377" s="34"/>
      <c r="DI377" s="34"/>
      <c r="DJ377" s="858" t="s">
        <v>5637</v>
      </c>
      <c r="DK377" s="1707" t="str">
        <f t="shared" si="347"/>
        <v/>
      </c>
      <c r="DL377" s="1692" t="str">
        <f t="shared" si="348"/>
        <v/>
      </c>
      <c r="DM377" s="1691">
        <f t="shared" si="303"/>
        <v>0</v>
      </c>
      <c r="DN377" s="111">
        <f t="shared" si="304"/>
        <v>0</v>
      </c>
      <c r="DO377" s="111">
        <f t="shared" si="305"/>
        <v>0</v>
      </c>
      <c r="DP377" s="474">
        <f t="shared" si="306"/>
        <v>0</v>
      </c>
      <c r="DQ377" s="123" t="s">
        <v>771</v>
      </c>
      <c r="DR377" s="473" t="str">
        <f>IF($U377="",R375,U377)</f>
        <v>補強コンクリートブロック造の壁の室内に面する部分の躯体の劣化及び損傷の状況</v>
      </c>
      <c r="DS377" s="112">
        <f t="shared" si="308"/>
        <v>0</v>
      </c>
      <c r="DT377" s="118" t="str">
        <f t="shared" si="309"/>
        <v/>
      </c>
      <c r="DU377" s="452" t="str">
        <f t="shared" si="310"/>
        <v/>
      </c>
      <c r="DV377" s="151" t="str">
        <f>IF($DT377="要是正",MAX($DV$366:DV376)+1,"")</f>
        <v/>
      </c>
      <c r="DW377" s="119" t="str">
        <f t="shared" si="311"/>
        <v/>
      </c>
      <c r="DX377" s="119" t="str">
        <f t="shared" si="312"/>
        <v/>
      </c>
      <c r="DY377" s="33" t="str">
        <f t="shared" si="313"/>
        <v/>
      </c>
      <c r="DZ377" s="217" t="str">
        <f t="shared" si="314"/>
        <v/>
      </c>
      <c r="EA377" s="466" t="str">
        <f t="shared" si="315"/>
        <v/>
      </c>
      <c r="EB377" s="234" t="str">
        <f t="shared" si="316"/>
        <v/>
      </c>
      <c r="EC377" s="227" t="str">
        <f t="shared" si="317"/>
        <v>0</v>
      </c>
      <c r="ED377" s="148" t="str">
        <f t="shared" si="349"/>
        <v/>
      </c>
      <c r="EE377" s="227" t="str">
        <f t="shared" si="350"/>
        <v>0</v>
      </c>
      <c r="EF377" s="130" t="str">
        <f t="shared" si="318"/>
        <v/>
      </c>
      <c r="EG377" s="204" t="str">
        <f t="shared" si="319"/>
        <v/>
      </c>
      <c r="EH377" s="134" t="str">
        <f t="shared" si="320"/>
        <v>0</v>
      </c>
      <c r="EI377" s="148" t="str">
        <f t="shared" si="351"/>
        <v/>
      </c>
      <c r="EJ377" s="227" t="str">
        <f t="shared" si="352"/>
        <v>0</v>
      </c>
      <c r="EK377" s="451" t="str">
        <f t="shared" si="321"/>
        <v/>
      </c>
      <c r="EL377" s="452" t="e">
        <f t="shared" si="322"/>
        <v>#N/A</v>
      </c>
      <c r="EM377" s="151" t="e">
        <f t="shared" si="323"/>
        <v>#N/A</v>
      </c>
      <c r="EN377" s="453" t="e">
        <f t="shared" si="324"/>
        <v>#N/A</v>
      </c>
      <c r="FK377" s="597" t="str">
        <f t="shared" si="325"/>
        <v/>
      </c>
      <c r="FL377" s="597" t="str">
        <f t="shared" si="71"/>
        <v/>
      </c>
      <c r="FM377" s="597" t="str">
        <f t="shared" si="72"/>
        <v/>
      </c>
      <c r="FN377" s="597">
        <f t="shared" si="326"/>
        <v>0</v>
      </c>
      <c r="FO377" s="1163" t="str">
        <f t="shared" si="327"/>
        <v/>
      </c>
      <c r="FQ377" s="234" t="str">
        <f t="shared" si="328"/>
        <v/>
      </c>
      <c r="FR377" s="227" t="str">
        <f t="shared" si="329"/>
        <v>0</v>
      </c>
      <c r="FS377" s="148" t="str">
        <f t="shared" si="330"/>
        <v/>
      </c>
      <c r="FT377" s="227" t="str">
        <f t="shared" si="353"/>
        <v>0</v>
      </c>
      <c r="FU377" s="416" t="str">
        <f t="shared" si="331"/>
        <v/>
      </c>
      <c r="FW377" s="1160">
        <f t="shared" si="220"/>
        <v>0</v>
      </c>
      <c r="FX377" s="123"/>
      <c r="FY377" s="123"/>
      <c r="FZ377" s="1161"/>
      <c r="GA377" s="34"/>
      <c r="GB377" s="1149">
        <f t="shared" si="354"/>
        <v>0</v>
      </c>
      <c r="GC377" s="1149">
        <f t="shared" si="355"/>
        <v>0</v>
      </c>
      <c r="GD377" s="1149">
        <f t="shared" si="356"/>
        <v>0</v>
      </c>
      <c r="GE377" s="1149" t="str">
        <f t="shared" si="332"/>
        <v/>
      </c>
      <c r="GF377" s="1149" t="str">
        <f t="shared" si="333"/>
        <v/>
      </c>
      <c r="GG377" s="1149" t="str">
        <f t="shared" si="334"/>
        <v/>
      </c>
      <c r="GH377" s="1149" t="str">
        <f t="shared" si="335"/>
        <v/>
      </c>
      <c r="GI377" s="1149" t="str">
        <f t="shared" si="336"/>
        <v/>
      </c>
      <c r="GJ377" s="1149" t="str">
        <f t="shared" si="337"/>
        <v/>
      </c>
      <c r="GK377" s="1149" t="str">
        <f t="shared" si="338"/>
        <v/>
      </c>
      <c r="GL377" s="1149" t="str">
        <f t="shared" si="339"/>
        <v/>
      </c>
      <c r="GM377" s="1149" t="str">
        <f t="shared" si="340"/>
        <v/>
      </c>
      <c r="GN377" s="1149" t="str">
        <f t="shared" si="341"/>
        <v/>
      </c>
      <c r="GO377" s="1149" t="str">
        <f t="shared" si="342"/>
        <v/>
      </c>
      <c r="GP377" s="1149" t="str">
        <f t="shared" si="343"/>
        <v/>
      </c>
      <c r="GQ377" s="1149" t="str">
        <f t="shared" si="344"/>
        <v/>
      </c>
      <c r="GR377" s="1149" t="str">
        <f t="shared" si="345"/>
        <v/>
      </c>
      <c r="GS377" s="1149" t="str">
        <f t="shared" si="346"/>
        <v/>
      </c>
      <c r="GT377" s="1149">
        <f t="shared" si="357"/>
        <v>0</v>
      </c>
      <c r="GU377" s="1149">
        <f t="shared" si="358"/>
        <v>0</v>
      </c>
      <c r="GV377" s="1149">
        <f t="shared" si="359"/>
        <v>0</v>
      </c>
      <c r="GW377" s="1149" t="b">
        <f t="shared" si="360"/>
        <v>0</v>
      </c>
      <c r="GX377" s="1149" t="b">
        <f t="shared" si="361"/>
        <v>0</v>
      </c>
      <c r="GY377" s="1149" t="b">
        <f t="shared" si="362"/>
        <v>0</v>
      </c>
      <c r="GZ377" s="1149" t="str">
        <f t="shared" si="180"/>
        <v/>
      </c>
      <c r="HB377" s="1149" t="str">
        <f t="shared" si="363"/>
        <v/>
      </c>
      <c r="HC377" s="1149" t="str">
        <f t="shared" si="364"/>
        <v/>
      </c>
      <c r="HD377" s="1149" t="str">
        <f t="shared" si="365"/>
        <v/>
      </c>
      <c r="HE377" s="1149" t="str">
        <f t="shared" si="366"/>
        <v/>
      </c>
      <c r="HF377" s="1149" t="str">
        <f t="shared" si="367"/>
        <v/>
      </c>
      <c r="HG377" s="1149" t="str">
        <f t="shared" si="368"/>
        <v/>
      </c>
      <c r="HH377" s="1149" t="str">
        <f t="shared" si="369"/>
        <v/>
      </c>
      <c r="HI377" s="1149" t="str">
        <f t="shared" si="370"/>
        <v/>
      </c>
      <c r="HJ377" s="1149" t="str">
        <f t="shared" si="371"/>
        <v/>
      </c>
      <c r="HK377" s="1149" t="str">
        <f t="shared" si="372"/>
        <v/>
      </c>
      <c r="HL377" s="1149" t="str">
        <f t="shared" si="373"/>
        <v/>
      </c>
      <c r="HM377" s="1149" t="str">
        <f t="shared" si="374"/>
        <v/>
      </c>
      <c r="HN377" s="1149" t="str">
        <f t="shared" si="375"/>
        <v/>
      </c>
      <c r="HO377" s="1149" t="str">
        <f t="shared" si="376"/>
        <v/>
      </c>
      <c r="HP377" s="1149" t="str">
        <f t="shared" si="377"/>
        <v/>
      </c>
      <c r="HQ377" s="1149" t="str">
        <f t="shared" si="378"/>
        <v/>
      </c>
      <c r="HR377" s="1149" t="str">
        <f t="shared" si="379"/>
        <v/>
      </c>
      <c r="HT377" s="1149">
        <f>LEFT(M377,1)*10000+MID(M377,3,LEN(M377)-3)*100+COUNTIF($M$307:M377,M377)</f>
        <v>40801</v>
      </c>
      <c r="HU377" s="1149" t="str">
        <f t="shared" si="380"/>
        <v/>
      </c>
      <c r="HV377" s="1149" t="str">
        <f t="shared" si="381"/>
        <v/>
      </c>
      <c r="HW377" s="1149" t="str">
        <f t="shared" si="382"/>
        <v/>
      </c>
      <c r="HX377" s="1149" t="str">
        <f t="shared" si="383"/>
        <v/>
      </c>
    </row>
    <row r="378" spans="1:232" s="69" customFormat="1" ht="50.15" customHeight="1">
      <c r="A378" s="645"/>
      <c r="B378" s="645"/>
      <c r="C378" s="645"/>
      <c r="D378" s="645"/>
      <c r="E378" s="646"/>
      <c r="F378" s="381"/>
      <c r="G378" s="381"/>
      <c r="H378" s="381"/>
      <c r="I378" s="1169"/>
      <c r="J378" s="80"/>
      <c r="K378" s="89"/>
      <c r="L378" s="89"/>
      <c r="M378" s="1967" t="s">
        <v>1230</v>
      </c>
      <c r="N378" s="1967"/>
      <c r="O378" s="1968"/>
      <c r="P378" s="2016"/>
      <c r="Q378" s="2016"/>
      <c r="R378" s="1966"/>
      <c r="S378" s="1966"/>
      <c r="T378" s="1966"/>
      <c r="U378" s="1899" t="s">
        <v>87</v>
      </c>
      <c r="V378" s="1899"/>
      <c r="W378" s="1899"/>
      <c r="X378" s="1899"/>
      <c r="Y378" s="1899"/>
      <c r="Z378" s="1899"/>
      <c r="AA378" s="1899"/>
      <c r="AB378" s="1899"/>
      <c r="AC378" s="1899"/>
      <c r="AD378" s="1899"/>
      <c r="AE378" s="1899"/>
      <c r="AF378" s="2007"/>
      <c r="AG378" s="2008"/>
      <c r="AH378" s="2008"/>
      <c r="AI378" s="2008"/>
      <c r="AJ378" s="2008"/>
      <c r="AK378" s="2008"/>
      <c r="AL378" s="2008"/>
      <c r="AM378" s="2008"/>
      <c r="AN378" s="2008"/>
      <c r="AO378" s="2008"/>
      <c r="AP378" s="2008"/>
      <c r="AQ378" s="2009"/>
      <c r="AR378" s="1910"/>
      <c r="AS378" s="1910"/>
      <c r="AT378" s="1993"/>
      <c r="AU378" s="1993"/>
      <c r="AV378" s="1993"/>
      <c r="AW378" s="1993"/>
      <c r="AX378" s="1993"/>
      <c r="AY378" s="1993"/>
      <c r="AZ378" s="1993"/>
      <c r="BA378" s="1993"/>
      <c r="BB378" s="1993"/>
      <c r="BC378" s="1993"/>
      <c r="BD378" s="1993"/>
      <c r="BE378" s="1993"/>
      <c r="BF378" s="1993"/>
      <c r="BG378" s="1993"/>
      <c r="BH378" s="1993"/>
      <c r="BI378" s="1993"/>
      <c r="BJ378" s="1993"/>
      <c r="BK378" s="1993"/>
      <c r="BL378" s="1993"/>
      <c r="BM378" s="1993"/>
      <c r="BN378" s="1993"/>
      <c r="BO378" s="1993"/>
      <c r="BP378" s="1993"/>
      <c r="BQ378" s="1993"/>
      <c r="BR378" s="1993"/>
      <c r="BS378" s="1895"/>
      <c r="BT378" s="1895"/>
      <c r="BU378" s="1895"/>
      <c r="BV378" s="1889"/>
      <c r="BW378" s="1889"/>
      <c r="BX378" s="1889"/>
      <c r="BY378" s="1889"/>
      <c r="BZ378" s="1896"/>
      <c r="CA378" s="1896"/>
      <c r="CB378" s="2022"/>
      <c r="CC378" s="2023"/>
      <c r="CD378" s="2023"/>
      <c r="CE378" s="2023"/>
      <c r="CF378" s="2023"/>
      <c r="CG378" s="2023"/>
      <c r="CH378" s="2023"/>
      <c r="CI378" s="2023"/>
      <c r="CJ378" s="2023"/>
      <c r="CK378" s="2023"/>
      <c r="CL378" s="2023"/>
      <c r="CM378" s="2023"/>
      <c r="CN378" s="2023"/>
      <c r="CO378" s="2023"/>
      <c r="CP378" s="2023"/>
      <c r="CQ378" s="2023"/>
      <c r="CR378" s="2023"/>
      <c r="CS378" s="2023"/>
      <c r="CT378" s="2023"/>
      <c r="CU378" s="2024"/>
      <c r="CV378" s="2360" t="str">
        <f t="shared" si="301"/>
        <v/>
      </c>
      <c r="CW378" s="2360"/>
      <c r="CX378" s="2360"/>
      <c r="CY378" s="2360"/>
      <c r="CZ378" s="2360"/>
      <c r="DA378" s="2360"/>
      <c r="DC378" s="600" t="str">
        <f t="shared" si="302"/>
        <v/>
      </c>
      <c r="DD378" s="381"/>
      <c r="DF378" s="34"/>
      <c r="DG378" s="34"/>
      <c r="DH378" s="34"/>
      <c r="DI378" s="34"/>
      <c r="DJ378" s="858" t="s">
        <v>5637</v>
      </c>
      <c r="DK378" s="1707" t="str">
        <f t="shared" si="347"/>
        <v/>
      </c>
      <c r="DL378" s="1692" t="str">
        <f t="shared" si="348"/>
        <v/>
      </c>
      <c r="DM378" s="1691">
        <f t="shared" si="303"/>
        <v>0</v>
      </c>
      <c r="DN378" s="111">
        <f t="shared" si="304"/>
        <v>0</v>
      </c>
      <c r="DO378" s="111">
        <f t="shared" si="305"/>
        <v>0</v>
      </c>
      <c r="DP378" s="474">
        <f t="shared" si="306"/>
        <v>0</v>
      </c>
      <c r="DQ378" s="123" t="s">
        <v>772</v>
      </c>
      <c r="DR378" s="473" t="str">
        <f>IF($U378="",R375,U378)</f>
        <v>鉄骨造の壁の室内に面する部分の躯体の劣化及び損傷の状況</v>
      </c>
      <c r="DS378" s="112">
        <f t="shared" si="308"/>
        <v>0</v>
      </c>
      <c r="DT378" s="118" t="str">
        <f t="shared" si="309"/>
        <v/>
      </c>
      <c r="DU378" s="452" t="str">
        <f t="shared" si="310"/>
        <v/>
      </c>
      <c r="DV378" s="151" t="str">
        <f>IF($DT378="要是正",MAX($DV$366:DV377)+1,"")</f>
        <v/>
      </c>
      <c r="DW378" s="119" t="str">
        <f t="shared" si="311"/>
        <v/>
      </c>
      <c r="DX378" s="119" t="str">
        <f t="shared" si="312"/>
        <v/>
      </c>
      <c r="DY378" s="33" t="str">
        <f t="shared" si="313"/>
        <v/>
      </c>
      <c r="DZ378" s="217" t="str">
        <f t="shared" si="314"/>
        <v/>
      </c>
      <c r="EA378" s="466" t="str">
        <f t="shared" si="315"/>
        <v/>
      </c>
      <c r="EB378" s="234" t="str">
        <f t="shared" si="316"/>
        <v/>
      </c>
      <c r="EC378" s="227" t="str">
        <f t="shared" si="317"/>
        <v>0</v>
      </c>
      <c r="ED378" s="148" t="str">
        <f t="shared" si="349"/>
        <v/>
      </c>
      <c r="EE378" s="227" t="str">
        <f t="shared" si="350"/>
        <v>0</v>
      </c>
      <c r="EF378" s="130" t="str">
        <f t="shared" si="318"/>
        <v/>
      </c>
      <c r="EG378" s="204" t="str">
        <f t="shared" si="319"/>
        <v/>
      </c>
      <c r="EH378" s="134" t="str">
        <f t="shared" si="320"/>
        <v>0</v>
      </c>
      <c r="EI378" s="148" t="str">
        <f t="shared" si="351"/>
        <v/>
      </c>
      <c r="EJ378" s="227" t="str">
        <f t="shared" si="352"/>
        <v>0</v>
      </c>
      <c r="EK378" s="451" t="str">
        <f t="shared" si="321"/>
        <v/>
      </c>
      <c r="EL378" s="452" t="e">
        <f t="shared" si="322"/>
        <v>#N/A</v>
      </c>
      <c r="EM378" s="151" t="e">
        <f t="shared" si="323"/>
        <v>#N/A</v>
      </c>
      <c r="EN378" s="453" t="e">
        <f t="shared" si="324"/>
        <v>#N/A</v>
      </c>
      <c r="FK378" s="597" t="str">
        <f t="shared" si="325"/>
        <v/>
      </c>
      <c r="FL378" s="597" t="str">
        <f t="shared" si="71"/>
        <v/>
      </c>
      <c r="FM378" s="597" t="str">
        <f t="shared" si="72"/>
        <v/>
      </c>
      <c r="FN378" s="597">
        <f t="shared" si="326"/>
        <v>0</v>
      </c>
      <c r="FO378" s="1163" t="str">
        <f t="shared" si="327"/>
        <v/>
      </c>
      <c r="FQ378" s="234" t="str">
        <f t="shared" si="328"/>
        <v/>
      </c>
      <c r="FR378" s="227" t="str">
        <f t="shared" si="329"/>
        <v>0</v>
      </c>
      <c r="FS378" s="148" t="str">
        <f t="shared" si="330"/>
        <v/>
      </c>
      <c r="FT378" s="227" t="str">
        <f t="shared" si="353"/>
        <v>0</v>
      </c>
      <c r="FU378" s="416" t="str">
        <f t="shared" si="331"/>
        <v/>
      </c>
      <c r="FW378" s="1160">
        <f t="shared" si="220"/>
        <v>0</v>
      </c>
      <c r="FX378" s="123"/>
      <c r="FY378" s="123"/>
      <c r="FZ378" s="1161"/>
      <c r="GA378" s="34"/>
      <c r="GB378" s="1149">
        <f t="shared" si="354"/>
        <v>0</v>
      </c>
      <c r="GC378" s="1149">
        <f t="shared" si="355"/>
        <v>0</v>
      </c>
      <c r="GD378" s="1149">
        <f t="shared" si="356"/>
        <v>0</v>
      </c>
      <c r="GE378" s="1149" t="str">
        <f t="shared" si="332"/>
        <v/>
      </c>
      <c r="GF378" s="1149" t="str">
        <f t="shared" si="333"/>
        <v/>
      </c>
      <c r="GG378" s="1149" t="str">
        <f t="shared" si="334"/>
        <v/>
      </c>
      <c r="GH378" s="1149" t="str">
        <f t="shared" si="335"/>
        <v/>
      </c>
      <c r="GI378" s="1149" t="str">
        <f t="shared" si="336"/>
        <v/>
      </c>
      <c r="GJ378" s="1149" t="str">
        <f t="shared" si="337"/>
        <v/>
      </c>
      <c r="GK378" s="1149" t="str">
        <f t="shared" si="338"/>
        <v/>
      </c>
      <c r="GL378" s="1149" t="str">
        <f t="shared" si="339"/>
        <v/>
      </c>
      <c r="GM378" s="1149" t="str">
        <f t="shared" si="340"/>
        <v/>
      </c>
      <c r="GN378" s="1149" t="str">
        <f t="shared" si="341"/>
        <v/>
      </c>
      <c r="GO378" s="1149" t="str">
        <f t="shared" si="342"/>
        <v/>
      </c>
      <c r="GP378" s="1149" t="str">
        <f t="shared" si="343"/>
        <v/>
      </c>
      <c r="GQ378" s="1149" t="str">
        <f t="shared" si="344"/>
        <v/>
      </c>
      <c r="GR378" s="1149" t="str">
        <f t="shared" si="345"/>
        <v/>
      </c>
      <c r="GS378" s="1149" t="str">
        <f t="shared" si="346"/>
        <v/>
      </c>
      <c r="GT378" s="1149">
        <f t="shared" si="357"/>
        <v>0</v>
      </c>
      <c r="GU378" s="1149">
        <f t="shared" si="358"/>
        <v>0</v>
      </c>
      <c r="GV378" s="1149">
        <f t="shared" si="359"/>
        <v>0</v>
      </c>
      <c r="GW378" s="1149" t="b">
        <f t="shared" si="360"/>
        <v>0</v>
      </c>
      <c r="GX378" s="1149" t="b">
        <f t="shared" si="361"/>
        <v>0</v>
      </c>
      <c r="GY378" s="1149" t="b">
        <f t="shared" si="362"/>
        <v>0</v>
      </c>
      <c r="GZ378" s="1149" t="str">
        <f t="shared" si="180"/>
        <v/>
      </c>
      <c r="HB378" s="1149" t="str">
        <f t="shared" si="363"/>
        <v/>
      </c>
      <c r="HC378" s="1149" t="str">
        <f t="shared" si="364"/>
        <v/>
      </c>
      <c r="HD378" s="1149" t="str">
        <f t="shared" si="365"/>
        <v/>
      </c>
      <c r="HE378" s="1149" t="str">
        <f t="shared" si="366"/>
        <v/>
      </c>
      <c r="HF378" s="1149" t="str">
        <f t="shared" si="367"/>
        <v/>
      </c>
      <c r="HG378" s="1149" t="str">
        <f t="shared" si="368"/>
        <v/>
      </c>
      <c r="HH378" s="1149" t="str">
        <f t="shared" si="369"/>
        <v/>
      </c>
      <c r="HI378" s="1149" t="str">
        <f t="shared" si="370"/>
        <v/>
      </c>
      <c r="HJ378" s="1149" t="str">
        <f t="shared" si="371"/>
        <v/>
      </c>
      <c r="HK378" s="1149" t="str">
        <f t="shared" si="372"/>
        <v/>
      </c>
      <c r="HL378" s="1149" t="str">
        <f t="shared" si="373"/>
        <v/>
      </c>
      <c r="HM378" s="1149" t="str">
        <f t="shared" si="374"/>
        <v/>
      </c>
      <c r="HN378" s="1149" t="str">
        <f t="shared" si="375"/>
        <v/>
      </c>
      <c r="HO378" s="1149" t="str">
        <f t="shared" si="376"/>
        <v/>
      </c>
      <c r="HP378" s="1149" t="str">
        <f t="shared" si="377"/>
        <v/>
      </c>
      <c r="HQ378" s="1149" t="str">
        <f t="shared" si="378"/>
        <v/>
      </c>
      <c r="HR378" s="1149" t="str">
        <f t="shared" si="379"/>
        <v/>
      </c>
      <c r="HT378" s="1149">
        <f>LEFT(M378,1)*10000+MID(M378,3,LEN(M378)-3)*100+COUNTIF($M$307:M378,M378)</f>
        <v>40901</v>
      </c>
      <c r="HU378" s="1149" t="str">
        <f t="shared" si="380"/>
        <v/>
      </c>
      <c r="HV378" s="1149" t="str">
        <f t="shared" si="381"/>
        <v/>
      </c>
      <c r="HW378" s="1149" t="str">
        <f t="shared" si="382"/>
        <v/>
      </c>
      <c r="HX378" s="1149" t="str">
        <f t="shared" si="383"/>
        <v/>
      </c>
    </row>
    <row r="379" spans="1:232" s="69" customFormat="1" ht="50.15" customHeight="1">
      <c r="A379" s="645"/>
      <c r="B379" s="645"/>
      <c r="C379" s="645"/>
      <c r="D379" s="645"/>
      <c r="E379" s="646"/>
      <c r="F379" s="381"/>
      <c r="G379" s="381"/>
      <c r="H379" s="381"/>
      <c r="I379" s="1169"/>
      <c r="J379" s="80"/>
      <c r="K379" s="89"/>
      <c r="L379" s="89"/>
      <c r="M379" s="1967" t="s">
        <v>1231</v>
      </c>
      <c r="N379" s="1967"/>
      <c r="O379" s="1968"/>
      <c r="P379" s="2016"/>
      <c r="Q379" s="2016"/>
      <c r="R379" s="1966"/>
      <c r="S379" s="1966"/>
      <c r="T379" s="1966"/>
      <c r="U379" s="2018" t="s">
        <v>88</v>
      </c>
      <c r="V379" s="2018"/>
      <c r="W379" s="2018"/>
      <c r="X379" s="2018"/>
      <c r="Y379" s="2018"/>
      <c r="Z379" s="2018"/>
      <c r="AA379" s="2018"/>
      <c r="AB379" s="2018"/>
      <c r="AC379" s="2018"/>
      <c r="AD379" s="2018"/>
      <c r="AE379" s="2018"/>
      <c r="AF379" s="2104"/>
      <c r="AG379" s="2105"/>
      <c r="AH379" s="2105"/>
      <c r="AI379" s="2105"/>
      <c r="AJ379" s="2105"/>
      <c r="AK379" s="2105"/>
      <c r="AL379" s="2105"/>
      <c r="AM379" s="2105"/>
      <c r="AN379" s="2105"/>
      <c r="AO379" s="2105"/>
      <c r="AP379" s="2105"/>
      <c r="AQ379" s="2106"/>
      <c r="AR379" s="1965"/>
      <c r="AS379" s="1965"/>
      <c r="AT379" s="1999"/>
      <c r="AU379" s="1999"/>
      <c r="AV379" s="1999"/>
      <c r="AW379" s="1999"/>
      <c r="AX379" s="1999"/>
      <c r="AY379" s="1999"/>
      <c r="AZ379" s="1999"/>
      <c r="BA379" s="1999"/>
      <c r="BB379" s="1999"/>
      <c r="BC379" s="1999"/>
      <c r="BD379" s="1999"/>
      <c r="BE379" s="1999"/>
      <c r="BF379" s="1999"/>
      <c r="BG379" s="1999"/>
      <c r="BH379" s="1999"/>
      <c r="BI379" s="1999"/>
      <c r="BJ379" s="1999"/>
      <c r="BK379" s="1999"/>
      <c r="BL379" s="1999"/>
      <c r="BM379" s="1999"/>
      <c r="BN379" s="1999"/>
      <c r="BO379" s="1999"/>
      <c r="BP379" s="1999"/>
      <c r="BQ379" s="1999"/>
      <c r="BR379" s="1999"/>
      <c r="BS379" s="2081"/>
      <c r="BT379" s="2081"/>
      <c r="BU379" s="2081"/>
      <c r="BV379" s="1923"/>
      <c r="BW379" s="1923"/>
      <c r="BX379" s="1923"/>
      <c r="BY379" s="1923"/>
      <c r="BZ379" s="1924"/>
      <c r="CA379" s="1924"/>
      <c r="CB379" s="1892"/>
      <c r="CC379" s="1893"/>
      <c r="CD379" s="1893"/>
      <c r="CE379" s="1893"/>
      <c r="CF379" s="1893"/>
      <c r="CG379" s="1893"/>
      <c r="CH379" s="1893"/>
      <c r="CI379" s="1893"/>
      <c r="CJ379" s="1893"/>
      <c r="CK379" s="1893"/>
      <c r="CL379" s="1893"/>
      <c r="CM379" s="1893"/>
      <c r="CN379" s="1893"/>
      <c r="CO379" s="1893"/>
      <c r="CP379" s="1893"/>
      <c r="CQ379" s="1893"/>
      <c r="CR379" s="1893"/>
      <c r="CS379" s="1893"/>
      <c r="CT379" s="1893"/>
      <c r="CU379" s="1894"/>
      <c r="CV379" s="2360" t="str">
        <f t="shared" si="301"/>
        <v/>
      </c>
      <c r="CW379" s="2360"/>
      <c r="CX379" s="2360"/>
      <c r="CY379" s="2360"/>
      <c r="CZ379" s="2360"/>
      <c r="DA379" s="2360"/>
      <c r="DC379" s="600" t="str">
        <f t="shared" si="302"/>
        <v/>
      </c>
      <c r="DD379" s="381"/>
      <c r="DF379" s="34"/>
      <c r="DG379" s="34"/>
      <c r="DH379" s="34"/>
      <c r="DI379" s="34"/>
      <c r="DJ379" s="858" t="s">
        <v>5637</v>
      </c>
      <c r="DK379" s="1707" t="str">
        <f t="shared" si="347"/>
        <v/>
      </c>
      <c r="DL379" s="1692" t="str">
        <f t="shared" si="348"/>
        <v/>
      </c>
      <c r="DM379" s="1691">
        <f t="shared" si="303"/>
        <v>0</v>
      </c>
      <c r="DN379" s="111">
        <f t="shared" si="304"/>
        <v>0</v>
      </c>
      <c r="DO379" s="111">
        <f t="shared" si="305"/>
        <v>0</v>
      </c>
      <c r="DP379" s="474">
        <f t="shared" si="306"/>
        <v>0</v>
      </c>
      <c r="DQ379" s="123" t="s">
        <v>773</v>
      </c>
      <c r="DR379" s="473" t="str">
        <f>IF($U379="",R375,U379)</f>
        <v>鉄筋コンクリート造及び鉄骨鉄筋コンクリート造の壁の室内に面する部分の躯体の劣化及び損傷の状況</v>
      </c>
      <c r="DS379" s="112">
        <f t="shared" si="308"/>
        <v>0</v>
      </c>
      <c r="DT379" s="118" t="str">
        <f t="shared" si="309"/>
        <v/>
      </c>
      <c r="DU379" s="452" t="str">
        <f t="shared" si="310"/>
        <v/>
      </c>
      <c r="DV379" s="151" t="str">
        <f>IF($DT379="要是正",MAX($DV$366:DV378)+1,"")</f>
        <v/>
      </c>
      <c r="DW379" s="119" t="str">
        <f t="shared" si="311"/>
        <v/>
      </c>
      <c r="DX379" s="119" t="str">
        <f t="shared" si="312"/>
        <v/>
      </c>
      <c r="DY379" s="33" t="str">
        <f t="shared" si="313"/>
        <v/>
      </c>
      <c r="DZ379" s="217" t="str">
        <f t="shared" si="314"/>
        <v/>
      </c>
      <c r="EA379" s="466" t="str">
        <f t="shared" si="315"/>
        <v/>
      </c>
      <c r="EB379" s="234" t="str">
        <f t="shared" si="316"/>
        <v/>
      </c>
      <c r="EC379" s="227" t="str">
        <f t="shared" si="317"/>
        <v>0</v>
      </c>
      <c r="ED379" s="148" t="str">
        <f t="shared" si="349"/>
        <v/>
      </c>
      <c r="EE379" s="227" t="str">
        <f t="shared" si="350"/>
        <v>0</v>
      </c>
      <c r="EF379" s="130" t="str">
        <f t="shared" si="318"/>
        <v/>
      </c>
      <c r="EG379" s="204" t="str">
        <f t="shared" si="319"/>
        <v/>
      </c>
      <c r="EH379" s="134" t="str">
        <f t="shared" si="320"/>
        <v>0</v>
      </c>
      <c r="EI379" s="148" t="str">
        <f t="shared" si="351"/>
        <v/>
      </c>
      <c r="EJ379" s="227" t="str">
        <f t="shared" si="352"/>
        <v>0</v>
      </c>
      <c r="EK379" s="451" t="str">
        <f t="shared" si="321"/>
        <v/>
      </c>
      <c r="EL379" s="452" t="e">
        <f t="shared" si="322"/>
        <v>#N/A</v>
      </c>
      <c r="EM379" s="151" t="e">
        <f t="shared" si="323"/>
        <v>#N/A</v>
      </c>
      <c r="EN379" s="453" t="e">
        <f t="shared" si="324"/>
        <v>#N/A</v>
      </c>
      <c r="FK379" s="597" t="str">
        <f t="shared" si="325"/>
        <v/>
      </c>
      <c r="FL379" s="597" t="str">
        <f t="shared" si="71"/>
        <v/>
      </c>
      <c r="FM379" s="597" t="str">
        <f t="shared" si="72"/>
        <v/>
      </c>
      <c r="FN379" s="597">
        <f t="shared" si="326"/>
        <v>0</v>
      </c>
      <c r="FO379" s="1163" t="str">
        <f t="shared" si="327"/>
        <v/>
      </c>
      <c r="FQ379" s="234" t="str">
        <f t="shared" si="328"/>
        <v/>
      </c>
      <c r="FR379" s="227" t="str">
        <f t="shared" si="329"/>
        <v>0</v>
      </c>
      <c r="FS379" s="148" t="str">
        <f t="shared" si="330"/>
        <v/>
      </c>
      <c r="FT379" s="227" t="str">
        <f t="shared" si="353"/>
        <v>0</v>
      </c>
      <c r="FU379" s="416" t="str">
        <f t="shared" si="331"/>
        <v/>
      </c>
      <c r="FW379" s="1160">
        <f t="shared" si="220"/>
        <v>0</v>
      </c>
      <c r="FX379" s="123"/>
      <c r="FY379" s="123"/>
      <c r="FZ379" s="1161"/>
      <c r="GA379" s="34"/>
      <c r="GB379" s="1149">
        <f t="shared" si="354"/>
        <v>0</v>
      </c>
      <c r="GC379" s="1149">
        <f t="shared" si="355"/>
        <v>0</v>
      </c>
      <c r="GD379" s="1149">
        <f t="shared" si="356"/>
        <v>0</v>
      </c>
      <c r="GE379" s="1149" t="str">
        <f t="shared" si="332"/>
        <v/>
      </c>
      <c r="GF379" s="1149" t="str">
        <f t="shared" si="333"/>
        <v/>
      </c>
      <c r="GG379" s="1149" t="str">
        <f t="shared" si="334"/>
        <v/>
      </c>
      <c r="GH379" s="1149" t="str">
        <f t="shared" si="335"/>
        <v/>
      </c>
      <c r="GI379" s="1149" t="str">
        <f t="shared" si="336"/>
        <v/>
      </c>
      <c r="GJ379" s="1149" t="str">
        <f t="shared" si="337"/>
        <v/>
      </c>
      <c r="GK379" s="1149" t="str">
        <f t="shared" si="338"/>
        <v/>
      </c>
      <c r="GL379" s="1149" t="str">
        <f t="shared" si="339"/>
        <v/>
      </c>
      <c r="GM379" s="1149" t="str">
        <f t="shared" si="340"/>
        <v/>
      </c>
      <c r="GN379" s="1149" t="str">
        <f t="shared" si="341"/>
        <v/>
      </c>
      <c r="GO379" s="1149" t="str">
        <f t="shared" si="342"/>
        <v/>
      </c>
      <c r="GP379" s="1149" t="str">
        <f t="shared" si="343"/>
        <v/>
      </c>
      <c r="GQ379" s="1149" t="str">
        <f t="shared" si="344"/>
        <v/>
      </c>
      <c r="GR379" s="1149" t="str">
        <f t="shared" si="345"/>
        <v/>
      </c>
      <c r="GS379" s="1149" t="str">
        <f t="shared" si="346"/>
        <v/>
      </c>
      <c r="GT379" s="1149">
        <f t="shared" si="357"/>
        <v>0</v>
      </c>
      <c r="GU379" s="1149">
        <f t="shared" si="358"/>
        <v>0</v>
      </c>
      <c r="GV379" s="1149">
        <f t="shared" si="359"/>
        <v>0</v>
      </c>
      <c r="GW379" s="1149" t="b">
        <f t="shared" si="360"/>
        <v>0</v>
      </c>
      <c r="GX379" s="1149" t="b">
        <f t="shared" si="361"/>
        <v>0</v>
      </c>
      <c r="GY379" s="1149" t="b">
        <f t="shared" si="362"/>
        <v>0</v>
      </c>
      <c r="GZ379" s="1149" t="str">
        <f t="shared" si="180"/>
        <v/>
      </c>
      <c r="HB379" s="1149" t="str">
        <f t="shared" si="363"/>
        <v/>
      </c>
      <c r="HC379" s="1149" t="str">
        <f t="shared" si="364"/>
        <v/>
      </c>
      <c r="HD379" s="1149" t="str">
        <f t="shared" si="365"/>
        <v/>
      </c>
      <c r="HE379" s="1149" t="str">
        <f t="shared" si="366"/>
        <v/>
      </c>
      <c r="HF379" s="1149" t="str">
        <f t="shared" si="367"/>
        <v/>
      </c>
      <c r="HG379" s="1149" t="str">
        <f t="shared" si="368"/>
        <v/>
      </c>
      <c r="HH379" s="1149" t="str">
        <f t="shared" si="369"/>
        <v/>
      </c>
      <c r="HI379" s="1149" t="str">
        <f t="shared" si="370"/>
        <v/>
      </c>
      <c r="HJ379" s="1149" t="str">
        <f t="shared" si="371"/>
        <v/>
      </c>
      <c r="HK379" s="1149" t="str">
        <f t="shared" si="372"/>
        <v/>
      </c>
      <c r="HL379" s="1149" t="str">
        <f t="shared" si="373"/>
        <v/>
      </c>
      <c r="HM379" s="1149" t="str">
        <f t="shared" si="374"/>
        <v/>
      </c>
      <c r="HN379" s="1149" t="str">
        <f t="shared" si="375"/>
        <v/>
      </c>
      <c r="HO379" s="1149" t="str">
        <f t="shared" si="376"/>
        <v/>
      </c>
      <c r="HP379" s="1149" t="str">
        <f t="shared" si="377"/>
        <v/>
      </c>
      <c r="HQ379" s="1149" t="str">
        <f t="shared" si="378"/>
        <v/>
      </c>
      <c r="HR379" s="1149" t="str">
        <f t="shared" si="379"/>
        <v/>
      </c>
      <c r="HT379" s="1149">
        <f>LEFT(M379,1)*10000+MID(M379,3,LEN(M379)-3)*100+COUNTIF($M$307:M379,M379)</f>
        <v>41001</v>
      </c>
      <c r="HU379" s="1149" t="str">
        <f t="shared" si="380"/>
        <v/>
      </c>
      <c r="HV379" s="1149" t="str">
        <f t="shared" si="381"/>
        <v/>
      </c>
      <c r="HW379" s="1149" t="str">
        <f t="shared" si="382"/>
        <v/>
      </c>
      <c r="HX379" s="1149" t="str">
        <f t="shared" si="383"/>
        <v/>
      </c>
    </row>
    <row r="380" spans="1:232" s="69" customFormat="1" ht="50.15" customHeight="1">
      <c r="A380" s="645"/>
      <c r="B380" s="645"/>
      <c r="C380" s="645"/>
      <c r="D380" s="645"/>
      <c r="E380" s="646"/>
      <c r="F380" s="381"/>
      <c r="G380" s="381"/>
      <c r="H380" s="381"/>
      <c r="I380" s="1169"/>
      <c r="J380" s="80"/>
      <c r="K380" s="89"/>
      <c r="L380" s="89"/>
      <c r="M380" s="1967" t="s">
        <v>1232</v>
      </c>
      <c r="N380" s="1967"/>
      <c r="O380" s="1968"/>
      <c r="P380" s="2016"/>
      <c r="Q380" s="2016"/>
      <c r="R380" s="1962" t="s">
        <v>232</v>
      </c>
      <c r="S380" s="1962"/>
      <c r="T380" s="1962"/>
      <c r="U380" s="2011" t="s">
        <v>89</v>
      </c>
      <c r="V380" s="2011"/>
      <c r="W380" s="2011"/>
      <c r="X380" s="2011"/>
      <c r="Y380" s="2011"/>
      <c r="Z380" s="2011"/>
      <c r="AA380" s="2011"/>
      <c r="AB380" s="2011"/>
      <c r="AC380" s="2011"/>
      <c r="AD380" s="2011"/>
      <c r="AE380" s="2011"/>
      <c r="AF380" s="2019"/>
      <c r="AG380" s="2020"/>
      <c r="AH380" s="2020"/>
      <c r="AI380" s="2020"/>
      <c r="AJ380" s="2020"/>
      <c r="AK380" s="2020"/>
      <c r="AL380" s="2020"/>
      <c r="AM380" s="2020"/>
      <c r="AN380" s="2020"/>
      <c r="AO380" s="2020"/>
      <c r="AP380" s="2020"/>
      <c r="AQ380" s="2021"/>
      <c r="AR380" s="2017"/>
      <c r="AS380" s="2017"/>
      <c r="AT380" s="1929"/>
      <c r="AU380" s="1929"/>
      <c r="AV380" s="1929"/>
      <c r="AW380" s="1929"/>
      <c r="AX380" s="1929"/>
      <c r="AY380" s="1929"/>
      <c r="AZ380" s="1929"/>
      <c r="BA380" s="1929"/>
      <c r="BB380" s="1929"/>
      <c r="BC380" s="1929"/>
      <c r="BD380" s="1929"/>
      <c r="BE380" s="1929"/>
      <c r="BF380" s="1929"/>
      <c r="BG380" s="1929"/>
      <c r="BH380" s="1929"/>
      <c r="BI380" s="1929"/>
      <c r="BJ380" s="1929"/>
      <c r="BK380" s="1929"/>
      <c r="BL380" s="1929"/>
      <c r="BM380" s="1929"/>
      <c r="BN380" s="1929"/>
      <c r="BO380" s="1929"/>
      <c r="BP380" s="1929"/>
      <c r="BQ380" s="1929"/>
      <c r="BR380" s="1929"/>
      <c r="BS380" s="1885"/>
      <c r="BT380" s="1885"/>
      <c r="BU380" s="1885"/>
      <c r="BV380" s="1890"/>
      <c r="BW380" s="1890"/>
      <c r="BX380" s="1890"/>
      <c r="BY380" s="1890"/>
      <c r="BZ380" s="1891"/>
      <c r="CA380" s="1891"/>
      <c r="CB380" s="2356" t="s">
        <v>2827</v>
      </c>
      <c r="CC380" s="2357"/>
      <c r="CD380" s="2357"/>
      <c r="CE380" s="2357"/>
      <c r="CF380" s="2357"/>
      <c r="CG380" s="2357"/>
      <c r="CH380" s="2357"/>
      <c r="CI380" s="2357"/>
      <c r="CJ380" s="2357"/>
      <c r="CK380" s="2357"/>
      <c r="CL380" s="2357"/>
      <c r="CM380" s="2357"/>
      <c r="CN380" s="2357"/>
      <c r="CO380" s="2357"/>
      <c r="CP380" s="2357"/>
      <c r="CQ380" s="2357"/>
      <c r="CR380" s="2357"/>
      <c r="CS380" s="2357"/>
      <c r="CT380" s="2357"/>
      <c r="CU380" s="2358"/>
      <c r="CV380" s="2360" t="str">
        <f t="shared" si="301"/>
        <v/>
      </c>
      <c r="CW380" s="2360"/>
      <c r="CX380" s="2360"/>
      <c r="CY380" s="2360"/>
      <c r="CZ380" s="2360"/>
      <c r="DA380" s="2360"/>
      <c r="DC380" s="600" t="str">
        <f t="shared" si="302"/>
        <v/>
      </c>
      <c r="DD380" s="381"/>
      <c r="DF380" s="34"/>
      <c r="DG380" s="34"/>
      <c r="DH380" s="34"/>
      <c r="DI380" s="34"/>
      <c r="DJ380" s="858" t="s">
        <v>5637</v>
      </c>
      <c r="DK380" s="1707" t="str">
        <f t="shared" si="347"/>
        <v/>
      </c>
      <c r="DL380" s="1692" t="str">
        <f t="shared" si="348"/>
        <v/>
      </c>
      <c r="DM380" s="1691">
        <f t="shared" si="303"/>
        <v>0</v>
      </c>
      <c r="DN380" s="111">
        <f t="shared" si="304"/>
        <v>0</v>
      </c>
      <c r="DO380" s="111">
        <f t="shared" si="305"/>
        <v>0</v>
      </c>
      <c r="DP380" s="474">
        <f t="shared" si="306"/>
        <v>0</v>
      </c>
      <c r="DQ380" s="123" t="s">
        <v>774</v>
      </c>
      <c r="DR380" s="473" t="str">
        <f t="shared" si="307"/>
        <v>準耐火性能等の確保の状況</v>
      </c>
      <c r="DS380" s="112">
        <f t="shared" si="308"/>
        <v>0</v>
      </c>
      <c r="DT380" s="118" t="str">
        <f t="shared" si="309"/>
        <v/>
      </c>
      <c r="DU380" s="452" t="str">
        <f t="shared" si="310"/>
        <v/>
      </c>
      <c r="DV380" s="151" t="str">
        <f>IF($DT380="要是正",MAX($DV$366:DV379)+1,"")</f>
        <v/>
      </c>
      <c r="DW380" s="119" t="str">
        <f t="shared" si="311"/>
        <v/>
      </c>
      <c r="DX380" s="119" t="str">
        <f t="shared" si="312"/>
        <v/>
      </c>
      <c r="DY380" s="33" t="str">
        <f t="shared" si="313"/>
        <v/>
      </c>
      <c r="DZ380" s="217" t="str">
        <f t="shared" si="314"/>
        <v/>
      </c>
      <c r="EA380" s="466" t="str">
        <f t="shared" si="315"/>
        <v/>
      </c>
      <c r="EB380" s="234" t="str">
        <f t="shared" si="316"/>
        <v/>
      </c>
      <c r="EC380" s="227" t="str">
        <f t="shared" si="317"/>
        <v>0</v>
      </c>
      <c r="ED380" s="148" t="str">
        <f t="shared" si="349"/>
        <v/>
      </c>
      <c r="EE380" s="227" t="str">
        <f t="shared" si="350"/>
        <v>0</v>
      </c>
      <c r="EF380" s="130" t="str">
        <f t="shared" si="318"/>
        <v/>
      </c>
      <c r="EG380" s="204" t="str">
        <f t="shared" si="319"/>
        <v/>
      </c>
      <c r="EH380" s="134" t="str">
        <f t="shared" si="320"/>
        <v>0</v>
      </c>
      <c r="EI380" s="148" t="str">
        <f t="shared" si="351"/>
        <v/>
      </c>
      <c r="EJ380" s="227" t="str">
        <f t="shared" si="352"/>
        <v>0</v>
      </c>
      <c r="EK380" s="451" t="str">
        <f t="shared" si="321"/>
        <v/>
      </c>
      <c r="EL380" s="452" t="e">
        <f t="shared" si="322"/>
        <v>#N/A</v>
      </c>
      <c r="EM380" s="151" t="e">
        <f t="shared" si="323"/>
        <v>#N/A</v>
      </c>
      <c r="EN380" s="453" t="e">
        <f t="shared" si="324"/>
        <v>#N/A</v>
      </c>
      <c r="FK380" s="597" t="str">
        <f t="shared" si="325"/>
        <v/>
      </c>
      <c r="FL380" s="597" t="str">
        <f t="shared" si="71"/>
        <v/>
      </c>
      <c r="FM380" s="597" t="str">
        <f t="shared" si="72"/>
        <v/>
      </c>
      <c r="FN380" s="597">
        <f t="shared" si="326"/>
        <v>0</v>
      </c>
      <c r="FO380" s="1163" t="str">
        <f t="shared" si="327"/>
        <v/>
      </c>
      <c r="FQ380" s="234" t="str">
        <f t="shared" si="328"/>
        <v/>
      </c>
      <c r="FR380" s="227" t="str">
        <f t="shared" si="329"/>
        <v>0</v>
      </c>
      <c r="FS380" s="148" t="str">
        <f t="shared" si="330"/>
        <v/>
      </c>
      <c r="FT380" s="227" t="str">
        <f t="shared" si="353"/>
        <v>0</v>
      </c>
      <c r="FU380" s="416" t="str">
        <f t="shared" si="331"/>
        <v/>
      </c>
      <c r="FW380" s="1160">
        <f t="shared" si="220"/>
        <v>0</v>
      </c>
      <c r="FX380" s="123"/>
      <c r="FY380" s="123"/>
      <c r="FZ380" s="1161"/>
      <c r="GA380" s="34"/>
      <c r="GB380" s="1149">
        <f t="shared" si="354"/>
        <v>0</v>
      </c>
      <c r="GC380" s="1149">
        <f t="shared" si="355"/>
        <v>0</v>
      </c>
      <c r="GD380" s="1149">
        <f t="shared" si="356"/>
        <v>0</v>
      </c>
      <c r="GE380" s="1149" t="str">
        <f t="shared" si="332"/>
        <v/>
      </c>
      <c r="GF380" s="1149" t="str">
        <f t="shared" si="333"/>
        <v/>
      </c>
      <c r="GG380" s="1149" t="str">
        <f t="shared" si="334"/>
        <v/>
      </c>
      <c r="GH380" s="1149" t="str">
        <f t="shared" si="335"/>
        <v/>
      </c>
      <c r="GI380" s="1149" t="str">
        <f t="shared" si="336"/>
        <v/>
      </c>
      <c r="GJ380" s="1149" t="str">
        <f t="shared" si="337"/>
        <v/>
      </c>
      <c r="GK380" s="1149" t="str">
        <f t="shared" si="338"/>
        <v/>
      </c>
      <c r="GL380" s="1149" t="str">
        <f t="shared" si="339"/>
        <v/>
      </c>
      <c r="GM380" s="1149" t="str">
        <f t="shared" si="340"/>
        <v/>
      </c>
      <c r="GN380" s="1149" t="str">
        <f t="shared" si="341"/>
        <v/>
      </c>
      <c r="GO380" s="1149" t="str">
        <f t="shared" si="342"/>
        <v/>
      </c>
      <c r="GP380" s="1149" t="str">
        <f t="shared" si="343"/>
        <v/>
      </c>
      <c r="GQ380" s="1149" t="str">
        <f t="shared" si="344"/>
        <v/>
      </c>
      <c r="GR380" s="1149" t="str">
        <f t="shared" si="345"/>
        <v/>
      </c>
      <c r="GS380" s="1149" t="str">
        <f t="shared" si="346"/>
        <v/>
      </c>
      <c r="GT380" s="1149">
        <f t="shared" si="357"/>
        <v>0</v>
      </c>
      <c r="GU380" s="1149">
        <f t="shared" si="358"/>
        <v>0</v>
      </c>
      <c r="GV380" s="1149">
        <f t="shared" si="359"/>
        <v>0</v>
      </c>
      <c r="GW380" s="1149" t="b">
        <f t="shared" si="360"/>
        <v>0</v>
      </c>
      <c r="GX380" s="1149" t="b">
        <f t="shared" si="361"/>
        <v>0</v>
      </c>
      <c r="GY380" s="1149" t="b">
        <f t="shared" si="362"/>
        <v>0</v>
      </c>
      <c r="GZ380" s="1149" t="str">
        <f t="shared" si="180"/>
        <v/>
      </c>
      <c r="HB380" s="1149" t="str">
        <f t="shared" si="363"/>
        <v/>
      </c>
      <c r="HC380" s="1149" t="str">
        <f t="shared" si="364"/>
        <v/>
      </c>
      <c r="HD380" s="1149" t="str">
        <f t="shared" si="365"/>
        <v/>
      </c>
      <c r="HE380" s="1149" t="str">
        <f t="shared" si="366"/>
        <v/>
      </c>
      <c r="HF380" s="1149" t="str">
        <f t="shared" si="367"/>
        <v/>
      </c>
      <c r="HG380" s="1149" t="str">
        <f t="shared" si="368"/>
        <v/>
      </c>
      <c r="HH380" s="1149" t="str">
        <f t="shared" si="369"/>
        <v/>
      </c>
      <c r="HI380" s="1149" t="str">
        <f t="shared" si="370"/>
        <v/>
      </c>
      <c r="HJ380" s="1149" t="str">
        <f t="shared" si="371"/>
        <v/>
      </c>
      <c r="HK380" s="1149" t="str">
        <f t="shared" si="372"/>
        <v/>
      </c>
      <c r="HL380" s="1149" t="str">
        <f t="shared" si="373"/>
        <v/>
      </c>
      <c r="HM380" s="1149" t="str">
        <f t="shared" si="374"/>
        <v/>
      </c>
      <c r="HN380" s="1149" t="str">
        <f t="shared" si="375"/>
        <v/>
      </c>
      <c r="HO380" s="1149" t="str">
        <f t="shared" si="376"/>
        <v/>
      </c>
      <c r="HP380" s="1149" t="str">
        <f t="shared" si="377"/>
        <v/>
      </c>
      <c r="HQ380" s="1149" t="str">
        <f t="shared" si="378"/>
        <v/>
      </c>
      <c r="HR380" s="1149" t="str">
        <f t="shared" si="379"/>
        <v/>
      </c>
      <c r="HT380" s="1149">
        <f>LEFT(M380,1)*10000+MID(M380,3,LEN(M380)-3)*100+COUNTIF($M$307:M380,M380)</f>
        <v>41101</v>
      </c>
      <c r="HU380" s="1149" t="str">
        <f t="shared" si="380"/>
        <v/>
      </c>
      <c r="HV380" s="1149" t="str">
        <f t="shared" si="381"/>
        <v/>
      </c>
      <c r="HW380" s="1149" t="str">
        <f t="shared" si="382"/>
        <v/>
      </c>
      <c r="HX380" s="1149" t="str">
        <f t="shared" si="383"/>
        <v/>
      </c>
    </row>
    <row r="381" spans="1:232" s="69" customFormat="1" ht="50.15" customHeight="1">
      <c r="A381" s="645"/>
      <c r="B381" s="645"/>
      <c r="C381" s="645"/>
      <c r="D381" s="645"/>
      <c r="E381" s="646"/>
      <c r="F381" s="381"/>
      <c r="G381" s="381"/>
      <c r="H381" s="381"/>
      <c r="I381" s="1169"/>
      <c r="J381" s="80"/>
      <c r="K381" s="89"/>
      <c r="L381" s="89"/>
      <c r="M381" s="1967" t="s">
        <v>1233</v>
      </c>
      <c r="N381" s="1967"/>
      <c r="O381" s="1968"/>
      <c r="P381" s="2016"/>
      <c r="Q381" s="2016"/>
      <c r="R381" s="1962"/>
      <c r="S381" s="1962"/>
      <c r="T381" s="1962"/>
      <c r="U381" s="1899" t="s">
        <v>90</v>
      </c>
      <c r="V381" s="1899"/>
      <c r="W381" s="1899"/>
      <c r="X381" s="1899"/>
      <c r="Y381" s="1899"/>
      <c r="Z381" s="1899"/>
      <c r="AA381" s="1899"/>
      <c r="AB381" s="1899"/>
      <c r="AC381" s="1899"/>
      <c r="AD381" s="1899"/>
      <c r="AE381" s="1899"/>
      <c r="AF381" s="2007"/>
      <c r="AG381" s="2008"/>
      <c r="AH381" s="2008"/>
      <c r="AI381" s="2008"/>
      <c r="AJ381" s="2008"/>
      <c r="AK381" s="2008"/>
      <c r="AL381" s="2008"/>
      <c r="AM381" s="2008"/>
      <c r="AN381" s="2008"/>
      <c r="AO381" s="2008"/>
      <c r="AP381" s="2008"/>
      <c r="AQ381" s="2009"/>
      <c r="AR381" s="1910"/>
      <c r="AS381" s="1910"/>
      <c r="AT381" s="1993"/>
      <c r="AU381" s="1993"/>
      <c r="AV381" s="1993"/>
      <c r="AW381" s="1993"/>
      <c r="AX381" s="1993"/>
      <c r="AY381" s="1993"/>
      <c r="AZ381" s="1993"/>
      <c r="BA381" s="1993"/>
      <c r="BB381" s="1993"/>
      <c r="BC381" s="1993"/>
      <c r="BD381" s="1993"/>
      <c r="BE381" s="1993"/>
      <c r="BF381" s="1993"/>
      <c r="BG381" s="1993"/>
      <c r="BH381" s="1993"/>
      <c r="BI381" s="1993"/>
      <c r="BJ381" s="1993"/>
      <c r="BK381" s="1993"/>
      <c r="BL381" s="1993"/>
      <c r="BM381" s="1993"/>
      <c r="BN381" s="1993"/>
      <c r="BO381" s="1993"/>
      <c r="BP381" s="1993"/>
      <c r="BQ381" s="1993"/>
      <c r="BR381" s="1993"/>
      <c r="BS381" s="1895"/>
      <c r="BT381" s="1895"/>
      <c r="BU381" s="1895"/>
      <c r="BV381" s="1889"/>
      <c r="BW381" s="1889"/>
      <c r="BX381" s="1889"/>
      <c r="BY381" s="1889"/>
      <c r="BZ381" s="1896"/>
      <c r="CA381" s="1896"/>
      <c r="CB381" s="2040"/>
      <c r="CC381" s="2041"/>
      <c r="CD381" s="2041"/>
      <c r="CE381" s="2041"/>
      <c r="CF381" s="2041"/>
      <c r="CG381" s="2041"/>
      <c r="CH381" s="2041"/>
      <c r="CI381" s="2041"/>
      <c r="CJ381" s="2041"/>
      <c r="CK381" s="2041"/>
      <c r="CL381" s="2041"/>
      <c r="CM381" s="2041"/>
      <c r="CN381" s="2041"/>
      <c r="CO381" s="2041"/>
      <c r="CP381" s="2041"/>
      <c r="CQ381" s="2041"/>
      <c r="CR381" s="2041"/>
      <c r="CS381" s="2041"/>
      <c r="CT381" s="2041"/>
      <c r="CU381" s="2042"/>
      <c r="CV381" s="2360" t="str">
        <f t="shared" si="301"/>
        <v/>
      </c>
      <c r="CW381" s="2360"/>
      <c r="CX381" s="2360"/>
      <c r="CY381" s="2360"/>
      <c r="CZ381" s="2360"/>
      <c r="DA381" s="2360"/>
      <c r="DC381" s="600" t="str">
        <f t="shared" si="302"/>
        <v/>
      </c>
      <c r="DD381" s="381"/>
      <c r="DF381" s="34"/>
      <c r="DG381" s="34"/>
      <c r="DH381" s="34"/>
      <c r="DI381" s="34"/>
      <c r="DJ381" s="858" t="s">
        <v>5637</v>
      </c>
      <c r="DK381" s="1707" t="str">
        <f t="shared" si="347"/>
        <v/>
      </c>
      <c r="DL381" s="1692" t="str">
        <f t="shared" si="348"/>
        <v/>
      </c>
      <c r="DM381" s="1691">
        <f t="shared" si="303"/>
        <v>0</v>
      </c>
      <c r="DN381" s="111">
        <f t="shared" si="304"/>
        <v>0</v>
      </c>
      <c r="DO381" s="111">
        <f t="shared" si="305"/>
        <v>0</v>
      </c>
      <c r="DP381" s="474">
        <f t="shared" si="306"/>
        <v>0</v>
      </c>
      <c r="DQ381" s="123" t="s">
        <v>775</v>
      </c>
      <c r="DR381" s="473" t="str">
        <f>IF($U381="",R380,U381)</f>
        <v>部材の劣化及び損傷の状況</v>
      </c>
      <c r="DS381" s="112">
        <f t="shared" si="308"/>
        <v>0</v>
      </c>
      <c r="DT381" s="118" t="str">
        <f t="shared" si="309"/>
        <v/>
      </c>
      <c r="DU381" s="452" t="str">
        <f t="shared" si="310"/>
        <v/>
      </c>
      <c r="DV381" s="151" t="str">
        <f>IF($DT381="要是正",MAX($DV$366:DV380)+1,"")</f>
        <v/>
      </c>
      <c r="DW381" s="119" t="str">
        <f t="shared" si="311"/>
        <v/>
      </c>
      <c r="DX381" s="119" t="str">
        <f t="shared" si="312"/>
        <v/>
      </c>
      <c r="DY381" s="33" t="str">
        <f t="shared" si="313"/>
        <v/>
      </c>
      <c r="DZ381" s="217" t="str">
        <f t="shared" si="314"/>
        <v/>
      </c>
      <c r="EA381" s="466" t="str">
        <f t="shared" si="315"/>
        <v/>
      </c>
      <c r="EB381" s="234" t="str">
        <f t="shared" si="316"/>
        <v/>
      </c>
      <c r="EC381" s="227" t="str">
        <f t="shared" si="317"/>
        <v>0</v>
      </c>
      <c r="ED381" s="148" t="str">
        <f t="shared" si="349"/>
        <v/>
      </c>
      <c r="EE381" s="227" t="str">
        <f t="shared" si="350"/>
        <v>0</v>
      </c>
      <c r="EF381" s="130" t="str">
        <f t="shared" si="318"/>
        <v/>
      </c>
      <c r="EG381" s="204" t="str">
        <f t="shared" si="319"/>
        <v/>
      </c>
      <c r="EH381" s="134" t="str">
        <f t="shared" si="320"/>
        <v>0</v>
      </c>
      <c r="EI381" s="148" t="str">
        <f t="shared" si="351"/>
        <v/>
      </c>
      <c r="EJ381" s="227" t="str">
        <f t="shared" si="352"/>
        <v>0</v>
      </c>
      <c r="EK381" s="451" t="str">
        <f t="shared" si="321"/>
        <v/>
      </c>
      <c r="EL381" s="452" t="e">
        <f t="shared" si="322"/>
        <v>#N/A</v>
      </c>
      <c r="EM381" s="151" t="e">
        <f t="shared" si="323"/>
        <v>#N/A</v>
      </c>
      <c r="EN381" s="453" t="e">
        <f t="shared" si="324"/>
        <v>#N/A</v>
      </c>
      <c r="FK381" s="597" t="str">
        <f t="shared" si="325"/>
        <v/>
      </c>
      <c r="FL381" s="597" t="str">
        <f t="shared" si="71"/>
        <v/>
      </c>
      <c r="FM381" s="597" t="str">
        <f t="shared" si="72"/>
        <v/>
      </c>
      <c r="FN381" s="597">
        <f t="shared" si="326"/>
        <v>0</v>
      </c>
      <c r="FO381" s="1163" t="str">
        <f t="shared" si="327"/>
        <v/>
      </c>
      <c r="FQ381" s="234" t="str">
        <f t="shared" si="328"/>
        <v/>
      </c>
      <c r="FR381" s="227" t="str">
        <f t="shared" si="329"/>
        <v>0</v>
      </c>
      <c r="FS381" s="148" t="str">
        <f t="shared" si="330"/>
        <v/>
      </c>
      <c r="FT381" s="227" t="str">
        <f t="shared" si="353"/>
        <v>0</v>
      </c>
      <c r="FU381" s="416" t="str">
        <f t="shared" si="331"/>
        <v/>
      </c>
      <c r="FW381" s="1160">
        <f t="shared" si="220"/>
        <v>0</v>
      </c>
      <c r="FX381" s="123"/>
      <c r="FY381" s="123"/>
      <c r="FZ381" s="1161"/>
      <c r="GA381" s="34"/>
      <c r="GB381" s="1149">
        <f t="shared" si="354"/>
        <v>0</v>
      </c>
      <c r="GC381" s="1149">
        <f t="shared" si="355"/>
        <v>0</v>
      </c>
      <c r="GD381" s="1149">
        <f t="shared" si="356"/>
        <v>0</v>
      </c>
      <c r="GE381" s="1149" t="str">
        <f t="shared" si="332"/>
        <v/>
      </c>
      <c r="GF381" s="1149" t="str">
        <f t="shared" si="333"/>
        <v/>
      </c>
      <c r="GG381" s="1149" t="str">
        <f t="shared" si="334"/>
        <v/>
      </c>
      <c r="GH381" s="1149" t="str">
        <f t="shared" si="335"/>
        <v/>
      </c>
      <c r="GI381" s="1149" t="str">
        <f t="shared" si="336"/>
        <v/>
      </c>
      <c r="GJ381" s="1149" t="str">
        <f t="shared" si="337"/>
        <v/>
      </c>
      <c r="GK381" s="1149" t="str">
        <f t="shared" si="338"/>
        <v/>
      </c>
      <c r="GL381" s="1149" t="str">
        <f t="shared" si="339"/>
        <v/>
      </c>
      <c r="GM381" s="1149" t="str">
        <f t="shared" si="340"/>
        <v/>
      </c>
      <c r="GN381" s="1149" t="str">
        <f t="shared" si="341"/>
        <v/>
      </c>
      <c r="GO381" s="1149" t="str">
        <f t="shared" si="342"/>
        <v/>
      </c>
      <c r="GP381" s="1149" t="str">
        <f t="shared" si="343"/>
        <v/>
      </c>
      <c r="GQ381" s="1149" t="str">
        <f t="shared" si="344"/>
        <v/>
      </c>
      <c r="GR381" s="1149" t="str">
        <f t="shared" si="345"/>
        <v/>
      </c>
      <c r="GS381" s="1149" t="str">
        <f t="shared" si="346"/>
        <v/>
      </c>
      <c r="GT381" s="1149">
        <f t="shared" si="357"/>
        <v>0</v>
      </c>
      <c r="GU381" s="1149">
        <f t="shared" si="358"/>
        <v>0</v>
      </c>
      <c r="GV381" s="1149">
        <f t="shared" si="359"/>
        <v>0</v>
      </c>
      <c r="GW381" s="1149" t="b">
        <f t="shared" si="360"/>
        <v>0</v>
      </c>
      <c r="GX381" s="1149" t="b">
        <f t="shared" si="361"/>
        <v>0</v>
      </c>
      <c r="GY381" s="1149" t="b">
        <f t="shared" si="362"/>
        <v>0</v>
      </c>
      <c r="GZ381" s="1149" t="str">
        <f t="shared" si="180"/>
        <v/>
      </c>
      <c r="HB381" s="1149" t="str">
        <f t="shared" si="363"/>
        <v/>
      </c>
      <c r="HC381" s="1149" t="str">
        <f t="shared" si="364"/>
        <v/>
      </c>
      <c r="HD381" s="1149" t="str">
        <f t="shared" si="365"/>
        <v/>
      </c>
      <c r="HE381" s="1149" t="str">
        <f t="shared" si="366"/>
        <v/>
      </c>
      <c r="HF381" s="1149" t="str">
        <f t="shared" si="367"/>
        <v/>
      </c>
      <c r="HG381" s="1149" t="str">
        <f t="shared" si="368"/>
        <v/>
      </c>
      <c r="HH381" s="1149" t="str">
        <f t="shared" si="369"/>
        <v/>
      </c>
      <c r="HI381" s="1149" t="str">
        <f t="shared" si="370"/>
        <v/>
      </c>
      <c r="HJ381" s="1149" t="str">
        <f t="shared" si="371"/>
        <v/>
      </c>
      <c r="HK381" s="1149" t="str">
        <f t="shared" si="372"/>
        <v/>
      </c>
      <c r="HL381" s="1149" t="str">
        <f t="shared" si="373"/>
        <v/>
      </c>
      <c r="HM381" s="1149" t="str">
        <f t="shared" si="374"/>
        <v/>
      </c>
      <c r="HN381" s="1149" t="str">
        <f t="shared" si="375"/>
        <v/>
      </c>
      <c r="HO381" s="1149" t="str">
        <f t="shared" si="376"/>
        <v/>
      </c>
      <c r="HP381" s="1149" t="str">
        <f t="shared" si="377"/>
        <v/>
      </c>
      <c r="HQ381" s="1149" t="str">
        <f t="shared" si="378"/>
        <v/>
      </c>
      <c r="HR381" s="1149" t="str">
        <f t="shared" si="379"/>
        <v/>
      </c>
      <c r="HT381" s="1149">
        <f>LEFT(M381,1)*10000+MID(M381,3,LEN(M381)-3)*100+COUNTIF($M$307:M381,M381)</f>
        <v>41201</v>
      </c>
      <c r="HU381" s="1149" t="str">
        <f t="shared" si="380"/>
        <v/>
      </c>
      <c r="HV381" s="1149" t="str">
        <f t="shared" si="381"/>
        <v/>
      </c>
      <c r="HW381" s="1149" t="str">
        <f t="shared" si="382"/>
        <v/>
      </c>
      <c r="HX381" s="1149" t="str">
        <f t="shared" si="383"/>
        <v/>
      </c>
    </row>
    <row r="382" spans="1:232" s="69" customFormat="1" ht="50.15" customHeight="1">
      <c r="A382" s="645"/>
      <c r="B382" s="645"/>
      <c r="C382" s="645"/>
      <c r="D382" s="645"/>
      <c r="E382" s="646"/>
      <c r="F382" s="381"/>
      <c r="G382" s="381"/>
      <c r="H382" s="381"/>
      <c r="I382" s="1169"/>
      <c r="J382" s="80"/>
      <c r="K382" s="89"/>
      <c r="L382" s="89"/>
      <c r="M382" s="1967" t="s">
        <v>1234</v>
      </c>
      <c r="N382" s="1967"/>
      <c r="O382" s="1968"/>
      <c r="P382" s="2016"/>
      <c r="Q382" s="2016"/>
      <c r="R382" s="1962"/>
      <c r="S382" s="1962"/>
      <c r="T382" s="1962"/>
      <c r="U382" s="1899" t="s">
        <v>91</v>
      </c>
      <c r="V382" s="1899"/>
      <c r="W382" s="1899"/>
      <c r="X382" s="1899"/>
      <c r="Y382" s="1899"/>
      <c r="Z382" s="1899"/>
      <c r="AA382" s="1899"/>
      <c r="AB382" s="1899"/>
      <c r="AC382" s="1899"/>
      <c r="AD382" s="1899"/>
      <c r="AE382" s="1899"/>
      <c r="AF382" s="2007"/>
      <c r="AG382" s="2008"/>
      <c r="AH382" s="2008"/>
      <c r="AI382" s="2008"/>
      <c r="AJ382" s="2008"/>
      <c r="AK382" s="2008"/>
      <c r="AL382" s="2008"/>
      <c r="AM382" s="2008"/>
      <c r="AN382" s="2008"/>
      <c r="AO382" s="2008"/>
      <c r="AP382" s="2008"/>
      <c r="AQ382" s="2009"/>
      <c r="AR382" s="1910"/>
      <c r="AS382" s="1910"/>
      <c r="AT382" s="1993"/>
      <c r="AU382" s="1993"/>
      <c r="AV382" s="1993"/>
      <c r="AW382" s="1993"/>
      <c r="AX382" s="1993"/>
      <c r="AY382" s="1993"/>
      <c r="AZ382" s="1993"/>
      <c r="BA382" s="1993"/>
      <c r="BB382" s="1993"/>
      <c r="BC382" s="1993"/>
      <c r="BD382" s="1993"/>
      <c r="BE382" s="1993"/>
      <c r="BF382" s="1993"/>
      <c r="BG382" s="1993"/>
      <c r="BH382" s="1993"/>
      <c r="BI382" s="1993"/>
      <c r="BJ382" s="1993"/>
      <c r="BK382" s="1993"/>
      <c r="BL382" s="1993"/>
      <c r="BM382" s="1993"/>
      <c r="BN382" s="1993"/>
      <c r="BO382" s="1993"/>
      <c r="BP382" s="1993"/>
      <c r="BQ382" s="1993"/>
      <c r="BR382" s="1993"/>
      <c r="BS382" s="1895"/>
      <c r="BT382" s="1895"/>
      <c r="BU382" s="1895"/>
      <c r="BV382" s="1889"/>
      <c r="BW382" s="1889"/>
      <c r="BX382" s="1889"/>
      <c r="BY382" s="1889"/>
      <c r="BZ382" s="1896"/>
      <c r="CA382" s="1896"/>
      <c r="CB382" s="2373"/>
      <c r="CC382" s="2049"/>
      <c r="CD382" s="2049"/>
      <c r="CE382" s="2049"/>
      <c r="CF382" s="2049"/>
      <c r="CG382" s="2049"/>
      <c r="CH382" s="2049"/>
      <c r="CI382" s="2049"/>
      <c r="CJ382" s="2049"/>
      <c r="CK382" s="2049"/>
      <c r="CL382" s="2049"/>
      <c r="CM382" s="2049"/>
      <c r="CN382" s="2049"/>
      <c r="CO382" s="2049"/>
      <c r="CP382" s="2049"/>
      <c r="CQ382" s="2049"/>
      <c r="CR382" s="2049"/>
      <c r="CS382" s="2049"/>
      <c r="CT382" s="2049"/>
      <c r="CU382" s="2050"/>
      <c r="CV382" s="2360" t="str">
        <f t="shared" si="301"/>
        <v/>
      </c>
      <c r="CW382" s="2360"/>
      <c r="CX382" s="2360"/>
      <c r="CY382" s="2360"/>
      <c r="CZ382" s="2360"/>
      <c r="DA382" s="2360"/>
      <c r="DC382" s="600" t="str">
        <f t="shared" si="302"/>
        <v/>
      </c>
      <c r="DD382" s="381"/>
      <c r="DF382" s="34"/>
      <c r="DG382" s="34"/>
      <c r="DH382" s="34"/>
      <c r="DI382" s="34"/>
      <c r="DJ382" s="858" t="s">
        <v>5637</v>
      </c>
      <c r="DK382" s="1707" t="str">
        <f t="shared" si="347"/>
        <v/>
      </c>
      <c r="DL382" s="1692" t="str">
        <f t="shared" si="348"/>
        <v/>
      </c>
      <c r="DM382" s="1691">
        <f t="shared" si="303"/>
        <v>0</v>
      </c>
      <c r="DN382" s="111">
        <f t="shared" si="304"/>
        <v>0</v>
      </c>
      <c r="DO382" s="111">
        <f t="shared" si="305"/>
        <v>0</v>
      </c>
      <c r="DP382" s="474">
        <f t="shared" si="306"/>
        <v>0</v>
      </c>
      <c r="DQ382" s="123" t="s">
        <v>776</v>
      </c>
      <c r="DR382" s="473" t="str">
        <f>IF($U382="",R380,U382)</f>
        <v>鉄骨の耐火被覆の劣化及び損傷の状況</v>
      </c>
      <c r="DS382" s="112">
        <f t="shared" si="308"/>
        <v>0</v>
      </c>
      <c r="DT382" s="118" t="str">
        <f t="shared" si="309"/>
        <v/>
      </c>
      <c r="DU382" s="452" t="str">
        <f t="shared" si="310"/>
        <v/>
      </c>
      <c r="DV382" s="151" t="str">
        <f>IF($DT382="要是正",MAX($DV$366:DV381)+1,"")</f>
        <v/>
      </c>
      <c r="DW382" s="119" t="str">
        <f t="shared" si="311"/>
        <v/>
      </c>
      <c r="DX382" s="119" t="str">
        <f t="shared" si="312"/>
        <v/>
      </c>
      <c r="DY382" s="33" t="str">
        <f t="shared" si="313"/>
        <v/>
      </c>
      <c r="DZ382" s="217" t="str">
        <f t="shared" si="314"/>
        <v/>
      </c>
      <c r="EA382" s="466" t="str">
        <f t="shared" si="315"/>
        <v/>
      </c>
      <c r="EB382" s="234" t="str">
        <f t="shared" si="316"/>
        <v/>
      </c>
      <c r="EC382" s="227" t="str">
        <f t="shared" si="317"/>
        <v>0</v>
      </c>
      <c r="ED382" s="148" t="str">
        <f t="shared" si="349"/>
        <v/>
      </c>
      <c r="EE382" s="227" t="str">
        <f t="shared" si="350"/>
        <v>0</v>
      </c>
      <c r="EF382" s="130" t="str">
        <f t="shared" si="318"/>
        <v/>
      </c>
      <c r="EG382" s="204" t="str">
        <f t="shared" si="319"/>
        <v/>
      </c>
      <c r="EH382" s="134" t="str">
        <f t="shared" si="320"/>
        <v>0</v>
      </c>
      <c r="EI382" s="148" t="str">
        <f t="shared" si="351"/>
        <v/>
      </c>
      <c r="EJ382" s="227" t="str">
        <f t="shared" si="352"/>
        <v>0</v>
      </c>
      <c r="EK382" s="451" t="str">
        <f t="shared" si="321"/>
        <v/>
      </c>
      <c r="EL382" s="452" t="e">
        <f t="shared" si="322"/>
        <v>#N/A</v>
      </c>
      <c r="EM382" s="151" t="e">
        <f t="shared" si="323"/>
        <v>#N/A</v>
      </c>
      <c r="EN382" s="453" t="e">
        <f t="shared" si="324"/>
        <v>#N/A</v>
      </c>
      <c r="FK382" s="597" t="str">
        <f t="shared" si="325"/>
        <v/>
      </c>
      <c r="FL382" s="597" t="str">
        <f t="shared" si="71"/>
        <v/>
      </c>
      <c r="FM382" s="597" t="str">
        <f t="shared" si="72"/>
        <v/>
      </c>
      <c r="FN382" s="597">
        <f t="shared" si="326"/>
        <v>0</v>
      </c>
      <c r="FO382" s="1163" t="str">
        <f t="shared" si="327"/>
        <v/>
      </c>
      <c r="FQ382" s="234" t="str">
        <f t="shared" si="328"/>
        <v/>
      </c>
      <c r="FR382" s="227" t="str">
        <f t="shared" si="329"/>
        <v>0</v>
      </c>
      <c r="FS382" s="148" t="str">
        <f t="shared" si="330"/>
        <v/>
      </c>
      <c r="FT382" s="227" t="str">
        <f t="shared" si="353"/>
        <v>0</v>
      </c>
      <c r="FU382" s="416" t="str">
        <f t="shared" si="331"/>
        <v/>
      </c>
      <c r="FW382" s="1160">
        <f t="shared" si="220"/>
        <v>0</v>
      </c>
      <c r="FX382" s="123"/>
      <c r="FY382" s="123"/>
      <c r="FZ382" s="1161"/>
      <c r="GA382" s="34"/>
      <c r="GB382" s="1149">
        <f t="shared" si="354"/>
        <v>0</v>
      </c>
      <c r="GC382" s="1149">
        <f t="shared" si="355"/>
        <v>0</v>
      </c>
      <c r="GD382" s="1149">
        <f t="shared" si="356"/>
        <v>0</v>
      </c>
      <c r="GE382" s="1149" t="str">
        <f t="shared" si="332"/>
        <v/>
      </c>
      <c r="GF382" s="1149" t="str">
        <f t="shared" si="333"/>
        <v/>
      </c>
      <c r="GG382" s="1149" t="str">
        <f t="shared" si="334"/>
        <v/>
      </c>
      <c r="GH382" s="1149" t="str">
        <f t="shared" si="335"/>
        <v/>
      </c>
      <c r="GI382" s="1149" t="str">
        <f t="shared" si="336"/>
        <v/>
      </c>
      <c r="GJ382" s="1149" t="str">
        <f t="shared" si="337"/>
        <v/>
      </c>
      <c r="GK382" s="1149" t="str">
        <f t="shared" si="338"/>
        <v/>
      </c>
      <c r="GL382" s="1149" t="str">
        <f t="shared" si="339"/>
        <v/>
      </c>
      <c r="GM382" s="1149" t="str">
        <f t="shared" si="340"/>
        <v/>
      </c>
      <c r="GN382" s="1149" t="str">
        <f t="shared" si="341"/>
        <v/>
      </c>
      <c r="GO382" s="1149" t="str">
        <f t="shared" si="342"/>
        <v/>
      </c>
      <c r="GP382" s="1149" t="str">
        <f t="shared" si="343"/>
        <v/>
      </c>
      <c r="GQ382" s="1149" t="str">
        <f t="shared" si="344"/>
        <v/>
      </c>
      <c r="GR382" s="1149" t="str">
        <f t="shared" si="345"/>
        <v/>
      </c>
      <c r="GS382" s="1149" t="str">
        <f t="shared" si="346"/>
        <v/>
      </c>
      <c r="GT382" s="1149">
        <f t="shared" si="357"/>
        <v>0</v>
      </c>
      <c r="GU382" s="1149">
        <f t="shared" si="358"/>
        <v>0</v>
      </c>
      <c r="GV382" s="1149">
        <f t="shared" si="359"/>
        <v>0</v>
      </c>
      <c r="GW382" s="1149" t="b">
        <f t="shared" si="360"/>
        <v>0</v>
      </c>
      <c r="GX382" s="1149" t="b">
        <f t="shared" si="361"/>
        <v>0</v>
      </c>
      <c r="GY382" s="1149" t="b">
        <f t="shared" si="362"/>
        <v>0</v>
      </c>
      <c r="GZ382" s="1149" t="str">
        <f t="shared" si="180"/>
        <v/>
      </c>
      <c r="HB382" s="1149" t="str">
        <f t="shared" si="363"/>
        <v/>
      </c>
      <c r="HC382" s="1149" t="str">
        <f t="shared" si="364"/>
        <v/>
      </c>
      <c r="HD382" s="1149" t="str">
        <f t="shared" si="365"/>
        <v/>
      </c>
      <c r="HE382" s="1149" t="str">
        <f t="shared" si="366"/>
        <v/>
      </c>
      <c r="HF382" s="1149" t="str">
        <f t="shared" si="367"/>
        <v/>
      </c>
      <c r="HG382" s="1149" t="str">
        <f t="shared" si="368"/>
        <v/>
      </c>
      <c r="HH382" s="1149" t="str">
        <f t="shared" si="369"/>
        <v/>
      </c>
      <c r="HI382" s="1149" t="str">
        <f t="shared" si="370"/>
        <v/>
      </c>
      <c r="HJ382" s="1149" t="str">
        <f t="shared" si="371"/>
        <v/>
      </c>
      <c r="HK382" s="1149" t="str">
        <f t="shared" si="372"/>
        <v/>
      </c>
      <c r="HL382" s="1149" t="str">
        <f t="shared" si="373"/>
        <v/>
      </c>
      <c r="HM382" s="1149" t="str">
        <f t="shared" si="374"/>
        <v/>
      </c>
      <c r="HN382" s="1149" t="str">
        <f t="shared" si="375"/>
        <v/>
      </c>
      <c r="HO382" s="1149" t="str">
        <f t="shared" si="376"/>
        <v/>
      </c>
      <c r="HP382" s="1149" t="str">
        <f t="shared" si="377"/>
        <v/>
      </c>
      <c r="HQ382" s="1149" t="str">
        <f t="shared" si="378"/>
        <v/>
      </c>
      <c r="HR382" s="1149" t="str">
        <f t="shared" si="379"/>
        <v/>
      </c>
      <c r="HT382" s="1149">
        <f>LEFT(M382,1)*10000+MID(M382,3,LEN(M382)-3)*100+COUNTIF($M$307:M382,M382)</f>
        <v>41301</v>
      </c>
      <c r="HU382" s="1149" t="str">
        <f t="shared" si="380"/>
        <v/>
      </c>
      <c r="HV382" s="1149" t="str">
        <f t="shared" si="381"/>
        <v/>
      </c>
      <c r="HW382" s="1149" t="str">
        <f t="shared" si="382"/>
        <v/>
      </c>
      <c r="HX382" s="1149" t="str">
        <f t="shared" si="383"/>
        <v/>
      </c>
    </row>
    <row r="383" spans="1:232" s="69" customFormat="1" ht="50.15" customHeight="1">
      <c r="A383" s="645"/>
      <c r="B383" s="645"/>
      <c r="C383" s="645"/>
      <c r="D383" s="645"/>
      <c r="E383" s="646"/>
      <c r="F383" s="381"/>
      <c r="G383" s="381"/>
      <c r="H383" s="381"/>
      <c r="I383" s="1169"/>
      <c r="J383" s="80"/>
      <c r="K383" s="89"/>
      <c r="L383" s="89"/>
      <c r="M383" s="1967" t="s">
        <v>1235</v>
      </c>
      <c r="N383" s="1967"/>
      <c r="O383" s="1968"/>
      <c r="P383" s="2016"/>
      <c r="Q383" s="2016"/>
      <c r="R383" s="1962"/>
      <c r="S383" s="1962"/>
      <c r="T383" s="1962"/>
      <c r="U383" s="2028" t="s">
        <v>92</v>
      </c>
      <c r="V383" s="2028"/>
      <c r="W383" s="2028"/>
      <c r="X383" s="2028"/>
      <c r="Y383" s="2028"/>
      <c r="Z383" s="2028"/>
      <c r="AA383" s="2028"/>
      <c r="AB383" s="2028"/>
      <c r="AC383" s="2028"/>
      <c r="AD383" s="2028"/>
      <c r="AE383" s="2028"/>
      <c r="AF383" s="2104"/>
      <c r="AG383" s="2105"/>
      <c r="AH383" s="2105"/>
      <c r="AI383" s="2105"/>
      <c r="AJ383" s="2105"/>
      <c r="AK383" s="2105"/>
      <c r="AL383" s="2105"/>
      <c r="AM383" s="2105"/>
      <c r="AN383" s="2105"/>
      <c r="AO383" s="2105"/>
      <c r="AP383" s="2105"/>
      <c r="AQ383" s="2106"/>
      <c r="AR383" s="2026"/>
      <c r="AS383" s="2026"/>
      <c r="AT383" s="1997"/>
      <c r="AU383" s="1997"/>
      <c r="AV383" s="1997"/>
      <c r="AW383" s="1997"/>
      <c r="AX383" s="1997"/>
      <c r="AY383" s="1997"/>
      <c r="AZ383" s="1997"/>
      <c r="BA383" s="1997"/>
      <c r="BB383" s="1997"/>
      <c r="BC383" s="1997"/>
      <c r="BD383" s="1997"/>
      <c r="BE383" s="1997"/>
      <c r="BF383" s="1997"/>
      <c r="BG383" s="1997"/>
      <c r="BH383" s="1997"/>
      <c r="BI383" s="1997"/>
      <c r="BJ383" s="1997"/>
      <c r="BK383" s="1997"/>
      <c r="BL383" s="1997"/>
      <c r="BM383" s="1997"/>
      <c r="BN383" s="1997"/>
      <c r="BO383" s="1997"/>
      <c r="BP383" s="1997"/>
      <c r="BQ383" s="1997"/>
      <c r="BR383" s="1997"/>
      <c r="BS383" s="1991"/>
      <c r="BT383" s="1991"/>
      <c r="BU383" s="1991"/>
      <c r="BV383" s="1982"/>
      <c r="BW383" s="1982"/>
      <c r="BX383" s="1982"/>
      <c r="BY383" s="1982"/>
      <c r="BZ383" s="1992"/>
      <c r="CA383" s="1992"/>
      <c r="CB383" s="2115"/>
      <c r="CC383" s="2116"/>
      <c r="CD383" s="2116"/>
      <c r="CE383" s="2116"/>
      <c r="CF383" s="2116"/>
      <c r="CG383" s="2116"/>
      <c r="CH383" s="2116"/>
      <c r="CI383" s="2116"/>
      <c r="CJ383" s="2116"/>
      <c r="CK383" s="2116"/>
      <c r="CL383" s="2116"/>
      <c r="CM383" s="2116"/>
      <c r="CN383" s="2116"/>
      <c r="CO383" s="2116"/>
      <c r="CP383" s="2116"/>
      <c r="CQ383" s="2116"/>
      <c r="CR383" s="2116"/>
      <c r="CS383" s="2116"/>
      <c r="CT383" s="2116"/>
      <c r="CU383" s="2117"/>
      <c r="CV383" s="2360" t="str">
        <f t="shared" si="301"/>
        <v/>
      </c>
      <c r="CW383" s="2360"/>
      <c r="CX383" s="2360"/>
      <c r="CY383" s="2360"/>
      <c r="CZ383" s="2360"/>
      <c r="DA383" s="2360"/>
      <c r="DC383" s="600" t="str">
        <f t="shared" si="302"/>
        <v/>
      </c>
      <c r="DD383" s="381"/>
      <c r="DF383" s="34"/>
      <c r="DG383" s="34"/>
      <c r="DH383" s="34"/>
      <c r="DI383" s="34"/>
      <c r="DJ383" s="858" t="s">
        <v>5637</v>
      </c>
      <c r="DK383" s="1707" t="str">
        <f t="shared" si="347"/>
        <v/>
      </c>
      <c r="DL383" s="1692" t="str">
        <f t="shared" si="348"/>
        <v/>
      </c>
      <c r="DM383" s="1691">
        <f t="shared" si="303"/>
        <v>0</v>
      </c>
      <c r="DN383" s="111">
        <f t="shared" si="304"/>
        <v>0</v>
      </c>
      <c r="DO383" s="111">
        <f t="shared" si="305"/>
        <v>0</v>
      </c>
      <c r="DP383" s="474">
        <f t="shared" si="306"/>
        <v>0</v>
      </c>
      <c r="DQ383" s="123" t="s">
        <v>777</v>
      </c>
      <c r="DR383" s="473" t="str">
        <f>IF($U383="",R380,U383)</f>
        <v>給水管、配電管その他の管又は風道の区画貫通部の充填等の処理の状況</v>
      </c>
      <c r="DS383" s="112">
        <f t="shared" si="308"/>
        <v>0</v>
      </c>
      <c r="DT383" s="118" t="str">
        <f t="shared" si="309"/>
        <v/>
      </c>
      <c r="DU383" s="452" t="str">
        <f t="shared" si="310"/>
        <v/>
      </c>
      <c r="DV383" s="151" t="str">
        <f>IF($DT383="要是正",MAX($DV$366:DV382)+1,"")</f>
        <v/>
      </c>
      <c r="DW383" s="119" t="str">
        <f t="shared" si="311"/>
        <v/>
      </c>
      <c r="DX383" s="119" t="str">
        <f t="shared" si="312"/>
        <v/>
      </c>
      <c r="DY383" s="33" t="str">
        <f t="shared" si="313"/>
        <v/>
      </c>
      <c r="DZ383" s="217" t="str">
        <f t="shared" si="314"/>
        <v/>
      </c>
      <c r="EA383" s="466" t="str">
        <f t="shared" si="315"/>
        <v/>
      </c>
      <c r="EB383" s="234" t="str">
        <f t="shared" si="316"/>
        <v/>
      </c>
      <c r="EC383" s="227" t="str">
        <f t="shared" si="317"/>
        <v>0</v>
      </c>
      <c r="ED383" s="148" t="str">
        <f t="shared" si="349"/>
        <v/>
      </c>
      <c r="EE383" s="227" t="str">
        <f t="shared" si="350"/>
        <v>0</v>
      </c>
      <c r="EF383" s="130" t="str">
        <f t="shared" si="318"/>
        <v/>
      </c>
      <c r="EG383" s="204" t="str">
        <f t="shared" si="319"/>
        <v/>
      </c>
      <c r="EH383" s="134" t="str">
        <f t="shared" si="320"/>
        <v>0</v>
      </c>
      <c r="EI383" s="148" t="str">
        <f t="shared" si="351"/>
        <v/>
      </c>
      <c r="EJ383" s="227" t="str">
        <f t="shared" si="352"/>
        <v>0</v>
      </c>
      <c r="EK383" s="451" t="str">
        <f t="shared" si="321"/>
        <v/>
      </c>
      <c r="EL383" s="452" t="e">
        <f t="shared" si="322"/>
        <v>#N/A</v>
      </c>
      <c r="EM383" s="151" t="e">
        <f t="shared" si="323"/>
        <v>#N/A</v>
      </c>
      <c r="EN383" s="453" t="e">
        <f t="shared" si="324"/>
        <v>#N/A</v>
      </c>
      <c r="FK383" s="597" t="str">
        <f t="shared" si="325"/>
        <v/>
      </c>
      <c r="FL383" s="597" t="str">
        <f t="shared" si="71"/>
        <v/>
      </c>
      <c r="FM383" s="597" t="str">
        <f t="shared" si="72"/>
        <v/>
      </c>
      <c r="FN383" s="597">
        <f t="shared" si="326"/>
        <v>0</v>
      </c>
      <c r="FO383" s="1163" t="str">
        <f t="shared" si="327"/>
        <v/>
      </c>
      <c r="FQ383" s="234" t="str">
        <f t="shared" si="328"/>
        <v/>
      </c>
      <c r="FR383" s="227" t="str">
        <f t="shared" si="329"/>
        <v>0</v>
      </c>
      <c r="FS383" s="148" t="str">
        <f t="shared" si="330"/>
        <v/>
      </c>
      <c r="FT383" s="227" t="str">
        <f t="shared" si="353"/>
        <v>0</v>
      </c>
      <c r="FU383" s="416" t="str">
        <f t="shared" si="331"/>
        <v/>
      </c>
      <c r="FW383" s="1160">
        <f t="shared" si="220"/>
        <v>0</v>
      </c>
      <c r="FX383" s="123"/>
      <c r="FY383" s="123"/>
      <c r="FZ383" s="1161"/>
      <c r="GA383" s="34"/>
      <c r="GB383" s="1149">
        <f t="shared" si="354"/>
        <v>0</v>
      </c>
      <c r="GC383" s="1149">
        <f t="shared" si="355"/>
        <v>0</v>
      </c>
      <c r="GD383" s="1149">
        <f t="shared" si="356"/>
        <v>0</v>
      </c>
      <c r="GE383" s="1149" t="str">
        <f t="shared" si="332"/>
        <v/>
      </c>
      <c r="GF383" s="1149" t="str">
        <f t="shared" si="333"/>
        <v/>
      </c>
      <c r="GG383" s="1149" t="str">
        <f t="shared" si="334"/>
        <v/>
      </c>
      <c r="GH383" s="1149" t="str">
        <f t="shared" si="335"/>
        <v/>
      </c>
      <c r="GI383" s="1149" t="str">
        <f t="shared" si="336"/>
        <v/>
      </c>
      <c r="GJ383" s="1149" t="str">
        <f t="shared" si="337"/>
        <v/>
      </c>
      <c r="GK383" s="1149" t="str">
        <f t="shared" si="338"/>
        <v/>
      </c>
      <c r="GL383" s="1149" t="str">
        <f t="shared" si="339"/>
        <v/>
      </c>
      <c r="GM383" s="1149" t="str">
        <f t="shared" si="340"/>
        <v/>
      </c>
      <c r="GN383" s="1149" t="str">
        <f t="shared" si="341"/>
        <v/>
      </c>
      <c r="GO383" s="1149" t="str">
        <f t="shared" si="342"/>
        <v/>
      </c>
      <c r="GP383" s="1149" t="str">
        <f t="shared" si="343"/>
        <v/>
      </c>
      <c r="GQ383" s="1149" t="str">
        <f t="shared" si="344"/>
        <v/>
      </c>
      <c r="GR383" s="1149" t="str">
        <f t="shared" si="345"/>
        <v/>
      </c>
      <c r="GS383" s="1149" t="str">
        <f t="shared" si="346"/>
        <v/>
      </c>
      <c r="GT383" s="1149">
        <f t="shared" si="357"/>
        <v>0</v>
      </c>
      <c r="GU383" s="1149">
        <f t="shared" si="358"/>
        <v>0</v>
      </c>
      <c r="GV383" s="1149">
        <f t="shared" si="359"/>
        <v>0</v>
      </c>
      <c r="GW383" s="1149" t="b">
        <f t="shared" si="360"/>
        <v>0</v>
      </c>
      <c r="GX383" s="1149" t="b">
        <f t="shared" si="361"/>
        <v>0</v>
      </c>
      <c r="GY383" s="1149" t="b">
        <f t="shared" si="362"/>
        <v>0</v>
      </c>
      <c r="GZ383" s="1149" t="str">
        <f t="shared" si="180"/>
        <v/>
      </c>
      <c r="HB383" s="1149" t="str">
        <f t="shared" si="363"/>
        <v/>
      </c>
      <c r="HC383" s="1149" t="str">
        <f t="shared" si="364"/>
        <v/>
      </c>
      <c r="HD383" s="1149" t="str">
        <f t="shared" si="365"/>
        <v/>
      </c>
      <c r="HE383" s="1149" t="str">
        <f t="shared" si="366"/>
        <v/>
      </c>
      <c r="HF383" s="1149" t="str">
        <f t="shared" si="367"/>
        <v/>
      </c>
      <c r="HG383" s="1149" t="str">
        <f t="shared" si="368"/>
        <v/>
      </c>
      <c r="HH383" s="1149" t="str">
        <f t="shared" si="369"/>
        <v/>
      </c>
      <c r="HI383" s="1149" t="str">
        <f t="shared" si="370"/>
        <v/>
      </c>
      <c r="HJ383" s="1149" t="str">
        <f t="shared" si="371"/>
        <v/>
      </c>
      <c r="HK383" s="1149" t="str">
        <f t="shared" si="372"/>
        <v/>
      </c>
      <c r="HL383" s="1149" t="str">
        <f t="shared" si="373"/>
        <v/>
      </c>
      <c r="HM383" s="1149" t="str">
        <f t="shared" si="374"/>
        <v/>
      </c>
      <c r="HN383" s="1149" t="str">
        <f t="shared" si="375"/>
        <v/>
      </c>
      <c r="HO383" s="1149" t="str">
        <f t="shared" si="376"/>
        <v/>
      </c>
      <c r="HP383" s="1149" t="str">
        <f t="shared" si="377"/>
        <v/>
      </c>
      <c r="HQ383" s="1149" t="str">
        <f t="shared" si="378"/>
        <v/>
      </c>
      <c r="HR383" s="1149" t="str">
        <f t="shared" si="379"/>
        <v/>
      </c>
      <c r="HT383" s="1149">
        <f>LEFT(M383,1)*10000+MID(M383,3,LEN(M383)-3)*100+COUNTIF($M$307:M383,M383)</f>
        <v>41401</v>
      </c>
      <c r="HU383" s="1149" t="str">
        <f t="shared" si="380"/>
        <v/>
      </c>
      <c r="HV383" s="1149" t="str">
        <f t="shared" si="381"/>
        <v/>
      </c>
      <c r="HW383" s="1149" t="str">
        <f t="shared" si="382"/>
        <v/>
      </c>
      <c r="HX383" s="1149" t="str">
        <f t="shared" si="383"/>
        <v/>
      </c>
    </row>
    <row r="384" spans="1:232" s="69" customFormat="1" ht="120" customHeight="1">
      <c r="A384" s="645"/>
      <c r="B384" s="645"/>
      <c r="C384" s="645"/>
      <c r="D384" s="645"/>
      <c r="E384" s="646"/>
      <c r="F384" s="381"/>
      <c r="G384" s="381"/>
      <c r="H384" s="381"/>
      <c r="I384" s="1169"/>
      <c r="J384" s="80"/>
      <c r="K384" s="89"/>
      <c r="L384" s="89"/>
      <c r="M384" s="1967" t="s">
        <v>1236</v>
      </c>
      <c r="N384" s="1967"/>
      <c r="O384" s="1968"/>
      <c r="P384" s="2016"/>
      <c r="Q384" s="2016"/>
      <c r="R384" s="1962" t="s">
        <v>93</v>
      </c>
      <c r="S384" s="1962"/>
      <c r="T384" s="1962"/>
      <c r="U384" s="1966" t="s">
        <v>94</v>
      </c>
      <c r="V384" s="1966"/>
      <c r="W384" s="1966"/>
      <c r="X384" s="1966"/>
      <c r="Y384" s="1966"/>
      <c r="Z384" s="1966"/>
      <c r="AA384" s="1966"/>
      <c r="AB384" s="1966"/>
      <c r="AC384" s="1966"/>
      <c r="AD384" s="1966"/>
      <c r="AE384" s="1966"/>
      <c r="AF384" s="2013"/>
      <c r="AG384" s="2014"/>
      <c r="AH384" s="2014"/>
      <c r="AI384" s="2014"/>
      <c r="AJ384" s="2014"/>
      <c r="AK384" s="2014"/>
      <c r="AL384" s="2014"/>
      <c r="AM384" s="2014"/>
      <c r="AN384" s="2014"/>
      <c r="AO384" s="2014"/>
      <c r="AP384" s="2014"/>
      <c r="AQ384" s="2015"/>
      <c r="AR384" s="1957"/>
      <c r="AS384" s="1957"/>
      <c r="AT384" s="1928"/>
      <c r="AU384" s="1928"/>
      <c r="AV384" s="1928"/>
      <c r="AW384" s="1928"/>
      <c r="AX384" s="1928"/>
      <c r="AY384" s="1928"/>
      <c r="AZ384" s="1928"/>
      <c r="BA384" s="1928"/>
      <c r="BB384" s="1928"/>
      <c r="BC384" s="1928"/>
      <c r="BD384" s="1928"/>
      <c r="BE384" s="1928"/>
      <c r="BF384" s="1928"/>
      <c r="BG384" s="1928"/>
      <c r="BH384" s="1928"/>
      <c r="BI384" s="1928"/>
      <c r="BJ384" s="1928"/>
      <c r="BK384" s="1928"/>
      <c r="BL384" s="1928"/>
      <c r="BM384" s="1928"/>
      <c r="BN384" s="1928"/>
      <c r="BO384" s="1928"/>
      <c r="BP384" s="1928"/>
      <c r="BQ384" s="1928"/>
      <c r="BR384" s="1928"/>
      <c r="BS384" s="1998"/>
      <c r="BT384" s="1998"/>
      <c r="BU384" s="1998"/>
      <c r="BV384" s="1989"/>
      <c r="BW384" s="1989"/>
      <c r="BX384" s="1989"/>
      <c r="BY384" s="1989"/>
      <c r="BZ384" s="1990"/>
      <c r="CA384" s="1990"/>
      <c r="CB384" s="1979"/>
      <c r="CC384" s="1980"/>
      <c r="CD384" s="1980"/>
      <c r="CE384" s="1980"/>
      <c r="CF384" s="1980"/>
      <c r="CG384" s="1980"/>
      <c r="CH384" s="1980"/>
      <c r="CI384" s="1980"/>
      <c r="CJ384" s="1980"/>
      <c r="CK384" s="1980"/>
      <c r="CL384" s="1980"/>
      <c r="CM384" s="1980"/>
      <c r="CN384" s="1980"/>
      <c r="CO384" s="1980"/>
      <c r="CP384" s="1980"/>
      <c r="CQ384" s="1980"/>
      <c r="CR384" s="1980"/>
      <c r="CS384" s="1980"/>
      <c r="CT384" s="1980"/>
      <c r="CU384" s="1981"/>
      <c r="CV384" s="2360" t="str">
        <f t="shared" si="301"/>
        <v/>
      </c>
      <c r="CW384" s="2360"/>
      <c r="CX384" s="2360"/>
      <c r="CY384" s="2360"/>
      <c r="CZ384" s="2360"/>
      <c r="DA384" s="2360"/>
      <c r="DC384" s="600" t="str">
        <f t="shared" si="302"/>
        <v/>
      </c>
      <c r="DD384" s="381"/>
      <c r="DF384" s="34"/>
      <c r="DG384" s="34"/>
      <c r="DH384" s="34"/>
      <c r="DI384" s="34"/>
      <c r="DJ384" s="858" t="s">
        <v>5637</v>
      </c>
      <c r="DK384" s="1707" t="str">
        <f t="shared" si="347"/>
        <v/>
      </c>
      <c r="DL384" s="1692" t="str">
        <f t="shared" si="348"/>
        <v/>
      </c>
      <c r="DM384" s="1691">
        <f t="shared" si="303"/>
        <v>0</v>
      </c>
      <c r="DN384" s="111">
        <f t="shared" si="304"/>
        <v>0</v>
      </c>
      <c r="DO384" s="111">
        <f t="shared" si="305"/>
        <v>0</v>
      </c>
      <c r="DP384" s="474">
        <f t="shared" si="306"/>
        <v>0</v>
      </c>
      <c r="DQ384" s="123" t="s">
        <v>778</v>
      </c>
      <c r="DR384" s="473" t="str">
        <f t="shared" si="307"/>
        <v>令第114条に規定する界壁、間仕切壁及び隔壁の状況</v>
      </c>
      <c r="DS384" s="112">
        <f t="shared" si="308"/>
        <v>0</v>
      </c>
      <c r="DT384" s="118" t="str">
        <f t="shared" si="309"/>
        <v/>
      </c>
      <c r="DU384" s="452" t="str">
        <f t="shared" si="310"/>
        <v/>
      </c>
      <c r="DV384" s="151" t="str">
        <f>IF($DT384="要是正",MAX($DV$366:DV383)+1,"")</f>
        <v/>
      </c>
      <c r="DW384" s="119" t="str">
        <f t="shared" si="311"/>
        <v/>
      </c>
      <c r="DX384" s="119" t="str">
        <f t="shared" si="312"/>
        <v/>
      </c>
      <c r="DY384" s="33" t="str">
        <f t="shared" si="313"/>
        <v/>
      </c>
      <c r="DZ384" s="217" t="str">
        <f t="shared" si="314"/>
        <v/>
      </c>
      <c r="EA384" s="466" t="str">
        <f t="shared" si="315"/>
        <v/>
      </c>
      <c r="EB384" s="234" t="str">
        <f t="shared" si="316"/>
        <v/>
      </c>
      <c r="EC384" s="227" t="str">
        <f t="shared" si="317"/>
        <v>0</v>
      </c>
      <c r="ED384" s="148" t="str">
        <f t="shared" si="349"/>
        <v/>
      </c>
      <c r="EE384" s="227" t="str">
        <f t="shared" si="350"/>
        <v>0</v>
      </c>
      <c r="EF384" s="130" t="str">
        <f t="shared" si="318"/>
        <v/>
      </c>
      <c r="EG384" s="204" t="str">
        <f t="shared" si="319"/>
        <v/>
      </c>
      <c r="EH384" s="134" t="str">
        <f t="shared" si="320"/>
        <v>0</v>
      </c>
      <c r="EI384" s="148" t="str">
        <f t="shared" si="351"/>
        <v/>
      </c>
      <c r="EJ384" s="227" t="str">
        <f t="shared" si="352"/>
        <v>0</v>
      </c>
      <c r="EK384" s="451" t="str">
        <f t="shared" si="321"/>
        <v/>
      </c>
      <c r="EL384" s="452" t="e">
        <f t="shared" si="322"/>
        <v>#N/A</v>
      </c>
      <c r="EM384" s="151" t="e">
        <f t="shared" si="323"/>
        <v>#N/A</v>
      </c>
      <c r="EN384" s="453" t="e">
        <f t="shared" si="324"/>
        <v>#N/A</v>
      </c>
      <c r="FK384" s="597" t="str">
        <f t="shared" si="325"/>
        <v/>
      </c>
      <c r="FL384" s="597" t="str">
        <f t="shared" si="71"/>
        <v/>
      </c>
      <c r="FM384" s="597" t="str">
        <f t="shared" si="72"/>
        <v/>
      </c>
      <c r="FN384" s="597">
        <f t="shared" si="326"/>
        <v>0</v>
      </c>
      <c r="FO384" s="1163" t="str">
        <f t="shared" si="327"/>
        <v/>
      </c>
      <c r="FQ384" s="234" t="str">
        <f t="shared" si="328"/>
        <v/>
      </c>
      <c r="FR384" s="227" t="str">
        <f t="shared" si="329"/>
        <v>0</v>
      </c>
      <c r="FS384" s="148" t="str">
        <f t="shared" si="330"/>
        <v/>
      </c>
      <c r="FT384" s="227" t="str">
        <f t="shared" si="353"/>
        <v>0</v>
      </c>
      <c r="FU384" s="416" t="str">
        <f t="shared" si="331"/>
        <v/>
      </c>
      <c r="FW384" s="1160">
        <f t="shared" si="220"/>
        <v>0</v>
      </c>
      <c r="FX384" s="123"/>
      <c r="FY384" s="123"/>
      <c r="FZ384" s="1161"/>
      <c r="GA384" s="34"/>
      <c r="GB384" s="1149">
        <f t="shared" si="354"/>
        <v>0</v>
      </c>
      <c r="GC384" s="1149">
        <f t="shared" si="355"/>
        <v>0</v>
      </c>
      <c r="GD384" s="1149">
        <f t="shared" si="356"/>
        <v>0</v>
      </c>
      <c r="GE384" s="1149" t="str">
        <f t="shared" si="332"/>
        <v/>
      </c>
      <c r="GF384" s="1149" t="str">
        <f t="shared" si="333"/>
        <v/>
      </c>
      <c r="GG384" s="1149" t="str">
        <f t="shared" si="334"/>
        <v/>
      </c>
      <c r="GH384" s="1149" t="str">
        <f t="shared" si="335"/>
        <v/>
      </c>
      <c r="GI384" s="1149" t="str">
        <f t="shared" si="336"/>
        <v/>
      </c>
      <c r="GJ384" s="1149" t="str">
        <f t="shared" si="337"/>
        <v/>
      </c>
      <c r="GK384" s="1149" t="str">
        <f t="shared" si="338"/>
        <v/>
      </c>
      <c r="GL384" s="1149" t="str">
        <f t="shared" si="339"/>
        <v/>
      </c>
      <c r="GM384" s="1149" t="str">
        <f t="shared" si="340"/>
        <v/>
      </c>
      <c r="GN384" s="1149" t="str">
        <f t="shared" si="341"/>
        <v/>
      </c>
      <c r="GO384" s="1149" t="str">
        <f t="shared" si="342"/>
        <v/>
      </c>
      <c r="GP384" s="1149" t="str">
        <f t="shared" si="343"/>
        <v/>
      </c>
      <c r="GQ384" s="1149" t="str">
        <f t="shared" si="344"/>
        <v/>
      </c>
      <c r="GR384" s="1149" t="str">
        <f t="shared" si="345"/>
        <v/>
      </c>
      <c r="GS384" s="1149" t="str">
        <f t="shared" si="346"/>
        <v/>
      </c>
      <c r="GT384" s="1149">
        <f t="shared" si="357"/>
        <v>0</v>
      </c>
      <c r="GU384" s="1149">
        <f t="shared" si="358"/>
        <v>0</v>
      </c>
      <c r="GV384" s="1149">
        <f t="shared" si="359"/>
        <v>0</v>
      </c>
      <c r="GW384" s="1149" t="b">
        <f t="shared" si="360"/>
        <v>0</v>
      </c>
      <c r="GX384" s="1149" t="b">
        <f t="shared" si="361"/>
        <v>0</v>
      </c>
      <c r="GY384" s="1149" t="b">
        <f t="shared" si="362"/>
        <v>0</v>
      </c>
      <c r="GZ384" s="1149" t="str">
        <f t="shared" si="180"/>
        <v/>
      </c>
      <c r="HB384" s="1149" t="str">
        <f t="shared" si="363"/>
        <v/>
      </c>
      <c r="HC384" s="1149" t="str">
        <f t="shared" si="364"/>
        <v/>
      </c>
      <c r="HD384" s="1149" t="str">
        <f t="shared" si="365"/>
        <v/>
      </c>
      <c r="HE384" s="1149" t="str">
        <f t="shared" si="366"/>
        <v/>
      </c>
      <c r="HF384" s="1149" t="str">
        <f t="shared" si="367"/>
        <v/>
      </c>
      <c r="HG384" s="1149" t="str">
        <f t="shared" si="368"/>
        <v/>
      </c>
      <c r="HH384" s="1149" t="str">
        <f t="shared" si="369"/>
        <v/>
      </c>
      <c r="HI384" s="1149" t="str">
        <f t="shared" si="370"/>
        <v/>
      </c>
      <c r="HJ384" s="1149" t="str">
        <f t="shared" si="371"/>
        <v/>
      </c>
      <c r="HK384" s="1149" t="str">
        <f t="shared" si="372"/>
        <v/>
      </c>
      <c r="HL384" s="1149" t="str">
        <f t="shared" si="373"/>
        <v/>
      </c>
      <c r="HM384" s="1149" t="str">
        <f t="shared" si="374"/>
        <v/>
      </c>
      <c r="HN384" s="1149" t="str">
        <f t="shared" si="375"/>
        <v/>
      </c>
      <c r="HO384" s="1149" t="str">
        <f t="shared" si="376"/>
        <v/>
      </c>
      <c r="HP384" s="1149" t="str">
        <f t="shared" si="377"/>
        <v/>
      </c>
      <c r="HQ384" s="1149" t="str">
        <f t="shared" si="378"/>
        <v/>
      </c>
      <c r="HR384" s="1149" t="str">
        <f t="shared" si="379"/>
        <v/>
      </c>
      <c r="HT384" s="1149">
        <f>LEFT(M384,1)*10000+MID(M384,3,LEN(M384)-3)*100+COUNTIF($M$307:M384,M384)</f>
        <v>41501</v>
      </c>
      <c r="HU384" s="1149" t="str">
        <f t="shared" si="380"/>
        <v/>
      </c>
      <c r="HV384" s="1149" t="str">
        <f t="shared" si="381"/>
        <v/>
      </c>
      <c r="HW384" s="1149" t="str">
        <f t="shared" si="382"/>
        <v/>
      </c>
      <c r="HX384" s="1149" t="str">
        <f t="shared" si="383"/>
        <v/>
      </c>
    </row>
    <row r="385" spans="1:232" s="69" customFormat="1" ht="120" customHeight="1">
      <c r="A385" s="645"/>
      <c r="B385" s="645"/>
      <c r="C385" s="645"/>
      <c r="D385" s="645"/>
      <c r="E385" s="646"/>
      <c r="F385" s="381"/>
      <c r="G385" s="381"/>
      <c r="H385" s="381"/>
      <c r="I385" s="1169"/>
      <c r="J385" s="80"/>
      <c r="K385" s="89"/>
      <c r="L385" s="89"/>
      <c r="M385" s="1967" t="s">
        <v>1237</v>
      </c>
      <c r="N385" s="1967"/>
      <c r="O385" s="1968"/>
      <c r="P385" s="2016"/>
      <c r="Q385" s="2016"/>
      <c r="R385" s="1962" t="s">
        <v>217</v>
      </c>
      <c r="S385" s="1962"/>
      <c r="T385" s="1962"/>
      <c r="U385" s="1966" t="s">
        <v>95</v>
      </c>
      <c r="V385" s="1966"/>
      <c r="W385" s="1966"/>
      <c r="X385" s="1966"/>
      <c r="Y385" s="1966"/>
      <c r="Z385" s="1966"/>
      <c r="AA385" s="1966"/>
      <c r="AB385" s="1966"/>
      <c r="AC385" s="1966"/>
      <c r="AD385" s="1966"/>
      <c r="AE385" s="1966"/>
      <c r="AF385" s="2013"/>
      <c r="AG385" s="2014"/>
      <c r="AH385" s="2014"/>
      <c r="AI385" s="2014"/>
      <c r="AJ385" s="2014"/>
      <c r="AK385" s="2014"/>
      <c r="AL385" s="2014"/>
      <c r="AM385" s="2014"/>
      <c r="AN385" s="2014"/>
      <c r="AO385" s="2014"/>
      <c r="AP385" s="2014"/>
      <c r="AQ385" s="2015"/>
      <c r="AR385" s="1957"/>
      <c r="AS385" s="1957"/>
      <c r="AT385" s="1928"/>
      <c r="AU385" s="1928"/>
      <c r="AV385" s="1928"/>
      <c r="AW385" s="1928"/>
      <c r="AX385" s="1928"/>
      <c r="AY385" s="1928"/>
      <c r="AZ385" s="1928"/>
      <c r="BA385" s="1928"/>
      <c r="BB385" s="1928"/>
      <c r="BC385" s="1928"/>
      <c r="BD385" s="1928"/>
      <c r="BE385" s="1928"/>
      <c r="BF385" s="1928"/>
      <c r="BG385" s="1928"/>
      <c r="BH385" s="1928"/>
      <c r="BI385" s="1928"/>
      <c r="BJ385" s="1928"/>
      <c r="BK385" s="1928"/>
      <c r="BL385" s="1928"/>
      <c r="BM385" s="1928"/>
      <c r="BN385" s="1928"/>
      <c r="BO385" s="1928"/>
      <c r="BP385" s="1928"/>
      <c r="BQ385" s="1928"/>
      <c r="BR385" s="1928"/>
      <c r="BS385" s="1998"/>
      <c r="BT385" s="1998"/>
      <c r="BU385" s="1998"/>
      <c r="BV385" s="1989"/>
      <c r="BW385" s="1989"/>
      <c r="BX385" s="1989"/>
      <c r="BY385" s="1989"/>
      <c r="BZ385" s="1990"/>
      <c r="CA385" s="1990"/>
      <c r="CB385" s="2361" t="s">
        <v>2822</v>
      </c>
      <c r="CC385" s="2362"/>
      <c r="CD385" s="2362"/>
      <c r="CE385" s="2362"/>
      <c r="CF385" s="2362"/>
      <c r="CG385" s="2362"/>
      <c r="CH385" s="2362"/>
      <c r="CI385" s="2362"/>
      <c r="CJ385" s="2362"/>
      <c r="CK385" s="2362"/>
      <c r="CL385" s="2362"/>
      <c r="CM385" s="2362"/>
      <c r="CN385" s="2362"/>
      <c r="CO385" s="2362"/>
      <c r="CP385" s="2362"/>
      <c r="CQ385" s="2362"/>
      <c r="CR385" s="2362"/>
      <c r="CS385" s="2362"/>
      <c r="CT385" s="2362"/>
      <c r="CU385" s="2363"/>
      <c r="CV385" s="2360" t="str">
        <f t="shared" si="301"/>
        <v/>
      </c>
      <c r="CW385" s="2360"/>
      <c r="CX385" s="2360"/>
      <c r="CY385" s="2360"/>
      <c r="CZ385" s="2360"/>
      <c r="DA385" s="2360"/>
      <c r="DC385" s="600" t="str">
        <f t="shared" si="302"/>
        <v/>
      </c>
      <c r="DD385" s="381"/>
      <c r="DF385" s="34"/>
      <c r="DG385" s="34"/>
      <c r="DH385" s="34"/>
      <c r="DI385" s="34"/>
      <c r="DJ385" s="858" t="s">
        <v>5637</v>
      </c>
      <c r="DK385" s="1707" t="str">
        <f t="shared" si="347"/>
        <v/>
      </c>
      <c r="DL385" s="1692" t="str">
        <f t="shared" si="348"/>
        <v/>
      </c>
      <c r="DM385" s="1691">
        <f t="shared" si="303"/>
        <v>0</v>
      </c>
      <c r="DN385" s="111">
        <f t="shared" si="304"/>
        <v>0</v>
      </c>
      <c r="DO385" s="111">
        <f t="shared" si="305"/>
        <v>0</v>
      </c>
      <c r="DP385" s="474">
        <f t="shared" si="306"/>
        <v>0</v>
      </c>
      <c r="DQ385" s="123" t="s">
        <v>779</v>
      </c>
      <c r="DR385" s="473" t="str">
        <f t="shared" si="307"/>
        <v>室内に面する部分の仕上げの維持保全の状況</v>
      </c>
      <c r="DS385" s="112">
        <f t="shared" si="308"/>
        <v>0</v>
      </c>
      <c r="DT385" s="118" t="str">
        <f t="shared" si="309"/>
        <v/>
      </c>
      <c r="DU385" s="452" t="str">
        <f t="shared" si="310"/>
        <v/>
      </c>
      <c r="DV385" s="151" t="str">
        <f>IF($DT385="要是正",MAX($DV$366:DV384)+1,"")</f>
        <v/>
      </c>
      <c r="DW385" s="119" t="str">
        <f t="shared" si="311"/>
        <v/>
      </c>
      <c r="DX385" s="119" t="str">
        <f t="shared" si="312"/>
        <v/>
      </c>
      <c r="DY385" s="33" t="str">
        <f t="shared" si="313"/>
        <v/>
      </c>
      <c r="DZ385" s="217" t="str">
        <f t="shared" si="314"/>
        <v/>
      </c>
      <c r="EA385" s="466" t="str">
        <f t="shared" si="315"/>
        <v/>
      </c>
      <c r="EB385" s="234" t="str">
        <f t="shared" si="316"/>
        <v/>
      </c>
      <c r="EC385" s="227" t="str">
        <f t="shared" si="317"/>
        <v>0</v>
      </c>
      <c r="ED385" s="148" t="str">
        <f t="shared" si="349"/>
        <v/>
      </c>
      <c r="EE385" s="227" t="str">
        <f t="shared" si="350"/>
        <v>0</v>
      </c>
      <c r="EF385" s="130" t="str">
        <f t="shared" si="318"/>
        <v/>
      </c>
      <c r="EG385" s="204" t="str">
        <f t="shared" si="319"/>
        <v/>
      </c>
      <c r="EH385" s="134" t="str">
        <f t="shared" si="320"/>
        <v>0</v>
      </c>
      <c r="EI385" s="148" t="str">
        <f t="shared" si="351"/>
        <v/>
      </c>
      <c r="EJ385" s="227" t="str">
        <f t="shared" si="352"/>
        <v>0</v>
      </c>
      <c r="EK385" s="451" t="str">
        <f t="shared" si="321"/>
        <v/>
      </c>
      <c r="EL385" s="452" t="e">
        <f t="shared" si="322"/>
        <v>#N/A</v>
      </c>
      <c r="EM385" s="151" t="e">
        <f t="shared" si="323"/>
        <v>#N/A</v>
      </c>
      <c r="EN385" s="453" t="e">
        <f t="shared" si="324"/>
        <v>#N/A</v>
      </c>
      <c r="FK385" s="597" t="str">
        <f t="shared" si="325"/>
        <v/>
      </c>
      <c r="FL385" s="597" t="str">
        <f t="shared" si="71"/>
        <v/>
      </c>
      <c r="FM385" s="597" t="str">
        <f t="shared" si="72"/>
        <v/>
      </c>
      <c r="FN385" s="597">
        <f t="shared" si="326"/>
        <v>0</v>
      </c>
      <c r="FO385" s="1163" t="str">
        <f t="shared" si="327"/>
        <v/>
      </c>
      <c r="FQ385" s="234" t="str">
        <f t="shared" si="328"/>
        <v/>
      </c>
      <c r="FR385" s="227" t="str">
        <f t="shared" si="329"/>
        <v>0</v>
      </c>
      <c r="FS385" s="148" t="str">
        <f t="shared" si="330"/>
        <v/>
      </c>
      <c r="FT385" s="227" t="str">
        <f t="shared" si="353"/>
        <v>0</v>
      </c>
      <c r="FU385" s="416" t="str">
        <f t="shared" si="331"/>
        <v/>
      </c>
      <c r="FW385" s="1160">
        <f t="shared" si="220"/>
        <v>0</v>
      </c>
      <c r="FX385" s="123"/>
      <c r="FY385" s="123"/>
      <c r="FZ385" s="1161"/>
      <c r="GA385" s="34"/>
      <c r="GB385" s="1149">
        <f t="shared" si="354"/>
        <v>0</v>
      </c>
      <c r="GC385" s="1149">
        <f t="shared" si="355"/>
        <v>0</v>
      </c>
      <c r="GD385" s="1149">
        <f t="shared" si="356"/>
        <v>0</v>
      </c>
      <c r="GE385" s="1149" t="str">
        <f t="shared" si="332"/>
        <v/>
      </c>
      <c r="GF385" s="1149" t="str">
        <f t="shared" si="333"/>
        <v/>
      </c>
      <c r="GG385" s="1149" t="str">
        <f t="shared" si="334"/>
        <v/>
      </c>
      <c r="GH385" s="1149" t="str">
        <f t="shared" si="335"/>
        <v/>
      </c>
      <c r="GI385" s="1149" t="str">
        <f t="shared" si="336"/>
        <v/>
      </c>
      <c r="GJ385" s="1149" t="str">
        <f t="shared" si="337"/>
        <v/>
      </c>
      <c r="GK385" s="1149" t="str">
        <f t="shared" si="338"/>
        <v/>
      </c>
      <c r="GL385" s="1149" t="str">
        <f t="shared" si="339"/>
        <v/>
      </c>
      <c r="GM385" s="1149" t="str">
        <f t="shared" si="340"/>
        <v/>
      </c>
      <c r="GN385" s="1149" t="str">
        <f t="shared" si="341"/>
        <v/>
      </c>
      <c r="GO385" s="1149" t="str">
        <f t="shared" si="342"/>
        <v/>
      </c>
      <c r="GP385" s="1149" t="str">
        <f t="shared" si="343"/>
        <v/>
      </c>
      <c r="GQ385" s="1149" t="str">
        <f t="shared" si="344"/>
        <v/>
      </c>
      <c r="GR385" s="1149" t="str">
        <f t="shared" si="345"/>
        <v/>
      </c>
      <c r="GS385" s="1149" t="str">
        <f t="shared" si="346"/>
        <v/>
      </c>
      <c r="GT385" s="1149">
        <f t="shared" si="357"/>
        <v>0</v>
      </c>
      <c r="GU385" s="1149">
        <f t="shared" si="358"/>
        <v>0</v>
      </c>
      <c r="GV385" s="1149">
        <f t="shared" si="359"/>
        <v>0</v>
      </c>
      <c r="GW385" s="1149" t="b">
        <f t="shared" si="360"/>
        <v>0</v>
      </c>
      <c r="GX385" s="1149" t="b">
        <f t="shared" si="361"/>
        <v>0</v>
      </c>
      <c r="GY385" s="1149" t="b">
        <f t="shared" si="362"/>
        <v>0</v>
      </c>
      <c r="GZ385" s="1149" t="str">
        <f t="shared" si="180"/>
        <v/>
      </c>
      <c r="HB385" s="1149" t="str">
        <f t="shared" si="363"/>
        <v/>
      </c>
      <c r="HC385" s="1149" t="str">
        <f t="shared" si="364"/>
        <v/>
      </c>
      <c r="HD385" s="1149" t="str">
        <f t="shared" si="365"/>
        <v/>
      </c>
      <c r="HE385" s="1149" t="str">
        <f t="shared" si="366"/>
        <v/>
      </c>
      <c r="HF385" s="1149" t="str">
        <f t="shared" si="367"/>
        <v/>
      </c>
      <c r="HG385" s="1149" t="str">
        <f t="shared" si="368"/>
        <v/>
      </c>
      <c r="HH385" s="1149" t="str">
        <f t="shared" si="369"/>
        <v/>
      </c>
      <c r="HI385" s="1149" t="str">
        <f t="shared" si="370"/>
        <v/>
      </c>
      <c r="HJ385" s="1149" t="str">
        <f t="shared" si="371"/>
        <v/>
      </c>
      <c r="HK385" s="1149" t="str">
        <f t="shared" si="372"/>
        <v/>
      </c>
      <c r="HL385" s="1149" t="str">
        <f t="shared" si="373"/>
        <v/>
      </c>
      <c r="HM385" s="1149" t="str">
        <f t="shared" si="374"/>
        <v/>
      </c>
      <c r="HN385" s="1149" t="str">
        <f t="shared" si="375"/>
        <v/>
      </c>
      <c r="HO385" s="1149" t="str">
        <f t="shared" si="376"/>
        <v/>
      </c>
      <c r="HP385" s="1149" t="str">
        <f t="shared" si="377"/>
        <v/>
      </c>
      <c r="HQ385" s="1149" t="str">
        <f t="shared" si="378"/>
        <v/>
      </c>
      <c r="HR385" s="1149" t="str">
        <f t="shared" si="379"/>
        <v/>
      </c>
      <c r="HT385" s="1149">
        <f>LEFT(M385,1)*10000+MID(M385,3,LEN(M385)-3)*100+COUNTIF($M$307:M385,M385)</f>
        <v>41601</v>
      </c>
      <c r="HU385" s="1149" t="str">
        <f t="shared" si="380"/>
        <v/>
      </c>
      <c r="HV385" s="1149" t="str">
        <f t="shared" si="381"/>
        <v/>
      </c>
      <c r="HW385" s="1149" t="str">
        <f t="shared" si="382"/>
        <v/>
      </c>
      <c r="HX385" s="1149" t="str">
        <f t="shared" si="383"/>
        <v/>
      </c>
    </row>
    <row r="386" spans="1:232" s="69" customFormat="1" ht="50.15" customHeight="1">
      <c r="A386" s="645"/>
      <c r="B386" s="645"/>
      <c r="C386" s="645"/>
      <c r="D386" s="645"/>
      <c r="E386" s="646"/>
      <c r="F386" s="381"/>
      <c r="G386" s="381"/>
      <c r="H386" s="381"/>
      <c r="I386" s="1169"/>
      <c r="J386" s="80"/>
      <c r="K386" s="89"/>
      <c r="L386" s="89"/>
      <c r="M386" s="1967" t="s">
        <v>1238</v>
      </c>
      <c r="N386" s="1967"/>
      <c r="O386" s="1968"/>
      <c r="P386" s="2016" t="s">
        <v>19</v>
      </c>
      <c r="Q386" s="2016"/>
      <c r="R386" s="1966" t="s">
        <v>55</v>
      </c>
      <c r="S386" s="1966"/>
      <c r="T386" s="1966"/>
      <c r="U386" s="1966" t="s">
        <v>96</v>
      </c>
      <c r="V386" s="1966"/>
      <c r="W386" s="1966"/>
      <c r="X386" s="1966"/>
      <c r="Y386" s="1966"/>
      <c r="Z386" s="1966"/>
      <c r="AA386" s="1966"/>
      <c r="AB386" s="1966"/>
      <c r="AC386" s="1966"/>
      <c r="AD386" s="1966"/>
      <c r="AE386" s="1966"/>
      <c r="AF386" s="2013"/>
      <c r="AG386" s="2014"/>
      <c r="AH386" s="2014"/>
      <c r="AI386" s="2014"/>
      <c r="AJ386" s="2014"/>
      <c r="AK386" s="2014"/>
      <c r="AL386" s="2014"/>
      <c r="AM386" s="2014"/>
      <c r="AN386" s="2014"/>
      <c r="AO386" s="2014"/>
      <c r="AP386" s="2014"/>
      <c r="AQ386" s="2015"/>
      <c r="AR386" s="1957"/>
      <c r="AS386" s="1957"/>
      <c r="AT386" s="1928"/>
      <c r="AU386" s="1928"/>
      <c r="AV386" s="1928"/>
      <c r="AW386" s="1928"/>
      <c r="AX386" s="1928"/>
      <c r="AY386" s="1928"/>
      <c r="AZ386" s="1928"/>
      <c r="BA386" s="1928"/>
      <c r="BB386" s="1928"/>
      <c r="BC386" s="1928"/>
      <c r="BD386" s="1928"/>
      <c r="BE386" s="1928"/>
      <c r="BF386" s="1928"/>
      <c r="BG386" s="1928"/>
      <c r="BH386" s="1928"/>
      <c r="BI386" s="1928"/>
      <c r="BJ386" s="1928"/>
      <c r="BK386" s="1928"/>
      <c r="BL386" s="1928"/>
      <c r="BM386" s="1928"/>
      <c r="BN386" s="1928"/>
      <c r="BO386" s="1928"/>
      <c r="BP386" s="1928"/>
      <c r="BQ386" s="1928"/>
      <c r="BR386" s="1928"/>
      <c r="BS386" s="1998"/>
      <c r="BT386" s="1998"/>
      <c r="BU386" s="1998"/>
      <c r="BV386" s="1989"/>
      <c r="BW386" s="1989"/>
      <c r="BX386" s="1989"/>
      <c r="BY386" s="1989"/>
      <c r="BZ386" s="1990"/>
      <c r="CA386" s="1990"/>
      <c r="CB386" s="1979"/>
      <c r="CC386" s="1980"/>
      <c r="CD386" s="1980"/>
      <c r="CE386" s="1980"/>
      <c r="CF386" s="1980"/>
      <c r="CG386" s="1980"/>
      <c r="CH386" s="1980"/>
      <c r="CI386" s="1980"/>
      <c r="CJ386" s="1980"/>
      <c r="CK386" s="1980"/>
      <c r="CL386" s="1980"/>
      <c r="CM386" s="1980"/>
      <c r="CN386" s="1980"/>
      <c r="CO386" s="1980"/>
      <c r="CP386" s="1980"/>
      <c r="CQ386" s="1980"/>
      <c r="CR386" s="1980"/>
      <c r="CS386" s="1980"/>
      <c r="CT386" s="1980"/>
      <c r="CU386" s="1981"/>
      <c r="CV386" s="2360" t="str">
        <f t="shared" si="301"/>
        <v/>
      </c>
      <c r="CW386" s="2360"/>
      <c r="CX386" s="2360"/>
      <c r="CY386" s="2360"/>
      <c r="CZ386" s="2360"/>
      <c r="DA386" s="2360"/>
      <c r="DC386" s="600" t="str">
        <f t="shared" si="302"/>
        <v/>
      </c>
      <c r="DD386" s="381"/>
      <c r="DF386" s="34"/>
      <c r="DG386" s="34"/>
      <c r="DH386" s="34"/>
      <c r="DI386" s="34"/>
      <c r="DJ386" s="858" t="s">
        <v>5637</v>
      </c>
      <c r="DK386" s="1707" t="str">
        <f t="shared" si="347"/>
        <v/>
      </c>
      <c r="DL386" s="1692" t="str">
        <f t="shared" si="348"/>
        <v/>
      </c>
      <c r="DM386" s="1691">
        <f t="shared" si="303"/>
        <v>0</v>
      </c>
      <c r="DN386" s="111">
        <f t="shared" si="304"/>
        <v>0</v>
      </c>
      <c r="DO386" s="111">
        <f t="shared" si="305"/>
        <v>0</v>
      </c>
      <c r="DP386" s="474">
        <f t="shared" si="306"/>
        <v>0</v>
      </c>
      <c r="DQ386" s="123" t="s">
        <v>780</v>
      </c>
      <c r="DR386" s="473" t="str">
        <f t="shared" si="307"/>
        <v>木造の床躯体の劣化及び損傷の状況</v>
      </c>
      <c r="DS386" s="112">
        <f t="shared" si="308"/>
        <v>0</v>
      </c>
      <c r="DT386" s="118" t="str">
        <f t="shared" si="309"/>
        <v/>
      </c>
      <c r="DU386" s="452" t="str">
        <f t="shared" si="310"/>
        <v/>
      </c>
      <c r="DV386" s="151" t="str">
        <f>IF($DT386="要是正",MAX($DV$366:DV385)+1,"")</f>
        <v/>
      </c>
      <c r="DW386" s="119" t="str">
        <f t="shared" si="311"/>
        <v/>
      </c>
      <c r="DX386" s="119" t="str">
        <f t="shared" si="312"/>
        <v/>
      </c>
      <c r="DY386" s="33" t="str">
        <f t="shared" si="313"/>
        <v/>
      </c>
      <c r="DZ386" s="217" t="str">
        <f t="shared" si="314"/>
        <v/>
      </c>
      <c r="EA386" s="466" t="str">
        <f t="shared" si="315"/>
        <v/>
      </c>
      <c r="EB386" s="234" t="str">
        <f t="shared" si="316"/>
        <v/>
      </c>
      <c r="EC386" s="227" t="str">
        <f t="shared" si="317"/>
        <v>0</v>
      </c>
      <c r="ED386" s="148" t="str">
        <f t="shared" si="349"/>
        <v/>
      </c>
      <c r="EE386" s="227" t="str">
        <f t="shared" si="350"/>
        <v>0</v>
      </c>
      <c r="EF386" s="130" t="str">
        <f t="shared" si="318"/>
        <v/>
      </c>
      <c r="EG386" s="204" t="str">
        <f t="shared" si="319"/>
        <v/>
      </c>
      <c r="EH386" s="134" t="str">
        <f t="shared" si="320"/>
        <v>0</v>
      </c>
      <c r="EI386" s="148" t="str">
        <f t="shared" si="351"/>
        <v/>
      </c>
      <c r="EJ386" s="227" t="str">
        <f t="shared" si="352"/>
        <v>0</v>
      </c>
      <c r="EK386" s="451" t="str">
        <f t="shared" si="321"/>
        <v/>
      </c>
      <c r="EL386" s="452" t="e">
        <f t="shared" si="322"/>
        <v>#N/A</v>
      </c>
      <c r="EM386" s="151" t="e">
        <f t="shared" si="323"/>
        <v>#N/A</v>
      </c>
      <c r="EN386" s="453" t="e">
        <f t="shared" si="324"/>
        <v>#N/A</v>
      </c>
      <c r="FK386" s="597" t="str">
        <f t="shared" si="325"/>
        <v/>
      </c>
      <c r="FL386" s="597" t="str">
        <f t="shared" si="71"/>
        <v/>
      </c>
      <c r="FM386" s="597" t="str">
        <f t="shared" si="72"/>
        <v/>
      </c>
      <c r="FN386" s="597">
        <f t="shared" si="326"/>
        <v>0</v>
      </c>
      <c r="FO386" s="1163" t="str">
        <f t="shared" si="327"/>
        <v/>
      </c>
      <c r="FQ386" s="234" t="str">
        <f t="shared" si="328"/>
        <v/>
      </c>
      <c r="FR386" s="227" t="str">
        <f t="shared" si="329"/>
        <v>0</v>
      </c>
      <c r="FS386" s="148" t="str">
        <f t="shared" si="330"/>
        <v/>
      </c>
      <c r="FT386" s="227" t="str">
        <f t="shared" si="353"/>
        <v>0</v>
      </c>
      <c r="FU386" s="416" t="str">
        <f t="shared" si="331"/>
        <v/>
      </c>
      <c r="FW386" s="1160">
        <f t="shared" ref="FW386:FW422" si="384">IF(AF386="△既存不適格",AT386&amp;"(既存不適格)",AT386)</f>
        <v>0</v>
      </c>
      <c r="FX386" s="123"/>
      <c r="FY386" s="123"/>
      <c r="FZ386" s="1161"/>
      <c r="GA386" s="34"/>
      <c r="GB386" s="1149">
        <f t="shared" si="354"/>
        <v>0</v>
      </c>
      <c r="GC386" s="1149">
        <f t="shared" si="355"/>
        <v>0</v>
      </c>
      <c r="GD386" s="1149">
        <f t="shared" si="356"/>
        <v>0</v>
      </c>
      <c r="GE386" s="1149" t="str">
        <f t="shared" si="332"/>
        <v/>
      </c>
      <c r="GF386" s="1149" t="str">
        <f t="shared" si="333"/>
        <v/>
      </c>
      <c r="GG386" s="1149" t="str">
        <f t="shared" si="334"/>
        <v/>
      </c>
      <c r="GH386" s="1149" t="str">
        <f t="shared" si="335"/>
        <v/>
      </c>
      <c r="GI386" s="1149" t="str">
        <f t="shared" si="336"/>
        <v/>
      </c>
      <c r="GJ386" s="1149" t="str">
        <f t="shared" si="337"/>
        <v/>
      </c>
      <c r="GK386" s="1149" t="str">
        <f t="shared" si="338"/>
        <v/>
      </c>
      <c r="GL386" s="1149" t="str">
        <f t="shared" si="339"/>
        <v/>
      </c>
      <c r="GM386" s="1149" t="str">
        <f t="shared" si="340"/>
        <v/>
      </c>
      <c r="GN386" s="1149" t="str">
        <f t="shared" si="341"/>
        <v/>
      </c>
      <c r="GO386" s="1149" t="str">
        <f t="shared" si="342"/>
        <v/>
      </c>
      <c r="GP386" s="1149" t="str">
        <f t="shared" si="343"/>
        <v/>
      </c>
      <c r="GQ386" s="1149" t="str">
        <f t="shared" si="344"/>
        <v/>
      </c>
      <c r="GR386" s="1149" t="str">
        <f t="shared" si="345"/>
        <v/>
      </c>
      <c r="GS386" s="1149" t="str">
        <f t="shared" si="346"/>
        <v/>
      </c>
      <c r="GT386" s="1149">
        <f t="shared" si="357"/>
        <v>0</v>
      </c>
      <c r="GU386" s="1149">
        <f t="shared" si="358"/>
        <v>0</v>
      </c>
      <c r="GV386" s="1149">
        <f t="shared" si="359"/>
        <v>0</v>
      </c>
      <c r="GW386" s="1149" t="b">
        <f t="shared" si="360"/>
        <v>0</v>
      </c>
      <c r="GX386" s="1149" t="b">
        <f t="shared" si="361"/>
        <v>0</v>
      </c>
      <c r="GY386" s="1149" t="b">
        <f t="shared" si="362"/>
        <v>0</v>
      </c>
      <c r="GZ386" s="1149" t="str">
        <f t="shared" si="180"/>
        <v/>
      </c>
      <c r="HB386" s="1149" t="str">
        <f t="shared" si="363"/>
        <v/>
      </c>
      <c r="HC386" s="1149" t="str">
        <f t="shared" si="364"/>
        <v/>
      </c>
      <c r="HD386" s="1149" t="str">
        <f t="shared" si="365"/>
        <v/>
      </c>
      <c r="HE386" s="1149" t="str">
        <f t="shared" si="366"/>
        <v/>
      </c>
      <c r="HF386" s="1149" t="str">
        <f t="shared" si="367"/>
        <v/>
      </c>
      <c r="HG386" s="1149" t="str">
        <f t="shared" si="368"/>
        <v/>
      </c>
      <c r="HH386" s="1149" t="str">
        <f t="shared" si="369"/>
        <v/>
      </c>
      <c r="HI386" s="1149" t="str">
        <f t="shared" si="370"/>
        <v/>
      </c>
      <c r="HJ386" s="1149" t="str">
        <f t="shared" si="371"/>
        <v/>
      </c>
      <c r="HK386" s="1149" t="str">
        <f t="shared" si="372"/>
        <v/>
      </c>
      <c r="HL386" s="1149" t="str">
        <f t="shared" si="373"/>
        <v/>
      </c>
      <c r="HM386" s="1149" t="str">
        <f t="shared" si="374"/>
        <v/>
      </c>
      <c r="HN386" s="1149" t="str">
        <f t="shared" si="375"/>
        <v/>
      </c>
      <c r="HO386" s="1149" t="str">
        <f t="shared" si="376"/>
        <v/>
      </c>
      <c r="HP386" s="1149" t="str">
        <f t="shared" si="377"/>
        <v/>
      </c>
      <c r="HQ386" s="1149" t="str">
        <f t="shared" si="378"/>
        <v/>
      </c>
      <c r="HR386" s="1149" t="str">
        <f t="shared" si="379"/>
        <v/>
      </c>
      <c r="HT386" s="1149">
        <f>LEFT(M386,1)*10000+MID(M386,3,LEN(M386)-3)*100+COUNTIF($M$307:M386,M386)</f>
        <v>41701</v>
      </c>
      <c r="HU386" s="1149" t="str">
        <f t="shared" si="380"/>
        <v/>
      </c>
      <c r="HV386" s="1149" t="str">
        <f t="shared" si="381"/>
        <v/>
      </c>
      <c r="HW386" s="1149" t="str">
        <f t="shared" si="382"/>
        <v/>
      </c>
      <c r="HX386" s="1149" t="str">
        <f t="shared" si="383"/>
        <v/>
      </c>
    </row>
    <row r="387" spans="1:232" s="69" customFormat="1" ht="50.15" customHeight="1">
      <c r="A387" s="645"/>
      <c r="B387" s="645"/>
      <c r="C387" s="645"/>
      <c r="D387" s="645"/>
      <c r="E387" s="646"/>
      <c r="F387" s="381"/>
      <c r="G387" s="381"/>
      <c r="H387" s="381"/>
      <c r="I387" s="1169"/>
      <c r="J387" s="80"/>
      <c r="K387" s="89"/>
      <c r="L387" s="89"/>
      <c r="M387" s="1967" t="s">
        <v>1239</v>
      </c>
      <c r="N387" s="1967"/>
      <c r="O387" s="1968"/>
      <c r="P387" s="2016"/>
      <c r="Q387" s="2016"/>
      <c r="R387" s="1966"/>
      <c r="S387" s="1966"/>
      <c r="T387" s="1966"/>
      <c r="U387" s="1966" t="s">
        <v>97</v>
      </c>
      <c r="V387" s="1966"/>
      <c r="W387" s="1966"/>
      <c r="X387" s="1966"/>
      <c r="Y387" s="1966"/>
      <c r="Z387" s="1966"/>
      <c r="AA387" s="1966"/>
      <c r="AB387" s="1966"/>
      <c r="AC387" s="1966"/>
      <c r="AD387" s="1966"/>
      <c r="AE387" s="1966"/>
      <c r="AF387" s="2013"/>
      <c r="AG387" s="2014"/>
      <c r="AH387" s="2014"/>
      <c r="AI387" s="2014"/>
      <c r="AJ387" s="2014"/>
      <c r="AK387" s="2014"/>
      <c r="AL387" s="2014"/>
      <c r="AM387" s="2014"/>
      <c r="AN387" s="2014"/>
      <c r="AO387" s="2014"/>
      <c r="AP387" s="2014"/>
      <c r="AQ387" s="2015"/>
      <c r="AR387" s="1957"/>
      <c r="AS387" s="1957"/>
      <c r="AT387" s="1928"/>
      <c r="AU387" s="1928"/>
      <c r="AV387" s="1928"/>
      <c r="AW387" s="1928"/>
      <c r="AX387" s="1928"/>
      <c r="AY387" s="1928"/>
      <c r="AZ387" s="1928"/>
      <c r="BA387" s="1928"/>
      <c r="BB387" s="1928"/>
      <c r="BC387" s="1928"/>
      <c r="BD387" s="1928"/>
      <c r="BE387" s="1928"/>
      <c r="BF387" s="1928"/>
      <c r="BG387" s="1928"/>
      <c r="BH387" s="1928"/>
      <c r="BI387" s="1928"/>
      <c r="BJ387" s="1928"/>
      <c r="BK387" s="1928"/>
      <c r="BL387" s="1928"/>
      <c r="BM387" s="1928"/>
      <c r="BN387" s="1928"/>
      <c r="BO387" s="1928"/>
      <c r="BP387" s="1928"/>
      <c r="BQ387" s="1928"/>
      <c r="BR387" s="1928"/>
      <c r="BS387" s="1998"/>
      <c r="BT387" s="1998"/>
      <c r="BU387" s="1998"/>
      <c r="BV387" s="1989"/>
      <c r="BW387" s="1989"/>
      <c r="BX387" s="1989"/>
      <c r="BY387" s="1989"/>
      <c r="BZ387" s="1990"/>
      <c r="CA387" s="1990"/>
      <c r="CB387" s="1979"/>
      <c r="CC387" s="1980"/>
      <c r="CD387" s="1980"/>
      <c r="CE387" s="1980"/>
      <c r="CF387" s="1980"/>
      <c r="CG387" s="1980"/>
      <c r="CH387" s="1980"/>
      <c r="CI387" s="1980"/>
      <c r="CJ387" s="1980"/>
      <c r="CK387" s="1980"/>
      <c r="CL387" s="1980"/>
      <c r="CM387" s="1980"/>
      <c r="CN387" s="1980"/>
      <c r="CO387" s="1980"/>
      <c r="CP387" s="1980"/>
      <c r="CQ387" s="1980"/>
      <c r="CR387" s="1980"/>
      <c r="CS387" s="1980"/>
      <c r="CT387" s="1980"/>
      <c r="CU387" s="1981"/>
      <c r="CV387" s="2360" t="str">
        <f t="shared" si="301"/>
        <v/>
      </c>
      <c r="CW387" s="2360"/>
      <c r="CX387" s="2360"/>
      <c r="CY387" s="2360"/>
      <c r="CZ387" s="2360"/>
      <c r="DA387" s="2360"/>
      <c r="DC387" s="600" t="str">
        <f t="shared" si="302"/>
        <v/>
      </c>
      <c r="DD387" s="381"/>
      <c r="DF387" s="34"/>
      <c r="DG387" s="34"/>
      <c r="DH387" s="34"/>
      <c r="DI387" s="34"/>
      <c r="DJ387" s="858" t="s">
        <v>5637</v>
      </c>
      <c r="DK387" s="1707" t="str">
        <f t="shared" si="347"/>
        <v/>
      </c>
      <c r="DL387" s="1692" t="str">
        <f t="shared" si="348"/>
        <v/>
      </c>
      <c r="DM387" s="1691">
        <f t="shared" si="303"/>
        <v>0</v>
      </c>
      <c r="DN387" s="111">
        <f t="shared" si="304"/>
        <v>0</v>
      </c>
      <c r="DO387" s="111">
        <f t="shared" si="305"/>
        <v>0</v>
      </c>
      <c r="DP387" s="474">
        <f t="shared" si="306"/>
        <v>0</v>
      </c>
      <c r="DQ387" s="123" t="s">
        <v>781</v>
      </c>
      <c r="DR387" s="473" t="str">
        <f>IF($U387="",R386,U387)</f>
        <v>鉄骨造の床躯体の劣化及び損傷の状況</v>
      </c>
      <c r="DS387" s="112">
        <f t="shared" si="308"/>
        <v>0</v>
      </c>
      <c r="DT387" s="118" t="str">
        <f t="shared" si="309"/>
        <v/>
      </c>
      <c r="DU387" s="452" t="str">
        <f t="shared" si="310"/>
        <v/>
      </c>
      <c r="DV387" s="151" t="str">
        <f>IF($DT387="要是正",MAX($DV$366:DV386)+1,"")</f>
        <v/>
      </c>
      <c r="DW387" s="119" t="str">
        <f t="shared" si="311"/>
        <v/>
      </c>
      <c r="DX387" s="119" t="str">
        <f t="shared" si="312"/>
        <v/>
      </c>
      <c r="DY387" s="33" t="str">
        <f t="shared" si="313"/>
        <v/>
      </c>
      <c r="DZ387" s="217" t="str">
        <f t="shared" si="314"/>
        <v/>
      </c>
      <c r="EA387" s="466" t="str">
        <f t="shared" si="315"/>
        <v/>
      </c>
      <c r="EB387" s="234" t="str">
        <f t="shared" si="316"/>
        <v/>
      </c>
      <c r="EC387" s="227" t="str">
        <f t="shared" si="317"/>
        <v>0</v>
      </c>
      <c r="ED387" s="148" t="str">
        <f t="shared" si="349"/>
        <v/>
      </c>
      <c r="EE387" s="227" t="str">
        <f t="shared" si="350"/>
        <v>0</v>
      </c>
      <c r="EF387" s="130" t="str">
        <f t="shared" si="318"/>
        <v/>
      </c>
      <c r="EG387" s="204" t="str">
        <f t="shared" si="319"/>
        <v/>
      </c>
      <c r="EH387" s="134" t="str">
        <f t="shared" si="320"/>
        <v>0</v>
      </c>
      <c r="EI387" s="148" t="str">
        <f t="shared" si="351"/>
        <v/>
      </c>
      <c r="EJ387" s="227" t="str">
        <f t="shared" si="352"/>
        <v>0</v>
      </c>
      <c r="EK387" s="451" t="str">
        <f t="shared" si="321"/>
        <v/>
      </c>
      <c r="EL387" s="452" t="e">
        <f t="shared" si="322"/>
        <v>#N/A</v>
      </c>
      <c r="EM387" s="151" t="e">
        <f t="shared" si="323"/>
        <v>#N/A</v>
      </c>
      <c r="EN387" s="453" t="e">
        <f t="shared" si="324"/>
        <v>#N/A</v>
      </c>
      <c r="FK387" s="597" t="str">
        <f t="shared" si="325"/>
        <v/>
      </c>
      <c r="FL387" s="597" t="str">
        <f t="shared" si="71"/>
        <v/>
      </c>
      <c r="FM387" s="597" t="str">
        <f t="shared" si="72"/>
        <v/>
      </c>
      <c r="FN387" s="597">
        <f t="shared" si="326"/>
        <v>0</v>
      </c>
      <c r="FO387" s="1163" t="str">
        <f t="shared" si="327"/>
        <v/>
      </c>
      <c r="FQ387" s="234" t="str">
        <f t="shared" si="328"/>
        <v/>
      </c>
      <c r="FR387" s="227" t="str">
        <f t="shared" si="329"/>
        <v>0</v>
      </c>
      <c r="FS387" s="148" t="str">
        <f t="shared" si="330"/>
        <v/>
      </c>
      <c r="FT387" s="227" t="str">
        <f t="shared" si="353"/>
        <v>0</v>
      </c>
      <c r="FU387" s="416" t="str">
        <f t="shared" si="331"/>
        <v/>
      </c>
      <c r="FW387" s="1160">
        <f t="shared" si="384"/>
        <v>0</v>
      </c>
      <c r="FX387" s="123"/>
      <c r="FY387" s="123"/>
      <c r="FZ387" s="1161"/>
      <c r="GA387" s="34"/>
      <c r="GB387" s="1149">
        <f t="shared" si="354"/>
        <v>0</v>
      </c>
      <c r="GC387" s="1149">
        <f t="shared" si="355"/>
        <v>0</v>
      </c>
      <c r="GD387" s="1149">
        <f t="shared" si="356"/>
        <v>0</v>
      </c>
      <c r="GE387" s="1149" t="str">
        <f t="shared" si="332"/>
        <v/>
      </c>
      <c r="GF387" s="1149" t="str">
        <f t="shared" si="333"/>
        <v/>
      </c>
      <c r="GG387" s="1149" t="str">
        <f t="shared" si="334"/>
        <v/>
      </c>
      <c r="GH387" s="1149" t="str">
        <f t="shared" si="335"/>
        <v/>
      </c>
      <c r="GI387" s="1149" t="str">
        <f t="shared" si="336"/>
        <v/>
      </c>
      <c r="GJ387" s="1149" t="str">
        <f t="shared" si="337"/>
        <v/>
      </c>
      <c r="GK387" s="1149" t="str">
        <f t="shared" si="338"/>
        <v/>
      </c>
      <c r="GL387" s="1149" t="str">
        <f t="shared" si="339"/>
        <v/>
      </c>
      <c r="GM387" s="1149" t="str">
        <f t="shared" si="340"/>
        <v/>
      </c>
      <c r="GN387" s="1149" t="str">
        <f t="shared" si="341"/>
        <v/>
      </c>
      <c r="GO387" s="1149" t="str">
        <f t="shared" si="342"/>
        <v/>
      </c>
      <c r="GP387" s="1149" t="str">
        <f t="shared" si="343"/>
        <v/>
      </c>
      <c r="GQ387" s="1149" t="str">
        <f t="shared" si="344"/>
        <v/>
      </c>
      <c r="GR387" s="1149" t="str">
        <f t="shared" si="345"/>
        <v/>
      </c>
      <c r="GS387" s="1149" t="str">
        <f t="shared" si="346"/>
        <v/>
      </c>
      <c r="GT387" s="1149">
        <f t="shared" si="357"/>
        <v>0</v>
      </c>
      <c r="GU387" s="1149">
        <f t="shared" si="358"/>
        <v>0</v>
      </c>
      <c r="GV387" s="1149">
        <f t="shared" si="359"/>
        <v>0</v>
      </c>
      <c r="GW387" s="1149" t="b">
        <f t="shared" si="360"/>
        <v>0</v>
      </c>
      <c r="GX387" s="1149" t="b">
        <f t="shared" si="361"/>
        <v>0</v>
      </c>
      <c r="GY387" s="1149" t="b">
        <f t="shared" si="362"/>
        <v>0</v>
      </c>
      <c r="GZ387" s="1149" t="str">
        <f t="shared" si="180"/>
        <v/>
      </c>
      <c r="HB387" s="1149" t="str">
        <f t="shared" si="363"/>
        <v/>
      </c>
      <c r="HC387" s="1149" t="str">
        <f t="shared" si="364"/>
        <v/>
      </c>
      <c r="HD387" s="1149" t="str">
        <f t="shared" si="365"/>
        <v/>
      </c>
      <c r="HE387" s="1149" t="str">
        <f t="shared" si="366"/>
        <v/>
      </c>
      <c r="HF387" s="1149" t="str">
        <f t="shared" si="367"/>
        <v/>
      </c>
      <c r="HG387" s="1149" t="str">
        <f t="shared" si="368"/>
        <v/>
      </c>
      <c r="HH387" s="1149" t="str">
        <f t="shared" si="369"/>
        <v/>
      </c>
      <c r="HI387" s="1149" t="str">
        <f t="shared" si="370"/>
        <v/>
      </c>
      <c r="HJ387" s="1149" t="str">
        <f t="shared" si="371"/>
        <v/>
      </c>
      <c r="HK387" s="1149" t="str">
        <f t="shared" si="372"/>
        <v/>
      </c>
      <c r="HL387" s="1149" t="str">
        <f t="shared" si="373"/>
        <v/>
      </c>
      <c r="HM387" s="1149" t="str">
        <f t="shared" si="374"/>
        <v/>
      </c>
      <c r="HN387" s="1149" t="str">
        <f t="shared" si="375"/>
        <v/>
      </c>
      <c r="HO387" s="1149" t="str">
        <f t="shared" si="376"/>
        <v/>
      </c>
      <c r="HP387" s="1149" t="str">
        <f t="shared" si="377"/>
        <v/>
      </c>
      <c r="HQ387" s="1149" t="str">
        <f t="shared" si="378"/>
        <v/>
      </c>
      <c r="HR387" s="1149" t="str">
        <f t="shared" si="379"/>
        <v/>
      </c>
      <c r="HT387" s="1149">
        <f>LEFT(M387,1)*10000+MID(M387,3,LEN(M387)-3)*100+COUNTIF($M$307:M387,M387)</f>
        <v>41801</v>
      </c>
      <c r="HU387" s="1149" t="str">
        <f t="shared" si="380"/>
        <v/>
      </c>
      <c r="HV387" s="1149" t="str">
        <f t="shared" si="381"/>
        <v/>
      </c>
      <c r="HW387" s="1149" t="str">
        <f t="shared" si="382"/>
        <v/>
      </c>
      <c r="HX387" s="1149" t="str">
        <f t="shared" si="383"/>
        <v/>
      </c>
    </row>
    <row r="388" spans="1:232" s="69" customFormat="1" ht="50.15" customHeight="1">
      <c r="A388" s="645"/>
      <c r="B388" s="645"/>
      <c r="C388" s="645"/>
      <c r="D388" s="645"/>
      <c r="E388" s="646"/>
      <c r="F388" s="381"/>
      <c r="G388" s="381"/>
      <c r="H388" s="381"/>
      <c r="I388" s="1169"/>
      <c r="J388" s="80"/>
      <c r="K388" s="89"/>
      <c r="L388" s="89"/>
      <c r="M388" s="1967" t="s">
        <v>1240</v>
      </c>
      <c r="N388" s="1967"/>
      <c r="O388" s="1968"/>
      <c r="P388" s="2016"/>
      <c r="Q388" s="2016"/>
      <c r="R388" s="1966"/>
      <c r="S388" s="1966"/>
      <c r="T388" s="1966"/>
      <c r="U388" s="1966" t="s">
        <v>98</v>
      </c>
      <c r="V388" s="1966"/>
      <c r="W388" s="1966"/>
      <c r="X388" s="1966"/>
      <c r="Y388" s="1966"/>
      <c r="Z388" s="1966"/>
      <c r="AA388" s="1966"/>
      <c r="AB388" s="1966"/>
      <c r="AC388" s="1966"/>
      <c r="AD388" s="1966"/>
      <c r="AE388" s="1966"/>
      <c r="AF388" s="2013"/>
      <c r="AG388" s="2014"/>
      <c r="AH388" s="2014"/>
      <c r="AI388" s="2014"/>
      <c r="AJ388" s="2014"/>
      <c r="AK388" s="2014"/>
      <c r="AL388" s="2014"/>
      <c r="AM388" s="2014"/>
      <c r="AN388" s="2014"/>
      <c r="AO388" s="2014"/>
      <c r="AP388" s="2014"/>
      <c r="AQ388" s="2015"/>
      <c r="AR388" s="1957"/>
      <c r="AS388" s="1957"/>
      <c r="AT388" s="1928"/>
      <c r="AU388" s="1928"/>
      <c r="AV388" s="1928"/>
      <c r="AW388" s="1928"/>
      <c r="AX388" s="1928"/>
      <c r="AY388" s="1928"/>
      <c r="AZ388" s="1928"/>
      <c r="BA388" s="1928"/>
      <c r="BB388" s="1928"/>
      <c r="BC388" s="1928"/>
      <c r="BD388" s="1928"/>
      <c r="BE388" s="1928"/>
      <c r="BF388" s="1928"/>
      <c r="BG388" s="1928"/>
      <c r="BH388" s="1928"/>
      <c r="BI388" s="1928"/>
      <c r="BJ388" s="1928"/>
      <c r="BK388" s="1928"/>
      <c r="BL388" s="1928"/>
      <c r="BM388" s="1928"/>
      <c r="BN388" s="1928"/>
      <c r="BO388" s="1928"/>
      <c r="BP388" s="1928"/>
      <c r="BQ388" s="1928"/>
      <c r="BR388" s="1928"/>
      <c r="BS388" s="1998"/>
      <c r="BT388" s="1998"/>
      <c r="BU388" s="1998"/>
      <c r="BV388" s="1989"/>
      <c r="BW388" s="1989"/>
      <c r="BX388" s="1989"/>
      <c r="BY388" s="1989"/>
      <c r="BZ388" s="1990"/>
      <c r="CA388" s="1990"/>
      <c r="CB388" s="1979"/>
      <c r="CC388" s="1980"/>
      <c r="CD388" s="1980"/>
      <c r="CE388" s="1980"/>
      <c r="CF388" s="1980"/>
      <c r="CG388" s="1980"/>
      <c r="CH388" s="1980"/>
      <c r="CI388" s="1980"/>
      <c r="CJ388" s="1980"/>
      <c r="CK388" s="1980"/>
      <c r="CL388" s="1980"/>
      <c r="CM388" s="1980"/>
      <c r="CN388" s="1980"/>
      <c r="CO388" s="1980"/>
      <c r="CP388" s="1980"/>
      <c r="CQ388" s="1980"/>
      <c r="CR388" s="1980"/>
      <c r="CS388" s="1980"/>
      <c r="CT388" s="1980"/>
      <c r="CU388" s="1981"/>
      <c r="CV388" s="2360" t="str">
        <f t="shared" si="301"/>
        <v/>
      </c>
      <c r="CW388" s="2360"/>
      <c r="CX388" s="2360"/>
      <c r="CY388" s="2360"/>
      <c r="CZ388" s="2360"/>
      <c r="DA388" s="2360"/>
      <c r="DC388" s="600" t="str">
        <f t="shared" si="302"/>
        <v/>
      </c>
      <c r="DD388" s="381"/>
      <c r="DF388" s="34"/>
      <c r="DG388" s="34"/>
      <c r="DH388" s="34"/>
      <c r="DI388" s="34"/>
      <c r="DJ388" s="858" t="s">
        <v>5637</v>
      </c>
      <c r="DK388" s="1707" t="str">
        <f t="shared" si="347"/>
        <v/>
      </c>
      <c r="DL388" s="1692" t="str">
        <f t="shared" si="348"/>
        <v/>
      </c>
      <c r="DM388" s="1691">
        <f t="shared" si="303"/>
        <v>0</v>
      </c>
      <c r="DN388" s="111">
        <f t="shared" si="304"/>
        <v>0</v>
      </c>
      <c r="DO388" s="111">
        <f t="shared" si="305"/>
        <v>0</v>
      </c>
      <c r="DP388" s="474">
        <f t="shared" si="306"/>
        <v>0</v>
      </c>
      <c r="DQ388" s="123" t="s">
        <v>782</v>
      </c>
      <c r="DR388" s="473" t="str">
        <f>IF($U388="",R386,U388)</f>
        <v>鉄筋コンクリート造及び鉄骨鉄筋コンクリート造の床躯体の劣化及び損傷の状況</v>
      </c>
      <c r="DS388" s="112">
        <f t="shared" si="308"/>
        <v>0</v>
      </c>
      <c r="DT388" s="118" t="str">
        <f t="shared" si="309"/>
        <v/>
      </c>
      <c r="DU388" s="452" t="str">
        <f t="shared" si="310"/>
        <v/>
      </c>
      <c r="DV388" s="151" t="str">
        <f>IF($DT388="要是正",MAX($DV$366:DV387)+1,"")</f>
        <v/>
      </c>
      <c r="DW388" s="119" t="str">
        <f t="shared" si="311"/>
        <v/>
      </c>
      <c r="DX388" s="119" t="str">
        <f t="shared" si="312"/>
        <v/>
      </c>
      <c r="DY388" s="33" t="str">
        <f t="shared" si="313"/>
        <v/>
      </c>
      <c r="DZ388" s="217" t="str">
        <f t="shared" si="314"/>
        <v/>
      </c>
      <c r="EA388" s="466" t="str">
        <f t="shared" si="315"/>
        <v/>
      </c>
      <c r="EB388" s="234" t="str">
        <f t="shared" si="316"/>
        <v/>
      </c>
      <c r="EC388" s="227" t="str">
        <f t="shared" si="317"/>
        <v>0</v>
      </c>
      <c r="ED388" s="148" t="str">
        <f t="shared" si="349"/>
        <v/>
      </c>
      <c r="EE388" s="227" t="str">
        <f t="shared" si="350"/>
        <v>0</v>
      </c>
      <c r="EF388" s="130" t="str">
        <f t="shared" si="318"/>
        <v/>
      </c>
      <c r="EG388" s="204" t="str">
        <f t="shared" si="319"/>
        <v/>
      </c>
      <c r="EH388" s="134" t="str">
        <f t="shared" si="320"/>
        <v>0</v>
      </c>
      <c r="EI388" s="148" t="str">
        <f t="shared" si="351"/>
        <v/>
      </c>
      <c r="EJ388" s="227" t="str">
        <f t="shared" si="352"/>
        <v>0</v>
      </c>
      <c r="EK388" s="451" t="str">
        <f t="shared" si="321"/>
        <v/>
      </c>
      <c r="EL388" s="452" t="e">
        <f t="shared" si="322"/>
        <v>#N/A</v>
      </c>
      <c r="EM388" s="151" t="e">
        <f t="shared" si="323"/>
        <v>#N/A</v>
      </c>
      <c r="EN388" s="453" t="e">
        <f t="shared" si="324"/>
        <v>#N/A</v>
      </c>
      <c r="FK388" s="597" t="str">
        <f t="shared" si="325"/>
        <v/>
      </c>
      <c r="FL388" s="597" t="str">
        <f t="shared" si="71"/>
        <v/>
      </c>
      <c r="FM388" s="597" t="str">
        <f t="shared" si="72"/>
        <v/>
      </c>
      <c r="FN388" s="597">
        <f t="shared" si="326"/>
        <v>0</v>
      </c>
      <c r="FO388" s="1163" t="str">
        <f t="shared" si="327"/>
        <v/>
      </c>
      <c r="FQ388" s="234" t="str">
        <f t="shared" si="328"/>
        <v/>
      </c>
      <c r="FR388" s="227" t="str">
        <f t="shared" si="329"/>
        <v>0</v>
      </c>
      <c r="FS388" s="148" t="str">
        <f t="shared" si="330"/>
        <v/>
      </c>
      <c r="FT388" s="227" t="str">
        <f t="shared" si="353"/>
        <v>0</v>
      </c>
      <c r="FU388" s="416" t="str">
        <f t="shared" si="331"/>
        <v/>
      </c>
      <c r="FW388" s="1160">
        <f t="shared" si="384"/>
        <v>0</v>
      </c>
      <c r="FX388" s="123"/>
      <c r="FY388" s="123"/>
      <c r="FZ388" s="1161"/>
      <c r="GA388" s="34"/>
      <c r="GB388" s="1149">
        <f t="shared" si="354"/>
        <v>0</v>
      </c>
      <c r="GC388" s="1149">
        <f t="shared" si="355"/>
        <v>0</v>
      </c>
      <c r="GD388" s="1149">
        <f t="shared" si="356"/>
        <v>0</v>
      </c>
      <c r="GE388" s="1149" t="str">
        <f t="shared" si="332"/>
        <v/>
      </c>
      <c r="GF388" s="1149" t="str">
        <f t="shared" si="333"/>
        <v/>
      </c>
      <c r="GG388" s="1149" t="str">
        <f t="shared" si="334"/>
        <v/>
      </c>
      <c r="GH388" s="1149" t="str">
        <f t="shared" si="335"/>
        <v/>
      </c>
      <c r="GI388" s="1149" t="str">
        <f t="shared" si="336"/>
        <v/>
      </c>
      <c r="GJ388" s="1149" t="str">
        <f t="shared" si="337"/>
        <v/>
      </c>
      <c r="GK388" s="1149" t="str">
        <f t="shared" si="338"/>
        <v/>
      </c>
      <c r="GL388" s="1149" t="str">
        <f t="shared" si="339"/>
        <v/>
      </c>
      <c r="GM388" s="1149" t="str">
        <f t="shared" si="340"/>
        <v/>
      </c>
      <c r="GN388" s="1149" t="str">
        <f t="shared" si="341"/>
        <v/>
      </c>
      <c r="GO388" s="1149" t="str">
        <f t="shared" si="342"/>
        <v/>
      </c>
      <c r="GP388" s="1149" t="str">
        <f t="shared" si="343"/>
        <v/>
      </c>
      <c r="GQ388" s="1149" t="str">
        <f t="shared" si="344"/>
        <v/>
      </c>
      <c r="GR388" s="1149" t="str">
        <f t="shared" si="345"/>
        <v/>
      </c>
      <c r="GS388" s="1149" t="str">
        <f t="shared" si="346"/>
        <v/>
      </c>
      <c r="GT388" s="1149">
        <f t="shared" si="357"/>
        <v>0</v>
      </c>
      <c r="GU388" s="1149">
        <f t="shared" si="358"/>
        <v>0</v>
      </c>
      <c r="GV388" s="1149">
        <f t="shared" si="359"/>
        <v>0</v>
      </c>
      <c r="GW388" s="1149" t="b">
        <f t="shared" si="360"/>
        <v>0</v>
      </c>
      <c r="GX388" s="1149" t="b">
        <f t="shared" si="361"/>
        <v>0</v>
      </c>
      <c r="GY388" s="1149" t="b">
        <f t="shared" si="362"/>
        <v>0</v>
      </c>
      <c r="GZ388" s="1149" t="str">
        <f t="shared" si="180"/>
        <v/>
      </c>
      <c r="HB388" s="1149" t="str">
        <f t="shared" si="363"/>
        <v/>
      </c>
      <c r="HC388" s="1149" t="str">
        <f t="shared" si="364"/>
        <v/>
      </c>
      <c r="HD388" s="1149" t="str">
        <f t="shared" si="365"/>
        <v/>
      </c>
      <c r="HE388" s="1149" t="str">
        <f t="shared" si="366"/>
        <v/>
      </c>
      <c r="HF388" s="1149" t="str">
        <f t="shared" si="367"/>
        <v/>
      </c>
      <c r="HG388" s="1149" t="str">
        <f t="shared" si="368"/>
        <v/>
      </c>
      <c r="HH388" s="1149" t="str">
        <f t="shared" si="369"/>
        <v/>
      </c>
      <c r="HI388" s="1149" t="str">
        <f t="shared" si="370"/>
        <v/>
      </c>
      <c r="HJ388" s="1149" t="str">
        <f t="shared" si="371"/>
        <v/>
      </c>
      <c r="HK388" s="1149" t="str">
        <f t="shared" si="372"/>
        <v/>
      </c>
      <c r="HL388" s="1149" t="str">
        <f t="shared" si="373"/>
        <v/>
      </c>
      <c r="HM388" s="1149" t="str">
        <f t="shared" si="374"/>
        <v/>
      </c>
      <c r="HN388" s="1149" t="str">
        <f t="shared" si="375"/>
        <v/>
      </c>
      <c r="HO388" s="1149" t="str">
        <f t="shared" si="376"/>
        <v/>
      </c>
      <c r="HP388" s="1149" t="str">
        <f t="shared" si="377"/>
        <v/>
      </c>
      <c r="HQ388" s="1149" t="str">
        <f t="shared" si="378"/>
        <v/>
      </c>
      <c r="HR388" s="1149" t="str">
        <f t="shared" si="379"/>
        <v/>
      </c>
      <c r="HT388" s="1149">
        <f>LEFT(M388,1)*10000+MID(M388,3,LEN(M388)-3)*100+COUNTIF($M$307:M388,M388)</f>
        <v>41901</v>
      </c>
      <c r="HU388" s="1149" t="str">
        <f t="shared" si="380"/>
        <v/>
      </c>
      <c r="HV388" s="1149" t="str">
        <f t="shared" si="381"/>
        <v/>
      </c>
      <c r="HW388" s="1149" t="str">
        <f t="shared" si="382"/>
        <v/>
      </c>
      <c r="HX388" s="1149" t="str">
        <f t="shared" si="383"/>
        <v/>
      </c>
    </row>
    <row r="389" spans="1:232" s="69" customFormat="1" ht="50.15" customHeight="1">
      <c r="A389" s="645"/>
      <c r="B389" s="645"/>
      <c r="C389" s="645"/>
      <c r="D389" s="645"/>
      <c r="E389" s="646"/>
      <c r="F389" s="381"/>
      <c r="G389" s="381"/>
      <c r="H389" s="381"/>
      <c r="I389" s="1169"/>
      <c r="J389" s="80"/>
      <c r="K389" s="89"/>
      <c r="L389" s="89"/>
      <c r="M389" s="1967" t="s">
        <v>1241</v>
      </c>
      <c r="N389" s="1967"/>
      <c r="O389" s="1968"/>
      <c r="P389" s="2016"/>
      <c r="Q389" s="2016"/>
      <c r="R389" s="1962" t="s">
        <v>242</v>
      </c>
      <c r="S389" s="1962"/>
      <c r="T389" s="1962"/>
      <c r="U389" s="1966" t="s">
        <v>99</v>
      </c>
      <c r="V389" s="1966"/>
      <c r="W389" s="1966"/>
      <c r="X389" s="1966"/>
      <c r="Y389" s="1966"/>
      <c r="Z389" s="1966"/>
      <c r="AA389" s="1966"/>
      <c r="AB389" s="1966"/>
      <c r="AC389" s="1966"/>
      <c r="AD389" s="1966"/>
      <c r="AE389" s="1966"/>
      <c r="AF389" s="2013"/>
      <c r="AG389" s="2014"/>
      <c r="AH389" s="2014"/>
      <c r="AI389" s="2014"/>
      <c r="AJ389" s="2014"/>
      <c r="AK389" s="2014"/>
      <c r="AL389" s="2014"/>
      <c r="AM389" s="2014"/>
      <c r="AN389" s="2014"/>
      <c r="AO389" s="2014"/>
      <c r="AP389" s="2014"/>
      <c r="AQ389" s="2015"/>
      <c r="AR389" s="1957"/>
      <c r="AS389" s="1957"/>
      <c r="AT389" s="1928"/>
      <c r="AU389" s="1928"/>
      <c r="AV389" s="1928"/>
      <c r="AW389" s="1928"/>
      <c r="AX389" s="1928"/>
      <c r="AY389" s="1928"/>
      <c r="AZ389" s="1928"/>
      <c r="BA389" s="1928"/>
      <c r="BB389" s="1928"/>
      <c r="BC389" s="1928"/>
      <c r="BD389" s="1928"/>
      <c r="BE389" s="1928"/>
      <c r="BF389" s="1928"/>
      <c r="BG389" s="1928"/>
      <c r="BH389" s="1928"/>
      <c r="BI389" s="1928"/>
      <c r="BJ389" s="1928"/>
      <c r="BK389" s="1928"/>
      <c r="BL389" s="1928"/>
      <c r="BM389" s="1928"/>
      <c r="BN389" s="1928"/>
      <c r="BO389" s="1928"/>
      <c r="BP389" s="1928"/>
      <c r="BQ389" s="1928"/>
      <c r="BR389" s="1928"/>
      <c r="BS389" s="1998"/>
      <c r="BT389" s="1998"/>
      <c r="BU389" s="1998"/>
      <c r="BV389" s="1989"/>
      <c r="BW389" s="1989"/>
      <c r="BX389" s="1989"/>
      <c r="BY389" s="1989"/>
      <c r="BZ389" s="1990"/>
      <c r="CA389" s="1990"/>
      <c r="CB389" s="2356" t="s">
        <v>2826</v>
      </c>
      <c r="CC389" s="2357"/>
      <c r="CD389" s="2357"/>
      <c r="CE389" s="2357"/>
      <c r="CF389" s="2357"/>
      <c r="CG389" s="2357"/>
      <c r="CH389" s="2357"/>
      <c r="CI389" s="2357"/>
      <c r="CJ389" s="2357"/>
      <c r="CK389" s="2357"/>
      <c r="CL389" s="2357"/>
      <c r="CM389" s="2357"/>
      <c r="CN389" s="2357"/>
      <c r="CO389" s="2357"/>
      <c r="CP389" s="2357"/>
      <c r="CQ389" s="2357"/>
      <c r="CR389" s="2357"/>
      <c r="CS389" s="2357"/>
      <c r="CT389" s="2357"/>
      <c r="CU389" s="2358"/>
      <c r="CV389" s="2360" t="str">
        <f t="shared" si="301"/>
        <v/>
      </c>
      <c r="CW389" s="2360"/>
      <c r="CX389" s="2360"/>
      <c r="CY389" s="2360"/>
      <c r="CZ389" s="2360"/>
      <c r="DA389" s="2360"/>
      <c r="DC389" s="600" t="str">
        <f t="shared" si="302"/>
        <v/>
      </c>
      <c r="DD389" s="381"/>
      <c r="DF389" s="34"/>
      <c r="DG389" s="34"/>
      <c r="DH389" s="34"/>
      <c r="DI389" s="34"/>
      <c r="DJ389" s="858" t="s">
        <v>5637</v>
      </c>
      <c r="DK389" s="1707" t="str">
        <f t="shared" si="347"/>
        <v/>
      </c>
      <c r="DL389" s="1692" t="str">
        <f t="shared" si="348"/>
        <v/>
      </c>
      <c r="DM389" s="1691">
        <f t="shared" si="303"/>
        <v>0</v>
      </c>
      <c r="DN389" s="111">
        <f t="shared" si="304"/>
        <v>0</v>
      </c>
      <c r="DO389" s="111">
        <f t="shared" si="305"/>
        <v>0</v>
      </c>
      <c r="DP389" s="474">
        <f t="shared" si="306"/>
        <v>0</v>
      </c>
      <c r="DQ389" s="123" t="s">
        <v>783</v>
      </c>
      <c r="DR389" s="473" t="str">
        <f t="shared" si="307"/>
        <v>準耐火性能等の確保の状況</v>
      </c>
      <c r="DS389" s="112">
        <f t="shared" si="308"/>
        <v>0</v>
      </c>
      <c r="DT389" s="118" t="str">
        <f t="shared" si="309"/>
        <v/>
      </c>
      <c r="DU389" s="452" t="str">
        <f t="shared" si="310"/>
        <v/>
      </c>
      <c r="DV389" s="151" t="str">
        <f>IF($DT389="要是正",MAX($DV$366:DV388)+1,"")</f>
        <v/>
      </c>
      <c r="DW389" s="119" t="str">
        <f t="shared" si="311"/>
        <v/>
      </c>
      <c r="DX389" s="119" t="str">
        <f t="shared" si="312"/>
        <v/>
      </c>
      <c r="DY389" s="33" t="str">
        <f t="shared" si="313"/>
        <v/>
      </c>
      <c r="DZ389" s="217" t="str">
        <f t="shared" si="314"/>
        <v/>
      </c>
      <c r="EA389" s="466" t="str">
        <f t="shared" si="315"/>
        <v/>
      </c>
      <c r="EB389" s="234" t="str">
        <f t="shared" si="316"/>
        <v/>
      </c>
      <c r="EC389" s="227" t="str">
        <f t="shared" si="317"/>
        <v>0</v>
      </c>
      <c r="ED389" s="148" t="str">
        <f t="shared" si="349"/>
        <v/>
      </c>
      <c r="EE389" s="227" t="str">
        <f t="shared" si="350"/>
        <v>0</v>
      </c>
      <c r="EF389" s="130" t="str">
        <f t="shared" si="318"/>
        <v/>
      </c>
      <c r="EG389" s="204" t="str">
        <f t="shared" si="319"/>
        <v/>
      </c>
      <c r="EH389" s="134" t="str">
        <f t="shared" si="320"/>
        <v>0</v>
      </c>
      <c r="EI389" s="148" t="str">
        <f t="shared" si="351"/>
        <v/>
      </c>
      <c r="EJ389" s="227" t="str">
        <f t="shared" si="352"/>
        <v>0</v>
      </c>
      <c r="EK389" s="451" t="str">
        <f t="shared" si="321"/>
        <v/>
      </c>
      <c r="EL389" s="452" t="e">
        <f t="shared" si="322"/>
        <v>#N/A</v>
      </c>
      <c r="EM389" s="151" t="e">
        <f t="shared" si="323"/>
        <v>#N/A</v>
      </c>
      <c r="EN389" s="453" t="e">
        <f t="shared" si="324"/>
        <v>#N/A</v>
      </c>
      <c r="FK389" s="597" t="str">
        <f t="shared" si="325"/>
        <v/>
      </c>
      <c r="FL389" s="597" t="str">
        <f t="shared" si="71"/>
        <v/>
      </c>
      <c r="FM389" s="597" t="str">
        <f t="shared" si="72"/>
        <v/>
      </c>
      <c r="FN389" s="597">
        <f t="shared" si="326"/>
        <v>0</v>
      </c>
      <c r="FO389" s="1163" t="str">
        <f t="shared" si="327"/>
        <v/>
      </c>
      <c r="FQ389" s="234" t="str">
        <f t="shared" si="328"/>
        <v/>
      </c>
      <c r="FR389" s="227" t="str">
        <f t="shared" si="329"/>
        <v>0</v>
      </c>
      <c r="FS389" s="148" t="str">
        <f t="shared" si="330"/>
        <v/>
      </c>
      <c r="FT389" s="227" t="str">
        <f t="shared" si="353"/>
        <v>0</v>
      </c>
      <c r="FU389" s="416" t="str">
        <f t="shared" si="331"/>
        <v/>
      </c>
      <c r="FW389" s="1160">
        <f t="shared" si="384"/>
        <v>0</v>
      </c>
      <c r="FX389" s="123"/>
      <c r="FY389" s="123"/>
      <c r="FZ389" s="1161"/>
      <c r="GA389" s="34"/>
      <c r="GB389" s="1149">
        <f t="shared" si="354"/>
        <v>0</v>
      </c>
      <c r="GC389" s="1149">
        <f t="shared" si="355"/>
        <v>0</v>
      </c>
      <c r="GD389" s="1149">
        <f t="shared" si="356"/>
        <v>0</v>
      </c>
      <c r="GE389" s="1149" t="str">
        <f t="shared" si="332"/>
        <v/>
      </c>
      <c r="GF389" s="1149" t="str">
        <f t="shared" si="333"/>
        <v/>
      </c>
      <c r="GG389" s="1149" t="str">
        <f t="shared" si="334"/>
        <v/>
      </c>
      <c r="GH389" s="1149" t="str">
        <f t="shared" si="335"/>
        <v/>
      </c>
      <c r="GI389" s="1149" t="str">
        <f t="shared" si="336"/>
        <v/>
      </c>
      <c r="GJ389" s="1149" t="str">
        <f t="shared" si="337"/>
        <v/>
      </c>
      <c r="GK389" s="1149" t="str">
        <f t="shared" si="338"/>
        <v/>
      </c>
      <c r="GL389" s="1149" t="str">
        <f t="shared" si="339"/>
        <v/>
      </c>
      <c r="GM389" s="1149" t="str">
        <f t="shared" si="340"/>
        <v/>
      </c>
      <c r="GN389" s="1149" t="str">
        <f t="shared" si="341"/>
        <v/>
      </c>
      <c r="GO389" s="1149" t="str">
        <f t="shared" si="342"/>
        <v/>
      </c>
      <c r="GP389" s="1149" t="str">
        <f t="shared" si="343"/>
        <v/>
      </c>
      <c r="GQ389" s="1149" t="str">
        <f t="shared" si="344"/>
        <v/>
      </c>
      <c r="GR389" s="1149" t="str">
        <f t="shared" si="345"/>
        <v/>
      </c>
      <c r="GS389" s="1149" t="str">
        <f t="shared" si="346"/>
        <v/>
      </c>
      <c r="GT389" s="1149">
        <f t="shared" si="357"/>
        <v>0</v>
      </c>
      <c r="GU389" s="1149">
        <f t="shared" si="358"/>
        <v>0</v>
      </c>
      <c r="GV389" s="1149">
        <f t="shared" si="359"/>
        <v>0</v>
      </c>
      <c r="GW389" s="1149" t="b">
        <f t="shared" si="360"/>
        <v>0</v>
      </c>
      <c r="GX389" s="1149" t="b">
        <f t="shared" si="361"/>
        <v>0</v>
      </c>
      <c r="GY389" s="1149" t="b">
        <f t="shared" si="362"/>
        <v>0</v>
      </c>
      <c r="GZ389" s="1149" t="str">
        <f t="shared" ref="GZ389:GZ452" si="385">IF(GW389,"有",IF(GY389,"無",""))&amp;IF(GX389,IF(OR(GW389,GY389),"（一部改善済）","改善済"),"")</f>
        <v/>
      </c>
      <c r="HB389" s="1149" t="str">
        <f t="shared" si="363"/>
        <v/>
      </c>
      <c r="HC389" s="1149" t="str">
        <f t="shared" si="364"/>
        <v/>
      </c>
      <c r="HD389" s="1149" t="str">
        <f t="shared" si="365"/>
        <v/>
      </c>
      <c r="HE389" s="1149" t="str">
        <f t="shared" si="366"/>
        <v/>
      </c>
      <c r="HF389" s="1149" t="str">
        <f t="shared" si="367"/>
        <v/>
      </c>
      <c r="HG389" s="1149" t="str">
        <f t="shared" si="368"/>
        <v/>
      </c>
      <c r="HH389" s="1149" t="str">
        <f t="shared" si="369"/>
        <v/>
      </c>
      <c r="HI389" s="1149" t="str">
        <f t="shared" si="370"/>
        <v/>
      </c>
      <c r="HJ389" s="1149" t="str">
        <f t="shared" si="371"/>
        <v/>
      </c>
      <c r="HK389" s="1149" t="str">
        <f t="shared" si="372"/>
        <v/>
      </c>
      <c r="HL389" s="1149" t="str">
        <f t="shared" si="373"/>
        <v/>
      </c>
      <c r="HM389" s="1149" t="str">
        <f t="shared" si="374"/>
        <v/>
      </c>
      <c r="HN389" s="1149" t="str">
        <f t="shared" si="375"/>
        <v/>
      </c>
      <c r="HO389" s="1149" t="str">
        <f t="shared" si="376"/>
        <v/>
      </c>
      <c r="HP389" s="1149" t="str">
        <f t="shared" si="377"/>
        <v/>
      </c>
      <c r="HQ389" s="1149" t="str">
        <f t="shared" si="378"/>
        <v/>
      </c>
      <c r="HR389" s="1149" t="str">
        <f t="shared" si="379"/>
        <v/>
      </c>
      <c r="HT389" s="1149">
        <f>LEFT(M389,1)*10000+MID(M389,3,LEN(M389)-3)*100+COUNTIF($M$307:M389,M389)</f>
        <v>42001</v>
      </c>
      <c r="HU389" s="1149" t="str">
        <f t="shared" si="380"/>
        <v/>
      </c>
      <c r="HV389" s="1149" t="str">
        <f t="shared" si="381"/>
        <v/>
      </c>
      <c r="HW389" s="1149" t="str">
        <f t="shared" si="382"/>
        <v/>
      </c>
      <c r="HX389" s="1149" t="str">
        <f t="shared" si="383"/>
        <v/>
      </c>
    </row>
    <row r="390" spans="1:232" s="69" customFormat="1" ht="50.15" customHeight="1">
      <c r="A390" s="645"/>
      <c r="B390" s="645"/>
      <c r="C390" s="645"/>
      <c r="D390" s="645"/>
      <c r="E390" s="646"/>
      <c r="F390" s="381"/>
      <c r="G390" s="381"/>
      <c r="H390" s="381"/>
      <c r="I390" s="1169"/>
      <c r="J390" s="80"/>
      <c r="K390" s="89"/>
      <c r="L390" s="89"/>
      <c r="M390" s="1967" t="s">
        <v>1242</v>
      </c>
      <c r="N390" s="1967"/>
      <c r="O390" s="1968"/>
      <c r="P390" s="2016"/>
      <c r="Q390" s="2016"/>
      <c r="R390" s="1962"/>
      <c r="S390" s="1962"/>
      <c r="T390" s="1962"/>
      <c r="U390" s="1966" t="s">
        <v>90</v>
      </c>
      <c r="V390" s="1966"/>
      <c r="W390" s="1966"/>
      <c r="X390" s="1966"/>
      <c r="Y390" s="1966"/>
      <c r="Z390" s="1966"/>
      <c r="AA390" s="1966"/>
      <c r="AB390" s="1966"/>
      <c r="AC390" s="1966"/>
      <c r="AD390" s="1966"/>
      <c r="AE390" s="1966"/>
      <c r="AF390" s="2013"/>
      <c r="AG390" s="2014"/>
      <c r="AH390" s="2014"/>
      <c r="AI390" s="2014"/>
      <c r="AJ390" s="2014"/>
      <c r="AK390" s="2014"/>
      <c r="AL390" s="2014"/>
      <c r="AM390" s="2014"/>
      <c r="AN390" s="2014"/>
      <c r="AO390" s="2014"/>
      <c r="AP390" s="2014"/>
      <c r="AQ390" s="2015"/>
      <c r="AR390" s="1957"/>
      <c r="AS390" s="1957"/>
      <c r="AT390" s="1928"/>
      <c r="AU390" s="1928"/>
      <c r="AV390" s="1928"/>
      <c r="AW390" s="1928"/>
      <c r="AX390" s="1928"/>
      <c r="AY390" s="1928"/>
      <c r="AZ390" s="1928"/>
      <c r="BA390" s="1928"/>
      <c r="BB390" s="1928"/>
      <c r="BC390" s="1928"/>
      <c r="BD390" s="1928"/>
      <c r="BE390" s="1928"/>
      <c r="BF390" s="1928"/>
      <c r="BG390" s="1928"/>
      <c r="BH390" s="1928"/>
      <c r="BI390" s="1928"/>
      <c r="BJ390" s="1928"/>
      <c r="BK390" s="1928"/>
      <c r="BL390" s="1928"/>
      <c r="BM390" s="1928"/>
      <c r="BN390" s="1928"/>
      <c r="BO390" s="1928"/>
      <c r="BP390" s="1928"/>
      <c r="BQ390" s="1928"/>
      <c r="BR390" s="1928"/>
      <c r="BS390" s="1998"/>
      <c r="BT390" s="1998"/>
      <c r="BU390" s="1998"/>
      <c r="BV390" s="1989"/>
      <c r="BW390" s="1989"/>
      <c r="BX390" s="1989"/>
      <c r="BY390" s="1989"/>
      <c r="BZ390" s="1990"/>
      <c r="CA390" s="1990"/>
      <c r="CB390" s="2040"/>
      <c r="CC390" s="2041"/>
      <c r="CD390" s="2041"/>
      <c r="CE390" s="2041"/>
      <c r="CF390" s="2041"/>
      <c r="CG390" s="2041"/>
      <c r="CH390" s="2041"/>
      <c r="CI390" s="2041"/>
      <c r="CJ390" s="2041"/>
      <c r="CK390" s="2041"/>
      <c r="CL390" s="2041"/>
      <c r="CM390" s="2041"/>
      <c r="CN390" s="2041"/>
      <c r="CO390" s="2041"/>
      <c r="CP390" s="2041"/>
      <c r="CQ390" s="2041"/>
      <c r="CR390" s="2041"/>
      <c r="CS390" s="2041"/>
      <c r="CT390" s="2041"/>
      <c r="CU390" s="2042"/>
      <c r="CV390" s="2360" t="str">
        <f t="shared" si="301"/>
        <v/>
      </c>
      <c r="CW390" s="2360"/>
      <c r="CX390" s="2360"/>
      <c r="CY390" s="2360"/>
      <c r="CZ390" s="2360"/>
      <c r="DA390" s="2360"/>
      <c r="DC390" s="600" t="str">
        <f t="shared" si="302"/>
        <v/>
      </c>
      <c r="DD390" s="381"/>
      <c r="DF390" s="34"/>
      <c r="DG390" s="34"/>
      <c r="DH390" s="34"/>
      <c r="DI390" s="34"/>
      <c r="DJ390" s="858" t="s">
        <v>5637</v>
      </c>
      <c r="DK390" s="1707" t="str">
        <f t="shared" si="347"/>
        <v/>
      </c>
      <c r="DL390" s="1692" t="str">
        <f t="shared" si="348"/>
        <v/>
      </c>
      <c r="DM390" s="1691">
        <f t="shared" si="303"/>
        <v>0</v>
      </c>
      <c r="DN390" s="111">
        <f t="shared" si="304"/>
        <v>0</v>
      </c>
      <c r="DO390" s="111">
        <f t="shared" si="305"/>
        <v>0</v>
      </c>
      <c r="DP390" s="474">
        <f t="shared" si="306"/>
        <v>0</v>
      </c>
      <c r="DQ390" s="123" t="s">
        <v>784</v>
      </c>
      <c r="DR390" s="473" t="str">
        <f>IF($U390="",R389,U390)</f>
        <v>部材の劣化及び損傷の状況</v>
      </c>
      <c r="DS390" s="112">
        <f t="shared" si="308"/>
        <v>0</v>
      </c>
      <c r="DT390" s="118" t="str">
        <f t="shared" si="309"/>
        <v/>
      </c>
      <c r="DU390" s="452" t="str">
        <f t="shared" si="310"/>
        <v/>
      </c>
      <c r="DV390" s="151" t="str">
        <f>IF($DT390="要是正",MAX($DV$366:DV389)+1,"")</f>
        <v/>
      </c>
      <c r="DW390" s="119" t="str">
        <f t="shared" si="311"/>
        <v/>
      </c>
      <c r="DX390" s="119" t="str">
        <f t="shared" si="312"/>
        <v/>
      </c>
      <c r="DY390" s="33" t="str">
        <f t="shared" si="313"/>
        <v/>
      </c>
      <c r="DZ390" s="217" t="str">
        <f t="shared" si="314"/>
        <v/>
      </c>
      <c r="EA390" s="466" t="str">
        <f t="shared" si="315"/>
        <v/>
      </c>
      <c r="EB390" s="234" t="str">
        <f t="shared" si="316"/>
        <v/>
      </c>
      <c r="EC390" s="227" t="str">
        <f t="shared" si="317"/>
        <v>0</v>
      </c>
      <c r="ED390" s="148" t="str">
        <f t="shared" si="349"/>
        <v/>
      </c>
      <c r="EE390" s="227" t="str">
        <f t="shared" si="350"/>
        <v>0</v>
      </c>
      <c r="EF390" s="130" t="str">
        <f t="shared" si="318"/>
        <v/>
      </c>
      <c r="EG390" s="204" t="str">
        <f t="shared" si="319"/>
        <v/>
      </c>
      <c r="EH390" s="134" t="str">
        <f t="shared" si="320"/>
        <v>0</v>
      </c>
      <c r="EI390" s="148" t="str">
        <f t="shared" si="351"/>
        <v/>
      </c>
      <c r="EJ390" s="227" t="str">
        <f t="shared" si="352"/>
        <v>0</v>
      </c>
      <c r="EK390" s="451" t="str">
        <f t="shared" si="321"/>
        <v/>
      </c>
      <c r="EL390" s="452" t="e">
        <f t="shared" si="322"/>
        <v>#N/A</v>
      </c>
      <c r="EM390" s="151" t="e">
        <f t="shared" si="323"/>
        <v>#N/A</v>
      </c>
      <c r="EN390" s="453" t="e">
        <f t="shared" si="324"/>
        <v>#N/A</v>
      </c>
      <c r="FK390" s="597" t="str">
        <f t="shared" si="325"/>
        <v/>
      </c>
      <c r="FL390" s="597" t="str">
        <f t="shared" si="71"/>
        <v/>
      </c>
      <c r="FM390" s="597" t="str">
        <f t="shared" si="72"/>
        <v/>
      </c>
      <c r="FN390" s="597">
        <f t="shared" si="326"/>
        <v>0</v>
      </c>
      <c r="FO390" s="1163" t="str">
        <f t="shared" si="327"/>
        <v/>
      </c>
      <c r="FQ390" s="234" t="str">
        <f t="shared" si="328"/>
        <v/>
      </c>
      <c r="FR390" s="227" t="str">
        <f t="shared" si="329"/>
        <v>0</v>
      </c>
      <c r="FS390" s="148" t="str">
        <f t="shared" si="330"/>
        <v/>
      </c>
      <c r="FT390" s="227" t="str">
        <f t="shared" si="353"/>
        <v>0</v>
      </c>
      <c r="FU390" s="416" t="str">
        <f t="shared" si="331"/>
        <v/>
      </c>
      <c r="FW390" s="1160">
        <f t="shared" si="384"/>
        <v>0</v>
      </c>
      <c r="FX390" s="123"/>
      <c r="FY390" s="123"/>
      <c r="FZ390" s="1161"/>
      <c r="GA390" s="34"/>
      <c r="GB390" s="1149">
        <f t="shared" si="354"/>
        <v>0</v>
      </c>
      <c r="GC390" s="1149">
        <f t="shared" si="355"/>
        <v>0</v>
      </c>
      <c r="GD390" s="1149">
        <f t="shared" si="356"/>
        <v>0</v>
      </c>
      <c r="GE390" s="1149" t="str">
        <f t="shared" si="332"/>
        <v/>
      </c>
      <c r="GF390" s="1149" t="str">
        <f t="shared" si="333"/>
        <v/>
      </c>
      <c r="GG390" s="1149" t="str">
        <f t="shared" si="334"/>
        <v/>
      </c>
      <c r="GH390" s="1149" t="str">
        <f t="shared" si="335"/>
        <v/>
      </c>
      <c r="GI390" s="1149" t="str">
        <f t="shared" si="336"/>
        <v/>
      </c>
      <c r="GJ390" s="1149" t="str">
        <f t="shared" si="337"/>
        <v/>
      </c>
      <c r="GK390" s="1149" t="str">
        <f t="shared" si="338"/>
        <v/>
      </c>
      <c r="GL390" s="1149" t="str">
        <f t="shared" si="339"/>
        <v/>
      </c>
      <c r="GM390" s="1149" t="str">
        <f t="shared" si="340"/>
        <v/>
      </c>
      <c r="GN390" s="1149" t="str">
        <f t="shared" si="341"/>
        <v/>
      </c>
      <c r="GO390" s="1149" t="str">
        <f t="shared" si="342"/>
        <v/>
      </c>
      <c r="GP390" s="1149" t="str">
        <f t="shared" si="343"/>
        <v/>
      </c>
      <c r="GQ390" s="1149" t="str">
        <f t="shared" si="344"/>
        <v/>
      </c>
      <c r="GR390" s="1149" t="str">
        <f t="shared" si="345"/>
        <v/>
      </c>
      <c r="GS390" s="1149" t="str">
        <f t="shared" si="346"/>
        <v/>
      </c>
      <c r="GT390" s="1149">
        <f t="shared" si="357"/>
        <v>0</v>
      </c>
      <c r="GU390" s="1149">
        <f t="shared" si="358"/>
        <v>0</v>
      </c>
      <c r="GV390" s="1149">
        <f t="shared" si="359"/>
        <v>0</v>
      </c>
      <c r="GW390" s="1149" t="b">
        <f t="shared" si="360"/>
        <v>0</v>
      </c>
      <c r="GX390" s="1149" t="b">
        <f t="shared" si="361"/>
        <v>0</v>
      </c>
      <c r="GY390" s="1149" t="b">
        <f t="shared" si="362"/>
        <v>0</v>
      </c>
      <c r="GZ390" s="1149" t="str">
        <f t="shared" si="385"/>
        <v/>
      </c>
      <c r="HB390" s="1149" t="str">
        <f t="shared" si="363"/>
        <v/>
      </c>
      <c r="HC390" s="1149" t="str">
        <f t="shared" si="364"/>
        <v/>
      </c>
      <c r="HD390" s="1149" t="str">
        <f t="shared" si="365"/>
        <v/>
      </c>
      <c r="HE390" s="1149" t="str">
        <f t="shared" si="366"/>
        <v/>
      </c>
      <c r="HF390" s="1149" t="str">
        <f t="shared" si="367"/>
        <v/>
      </c>
      <c r="HG390" s="1149" t="str">
        <f t="shared" si="368"/>
        <v/>
      </c>
      <c r="HH390" s="1149" t="str">
        <f t="shared" si="369"/>
        <v/>
      </c>
      <c r="HI390" s="1149" t="str">
        <f t="shared" si="370"/>
        <v/>
      </c>
      <c r="HJ390" s="1149" t="str">
        <f t="shared" si="371"/>
        <v/>
      </c>
      <c r="HK390" s="1149" t="str">
        <f t="shared" si="372"/>
        <v/>
      </c>
      <c r="HL390" s="1149" t="str">
        <f t="shared" si="373"/>
        <v/>
      </c>
      <c r="HM390" s="1149" t="str">
        <f t="shared" si="374"/>
        <v/>
      </c>
      <c r="HN390" s="1149" t="str">
        <f t="shared" si="375"/>
        <v/>
      </c>
      <c r="HO390" s="1149" t="str">
        <f t="shared" si="376"/>
        <v/>
      </c>
      <c r="HP390" s="1149" t="str">
        <f t="shared" si="377"/>
        <v/>
      </c>
      <c r="HQ390" s="1149" t="str">
        <f t="shared" si="378"/>
        <v/>
      </c>
      <c r="HR390" s="1149" t="str">
        <f t="shared" si="379"/>
        <v/>
      </c>
      <c r="HT390" s="1149">
        <f>LEFT(M390,1)*10000+MID(M390,3,LEN(M390)-3)*100+COUNTIF($M$307:M390,M390)</f>
        <v>42101</v>
      </c>
      <c r="HU390" s="1149" t="str">
        <f t="shared" si="380"/>
        <v/>
      </c>
      <c r="HV390" s="1149" t="str">
        <f t="shared" si="381"/>
        <v/>
      </c>
      <c r="HW390" s="1149" t="str">
        <f t="shared" si="382"/>
        <v/>
      </c>
      <c r="HX390" s="1149" t="str">
        <f t="shared" si="383"/>
        <v/>
      </c>
    </row>
    <row r="391" spans="1:232" s="69" customFormat="1" ht="50.15" customHeight="1">
      <c r="A391" s="645"/>
      <c r="B391" s="645"/>
      <c r="C391" s="645"/>
      <c r="D391" s="645"/>
      <c r="E391" s="646"/>
      <c r="F391" s="381"/>
      <c r="G391" s="381"/>
      <c r="H391" s="381"/>
      <c r="I391" s="1169"/>
      <c r="J391" s="80"/>
      <c r="K391" s="89"/>
      <c r="L391" s="89"/>
      <c r="M391" s="1967" t="s">
        <v>1243</v>
      </c>
      <c r="N391" s="1967"/>
      <c r="O391" s="1968"/>
      <c r="P391" s="2016"/>
      <c r="Q391" s="2016"/>
      <c r="R391" s="1962"/>
      <c r="S391" s="1962"/>
      <c r="T391" s="1962"/>
      <c r="U391" s="1966" t="s">
        <v>92</v>
      </c>
      <c r="V391" s="1966"/>
      <c r="W391" s="1966"/>
      <c r="X391" s="1966"/>
      <c r="Y391" s="1966"/>
      <c r="Z391" s="1966"/>
      <c r="AA391" s="1966"/>
      <c r="AB391" s="1966"/>
      <c r="AC391" s="1966"/>
      <c r="AD391" s="1966"/>
      <c r="AE391" s="1966"/>
      <c r="AF391" s="2013"/>
      <c r="AG391" s="2014"/>
      <c r="AH391" s="2014"/>
      <c r="AI391" s="2014"/>
      <c r="AJ391" s="2014"/>
      <c r="AK391" s="2014"/>
      <c r="AL391" s="2014"/>
      <c r="AM391" s="2014"/>
      <c r="AN391" s="2014"/>
      <c r="AO391" s="2014"/>
      <c r="AP391" s="2014"/>
      <c r="AQ391" s="2015"/>
      <c r="AR391" s="1957"/>
      <c r="AS391" s="1957"/>
      <c r="AT391" s="1928"/>
      <c r="AU391" s="1928"/>
      <c r="AV391" s="1928"/>
      <c r="AW391" s="1928"/>
      <c r="AX391" s="1928"/>
      <c r="AY391" s="1928"/>
      <c r="AZ391" s="1928"/>
      <c r="BA391" s="1928"/>
      <c r="BB391" s="1928"/>
      <c r="BC391" s="1928"/>
      <c r="BD391" s="1928"/>
      <c r="BE391" s="1928"/>
      <c r="BF391" s="1928"/>
      <c r="BG391" s="1928"/>
      <c r="BH391" s="1928"/>
      <c r="BI391" s="1928"/>
      <c r="BJ391" s="1928"/>
      <c r="BK391" s="1928"/>
      <c r="BL391" s="1928"/>
      <c r="BM391" s="1928"/>
      <c r="BN391" s="1928"/>
      <c r="BO391" s="1928"/>
      <c r="BP391" s="1928"/>
      <c r="BQ391" s="1928"/>
      <c r="BR391" s="1928"/>
      <c r="BS391" s="1998"/>
      <c r="BT391" s="1998"/>
      <c r="BU391" s="1998"/>
      <c r="BV391" s="1989"/>
      <c r="BW391" s="1989"/>
      <c r="BX391" s="1989"/>
      <c r="BY391" s="1989"/>
      <c r="BZ391" s="1990"/>
      <c r="CA391" s="1990"/>
      <c r="CB391" s="2115"/>
      <c r="CC391" s="2116"/>
      <c r="CD391" s="2116"/>
      <c r="CE391" s="2116"/>
      <c r="CF391" s="2116"/>
      <c r="CG391" s="2116"/>
      <c r="CH391" s="2116"/>
      <c r="CI391" s="2116"/>
      <c r="CJ391" s="2116"/>
      <c r="CK391" s="2116"/>
      <c r="CL391" s="2116"/>
      <c r="CM391" s="2116"/>
      <c r="CN391" s="2116"/>
      <c r="CO391" s="2116"/>
      <c r="CP391" s="2116"/>
      <c r="CQ391" s="2116"/>
      <c r="CR391" s="2116"/>
      <c r="CS391" s="2116"/>
      <c r="CT391" s="2116"/>
      <c r="CU391" s="2117"/>
      <c r="CV391" s="2360" t="str">
        <f t="shared" si="301"/>
        <v/>
      </c>
      <c r="CW391" s="2360"/>
      <c r="CX391" s="2360"/>
      <c r="CY391" s="2360"/>
      <c r="CZ391" s="2360"/>
      <c r="DA391" s="2360"/>
      <c r="DC391" s="600" t="str">
        <f t="shared" si="302"/>
        <v/>
      </c>
      <c r="DD391" s="381"/>
      <c r="DF391" s="34"/>
      <c r="DG391" s="34"/>
      <c r="DH391" s="34"/>
      <c r="DI391" s="34"/>
      <c r="DJ391" s="858" t="s">
        <v>5637</v>
      </c>
      <c r="DK391" s="1707" t="str">
        <f t="shared" si="347"/>
        <v/>
      </c>
      <c r="DL391" s="1692" t="str">
        <f t="shared" si="348"/>
        <v/>
      </c>
      <c r="DM391" s="1691">
        <f t="shared" si="303"/>
        <v>0</v>
      </c>
      <c r="DN391" s="111">
        <f t="shared" si="304"/>
        <v>0</v>
      </c>
      <c r="DO391" s="111">
        <f t="shared" si="305"/>
        <v>0</v>
      </c>
      <c r="DP391" s="474">
        <f t="shared" si="306"/>
        <v>0</v>
      </c>
      <c r="DQ391" s="123" t="s">
        <v>785</v>
      </c>
      <c r="DR391" s="473" t="str">
        <f>IF($U391="",R389,U391)</f>
        <v>給水管、配電管その他の管又は風道の区画貫通部の充填等の処理の状況</v>
      </c>
      <c r="DS391" s="112">
        <f t="shared" si="308"/>
        <v>0</v>
      </c>
      <c r="DT391" s="118" t="str">
        <f t="shared" si="309"/>
        <v/>
      </c>
      <c r="DU391" s="452" t="str">
        <f t="shared" si="310"/>
        <v/>
      </c>
      <c r="DV391" s="151" t="str">
        <f>IF($DT391="要是正",MAX($DV$366:DV390)+1,"")</f>
        <v/>
      </c>
      <c r="DW391" s="119" t="str">
        <f t="shared" si="311"/>
        <v/>
      </c>
      <c r="DX391" s="119" t="str">
        <f t="shared" si="312"/>
        <v/>
      </c>
      <c r="DY391" s="33" t="str">
        <f t="shared" si="313"/>
        <v/>
      </c>
      <c r="DZ391" s="217" t="str">
        <f t="shared" si="314"/>
        <v/>
      </c>
      <c r="EA391" s="466" t="str">
        <f t="shared" si="315"/>
        <v/>
      </c>
      <c r="EB391" s="234" t="str">
        <f t="shared" si="316"/>
        <v/>
      </c>
      <c r="EC391" s="227" t="str">
        <f t="shared" si="317"/>
        <v>0</v>
      </c>
      <c r="ED391" s="148" t="str">
        <f t="shared" si="349"/>
        <v/>
      </c>
      <c r="EE391" s="227" t="str">
        <f t="shared" si="350"/>
        <v>0</v>
      </c>
      <c r="EF391" s="130" t="str">
        <f t="shared" si="318"/>
        <v/>
      </c>
      <c r="EG391" s="204" t="str">
        <f t="shared" si="319"/>
        <v/>
      </c>
      <c r="EH391" s="134" t="str">
        <f t="shared" si="320"/>
        <v>0</v>
      </c>
      <c r="EI391" s="148" t="str">
        <f t="shared" si="351"/>
        <v/>
      </c>
      <c r="EJ391" s="227" t="str">
        <f t="shared" si="352"/>
        <v>0</v>
      </c>
      <c r="EK391" s="451" t="str">
        <f t="shared" si="321"/>
        <v/>
      </c>
      <c r="EL391" s="452" t="e">
        <f t="shared" si="322"/>
        <v>#N/A</v>
      </c>
      <c r="EM391" s="151" t="e">
        <f t="shared" si="323"/>
        <v>#N/A</v>
      </c>
      <c r="EN391" s="453" t="e">
        <f t="shared" si="324"/>
        <v>#N/A</v>
      </c>
      <c r="FK391" s="597" t="str">
        <f t="shared" si="325"/>
        <v/>
      </c>
      <c r="FL391" s="597" t="str">
        <f t="shared" si="71"/>
        <v/>
      </c>
      <c r="FM391" s="597" t="str">
        <f t="shared" si="72"/>
        <v/>
      </c>
      <c r="FN391" s="597">
        <f t="shared" si="326"/>
        <v>0</v>
      </c>
      <c r="FO391" s="1163" t="str">
        <f t="shared" si="327"/>
        <v/>
      </c>
      <c r="FQ391" s="234" t="str">
        <f t="shared" si="328"/>
        <v/>
      </c>
      <c r="FR391" s="227" t="str">
        <f t="shared" si="329"/>
        <v>0</v>
      </c>
      <c r="FS391" s="148" t="str">
        <f t="shared" si="330"/>
        <v/>
      </c>
      <c r="FT391" s="227" t="str">
        <f t="shared" si="353"/>
        <v>0</v>
      </c>
      <c r="FU391" s="416" t="str">
        <f t="shared" si="331"/>
        <v/>
      </c>
      <c r="FW391" s="1160">
        <f t="shared" si="384"/>
        <v>0</v>
      </c>
      <c r="FX391" s="123"/>
      <c r="FY391" s="123"/>
      <c r="FZ391" s="1161"/>
      <c r="GA391" s="34"/>
      <c r="GB391" s="1149">
        <f t="shared" si="354"/>
        <v>0</v>
      </c>
      <c r="GC391" s="1149">
        <f t="shared" si="355"/>
        <v>0</v>
      </c>
      <c r="GD391" s="1149">
        <f t="shared" si="356"/>
        <v>0</v>
      </c>
      <c r="GE391" s="1149" t="str">
        <f t="shared" si="332"/>
        <v/>
      </c>
      <c r="GF391" s="1149" t="str">
        <f t="shared" si="333"/>
        <v/>
      </c>
      <c r="GG391" s="1149" t="str">
        <f t="shared" si="334"/>
        <v/>
      </c>
      <c r="GH391" s="1149" t="str">
        <f t="shared" si="335"/>
        <v/>
      </c>
      <c r="GI391" s="1149" t="str">
        <f t="shared" si="336"/>
        <v/>
      </c>
      <c r="GJ391" s="1149" t="str">
        <f t="shared" si="337"/>
        <v/>
      </c>
      <c r="GK391" s="1149" t="str">
        <f t="shared" si="338"/>
        <v/>
      </c>
      <c r="GL391" s="1149" t="str">
        <f t="shared" si="339"/>
        <v/>
      </c>
      <c r="GM391" s="1149" t="str">
        <f t="shared" si="340"/>
        <v/>
      </c>
      <c r="GN391" s="1149" t="str">
        <f t="shared" si="341"/>
        <v/>
      </c>
      <c r="GO391" s="1149" t="str">
        <f t="shared" si="342"/>
        <v/>
      </c>
      <c r="GP391" s="1149" t="str">
        <f t="shared" si="343"/>
        <v/>
      </c>
      <c r="GQ391" s="1149" t="str">
        <f t="shared" si="344"/>
        <v/>
      </c>
      <c r="GR391" s="1149" t="str">
        <f t="shared" si="345"/>
        <v/>
      </c>
      <c r="GS391" s="1149" t="str">
        <f t="shared" si="346"/>
        <v/>
      </c>
      <c r="GT391" s="1149">
        <f t="shared" si="357"/>
        <v>0</v>
      </c>
      <c r="GU391" s="1149">
        <f t="shared" si="358"/>
        <v>0</v>
      </c>
      <c r="GV391" s="1149">
        <f t="shared" si="359"/>
        <v>0</v>
      </c>
      <c r="GW391" s="1149" t="b">
        <f t="shared" si="360"/>
        <v>0</v>
      </c>
      <c r="GX391" s="1149" t="b">
        <f t="shared" si="361"/>
        <v>0</v>
      </c>
      <c r="GY391" s="1149" t="b">
        <f t="shared" si="362"/>
        <v>0</v>
      </c>
      <c r="GZ391" s="1149" t="str">
        <f t="shared" si="385"/>
        <v/>
      </c>
      <c r="HB391" s="1149" t="str">
        <f t="shared" si="363"/>
        <v/>
      </c>
      <c r="HC391" s="1149" t="str">
        <f t="shared" si="364"/>
        <v/>
      </c>
      <c r="HD391" s="1149" t="str">
        <f t="shared" si="365"/>
        <v/>
      </c>
      <c r="HE391" s="1149" t="str">
        <f t="shared" si="366"/>
        <v/>
      </c>
      <c r="HF391" s="1149" t="str">
        <f t="shared" si="367"/>
        <v/>
      </c>
      <c r="HG391" s="1149" t="str">
        <f t="shared" si="368"/>
        <v/>
      </c>
      <c r="HH391" s="1149" t="str">
        <f t="shared" si="369"/>
        <v/>
      </c>
      <c r="HI391" s="1149" t="str">
        <f t="shared" si="370"/>
        <v/>
      </c>
      <c r="HJ391" s="1149" t="str">
        <f t="shared" si="371"/>
        <v/>
      </c>
      <c r="HK391" s="1149" t="str">
        <f t="shared" si="372"/>
        <v/>
      </c>
      <c r="HL391" s="1149" t="str">
        <f t="shared" si="373"/>
        <v/>
      </c>
      <c r="HM391" s="1149" t="str">
        <f t="shared" si="374"/>
        <v/>
      </c>
      <c r="HN391" s="1149" t="str">
        <f t="shared" si="375"/>
        <v/>
      </c>
      <c r="HO391" s="1149" t="str">
        <f t="shared" si="376"/>
        <v/>
      </c>
      <c r="HP391" s="1149" t="str">
        <f t="shared" si="377"/>
        <v/>
      </c>
      <c r="HQ391" s="1149" t="str">
        <f t="shared" si="378"/>
        <v/>
      </c>
      <c r="HR391" s="1149" t="str">
        <f t="shared" si="379"/>
        <v/>
      </c>
      <c r="HT391" s="1149">
        <f>LEFT(M391,1)*10000+MID(M391,3,LEN(M391)-3)*100+COUNTIF($M$307:M391,M391)</f>
        <v>42201</v>
      </c>
      <c r="HU391" s="1149" t="str">
        <f t="shared" si="380"/>
        <v/>
      </c>
      <c r="HV391" s="1149" t="str">
        <f t="shared" si="381"/>
        <v/>
      </c>
      <c r="HW391" s="1149" t="str">
        <f t="shared" si="382"/>
        <v/>
      </c>
      <c r="HX391" s="1149" t="str">
        <f t="shared" si="383"/>
        <v/>
      </c>
    </row>
    <row r="392" spans="1:232" s="69" customFormat="1" ht="70" customHeight="1">
      <c r="A392" s="645"/>
      <c r="B392" s="645"/>
      <c r="C392" s="645"/>
      <c r="D392" s="645"/>
      <c r="E392" s="646"/>
      <c r="F392" s="381"/>
      <c r="G392" s="381"/>
      <c r="H392" s="381"/>
      <c r="I392" s="1169"/>
      <c r="J392" s="80"/>
      <c r="K392" s="89"/>
      <c r="L392" s="89"/>
      <c r="M392" s="1967" t="s">
        <v>1244</v>
      </c>
      <c r="N392" s="1967"/>
      <c r="O392" s="1968"/>
      <c r="P392" s="2016" t="s">
        <v>100</v>
      </c>
      <c r="Q392" s="2016"/>
      <c r="R392" s="1962" t="s">
        <v>216</v>
      </c>
      <c r="S392" s="1962"/>
      <c r="T392" s="1962"/>
      <c r="U392" s="2011" t="s">
        <v>215</v>
      </c>
      <c r="V392" s="2011"/>
      <c r="W392" s="2011"/>
      <c r="X392" s="2011"/>
      <c r="Y392" s="2011"/>
      <c r="Z392" s="2011"/>
      <c r="AA392" s="2011"/>
      <c r="AB392" s="2011"/>
      <c r="AC392" s="2011"/>
      <c r="AD392" s="2011"/>
      <c r="AE392" s="2011"/>
      <c r="AF392" s="2019"/>
      <c r="AG392" s="2020"/>
      <c r="AH392" s="2020"/>
      <c r="AI392" s="2020"/>
      <c r="AJ392" s="2020"/>
      <c r="AK392" s="2020"/>
      <c r="AL392" s="2020"/>
      <c r="AM392" s="2020"/>
      <c r="AN392" s="2020"/>
      <c r="AO392" s="2020"/>
      <c r="AP392" s="2020"/>
      <c r="AQ392" s="2021"/>
      <c r="AR392" s="2017"/>
      <c r="AS392" s="2017"/>
      <c r="AT392" s="1929"/>
      <c r="AU392" s="1929"/>
      <c r="AV392" s="1929"/>
      <c r="AW392" s="1929"/>
      <c r="AX392" s="1929"/>
      <c r="AY392" s="1929"/>
      <c r="AZ392" s="1929"/>
      <c r="BA392" s="1929"/>
      <c r="BB392" s="1929"/>
      <c r="BC392" s="1929"/>
      <c r="BD392" s="1929"/>
      <c r="BE392" s="1929"/>
      <c r="BF392" s="1929"/>
      <c r="BG392" s="1929"/>
      <c r="BH392" s="1929"/>
      <c r="BI392" s="1929"/>
      <c r="BJ392" s="1929"/>
      <c r="BK392" s="1929"/>
      <c r="BL392" s="1929"/>
      <c r="BM392" s="1929"/>
      <c r="BN392" s="1929"/>
      <c r="BO392" s="1929"/>
      <c r="BP392" s="1929"/>
      <c r="BQ392" s="1929"/>
      <c r="BR392" s="1929"/>
      <c r="BS392" s="1885"/>
      <c r="BT392" s="1885"/>
      <c r="BU392" s="1885"/>
      <c r="BV392" s="1890"/>
      <c r="BW392" s="1890"/>
      <c r="BX392" s="1890"/>
      <c r="BY392" s="1890"/>
      <c r="BZ392" s="1891"/>
      <c r="CA392" s="1891"/>
      <c r="CB392" s="2356" t="s">
        <v>2822</v>
      </c>
      <c r="CC392" s="2357"/>
      <c r="CD392" s="2357"/>
      <c r="CE392" s="2357"/>
      <c r="CF392" s="2357"/>
      <c r="CG392" s="2357"/>
      <c r="CH392" s="2357"/>
      <c r="CI392" s="2357"/>
      <c r="CJ392" s="2357"/>
      <c r="CK392" s="2357"/>
      <c r="CL392" s="2357"/>
      <c r="CM392" s="2357"/>
      <c r="CN392" s="2357"/>
      <c r="CO392" s="2357"/>
      <c r="CP392" s="2357"/>
      <c r="CQ392" s="2357"/>
      <c r="CR392" s="2357"/>
      <c r="CS392" s="2357"/>
      <c r="CT392" s="2357"/>
      <c r="CU392" s="2358"/>
      <c r="CV392" s="2360" t="str">
        <f t="shared" si="301"/>
        <v/>
      </c>
      <c r="CW392" s="2360"/>
      <c r="CX392" s="2360"/>
      <c r="CY392" s="2360"/>
      <c r="CZ392" s="2360"/>
      <c r="DA392" s="2360"/>
      <c r="DC392" s="600" t="str">
        <f t="shared" si="302"/>
        <v/>
      </c>
      <c r="DD392" s="381"/>
      <c r="DF392" s="34"/>
      <c r="DG392" s="34"/>
      <c r="DH392" s="34"/>
      <c r="DI392" s="34"/>
      <c r="DJ392" s="858" t="s">
        <v>5637</v>
      </c>
      <c r="DK392" s="1707" t="str">
        <f t="shared" si="347"/>
        <v/>
      </c>
      <c r="DL392" s="1692" t="str">
        <f t="shared" si="348"/>
        <v/>
      </c>
      <c r="DM392" s="1691">
        <f t="shared" si="303"/>
        <v>0</v>
      </c>
      <c r="DN392" s="111">
        <f t="shared" si="304"/>
        <v>0</v>
      </c>
      <c r="DO392" s="111">
        <f t="shared" si="305"/>
        <v>0</v>
      </c>
      <c r="DP392" s="474">
        <f t="shared" si="306"/>
        <v>0</v>
      </c>
      <c r="DQ392" s="123" t="s">
        <v>786</v>
      </c>
      <c r="DR392" s="473" t="str">
        <f t="shared" si="307"/>
        <v>室内に面する部分の仕上げの維持保全の状況</v>
      </c>
      <c r="DS392" s="112">
        <f t="shared" si="308"/>
        <v>0</v>
      </c>
      <c r="DT392" s="118" t="str">
        <f t="shared" si="309"/>
        <v/>
      </c>
      <c r="DU392" s="452" t="str">
        <f t="shared" si="310"/>
        <v/>
      </c>
      <c r="DV392" s="151" t="str">
        <f>IF($DT392="要是正",MAX($DV$366:DV391)+1,"")</f>
        <v/>
      </c>
      <c r="DW392" s="119" t="str">
        <f t="shared" si="311"/>
        <v/>
      </c>
      <c r="DX392" s="119" t="str">
        <f t="shared" si="312"/>
        <v/>
      </c>
      <c r="DY392" s="33" t="str">
        <f t="shared" si="313"/>
        <v/>
      </c>
      <c r="DZ392" s="217" t="str">
        <f t="shared" si="314"/>
        <v/>
      </c>
      <c r="EA392" s="466" t="str">
        <f t="shared" si="315"/>
        <v/>
      </c>
      <c r="EB392" s="234" t="str">
        <f t="shared" si="316"/>
        <v/>
      </c>
      <c r="EC392" s="227" t="str">
        <f t="shared" si="317"/>
        <v>0</v>
      </c>
      <c r="ED392" s="148" t="str">
        <f t="shared" si="349"/>
        <v/>
      </c>
      <c r="EE392" s="227" t="str">
        <f t="shared" si="350"/>
        <v>0</v>
      </c>
      <c r="EF392" s="130" t="str">
        <f t="shared" si="318"/>
        <v/>
      </c>
      <c r="EG392" s="204" t="str">
        <f t="shared" si="319"/>
        <v/>
      </c>
      <c r="EH392" s="134" t="str">
        <f t="shared" si="320"/>
        <v>0</v>
      </c>
      <c r="EI392" s="148" t="str">
        <f t="shared" si="351"/>
        <v/>
      </c>
      <c r="EJ392" s="227" t="str">
        <f t="shared" si="352"/>
        <v>0</v>
      </c>
      <c r="EK392" s="451" t="str">
        <f t="shared" si="321"/>
        <v/>
      </c>
      <c r="EL392" s="452" t="e">
        <f t="shared" si="322"/>
        <v>#N/A</v>
      </c>
      <c r="EM392" s="151" t="e">
        <f t="shared" si="323"/>
        <v>#N/A</v>
      </c>
      <c r="EN392" s="453" t="e">
        <f t="shared" si="324"/>
        <v>#N/A</v>
      </c>
      <c r="FK392" s="597" t="str">
        <f t="shared" si="325"/>
        <v/>
      </c>
      <c r="FL392" s="597" t="str">
        <f t="shared" si="71"/>
        <v/>
      </c>
      <c r="FM392" s="597" t="str">
        <f t="shared" si="72"/>
        <v/>
      </c>
      <c r="FN392" s="597">
        <f t="shared" si="326"/>
        <v>0</v>
      </c>
      <c r="FO392" s="1163" t="str">
        <f t="shared" si="327"/>
        <v/>
      </c>
      <c r="FQ392" s="234" t="str">
        <f t="shared" si="328"/>
        <v/>
      </c>
      <c r="FR392" s="227" t="str">
        <f t="shared" si="329"/>
        <v>0</v>
      </c>
      <c r="FS392" s="148" t="str">
        <f t="shared" si="330"/>
        <v/>
      </c>
      <c r="FT392" s="227" t="str">
        <f t="shared" si="353"/>
        <v>0</v>
      </c>
      <c r="FU392" s="416" t="str">
        <f t="shared" si="331"/>
        <v/>
      </c>
      <c r="FW392" s="1160">
        <f t="shared" si="384"/>
        <v>0</v>
      </c>
      <c r="FX392" s="123"/>
      <c r="FY392" s="123"/>
      <c r="FZ392" s="1161"/>
      <c r="GA392" s="34"/>
      <c r="GB392" s="1149">
        <f t="shared" si="354"/>
        <v>0</v>
      </c>
      <c r="GC392" s="1149">
        <f t="shared" si="355"/>
        <v>0</v>
      </c>
      <c r="GD392" s="1149">
        <f t="shared" si="356"/>
        <v>0</v>
      </c>
      <c r="GE392" s="1149" t="str">
        <f t="shared" si="332"/>
        <v/>
      </c>
      <c r="GF392" s="1149" t="str">
        <f t="shared" si="333"/>
        <v/>
      </c>
      <c r="GG392" s="1149" t="str">
        <f t="shared" si="334"/>
        <v/>
      </c>
      <c r="GH392" s="1149" t="str">
        <f t="shared" si="335"/>
        <v/>
      </c>
      <c r="GI392" s="1149" t="str">
        <f t="shared" si="336"/>
        <v/>
      </c>
      <c r="GJ392" s="1149" t="str">
        <f t="shared" si="337"/>
        <v/>
      </c>
      <c r="GK392" s="1149" t="str">
        <f t="shared" si="338"/>
        <v/>
      </c>
      <c r="GL392" s="1149" t="str">
        <f t="shared" si="339"/>
        <v/>
      </c>
      <c r="GM392" s="1149" t="str">
        <f t="shared" si="340"/>
        <v/>
      </c>
      <c r="GN392" s="1149" t="str">
        <f t="shared" si="341"/>
        <v/>
      </c>
      <c r="GO392" s="1149" t="str">
        <f t="shared" si="342"/>
        <v/>
      </c>
      <c r="GP392" s="1149" t="str">
        <f t="shared" si="343"/>
        <v/>
      </c>
      <c r="GQ392" s="1149" t="str">
        <f t="shared" si="344"/>
        <v/>
      </c>
      <c r="GR392" s="1149" t="str">
        <f t="shared" si="345"/>
        <v/>
      </c>
      <c r="GS392" s="1149" t="str">
        <f t="shared" si="346"/>
        <v/>
      </c>
      <c r="GT392" s="1149">
        <f t="shared" si="357"/>
        <v>0</v>
      </c>
      <c r="GU392" s="1149">
        <f t="shared" si="358"/>
        <v>0</v>
      </c>
      <c r="GV392" s="1149">
        <f t="shared" si="359"/>
        <v>0</v>
      </c>
      <c r="GW392" s="1149" t="b">
        <f t="shared" si="360"/>
        <v>0</v>
      </c>
      <c r="GX392" s="1149" t="b">
        <f t="shared" si="361"/>
        <v>0</v>
      </c>
      <c r="GY392" s="1149" t="b">
        <f t="shared" si="362"/>
        <v>0</v>
      </c>
      <c r="GZ392" s="1149" t="str">
        <f t="shared" si="385"/>
        <v/>
      </c>
      <c r="HB392" s="1149" t="str">
        <f t="shared" si="363"/>
        <v/>
      </c>
      <c r="HC392" s="1149" t="str">
        <f t="shared" si="364"/>
        <v/>
      </c>
      <c r="HD392" s="1149" t="str">
        <f t="shared" si="365"/>
        <v/>
      </c>
      <c r="HE392" s="1149" t="str">
        <f t="shared" si="366"/>
        <v/>
      </c>
      <c r="HF392" s="1149" t="str">
        <f t="shared" si="367"/>
        <v/>
      </c>
      <c r="HG392" s="1149" t="str">
        <f t="shared" si="368"/>
        <v/>
      </c>
      <c r="HH392" s="1149" t="str">
        <f t="shared" si="369"/>
        <v/>
      </c>
      <c r="HI392" s="1149" t="str">
        <f t="shared" si="370"/>
        <v/>
      </c>
      <c r="HJ392" s="1149" t="str">
        <f t="shared" si="371"/>
        <v/>
      </c>
      <c r="HK392" s="1149" t="str">
        <f t="shared" si="372"/>
        <v/>
      </c>
      <c r="HL392" s="1149" t="str">
        <f t="shared" si="373"/>
        <v/>
      </c>
      <c r="HM392" s="1149" t="str">
        <f t="shared" si="374"/>
        <v/>
      </c>
      <c r="HN392" s="1149" t="str">
        <f t="shared" si="375"/>
        <v/>
      </c>
      <c r="HO392" s="1149" t="str">
        <f t="shared" si="376"/>
        <v/>
      </c>
      <c r="HP392" s="1149" t="str">
        <f t="shared" si="377"/>
        <v/>
      </c>
      <c r="HQ392" s="1149" t="str">
        <f t="shared" si="378"/>
        <v/>
      </c>
      <c r="HR392" s="1149" t="str">
        <f t="shared" si="379"/>
        <v/>
      </c>
      <c r="HT392" s="1149">
        <f>LEFT(M392,1)*10000+MID(M392,3,LEN(M392)-3)*100+COUNTIF($M$307:M392,M392)</f>
        <v>42301</v>
      </c>
      <c r="HU392" s="1149" t="str">
        <f t="shared" si="380"/>
        <v/>
      </c>
      <c r="HV392" s="1149" t="str">
        <f t="shared" si="381"/>
        <v/>
      </c>
      <c r="HW392" s="1149" t="str">
        <f t="shared" si="382"/>
        <v/>
      </c>
      <c r="HX392" s="1149" t="str">
        <f t="shared" si="383"/>
        <v/>
      </c>
    </row>
    <row r="393" spans="1:232" s="69" customFormat="1" ht="70" customHeight="1">
      <c r="A393" s="645"/>
      <c r="B393" s="645"/>
      <c r="C393" s="645"/>
      <c r="D393" s="645"/>
      <c r="E393" s="646"/>
      <c r="F393" s="381"/>
      <c r="G393" s="381"/>
      <c r="H393" s="381"/>
      <c r="I393" s="1169"/>
      <c r="J393" s="80"/>
      <c r="K393" s="89"/>
      <c r="L393" s="89"/>
      <c r="M393" s="1967" t="s">
        <v>1245</v>
      </c>
      <c r="N393" s="1967"/>
      <c r="O393" s="1968"/>
      <c r="P393" s="2016"/>
      <c r="Q393" s="2016"/>
      <c r="R393" s="1962"/>
      <c r="S393" s="1962"/>
      <c r="T393" s="1962"/>
      <c r="U393" s="1956" t="s">
        <v>101</v>
      </c>
      <c r="V393" s="1956"/>
      <c r="W393" s="1956"/>
      <c r="X393" s="1956"/>
      <c r="Y393" s="1956"/>
      <c r="Z393" s="1956"/>
      <c r="AA393" s="1956"/>
      <c r="AB393" s="1956"/>
      <c r="AC393" s="1956"/>
      <c r="AD393" s="1956"/>
      <c r="AE393" s="1956"/>
      <c r="AF393" s="2104"/>
      <c r="AG393" s="2105"/>
      <c r="AH393" s="2105"/>
      <c r="AI393" s="2105"/>
      <c r="AJ393" s="2105"/>
      <c r="AK393" s="2105"/>
      <c r="AL393" s="2105"/>
      <c r="AM393" s="2105"/>
      <c r="AN393" s="2105"/>
      <c r="AO393" s="2105"/>
      <c r="AP393" s="2105"/>
      <c r="AQ393" s="2106"/>
      <c r="AR393" s="2026"/>
      <c r="AS393" s="2026"/>
      <c r="AT393" s="1997"/>
      <c r="AU393" s="1997"/>
      <c r="AV393" s="1997"/>
      <c r="AW393" s="1997"/>
      <c r="AX393" s="1997"/>
      <c r="AY393" s="1997"/>
      <c r="AZ393" s="1997"/>
      <c r="BA393" s="1997"/>
      <c r="BB393" s="1997"/>
      <c r="BC393" s="1997"/>
      <c r="BD393" s="1997"/>
      <c r="BE393" s="1997"/>
      <c r="BF393" s="1997"/>
      <c r="BG393" s="1997"/>
      <c r="BH393" s="1997"/>
      <c r="BI393" s="1997"/>
      <c r="BJ393" s="1997"/>
      <c r="BK393" s="1997"/>
      <c r="BL393" s="1997"/>
      <c r="BM393" s="1997"/>
      <c r="BN393" s="1997"/>
      <c r="BO393" s="1997"/>
      <c r="BP393" s="1997"/>
      <c r="BQ393" s="1997"/>
      <c r="BR393" s="1997"/>
      <c r="BS393" s="1991"/>
      <c r="BT393" s="1991"/>
      <c r="BU393" s="1991"/>
      <c r="BV393" s="1982"/>
      <c r="BW393" s="1982"/>
      <c r="BX393" s="1982"/>
      <c r="BY393" s="1982"/>
      <c r="BZ393" s="1992"/>
      <c r="CA393" s="1992"/>
      <c r="CB393" s="2523"/>
      <c r="CC393" s="2524"/>
      <c r="CD393" s="2524"/>
      <c r="CE393" s="2524"/>
      <c r="CF393" s="2524"/>
      <c r="CG393" s="2524"/>
      <c r="CH393" s="2524"/>
      <c r="CI393" s="2524"/>
      <c r="CJ393" s="2524"/>
      <c r="CK393" s="2524"/>
      <c r="CL393" s="2524"/>
      <c r="CM393" s="2524"/>
      <c r="CN393" s="2524"/>
      <c r="CO393" s="2524"/>
      <c r="CP393" s="2524"/>
      <c r="CQ393" s="2524"/>
      <c r="CR393" s="2524"/>
      <c r="CS393" s="2524"/>
      <c r="CT393" s="2524"/>
      <c r="CU393" s="2525"/>
      <c r="CV393" s="2360" t="str">
        <f t="shared" si="301"/>
        <v/>
      </c>
      <c r="CW393" s="2360"/>
      <c r="CX393" s="2360"/>
      <c r="CY393" s="2360"/>
      <c r="CZ393" s="2360"/>
      <c r="DA393" s="2360"/>
      <c r="DC393" s="600" t="str">
        <f t="shared" si="302"/>
        <v/>
      </c>
      <c r="DD393" s="381"/>
      <c r="DF393" s="34"/>
      <c r="DG393" s="34"/>
      <c r="DH393" s="34"/>
      <c r="DI393" s="34"/>
      <c r="DJ393" s="858" t="s">
        <v>5637</v>
      </c>
      <c r="DK393" s="1707" t="str">
        <f t="shared" si="347"/>
        <v/>
      </c>
      <c r="DL393" s="1692" t="str">
        <f t="shared" si="348"/>
        <v/>
      </c>
      <c r="DM393" s="1691">
        <f t="shared" si="303"/>
        <v>0</v>
      </c>
      <c r="DN393" s="111">
        <f t="shared" si="304"/>
        <v>0</v>
      </c>
      <c r="DO393" s="111">
        <f t="shared" si="305"/>
        <v>0</v>
      </c>
      <c r="DP393" s="474">
        <f t="shared" si="306"/>
        <v>0</v>
      </c>
      <c r="DQ393" s="123" t="s">
        <v>787</v>
      </c>
      <c r="DR393" s="473" t="str">
        <f>IF($U393="",R392,U393)</f>
        <v>室内に面する部分の仕上げの劣化及び損傷の状況</v>
      </c>
      <c r="DS393" s="112">
        <f t="shared" si="308"/>
        <v>0</v>
      </c>
      <c r="DT393" s="118" t="str">
        <f t="shared" si="309"/>
        <v/>
      </c>
      <c r="DU393" s="452" t="str">
        <f t="shared" si="310"/>
        <v/>
      </c>
      <c r="DV393" s="151" t="str">
        <f>IF($DT393="要是正",MAX($DV$366:DV392)+1,"")</f>
        <v/>
      </c>
      <c r="DW393" s="119" t="str">
        <f t="shared" si="311"/>
        <v/>
      </c>
      <c r="DX393" s="119" t="str">
        <f t="shared" si="312"/>
        <v/>
      </c>
      <c r="DY393" s="33" t="str">
        <f t="shared" si="313"/>
        <v/>
      </c>
      <c r="DZ393" s="217" t="str">
        <f t="shared" si="314"/>
        <v/>
      </c>
      <c r="EA393" s="466" t="str">
        <f t="shared" si="315"/>
        <v/>
      </c>
      <c r="EB393" s="234" t="str">
        <f t="shared" si="316"/>
        <v/>
      </c>
      <c r="EC393" s="227" t="str">
        <f t="shared" si="317"/>
        <v>0</v>
      </c>
      <c r="ED393" s="148" t="str">
        <f t="shared" si="349"/>
        <v/>
      </c>
      <c r="EE393" s="227" t="str">
        <f t="shared" si="350"/>
        <v>0</v>
      </c>
      <c r="EF393" s="130" t="str">
        <f t="shared" si="318"/>
        <v/>
      </c>
      <c r="EG393" s="204" t="str">
        <f t="shared" si="319"/>
        <v/>
      </c>
      <c r="EH393" s="134" t="str">
        <f t="shared" si="320"/>
        <v>0</v>
      </c>
      <c r="EI393" s="148" t="str">
        <f t="shared" si="351"/>
        <v/>
      </c>
      <c r="EJ393" s="227" t="str">
        <f t="shared" si="352"/>
        <v>0</v>
      </c>
      <c r="EK393" s="451" t="str">
        <f t="shared" si="321"/>
        <v/>
      </c>
      <c r="EL393" s="452" t="e">
        <f t="shared" si="322"/>
        <v>#N/A</v>
      </c>
      <c r="EM393" s="151" t="e">
        <f t="shared" si="323"/>
        <v>#N/A</v>
      </c>
      <c r="EN393" s="453" t="e">
        <f t="shared" si="324"/>
        <v>#N/A</v>
      </c>
      <c r="FK393" s="597" t="str">
        <f t="shared" si="325"/>
        <v/>
      </c>
      <c r="FL393" s="597" t="str">
        <f t="shared" ref="FL393:FL463" si="386">IF(OR($AF393="×要是正（既存不適格以外）",$AF393="△既存不適格"),"○","")</f>
        <v/>
      </c>
      <c r="FM393" s="597" t="str">
        <f t="shared" ref="FM393:FM463" si="387">IF($AF393="△既存不適格","○","")</f>
        <v/>
      </c>
      <c r="FN393" s="597">
        <f t="shared" si="326"/>
        <v>0</v>
      </c>
      <c r="FO393" s="1163" t="str">
        <f t="shared" si="327"/>
        <v/>
      </c>
      <c r="FQ393" s="234" t="str">
        <f t="shared" si="328"/>
        <v/>
      </c>
      <c r="FR393" s="227" t="str">
        <f t="shared" si="329"/>
        <v>0</v>
      </c>
      <c r="FS393" s="148" t="str">
        <f t="shared" si="330"/>
        <v/>
      </c>
      <c r="FT393" s="227" t="str">
        <f t="shared" si="353"/>
        <v>0</v>
      </c>
      <c r="FU393" s="416" t="str">
        <f t="shared" si="331"/>
        <v/>
      </c>
      <c r="FW393" s="1160">
        <f t="shared" si="384"/>
        <v>0</v>
      </c>
      <c r="FX393" s="123"/>
      <c r="FY393" s="123"/>
      <c r="FZ393" s="1161"/>
      <c r="GA393" s="34"/>
      <c r="GB393" s="1149">
        <f t="shared" si="354"/>
        <v>0</v>
      </c>
      <c r="GC393" s="1149">
        <f t="shared" si="355"/>
        <v>0</v>
      </c>
      <c r="GD393" s="1149">
        <f t="shared" si="356"/>
        <v>0</v>
      </c>
      <c r="GE393" s="1149" t="str">
        <f t="shared" si="332"/>
        <v/>
      </c>
      <c r="GF393" s="1149" t="str">
        <f t="shared" si="333"/>
        <v/>
      </c>
      <c r="GG393" s="1149" t="str">
        <f t="shared" si="334"/>
        <v/>
      </c>
      <c r="GH393" s="1149" t="str">
        <f t="shared" si="335"/>
        <v/>
      </c>
      <c r="GI393" s="1149" t="str">
        <f t="shared" si="336"/>
        <v/>
      </c>
      <c r="GJ393" s="1149" t="str">
        <f t="shared" si="337"/>
        <v/>
      </c>
      <c r="GK393" s="1149" t="str">
        <f t="shared" si="338"/>
        <v/>
      </c>
      <c r="GL393" s="1149" t="str">
        <f t="shared" si="339"/>
        <v/>
      </c>
      <c r="GM393" s="1149" t="str">
        <f t="shared" si="340"/>
        <v/>
      </c>
      <c r="GN393" s="1149" t="str">
        <f t="shared" si="341"/>
        <v/>
      </c>
      <c r="GO393" s="1149" t="str">
        <f t="shared" si="342"/>
        <v/>
      </c>
      <c r="GP393" s="1149" t="str">
        <f t="shared" si="343"/>
        <v/>
      </c>
      <c r="GQ393" s="1149" t="str">
        <f t="shared" si="344"/>
        <v/>
      </c>
      <c r="GR393" s="1149" t="str">
        <f t="shared" si="345"/>
        <v/>
      </c>
      <c r="GS393" s="1149" t="str">
        <f t="shared" si="346"/>
        <v/>
      </c>
      <c r="GT393" s="1149">
        <f t="shared" si="357"/>
        <v>0</v>
      </c>
      <c r="GU393" s="1149">
        <f t="shared" si="358"/>
        <v>0</v>
      </c>
      <c r="GV393" s="1149">
        <f t="shared" si="359"/>
        <v>0</v>
      </c>
      <c r="GW393" s="1149" t="b">
        <f t="shared" si="360"/>
        <v>0</v>
      </c>
      <c r="GX393" s="1149" t="b">
        <f t="shared" si="361"/>
        <v>0</v>
      </c>
      <c r="GY393" s="1149" t="b">
        <f t="shared" si="362"/>
        <v>0</v>
      </c>
      <c r="GZ393" s="1149" t="str">
        <f t="shared" si="385"/>
        <v/>
      </c>
      <c r="HB393" s="1149" t="str">
        <f t="shared" si="363"/>
        <v/>
      </c>
      <c r="HC393" s="1149" t="str">
        <f t="shared" si="364"/>
        <v/>
      </c>
      <c r="HD393" s="1149" t="str">
        <f t="shared" si="365"/>
        <v/>
      </c>
      <c r="HE393" s="1149" t="str">
        <f t="shared" si="366"/>
        <v/>
      </c>
      <c r="HF393" s="1149" t="str">
        <f t="shared" si="367"/>
        <v/>
      </c>
      <c r="HG393" s="1149" t="str">
        <f t="shared" si="368"/>
        <v/>
      </c>
      <c r="HH393" s="1149" t="str">
        <f t="shared" si="369"/>
        <v/>
      </c>
      <c r="HI393" s="1149" t="str">
        <f t="shared" si="370"/>
        <v/>
      </c>
      <c r="HJ393" s="1149" t="str">
        <f t="shared" si="371"/>
        <v/>
      </c>
      <c r="HK393" s="1149" t="str">
        <f t="shared" si="372"/>
        <v/>
      </c>
      <c r="HL393" s="1149" t="str">
        <f t="shared" si="373"/>
        <v/>
      </c>
      <c r="HM393" s="1149" t="str">
        <f t="shared" si="374"/>
        <v/>
      </c>
      <c r="HN393" s="1149" t="str">
        <f t="shared" si="375"/>
        <v/>
      </c>
      <c r="HO393" s="1149" t="str">
        <f t="shared" si="376"/>
        <v/>
      </c>
      <c r="HP393" s="1149" t="str">
        <f t="shared" si="377"/>
        <v/>
      </c>
      <c r="HQ393" s="1149" t="str">
        <f t="shared" si="378"/>
        <v/>
      </c>
      <c r="HR393" s="1149" t="str">
        <f t="shared" si="379"/>
        <v/>
      </c>
      <c r="HT393" s="1149">
        <f>LEFT(M393,1)*10000+MID(M393,3,LEN(M393)-3)*100+COUNTIF($M$307:M393,M393)</f>
        <v>42401</v>
      </c>
      <c r="HU393" s="1149" t="str">
        <f t="shared" si="380"/>
        <v/>
      </c>
      <c r="HV393" s="1149" t="str">
        <f t="shared" si="381"/>
        <v/>
      </c>
      <c r="HW393" s="1149" t="str">
        <f t="shared" si="382"/>
        <v/>
      </c>
      <c r="HX393" s="1149" t="str">
        <f t="shared" si="383"/>
        <v/>
      </c>
    </row>
    <row r="394" spans="1:232" s="69" customFormat="1" ht="50.15" customHeight="1">
      <c r="A394" s="645"/>
      <c r="B394" s="645"/>
      <c r="C394" s="645"/>
      <c r="D394" s="645"/>
      <c r="E394" s="646"/>
      <c r="F394" s="381"/>
      <c r="G394" s="381"/>
      <c r="H394" s="381"/>
      <c r="I394" s="1169"/>
      <c r="J394" s="80"/>
      <c r="K394" s="89"/>
      <c r="L394" s="89"/>
      <c r="M394" s="1967" t="s">
        <v>1246</v>
      </c>
      <c r="N394" s="1967"/>
      <c r="O394" s="1968"/>
      <c r="P394" s="2016"/>
      <c r="Q394" s="2016"/>
      <c r="R394" s="1962" t="s">
        <v>184</v>
      </c>
      <c r="S394" s="1962"/>
      <c r="T394" s="1962"/>
      <c r="U394" s="1966" t="s">
        <v>185</v>
      </c>
      <c r="V394" s="1966"/>
      <c r="W394" s="1966"/>
      <c r="X394" s="1966"/>
      <c r="Y394" s="1966"/>
      <c r="Z394" s="1966"/>
      <c r="AA394" s="1966"/>
      <c r="AB394" s="1966"/>
      <c r="AC394" s="1966"/>
      <c r="AD394" s="1966"/>
      <c r="AE394" s="1966"/>
      <c r="AF394" s="1995"/>
      <c r="AG394" s="1995"/>
      <c r="AH394" s="1995"/>
      <c r="AI394" s="1995"/>
      <c r="AJ394" s="1995"/>
      <c r="AK394" s="1995"/>
      <c r="AL394" s="1995"/>
      <c r="AM394" s="1995"/>
      <c r="AN394" s="1995"/>
      <c r="AO394" s="1995"/>
      <c r="AP394" s="1995"/>
      <c r="AQ394" s="1995"/>
      <c r="AR394" s="1957"/>
      <c r="AS394" s="1957"/>
      <c r="AT394" s="1928"/>
      <c r="AU394" s="1928"/>
      <c r="AV394" s="1928"/>
      <c r="AW394" s="1928"/>
      <c r="AX394" s="1928"/>
      <c r="AY394" s="1928"/>
      <c r="AZ394" s="1928"/>
      <c r="BA394" s="1928"/>
      <c r="BB394" s="1928"/>
      <c r="BC394" s="1928"/>
      <c r="BD394" s="1928"/>
      <c r="BE394" s="1928"/>
      <c r="BF394" s="1928"/>
      <c r="BG394" s="1928"/>
      <c r="BH394" s="1928"/>
      <c r="BI394" s="1928"/>
      <c r="BJ394" s="1928"/>
      <c r="BK394" s="1928"/>
      <c r="BL394" s="1928"/>
      <c r="BM394" s="1928"/>
      <c r="BN394" s="1928"/>
      <c r="BO394" s="1928"/>
      <c r="BP394" s="1928"/>
      <c r="BQ394" s="1928"/>
      <c r="BR394" s="1928"/>
      <c r="BS394" s="1998"/>
      <c r="BT394" s="1998"/>
      <c r="BU394" s="1998"/>
      <c r="BV394" s="1989"/>
      <c r="BW394" s="1989"/>
      <c r="BX394" s="1989"/>
      <c r="BY394" s="1989"/>
      <c r="BZ394" s="1990"/>
      <c r="CA394" s="1990"/>
      <c r="CB394" s="1979"/>
      <c r="CC394" s="1980"/>
      <c r="CD394" s="1980"/>
      <c r="CE394" s="1980"/>
      <c r="CF394" s="1980"/>
      <c r="CG394" s="1980"/>
      <c r="CH394" s="1980"/>
      <c r="CI394" s="1980"/>
      <c r="CJ394" s="1980"/>
      <c r="CK394" s="1980"/>
      <c r="CL394" s="1980"/>
      <c r="CM394" s="1980"/>
      <c r="CN394" s="1980"/>
      <c r="CO394" s="1980"/>
      <c r="CP394" s="1980"/>
      <c r="CQ394" s="1980"/>
      <c r="CR394" s="1980"/>
      <c r="CS394" s="1980"/>
      <c r="CT394" s="1980"/>
      <c r="CU394" s="1981"/>
      <c r="CV394" s="2360" t="str">
        <f t="shared" si="301"/>
        <v/>
      </c>
      <c r="CW394" s="2360"/>
      <c r="CX394" s="2360"/>
      <c r="CY394" s="2360"/>
      <c r="CZ394" s="2360"/>
      <c r="DA394" s="2360"/>
      <c r="DC394" s="600" t="str">
        <f t="shared" si="302"/>
        <v/>
      </c>
      <c r="DD394" s="381"/>
      <c r="DF394" s="34"/>
      <c r="DG394" s="34"/>
      <c r="DH394" s="34"/>
      <c r="DI394" s="34"/>
      <c r="DJ394" s="858" t="s">
        <v>5637</v>
      </c>
      <c r="DK394" s="1707" t="str">
        <f t="shared" si="347"/>
        <v/>
      </c>
      <c r="DL394" s="1692" t="str">
        <f t="shared" si="348"/>
        <v/>
      </c>
      <c r="DM394" s="1691">
        <f t="shared" si="303"/>
        <v>0</v>
      </c>
      <c r="DN394" s="111">
        <f t="shared" si="304"/>
        <v>0</v>
      </c>
      <c r="DO394" s="111">
        <f t="shared" si="305"/>
        <v>0</v>
      </c>
      <c r="DP394" s="474">
        <f t="shared" si="306"/>
        <v>0</v>
      </c>
      <c r="DQ394" s="123" t="s">
        <v>788</v>
      </c>
      <c r="DR394" s="473" t="str">
        <f t="shared" si="307"/>
        <v>特定天井の天井材の劣化及び損傷の状況</v>
      </c>
      <c r="DS394" s="112">
        <f t="shared" si="308"/>
        <v>0</v>
      </c>
      <c r="DT394" s="118" t="str">
        <f t="shared" si="309"/>
        <v/>
      </c>
      <c r="DU394" s="452" t="str">
        <f t="shared" si="310"/>
        <v/>
      </c>
      <c r="DV394" s="151" t="str">
        <f>IF($DT394="要是正",MAX($DV$366:DV393)+1,"")</f>
        <v/>
      </c>
      <c r="DW394" s="119" t="str">
        <f t="shared" si="311"/>
        <v/>
      </c>
      <c r="DX394" s="119" t="str">
        <f t="shared" si="312"/>
        <v/>
      </c>
      <c r="DY394" s="33" t="str">
        <f t="shared" si="313"/>
        <v/>
      </c>
      <c r="DZ394" s="217" t="str">
        <f t="shared" si="314"/>
        <v/>
      </c>
      <c r="EA394" s="466" t="str">
        <f t="shared" si="315"/>
        <v/>
      </c>
      <c r="EB394" s="234" t="str">
        <f t="shared" si="316"/>
        <v/>
      </c>
      <c r="EC394" s="227" t="str">
        <f t="shared" si="317"/>
        <v>0</v>
      </c>
      <c r="ED394" s="148" t="str">
        <f t="shared" si="349"/>
        <v/>
      </c>
      <c r="EE394" s="227" t="str">
        <f t="shared" si="350"/>
        <v>0</v>
      </c>
      <c r="EF394" s="130" t="str">
        <f t="shared" si="318"/>
        <v/>
      </c>
      <c r="EG394" s="204" t="str">
        <f t="shared" si="319"/>
        <v/>
      </c>
      <c r="EH394" s="134" t="str">
        <f t="shared" si="320"/>
        <v>0</v>
      </c>
      <c r="EI394" s="148" t="str">
        <f t="shared" si="351"/>
        <v/>
      </c>
      <c r="EJ394" s="227" t="str">
        <f t="shared" si="352"/>
        <v>0</v>
      </c>
      <c r="EK394" s="451" t="str">
        <f t="shared" si="321"/>
        <v/>
      </c>
      <c r="EL394" s="452" t="e">
        <f t="shared" si="322"/>
        <v>#N/A</v>
      </c>
      <c r="EM394" s="151" t="e">
        <f t="shared" si="323"/>
        <v>#N/A</v>
      </c>
      <c r="EN394" s="453" t="e">
        <f t="shared" si="324"/>
        <v>#N/A</v>
      </c>
      <c r="FK394" s="597" t="str">
        <f t="shared" si="325"/>
        <v/>
      </c>
      <c r="FL394" s="597" t="str">
        <f t="shared" si="386"/>
        <v/>
      </c>
      <c r="FM394" s="597" t="str">
        <f t="shared" si="387"/>
        <v/>
      </c>
      <c r="FN394" s="597">
        <f t="shared" si="326"/>
        <v>0</v>
      </c>
      <c r="FO394" s="1163" t="str">
        <f t="shared" si="327"/>
        <v/>
      </c>
      <c r="FQ394" s="234" t="str">
        <f t="shared" si="328"/>
        <v/>
      </c>
      <c r="FR394" s="227" t="str">
        <f t="shared" si="329"/>
        <v>0</v>
      </c>
      <c r="FS394" s="148" t="str">
        <f t="shared" si="330"/>
        <v/>
      </c>
      <c r="FT394" s="227" t="str">
        <f t="shared" si="353"/>
        <v>0</v>
      </c>
      <c r="FU394" s="416" t="str">
        <f t="shared" si="331"/>
        <v/>
      </c>
      <c r="FW394" s="1160">
        <f t="shared" si="384"/>
        <v>0</v>
      </c>
      <c r="FX394" s="123"/>
      <c r="FY394" s="123"/>
      <c r="FZ394" s="1161"/>
      <c r="GA394" s="34"/>
      <c r="GB394" s="1149">
        <f t="shared" si="354"/>
        <v>0</v>
      </c>
      <c r="GC394" s="1149">
        <f t="shared" si="355"/>
        <v>0</v>
      </c>
      <c r="GD394" s="1149">
        <f t="shared" si="356"/>
        <v>0</v>
      </c>
      <c r="GE394" s="1149" t="str">
        <f t="shared" si="332"/>
        <v/>
      </c>
      <c r="GF394" s="1149" t="str">
        <f t="shared" si="333"/>
        <v/>
      </c>
      <c r="GG394" s="1149" t="str">
        <f t="shared" si="334"/>
        <v/>
      </c>
      <c r="GH394" s="1149" t="str">
        <f t="shared" si="335"/>
        <v/>
      </c>
      <c r="GI394" s="1149" t="str">
        <f t="shared" si="336"/>
        <v/>
      </c>
      <c r="GJ394" s="1149" t="str">
        <f t="shared" si="337"/>
        <v/>
      </c>
      <c r="GK394" s="1149" t="str">
        <f t="shared" si="338"/>
        <v/>
      </c>
      <c r="GL394" s="1149" t="str">
        <f t="shared" si="339"/>
        <v/>
      </c>
      <c r="GM394" s="1149" t="str">
        <f t="shared" si="340"/>
        <v/>
      </c>
      <c r="GN394" s="1149" t="str">
        <f t="shared" si="341"/>
        <v/>
      </c>
      <c r="GO394" s="1149" t="str">
        <f t="shared" si="342"/>
        <v/>
      </c>
      <c r="GP394" s="1149" t="str">
        <f t="shared" si="343"/>
        <v/>
      </c>
      <c r="GQ394" s="1149" t="str">
        <f t="shared" si="344"/>
        <v/>
      </c>
      <c r="GR394" s="1149" t="str">
        <f t="shared" si="345"/>
        <v/>
      </c>
      <c r="GS394" s="1149" t="str">
        <f t="shared" si="346"/>
        <v/>
      </c>
      <c r="GT394" s="1149">
        <f t="shared" si="357"/>
        <v>0</v>
      </c>
      <c r="GU394" s="1149">
        <f t="shared" si="358"/>
        <v>0</v>
      </c>
      <c r="GV394" s="1149">
        <f t="shared" si="359"/>
        <v>0</v>
      </c>
      <c r="GW394" s="1149" t="b">
        <f t="shared" si="360"/>
        <v>0</v>
      </c>
      <c r="GX394" s="1149" t="b">
        <f t="shared" si="361"/>
        <v>0</v>
      </c>
      <c r="GY394" s="1149" t="b">
        <f t="shared" si="362"/>
        <v>0</v>
      </c>
      <c r="GZ394" s="1149" t="str">
        <f t="shared" si="385"/>
        <v/>
      </c>
      <c r="HB394" s="1149" t="str">
        <f t="shared" si="363"/>
        <v/>
      </c>
      <c r="HC394" s="1149" t="str">
        <f t="shared" si="364"/>
        <v/>
      </c>
      <c r="HD394" s="1149" t="str">
        <f t="shared" si="365"/>
        <v/>
      </c>
      <c r="HE394" s="1149" t="str">
        <f t="shared" si="366"/>
        <v/>
      </c>
      <c r="HF394" s="1149" t="str">
        <f t="shared" si="367"/>
        <v/>
      </c>
      <c r="HG394" s="1149" t="str">
        <f t="shared" si="368"/>
        <v/>
      </c>
      <c r="HH394" s="1149" t="str">
        <f t="shared" si="369"/>
        <v/>
      </c>
      <c r="HI394" s="1149" t="str">
        <f t="shared" si="370"/>
        <v/>
      </c>
      <c r="HJ394" s="1149" t="str">
        <f t="shared" si="371"/>
        <v/>
      </c>
      <c r="HK394" s="1149" t="str">
        <f t="shared" si="372"/>
        <v/>
      </c>
      <c r="HL394" s="1149" t="str">
        <f t="shared" si="373"/>
        <v/>
      </c>
      <c r="HM394" s="1149" t="str">
        <f t="shared" si="374"/>
        <v/>
      </c>
      <c r="HN394" s="1149" t="str">
        <f t="shared" si="375"/>
        <v/>
      </c>
      <c r="HO394" s="1149" t="str">
        <f t="shared" si="376"/>
        <v/>
      </c>
      <c r="HP394" s="1149" t="str">
        <f t="shared" si="377"/>
        <v/>
      </c>
      <c r="HQ394" s="1149" t="str">
        <f t="shared" si="378"/>
        <v/>
      </c>
      <c r="HR394" s="1149" t="str">
        <f t="shared" si="379"/>
        <v/>
      </c>
      <c r="HT394" s="1149">
        <f>LEFT(M394,1)*10000+MID(M394,3,LEN(M394)-3)*100+COUNTIF($M$307:M394,M394)</f>
        <v>42501</v>
      </c>
      <c r="HU394" s="1149" t="str">
        <f t="shared" si="380"/>
        <v/>
      </c>
      <c r="HV394" s="1149" t="str">
        <f t="shared" si="381"/>
        <v/>
      </c>
      <c r="HW394" s="1149" t="str">
        <f t="shared" si="382"/>
        <v/>
      </c>
      <c r="HX394" s="1149" t="str">
        <f t="shared" si="383"/>
        <v/>
      </c>
    </row>
    <row r="395" spans="1:232" s="69" customFormat="1" ht="50.15" customHeight="1">
      <c r="A395" s="645"/>
      <c r="B395" s="645"/>
      <c r="C395" s="645"/>
      <c r="D395" s="645"/>
      <c r="E395" s="646"/>
      <c r="F395" s="381"/>
      <c r="G395" s="381"/>
      <c r="H395" s="381"/>
      <c r="I395" s="1169"/>
      <c r="J395" s="80"/>
      <c r="K395" s="89"/>
      <c r="L395" s="89"/>
      <c r="M395" s="1967" t="s">
        <v>1247</v>
      </c>
      <c r="N395" s="1967"/>
      <c r="O395" s="1968"/>
      <c r="P395" s="1966" t="s">
        <v>233</v>
      </c>
      <c r="Q395" s="1966"/>
      <c r="R395" s="1966"/>
      <c r="S395" s="1966"/>
      <c r="T395" s="1966"/>
      <c r="U395" s="2011" t="s">
        <v>234</v>
      </c>
      <c r="V395" s="2011"/>
      <c r="W395" s="2011"/>
      <c r="X395" s="2011"/>
      <c r="Y395" s="2011"/>
      <c r="Z395" s="2011"/>
      <c r="AA395" s="2011"/>
      <c r="AB395" s="2011"/>
      <c r="AC395" s="2011"/>
      <c r="AD395" s="2011"/>
      <c r="AE395" s="2011"/>
      <c r="AF395" s="2010"/>
      <c r="AG395" s="2010"/>
      <c r="AH395" s="2010"/>
      <c r="AI395" s="2010"/>
      <c r="AJ395" s="2010"/>
      <c r="AK395" s="2010"/>
      <c r="AL395" s="2010"/>
      <c r="AM395" s="2010"/>
      <c r="AN395" s="2010"/>
      <c r="AO395" s="2010"/>
      <c r="AP395" s="2010"/>
      <c r="AQ395" s="2010"/>
      <c r="AR395" s="2017"/>
      <c r="AS395" s="2017"/>
      <c r="AT395" s="1929"/>
      <c r="AU395" s="1929"/>
      <c r="AV395" s="1929"/>
      <c r="AW395" s="1929"/>
      <c r="AX395" s="1929"/>
      <c r="AY395" s="1929"/>
      <c r="AZ395" s="1929"/>
      <c r="BA395" s="1929"/>
      <c r="BB395" s="1929"/>
      <c r="BC395" s="1929"/>
      <c r="BD395" s="1929"/>
      <c r="BE395" s="1929"/>
      <c r="BF395" s="1929"/>
      <c r="BG395" s="1929"/>
      <c r="BH395" s="1929"/>
      <c r="BI395" s="1929"/>
      <c r="BJ395" s="1929"/>
      <c r="BK395" s="1929"/>
      <c r="BL395" s="1929"/>
      <c r="BM395" s="1929"/>
      <c r="BN395" s="1929"/>
      <c r="BO395" s="1929"/>
      <c r="BP395" s="1929"/>
      <c r="BQ395" s="1929"/>
      <c r="BR395" s="1929"/>
      <c r="BS395" s="1885"/>
      <c r="BT395" s="1885"/>
      <c r="BU395" s="1885"/>
      <c r="BV395" s="1890"/>
      <c r="BW395" s="1890"/>
      <c r="BX395" s="1890"/>
      <c r="BY395" s="1890"/>
      <c r="BZ395" s="1891"/>
      <c r="CA395" s="1891"/>
      <c r="CB395" s="2374" t="s">
        <v>2832</v>
      </c>
      <c r="CC395" s="2375"/>
      <c r="CD395" s="2375"/>
      <c r="CE395" s="2375"/>
      <c r="CF395" s="2375"/>
      <c r="CG395" s="2375"/>
      <c r="CH395" s="2375"/>
      <c r="CI395" s="2375"/>
      <c r="CJ395" s="2375"/>
      <c r="CK395" s="2375"/>
      <c r="CL395" s="2375"/>
      <c r="CM395" s="2375"/>
      <c r="CN395" s="2375"/>
      <c r="CO395" s="2375"/>
      <c r="CP395" s="2375"/>
      <c r="CQ395" s="2375"/>
      <c r="CR395" s="2375"/>
      <c r="CS395" s="2375"/>
      <c r="CT395" s="2375"/>
      <c r="CU395" s="2376"/>
      <c r="CV395" s="2360" t="str">
        <f t="shared" si="301"/>
        <v/>
      </c>
      <c r="CW395" s="2360"/>
      <c r="CX395" s="2360"/>
      <c r="CY395" s="2360"/>
      <c r="CZ395" s="2360"/>
      <c r="DA395" s="2360"/>
      <c r="DC395" s="600" t="str">
        <f t="shared" si="302"/>
        <v/>
      </c>
      <c r="DD395" s="381"/>
      <c r="DF395" s="34"/>
      <c r="DG395" s="34"/>
      <c r="DH395" s="34"/>
      <c r="DI395" s="34"/>
      <c r="DJ395" s="858" t="s">
        <v>5637</v>
      </c>
      <c r="DK395" s="1707" t="str">
        <f t="shared" si="347"/>
        <v/>
      </c>
      <c r="DL395" s="1692" t="str">
        <f t="shared" si="348"/>
        <v/>
      </c>
      <c r="DM395" s="1691">
        <f t="shared" si="303"/>
        <v>0</v>
      </c>
      <c r="DN395" s="111">
        <f t="shared" si="304"/>
        <v>0</v>
      </c>
      <c r="DO395" s="111">
        <f t="shared" si="305"/>
        <v>0</v>
      </c>
      <c r="DP395" s="474">
        <f t="shared" si="306"/>
        <v>0</v>
      </c>
      <c r="DQ395" s="123" t="s">
        <v>789</v>
      </c>
      <c r="DR395" s="473" t="str">
        <f t="shared" si="307"/>
        <v>区画に対応した防火設備又は戸の設置の状況</v>
      </c>
      <c r="DS395" s="112">
        <f t="shared" si="308"/>
        <v>0</v>
      </c>
      <c r="DT395" s="118" t="str">
        <f t="shared" si="309"/>
        <v/>
      </c>
      <c r="DU395" s="452" t="str">
        <f t="shared" si="310"/>
        <v/>
      </c>
      <c r="DV395" s="151" t="str">
        <f>IF($DT395="要是正",MAX($DV$366:DV394)+1,"")</f>
        <v/>
      </c>
      <c r="DW395" s="119" t="str">
        <f t="shared" si="311"/>
        <v/>
      </c>
      <c r="DX395" s="119" t="str">
        <f t="shared" si="312"/>
        <v/>
      </c>
      <c r="DY395" s="33" t="str">
        <f t="shared" si="313"/>
        <v/>
      </c>
      <c r="DZ395" s="217" t="str">
        <f t="shared" si="314"/>
        <v/>
      </c>
      <c r="EA395" s="466" t="str">
        <f t="shared" si="315"/>
        <v/>
      </c>
      <c r="EB395" s="234" t="str">
        <f t="shared" si="316"/>
        <v/>
      </c>
      <c r="EC395" s="227" t="str">
        <f t="shared" si="317"/>
        <v>0</v>
      </c>
      <c r="ED395" s="148" t="str">
        <f t="shared" si="349"/>
        <v/>
      </c>
      <c r="EE395" s="227" t="str">
        <f t="shared" si="350"/>
        <v>0</v>
      </c>
      <c r="EF395" s="130" t="str">
        <f t="shared" si="318"/>
        <v/>
      </c>
      <c r="EG395" s="204" t="str">
        <f t="shared" si="319"/>
        <v/>
      </c>
      <c r="EH395" s="134" t="str">
        <f t="shared" si="320"/>
        <v>0</v>
      </c>
      <c r="EI395" s="148" t="str">
        <f t="shared" si="351"/>
        <v/>
      </c>
      <c r="EJ395" s="227" t="str">
        <f t="shared" si="352"/>
        <v>0</v>
      </c>
      <c r="EK395" s="451" t="str">
        <f t="shared" si="321"/>
        <v/>
      </c>
      <c r="EL395" s="452" t="e">
        <f t="shared" si="322"/>
        <v>#N/A</v>
      </c>
      <c r="EM395" s="151" t="e">
        <f t="shared" si="323"/>
        <v>#N/A</v>
      </c>
      <c r="EN395" s="453" t="e">
        <f t="shared" si="324"/>
        <v>#N/A</v>
      </c>
      <c r="FK395" s="597" t="str">
        <f t="shared" si="325"/>
        <v/>
      </c>
      <c r="FL395" s="597" t="str">
        <f t="shared" si="386"/>
        <v/>
      </c>
      <c r="FM395" s="597" t="str">
        <f t="shared" si="387"/>
        <v/>
      </c>
      <c r="FN395" s="597">
        <f t="shared" si="326"/>
        <v>0</v>
      </c>
      <c r="FO395" s="1163" t="str">
        <f t="shared" si="327"/>
        <v/>
      </c>
      <c r="FQ395" s="234" t="str">
        <f t="shared" si="328"/>
        <v/>
      </c>
      <c r="FR395" s="227" t="str">
        <f t="shared" si="329"/>
        <v>0</v>
      </c>
      <c r="FS395" s="148" t="str">
        <f t="shared" si="330"/>
        <v/>
      </c>
      <c r="FT395" s="227" t="str">
        <f t="shared" si="353"/>
        <v>0</v>
      </c>
      <c r="FU395" s="416" t="str">
        <f t="shared" si="331"/>
        <v/>
      </c>
      <c r="FW395" s="1160">
        <f t="shared" si="384"/>
        <v>0</v>
      </c>
      <c r="FX395" s="123"/>
      <c r="FY395" s="123"/>
      <c r="FZ395" s="1161"/>
      <c r="GA395" s="34"/>
      <c r="GB395" s="1149">
        <f t="shared" si="354"/>
        <v>0</v>
      </c>
      <c r="GC395" s="1149">
        <f t="shared" si="355"/>
        <v>0</v>
      </c>
      <c r="GD395" s="1149">
        <f t="shared" si="356"/>
        <v>0</v>
      </c>
      <c r="GE395" s="1149" t="str">
        <f t="shared" si="332"/>
        <v/>
      </c>
      <c r="GF395" s="1149" t="str">
        <f t="shared" si="333"/>
        <v/>
      </c>
      <c r="GG395" s="1149" t="str">
        <f t="shared" si="334"/>
        <v/>
      </c>
      <c r="GH395" s="1149" t="str">
        <f t="shared" si="335"/>
        <v/>
      </c>
      <c r="GI395" s="1149" t="str">
        <f t="shared" si="336"/>
        <v/>
      </c>
      <c r="GJ395" s="1149" t="str">
        <f t="shared" si="337"/>
        <v/>
      </c>
      <c r="GK395" s="1149" t="str">
        <f t="shared" si="338"/>
        <v/>
      </c>
      <c r="GL395" s="1149" t="str">
        <f t="shared" si="339"/>
        <v/>
      </c>
      <c r="GM395" s="1149" t="str">
        <f t="shared" si="340"/>
        <v/>
      </c>
      <c r="GN395" s="1149" t="str">
        <f t="shared" si="341"/>
        <v/>
      </c>
      <c r="GO395" s="1149" t="str">
        <f t="shared" si="342"/>
        <v/>
      </c>
      <c r="GP395" s="1149" t="str">
        <f t="shared" si="343"/>
        <v/>
      </c>
      <c r="GQ395" s="1149" t="str">
        <f t="shared" si="344"/>
        <v/>
      </c>
      <c r="GR395" s="1149" t="str">
        <f t="shared" si="345"/>
        <v/>
      </c>
      <c r="GS395" s="1149" t="str">
        <f t="shared" si="346"/>
        <v/>
      </c>
      <c r="GT395" s="1149">
        <f t="shared" si="357"/>
        <v>0</v>
      </c>
      <c r="GU395" s="1149">
        <f t="shared" si="358"/>
        <v>0</v>
      </c>
      <c r="GV395" s="1149">
        <f t="shared" si="359"/>
        <v>0</v>
      </c>
      <c r="GW395" s="1149" t="b">
        <f t="shared" si="360"/>
        <v>0</v>
      </c>
      <c r="GX395" s="1149" t="b">
        <f t="shared" si="361"/>
        <v>0</v>
      </c>
      <c r="GY395" s="1149" t="b">
        <f t="shared" si="362"/>
        <v>0</v>
      </c>
      <c r="GZ395" s="1149" t="str">
        <f t="shared" si="385"/>
        <v/>
      </c>
      <c r="HB395" s="1149" t="str">
        <f t="shared" si="363"/>
        <v/>
      </c>
      <c r="HC395" s="1149" t="str">
        <f t="shared" si="364"/>
        <v/>
      </c>
      <c r="HD395" s="1149" t="str">
        <f t="shared" si="365"/>
        <v/>
      </c>
      <c r="HE395" s="1149" t="str">
        <f t="shared" si="366"/>
        <v/>
      </c>
      <c r="HF395" s="1149" t="str">
        <f t="shared" si="367"/>
        <v/>
      </c>
      <c r="HG395" s="1149" t="str">
        <f t="shared" si="368"/>
        <v/>
      </c>
      <c r="HH395" s="1149" t="str">
        <f t="shared" si="369"/>
        <v/>
      </c>
      <c r="HI395" s="1149" t="str">
        <f t="shared" si="370"/>
        <v/>
      </c>
      <c r="HJ395" s="1149" t="str">
        <f t="shared" si="371"/>
        <v/>
      </c>
      <c r="HK395" s="1149" t="str">
        <f t="shared" si="372"/>
        <v/>
      </c>
      <c r="HL395" s="1149" t="str">
        <f t="shared" si="373"/>
        <v/>
      </c>
      <c r="HM395" s="1149" t="str">
        <f t="shared" si="374"/>
        <v/>
      </c>
      <c r="HN395" s="1149" t="str">
        <f t="shared" si="375"/>
        <v/>
      </c>
      <c r="HO395" s="1149" t="str">
        <f t="shared" si="376"/>
        <v/>
      </c>
      <c r="HP395" s="1149" t="str">
        <f t="shared" si="377"/>
        <v/>
      </c>
      <c r="HQ395" s="1149" t="str">
        <f t="shared" si="378"/>
        <v/>
      </c>
      <c r="HR395" s="1149" t="str">
        <f t="shared" si="379"/>
        <v/>
      </c>
      <c r="HT395" s="1149">
        <f>LEFT(M395,1)*10000+MID(M395,3,LEN(M395)-3)*100+COUNTIF($M$307:M395,M395)</f>
        <v>42601</v>
      </c>
      <c r="HU395" s="1149" t="str">
        <f t="shared" si="380"/>
        <v/>
      </c>
      <c r="HV395" s="1149" t="str">
        <f t="shared" si="381"/>
        <v/>
      </c>
      <c r="HW395" s="1149" t="str">
        <f t="shared" si="382"/>
        <v/>
      </c>
      <c r="HX395" s="1149" t="str">
        <f t="shared" si="383"/>
        <v/>
      </c>
    </row>
    <row r="396" spans="1:232" s="69" customFormat="1" ht="80.150000000000006" customHeight="1">
      <c r="A396" s="645"/>
      <c r="B396" s="645"/>
      <c r="C396" s="645"/>
      <c r="D396" s="645"/>
      <c r="E396" s="646"/>
      <c r="F396" s="381"/>
      <c r="G396" s="381"/>
      <c r="H396" s="381"/>
      <c r="I396" s="1169"/>
      <c r="J396" s="80"/>
      <c r="K396" s="89"/>
      <c r="L396" s="89"/>
      <c r="M396" s="1967" t="s">
        <v>1248</v>
      </c>
      <c r="N396" s="1967"/>
      <c r="O396" s="1968"/>
      <c r="P396" s="1966"/>
      <c r="Q396" s="1966"/>
      <c r="R396" s="1966"/>
      <c r="S396" s="1966"/>
      <c r="T396" s="1966"/>
      <c r="U396" s="1899" t="s">
        <v>235</v>
      </c>
      <c r="V396" s="1899"/>
      <c r="W396" s="1899"/>
      <c r="X396" s="1899"/>
      <c r="Y396" s="1899"/>
      <c r="Z396" s="1899"/>
      <c r="AA396" s="1899"/>
      <c r="AB396" s="1899"/>
      <c r="AC396" s="1899"/>
      <c r="AD396" s="1899"/>
      <c r="AE396" s="1899"/>
      <c r="AF396" s="1898"/>
      <c r="AG396" s="1898"/>
      <c r="AH396" s="1898"/>
      <c r="AI396" s="1898"/>
      <c r="AJ396" s="1898"/>
      <c r="AK396" s="1898"/>
      <c r="AL396" s="1898"/>
      <c r="AM396" s="1898"/>
      <c r="AN396" s="1898"/>
      <c r="AO396" s="1898"/>
      <c r="AP396" s="1898"/>
      <c r="AQ396" s="1898"/>
      <c r="AR396" s="1910"/>
      <c r="AS396" s="1910"/>
      <c r="AT396" s="1993"/>
      <c r="AU396" s="1993"/>
      <c r="AV396" s="1993"/>
      <c r="AW396" s="1993"/>
      <c r="AX396" s="1993"/>
      <c r="AY396" s="1993"/>
      <c r="AZ396" s="1993"/>
      <c r="BA396" s="1993"/>
      <c r="BB396" s="1993"/>
      <c r="BC396" s="1993"/>
      <c r="BD396" s="1993"/>
      <c r="BE396" s="1993"/>
      <c r="BF396" s="1993"/>
      <c r="BG396" s="1993"/>
      <c r="BH396" s="1993"/>
      <c r="BI396" s="1993"/>
      <c r="BJ396" s="1993"/>
      <c r="BK396" s="1993"/>
      <c r="BL396" s="1993"/>
      <c r="BM396" s="1993"/>
      <c r="BN396" s="1993"/>
      <c r="BO396" s="1993"/>
      <c r="BP396" s="1993"/>
      <c r="BQ396" s="1993"/>
      <c r="BR396" s="1993"/>
      <c r="BS396" s="1895"/>
      <c r="BT396" s="1895"/>
      <c r="BU396" s="1895"/>
      <c r="BV396" s="1889"/>
      <c r="BW396" s="1889"/>
      <c r="BX396" s="1889"/>
      <c r="BY396" s="1889"/>
      <c r="BZ396" s="1896"/>
      <c r="CA396" s="1896"/>
      <c r="CB396" s="2377"/>
      <c r="CC396" s="2378"/>
      <c r="CD396" s="2378"/>
      <c r="CE396" s="2378"/>
      <c r="CF396" s="2378"/>
      <c r="CG396" s="2378"/>
      <c r="CH396" s="2378"/>
      <c r="CI396" s="2378"/>
      <c r="CJ396" s="2378"/>
      <c r="CK396" s="2378"/>
      <c r="CL396" s="2378"/>
      <c r="CM396" s="2378"/>
      <c r="CN396" s="2378"/>
      <c r="CO396" s="2378"/>
      <c r="CP396" s="2378"/>
      <c r="CQ396" s="2378"/>
      <c r="CR396" s="2378"/>
      <c r="CS396" s="2378"/>
      <c r="CT396" s="2378"/>
      <c r="CU396" s="2379"/>
      <c r="CV396" s="2360" t="str">
        <f t="shared" si="301"/>
        <v/>
      </c>
      <c r="CW396" s="2360"/>
      <c r="CX396" s="2360"/>
      <c r="CY396" s="2360"/>
      <c r="CZ396" s="2360"/>
      <c r="DA396" s="2360"/>
      <c r="DC396" s="600" t="str">
        <f t="shared" si="302"/>
        <v/>
      </c>
      <c r="DD396" s="381"/>
      <c r="DF396" s="34"/>
      <c r="DG396" s="34"/>
      <c r="DH396" s="34"/>
      <c r="DI396" s="34"/>
      <c r="DJ396" s="858" t="s">
        <v>5637</v>
      </c>
      <c r="DK396" s="1707" t="str">
        <f t="shared" si="347"/>
        <v/>
      </c>
      <c r="DL396" s="1692" t="str">
        <f t="shared" si="348"/>
        <v/>
      </c>
      <c r="DM396" s="1691">
        <f t="shared" si="303"/>
        <v>0</v>
      </c>
      <c r="DN396" s="111">
        <f t="shared" si="304"/>
        <v>0</v>
      </c>
      <c r="DO396" s="111">
        <f t="shared" si="305"/>
        <v>0</v>
      </c>
      <c r="DP396" s="474">
        <f t="shared" si="306"/>
        <v>0</v>
      </c>
      <c r="DQ396" s="123" t="s">
        <v>790</v>
      </c>
      <c r="DR396" s="473" t="str">
        <f t="shared" si="307"/>
        <v>居室から地上へ通じる主たる廊下、階段その他の通路に設置された防火設備又は戸におけるくぐり戸の設置の状況</v>
      </c>
      <c r="DS396" s="112">
        <f t="shared" si="308"/>
        <v>0</v>
      </c>
      <c r="DT396" s="118" t="str">
        <f t="shared" si="309"/>
        <v/>
      </c>
      <c r="DU396" s="452" t="str">
        <f t="shared" si="310"/>
        <v/>
      </c>
      <c r="DV396" s="151" t="str">
        <f>IF($DT396="要是正",MAX($DV$366:DV395)+1,"")</f>
        <v/>
      </c>
      <c r="DW396" s="119" t="str">
        <f t="shared" si="311"/>
        <v/>
      </c>
      <c r="DX396" s="119" t="str">
        <f t="shared" si="312"/>
        <v/>
      </c>
      <c r="DY396" s="33" t="str">
        <f t="shared" si="313"/>
        <v/>
      </c>
      <c r="DZ396" s="217" t="str">
        <f t="shared" si="314"/>
        <v/>
      </c>
      <c r="EA396" s="466" t="str">
        <f t="shared" si="315"/>
        <v/>
      </c>
      <c r="EB396" s="234" t="str">
        <f t="shared" si="316"/>
        <v/>
      </c>
      <c r="EC396" s="227" t="str">
        <f t="shared" si="317"/>
        <v>0</v>
      </c>
      <c r="ED396" s="148" t="str">
        <f t="shared" si="349"/>
        <v/>
      </c>
      <c r="EE396" s="227" t="str">
        <f t="shared" si="350"/>
        <v>0</v>
      </c>
      <c r="EF396" s="130" t="str">
        <f t="shared" si="318"/>
        <v/>
      </c>
      <c r="EG396" s="204" t="str">
        <f t="shared" si="319"/>
        <v/>
      </c>
      <c r="EH396" s="134" t="str">
        <f t="shared" si="320"/>
        <v>0</v>
      </c>
      <c r="EI396" s="148" t="str">
        <f t="shared" si="351"/>
        <v/>
      </c>
      <c r="EJ396" s="227" t="str">
        <f t="shared" si="352"/>
        <v>0</v>
      </c>
      <c r="EK396" s="451" t="str">
        <f t="shared" si="321"/>
        <v/>
      </c>
      <c r="EL396" s="452" t="e">
        <f t="shared" si="322"/>
        <v>#N/A</v>
      </c>
      <c r="EM396" s="151" t="e">
        <f t="shared" si="323"/>
        <v>#N/A</v>
      </c>
      <c r="EN396" s="453" t="e">
        <f t="shared" si="324"/>
        <v>#N/A</v>
      </c>
      <c r="FK396" s="597" t="str">
        <f t="shared" si="325"/>
        <v/>
      </c>
      <c r="FL396" s="597" t="str">
        <f t="shared" si="386"/>
        <v/>
      </c>
      <c r="FM396" s="597" t="str">
        <f t="shared" si="387"/>
        <v/>
      </c>
      <c r="FN396" s="597">
        <f t="shared" si="326"/>
        <v>0</v>
      </c>
      <c r="FO396" s="1163" t="str">
        <f t="shared" si="327"/>
        <v/>
      </c>
      <c r="FQ396" s="234" t="str">
        <f t="shared" si="328"/>
        <v/>
      </c>
      <c r="FR396" s="227" t="str">
        <f t="shared" si="329"/>
        <v>0</v>
      </c>
      <c r="FS396" s="148" t="str">
        <f t="shared" si="330"/>
        <v/>
      </c>
      <c r="FT396" s="227" t="str">
        <f t="shared" si="353"/>
        <v>0</v>
      </c>
      <c r="FU396" s="416" t="str">
        <f t="shared" si="331"/>
        <v/>
      </c>
      <c r="FW396" s="1160">
        <f t="shared" si="384"/>
        <v>0</v>
      </c>
      <c r="FX396" s="123"/>
      <c r="FY396" s="123"/>
      <c r="FZ396" s="1161"/>
      <c r="GA396" s="34"/>
      <c r="GB396" s="1149">
        <f t="shared" si="354"/>
        <v>0</v>
      </c>
      <c r="GC396" s="1149">
        <f t="shared" si="355"/>
        <v>0</v>
      </c>
      <c r="GD396" s="1149">
        <f t="shared" si="356"/>
        <v>0</v>
      </c>
      <c r="GE396" s="1149" t="str">
        <f t="shared" si="332"/>
        <v/>
      </c>
      <c r="GF396" s="1149" t="str">
        <f t="shared" si="333"/>
        <v/>
      </c>
      <c r="GG396" s="1149" t="str">
        <f t="shared" si="334"/>
        <v/>
      </c>
      <c r="GH396" s="1149" t="str">
        <f t="shared" si="335"/>
        <v/>
      </c>
      <c r="GI396" s="1149" t="str">
        <f t="shared" si="336"/>
        <v/>
      </c>
      <c r="GJ396" s="1149" t="str">
        <f t="shared" si="337"/>
        <v/>
      </c>
      <c r="GK396" s="1149" t="str">
        <f t="shared" si="338"/>
        <v/>
      </c>
      <c r="GL396" s="1149" t="str">
        <f t="shared" si="339"/>
        <v/>
      </c>
      <c r="GM396" s="1149" t="str">
        <f t="shared" si="340"/>
        <v/>
      </c>
      <c r="GN396" s="1149" t="str">
        <f t="shared" si="341"/>
        <v/>
      </c>
      <c r="GO396" s="1149" t="str">
        <f t="shared" si="342"/>
        <v/>
      </c>
      <c r="GP396" s="1149" t="str">
        <f t="shared" si="343"/>
        <v/>
      </c>
      <c r="GQ396" s="1149" t="str">
        <f t="shared" si="344"/>
        <v/>
      </c>
      <c r="GR396" s="1149" t="str">
        <f t="shared" si="345"/>
        <v/>
      </c>
      <c r="GS396" s="1149" t="str">
        <f t="shared" si="346"/>
        <v/>
      </c>
      <c r="GT396" s="1149">
        <f t="shared" si="357"/>
        <v>0</v>
      </c>
      <c r="GU396" s="1149">
        <f t="shared" si="358"/>
        <v>0</v>
      </c>
      <c r="GV396" s="1149">
        <f t="shared" si="359"/>
        <v>0</v>
      </c>
      <c r="GW396" s="1149" t="b">
        <f t="shared" si="360"/>
        <v>0</v>
      </c>
      <c r="GX396" s="1149" t="b">
        <f t="shared" si="361"/>
        <v>0</v>
      </c>
      <c r="GY396" s="1149" t="b">
        <f t="shared" si="362"/>
        <v>0</v>
      </c>
      <c r="GZ396" s="1149" t="str">
        <f t="shared" si="385"/>
        <v/>
      </c>
      <c r="HB396" s="1149" t="str">
        <f t="shared" si="363"/>
        <v/>
      </c>
      <c r="HC396" s="1149" t="str">
        <f t="shared" si="364"/>
        <v/>
      </c>
      <c r="HD396" s="1149" t="str">
        <f t="shared" si="365"/>
        <v/>
      </c>
      <c r="HE396" s="1149" t="str">
        <f t="shared" si="366"/>
        <v/>
      </c>
      <c r="HF396" s="1149" t="str">
        <f t="shared" si="367"/>
        <v/>
      </c>
      <c r="HG396" s="1149" t="str">
        <f t="shared" si="368"/>
        <v/>
      </c>
      <c r="HH396" s="1149" t="str">
        <f t="shared" si="369"/>
        <v/>
      </c>
      <c r="HI396" s="1149" t="str">
        <f t="shared" si="370"/>
        <v/>
      </c>
      <c r="HJ396" s="1149" t="str">
        <f t="shared" si="371"/>
        <v/>
      </c>
      <c r="HK396" s="1149" t="str">
        <f t="shared" si="372"/>
        <v/>
      </c>
      <c r="HL396" s="1149" t="str">
        <f t="shared" si="373"/>
        <v/>
      </c>
      <c r="HM396" s="1149" t="str">
        <f t="shared" si="374"/>
        <v/>
      </c>
      <c r="HN396" s="1149" t="str">
        <f t="shared" si="375"/>
        <v/>
      </c>
      <c r="HO396" s="1149" t="str">
        <f t="shared" si="376"/>
        <v/>
      </c>
      <c r="HP396" s="1149" t="str">
        <f t="shared" si="377"/>
        <v/>
      </c>
      <c r="HQ396" s="1149" t="str">
        <f t="shared" si="378"/>
        <v/>
      </c>
      <c r="HR396" s="1149" t="str">
        <f t="shared" si="379"/>
        <v/>
      </c>
      <c r="HT396" s="1149">
        <f>LEFT(M396,1)*10000+MID(M396,3,LEN(M396)-3)*100+COUNTIF($M$307:M396,M396)</f>
        <v>42701</v>
      </c>
      <c r="HU396" s="1149" t="str">
        <f t="shared" si="380"/>
        <v/>
      </c>
      <c r="HV396" s="1149" t="str">
        <f t="shared" si="381"/>
        <v/>
      </c>
      <c r="HW396" s="1149" t="str">
        <f t="shared" si="382"/>
        <v/>
      </c>
      <c r="HX396" s="1149" t="str">
        <f t="shared" si="383"/>
        <v/>
      </c>
    </row>
    <row r="397" spans="1:232" s="69" customFormat="1" ht="50.15" customHeight="1">
      <c r="A397" s="645"/>
      <c r="B397" s="645"/>
      <c r="C397" s="645"/>
      <c r="D397" s="645"/>
      <c r="E397" s="646"/>
      <c r="F397" s="381"/>
      <c r="G397" s="381"/>
      <c r="H397" s="381"/>
      <c r="I397" s="1169"/>
      <c r="J397" s="80"/>
      <c r="K397" s="89"/>
      <c r="L397" s="89"/>
      <c r="M397" s="1967" t="s">
        <v>1249</v>
      </c>
      <c r="N397" s="1967"/>
      <c r="O397" s="1968"/>
      <c r="P397" s="1966"/>
      <c r="Q397" s="1966"/>
      <c r="R397" s="1966"/>
      <c r="S397" s="1966"/>
      <c r="T397" s="1966"/>
      <c r="U397" s="1899" t="s">
        <v>214</v>
      </c>
      <c r="V397" s="1899"/>
      <c r="W397" s="1899"/>
      <c r="X397" s="1899"/>
      <c r="Y397" s="1899"/>
      <c r="Z397" s="1899"/>
      <c r="AA397" s="1899"/>
      <c r="AB397" s="1899"/>
      <c r="AC397" s="1899"/>
      <c r="AD397" s="1899"/>
      <c r="AE397" s="1899"/>
      <c r="AF397" s="1898"/>
      <c r="AG397" s="1898"/>
      <c r="AH397" s="1898"/>
      <c r="AI397" s="1898"/>
      <c r="AJ397" s="1898"/>
      <c r="AK397" s="1898"/>
      <c r="AL397" s="1898"/>
      <c r="AM397" s="1898"/>
      <c r="AN397" s="1898"/>
      <c r="AO397" s="1898"/>
      <c r="AP397" s="1898"/>
      <c r="AQ397" s="1898"/>
      <c r="AR397" s="1910"/>
      <c r="AS397" s="1910"/>
      <c r="AT397" s="1993"/>
      <c r="AU397" s="1993"/>
      <c r="AV397" s="1993"/>
      <c r="AW397" s="1993"/>
      <c r="AX397" s="1993"/>
      <c r="AY397" s="1993"/>
      <c r="AZ397" s="1993"/>
      <c r="BA397" s="1993"/>
      <c r="BB397" s="1993"/>
      <c r="BC397" s="1993"/>
      <c r="BD397" s="1993"/>
      <c r="BE397" s="1993"/>
      <c r="BF397" s="1993"/>
      <c r="BG397" s="1993"/>
      <c r="BH397" s="1993"/>
      <c r="BI397" s="1993"/>
      <c r="BJ397" s="1993"/>
      <c r="BK397" s="1993"/>
      <c r="BL397" s="1993"/>
      <c r="BM397" s="1993"/>
      <c r="BN397" s="1993"/>
      <c r="BO397" s="1993"/>
      <c r="BP397" s="1993"/>
      <c r="BQ397" s="1993"/>
      <c r="BR397" s="1993"/>
      <c r="BS397" s="1895"/>
      <c r="BT397" s="1895"/>
      <c r="BU397" s="1895"/>
      <c r="BV397" s="1889"/>
      <c r="BW397" s="1889"/>
      <c r="BX397" s="1889"/>
      <c r="BY397" s="1889"/>
      <c r="BZ397" s="1896"/>
      <c r="CA397" s="1896"/>
      <c r="CB397" s="1986" t="s">
        <v>2833</v>
      </c>
      <c r="CC397" s="1987"/>
      <c r="CD397" s="1987"/>
      <c r="CE397" s="1987"/>
      <c r="CF397" s="1987"/>
      <c r="CG397" s="1987"/>
      <c r="CH397" s="1987"/>
      <c r="CI397" s="1987"/>
      <c r="CJ397" s="1987"/>
      <c r="CK397" s="1987"/>
      <c r="CL397" s="1987"/>
      <c r="CM397" s="1987"/>
      <c r="CN397" s="1987"/>
      <c r="CO397" s="1987"/>
      <c r="CP397" s="1987"/>
      <c r="CQ397" s="1987"/>
      <c r="CR397" s="1987"/>
      <c r="CS397" s="1987"/>
      <c r="CT397" s="1987"/>
      <c r="CU397" s="1988"/>
      <c r="CV397" s="2360" t="str">
        <f t="shared" si="301"/>
        <v/>
      </c>
      <c r="CW397" s="2360"/>
      <c r="CX397" s="2360"/>
      <c r="CY397" s="2360"/>
      <c r="CZ397" s="2360"/>
      <c r="DA397" s="2360"/>
      <c r="DC397" s="600" t="str">
        <f t="shared" si="302"/>
        <v/>
      </c>
      <c r="DD397" s="381"/>
      <c r="DF397" s="34"/>
      <c r="DG397" s="34"/>
      <c r="DH397" s="34"/>
      <c r="DI397" s="34"/>
      <c r="DJ397" s="858" t="s">
        <v>5637</v>
      </c>
      <c r="DK397" s="1707" t="str">
        <f t="shared" si="347"/>
        <v/>
      </c>
      <c r="DL397" s="1692" t="str">
        <f t="shared" si="348"/>
        <v/>
      </c>
      <c r="DM397" s="1691">
        <f t="shared" si="303"/>
        <v>0</v>
      </c>
      <c r="DN397" s="111">
        <f t="shared" si="304"/>
        <v>0</v>
      </c>
      <c r="DO397" s="111">
        <f t="shared" si="305"/>
        <v>0</v>
      </c>
      <c r="DP397" s="474">
        <f t="shared" si="306"/>
        <v>0</v>
      </c>
      <c r="DQ397" s="123" t="s">
        <v>791</v>
      </c>
      <c r="DR397" s="473" t="str">
        <f t="shared" si="307"/>
        <v>昭和48年建設省告示第2563号第１第１号ロに規定する基準への適合の状況</v>
      </c>
      <c r="DS397" s="112">
        <f t="shared" si="308"/>
        <v>0</v>
      </c>
      <c r="DT397" s="118" t="str">
        <f t="shared" si="309"/>
        <v/>
      </c>
      <c r="DU397" s="452" t="str">
        <f t="shared" si="310"/>
        <v/>
      </c>
      <c r="DV397" s="151" t="str">
        <f>IF($DT397="要是正",MAX($DV$366:DV396)+1,"")</f>
        <v/>
      </c>
      <c r="DW397" s="119" t="str">
        <f t="shared" si="311"/>
        <v/>
      </c>
      <c r="DX397" s="119" t="str">
        <f t="shared" si="312"/>
        <v/>
      </c>
      <c r="DY397" s="33" t="str">
        <f t="shared" si="313"/>
        <v/>
      </c>
      <c r="DZ397" s="217" t="str">
        <f t="shared" si="314"/>
        <v/>
      </c>
      <c r="EA397" s="466" t="str">
        <f t="shared" si="315"/>
        <v/>
      </c>
      <c r="EB397" s="234" t="str">
        <f t="shared" si="316"/>
        <v/>
      </c>
      <c r="EC397" s="227" t="str">
        <f t="shared" si="317"/>
        <v>0</v>
      </c>
      <c r="ED397" s="148" t="str">
        <f t="shared" si="349"/>
        <v/>
      </c>
      <c r="EE397" s="227" t="str">
        <f t="shared" si="350"/>
        <v>0</v>
      </c>
      <c r="EF397" s="130" t="str">
        <f t="shared" si="318"/>
        <v/>
      </c>
      <c r="EG397" s="204" t="str">
        <f t="shared" si="319"/>
        <v/>
      </c>
      <c r="EH397" s="134" t="str">
        <f t="shared" si="320"/>
        <v>0</v>
      </c>
      <c r="EI397" s="148" t="str">
        <f t="shared" si="351"/>
        <v/>
      </c>
      <c r="EJ397" s="227" t="str">
        <f t="shared" si="352"/>
        <v>0</v>
      </c>
      <c r="EK397" s="451" t="str">
        <f t="shared" si="321"/>
        <v/>
      </c>
      <c r="EL397" s="452" t="e">
        <f t="shared" si="322"/>
        <v>#N/A</v>
      </c>
      <c r="EM397" s="151" t="e">
        <f t="shared" si="323"/>
        <v>#N/A</v>
      </c>
      <c r="EN397" s="453" t="e">
        <f t="shared" si="324"/>
        <v>#N/A</v>
      </c>
      <c r="FK397" s="597" t="str">
        <f t="shared" si="325"/>
        <v/>
      </c>
      <c r="FL397" s="597" t="str">
        <f t="shared" si="386"/>
        <v/>
      </c>
      <c r="FM397" s="597" t="str">
        <f t="shared" si="387"/>
        <v/>
      </c>
      <c r="FN397" s="597">
        <f t="shared" si="326"/>
        <v>0</v>
      </c>
      <c r="FO397" s="1163" t="str">
        <f t="shared" si="327"/>
        <v/>
      </c>
      <c r="FQ397" s="234" t="str">
        <f t="shared" si="328"/>
        <v/>
      </c>
      <c r="FR397" s="227" t="str">
        <f t="shared" si="329"/>
        <v>0</v>
      </c>
      <c r="FS397" s="148" t="str">
        <f t="shared" si="330"/>
        <v/>
      </c>
      <c r="FT397" s="227" t="str">
        <f t="shared" si="353"/>
        <v>0</v>
      </c>
      <c r="FU397" s="416" t="str">
        <f t="shared" si="331"/>
        <v/>
      </c>
      <c r="FW397" s="1160">
        <f t="shared" si="384"/>
        <v>0</v>
      </c>
      <c r="FX397" s="123"/>
      <c r="FY397" s="123"/>
      <c r="FZ397" s="1161"/>
      <c r="GA397" s="34"/>
      <c r="GB397" s="1149">
        <f t="shared" si="354"/>
        <v>0</v>
      </c>
      <c r="GC397" s="1149">
        <f t="shared" si="355"/>
        <v>0</v>
      </c>
      <c r="GD397" s="1149">
        <f t="shared" si="356"/>
        <v>0</v>
      </c>
      <c r="GE397" s="1149" t="str">
        <f t="shared" si="332"/>
        <v/>
      </c>
      <c r="GF397" s="1149" t="str">
        <f t="shared" si="333"/>
        <v/>
      </c>
      <c r="GG397" s="1149" t="str">
        <f t="shared" si="334"/>
        <v/>
      </c>
      <c r="GH397" s="1149" t="str">
        <f t="shared" si="335"/>
        <v/>
      </c>
      <c r="GI397" s="1149" t="str">
        <f t="shared" si="336"/>
        <v/>
      </c>
      <c r="GJ397" s="1149" t="str">
        <f t="shared" si="337"/>
        <v/>
      </c>
      <c r="GK397" s="1149" t="str">
        <f t="shared" si="338"/>
        <v/>
      </c>
      <c r="GL397" s="1149" t="str">
        <f t="shared" si="339"/>
        <v/>
      </c>
      <c r="GM397" s="1149" t="str">
        <f t="shared" si="340"/>
        <v/>
      </c>
      <c r="GN397" s="1149" t="str">
        <f t="shared" si="341"/>
        <v/>
      </c>
      <c r="GO397" s="1149" t="str">
        <f t="shared" si="342"/>
        <v/>
      </c>
      <c r="GP397" s="1149" t="str">
        <f t="shared" si="343"/>
        <v/>
      </c>
      <c r="GQ397" s="1149" t="str">
        <f t="shared" si="344"/>
        <v/>
      </c>
      <c r="GR397" s="1149" t="str">
        <f t="shared" si="345"/>
        <v/>
      </c>
      <c r="GS397" s="1149" t="str">
        <f t="shared" si="346"/>
        <v/>
      </c>
      <c r="GT397" s="1149">
        <f t="shared" si="357"/>
        <v>0</v>
      </c>
      <c r="GU397" s="1149">
        <f t="shared" si="358"/>
        <v>0</v>
      </c>
      <c r="GV397" s="1149">
        <f t="shared" si="359"/>
        <v>0</v>
      </c>
      <c r="GW397" s="1149" t="b">
        <f t="shared" si="360"/>
        <v>0</v>
      </c>
      <c r="GX397" s="1149" t="b">
        <f t="shared" si="361"/>
        <v>0</v>
      </c>
      <c r="GY397" s="1149" t="b">
        <f t="shared" si="362"/>
        <v>0</v>
      </c>
      <c r="GZ397" s="1149" t="str">
        <f t="shared" si="385"/>
        <v/>
      </c>
      <c r="HB397" s="1149" t="str">
        <f t="shared" si="363"/>
        <v/>
      </c>
      <c r="HC397" s="1149" t="str">
        <f t="shared" si="364"/>
        <v/>
      </c>
      <c r="HD397" s="1149" t="str">
        <f t="shared" si="365"/>
        <v/>
      </c>
      <c r="HE397" s="1149" t="str">
        <f t="shared" si="366"/>
        <v/>
      </c>
      <c r="HF397" s="1149" t="str">
        <f t="shared" si="367"/>
        <v/>
      </c>
      <c r="HG397" s="1149" t="str">
        <f t="shared" si="368"/>
        <v/>
      </c>
      <c r="HH397" s="1149" t="str">
        <f t="shared" si="369"/>
        <v/>
      </c>
      <c r="HI397" s="1149" t="str">
        <f t="shared" si="370"/>
        <v/>
      </c>
      <c r="HJ397" s="1149" t="str">
        <f t="shared" si="371"/>
        <v/>
      </c>
      <c r="HK397" s="1149" t="str">
        <f t="shared" si="372"/>
        <v/>
      </c>
      <c r="HL397" s="1149" t="str">
        <f t="shared" si="373"/>
        <v/>
      </c>
      <c r="HM397" s="1149" t="str">
        <f t="shared" si="374"/>
        <v/>
      </c>
      <c r="HN397" s="1149" t="str">
        <f t="shared" si="375"/>
        <v/>
      </c>
      <c r="HO397" s="1149" t="str">
        <f t="shared" si="376"/>
        <v/>
      </c>
      <c r="HP397" s="1149" t="str">
        <f t="shared" si="377"/>
        <v/>
      </c>
      <c r="HQ397" s="1149" t="str">
        <f t="shared" si="378"/>
        <v/>
      </c>
      <c r="HR397" s="1149" t="str">
        <f t="shared" si="379"/>
        <v/>
      </c>
      <c r="HT397" s="1149">
        <f>LEFT(M397,1)*10000+MID(M397,3,LEN(M397)-3)*100+COUNTIF($M$307:M397,M397)</f>
        <v>42801</v>
      </c>
      <c r="HU397" s="1149" t="str">
        <f t="shared" si="380"/>
        <v/>
      </c>
      <c r="HV397" s="1149" t="str">
        <f t="shared" si="381"/>
        <v/>
      </c>
      <c r="HW397" s="1149" t="str">
        <f t="shared" si="382"/>
        <v/>
      </c>
      <c r="HX397" s="1149" t="str">
        <f t="shared" si="383"/>
        <v/>
      </c>
    </row>
    <row r="398" spans="1:232" s="69" customFormat="1" ht="50.15" customHeight="1">
      <c r="A398" s="645"/>
      <c r="B398" s="645"/>
      <c r="C398" s="645"/>
      <c r="D398" s="645"/>
      <c r="E398" s="646"/>
      <c r="F398" s="381"/>
      <c r="G398" s="381"/>
      <c r="H398" s="381"/>
      <c r="I398" s="1169"/>
      <c r="J398" s="80"/>
      <c r="K398" s="89"/>
      <c r="L398" s="89"/>
      <c r="M398" s="1967" t="s">
        <v>1250</v>
      </c>
      <c r="N398" s="1967"/>
      <c r="O398" s="1968"/>
      <c r="P398" s="1966"/>
      <c r="Q398" s="1966"/>
      <c r="R398" s="1966"/>
      <c r="S398" s="1966"/>
      <c r="T398" s="1966"/>
      <c r="U398" s="1899" t="s">
        <v>236</v>
      </c>
      <c r="V398" s="1899"/>
      <c r="W398" s="1899"/>
      <c r="X398" s="1899"/>
      <c r="Y398" s="1899"/>
      <c r="Z398" s="1899"/>
      <c r="AA398" s="1899"/>
      <c r="AB398" s="1899"/>
      <c r="AC398" s="1899"/>
      <c r="AD398" s="1899"/>
      <c r="AE398" s="1899"/>
      <c r="AF398" s="1898"/>
      <c r="AG398" s="1898"/>
      <c r="AH398" s="1898"/>
      <c r="AI398" s="1898"/>
      <c r="AJ398" s="1898"/>
      <c r="AK398" s="1898"/>
      <c r="AL398" s="1898"/>
      <c r="AM398" s="1898"/>
      <c r="AN398" s="1898"/>
      <c r="AO398" s="1898"/>
      <c r="AP398" s="1898"/>
      <c r="AQ398" s="1898"/>
      <c r="AR398" s="1910"/>
      <c r="AS398" s="1910"/>
      <c r="AT398" s="1993"/>
      <c r="AU398" s="1993"/>
      <c r="AV398" s="1993"/>
      <c r="AW398" s="1993"/>
      <c r="AX398" s="1993"/>
      <c r="AY398" s="1993"/>
      <c r="AZ398" s="1993"/>
      <c r="BA398" s="1993"/>
      <c r="BB398" s="1993"/>
      <c r="BC398" s="1993"/>
      <c r="BD398" s="1993"/>
      <c r="BE398" s="1993"/>
      <c r="BF398" s="1993"/>
      <c r="BG398" s="1993"/>
      <c r="BH398" s="1993"/>
      <c r="BI398" s="1993"/>
      <c r="BJ398" s="1993"/>
      <c r="BK398" s="1993"/>
      <c r="BL398" s="1993"/>
      <c r="BM398" s="1993"/>
      <c r="BN398" s="1993"/>
      <c r="BO398" s="1993"/>
      <c r="BP398" s="1993"/>
      <c r="BQ398" s="1993"/>
      <c r="BR398" s="1993"/>
      <c r="BS398" s="1895"/>
      <c r="BT398" s="1895"/>
      <c r="BU398" s="1895"/>
      <c r="BV398" s="1889"/>
      <c r="BW398" s="1889"/>
      <c r="BX398" s="1889"/>
      <c r="BY398" s="1889"/>
      <c r="BZ398" s="1896"/>
      <c r="CA398" s="1896"/>
      <c r="CB398" s="2022"/>
      <c r="CC398" s="2023"/>
      <c r="CD398" s="2023"/>
      <c r="CE398" s="2023"/>
      <c r="CF398" s="2023"/>
      <c r="CG398" s="2023"/>
      <c r="CH398" s="2023"/>
      <c r="CI398" s="2023"/>
      <c r="CJ398" s="2023"/>
      <c r="CK398" s="2023"/>
      <c r="CL398" s="2023"/>
      <c r="CM398" s="2023"/>
      <c r="CN398" s="2023"/>
      <c r="CO398" s="2023"/>
      <c r="CP398" s="2023"/>
      <c r="CQ398" s="2023"/>
      <c r="CR398" s="2023"/>
      <c r="CS398" s="2023"/>
      <c r="CT398" s="2023"/>
      <c r="CU398" s="2024"/>
      <c r="CV398" s="2360" t="str">
        <f t="shared" si="301"/>
        <v/>
      </c>
      <c r="CW398" s="2360"/>
      <c r="CX398" s="2360"/>
      <c r="CY398" s="2360"/>
      <c r="CZ398" s="2360"/>
      <c r="DA398" s="2360"/>
      <c r="DC398" s="600" t="str">
        <f t="shared" si="302"/>
        <v/>
      </c>
      <c r="DD398" s="381"/>
      <c r="DF398" s="34"/>
      <c r="DG398" s="34"/>
      <c r="DH398" s="34"/>
      <c r="DI398" s="34"/>
      <c r="DJ398" s="858" t="s">
        <v>5637</v>
      </c>
      <c r="DK398" s="1707" t="str">
        <f t="shared" si="347"/>
        <v/>
      </c>
      <c r="DL398" s="1692" t="str">
        <f t="shared" si="348"/>
        <v/>
      </c>
      <c r="DM398" s="1691">
        <f t="shared" si="303"/>
        <v>0</v>
      </c>
      <c r="DN398" s="111">
        <f t="shared" si="304"/>
        <v>0</v>
      </c>
      <c r="DO398" s="111">
        <f t="shared" si="305"/>
        <v>0</v>
      </c>
      <c r="DP398" s="474">
        <f t="shared" si="306"/>
        <v>0</v>
      </c>
      <c r="DQ398" s="123" t="s">
        <v>792</v>
      </c>
      <c r="DR398" s="473" t="str">
        <f t="shared" si="307"/>
        <v>防火扉又は戸の開放方向</v>
      </c>
      <c r="DS398" s="112">
        <f t="shared" si="308"/>
        <v>0</v>
      </c>
      <c r="DT398" s="118" t="str">
        <f t="shared" si="309"/>
        <v/>
      </c>
      <c r="DU398" s="452" t="str">
        <f t="shared" si="310"/>
        <v/>
      </c>
      <c r="DV398" s="151" t="str">
        <f>IF($DT398="要是正",MAX($DV$366:DV397)+1,"")</f>
        <v/>
      </c>
      <c r="DW398" s="119" t="str">
        <f t="shared" si="311"/>
        <v/>
      </c>
      <c r="DX398" s="119" t="str">
        <f t="shared" si="312"/>
        <v/>
      </c>
      <c r="DY398" s="33" t="str">
        <f t="shared" si="313"/>
        <v/>
      </c>
      <c r="DZ398" s="217" t="str">
        <f t="shared" si="314"/>
        <v/>
      </c>
      <c r="EA398" s="466" t="str">
        <f t="shared" si="315"/>
        <v/>
      </c>
      <c r="EB398" s="234" t="str">
        <f t="shared" si="316"/>
        <v/>
      </c>
      <c r="EC398" s="227" t="str">
        <f t="shared" si="317"/>
        <v>0</v>
      </c>
      <c r="ED398" s="148" t="str">
        <f t="shared" si="349"/>
        <v/>
      </c>
      <c r="EE398" s="227" t="str">
        <f t="shared" si="350"/>
        <v>0</v>
      </c>
      <c r="EF398" s="130" t="str">
        <f t="shared" si="318"/>
        <v/>
      </c>
      <c r="EG398" s="204" t="str">
        <f t="shared" si="319"/>
        <v/>
      </c>
      <c r="EH398" s="134" t="str">
        <f t="shared" si="320"/>
        <v>0</v>
      </c>
      <c r="EI398" s="148" t="str">
        <f t="shared" si="351"/>
        <v/>
      </c>
      <c r="EJ398" s="227" t="str">
        <f t="shared" si="352"/>
        <v>0</v>
      </c>
      <c r="EK398" s="451" t="str">
        <f t="shared" si="321"/>
        <v/>
      </c>
      <c r="EL398" s="452" t="e">
        <f t="shared" si="322"/>
        <v>#N/A</v>
      </c>
      <c r="EM398" s="151" t="e">
        <f t="shared" si="323"/>
        <v>#N/A</v>
      </c>
      <c r="EN398" s="453" t="e">
        <f t="shared" si="324"/>
        <v>#N/A</v>
      </c>
      <c r="FK398" s="597" t="str">
        <f t="shared" si="325"/>
        <v/>
      </c>
      <c r="FL398" s="597" t="str">
        <f t="shared" si="386"/>
        <v/>
      </c>
      <c r="FM398" s="597" t="str">
        <f t="shared" si="387"/>
        <v/>
      </c>
      <c r="FN398" s="597">
        <f t="shared" si="326"/>
        <v>0</v>
      </c>
      <c r="FO398" s="1163" t="str">
        <f t="shared" si="327"/>
        <v/>
      </c>
      <c r="FQ398" s="234" t="str">
        <f t="shared" si="328"/>
        <v/>
      </c>
      <c r="FR398" s="227" t="str">
        <f t="shared" si="329"/>
        <v>0</v>
      </c>
      <c r="FS398" s="148" t="str">
        <f t="shared" si="330"/>
        <v/>
      </c>
      <c r="FT398" s="227" t="str">
        <f t="shared" si="353"/>
        <v>0</v>
      </c>
      <c r="FU398" s="416" t="str">
        <f t="shared" si="331"/>
        <v/>
      </c>
      <c r="FW398" s="1160">
        <f t="shared" si="384"/>
        <v>0</v>
      </c>
      <c r="FX398" s="123"/>
      <c r="FY398" s="123"/>
      <c r="FZ398" s="1161"/>
      <c r="GA398" s="34"/>
      <c r="GB398" s="1149">
        <f t="shared" si="354"/>
        <v>0</v>
      </c>
      <c r="GC398" s="1149">
        <f t="shared" si="355"/>
        <v>0</v>
      </c>
      <c r="GD398" s="1149">
        <f t="shared" si="356"/>
        <v>0</v>
      </c>
      <c r="GE398" s="1149" t="str">
        <f t="shared" si="332"/>
        <v/>
      </c>
      <c r="GF398" s="1149" t="str">
        <f t="shared" si="333"/>
        <v/>
      </c>
      <c r="GG398" s="1149" t="str">
        <f t="shared" si="334"/>
        <v/>
      </c>
      <c r="GH398" s="1149" t="str">
        <f t="shared" si="335"/>
        <v/>
      </c>
      <c r="GI398" s="1149" t="str">
        <f t="shared" si="336"/>
        <v/>
      </c>
      <c r="GJ398" s="1149" t="str">
        <f t="shared" si="337"/>
        <v/>
      </c>
      <c r="GK398" s="1149" t="str">
        <f t="shared" si="338"/>
        <v/>
      </c>
      <c r="GL398" s="1149" t="str">
        <f t="shared" si="339"/>
        <v/>
      </c>
      <c r="GM398" s="1149" t="str">
        <f t="shared" si="340"/>
        <v/>
      </c>
      <c r="GN398" s="1149" t="str">
        <f t="shared" si="341"/>
        <v/>
      </c>
      <c r="GO398" s="1149" t="str">
        <f t="shared" si="342"/>
        <v/>
      </c>
      <c r="GP398" s="1149" t="str">
        <f t="shared" si="343"/>
        <v/>
      </c>
      <c r="GQ398" s="1149" t="str">
        <f t="shared" si="344"/>
        <v/>
      </c>
      <c r="GR398" s="1149" t="str">
        <f t="shared" si="345"/>
        <v/>
      </c>
      <c r="GS398" s="1149" t="str">
        <f t="shared" si="346"/>
        <v/>
      </c>
      <c r="GT398" s="1149">
        <f t="shared" si="357"/>
        <v>0</v>
      </c>
      <c r="GU398" s="1149">
        <f t="shared" si="358"/>
        <v>0</v>
      </c>
      <c r="GV398" s="1149">
        <f t="shared" si="359"/>
        <v>0</v>
      </c>
      <c r="GW398" s="1149" t="b">
        <f t="shared" si="360"/>
        <v>0</v>
      </c>
      <c r="GX398" s="1149" t="b">
        <f t="shared" si="361"/>
        <v>0</v>
      </c>
      <c r="GY398" s="1149" t="b">
        <f t="shared" si="362"/>
        <v>0</v>
      </c>
      <c r="GZ398" s="1149" t="str">
        <f t="shared" si="385"/>
        <v/>
      </c>
      <c r="HB398" s="1149" t="str">
        <f t="shared" si="363"/>
        <v/>
      </c>
      <c r="HC398" s="1149" t="str">
        <f t="shared" si="364"/>
        <v/>
      </c>
      <c r="HD398" s="1149" t="str">
        <f t="shared" si="365"/>
        <v/>
      </c>
      <c r="HE398" s="1149" t="str">
        <f t="shared" si="366"/>
        <v/>
      </c>
      <c r="HF398" s="1149" t="str">
        <f t="shared" si="367"/>
        <v/>
      </c>
      <c r="HG398" s="1149" t="str">
        <f t="shared" si="368"/>
        <v/>
      </c>
      <c r="HH398" s="1149" t="str">
        <f t="shared" si="369"/>
        <v/>
      </c>
      <c r="HI398" s="1149" t="str">
        <f t="shared" si="370"/>
        <v/>
      </c>
      <c r="HJ398" s="1149" t="str">
        <f t="shared" si="371"/>
        <v/>
      </c>
      <c r="HK398" s="1149" t="str">
        <f t="shared" si="372"/>
        <v/>
      </c>
      <c r="HL398" s="1149" t="str">
        <f t="shared" si="373"/>
        <v/>
      </c>
      <c r="HM398" s="1149" t="str">
        <f t="shared" si="374"/>
        <v/>
      </c>
      <c r="HN398" s="1149" t="str">
        <f t="shared" si="375"/>
        <v/>
      </c>
      <c r="HO398" s="1149" t="str">
        <f t="shared" si="376"/>
        <v/>
      </c>
      <c r="HP398" s="1149" t="str">
        <f t="shared" si="377"/>
        <v/>
      </c>
      <c r="HQ398" s="1149" t="str">
        <f t="shared" si="378"/>
        <v/>
      </c>
      <c r="HR398" s="1149" t="str">
        <f t="shared" si="379"/>
        <v/>
      </c>
      <c r="HT398" s="1149">
        <f>LEFT(M398,1)*10000+MID(M398,3,LEN(M398)-3)*100+COUNTIF($M$307:M398,M398)</f>
        <v>42901</v>
      </c>
      <c r="HU398" s="1149" t="str">
        <f t="shared" si="380"/>
        <v/>
      </c>
      <c r="HV398" s="1149" t="str">
        <f t="shared" si="381"/>
        <v/>
      </c>
      <c r="HW398" s="1149" t="str">
        <f t="shared" si="382"/>
        <v/>
      </c>
      <c r="HX398" s="1149" t="str">
        <f t="shared" si="383"/>
        <v/>
      </c>
    </row>
    <row r="399" spans="1:232" s="69" customFormat="1" ht="50.15" customHeight="1">
      <c r="A399" s="645"/>
      <c r="B399" s="645"/>
      <c r="C399" s="645"/>
      <c r="D399" s="645"/>
      <c r="E399" s="646"/>
      <c r="F399" s="381"/>
      <c r="G399" s="381"/>
      <c r="H399" s="381"/>
      <c r="I399" s="1169"/>
      <c r="J399" s="80"/>
      <c r="K399" s="89"/>
      <c r="L399" s="89"/>
      <c r="M399" s="1967" t="s">
        <v>1251</v>
      </c>
      <c r="N399" s="1967"/>
      <c r="O399" s="1968"/>
      <c r="P399" s="1966"/>
      <c r="Q399" s="1966"/>
      <c r="R399" s="1966"/>
      <c r="S399" s="1966"/>
      <c r="T399" s="1966"/>
      <c r="U399" s="1899" t="s">
        <v>237</v>
      </c>
      <c r="V399" s="1899"/>
      <c r="W399" s="1899"/>
      <c r="X399" s="1899"/>
      <c r="Y399" s="1899"/>
      <c r="Z399" s="1899"/>
      <c r="AA399" s="1899"/>
      <c r="AB399" s="1899"/>
      <c r="AC399" s="1899"/>
      <c r="AD399" s="1899"/>
      <c r="AE399" s="1899"/>
      <c r="AF399" s="1898"/>
      <c r="AG399" s="1898"/>
      <c r="AH399" s="1898"/>
      <c r="AI399" s="1898"/>
      <c r="AJ399" s="1898"/>
      <c r="AK399" s="1898"/>
      <c r="AL399" s="1898"/>
      <c r="AM399" s="1898"/>
      <c r="AN399" s="1898"/>
      <c r="AO399" s="1898"/>
      <c r="AP399" s="1898"/>
      <c r="AQ399" s="1898"/>
      <c r="AR399" s="1910"/>
      <c r="AS399" s="1910"/>
      <c r="AT399" s="1993"/>
      <c r="AU399" s="1993"/>
      <c r="AV399" s="1993"/>
      <c r="AW399" s="1993"/>
      <c r="AX399" s="1993"/>
      <c r="AY399" s="1993"/>
      <c r="AZ399" s="1993"/>
      <c r="BA399" s="1993"/>
      <c r="BB399" s="1993"/>
      <c r="BC399" s="1993"/>
      <c r="BD399" s="1993"/>
      <c r="BE399" s="1993"/>
      <c r="BF399" s="1993"/>
      <c r="BG399" s="1993"/>
      <c r="BH399" s="1993"/>
      <c r="BI399" s="1993"/>
      <c r="BJ399" s="1993"/>
      <c r="BK399" s="1993"/>
      <c r="BL399" s="1993"/>
      <c r="BM399" s="1993"/>
      <c r="BN399" s="1993"/>
      <c r="BO399" s="1993"/>
      <c r="BP399" s="1993"/>
      <c r="BQ399" s="1993"/>
      <c r="BR399" s="1993"/>
      <c r="BS399" s="1895"/>
      <c r="BT399" s="1895"/>
      <c r="BU399" s="1895"/>
      <c r="BV399" s="1889"/>
      <c r="BW399" s="1889"/>
      <c r="BX399" s="1889"/>
      <c r="BY399" s="1889"/>
      <c r="BZ399" s="1896"/>
      <c r="CA399" s="1896"/>
      <c r="CB399" s="2384" t="s">
        <v>2834</v>
      </c>
      <c r="CC399" s="2385"/>
      <c r="CD399" s="2385"/>
      <c r="CE399" s="2385"/>
      <c r="CF399" s="2385"/>
      <c r="CG399" s="2385"/>
      <c r="CH399" s="2385"/>
      <c r="CI399" s="2385"/>
      <c r="CJ399" s="2385"/>
      <c r="CK399" s="2385"/>
      <c r="CL399" s="2385"/>
      <c r="CM399" s="2385"/>
      <c r="CN399" s="2385"/>
      <c r="CO399" s="2385"/>
      <c r="CP399" s="2385"/>
      <c r="CQ399" s="2385"/>
      <c r="CR399" s="2385"/>
      <c r="CS399" s="2385"/>
      <c r="CT399" s="2385"/>
      <c r="CU399" s="2386"/>
      <c r="CV399" s="2360" t="str">
        <f t="shared" si="301"/>
        <v/>
      </c>
      <c r="CW399" s="2360"/>
      <c r="CX399" s="2360"/>
      <c r="CY399" s="2360"/>
      <c r="CZ399" s="2360"/>
      <c r="DA399" s="2360"/>
      <c r="DC399" s="600" t="str">
        <f t="shared" si="302"/>
        <v/>
      </c>
      <c r="DD399" s="381"/>
      <c r="DF399" s="34"/>
      <c r="DG399" s="34"/>
      <c r="DH399" s="34"/>
      <c r="DI399" s="34"/>
      <c r="DJ399" s="858" t="s">
        <v>5637</v>
      </c>
      <c r="DK399" s="1707" t="str">
        <f t="shared" si="347"/>
        <v/>
      </c>
      <c r="DL399" s="1692" t="str">
        <f t="shared" si="348"/>
        <v/>
      </c>
      <c r="DM399" s="1691">
        <f t="shared" si="303"/>
        <v>0</v>
      </c>
      <c r="DN399" s="111">
        <f t="shared" si="304"/>
        <v>0</v>
      </c>
      <c r="DO399" s="111">
        <f t="shared" si="305"/>
        <v>0</v>
      </c>
      <c r="DP399" s="474">
        <f t="shared" si="306"/>
        <v>0</v>
      </c>
      <c r="DQ399" s="123" t="s">
        <v>793</v>
      </c>
      <c r="DR399" s="473" t="str">
        <f t="shared" si="307"/>
        <v>常閉防火設備等の本体と枠の劣化及び損傷の状況</v>
      </c>
      <c r="DS399" s="112">
        <f t="shared" si="308"/>
        <v>0</v>
      </c>
      <c r="DT399" s="118" t="str">
        <f t="shared" si="309"/>
        <v/>
      </c>
      <c r="DU399" s="452" t="str">
        <f t="shared" si="310"/>
        <v/>
      </c>
      <c r="DV399" s="151" t="str">
        <f>IF($DT399="要是正",MAX($DV$366:DV398)+1,"")</f>
        <v/>
      </c>
      <c r="DW399" s="119" t="str">
        <f t="shared" si="311"/>
        <v/>
      </c>
      <c r="DX399" s="119" t="str">
        <f t="shared" si="312"/>
        <v/>
      </c>
      <c r="DY399" s="33" t="str">
        <f t="shared" si="313"/>
        <v/>
      </c>
      <c r="DZ399" s="217" t="str">
        <f t="shared" si="314"/>
        <v/>
      </c>
      <c r="EA399" s="466" t="str">
        <f t="shared" si="315"/>
        <v/>
      </c>
      <c r="EB399" s="234" t="str">
        <f t="shared" si="316"/>
        <v/>
      </c>
      <c r="EC399" s="227" t="str">
        <f t="shared" si="317"/>
        <v>0</v>
      </c>
      <c r="ED399" s="148" t="str">
        <f t="shared" si="349"/>
        <v/>
      </c>
      <c r="EE399" s="227" t="str">
        <f t="shared" si="350"/>
        <v>0</v>
      </c>
      <c r="EF399" s="130" t="str">
        <f t="shared" si="318"/>
        <v/>
      </c>
      <c r="EG399" s="204" t="str">
        <f t="shared" si="319"/>
        <v/>
      </c>
      <c r="EH399" s="134" t="str">
        <f t="shared" si="320"/>
        <v>0</v>
      </c>
      <c r="EI399" s="148" t="str">
        <f t="shared" si="351"/>
        <v/>
      </c>
      <c r="EJ399" s="227" t="str">
        <f t="shared" si="352"/>
        <v>0</v>
      </c>
      <c r="EK399" s="451" t="str">
        <f t="shared" si="321"/>
        <v/>
      </c>
      <c r="EL399" s="452" t="e">
        <f t="shared" si="322"/>
        <v>#N/A</v>
      </c>
      <c r="EM399" s="151" t="e">
        <f t="shared" si="323"/>
        <v>#N/A</v>
      </c>
      <c r="EN399" s="453" t="e">
        <f t="shared" si="324"/>
        <v>#N/A</v>
      </c>
      <c r="FK399" s="597" t="str">
        <f t="shared" si="325"/>
        <v/>
      </c>
      <c r="FL399" s="597" t="str">
        <f t="shared" si="386"/>
        <v/>
      </c>
      <c r="FM399" s="597" t="str">
        <f t="shared" si="387"/>
        <v/>
      </c>
      <c r="FN399" s="597">
        <f t="shared" si="326"/>
        <v>0</v>
      </c>
      <c r="FO399" s="1163" t="str">
        <f t="shared" si="327"/>
        <v/>
      </c>
      <c r="FQ399" s="234" t="str">
        <f t="shared" si="328"/>
        <v/>
      </c>
      <c r="FR399" s="227" t="str">
        <f t="shared" si="329"/>
        <v>0</v>
      </c>
      <c r="FS399" s="148" t="str">
        <f t="shared" si="330"/>
        <v/>
      </c>
      <c r="FT399" s="227" t="str">
        <f t="shared" si="353"/>
        <v>0</v>
      </c>
      <c r="FU399" s="416" t="str">
        <f t="shared" si="331"/>
        <v/>
      </c>
      <c r="FW399" s="1160">
        <f t="shared" si="384"/>
        <v>0</v>
      </c>
      <c r="FX399" s="123"/>
      <c r="FY399" s="123"/>
      <c r="FZ399" s="1161"/>
      <c r="GA399" s="34"/>
      <c r="GB399" s="1149">
        <f t="shared" si="354"/>
        <v>0</v>
      </c>
      <c r="GC399" s="1149">
        <f t="shared" si="355"/>
        <v>0</v>
      </c>
      <c r="GD399" s="1149">
        <f t="shared" si="356"/>
        <v>0</v>
      </c>
      <c r="GE399" s="1149" t="str">
        <f t="shared" si="332"/>
        <v/>
      </c>
      <c r="GF399" s="1149" t="str">
        <f t="shared" si="333"/>
        <v/>
      </c>
      <c r="GG399" s="1149" t="str">
        <f t="shared" si="334"/>
        <v/>
      </c>
      <c r="GH399" s="1149" t="str">
        <f t="shared" si="335"/>
        <v/>
      </c>
      <c r="GI399" s="1149" t="str">
        <f t="shared" si="336"/>
        <v/>
      </c>
      <c r="GJ399" s="1149" t="str">
        <f t="shared" si="337"/>
        <v/>
      </c>
      <c r="GK399" s="1149" t="str">
        <f t="shared" si="338"/>
        <v/>
      </c>
      <c r="GL399" s="1149" t="str">
        <f t="shared" si="339"/>
        <v/>
      </c>
      <c r="GM399" s="1149" t="str">
        <f t="shared" si="340"/>
        <v/>
      </c>
      <c r="GN399" s="1149" t="str">
        <f t="shared" si="341"/>
        <v/>
      </c>
      <c r="GO399" s="1149" t="str">
        <f t="shared" si="342"/>
        <v/>
      </c>
      <c r="GP399" s="1149" t="str">
        <f t="shared" si="343"/>
        <v/>
      </c>
      <c r="GQ399" s="1149" t="str">
        <f t="shared" si="344"/>
        <v/>
      </c>
      <c r="GR399" s="1149" t="str">
        <f t="shared" si="345"/>
        <v/>
      </c>
      <c r="GS399" s="1149" t="str">
        <f t="shared" si="346"/>
        <v/>
      </c>
      <c r="GT399" s="1149">
        <f t="shared" si="357"/>
        <v>0</v>
      </c>
      <c r="GU399" s="1149">
        <f t="shared" si="358"/>
        <v>0</v>
      </c>
      <c r="GV399" s="1149">
        <f t="shared" si="359"/>
        <v>0</v>
      </c>
      <c r="GW399" s="1149" t="b">
        <f t="shared" si="360"/>
        <v>0</v>
      </c>
      <c r="GX399" s="1149" t="b">
        <f t="shared" si="361"/>
        <v>0</v>
      </c>
      <c r="GY399" s="1149" t="b">
        <f t="shared" si="362"/>
        <v>0</v>
      </c>
      <c r="GZ399" s="1149" t="str">
        <f t="shared" si="385"/>
        <v/>
      </c>
      <c r="HB399" s="1149" t="str">
        <f t="shared" si="363"/>
        <v/>
      </c>
      <c r="HC399" s="1149" t="str">
        <f t="shared" si="364"/>
        <v/>
      </c>
      <c r="HD399" s="1149" t="str">
        <f t="shared" si="365"/>
        <v/>
      </c>
      <c r="HE399" s="1149" t="str">
        <f t="shared" si="366"/>
        <v/>
      </c>
      <c r="HF399" s="1149" t="str">
        <f t="shared" si="367"/>
        <v/>
      </c>
      <c r="HG399" s="1149" t="str">
        <f t="shared" si="368"/>
        <v/>
      </c>
      <c r="HH399" s="1149" t="str">
        <f t="shared" si="369"/>
        <v/>
      </c>
      <c r="HI399" s="1149" t="str">
        <f t="shared" si="370"/>
        <v/>
      </c>
      <c r="HJ399" s="1149" t="str">
        <f t="shared" si="371"/>
        <v/>
      </c>
      <c r="HK399" s="1149" t="str">
        <f t="shared" si="372"/>
        <v/>
      </c>
      <c r="HL399" s="1149" t="str">
        <f t="shared" si="373"/>
        <v/>
      </c>
      <c r="HM399" s="1149" t="str">
        <f t="shared" si="374"/>
        <v/>
      </c>
      <c r="HN399" s="1149" t="str">
        <f t="shared" si="375"/>
        <v/>
      </c>
      <c r="HO399" s="1149" t="str">
        <f t="shared" si="376"/>
        <v/>
      </c>
      <c r="HP399" s="1149" t="str">
        <f t="shared" si="377"/>
        <v/>
      </c>
      <c r="HQ399" s="1149" t="str">
        <f t="shared" si="378"/>
        <v/>
      </c>
      <c r="HR399" s="1149" t="str">
        <f t="shared" si="379"/>
        <v/>
      </c>
      <c r="HT399" s="1149">
        <f>LEFT(M399,1)*10000+MID(M399,3,LEN(M399)-3)*100+COUNTIF($M$307:M399,M399)</f>
        <v>43001</v>
      </c>
      <c r="HU399" s="1149" t="str">
        <f t="shared" si="380"/>
        <v/>
      </c>
      <c r="HV399" s="1149" t="str">
        <f t="shared" si="381"/>
        <v/>
      </c>
      <c r="HW399" s="1149" t="str">
        <f t="shared" si="382"/>
        <v/>
      </c>
      <c r="HX399" s="1149" t="str">
        <f t="shared" si="383"/>
        <v/>
      </c>
    </row>
    <row r="400" spans="1:232" s="69" customFormat="1" ht="50.15" customHeight="1">
      <c r="A400" s="645"/>
      <c r="B400" s="645"/>
      <c r="C400" s="645"/>
      <c r="D400" s="645"/>
      <c r="E400" s="646"/>
      <c r="F400" s="381"/>
      <c r="G400" s="381"/>
      <c r="H400" s="381"/>
      <c r="I400" s="1169"/>
      <c r="J400" s="80"/>
      <c r="K400" s="89"/>
      <c r="L400" s="89"/>
      <c r="M400" s="1967" t="s">
        <v>1252</v>
      </c>
      <c r="N400" s="1967"/>
      <c r="O400" s="1968"/>
      <c r="P400" s="1966"/>
      <c r="Q400" s="1966"/>
      <c r="R400" s="1966"/>
      <c r="S400" s="1966"/>
      <c r="T400" s="1966"/>
      <c r="U400" s="1899" t="s">
        <v>238</v>
      </c>
      <c r="V400" s="1899"/>
      <c r="W400" s="1899"/>
      <c r="X400" s="1899"/>
      <c r="Y400" s="1899"/>
      <c r="Z400" s="1899"/>
      <c r="AA400" s="1899"/>
      <c r="AB400" s="1899"/>
      <c r="AC400" s="1899"/>
      <c r="AD400" s="1899"/>
      <c r="AE400" s="1899"/>
      <c r="AF400" s="1898"/>
      <c r="AG400" s="1898"/>
      <c r="AH400" s="1898"/>
      <c r="AI400" s="1898"/>
      <c r="AJ400" s="1898"/>
      <c r="AK400" s="1898"/>
      <c r="AL400" s="1898"/>
      <c r="AM400" s="1898"/>
      <c r="AN400" s="1898"/>
      <c r="AO400" s="1898"/>
      <c r="AP400" s="1898"/>
      <c r="AQ400" s="1898"/>
      <c r="AR400" s="1910"/>
      <c r="AS400" s="1910"/>
      <c r="AT400" s="1993"/>
      <c r="AU400" s="1993"/>
      <c r="AV400" s="1993"/>
      <c r="AW400" s="1993"/>
      <c r="AX400" s="1993"/>
      <c r="AY400" s="1993"/>
      <c r="AZ400" s="1993"/>
      <c r="BA400" s="1993"/>
      <c r="BB400" s="1993"/>
      <c r="BC400" s="1993"/>
      <c r="BD400" s="1993"/>
      <c r="BE400" s="1993"/>
      <c r="BF400" s="1993"/>
      <c r="BG400" s="1993"/>
      <c r="BH400" s="1993"/>
      <c r="BI400" s="1993"/>
      <c r="BJ400" s="1993"/>
      <c r="BK400" s="1993"/>
      <c r="BL400" s="1993"/>
      <c r="BM400" s="1993"/>
      <c r="BN400" s="1993"/>
      <c r="BO400" s="1993"/>
      <c r="BP400" s="1993"/>
      <c r="BQ400" s="1993"/>
      <c r="BR400" s="1993"/>
      <c r="BS400" s="1895"/>
      <c r="BT400" s="1895"/>
      <c r="BU400" s="1895"/>
      <c r="BV400" s="1889"/>
      <c r="BW400" s="1889"/>
      <c r="BX400" s="1889"/>
      <c r="BY400" s="1889"/>
      <c r="BZ400" s="1896"/>
      <c r="CA400" s="1896"/>
      <c r="CB400" s="2048"/>
      <c r="CC400" s="1922"/>
      <c r="CD400" s="1922"/>
      <c r="CE400" s="1922"/>
      <c r="CF400" s="1922"/>
      <c r="CG400" s="1922"/>
      <c r="CH400" s="1922"/>
      <c r="CI400" s="1922"/>
      <c r="CJ400" s="1922"/>
      <c r="CK400" s="1922"/>
      <c r="CL400" s="1922"/>
      <c r="CM400" s="1922"/>
      <c r="CN400" s="1922"/>
      <c r="CO400" s="1922"/>
      <c r="CP400" s="1922"/>
      <c r="CQ400" s="1922"/>
      <c r="CR400" s="1922"/>
      <c r="CS400" s="1922"/>
      <c r="CT400" s="1922"/>
      <c r="CU400" s="2332"/>
      <c r="CV400" s="2360" t="str">
        <f t="shared" si="301"/>
        <v/>
      </c>
      <c r="CW400" s="2360"/>
      <c r="CX400" s="2360"/>
      <c r="CY400" s="2360"/>
      <c r="CZ400" s="2360"/>
      <c r="DA400" s="2360"/>
      <c r="DC400" s="600" t="str">
        <f t="shared" si="302"/>
        <v/>
      </c>
      <c r="DD400" s="381"/>
      <c r="DF400" s="34"/>
      <c r="DG400" s="34"/>
      <c r="DH400" s="34"/>
      <c r="DI400" s="34"/>
      <c r="DJ400" s="858" t="s">
        <v>5637</v>
      </c>
      <c r="DK400" s="1707" t="str">
        <f t="shared" si="347"/>
        <v/>
      </c>
      <c r="DL400" s="1692" t="str">
        <f t="shared" si="348"/>
        <v/>
      </c>
      <c r="DM400" s="1691">
        <f t="shared" si="303"/>
        <v>0</v>
      </c>
      <c r="DN400" s="111">
        <f t="shared" si="304"/>
        <v>0</v>
      </c>
      <c r="DO400" s="111">
        <f t="shared" si="305"/>
        <v>0</v>
      </c>
      <c r="DP400" s="474">
        <f t="shared" si="306"/>
        <v>0</v>
      </c>
      <c r="DQ400" s="123" t="s">
        <v>794</v>
      </c>
      <c r="DR400" s="473" t="str">
        <f t="shared" si="307"/>
        <v>常閉防火設備等の閉鎖又は作動の状況</v>
      </c>
      <c r="DS400" s="112">
        <f t="shared" si="308"/>
        <v>0</v>
      </c>
      <c r="DT400" s="118" t="str">
        <f t="shared" si="309"/>
        <v/>
      </c>
      <c r="DU400" s="452" t="str">
        <f t="shared" si="310"/>
        <v/>
      </c>
      <c r="DV400" s="151" t="str">
        <f>IF($DT400="要是正",MAX($DV$366:DV399)+1,"")</f>
        <v/>
      </c>
      <c r="DW400" s="119" t="str">
        <f t="shared" si="311"/>
        <v/>
      </c>
      <c r="DX400" s="119" t="str">
        <f t="shared" si="312"/>
        <v/>
      </c>
      <c r="DY400" s="33" t="str">
        <f t="shared" si="313"/>
        <v/>
      </c>
      <c r="DZ400" s="217" t="str">
        <f t="shared" si="314"/>
        <v/>
      </c>
      <c r="EA400" s="466" t="str">
        <f t="shared" si="315"/>
        <v/>
      </c>
      <c r="EB400" s="234" t="str">
        <f t="shared" si="316"/>
        <v/>
      </c>
      <c r="EC400" s="227" t="str">
        <f t="shared" si="317"/>
        <v>0</v>
      </c>
      <c r="ED400" s="148" t="str">
        <f t="shared" si="349"/>
        <v/>
      </c>
      <c r="EE400" s="227" t="str">
        <f t="shared" si="350"/>
        <v>0</v>
      </c>
      <c r="EF400" s="130" t="str">
        <f t="shared" si="318"/>
        <v/>
      </c>
      <c r="EG400" s="204" t="str">
        <f t="shared" si="319"/>
        <v/>
      </c>
      <c r="EH400" s="134" t="str">
        <f t="shared" si="320"/>
        <v>0</v>
      </c>
      <c r="EI400" s="148" t="str">
        <f t="shared" si="351"/>
        <v/>
      </c>
      <c r="EJ400" s="227" t="str">
        <f t="shared" si="352"/>
        <v>0</v>
      </c>
      <c r="EK400" s="451" t="str">
        <f t="shared" si="321"/>
        <v/>
      </c>
      <c r="EL400" s="452" t="e">
        <f t="shared" si="322"/>
        <v>#N/A</v>
      </c>
      <c r="EM400" s="151" t="e">
        <f t="shared" si="323"/>
        <v>#N/A</v>
      </c>
      <c r="EN400" s="453" t="e">
        <f t="shared" si="324"/>
        <v>#N/A</v>
      </c>
      <c r="FK400" s="597" t="str">
        <f t="shared" si="325"/>
        <v/>
      </c>
      <c r="FL400" s="597" t="str">
        <f t="shared" si="386"/>
        <v/>
      </c>
      <c r="FM400" s="597" t="str">
        <f t="shared" si="387"/>
        <v/>
      </c>
      <c r="FN400" s="597">
        <f t="shared" si="326"/>
        <v>0</v>
      </c>
      <c r="FO400" s="1163" t="str">
        <f t="shared" si="327"/>
        <v/>
      </c>
      <c r="FQ400" s="234" t="str">
        <f t="shared" si="328"/>
        <v/>
      </c>
      <c r="FR400" s="227" t="str">
        <f t="shared" si="329"/>
        <v>0</v>
      </c>
      <c r="FS400" s="148" t="str">
        <f t="shared" si="330"/>
        <v/>
      </c>
      <c r="FT400" s="227" t="str">
        <f t="shared" si="353"/>
        <v>0</v>
      </c>
      <c r="FU400" s="416" t="str">
        <f t="shared" si="331"/>
        <v/>
      </c>
      <c r="FW400" s="1160">
        <f t="shared" si="384"/>
        <v>0</v>
      </c>
      <c r="FX400" s="123"/>
      <c r="FY400" s="123"/>
      <c r="FZ400" s="1161"/>
      <c r="GA400" s="34"/>
      <c r="GB400" s="1149">
        <f t="shared" si="354"/>
        <v>0</v>
      </c>
      <c r="GC400" s="1149">
        <f t="shared" si="355"/>
        <v>0</v>
      </c>
      <c r="GD400" s="1149">
        <f t="shared" si="356"/>
        <v>0</v>
      </c>
      <c r="GE400" s="1149" t="str">
        <f t="shared" si="332"/>
        <v/>
      </c>
      <c r="GF400" s="1149" t="str">
        <f t="shared" si="333"/>
        <v/>
      </c>
      <c r="GG400" s="1149" t="str">
        <f t="shared" si="334"/>
        <v/>
      </c>
      <c r="GH400" s="1149" t="str">
        <f t="shared" si="335"/>
        <v/>
      </c>
      <c r="GI400" s="1149" t="str">
        <f t="shared" si="336"/>
        <v/>
      </c>
      <c r="GJ400" s="1149" t="str">
        <f t="shared" si="337"/>
        <v/>
      </c>
      <c r="GK400" s="1149" t="str">
        <f t="shared" si="338"/>
        <v/>
      </c>
      <c r="GL400" s="1149" t="str">
        <f t="shared" si="339"/>
        <v/>
      </c>
      <c r="GM400" s="1149" t="str">
        <f t="shared" si="340"/>
        <v/>
      </c>
      <c r="GN400" s="1149" t="str">
        <f t="shared" si="341"/>
        <v/>
      </c>
      <c r="GO400" s="1149" t="str">
        <f t="shared" si="342"/>
        <v/>
      </c>
      <c r="GP400" s="1149" t="str">
        <f t="shared" si="343"/>
        <v/>
      </c>
      <c r="GQ400" s="1149" t="str">
        <f t="shared" si="344"/>
        <v/>
      </c>
      <c r="GR400" s="1149" t="str">
        <f t="shared" si="345"/>
        <v/>
      </c>
      <c r="GS400" s="1149" t="str">
        <f t="shared" si="346"/>
        <v/>
      </c>
      <c r="GT400" s="1149">
        <f t="shared" si="357"/>
        <v>0</v>
      </c>
      <c r="GU400" s="1149">
        <f t="shared" si="358"/>
        <v>0</v>
      </c>
      <c r="GV400" s="1149">
        <f t="shared" si="359"/>
        <v>0</v>
      </c>
      <c r="GW400" s="1149" t="b">
        <f t="shared" si="360"/>
        <v>0</v>
      </c>
      <c r="GX400" s="1149" t="b">
        <f t="shared" si="361"/>
        <v>0</v>
      </c>
      <c r="GY400" s="1149" t="b">
        <f t="shared" si="362"/>
        <v>0</v>
      </c>
      <c r="GZ400" s="1149" t="str">
        <f t="shared" si="385"/>
        <v/>
      </c>
      <c r="HB400" s="1149" t="str">
        <f t="shared" si="363"/>
        <v/>
      </c>
      <c r="HC400" s="1149" t="str">
        <f t="shared" si="364"/>
        <v/>
      </c>
      <c r="HD400" s="1149" t="str">
        <f t="shared" si="365"/>
        <v/>
      </c>
      <c r="HE400" s="1149" t="str">
        <f t="shared" si="366"/>
        <v/>
      </c>
      <c r="HF400" s="1149" t="str">
        <f t="shared" si="367"/>
        <v/>
      </c>
      <c r="HG400" s="1149" t="str">
        <f t="shared" si="368"/>
        <v/>
      </c>
      <c r="HH400" s="1149" t="str">
        <f t="shared" si="369"/>
        <v/>
      </c>
      <c r="HI400" s="1149" t="str">
        <f t="shared" si="370"/>
        <v/>
      </c>
      <c r="HJ400" s="1149" t="str">
        <f t="shared" si="371"/>
        <v/>
      </c>
      <c r="HK400" s="1149" t="str">
        <f t="shared" si="372"/>
        <v/>
      </c>
      <c r="HL400" s="1149" t="str">
        <f t="shared" si="373"/>
        <v/>
      </c>
      <c r="HM400" s="1149" t="str">
        <f t="shared" si="374"/>
        <v/>
      </c>
      <c r="HN400" s="1149" t="str">
        <f t="shared" si="375"/>
        <v/>
      </c>
      <c r="HO400" s="1149" t="str">
        <f t="shared" si="376"/>
        <v/>
      </c>
      <c r="HP400" s="1149" t="str">
        <f t="shared" si="377"/>
        <v/>
      </c>
      <c r="HQ400" s="1149" t="str">
        <f t="shared" si="378"/>
        <v/>
      </c>
      <c r="HR400" s="1149" t="str">
        <f t="shared" si="379"/>
        <v/>
      </c>
      <c r="HT400" s="1149">
        <f>LEFT(M400,1)*10000+MID(M400,3,LEN(M400)-3)*100+COUNTIF($M$307:M400,M400)</f>
        <v>43101</v>
      </c>
      <c r="HU400" s="1149" t="str">
        <f t="shared" si="380"/>
        <v/>
      </c>
      <c r="HV400" s="1149" t="str">
        <f t="shared" si="381"/>
        <v/>
      </c>
      <c r="HW400" s="1149" t="str">
        <f t="shared" si="382"/>
        <v/>
      </c>
      <c r="HX400" s="1149" t="str">
        <f t="shared" si="383"/>
        <v/>
      </c>
    </row>
    <row r="401" spans="1:232" s="69" customFormat="1" ht="50.15" customHeight="1">
      <c r="A401" s="645"/>
      <c r="B401" s="645"/>
      <c r="C401" s="645"/>
      <c r="D401" s="645"/>
      <c r="E401" s="646"/>
      <c r="F401" s="381"/>
      <c r="G401" s="381"/>
      <c r="H401" s="381"/>
      <c r="I401" s="1169"/>
      <c r="J401" s="80"/>
      <c r="K401" s="89"/>
      <c r="L401" s="89"/>
      <c r="M401" s="1967" t="s">
        <v>1253</v>
      </c>
      <c r="N401" s="1967"/>
      <c r="O401" s="1968"/>
      <c r="P401" s="1966"/>
      <c r="Q401" s="1966"/>
      <c r="R401" s="1966"/>
      <c r="S401" s="1966"/>
      <c r="T401" s="1966"/>
      <c r="U401" s="1899" t="s">
        <v>239</v>
      </c>
      <c r="V401" s="1899"/>
      <c r="W401" s="1899"/>
      <c r="X401" s="1899"/>
      <c r="Y401" s="1899"/>
      <c r="Z401" s="1899"/>
      <c r="AA401" s="1899"/>
      <c r="AB401" s="1899"/>
      <c r="AC401" s="1899"/>
      <c r="AD401" s="1899"/>
      <c r="AE401" s="1899"/>
      <c r="AF401" s="1898"/>
      <c r="AG401" s="1898"/>
      <c r="AH401" s="1898"/>
      <c r="AI401" s="1898"/>
      <c r="AJ401" s="1898"/>
      <c r="AK401" s="1898"/>
      <c r="AL401" s="1898"/>
      <c r="AM401" s="1898"/>
      <c r="AN401" s="1898"/>
      <c r="AO401" s="1898"/>
      <c r="AP401" s="1898"/>
      <c r="AQ401" s="1898"/>
      <c r="AR401" s="1910"/>
      <c r="AS401" s="1910"/>
      <c r="AT401" s="1993"/>
      <c r="AU401" s="1993"/>
      <c r="AV401" s="1993"/>
      <c r="AW401" s="1993"/>
      <c r="AX401" s="1993"/>
      <c r="AY401" s="1993"/>
      <c r="AZ401" s="1993"/>
      <c r="BA401" s="1993"/>
      <c r="BB401" s="1993"/>
      <c r="BC401" s="1993"/>
      <c r="BD401" s="1993"/>
      <c r="BE401" s="1993"/>
      <c r="BF401" s="1993"/>
      <c r="BG401" s="1993"/>
      <c r="BH401" s="1993"/>
      <c r="BI401" s="1993"/>
      <c r="BJ401" s="1993"/>
      <c r="BK401" s="1993"/>
      <c r="BL401" s="1993"/>
      <c r="BM401" s="1993"/>
      <c r="BN401" s="1993"/>
      <c r="BO401" s="1993"/>
      <c r="BP401" s="1993"/>
      <c r="BQ401" s="1993"/>
      <c r="BR401" s="1993"/>
      <c r="BS401" s="1895"/>
      <c r="BT401" s="1895"/>
      <c r="BU401" s="1895"/>
      <c r="BV401" s="1889"/>
      <c r="BW401" s="1889"/>
      <c r="BX401" s="1889"/>
      <c r="BY401" s="1889"/>
      <c r="BZ401" s="1896"/>
      <c r="CA401" s="1896"/>
      <c r="CB401" s="2377"/>
      <c r="CC401" s="2378"/>
      <c r="CD401" s="2378"/>
      <c r="CE401" s="2378"/>
      <c r="CF401" s="2378"/>
      <c r="CG401" s="2378"/>
      <c r="CH401" s="2378"/>
      <c r="CI401" s="2378"/>
      <c r="CJ401" s="2378"/>
      <c r="CK401" s="2378"/>
      <c r="CL401" s="2378"/>
      <c r="CM401" s="2378"/>
      <c r="CN401" s="2378"/>
      <c r="CO401" s="2378"/>
      <c r="CP401" s="2378"/>
      <c r="CQ401" s="2378"/>
      <c r="CR401" s="2378"/>
      <c r="CS401" s="2378"/>
      <c r="CT401" s="2378"/>
      <c r="CU401" s="2379"/>
      <c r="CV401" s="2360" t="str">
        <f t="shared" si="301"/>
        <v/>
      </c>
      <c r="CW401" s="2360"/>
      <c r="CX401" s="2360"/>
      <c r="CY401" s="2360"/>
      <c r="CZ401" s="2360"/>
      <c r="DA401" s="2360"/>
      <c r="DC401" s="600" t="str">
        <f t="shared" si="302"/>
        <v/>
      </c>
      <c r="DD401" s="381"/>
      <c r="DF401" s="34"/>
      <c r="DG401" s="34"/>
      <c r="DH401" s="34"/>
      <c r="DI401" s="34"/>
      <c r="DJ401" s="858" t="s">
        <v>5637</v>
      </c>
      <c r="DK401" s="1707" t="str">
        <f t="shared" si="347"/>
        <v/>
      </c>
      <c r="DL401" s="1692" t="str">
        <f t="shared" si="348"/>
        <v/>
      </c>
      <c r="DM401" s="1691">
        <f t="shared" si="303"/>
        <v>0</v>
      </c>
      <c r="DN401" s="111">
        <f t="shared" si="304"/>
        <v>0</v>
      </c>
      <c r="DO401" s="111">
        <f t="shared" si="305"/>
        <v>0</v>
      </c>
      <c r="DP401" s="474">
        <f t="shared" si="306"/>
        <v>0</v>
      </c>
      <c r="DQ401" s="123" t="s">
        <v>795</v>
      </c>
      <c r="DR401" s="473" t="str">
        <f t="shared" si="307"/>
        <v>常閉防火設備等の閉鎖又は作動の障害となる物品の放置の状況</v>
      </c>
      <c r="DS401" s="112">
        <f t="shared" si="308"/>
        <v>0</v>
      </c>
      <c r="DT401" s="118" t="str">
        <f t="shared" si="309"/>
        <v/>
      </c>
      <c r="DU401" s="452" t="str">
        <f t="shared" si="310"/>
        <v/>
      </c>
      <c r="DV401" s="151" t="str">
        <f>IF($DT401="要是正",MAX($DV$366:DV400)+1,"")</f>
        <v/>
      </c>
      <c r="DW401" s="119" t="str">
        <f t="shared" si="311"/>
        <v/>
      </c>
      <c r="DX401" s="119" t="str">
        <f t="shared" si="312"/>
        <v/>
      </c>
      <c r="DY401" s="33" t="str">
        <f t="shared" si="313"/>
        <v/>
      </c>
      <c r="DZ401" s="217" t="str">
        <f t="shared" si="314"/>
        <v/>
      </c>
      <c r="EA401" s="466" t="str">
        <f t="shared" si="315"/>
        <v/>
      </c>
      <c r="EB401" s="234" t="str">
        <f t="shared" si="316"/>
        <v/>
      </c>
      <c r="EC401" s="227" t="str">
        <f t="shared" si="317"/>
        <v>0</v>
      </c>
      <c r="ED401" s="148" t="str">
        <f t="shared" si="349"/>
        <v/>
      </c>
      <c r="EE401" s="227" t="str">
        <f t="shared" si="350"/>
        <v>0</v>
      </c>
      <c r="EF401" s="130" t="str">
        <f t="shared" si="318"/>
        <v/>
      </c>
      <c r="EG401" s="204" t="str">
        <f t="shared" si="319"/>
        <v/>
      </c>
      <c r="EH401" s="134" t="str">
        <f t="shared" si="320"/>
        <v>0</v>
      </c>
      <c r="EI401" s="148" t="str">
        <f t="shared" si="351"/>
        <v/>
      </c>
      <c r="EJ401" s="227" t="str">
        <f t="shared" si="352"/>
        <v>0</v>
      </c>
      <c r="EK401" s="451" t="str">
        <f t="shared" si="321"/>
        <v/>
      </c>
      <c r="EL401" s="452" t="e">
        <f t="shared" si="322"/>
        <v>#N/A</v>
      </c>
      <c r="EM401" s="151" t="e">
        <f t="shared" si="323"/>
        <v>#N/A</v>
      </c>
      <c r="EN401" s="453" t="e">
        <f t="shared" si="324"/>
        <v>#N/A</v>
      </c>
      <c r="FK401" s="597" t="str">
        <f t="shared" si="325"/>
        <v/>
      </c>
      <c r="FL401" s="597" t="str">
        <f t="shared" si="386"/>
        <v/>
      </c>
      <c r="FM401" s="597" t="str">
        <f t="shared" si="387"/>
        <v/>
      </c>
      <c r="FN401" s="597">
        <f t="shared" si="326"/>
        <v>0</v>
      </c>
      <c r="FO401" s="1163" t="str">
        <f t="shared" si="327"/>
        <v/>
      </c>
      <c r="FQ401" s="234" t="str">
        <f t="shared" si="328"/>
        <v/>
      </c>
      <c r="FR401" s="227" t="str">
        <f t="shared" si="329"/>
        <v>0</v>
      </c>
      <c r="FS401" s="148" t="str">
        <f t="shared" si="330"/>
        <v/>
      </c>
      <c r="FT401" s="227" t="str">
        <f t="shared" si="353"/>
        <v>0</v>
      </c>
      <c r="FU401" s="416" t="str">
        <f t="shared" si="331"/>
        <v/>
      </c>
      <c r="FW401" s="1160">
        <f t="shared" si="384"/>
        <v>0</v>
      </c>
      <c r="FX401" s="123"/>
      <c r="FY401" s="123"/>
      <c r="FZ401" s="1161"/>
      <c r="GA401" s="34"/>
      <c r="GB401" s="1149">
        <f t="shared" si="354"/>
        <v>0</v>
      </c>
      <c r="GC401" s="1149">
        <f t="shared" si="355"/>
        <v>0</v>
      </c>
      <c r="GD401" s="1149">
        <f t="shared" si="356"/>
        <v>0</v>
      </c>
      <c r="GE401" s="1149" t="str">
        <f t="shared" si="332"/>
        <v/>
      </c>
      <c r="GF401" s="1149" t="str">
        <f t="shared" si="333"/>
        <v/>
      </c>
      <c r="GG401" s="1149" t="str">
        <f t="shared" si="334"/>
        <v/>
      </c>
      <c r="GH401" s="1149" t="str">
        <f t="shared" si="335"/>
        <v/>
      </c>
      <c r="GI401" s="1149" t="str">
        <f t="shared" si="336"/>
        <v/>
      </c>
      <c r="GJ401" s="1149" t="str">
        <f t="shared" si="337"/>
        <v/>
      </c>
      <c r="GK401" s="1149" t="str">
        <f t="shared" si="338"/>
        <v/>
      </c>
      <c r="GL401" s="1149" t="str">
        <f t="shared" si="339"/>
        <v/>
      </c>
      <c r="GM401" s="1149" t="str">
        <f t="shared" si="340"/>
        <v/>
      </c>
      <c r="GN401" s="1149" t="str">
        <f t="shared" si="341"/>
        <v/>
      </c>
      <c r="GO401" s="1149" t="str">
        <f t="shared" si="342"/>
        <v/>
      </c>
      <c r="GP401" s="1149" t="str">
        <f t="shared" si="343"/>
        <v/>
      </c>
      <c r="GQ401" s="1149" t="str">
        <f t="shared" si="344"/>
        <v/>
      </c>
      <c r="GR401" s="1149" t="str">
        <f t="shared" si="345"/>
        <v/>
      </c>
      <c r="GS401" s="1149" t="str">
        <f t="shared" si="346"/>
        <v/>
      </c>
      <c r="GT401" s="1149">
        <f t="shared" si="357"/>
        <v>0</v>
      </c>
      <c r="GU401" s="1149">
        <f t="shared" si="358"/>
        <v>0</v>
      </c>
      <c r="GV401" s="1149">
        <f t="shared" si="359"/>
        <v>0</v>
      </c>
      <c r="GW401" s="1149" t="b">
        <f t="shared" si="360"/>
        <v>0</v>
      </c>
      <c r="GX401" s="1149" t="b">
        <f t="shared" si="361"/>
        <v>0</v>
      </c>
      <c r="GY401" s="1149" t="b">
        <f t="shared" si="362"/>
        <v>0</v>
      </c>
      <c r="GZ401" s="1149" t="str">
        <f t="shared" si="385"/>
        <v/>
      </c>
      <c r="HB401" s="1149" t="str">
        <f t="shared" si="363"/>
        <v/>
      </c>
      <c r="HC401" s="1149" t="str">
        <f t="shared" si="364"/>
        <v/>
      </c>
      <c r="HD401" s="1149" t="str">
        <f t="shared" si="365"/>
        <v/>
      </c>
      <c r="HE401" s="1149" t="str">
        <f t="shared" si="366"/>
        <v/>
      </c>
      <c r="HF401" s="1149" t="str">
        <f t="shared" si="367"/>
        <v/>
      </c>
      <c r="HG401" s="1149" t="str">
        <f t="shared" si="368"/>
        <v/>
      </c>
      <c r="HH401" s="1149" t="str">
        <f t="shared" si="369"/>
        <v/>
      </c>
      <c r="HI401" s="1149" t="str">
        <f t="shared" si="370"/>
        <v/>
      </c>
      <c r="HJ401" s="1149" t="str">
        <f t="shared" si="371"/>
        <v/>
      </c>
      <c r="HK401" s="1149" t="str">
        <f t="shared" si="372"/>
        <v/>
      </c>
      <c r="HL401" s="1149" t="str">
        <f t="shared" si="373"/>
        <v/>
      </c>
      <c r="HM401" s="1149" t="str">
        <f t="shared" si="374"/>
        <v/>
      </c>
      <c r="HN401" s="1149" t="str">
        <f t="shared" si="375"/>
        <v/>
      </c>
      <c r="HO401" s="1149" t="str">
        <f t="shared" si="376"/>
        <v/>
      </c>
      <c r="HP401" s="1149" t="str">
        <f t="shared" si="377"/>
        <v/>
      </c>
      <c r="HQ401" s="1149" t="str">
        <f t="shared" si="378"/>
        <v/>
      </c>
      <c r="HR401" s="1149" t="str">
        <f t="shared" si="379"/>
        <v/>
      </c>
      <c r="HT401" s="1149">
        <f>LEFT(M401,1)*10000+MID(M401,3,LEN(M401)-3)*100+COUNTIF($M$307:M401,M401)</f>
        <v>43201</v>
      </c>
      <c r="HU401" s="1149" t="str">
        <f t="shared" si="380"/>
        <v/>
      </c>
      <c r="HV401" s="1149" t="str">
        <f t="shared" si="381"/>
        <v/>
      </c>
      <c r="HW401" s="1149" t="str">
        <f t="shared" si="382"/>
        <v/>
      </c>
      <c r="HX401" s="1149" t="str">
        <f t="shared" si="383"/>
        <v/>
      </c>
    </row>
    <row r="402" spans="1:232" s="69" customFormat="1" ht="50.15" customHeight="1">
      <c r="A402" s="645"/>
      <c r="B402" s="645"/>
      <c r="C402" s="645"/>
      <c r="D402" s="645"/>
      <c r="E402" s="646"/>
      <c r="F402" s="381"/>
      <c r="G402" s="381"/>
      <c r="H402" s="381"/>
      <c r="I402" s="1169"/>
      <c r="J402" s="80"/>
      <c r="K402" s="89"/>
      <c r="L402" s="89"/>
      <c r="M402" s="1967" t="s">
        <v>1254</v>
      </c>
      <c r="N402" s="1967"/>
      <c r="O402" s="1968"/>
      <c r="P402" s="1966"/>
      <c r="Q402" s="1966"/>
      <c r="R402" s="1966"/>
      <c r="S402" s="1966"/>
      <c r="T402" s="1966"/>
      <c r="U402" s="1956" t="s">
        <v>240</v>
      </c>
      <c r="V402" s="1956"/>
      <c r="W402" s="1956"/>
      <c r="X402" s="1956"/>
      <c r="Y402" s="1956"/>
      <c r="Z402" s="1956"/>
      <c r="AA402" s="1956"/>
      <c r="AB402" s="1956"/>
      <c r="AC402" s="1956"/>
      <c r="AD402" s="1956"/>
      <c r="AE402" s="1956"/>
      <c r="AF402" s="2025"/>
      <c r="AG402" s="2025"/>
      <c r="AH402" s="2025"/>
      <c r="AI402" s="2025"/>
      <c r="AJ402" s="2025"/>
      <c r="AK402" s="2025"/>
      <c r="AL402" s="2025"/>
      <c r="AM402" s="2025"/>
      <c r="AN402" s="2025"/>
      <c r="AO402" s="2025"/>
      <c r="AP402" s="2025"/>
      <c r="AQ402" s="2025"/>
      <c r="AR402" s="2026"/>
      <c r="AS402" s="2026"/>
      <c r="AT402" s="1997"/>
      <c r="AU402" s="1997"/>
      <c r="AV402" s="1997"/>
      <c r="AW402" s="1997"/>
      <c r="AX402" s="1997"/>
      <c r="AY402" s="1997"/>
      <c r="AZ402" s="1997"/>
      <c r="BA402" s="1997"/>
      <c r="BB402" s="1997"/>
      <c r="BC402" s="1997"/>
      <c r="BD402" s="1997"/>
      <c r="BE402" s="1997"/>
      <c r="BF402" s="1997"/>
      <c r="BG402" s="1997"/>
      <c r="BH402" s="1997"/>
      <c r="BI402" s="1997"/>
      <c r="BJ402" s="1997"/>
      <c r="BK402" s="1997"/>
      <c r="BL402" s="1997"/>
      <c r="BM402" s="1997"/>
      <c r="BN402" s="1997"/>
      <c r="BO402" s="1997"/>
      <c r="BP402" s="1997"/>
      <c r="BQ402" s="1997"/>
      <c r="BR402" s="1997"/>
      <c r="BS402" s="1991"/>
      <c r="BT402" s="1991"/>
      <c r="BU402" s="1991"/>
      <c r="BV402" s="1982"/>
      <c r="BW402" s="1982"/>
      <c r="BX402" s="1982"/>
      <c r="BY402" s="1982"/>
      <c r="BZ402" s="1992"/>
      <c r="CA402" s="1992"/>
      <c r="CB402" s="2353" t="s">
        <v>2823</v>
      </c>
      <c r="CC402" s="2354"/>
      <c r="CD402" s="2354"/>
      <c r="CE402" s="2354"/>
      <c r="CF402" s="2354"/>
      <c r="CG402" s="2354"/>
      <c r="CH402" s="2354"/>
      <c r="CI402" s="2354"/>
      <c r="CJ402" s="2354"/>
      <c r="CK402" s="2354"/>
      <c r="CL402" s="2354"/>
      <c r="CM402" s="2354"/>
      <c r="CN402" s="2354"/>
      <c r="CO402" s="2354"/>
      <c r="CP402" s="2354"/>
      <c r="CQ402" s="2354"/>
      <c r="CR402" s="2354"/>
      <c r="CS402" s="2354"/>
      <c r="CT402" s="2354"/>
      <c r="CU402" s="2355"/>
      <c r="CV402" s="2360" t="str">
        <f t="shared" si="301"/>
        <v/>
      </c>
      <c r="CW402" s="2360"/>
      <c r="CX402" s="2360"/>
      <c r="CY402" s="2360"/>
      <c r="CZ402" s="2360"/>
      <c r="DA402" s="2360"/>
      <c r="DC402" s="600" t="str">
        <f t="shared" si="302"/>
        <v/>
      </c>
      <c r="DD402" s="381"/>
      <c r="DF402" s="34"/>
      <c r="DG402" s="34"/>
      <c r="DH402" s="34"/>
      <c r="DI402" s="34"/>
      <c r="DJ402" s="858" t="s">
        <v>5637</v>
      </c>
      <c r="DK402" s="1707" t="str">
        <f t="shared" si="347"/>
        <v/>
      </c>
      <c r="DL402" s="1692" t="str">
        <f t="shared" si="348"/>
        <v/>
      </c>
      <c r="DM402" s="1691">
        <f t="shared" ref="DM402:DM421" si="388">COUNTIFS(AF402,"―対象外")</f>
        <v>0</v>
      </c>
      <c r="DN402" s="111">
        <f t="shared" si="304"/>
        <v>0</v>
      </c>
      <c r="DO402" s="111">
        <f t="shared" si="305"/>
        <v>0</v>
      </c>
      <c r="DP402" s="474">
        <f t="shared" si="306"/>
        <v>0</v>
      </c>
      <c r="DQ402" s="123" t="s">
        <v>796</v>
      </c>
      <c r="DR402" s="473" t="str">
        <f t="shared" si="307"/>
        <v>常閉防火扉等の固定の状況</v>
      </c>
      <c r="DS402" s="112">
        <f t="shared" si="308"/>
        <v>0</v>
      </c>
      <c r="DT402" s="118" t="str">
        <f t="shared" si="309"/>
        <v/>
      </c>
      <c r="DU402" s="452" t="str">
        <f t="shared" si="310"/>
        <v/>
      </c>
      <c r="DV402" s="151" t="str">
        <f>IF($DT402="要是正",MAX($DV$366:DV401)+1,"")</f>
        <v/>
      </c>
      <c r="DW402" s="119" t="str">
        <f t="shared" si="311"/>
        <v/>
      </c>
      <c r="DX402" s="119" t="str">
        <f t="shared" si="312"/>
        <v/>
      </c>
      <c r="DY402" s="33" t="str">
        <f t="shared" si="313"/>
        <v/>
      </c>
      <c r="DZ402" s="217" t="str">
        <f t="shared" si="314"/>
        <v/>
      </c>
      <c r="EA402" s="466" t="str">
        <f t="shared" si="315"/>
        <v/>
      </c>
      <c r="EB402" s="234" t="str">
        <f t="shared" si="316"/>
        <v/>
      </c>
      <c r="EC402" s="227" t="str">
        <f t="shared" si="317"/>
        <v>0</v>
      </c>
      <c r="ED402" s="148" t="str">
        <f t="shared" si="349"/>
        <v/>
      </c>
      <c r="EE402" s="227" t="str">
        <f t="shared" si="350"/>
        <v>0</v>
      </c>
      <c r="EF402" s="130" t="str">
        <f t="shared" si="318"/>
        <v/>
      </c>
      <c r="EG402" s="204" t="str">
        <f t="shared" si="319"/>
        <v/>
      </c>
      <c r="EH402" s="134" t="str">
        <f t="shared" si="320"/>
        <v>0</v>
      </c>
      <c r="EI402" s="148" t="str">
        <f t="shared" si="351"/>
        <v/>
      </c>
      <c r="EJ402" s="227" t="str">
        <f t="shared" si="352"/>
        <v>0</v>
      </c>
      <c r="EK402" s="451" t="str">
        <f t="shared" si="321"/>
        <v/>
      </c>
      <c r="EL402" s="452" t="e">
        <f t="shared" si="322"/>
        <v>#N/A</v>
      </c>
      <c r="EM402" s="151" t="e">
        <f t="shared" si="323"/>
        <v>#N/A</v>
      </c>
      <c r="EN402" s="453" t="e">
        <f t="shared" si="324"/>
        <v>#N/A</v>
      </c>
      <c r="FK402" s="597" t="str">
        <f t="shared" ref="FK402:FK421" si="389">IF($AF402="○指摘なし","○",IF($AF402="―対象外","―",""))</f>
        <v/>
      </c>
      <c r="FL402" s="597" t="str">
        <f t="shared" si="386"/>
        <v/>
      </c>
      <c r="FM402" s="597" t="str">
        <f t="shared" si="387"/>
        <v/>
      </c>
      <c r="FN402" s="597">
        <f t="shared" si="326"/>
        <v>0</v>
      </c>
      <c r="FO402" s="1163" t="str">
        <f t="shared" ref="FO402:FO421" si="390">IF($AF402="―対象外","○","")</f>
        <v/>
      </c>
      <c r="FQ402" s="234" t="str">
        <f t="shared" si="328"/>
        <v/>
      </c>
      <c r="FR402" s="227" t="str">
        <f t="shared" si="329"/>
        <v>0</v>
      </c>
      <c r="FS402" s="148" t="str">
        <f t="shared" si="330"/>
        <v/>
      </c>
      <c r="FT402" s="227" t="str">
        <f t="shared" si="353"/>
        <v>0</v>
      </c>
      <c r="FU402" s="416" t="str">
        <f t="shared" si="331"/>
        <v/>
      </c>
      <c r="FW402" s="1160">
        <f t="shared" si="384"/>
        <v>0</v>
      </c>
      <c r="FX402" s="123"/>
      <c r="FY402" s="123"/>
      <c r="FZ402" s="1161"/>
      <c r="GA402" s="34"/>
      <c r="GB402" s="1149">
        <f t="shared" si="354"/>
        <v>0</v>
      </c>
      <c r="GC402" s="1149">
        <f t="shared" si="355"/>
        <v>0</v>
      </c>
      <c r="GD402" s="1149">
        <f t="shared" si="356"/>
        <v>0</v>
      </c>
      <c r="GE402" s="1149" t="str">
        <f t="shared" ref="GE402:GE421" si="391">IF(GE$306=$M402,$BY$512,"")</f>
        <v/>
      </c>
      <c r="GF402" s="1149" t="str">
        <f t="shared" ref="GF402:GF421" si="392">IF(GF$306=$M402,$BY$513,"")</f>
        <v/>
      </c>
      <c r="GG402" s="1149" t="str">
        <f t="shared" ref="GG402:GG421" si="393">IF(GG$306=$M402,$BY$514,"")</f>
        <v/>
      </c>
      <c r="GH402" s="1149" t="str">
        <f t="shared" ref="GH402:GH421" si="394">IF(GH$306=$M402,$BY$515,"")</f>
        <v/>
      </c>
      <c r="GI402" s="1149" t="str">
        <f t="shared" ref="GI402:GI421" si="395">IF(GI$306=$M402,$BY$516,"")</f>
        <v/>
      </c>
      <c r="GJ402" s="1149" t="str">
        <f t="shared" ref="GJ402:GJ421" si="396">IF(GJ$306=$M402,$BY$517,"")</f>
        <v/>
      </c>
      <c r="GK402" s="1149" t="str">
        <f t="shared" ref="GK402:GK421" si="397">IF(GK$306=$M402,$BY$518,"")</f>
        <v/>
      </c>
      <c r="GL402" s="1149" t="str">
        <f t="shared" ref="GL402:GL421" si="398">IF(GL$306=$M402,$BY$519,"")</f>
        <v/>
      </c>
      <c r="GM402" s="1149" t="str">
        <f t="shared" ref="GM402:GM421" si="399">IF(GM$306=$M402,$BY$520,"")</f>
        <v/>
      </c>
      <c r="GN402" s="1149" t="str">
        <f t="shared" ref="GN402:GN421" si="400">IF(GN$306=$M402,$BY$521,"")</f>
        <v/>
      </c>
      <c r="GO402" s="1149" t="str">
        <f t="shared" ref="GO402:GO421" si="401">IF(GO$306=$M402,$BY$522,"")</f>
        <v/>
      </c>
      <c r="GP402" s="1149" t="str">
        <f t="shared" ref="GP402:GP421" si="402">IF(GP$306=$M402,$BY$523,"")</f>
        <v/>
      </c>
      <c r="GQ402" s="1149" t="str">
        <f t="shared" ref="GQ402:GQ421" si="403">IF(GQ$306=$M402,$BY$524,"")</f>
        <v/>
      </c>
      <c r="GR402" s="1149" t="str">
        <f t="shared" ref="GR402:GR421" si="404">IF(GR$306=$M402,$BY$525,"")</f>
        <v/>
      </c>
      <c r="GS402" s="1149" t="str">
        <f t="shared" ref="GS402:GS421" si="405">IF(GS$306=$M402,$BY$526,"")</f>
        <v/>
      </c>
      <c r="GT402" s="1149">
        <f t="shared" si="357"/>
        <v>0</v>
      </c>
      <c r="GU402" s="1149">
        <f t="shared" si="358"/>
        <v>0</v>
      </c>
      <c r="GV402" s="1149">
        <f t="shared" si="359"/>
        <v>0</v>
      </c>
      <c r="GW402" s="1149" t="b">
        <f t="shared" si="360"/>
        <v>0</v>
      </c>
      <c r="GX402" s="1149" t="b">
        <f t="shared" si="361"/>
        <v>0</v>
      </c>
      <c r="GY402" s="1149" t="b">
        <f t="shared" si="362"/>
        <v>0</v>
      </c>
      <c r="GZ402" s="1149" t="str">
        <f t="shared" si="385"/>
        <v/>
      </c>
      <c r="HB402" s="1149" t="str">
        <f t="shared" si="363"/>
        <v/>
      </c>
      <c r="HC402" s="1149" t="str">
        <f t="shared" si="364"/>
        <v/>
      </c>
      <c r="HD402" s="1149" t="str">
        <f t="shared" si="365"/>
        <v/>
      </c>
      <c r="HE402" s="1149" t="str">
        <f t="shared" si="366"/>
        <v/>
      </c>
      <c r="HF402" s="1149" t="str">
        <f t="shared" si="367"/>
        <v/>
      </c>
      <c r="HG402" s="1149" t="str">
        <f t="shared" si="368"/>
        <v/>
      </c>
      <c r="HH402" s="1149" t="str">
        <f t="shared" si="369"/>
        <v/>
      </c>
      <c r="HI402" s="1149" t="str">
        <f t="shared" si="370"/>
        <v/>
      </c>
      <c r="HJ402" s="1149" t="str">
        <f t="shared" si="371"/>
        <v/>
      </c>
      <c r="HK402" s="1149" t="str">
        <f t="shared" si="372"/>
        <v/>
      </c>
      <c r="HL402" s="1149" t="str">
        <f t="shared" si="373"/>
        <v/>
      </c>
      <c r="HM402" s="1149" t="str">
        <f t="shared" si="374"/>
        <v/>
      </c>
      <c r="HN402" s="1149" t="str">
        <f t="shared" si="375"/>
        <v/>
      </c>
      <c r="HO402" s="1149" t="str">
        <f t="shared" si="376"/>
        <v/>
      </c>
      <c r="HP402" s="1149" t="str">
        <f t="shared" si="377"/>
        <v/>
      </c>
      <c r="HQ402" s="1149" t="str">
        <f t="shared" si="378"/>
        <v/>
      </c>
      <c r="HR402" s="1149" t="str">
        <f t="shared" si="379"/>
        <v/>
      </c>
      <c r="HT402" s="1149">
        <f>LEFT(M402,1)*10000+MID(M402,3,LEN(M402)-3)*100+COUNTIF($M$307:M402,M402)</f>
        <v>43301</v>
      </c>
      <c r="HU402" s="1149" t="str">
        <f t="shared" si="380"/>
        <v/>
      </c>
      <c r="HV402" s="1149" t="str">
        <f t="shared" si="381"/>
        <v/>
      </c>
      <c r="HW402" s="1149" t="str">
        <f t="shared" si="382"/>
        <v/>
      </c>
      <c r="HX402" s="1149" t="str">
        <f t="shared" si="383"/>
        <v/>
      </c>
    </row>
    <row r="403" spans="1:232" s="69" customFormat="1" ht="50.15" customHeight="1">
      <c r="A403" s="645"/>
      <c r="B403" s="645"/>
      <c r="C403" s="645"/>
      <c r="D403" s="645"/>
      <c r="E403" s="646"/>
      <c r="F403" s="381"/>
      <c r="G403" s="381"/>
      <c r="H403" s="381"/>
      <c r="I403" s="1169"/>
      <c r="J403" s="80"/>
      <c r="K403" s="89"/>
      <c r="L403" s="89"/>
      <c r="M403" s="1967" t="s">
        <v>1255</v>
      </c>
      <c r="N403" s="1967"/>
      <c r="O403" s="1968"/>
      <c r="P403" s="1966" t="s">
        <v>213</v>
      </c>
      <c r="Q403" s="1966"/>
      <c r="R403" s="1966"/>
      <c r="S403" s="1966"/>
      <c r="T403" s="1966"/>
      <c r="U403" s="2011" t="s">
        <v>102</v>
      </c>
      <c r="V403" s="2011"/>
      <c r="W403" s="2011"/>
      <c r="X403" s="2011"/>
      <c r="Y403" s="2011"/>
      <c r="Z403" s="2011"/>
      <c r="AA403" s="2011"/>
      <c r="AB403" s="2011"/>
      <c r="AC403" s="2011"/>
      <c r="AD403" s="2011"/>
      <c r="AE403" s="2011"/>
      <c r="AF403" s="2010"/>
      <c r="AG403" s="2010"/>
      <c r="AH403" s="2010"/>
      <c r="AI403" s="2010"/>
      <c r="AJ403" s="2010"/>
      <c r="AK403" s="2010"/>
      <c r="AL403" s="2010"/>
      <c r="AM403" s="2010"/>
      <c r="AN403" s="2010"/>
      <c r="AO403" s="2010"/>
      <c r="AP403" s="2010"/>
      <c r="AQ403" s="2010"/>
      <c r="AR403" s="2017"/>
      <c r="AS403" s="2017"/>
      <c r="AT403" s="1929"/>
      <c r="AU403" s="1929"/>
      <c r="AV403" s="1929"/>
      <c r="AW403" s="1929"/>
      <c r="AX403" s="1929"/>
      <c r="AY403" s="1929"/>
      <c r="AZ403" s="1929"/>
      <c r="BA403" s="1929"/>
      <c r="BB403" s="1929"/>
      <c r="BC403" s="1929"/>
      <c r="BD403" s="1929"/>
      <c r="BE403" s="1929"/>
      <c r="BF403" s="1929"/>
      <c r="BG403" s="1929"/>
      <c r="BH403" s="1929"/>
      <c r="BI403" s="1929"/>
      <c r="BJ403" s="1929"/>
      <c r="BK403" s="1929"/>
      <c r="BL403" s="1929"/>
      <c r="BM403" s="1929"/>
      <c r="BN403" s="1929"/>
      <c r="BO403" s="1929"/>
      <c r="BP403" s="1929"/>
      <c r="BQ403" s="1929"/>
      <c r="BR403" s="1929"/>
      <c r="BS403" s="1885"/>
      <c r="BT403" s="1885"/>
      <c r="BU403" s="1885"/>
      <c r="BV403" s="1890"/>
      <c r="BW403" s="1890"/>
      <c r="BX403" s="1890"/>
      <c r="BY403" s="1890"/>
      <c r="BZ403" s="1891"/>
      <c r="CA403" s="1891"/>
      <c r="CB403" s="2083"/>
      <c r="CC403" s="2084"/>
      <c r="CD403" s="2084"/>
      <c r="CE403" s="2084"/>
      <c r="CF403" s="2084"/>
      <c r="CG403" s="2084"/>
      <c r="CH403" s="2084"/>
      <c r="CI403" s="2084"/>
      <c r="CJ403" s="2084"/>
      <c r="CK403" s="2084"/>
      <c r="CL403" s="2084"/>
      <c r="CM403" s="2084"/>
      <c r="CN403" s="2084"/>
      <c r="CO403" s="2084"/>
      <c r="CP403" s="2084"/>
      <c r="CQ403" s="2084"/>
      <c r="CR403" s="2084"/>
      <c r="CS403" s="2084"/>
      <c r="CT403" s="2084"/>
      <c r="CU403" s="2085"/>
      <c r="CV403" s="2360" t="str">
        <f t="shared" si="301"/>
        <v/>
      </c>
      <c r="CW403" s="2360"/>
      <c r="CX403" s="2360"/>
      <c r="CY403" s="2360"/>
      <c r="CZ403" s="2360"/>
      <c r="DA403" s="2360"/>
      <c r="DC403" s="600" t="str">
        <f t="shared" si="302"/>
        <v/>
      </c>
      <c r="DD403" s="381"/>
      <c r="DF403" s="34"/>
      <c r="DG403" s="34"/>
      <c r="DH403" s="34"/>
      <c r="DI403" s="34"/>
      <c r="DJ403" s="858" t="s">
        <v>5637</v>
      </c>
      <c r="DK403" s="1707" t="str">
        <f t="shared" si="347"/>
        <v/>
      </c>
      <c r="DL403" s="1692" t="str">
        <f t="shared" si="348"/>
        <v/>
      </c>
      <c r="DM403" s="1691">
        <f t="shared" si="388"/>
        <v>0</v>
      </c>
      <c r="DN403" s="111">
        <f t="shared" si="304"/>
        <v>0</v>
      </c>
      <c r="DO403" s="111">
        <f t="shared" si="305"/>
        <v>0</v>
      </c>
      <c r="DP403" s="474">
        <f t="shared" si="306"/>
        <v>0</v>
      </c>
      <c r="DQ403" s="123" t="s">
        <v>797</v>
      </c>
      <c r="DR403" s="473" t="str">
        <f t="shared" si="307"/>
        <v>照明器具、懸垂物等の落下防止対策の状況　</v>
      </c>
      <c r="DS403" s="112">
        <f t="shared" si="308"/>
        <v>0</v>
      </c>
      <c r="DT403" s="118" t="str">
        <f t="shared" si="309"/>
        <v/>
      </c>
      <c r="DU403" s="452" t="str">
        <f t="shared" si="310"/>
        <v/>
      </c>
      <c r="DV403" s="151" t="str">
        <f>IF($DT403="要是正",MAX($DV$366:DV402)+1,"")</f>
        <v/>
      </c>
      <c r="DW403" s="119" t="str">
        <f t="shared" si="311"/>
        <v/>
      </c>
      <c r="DX403" s="119" t="str">
        <f t="shared" si="312"/>
        <v/>
      </c>
      <c r="DY403" s="33" t="str">
        <f t="shared" si="313"/>
        <v/>
      </c>
      <c r="DZ403" s="217" t="str">
        <f t="shared" si="314"/>
        <v/>
      </c>
      <c r="EA403" s="466" t="str">
        <f t="shared" si="315"/>
        <v/>
      </c>
      <c r="EB403" s="234" t="str">
        <f t="shared" si="316"/>
        <v/>
      </c>
      <c r="EC403" s="227" t="str">
        <f t="shared" si="317"/>
        <v>0</v>
      </c>
      <c r="ED403" s="148" t="str">
        <f t="shared" si="349"/>
        <v/>
      </c>
      <c r="EE403" s="227" t="str">
        <f t="shared" si="350"/>
        <v>0</v>
      </c>
      <c r="EF403" s="130" t="str">
        <f t="shared" si="318"/>
        <v/>
      </c>
      <c r="EG403" s="204" t="str">
        <f t="shared" si="319"/>
        <v/>
      </c>
      <c r="EH403" s="134" t="str">
        <f t="shared" si="320"/>
        <v>0</v>
      </c>
      <c r="EI403" s="148" t="str">
        <f t="shared" si="351"/>
        <v/>
      </c>
      <c r="EJ403" s="227" t="str">
        <f t="shared" si="352"/>
        <v>0</v>
      </c>
      <c r="EK403" s="451" t="str">
        <f t="shared" si="321"/>
        <v/>
      </c>
      <c r="EL403" s="452" t="e">
        <f t="shared" si="322"/>
        <v>#N/A</v>
      </c>
      <c r="EM403" s="151" t="e">
        <f t="shared" si="323"/>
        <v>#N/A</v>
      </c>
      <c r="EN403" s="453" t="e">
        <f t="shared" si="324"/>
        <v>#N/A</v>
      </c>
      <c r="FK403" s="597" t="str">
        <f t="shared" si="389"/>
        <v/>
      </c>
      <c r="FL403" s="597" t="str">
        <f t="shared" si="386"/>
        <v/>
      </c>
      <c r="FM403" s="597" t="str">
        <f t="shared" si="387"/>
        <v/>
      </c>
      <c r="FN403" s="597">
        <f t="shared" si="326"/>
        <v>0</v>
      </c>
      <c r="FO403" s="1163" t="str">
        <f t="shared" si="390"/>
        <v/>
      </c>
      <c r="FQ403" s="234" t="str">
        <f t="shared" si="328"/>
        <v/>
      </c>
      <c r="FR403" s="227" t="str">
        <f t="shared" si="329"/>
        <v>0</v>
      </c>
      <c r="FS403" s="148" t="str">
        <f t="shared" si="330"/>
        <v/>
      </c>
      <c r="FT403" s="227" t="str">
        <f t="shared" si="353"/>
        <v>0</v>
      </c>
      <c r="FU403" s="416" t="str">
        <f t="shared" si="331"/>
        <v/>
      </c>
      <c r="FW403" s="1160">
        <f t="shared" si="384"/>
        <v>0</v>
      </c>
      <c r="FX403" s="123"/>
      <c r="FY403" s="123"/>
      <c r="FZ403" s="1161"/>
      <c r="GA403" s="34"/>
      <c r="GB403" s="1149">
        <f t="shared" si="354"/>
        <v>0</v>
      </c>
      <c r="GC403" s="1149">
        <f t="shared" si="355"/>
        <v>0</v>
      </c>
      <c r="GD403" s="1149">
        <f t="shared" si="356"/>
        <v>0</v>
      </c>
      <c r="GE403" s="1149" t="str">
        <f t="shared" si="391"/>
        <v/>
      </c>
      <c r="GF403" s="1149" t="str">
        <f t="shared" si="392"/>
        <v/>
      </c>
      <c r="GG403" s="1149" t="str">
        <f t="shared" si="393"/>
        <v/>
      </c>
      <c r="GH403" s="1149" t="str">
        <f t="shared" si="394"/>
        <v/>
      </c>
      <c r="GI403" s="1149" t="str">
        <f t="shared" si="395"/>
        <v/>
      </c>
      <c r="GJ403" s="1149" t="str">
        <f t="shared" si="396"/>
        <v/>
      </c>
      <c r="GK403" s="1149" t="str">
        <f t="shared" si="397"/>
        <v/>
      </c>
      <c r="GL403" s="1149" t="str">
        <f t="shared" si="398"/>
        <v/>
      </c>
      <c r="GM403" s="1149" t="str">
        <f t="shared" si="399"/>
        <v/>
      </c>
      <c r="GN403" s="1149" t="str">
        <f t="shared" si="400"/>
        <v/>
      </c>
      <c r="GO403" s="1149" t="str">
        <f t="shared" si="401"/>
        <v/>
      </c>
      <c r="GP403" s="1149" t="str">
        <f t="shared" si="402"/>
        <v/>
      </c>
      <c r="GQ403" s="1149" t="str">
        <f t="shared" si="403"/>
        <v/>
      </c>
      <c r="GR403" s="1149" t="str">
        <f t="shared" si="404"/>
        <v/>
      </c>
      <c r="GS403" s="1149" t="str">
        <f t="shared" si="405"/>
        <v/>
      </c>
      <c r="GT403" s="1149">
        <f t="shared" si="357"/>
        <v>0</v>
      </c>
      <c r="GU403" s="1149">
        <f t="shared" si="358"/>
        <v>0</v>
      </c>
      <c r="GV403" s="1149">
        <f t="shared" si="359"/>
        <v>0</v>
      </c>
      <c r="GW403" s="1149" t="b">
        <f t="shared" si="360"/>
        <v>0</v>
      </c>
      <c r="GX403" s="1149" t="b">
        <f t="shared" si="361"/>
        <v>0</v>
      </c>
      <c r="GY403" s="1149" t="b">
        <f t="shared" si="362"/>
        <v>0</v>
      </c>
      <c r="GZ403" s="1149" t="str">
        <f t="shared" si="385"/>
        <v/>
      </c>
      <c r="HB403" s="1149" t="str">
        <f t="shared" si="363"/>
        <v/>
      </c>
      <c r="HC403" s="1149" t="str">
        <f t="shared" si="364"/>
        <v/>
      </c>
      <c r="HD403" s="1149" t="str">
        <f t="shared" si="365"/>
        <v/>
      </c>
      <c r="HE403" s="1149" t="str">
        <f t="shared" si="366"/>
        <v/>
      </c>
      <c r="HF403" s="1149" t="str">
        <f t="shared" si="367"/>
        <v/>
      </c>
      <c r="HG403" s="1149" t="str">
        <f t="shared" si="368"/>
        <v/>
      </c>
      <c r="HH403" s="1149" t="str">
        <f t="shared" si="369"/>
        <v/>
      </c>
      <c r="HI403" s="1149" t="str">
        <f t="shared" si="370"/>
        <v/>
      </c>
      <c r="HJ403" s="1149" t="str">
        <f t="shared" si="371"/>
        <v/>
      </c>
      <c r="HK403" s="1149" t="str">
        <f t="shared" si="372"/>
        <v/>
      </c>
      <c r="HL403" s="1149" t="str">
        <f t="shared" si="373"/>
        <v/>
      </c>
      <c r="HM403" s="1149" t="str">
        <f t="shared" si="374"/>
        <v/>
      </c>
      <c r="HN403" s="1149" t="str">
        <f t="shared" si="375"/>
        <v/>
      </c>
      <c r="HO403" s="1149" t="str">
        <f t="shared" si="376"/>
        <v/>
      </c>
      <c r="HP403" s="1149" t="str">
        <f t="shared" si="377"/>
        <v/>
      </c>
      <c r="HQ403" s="1149" t="str">
        <f t="shared" si="378"/>
        <v/>
      </c>
      <c r="HR403" s="1149" t="str">
        <f t="shared" si="379"/>
        <v/>
      </c>
      <c r="HT403" s="1149">
        <f>LEFT(M403,1)*10000+MID(M403,3,LEN(M403)-3)*100+COUNTIF($M$307:M403,M403)</f>
        <v>43401</v>
      </c>
      <c r="HU403" s="1149" t="str">
        <f t="shared" si="380"/>
        <v/>
      </c>
      <c r="HV403" s="1149" t="str">
        <f t="shared" si="381"/>
        <v/>
      </c>
      <c r="HW403" s="1149" t="str">
        <f t="shared" si="382"/>
        <v/>
      </c>
      <c r="HX403" s="1149" t="str">
        <f t="shared" si="383"/>
        <v/>
      </c>
    </row>
    <row r="404" spans="1:232" s="69" customFormat="1" ht="50.15" customHeight="1">
      <c r="A404" s="645"/>
      <c r="B404" s="645"/>
      <c r="C404" s="645"/>
      <c r="D404" s="645"/>
      <c r="E404" s="646"/>
      <c r="F404" s="381"/>
      <c r="G404" s="381"/>
      <c r="H404" s="381"/>
      <c r="I404" s="1169"/>
      <c r="J404" s="80"/>
      <c r="K404" s="89"/>
      <c r="L404" s="89"/>
      <c r="M404" s="1967" t="s">
        <v>1256</v>
      </c>
      <c r="N404" s="1967"/>
      <c r="O404" s="1968"/>
      <c r="P404" s="1966"/>
      <c r="Q404" s="1966"/>
      <c r="R404" s="1966"/>
      <c r="S404" s="1966"/>
      <c r="T404" s="1966"/>
      <c r="U404" s="1956" t="s">
        <v>241</v>
      </c>
      <c r="V404" s="1956"/>
      <c r="W404" s="1956"/>
      <c r="X404" s="1956"/>
      <c r="Y404" s="1956"/>
      <c r="Z404" s="1956"/>
      <c r="AA404" s="1956"/>
      <c r="AB404" s="1956"/>
      <c r="AC404" s="1956"/>
      <c r="AD404" s="1956"/>
      <c r="AE404" s="1956"/>
      <c r="AF404" s="2025"/>
      <c r="AG404" s="2025"/>
      <c r="AH404" s="2025"/>
      <c r="AI404" s="2025"/>
      <c r="AJ404" s="2025"/>
      <c r="AK404" s="2025"/>
      <c r="AL404" s="2025"/>
      <c r="AM404" s="2025"/>
      <c r="AN404" s="2025"/>
      <c r="AO404" s="2025"/>
      <c r="AP404" s="2025"/>
      <c r="AQ404" s="2025"/>
      <c r="AR404" s="2026"/>
      <c r="AS404" s="2026"/>
      <c r="AT404" s="1997"/>
      <c r="AU404" s="1997"/>
      <c r="AV404" s="1997"/>
      <c r="AW404" s="1997"/>
      <c r="AX404" s="1997"/>
      <c r="AY404" s="1997"/>
      <c r="AZ404" s="1997"/>
      <c r="BA404" s="1997"/>
      <c r="BB404" s="1997"/>
      <c r="BC404" s="1997"/>
      <c r="BD404" s="1997"/>
      <c r="BE404" s="1997"/>
      <c r="BF404" s="1997"/>
      <c r="BG404" s="1997"/>
      <c r="BH404" s="1997"/>
      <c r="BI404" s="1997"/>
      <c r="BJ404" s="1997"/>
      <c r="BK404" s="1997"/>
      <c r="BL404" s="1997"/>
      <c r="BM404" s="1997"/>
      <c r="BN404" s="1997"/>
      <c r="BO404" s="1997"/>
      <c r="BP404" s="1997"/>
      <c r="BQ404" s="1997"/>
      <c r="BR404" s="1997"/>
      <c r="BS404" s="1991"/>
      <c r="BT404" s="1991"/>
      <c r="BU404" s="1991"/>
      <c r="BV404" s="1982"/>
      <c r="BW404" s="1982"/>
      <c r="BX404" s="1982"/>
      <c r="BY404" s="1982"/>
      <c r="BZ404" s="1992"/>
      <c r="CA404" s="1992"/>
      <c r="CB404" s="1892"/>
      <c r="CC404" s="1893"/>
      <c r="CD404" s="1893"/>
      <c r="CE404" s="1893"/>
      <c r="CF404" s="1893"/>
      <c r="CG404" s="1893"/>
      <c r="CH404" s="1893"/>
      <c r="CI404" s="1893"/>
      <c r="CJ404" s="1893"/>
      <c r="CK404" s="1893"/>
      <c r="CL404" s="1893"/>
      <c r="CM404" s="1893"/>
      <c r="CN404" s="1893"/>
      <c r="CO404" s="1893"/>
      <c r="CP404" s="1893"/>
      <c r="CQ404" s="1893"/>
      <c r="CR404" s="1893"/>
      <c r="CS404" s="1893"/>
      <c r="CT404" s="1893"/>
      <c r="CU404" s="1894"/>
      <c r="CV404" s="2360" t="str">
        <f t="shared" si="301"/>
        <v/>
      </c>
      <c r="CW404" s="2360"/>
      <c r="CX404" s="2360"/>
      <c r="CY404" s="2360"/>
      <c r="CZ404" s="2360"/>
      <c r="DA404" s="2360"/>
      <c r="DC404" s="600" t="str">
        <f t="shared" si="302"/>
        <v/>
      </c>
      <c r="DD404" s="381"/>
      <c r="DF404" s="34"/>
      <c r="DG404" s="34"/>
      <c r="DH404" s="34"/>
      <c r="DI404" s="34"/>
      <c r="DJ404" s="858" t="s">
        <v>5637</v>
      </c>
      <c r="DK404" s="1707" t="str">
        <f t="shared" si="347"/>
        <v/>
      </c>
      <c r="DL404" s="1692" t="str">
        <f t="shared" si="348"/>
        <v/>
      </c>
      <c r="DM404" s="1691">
        <f t="shared" si="388"/>
        <v>0</v>
      </c>
      <c r="DN404" s="111">
        <f t="shared" si="304"/>
        <v>0</v>
      </c>
      <c r="DO404" s="111">
        <f t="shared" si="305"/>
        <v>0</v>
      </c>
      <c r="DP404" s="474">
        <f t="shared" si="306"/>
        <v>0</v>
      </c>
      <c r="DQ404" s="123" t="s">
        <v>798</v>
      </c>
      <c r="DR404" s="473" t="str">
        <f t="shared" si="307"/>
        <v>防火設備又は戸の閉鎖の障害となる照明器具、懸垂物等の状況</v>
      </c>
      <c r="DS404" s="112">
        <f t="shared" si="308"/>
        <v>0</v>
      </c>
      <c r="DT404" s="118" t="str">
        <f t="shared" si="309"/>
        <v/>
      </c>
      <c r="DU404" s="452" t="str">
        <f t="shared" si="310"/>
        <v/>
      </c>
      <c r="DV404" s="151" t="str">
        <f>IF($DT404="要是正",MAX($DV$366:DV403)+1,"")</f>
        <v/>
      </c>
      <c r="DW404" s="119" t="str">
        <f t="shared" si="311"/>
        <v/>
      </c>
      <c r="DX404" s="119" t="str">
        <f t="shared" si="312"/>
        <v/>
      </c>
      <c r="DY404" s="33" t="str">
        <f t="shared" si="313"/>
        <v/>
      </c>
      <c r="DZ404" s="217" t="str">
        <f t="shared" si="314"/>
        <v/>
      </c>
      <c r="EA404" s="466" t="str">
        <f t="shared" si="315"/>
        <v/>
      </c>
      <c r="EB404" s="234" t="str">
        <f t="shared" si="316"/>
        <v/>
      </c>
      <c r="EC404" s="227" t="str">
        <f t="shared" si="317"/>
        <v>0</v>
      </c>
      <c r="ED404" s="148" t="str">
        <f t="shared" si="349"/>
        <v/>
      </c>
      <c r="EE404" s="227" t="str">
        <f t="shared" si="350"/>
        <v>0</v>
      </c>
      <c r="EF404" s="130" t="str">
        <f t="shared" si="318"/>
        <v/>
      </c>
      <c r="EG404" s="204" t="str">
        <f t="shared" si="319"/>
        <v/>
      </c>
      <c r="EH404" s="134" t="str">
        <f t="shared" si="320"/>
        <v>0</v>
      </c>
      <c r="EI404" s="148" t="str">
        <f t="shared" si="351"/>
        <v/>
      </c>
      <c r="EJ404" s="227" t="str">
        <f t="shared" si="352"/>
        <v>0</v>
      </c>
      <c r="EK404" s="451" t="str">
        <f t="shared" si="321"/>
        <v/>
      </c>
      <c r="EL404" s="452" t="e">
        <f t="shared" si="322"/>
        <v>#N/A</v>
      </c>
      <c r="EM404" s="151" t="e">
        <f t="shared" si="323"/>
        <v>#N/A</v>
      </c>
      <c r="EN404" s="453" t="e">
        <f t="shared" si="324"/>
        <v>#N/A</v>
      </c>
      <c r="FK404" s="597" t="str">
        <f t="shared" si="389"/>
        <v/>
      </c>
      <c r="FL404" s="597" t="str">
        <f t="shared" si="386"/>
        <v/>
      </c>
      <c r="FM404" s="597" t="str">
        <f t="shared" si="387"/>
        <v/>
      </c>
      <c r="FN404" s="597">
        <f t="shared" si="326"/>
        <v>0</v>
      </c>
      <c r="FO404" s="1163" t="str">
        <f t="shared" si="390"/>
        <v/>
      </c>
      <c r="FQ404" s="234" t="str">
        <f t="shared" si="328"/>
        <v/>
      </c>
      <c r="FR404" s="227" t="str">
        <f t="shared" si="329"/>
        <v>0</v>
      </c>
      <c r="FS404" s="148" t="str">
        <f t="shared" si="330"/>
        <v/>
      </c>
      <c r="FT404" s="227" t="str">
        <f t="shared" si="353"/>
        <v>0</v>
      </c>
      <c r="FU404" s="416" t="str">
        <f t="shared" si="331"/>
        <v/>
      </c>
      <c r="FW404" s="1160">
        <f t="shared" si="384"/>
        <v>0</v>
      </c>
      <c r="FX404" s="123"/>
      <c r="FY404" s="123"/>
      <c r="FZ404" s="1161"/>
      <c r="GA404" s="34"/>
      <c r="GB404" s="1149">
        <f t="shared" si="354"/>
        <v>0</v>
      </c>
      <c r="GC404" s="1149">
        <f t="shared" si="355"/>
        <v>0</v>
      </c>
      <c r="GD404" s="1149">
        <f t="shared" si="356"/>
        <v>0</v>
      </c>
      <c r="GE404" s="1149" t="str">
        <f t="shared" si="391"/>
        <v/>
      </c>
      <c r="GF404" s="1149" t="str">
        <f t="shared" si="392"/>
        <v/>
      </c>
      <c r="GG404" s="1149" t="str">
        <f t="shared" si="393"/>
        <v/>
      </c>
      <c r="GH404" s="1149" t="str">
        <f t="shared" si="394"/>
        <v/>
      </c>
      <c r="GI404" s="1149" t="str">
        <f t="shared" si="395"/>
        <v/>
      </c>
      <c r="GJ404" s="1149" t="str">
        <f t="shared" si="396"/>
        <v/>
      </c>
      <c r="GK404" s="1149" t="str">
        <f t="shared" si="397"/>
        <v/>
      </c>
      <c r="GL404" s="1149" t="str">
        <f t="shared" si="398"/>
        <v/>
      </c>
      <c r="GM404" s="1149" t="str">
        <f t="shared" si="399"/>
        <v/>
      </c>
      <c r="GN404" s="1149" t="str">
        <f t="shared" si="400"/>
        <v/>
      </c>
      <c r="GO404" s="1149" t="str">
        <f t="shared" si="401"/>
        <v/>
      </c>
      <c r="GP404" s="1149" t="str">
        <f t="shared" si="402"/>
        <v/>
      </c>
      <c r="GQ404" s="1149" t="str">
        <f t="shared" si="403"/>
        <v/>
      </c>
      <c r="GR404" s="1149" t="str">
        <f t="shared" si="404"/>
        <v/>
      </c>
      <c r="GS404" s="1149" t="str">
        <f t="shared" si="405"/>
        <v/>
      </c>
      <c r="GT404" s="1149">
        <f t="shared" si="357"/>
        <v>0</v>
      </c>
      <c r="GU404" s="1149">
        <f t="shared" si="358"/>
        <v>0</v>
      </c>
      <c r="GV404" s="1149">
        <f t="shared" si="359"/>
        <v>0</v>
      </c>
      <c r="GW404" s="1149" t="b">
        <f t="shared" si="360"/>
        <v>0</v>
      </c>
      <c r="GX404" s="1149" t="b">
        <f t="shared" si="361"/>
        <v>0</v>
      </c>
      <c r="GY404" s="1149" t="b">
        <f t="shared" si="362"/>
        <v>0</v>
      </c>
      <c r="GZ404" s="1149" t="str">
        <f t="shared" si="385"/>
        <v/>
      </c>
      <c r="HB404" s="1149" t="str">
        <f t="shared" si="363"/>
        <v/>
      </c>
      <c r="HC404" s="1149" t="str">
        <f t="shared" si="364"/>
        <v/>
      </c>
      <c r="HD404" s="1149" t="str">
        <f t="shared" si="365"/>
        <v/>
      </c>
      <c r="HE404" s="1149" t="str">
        <f t="shared" si="366"/>
        <v/>
      </c>
      <c r="HF404" s="1149" t="str">
        <f t="shared" si="367"/>
        <v/>
      </c>
      <c r="HG404" s="1149" t="str">
        <f t="shared" si="368"/>
        <v/>
      </c>
      <c r="HH404" s="1149" t="str">
        <f t="shared" si="369"/>
        <v/>
      </c>
      <c r="HI404" s="1149" t="str">
        <f t="shared" si="370"/>
        <v/>
      </c>
      <c r="HJ404" s="1149" t="str">
        <f t="shared" si="371"/>
        <v/>
      </c>
      <c r="HK404" s="1149" t="str">
        <f t="shared" si="372"/>
        <v/>
      </c>
      <c r="HL404" s="1149" t="str">
        <f t="shared" si="373"/>
        <v/>
      </c>
      <c r="HM404" s="1149" t="str">
        <f t="shared" si="374"/>
        <v/>
      </c>
      <c r="HN404" s="1149" t="str">
        <f t="shared" si="375"/>
        <v/>
      </c>
      <c r="HO404" s="1149" t="str">
        <f t="shared" si="376"/>
        <v/>
      </c>
      <c r="HP404" s="1149" t="str">
        <f t="shared" si="377"/>
        <v/>
      </c>
      <c r="HQ404" s="1149" t="str">
        <f t="shared" si="378"/>
        <v/>
      </c>
      <c r="HR404" s="1149" t="str">
        <f t="shared" si="379"/>
        <v/>
      </c>
      <c r="HT404" s="1149">
        <f>LEFT(M404,1)*10000+MID(M404,3,LEN(M404)-3)*100+COUNTIF($M$307:M404,M404)</f>
        <v>43501</v>
      </c>
      <c r="HU404" s="1149" t="str">
        <f t="shared" si="380"/>
        <v/>
      </c>
      <c r="HV404" s="1149" t="str">
        <f t="shared" si="381"/>
        <v/>
      </c>
      <c r="HW404" s="1149" t="str">
        <f t="shared" si="382"/>
        <v/>
      </c>
      <c r="HX404" s="1149" t="str">
        <f t="shared" si="383"/>
        <v/>
      </c>
    </row>
    <row r="405" spans="1:232" s="69" customFormat="1" ht="50.15" customHeight="1">
      <c r="A405" s="645"/>
      <c r="B405" s="645"/>
      <c r="C405" s="645"/>
      <c r="D405" s="645"/>
      <c r="E405" s="646"/>
      <c r="F405" s="381"/>
      <c r="G405" s="381"/>
      <c r="H405" s="381"/>
      <c r="I405" s="1169"/>
      <c r="J405" s="80"/>
      <c r="K405" s="89"/>
      <c r="L405" s="89"/>
      <c r="M405" s="1967" t="s">
        <v>1257</v>
      </c>
      <c r="N405" s="1967"/>
      <c r="O405" s="1968"/>
      <c r="P405" s="2096" t="s">
        <v>1133</v>
      </c>
      <c r="Q405" s="2347"/>
      <c r="R405" s="2347"/>
      <c r="S405" s="2347"/>
      <c r="T405" s="2347"/>
      <c r="U405" s="2011" t="s">
        <v>1134</v>
      </c>
      <c r="V405" s="2359"/>
      <c r="W405" s="2359"/>
      <c r="X405" s="2359"/>
      <c r="Y405" s="2359"/>
      <c r="Z405" s="2359"/>
      <c r="AA405" s="2359"/>
      <c r="AB405" s="2359"/>
      <c r="AC405" s="2359"/>
      <c r="AD405" s="2359"/>
      <c r="AE405" s="2359"/>
      <c r="AF405" s="2010"/>
      <c r="AG405" s="2010"/>
      <c r="AH405" s="2010"/>
      <c r="AI405" s="2010"/>
      <c r="AJ405" s="2010"/>
      <c r="AK405" s="2010"/>
      <c r="AL405" s="2010"/>
      <c r="AM405" s="2010"/>
      <c r="AN405" s="2010"/>
      <c r="AO405" s="2010"/>
      <c r="AP405" s="2010"/>
      <c r="AQ405" s="2010"/>
      <c r="AR405" s="2017"/>
      <c r="AS405" s="2017"/>
      <c r="AT405" s="1929"/>
      <c r="AU405" s="1929"/>
      <c r="AV405" s="1929"/>
      <c r="AW405" s="1929"/>
      <c r="AX405" s="1929"/>
      <c r="AY405" s="1929"/>
      <c r="AZ405" s="1929"/>
      <c r="BA405" s="1929"/>
      <c r="BB405" s="1929"/>
      <c r="BC405" s="1929"/>
      <c r="BD405" s="1929"/>
      <c r="BE405" s="1929"/>
      <c r="BF405" s="1929"/>
      <c r="BG405" s="1929"/>
      <c r="BH405" s="1929"/>
      <c r="BI405" s="1929"/>
      <c r="BJ405" s="1929"/>
      <c r="BK405" s="1929"/>
      <c r="BL405" s="1929"/>
      <c r="BM405" s="1929"/>
      <c r="BN405" s="1929"/>
      <c r="BO405" s="1929"/>
      <c r="BP405" s="1929"/>
      <c r="BQ405" s="1929"/>
      <c r="BR405" s="1929"/>
      <c r="BS405" s="1885"/>
      <c r="BT405" s="1885"/>
      <c r="BU405" s="1885"/>
      <c r="BV405" s="1890"/>
      <c r="BW405" s="1890"/>
      <c r="BX405" s="1890"/>
      <c r="BY405" s="1890"/>
      <c r="BZ405" s="1891"/>
      <c r="CA405" s="1891"/>
      <c r="CB405" s="2083"/>
      <c r="CC405" s="2084"/>
      <c r="CD405" s="2084"/>
      <c r="CE405" s="2084"/>
      <c r="CF405" s="2084"/>
      <c r="CG405" s="2084"/>
      <c r="CH405" s="2084"/>
      <c r="CI405" s="2084"/>
      <c r="CJ405" s="2084"/>
      <c r="CK405" s="2084"/>
      <c r="CL405" s="2084"/>
      <c r="CM405" s="2084"/>
      <c r="CN405" s="2084"/>
      <c r="CO405" s="2084"/>
      <c r="CP405" s="2084"/>
      <c r="CQ405" s="2084"/>
      <c r="CR405" s="2084"/>
      <c r="CS405" s="2084"/>
      <c r="CT405" s="2084"/>
      <c r="CU405" s="2085"/>
      <c r="CV405" s="2360" t="str">
        <f t="shared" si="301"/>
        <v/>
      </c>
      <c r="CW405" s="2360"/>
      <c r="CX405" s="2360"/>
      <c r="CY405" s="2360"/>
      <c r="CZ405" s="2360"/>
      <c r="DA405" s="2360"/>
      <c r="DC405" s="600"/>
      <c r="DD405" s="381"/>
      <c r="DF405" s="34"/>
      <c r="DG405" s="34"/>
      <c r="DH405" s="34"/>
      <c r="DI405" s="34"/>
      <c r="DJ405" s="858" t="s">
        <v>5637</v>
      </c>
      <c r="DK405" s="1707" t="str">
        <f t="shared" si="347"/>
        <v/>
      </c>
      <c r="DL405" s="1692" t="str">
        <f t="shared" si="348"/>
        <v/>
      </c>
      <c r="DM405" s="1691">
        <f t="shared" si="388"/>
        <v>0</v>
      </c>
      <c r="DN405" s="111">
        <f t="shared" si="304"/>
        <v>0</v>
      </c>
      <c r="DO405" s="111">
        <f t="shared" si="305"/>
        <v>0</v>
      </c>
      <c r="DP405" s="474">
        <f t="shared" si="306"/>
        <v>0</v>
      </c>
      <c r="DQ405" s="123" t="s">
        <v>799</v>
      </c>
      <c r="DR405" s="473" t="str">
        <f t="shared" si="307"/>
        <v>警報設備の設置の状況</v>
      </c>
      <c r="DS405" s="112">
        <f t="shared" si="308"/>
        <v>0</v>
      </c>
      <c r="DT405" s="118" t="str">
        <f t="shared" si="309"/>
        <v/>
      </c>
      <c r="DU405" s="452" t="str">
        <f t="shared" si="310"/>
        <v/>
      </c>
      <c r="DV405" s="151" t="str">
        <f>IF($DT405="要是正",MAX($DV$366:DV404)+1,"")</f>
        <v/>
      </c>
      <c r="DW405" s="119" t="str">
        <f t="shared" si="311"/>
        <v/>
      </c>
      <c r="DX405" s="119" t="str">
        <f t="shared" si="312"/>
        <v/>
      </c>
      <c r="DY405" s="33" t="str">
        <f t="shared" si="313"/>
        <v/>
      </c>
      <c r="DZ405" s="217" t="str">
        <f t="shared" si="314"/>
        <v/>
      </c>
      <c r="EA405" s="466" t="str">
        <f t="shared" si="315"/>
        <v/>
      </c>
      <c r="EB405" s="234" t="str">
        <f t="shared" si="316"/>
        <v/>
      </c>
      <c r="EC405" s="227" t="str">
        <f t="shared" si="317"/>
        <v>0</v>
      </c>
      <c r="ED405" s="148" t="str">
        <f t="shared" si="349"/>
        <v/>
      </c>
      <c r="EE405" s="227" t="str">
        <f t="shared" si="350"/>
        <v>0</v>
      </c>
      <c r="EF405" s="130" t="str">
        <f t="shared" si="318"/>
        <v/>
      </c>
      <c r="EG405" s="204" t="str">
        <f t="shared" si="319"/>
        <v/>
      </c>
      <c r="EH405" s="134" t="str">
        <f t="shared" si="320"/>
        <v>0</v>
      </c>
      <c r="EI405" s="148" t="str">
        <f t="shared" si="351"/>
        <v/>
      </c>
      <c r="EJ405" s="227" t="str">
        <f t="shared" si="352"/>
        <v>0</v>
      </c>
      <c r="EK405" s="451" t="str">
        <f t="shared" si="321"/>
        <v/>
      </c>
      <c r="EL405" s="452" t="e">
        <f t="shared" si="322"/>
        <v>#N/A</v>
      </c>
      <c r="EM405" s="151" t="e">
        <f t="shared" si="323"/>
        <v>#N/A</v>
      </c>
      <c r="EN405" s="453" t="e">
        <f t="shared" si="324"/>
        <v>#N/A</v>
      </c>
      <c r="FK405" s="597" t="str">
        <f t="shared" si="389"/>
        <v/>
      </c>
      <c r="FL405" s="597" t="str">
        <f t="shared" si="386"/>
        <v/>
      </c>
      <c r="FM405" s="597" t="str">
        <f t="shared" si="387"/>
        <v/>
      </c>
      <c r="FN405" s="597">
        <f t="shared" si="326"/>
        <v>0</v>
      </c>
      <c r="FO405" s="1163" t="str">
        <f t="shared" si="390"/>
        <v/>
      </c>
      <c r="FQ405" s="234" t="str">
        <f t="shared" si="328"/>
        <v/>
      </c>
      <c r="FR405" s="227" t="str">
        <f t="shared" si="329"/>
        <v>0</v>
      </c>
      <c r="FS405" s="148" t="str">
        <f t="shared" si="330"/>
        <v/>
      </c>
      <c r="FT405" s="227" t="str">
        <f t="shared" si="353"/>
        <v>0</v>
      </c>
      <c r="FU405" s="416" t="str">
        <f t="shared" si="331"/>
        <v/>
      </c>
      <c r="FW405" s="1160">
        <f t="shared" si="384"/>
        <v>0</v>
      </c>
      <c r="FX405" s="123"/>
      <c r="FY405" s="123"/>
      <c r="FZ405" s="1161"/>
      <c r="GA405" s="34"/>
      <c r="GB405" s="1149">
        <f t="shared" si="354"/>
        <v>0</v>
      </c>
      <c r="GC405" s="1149">
        <f t="shared" si="355"/>
        <v>0</v>
      </c>
      <c r="GD405" s="1149">
        <f t="shared" si="356"/>
        <v>0</v>
      </c>
      <c r="GE405" s="1149" t="str">
        <f t="shared" si="391"/>
        <v/>
      </c>
      <c r="GF405" s="1149" t="str">
        <f t="shared" si="392"/>
        <v/>
      </c>
      <c r="GG405" s="1149" t="str">
        <f t="shared" si="393"/>
        <v/>
      </c>
      <c r="GH405" s="1149" t="str">
        <f t="shared" si="394"/>
        <v/>
      </c>
      <c r="GI405" s="1149" t="str">
        <f t="shared" si="395"/>
        <v/>
      </c>
      <c r="GJ405" s="1149" t="str">
        <f t="shared" si="396"/>
        <v/>
      </c>
      <c r="GK405" s="1149" t="str">
        <f t="shared" si="397"/>
        <v/>
      </c>
      <c r="GL405" s="1149" t="str">
        <f t="shared" si="398"/>
        <v/>
      </c>
      <c r="GM405" s="1149" t="str">
        <f t="shared" si="399"/>
        <v/>
      </c>
      <c r="GN405" s="1149" t="str">
        <f t="shared" si="400"/>
        <v/>
      </c>
      <c r="GO405" s="1149" t="str">
        <f t="shared" si="401"/>
        <v/>
      </c>
      <c r="GP405" s="1149" t="str">
        <f t="shared" si="402"/>
        <v/>
      </c>
      <c r="GQ405" s="1149" t="str">
        <f t="shared" si="403"/>
        <v/>
      </c>
      <c r="GR405" s="1149" t="str">
        <f t="shared" si="404"/>
        <v/>
      </c>
      <c r="GS405" s="1149" t="str">
        <f t="shared" si="405"/>
        <v/>
      </c>
      <c r="GT405" s="1149">
        <f t="shared" si="357"/>
        <v>0</v>
      </c>
      <c r="GU405" s="1149">
        <f t="shared" si="358"/>
        <v>0</v>
      </c>
      <c r="GV405" s="1149">
        <f t="shared" si="359"/>
        <v>0</v>
      </c>
      <c r="GW405" s="1149" t="b">
        <f t="shared" si="360"/>
        <v>0</v>
      </c>
      <c r="GX405" s="1149" t="b">
        <f t="shared" si="361"/>
        <v>0</v>
      </c>
      <c r="GY405" s="1149" t="b">
        <f t="shared" si="362"/>
        <v>0</v>
      </c>
      <c r="GZ405" s="1149" t="str">
        <f t="shared" si="385"/>
        <v/>
      </c>
      <c r="HB405" s="1149" t="str">
        <f t="shared" si="363"/>
        <v/>
      </c>
      <c r="HC405" s="1149" t="str">
        <f t="shared" si="364"/>
        <v/>
      </c>
      <c r="HD405" s="1149" t="str">
        <f t="shared" si="365"/>
        <v/>
      </c>
      <c r="HE405" s="1149" t="str">
        <f t="shared" si="366"/>
        <v/>
      </c>
      <c r="HF405" s="1149" t="str">
        <f t="shared" si="367"/>
        <v/>
      </c>
      <c r="HG405" s="1149" t="str">
        <f t="shared" si="368"/>
        <v/>
      </c>
      <c r="HH405" s="1149" t="str">
        <f t="shared" si="369"/>
        <v/>
      </c>
      <c r="HI405" s="1149" t="str">
        <f t="shared" si="370"/>
        <v/>
      </c>
      <c r="HJ405" s="1149" t="str">
        <f t="shared" si="371"/>
        <v/>
      </c>
      <c r="HK405" s="1149" t="str">
        <f t="shared" si="372"/>
        <v/>
      </c>
      <c r="HL405" s="1149" t="str">
        <f t="shared" si="373"/>
        <v/>
      </c>
      <c r="HM405" s="1149" t="str">
        <f t="shared" si="374"/>
        <v/>
      </c>
      <c r="HN405" s="1149" t="str">
        <f t="shared" si="375"/>
        <v/>
      </c>
      <c r="HO405" s="1149" t="str">
        <f t="shared" si="376"/>
        <v/>
      </c>
      <c r="HP405" s="1149" t="str">
        <f t="shared" si="377"/>
        <v/>
      </c>
      <c r="HQ405" s="1149" t="str">
        <f t="shared" si="378"/>
        <v/>
      </c>
      <c r="HR405" s="1149" t="str">
        <f t="shared" si="379"/>
        <v/>
      </c>
      <c r="HT405" s="1149">
        <f>LEFT(M405,1)*10000+MID(M405,3,LEN(M405)-3)*100+COUNTIF($M$307:M405,M405)</f>
        <v>43601</v>
      </c>
      <c r="HU405" s="1149" t="str">
        <f t="shared" si="380"/>
        <v/>
      </c>
      <c r="HV405" s="1149" t="str">
        <f t="shared" si="381"/>
        <v/>
      </c>
      <c r="HW405" s="1149" t="str">
        <f t="shared" si="382"/>
        <v/>
      </c>
      <c r="HX405" s="1149" t="str">
        <f t="shared" si="383"/>
        <v/>
      </c>
    </row>
    <row r="406" spans="1:232" s="69" customFormat="1" ht="50.15" customHeight="1">
      <c r="A406" s="645"/>
      <c r="B406" s="645"/>
      <c r="C406" s="645"/>
      <c r="D406" s="645"/>
      <c r="E406" s="646"/>
      <c r="F406" s="381"/>
      <c r="G406" s="381"/>
      <c r="H406" s="381"/>
      <c r="I406" s="1169"/>
      <c r="J406" s="80"/>
      <c r="K406" s="89"/>
      <c r="L406" s="89"/>
      <c r="M406" s="1967" t="s">
        <v>1258</v>
      </c>
      <c r="N406" s="1967"/>
      <c r="O406" s="1968"/>
      <c r="P406" s="2348"/>
      <c r="Q406" s="2348"/>
      <c r="R406" s="2348"/>
      <c r="S406" s="2348"/>
      <c r="T406" s="2348"/>
      <c r="U406" s="1956" t="s">
        <v>1135</v>
      </c>
      <c r="V406" s="2097"/>
      <c r="W406" s="2097"/>
      <c r="X406" s="2097"/>
      <c r="Y406" s="2097"/>
      <c r="Z406" s="2097"/>
      <c r="AA406" s="2097"/>
      <c r="AB406" s="2097"/>
      <c r="AC406" s="2097"/>
      <c r="AD406" s="2097"/>
      <c r="AE406" s="2097"/>
      <c r="AF406" s="2025"/>
      <c r="AG406" s="2025"/>
      <c r="AH406" s="2025"/>
      <c r="AI406" s="2025"/>
      <c r="AJ406" s="2025"/>
      <c r="AK406" s="2025"/>
      <c r="AL406" s="2025"/>
      <c r="AM406" s="2025"/>
      <c r="AN406" s="2025"/>
      <c r="AO406" s="2025"/>
      <c r="AP406" s="2025"/>
      <c r="AQ406" s="2025"/>
      <c r="AR406" s="2026"/>
      <c r="AS406" s="2026"/>
      <c r="AT406" s="1997"/>
      <c r="AU406" s="1997"/>
      <c r="AV406" s="1997"/>
      <c r="AW406" s="1997"/>
      <c r="AX406" s="1997"/>
      <c r="AY406" s="1997"/>
      <c r="AZ406" s="1997"/>
      <c r="BA406" s="1997"/>
      <c r="BB406" s="1997"/>
      <c r="BC406" s="1997"/>
      <c r="BD406" s="1997"/>
      <c r="BE406" s="1997"/>
      <c r="BF406" s="1997"/>
      <c r="BG406" s="1997"/>
      <c r="BH406" s="1997"/>
      <c r="BI406" s="1997"/>
      <c r="BJ406" s="1997"/>
      <c r="BK406" s="1997"/>
      <c r="BL406" s="1997"/>
      <c r="BM406" s="1997"/>
      <c r="BN406" s="1997"/>
      <c r="BO406" s="1997"/>
      <c r="BP406" s="1997"/>
      <c r="BQ406" s="1997"/>
      <c r="BR406" s="1997"/>
      <c r="BS406" s="1991"/>
      <c r="BT406" s="1991"/>
      <c r="BU406" s="1991"/>
      <c r="BV406" s="1982"/>
      <c r="BW406" s="1982"/>
      <c r="BX406" s="1982"/>
      <c r="BY406" s="1982"/>
      <c r="BZ406" s="1992"/>
      <c r="CA406" s="1992"/>
      <c r="CB406" s="1892"/>
      <c r="CC406" s="1893"/>
      <c r="CD406" s="1893"/>
      <c r="CE406" s="1893"/>
      <c r="CF406" s="1893"/>
      <c r="CG406" s="1893"/>
      <c r="CH406" s="1893"/>
      <c r="CI406" s="1893"/>
      <c r="CJ406" s="1893"/>
      <c r="CK406" s="1893"/>
      <c r="CL406" s="1893"/>
      <c r="CM406" s="1893"/>
      <c r="CN406" s="1893"/>
      <c r="CO406" s="1893"/>
      <c r="CP406" s="1893"/>
      <c r="CQ406" s="1893"/>
      <c r="CR406" s="1893"/>
      <c r="CS406" s="1893"/>
      <c r="CT406" s="1893"/>
      <c r="CU406" s="1894"/>
      <c r="CV406" s="2360" t="str">
        <f t="shared" si="301"/>
        <v/>
      </c>
      <c r="CW406" s="2360"/>
      <c r="CX406" s="2360"/>
      <c r="CY406" s="2360"/>
      <c r="CZ406" s="2360"/>
      <c r="DA406" s="2360"/>
      <c r="DC406" s="600"/>
      <c r="DD406" s="381"/>
      <c r="DF406" s="34"/>
      <c r="DG406" s="34"/>
      <c r="DH406" s="34"/>
      <c r="DI406" s="34"/>
      <c r="DJ406" s="858" t="s">
        <v>5637</v>
      </c>
      <c r="DK406" s="1707" t="str">
        <f t="shared" si="347"/>
        <v/>
      </c>
      <c r="DL406" s="1692" t="str">
        <f t="shared" si="348"/>
        <v/>
      </c>
      <c r="DM406" s="1691">
        <f t="shared" si="388"/>
        <v>0</v>
      </c>
      <c r="DN406" s="111">
        <f t="shared" si="304"/>
        <v>0</v>
      </c>
      <c r="DO406" s="111">
        <f t="shared" si="305"/>
        <v>0</v>
      </c>
      <c r="DP406" s="474">
        <f t="shared" si="306"/>
        <v>0</v>
      </c>
      <c r="DQ406" s="123" t="s">
        <v>800</v>
      </c>
      <c r="DR406" s="473" t="str">
        <f t="shared" si="307"/>
        <v>警報設備の劣化及び損傷の状況</v>
      </c>
      <c r="DS406" s="112">
        <f t="shared" si="308"/>
        <v>0</v>
      </c>
      <c r="DT406" s="118" t="str">
        <f t="shared" si="309"/>
        <v/>
      </c>
      <c r="DU406" s="452" t="str">
        <f t="shared" si="310"/>
        <v/>
      </c>
      <c r="DV406" s="151" t="str">
        <f>IF($DT406="要是正",MAX($DV$366:DV405)+1,"")</f>
        <v/>
      </c>
      <c r="DW406" s="119" t="str">
        <f t="shared" si="311"/>
        <v/>
      </c>
      <c r="DX406" s="119" t="str">
        <f t="shared" si="312"/>
        <v/>
      </c>
      <c r="DY406" s="33" t="str">
        <f t="shared" si="313"/>
        <v/>
      </c>
      <c r="DZ406" s="217" t="str">
        <f t="shared" si="314"/>
        <v/>
      </c>
      <c r="EA406" s="466" t="str">
        <f t="shared" si="315"/>
        <v/>
      </c>
      <c r="EB406" s="234" t="str">
        <f t="shared" si="316"/>
        <v/>
      </c>
      <c r="EC406" s="227" t="str">
        <f t="shared" si="317"/>
        <v>0</v>
      </c>
      <c r="ED406" s="148" t="str">
        <f t="shared" si="349"/>
        <v/>
      </c>
      <c r="EE406" s="227" t="str">
        <f t="shared" si="350"/>
        <v>0</v>
      </c>
      <c r="EF406" s="130" t="str">
        <f t="shared" si="318"/>
        <v/>
      </c>
      <c r="EG406" s="204" t="str">
        <f t="shared" si="319"/>
        <v/>
      </c>
      <c r="EH406" s="134" t="str">
        <f t="shared" si="320"/>
        <v>0</v>
      </c>
      <c r="EI406" s="148" t="str">
        <f t="shared" si="351"/>
        <v/>
      </c>
      <c r="EJ406" s="227" t="str">
        <f t="shared" si="352"/>
        <v>0</v>
      </c>
      <c r="EK406" s="451" t="str">
        <f t="shared" si="321"/>
        <v/>
      </c>
      <c r="EL406" s="452" t="e">
        <f t="shared" si="322"/>
        <v>#N/A</v>
      </c>
      <c r="EM406" s="151" t="e">
        <f t="shared" si="323"/>
        <v>#N/A</v>
      </c>
      <c r="EN406" s="453" t="e">
        <f t="shared" si="324"/>
        <v>#N/A</v>
      </c>
      <c r="FK406" s="597" t="str">
        <f t="shared" si="389"/>
        <v/>
      </c>
      <c r="FL406" s="597" t="str">
        <f t="shared" si="386"/>
        <v/>
      </c>
      <c r="FM406" s="597" t="str">
        <f t="shared" si="387"/>
        <v/>
      </c>
      <c r="FN406" s="597">
        <f t="shared" si="326"/>
        <v>0</v>
      </c>
      <c r="FO406" s="1163" t="str">
        <f t="shared" si="390"/>
        <v/>
      </c>
      <c r="FQ406" s="234" t="str">
        <f t="shared" si="328"/>
        <v/>
      </c>
      <c r="FR406" s="227" t="str">
        <f t="shared" si="329"/>
        <v>0</v>
      </c>
      <c r="FS406" s="148" t="str">
        <f t="shared" si="330"/>
        <v/>
      </c>
      <c r="FT406" s="227" t="str">
        <f t="shared" si="353"/>
        <v>0</v>
      </c>
      <c r="FU406" s="416" t="str">
        <f t="shared" si="331"/>
        <v/>
      </c>
      <c r="FW406" s="1160">
        <f t="shared" si="384"/>
        <v>0</v>
      </c>
      <c r="FX406" s="123"/>
      <c r="FY406" s="123"/>
      <c r="FZ406" s="1161"/>
      <c r="GA406" s="34"/>
      <c r="GB406" s="1149">
        <f t="shared" si="354"/>
        <v>0</v>
      </c>
      <c r="GC406" s="1149">
        <f t="shared" si="355"/>
        <v>0</v>
      </c>
      <c r="GD406" s="1149">
        <f t="shared" si="356"/>
        <v>0</v>
      </c>
      <c r="GE406" s="1149" t="str">
        <f t="shared" si="391"/>
        <v/>
      </c>
      <c r="GF406" s="1149" t="str">
        <f t="shared" si="392"/>
        <v/>
      </c>
      <c r="GG406" s="1149" t="str">
        <f t="shared" si="393"/>
        <v/>
      </c>
      <c r="GH406" s="1149" t="str">
        <f t="shared" si="394"/>
        <v/>
      </c>
      <c r="GI406" s="1149" t="str">
        <f t="shared" si="395"/>
        <v/>
      </c>
      <c r="GJ406" s="1149" t="str">
        <f t="shared" si="396"/>
        <v/>
      </c>
      <c r="GK406" s="1149" t="str">
        <f t="shared" si="397"/>
        <v/>
      </c>
      <c r="GL406" s="1149" t="str">
        <f t="shared" si="398"/>
        <v/>
      </c>
      <c r="GM406" s="1149" t="str">
        <f t="shared" si="399"/>
        <v/>
      </c>
      <c r="GN406" s="1149" t="str">
        <f t="shared" si="400"/>
        <v/>
      </c>
      <c r="GO406" s="1149" t="str">
        <f t="shared" si="401"/>
        <v/>
      </c>
      <c r="GP406" s="1149" t="str">
        <f t="shared" si="402"/>
        <v/>
      </c>
      <c r="GQ406" s="1149" t="str">
        <f t="shared" si="403"/>
        <v/>
      </c>
      <c r="GR406" s="1149" t="str">
        <f t="shared" si="404"/>
        <v/>
      </c>
      <c r="GS406" s="1149" t="str">
        <f t="shared" si="405"/>
        <v/>
      </c>
      <c r="GT406" s="1149">
        <f t="shared" si="357"/>
        <v>0</v>
      </c>
      <c r="GU406" s="1149">
        <f t="shared" si="358"/>
        <v>0</v>
      </c>
      <c r="GV406" s="1149">
        <f t="shared" si="359"/>
        <v>0</v>
      </c>
      <c r="GW406" s="1149" t="b">
        <f t="shared" si="360"/>
        <v>0</v>
      </c>
      <c r="GX406" s="1149" t="b">
        <f t="shared" si="361"/>
        <v>0</v>
      </c>
      <c r="GY406" s="1149" t="b">
        <f t="shared" si="362"/>
        <v>0</v>
      </c>
      <c r="GZ406" s="1149" t="str">
        <f t="shared" si="385"/>
        <v/>
      </c>
      <c r="HB406" s="1149" t="str">
        <f t="shared" si="363"/>
        <v/>
      </c>
      <c r="HC406" s="1149" t="str">
        <f t="shared" si="364"/>
        <v/>
      </c>
      <c r="HD406" s="1149" t="str">
        <f t="shared" si="365"/>
        <v/>
      </c>
      <c r="HE406" s="1149" t="str">
        <f t="shared" si="366"/>
        <v/>
      </c>
      <c r="HF406" s="1149" t="str">
        <f t="shared" si="367"/>
        <v/>
      </c>
      <c r="HG406" s="1149" t="str">
        <f t="shared" si="368"/>
        <v/>
      </c>
      <c r="HH406" s="1149" t="str">
        <f t="shared" si="369"/>
        <v/>
      </c>
      <c r="HI406" s="1149" t="str">
        <f t="shared" si="370"/>
        <v/>
      </c>
      <c r="HJ406" s="1149" t="str">
        <f t="shared" si="371"/>
        <v/>
      </c>
      <c r="HK406" s="1149" t="str">
        <f t="shared" si="372"/>
        <v/>
      </c>
      <c r="HL406" s="1149" t="str">
        <f t="shared" si="373"/>
        <v/>
      </c>
      <c r="HM406" s="1149" t="str">
        <f t="shared" si="374"/>
        <v/>
      </c>
      <c r="HN406" s="1149" t="str">
        <f t="shared" si="375"/>
        <v/>
      </c>
      <c r="HO406" s="1149" t="str">
        <f t="shared" si="376"/>
        <v/>
      </c>
      <c r="HP406" s="1149" t="str">
        <f t="shared" si="377"/>
        <v/>
      </c>
      <c r="HQ406" s="1149" t="str">
        <f t="shared" si="378"/>
        <v/>
      </c>
      <c r="HR406" s="1149" t="str">
        <f t="shared" si="379"/>
        <v/>
      </c>
      <c r="HT406" s="1149">
        <f>LEFT(M406,1)*10000+MID(M406,3,LEN(M406)-3)*100+COUNTIF($M$307:M406,M406)</f>
        <v>43701</v>
      </c>
      <c r="HU406" s="1149" t="str">
        <f t="shared" si="380"/>
        <v/>
      </c>
      <c r="HV406" s="1149" t="str">
        <f t="shared" si="381"/>
        <v/>
      </c>
      <c r="HW406" s="1149" t="str">
        <f t="shared" si="382"/>
        <v/>
      </c>
      <c r="HX406" s="1149" t="str">
        <f t="shared" si="383"/>
        <v/>
      </c>
    </row>
    <row r="407" spans="1:232" s="69" customFormat="1" ht="50.15" customHeight="1">
      <c r="A407" s="645"/>
      <c r="B407" s="645"/>
      <c r="C407" s="645"/>
      <c r="D407" s="645"/>
      <c r="E407" s="646"/>
      <c r="F407" s="381"/>
      <c r="G407" s="381"/>
      <c r="H407" s="381"/>
      <c r="I407" s="1169"/>
      <c r="J407" s="80"/>
      <c r="K407" s="89"/>
      <c r="L407" s="89"/>
      <c r="M407" s="1967" t="s">
        <v>1259</v>
      </c>
      <c r="N407" s="1967"/>
      <c r="O407" s="1968"/>
      <c r="P407" s="1966" t="s">
        <v>103</v>
      </c>
      <c r="Q407" s="1966"/>
      <c r="R407" s="1966"/>
      <c r="S407" s="1966"/>
      <c r="T407" s="1966"/>
      <c r="U407" s="2011" t="s">
        <v>104</v>
      </c>
      <c r="V407" s="2011"/>
      <c r="W407" s="2011"/>
      <c r="X407" s="2011"/>
      <c r="Y407" s="2011"/>
      <c r="Z407" s="2011"/>
      <c r="AA407" s="2011"/>
      <c r="AB407" s="2011"/>
      <c r="AC407" s="2011"/>
      <c r="AD407" s="2011"/>
      <c r="AE407" s="2011"/>
      <c r="AF407" s="2010"/>
      <c r="AG407" s="2010"/>
      <c r="AH407" s="2010"/>
      <c r="AI407" s="2010"/>
      <c r="AJ407" s="2010"/>
      <c r="AK407" s="2010"/>
      <c r="AL407" s="2010"/>
      <c r="AM407" s="2010"/>
      <c r="AN407" s="2010"/>
      <c r="AO407" s="2010"/>
      <c r="AP407" s="2010"/>
      <c r="AQ407" s="2010"/>
      <c r="AR407" s="2017"/>
      <c r="AS407" s="2017"/>
      <c r="AT407" s="1929"/>
      <c r="AU407" s="1929"/>
      <c r="AV407" s="1929"/>
      <c r="AW407" s="1929"/>
      <c r="AX407" s="1929"/>
      <c r="AY407" s="1929"/>
      <c r="AZ407" s="1929"/>
      <c r="BA407" s="1929"/>
      <c r="BB407" s="1929"/>
      <c r="BC407" s="1929"/>
      <c r="BD407" s="1929"/>
      <c r="BE407" s="1929"/>
      <c r="BF407" s="1929"/>
      <c r="BG407" s="1929"/>
      <c r="BH407" s="1929"/>
      <c r="BI407" s="1929"/>
      <c r="BJ407" s="1929"/>
      <c r="BK407" s="1929"/>
      <c r="BL407" s="1929"/>
      <c r="BM407" s="1929"/>
      <c r="BN407" s="1929"/>
      <c r="BO407" s="1929"/>
      <c r="BP407" s="1929"/>
      <c r="BQ407" s="1929"/>
      <c r="BR407" s="1929"/>
      <c r="BS407" s="1885"/>
      <c r="BT407" s="1885"/>
      <c r="BU407" s="1885"/>
      <c r="BV407" s="1890"/>
      <c r="BW407" s="1890"/>
      <c r="BX407" s="1890"/>
      <c r="BY407" s="1890"/>
      <c r="BZ407" s="1891"/>
      <c r="CA407" s="1891"/>
      <c r="CB407" s="2083"/>
      <c r="CC407" s="2084"/>
      <c r="CD407" s="2084"/>
      <c r="CE407" s="2084"/>
      <c r="CF407" s="2084"/>
      <c r="CG407" s="2084"/>
      <c r="CH407" s="2084"/>
      <c r="CI407" s="2084"/>
      <c r="CJ407" s="2084"/>
      <c r="CK407" s="2084"/>
      <c r="CL407" s="2084"/>
      <c r="CM407" s="2084"/>
      <c r="CN407" s="2084"/>
      <c r="CO407" s="2084"/>
      <c r="CP407" s="2084"/>
      <c r="CQ407" s="2084"/>
      <c r="CR407" s="2084"/>
      <c r="CS407" s="2084"/>
      <c r="CT407" s="2084"/>
      <c r="CU407" s="2085"/>
      <c r="CV407" s="2360" t="str">
        <f t="shared" si="301"/>
        <v/>
      </c>
      <c r="CW407" s="2360"/>
      <c r="CX407" s="2360"/>
      <c r="CY407" s="2360"/>
      <c r="CZ407" s="2360"/>
      <c r="DA407" s="2360"/>
      <c r="DC407" s="600" t="str">
        <f t="shared" ref="DC407:DC416" si="406">IF(AND(DU407&lt;&gt;"",DU407&gt;20),"「別途様式を作成、提出してください。」","")</f>
        <v/>
      </c>
      <c r="DD407" s="381"/>
      <c r="DF407" s="34"/>
      <c r="DG407" s="34"/>
      <c r="DH407" s="34"/>
      <c r="DI407" s="34"/>
      <c r="DJ407" s="858" t="s">
        <v>5637</v>
      </c>
      <c r="DK407" s="1707" t="str">
        <f t="shared" si="347"/>
        <v/>
      </c>
      <c r="DL407" s="1692" t="str">
        <f t="shared" si="348"/>
        <v/>
      </c>
      <c r="DM407" s="1691">
        <f t="shared" si="388"/>
        <v>0</v>
      </c>
      <c r="DN407" s="111">
        <f t="shared" si="304"/>
        <v>0</v>
      </c>
      <c r="DO407" s="111">
        <f t="shared" si="305"/>
        <v>0</v>
      </c>
      <c r="DP407" s="474">
        <f t="shared" si="306"/>
        <v>0</v>
      </c>
      <c r="DQ407" s="123" t="s">
        <v>801</v>
      </c>
      <c r="DR407" s="473" t="str">
        <f t="shared" si="307"/>
        <v>採光のための開口部の面積の確保の状況</v>
      </c>
      <c r="DS407" s="112">
        <f t="shared" si="308"/>
        <v>0</v>
      </c>
      <c r="DT407" s="118" t="str">
        <f t="shared" si="309"/>
        <v/>
      </c>
      <c r="DU407" s="452" t="str">
        <f t="shared" si="310"/>
        <v/>
      </c>
      <c r="DV407" s="151" t="str">
        <f>IF($DT407="要是正",MAX($DV$366:DV406)+1,"")</f>
        <v/>
      </c>
      <c r="DW407" s="119" t="str">
        <f t="shared" si="311"/>
        <v/>
      </c>
      <c r="DX407" s="119" t="str">
        <f t="shared" si="312"/>
        <v/>
      </c>
      <c r="DY407" s="33" t="str">
        <f t="shared" si="313"/>
        <v/>
      </c>
      <c r="DZ407" s="217" t="str">
        <f t="shared" si="314"/>
        <v/>
      </c>
      <c r="EA407" s="466" t="str">
        <f t="shared" si="315"/>
        <v/>
      </c>
      <c r="EB407" s="234" t="str">
        <f t="shared" si="316"/>
        <v/>
      </c>
      <c r="EC407" s="227" t="str">
        <f t="shared" si="317"/>
        <v>0</v>
      </c>
      <c r="ED407" s="148" t="str">
        <f t="shared" si="349"/>
        <v/>
      </c>
      <c r="EE407" s="227" t="str">
        <f t="shared" si="350"/>
        <v>0</v>
      </c>
      <c r="EF407" s="130" t="str">
        <f t="shared" si="318"/>
        <v/>
      </c>
      <c r="EG407" s="204" t="str">
        <f t="shared" si="319"/>
        <v/>
      </c>
      <c r="EH407" s="134" t="str">
        <f t="shared" si="320"/>
        <v>0</v>
      </c>
      <c r="EI407" s="148" t="str">
        <f t="shared" si="351"/>
        <v/>
      </c>
      <c r="EJ407" s="227" t="str">
        <f t="shared" si="352"/>
        <v>0</v>
      </c>
      <c r="EK407" s="451" t="str">
        <f t="shared" si="321"/>
        <v/>
      </c>
      <c r="EL407" s="452" t="e">
        <f t="shared" si="322"/>
        <v>#N/A</v>
      </c>
      <c r="EM407" s="151" t="e">
        <f t="shared" si="323"/>
        <v>#N/A</v>
      </c>
      <c r="EN407" s="453" t="e">
        <f t="shared" si="324"/>
        <v>#N/A</v>
      </c>
      <c r="FK407" s="597" t="str">
        <f t="shared" si="389"/>
        <v/>
      </c>
      <c r="FL407" s="597" t="str">
        <f t="shared" si="386"/>
        <v/>
      </c>
      <c r="FM407" s="597" t="str">
        <f t="shared" si="387"/>
        <v/>
      </c>
      <c r="FN407" s="597">
        <f t="shared" si="326"/>
        <v>0</v>
      </c>
      <c r="FO407" s="1163" t="str">
        <f t="shared" si="390"/>
        <v/>
      </c>
      <c r="FQ407" s="234" t="str">
        <f t="shared" si="328"/>
        <v/>
      </c>
      <c r="FR407" s="227" t="str">
        <f t="shared" si="329"/>
        <v>0</v>
      </c>
      <c r="FS407" s="148" t="str">
        <f t="shared" si="330"/>
        <v/>
      </c>
      <c r="FT407" s="227" t="str">
        <f t="shared" si="353"/>
        <v>0</v>
      </c>
      <c r="FU407" s="416" t="str">
        <f t="shared" si="331"/>
        <v/>
      </c>
      <c r="FW407" s="1160">
        <f t="shared" si="384"/>
        <v>0</v>
      </c>
      <c r="FX407" s="123"/>
      <c r="FY407" s="123"/>
      <c r="FZ407" s="1161"/>
      <c r="GA407" s="34"/>
      <c r="GB407" s="1149">
        <f t="shared" si="354"/>
        <v>0</v>
      </c>
      <c r="GC407" s="1149">
        <f t="shared" si="355"/>
        <v>0</v>
      </c>
      <c r="GD407" s="1149">
        <f t="shared" si="356"/>
        <v>0</v>
      </c>
      <c r="GE407" s="1149" t="str">
        <f t="shared" si="391"/>
        <v/>
      </c>
      <c r="GF407" s="1149" t="str">
        <f t="shared" si="392"/>
        <v/>
      </c>
      <c r="GG407" s="1149" t="str">
        <f t="shared" si="393"/>
        <v/>
      </c>
      <c r="GH407" s="1149" t="str">
        <f t="shared" si="394"/>
        <v/>
      </c>
      <c r="GI407" s="1149" t="str">
        <f t="shared" si="395"/>
        <v/>
      </c>
      <c r="GJ407" s="1149" t="str">
        <f t="shared" si="396"/>
        <v/>
      </c>
      <c r="GK407" s="1149" t="str">
        <f t="shared" si="397"/>
        <v/>
      </c>
      <c r="GL407" s="1149" t="str">
        <f t="shared" si="398"/>
        <v/>
      </c>
      <c r="GM407" s="1149" t="str">
        <f t="shared" si="399"/>
        <v/>
      </c>
      <c r="GN407" s="1149" t="str">
        <f t="shared" si="400"/>
        <v/>
      </c>
      <c r="GO407" s="1149" t="str">
        <f t="shared" si="401"/>
        <v/>
      </c>
      <c r="GP407" s="1149" t="str">
        <f t="shared" si="402"/>
        <v/>
      </c>
      <c r="GQ407" s="1149" t="str">
        <f t="shared" si="403"/>
        <v/>
      </c>
      <c r="GR407" s="1149" t="str">
        <f t="shared" si="404"/>
        <v/>
      </c>
      <c r="GS407" s="1149" t="str">
        <f t="shared" si="405"/>
        <v/>
      </c>
      <c r="GT407" s="1149">
        <f t="shared" si="357"/>
        <v>0</v>
      </c>
      <c r="GU407" s="1149">
        <f t="shared" si="358"/>
        <v>0</v>
      </c>
      <c r="GV407" s="1149">
        <f t="shared" si="359"/>
        <v>0</v>
      </c>
      <c r="GW407" s="1149" t="b">
        <f t="shared" si="360"/>
        <v>0</v>
      </c>
      <c r="GX407" s="1149" t="b">
        <f t="shared" si="361"/>
        <v>0</v>
      </c>
      <c r="GY407" s="1149" t="b">
        <f t="shared" si="362"/>
        <v>0</v>
      </c>
      <c r="GZ407" s="1149" t="str">
        <f t="shared" si="385"/>
        <v/>
      </c>
      <c r="HB407" s="1149" t="str">
        <f t="shared" si="363"/>
        <v/>
      </c>
      <c r="HC407" s="1149" t="str">
        <f t="shared" si="364"/>
        <v/>
      </c>
      <c r="HD407" s="1149" t="str">
        <f t="shared" si="365"/>
        <v/>
      </c>
      <c r="HE407" s="1149" t="str">
        <f t="shared" si="366"/>
        <v/>
      </c>
      <c r="HF407" s="1149" t="str">
        <f t="shared" si="367"/>
        <v/>
      </c>
      <c r="HG407" s="1149" t="str">
        <f t="shared" si="368"/>
        <v/>
      </c>
      <c r="HH407" s="1149" t="str">
        <f t="shared" si="369"/>
        <v/>
      </c>
      <c r="HI407" s="1149" t="str">
        <f t="shared" si="370"/>
        <v/>
      </c>
      <c r="HJ407" s="1149" t="str">
        <f t="shared" si="371"/>
        <v/>
      </c>
      <c r="HK407" s="1149" t="str">
        <f t="shared" si="372"/>
        <v/>
      </c>
      <c r="HL407" s="1149" t="str">
        <f t="shared" si="373"/>
        <v/>
      </c>
      <c r="HM407" s="1149" t="str">
        <f t="shared" si="374"/>
        <v/>
      </c>
      <c r="HN407" s="1149" t="str">
        <f t="shared" si="375"/>
        <v/>
      </c>
      <c r="HO407" s="1149" t="str">
        <f t="shared" si="376"/>
        <v/>
      </c>
      <c r="HP407" s="1149" t="str">
        <f t="shared" si="377"/>
        <v/>
      </c>
      <c r="HQ407" s="1149" t="str">
        <f t="shared" si="378"/>
        <v/>
      </c>
      <c r="HR407" s="1149" t="str">
        <f t="shared" si="379"/>
        <v/>
      </c>
      <c r="HT407" s="1149">
        <f>LEFT(M407,1)*10000+MID(M407,3,LEN(M407)-3)*100+COUNTIF($M$307:M407,M407)</f>
        <v>43801</v>
      </c>
      <c r="HU407" s="1149" t="str">
        <f t="shared" si="380"/>
        <v/>
      </c>
      <c r="HV407" s="1149" t="str">
        <f t="shared" si="381"/>
        <v/>
      </c>
      <c r="HW407" s="1149" t="str">
        <f t="shared" si="382"/>
        <v/>
      </c>
      <c r="HX407" s="1149" t="str">
        <f t="shared" si="383"/>
        <v/>
      </c>
    </row>
    <row r="408" spans="1:232" s="69" customFormat="1" ht="50.15" customHeight="1">
      <c r="A408" s="645"/>
      <c r="B408" s="645"/>
      <c r="C408" s="645"/>
      <c r="D408" s="645"/>
      <c r="E408" s="646"/>
      <c r="F408" s="381"/>
      <c r="G408" s="381"/>
      <c r="H408" s="381"/>
      <c r="I408" s="1169"/>
      <c r="J408" s="80"/>
      <c r="K408" s="89"/>
      <c r="L408" s="89"/>
      <c r="M408" s="1967" t="s">
        <v>1260</v>
      </c>
      <c r="N408" s="1967"/>
      <c r="O408" s="1968"/>
      <c r="P408" s="1966"/>
      <c r="Q408" s="1966"/>
      <c r="R408" s="1966"/>
      <c r="S408" s="1966"/>
      <c r="T408" s="1966"/>
      <c r="U408" s="1899" t="s">
        <v>105</v>
      </c>
      <c r="V408" s="1899"/>
      <c r="W408" s="1899"/>
      <c r="X408" s="1899"/>
      <c r="Y408" s="1899"/>
      <c r="Z408" s="1899"/>
      <c r="AA408" s="1899"/>
      <c r="AB408" s="1899"/>
      <c r="AC408" s="1899"/>
      <c r="AD408" s="1899"/>
      <c r="AE408" s="1899"/>
      <c r="AF408" s="1898"/>
      <c r="AG408" s="1898"/>
      <c r="AH408" s="1898"/>
      <c r="AI408" s="1898"/>
      <c r="AJ408" s="1898"/>
      <c r="AK408" s="1898"/>
      <c r="AL408" s="1898"/>
      <c r="AM408" s="1898"/>
      <c r="AN408" s="1898"/>
      <c r="AO408" s="1898"/>
      <c r="AP408" s="1898"/>
      <c r="AQ408" s="1898"/>
      <c r="AR408" s="1910"/>
      <c r="AS408" s="1910"/>
      <c r="AT408" s="1993"/>
      <c r="AU408" s="1993"/>
      <c r="AV408" s="1993"/>
      <c r="AW408" s="1993"/>
      <c r="AX408" s="1993"/>
      <c r="AY408" s="1993"/>
      <c r="AZ408" s="1993"/>
      <c r="BA408" s="1993"/>
      <c r="BB408" s="1993"/>
      <c r="BC408" s="1993"/>
      <c r="BD408" s="1993"/>
      <c r="BE408" s="1993"/>
      <c r="BF408" s="1993"/>
      <c r="BG408" s="1993"/>
      <c r="BH408" s="1993"/>
      <c r="BI408" s="1993"/>
      <c r="BJ408" s="1993"/>
      <c r="BK408" s="1993"/>
      <c r="BL408" s="1993"/>
      <c r="BM408" s="1993"/>
      <c r="BN408" s="1993"/>
      <c r="BO408" s="1993"/>
      <c r="BP408" s="1993"/>
      <c r="BQ408" s="1993"/>
      <c r="BR408" s="1993"/>
      <c r="BS408" s="1895"/>
      <c r="BT408" s="1895"/>
      <c r="BU408" s="1895"/>
      <c r="BV408" s="1889"/>
      <c r="BW408" s="1889"/>
      <c r="BX408" s="1889"/>
      <c r="BY408" s="1889"/>
      <c r="BZ408" s="1896"/>
      <c r="CA408" s="1896"/>
      <c r="CB408" s="2022"/>
      <c r="CC408" s="2023"/>
      <c r="CD408" s="2023"/>
      <c r="CE408" s="2023"/>
      <c r="CF408" s="2023"/>
      <c r="CG408" s="2023"/>
      <c r="CH408" s="2023"/>
      <c r="CI408" s="2023"/>
      <c r="CJ408" s="2023"/>
      <c r="CK408" s="2023"/>
      <c r="CL408" s="2023"/>
      <c r="CM408" s="2023"/>
      <c r="CN408" s="2023"/>
      <c r="CO408" s="2023"/>
      <c r="CP408" s="2023"/>
      <c r="CQ408" s="2023"/>
      <c r="CR408" s="2023"/>
      <c r="CS408" s="2023"/>
      <c r="CT408" s="2023"/>
      <c r="CU408" s="2024"/>
      <c r="CV408" s="2360" t="str">
        <f t="shared" si="301"/>
        <v/>
      </c>
      <c r="CW408" s="2360"/>
      <c r="CX408" s="2360"/>
      <c r="CY408" s="2360"/>
      <c r="CZ408" s="2360"/>
      <c r="DA408" s="2360"/>
      <c r="DC408" s="600" t="str">
        <f t="shared" si="406"/>
        <v/>
      </c>
      <c r="DD408" s="381"/>
      <c r="DF408" s="34"/>
      <c r="DG408" s="34"/>
      <c r="DH408" s="34"/>
      <c r="DI408" s="34"/>
      <c r="DJ408" s="858" t="s">
        <v>5637</v>
      </c>
      <c r="DK408" s="1707" t="str">
        <f t="shared" si="347"/>
        <v/>
      </c>
      <c r="DL408" s="1692" t="str">
        <f t="shared" si="348"/>
        <v/>
      </c>
      <c r="DM408" s="1691">
        <f t="shared" si="388"/>
        <v>0</v>
      </c>
      <c r="DN408" s="111">
        <f t="shared" si="304"/>
        <v>0</v>
      </c>
      <c r="DO408" s="111">
        <f t="shared" si="305"/>
        <v>0</v>
      </c>
      <c r="DP408" s="474">
        <f t="shared" si="306"/>
        <v>0</v>
      </c>
      <c r="DQ408" s="123" t="s">
        <v>802</v>
      </c>
      <c r="DR408" s="473" t="str">
        <f t="shared" si="307"/>
        <v>採光の妨げとなる物品の放置の状況</v>
      </c>
      <c r="DS408" s="112">
        <f t="shared" si="308"/>
        <v>0</v>
      </c>
      <c r="DT408" s="118" t="str">
        <f t="shared" si="309"/>
        <v/>
      </c>
      <c r="DU408" s="452" t="str">
        <f t="shared" si="310"/>
        <v/>
      </c>
      <c r="DV408" s="151" t="str">
        <f>IF($DT408="要是正",MAX($DV$366:DV407)+1,"")</f>
        <v/>
      </c>
      <c r="DW408" s="119" t="str">
        <f t="shared" si="311"/>
        <v/>
      </c>
      <c r="DX408" s="119" t="str">
        <f t="shared" si="312"/>
        <v/>
      </c>
      <c r="DY408" s="33" t="str">
        <f t="shared" si="313"/>
        <v/>
      </c>
      <c r="DZ408" s="217" t="str">
        <f t="shared" si="314"/>
        <v/>
      </c>
      <c r="EA408" s="466" t="str">
        <f t="shared" si="315"/>
        <v/>
      </c>
      <c r="EB408" s="234" t="str">
        <f t="shared" si="316"/>
        <v/>
      </c>
      <c r="EC408" s="227" t="str">
        <f t="shared" si="317"/>
        <v>0</v>
      </c>
      <c r="ED408" s="148" t="str">
        <f t="shared" si="349"/>
        <v/>
      </c>
      <c r="EE408" s="227" t="str">
        <f t="shared" si="350"/>
        <v>0</v>
      </c>
      <c r="EF408" s="130" t="str">
        <f t="shared" si="318"/>
        <v/>
      </c>
      <c r="EG408" s="204" t="str">
        <f t="shared" si="319"/>
        <v/>
      </c>
      <c r="EH408" s="134" t="str">
        <f t="shared" si="320"/>
        <v>0</v>
      </c>
      <c r="EI408" s="148" t="str">
        <f t="shared" si="351"/>
        <v/>
      </c>
      <c r="EJ408" s="227" t="str">
        <f t="shared" si="352"/>
        <v>0</v>
      </c>
      <c r="EK408" s="451" t="str">
        <f t="shared" si="321"/>
        <v/>
      </c>
      <c r="EL408" s="452" t="e">
        <f t="shared" si="322"/>
        <v>#N/A</v>
      </c>
      <c r="EM408" s="151" t="e">
        <f t="shared" si="323"/>
        <v>#N/A</v>
      </c>
      <c r="EN408" s="453" t="e">
        <f t="shared" si="324"/>
        <v>#N/A</v>
      </c>
      <c r="FK408" s="597" t="str">
        <f t="shared" si="389"/>
        <v/>
      </c>
      <c r="FL408" s="597" t="str">
        <f t="shared" si="386"/>
        <v/>
      </c>
      <c r="FM408" s="597" t="str">
        <f t="shared" si="387"/>
        <v/>
      </c>
      <c r="FN408" s="597">
        <f t="shared" si="326"/>
        <v>0</v>
      </c>
      <c r="FO408" s="1163" t="str">
        <f t="shared" si="390"/>
        <v/>
      </c>
      <c r="FQ408" s="234" t="str">
        <f t="shared" si="328"/>
        <v/>
      </c>
      <c r="FR408" s="227" t="str">
        <f t="shared" si="329"/>
        <v>0</v>
      </c>
      <c r="FS408" s="148" t="str">
        <f t="shared" si="330"/>
        <v/>
      </c>
      <c r="FT408" s="227" t="str">
        <f t="shared" si="353"/>
        <v>0</v>
      </c>
      <c r="FU408" s="416" t="str">
        <f t="shared" si="331"/>
        <v/>
      </c>
      <c r="FW408" s="1160">
        <f t="shared" si="384"/>
        <v>0</v>
      </c>
      <c r="FX408" s="123"/>
      <c r="FY408" s="123"/>
      <c r="FZ408" s="1161"/>
      <c r="GA408" s="34"/>
      <c r="GB408" s="1149">
        <f t="shared" si="354"/>
        <v>0</v>
      </c>
      <c r="GC408" s="1149">
        <f t="shared" si="355"/>
        <v>0</v>
      </c>
      <c r="GD408" s="1149">
        <f t="shared" si="356"/>
        <v>0</v>
      </c>
      <c r="GE408" s="1149" t="str">
        <f t="shared" si="391"/>
        <v/>
      </c>
      <c r="GF408" s="1149" t="str">
        <f t="shared" si="392"/>
        <v/>
      </c>
      <c r="GG408" s="1149" t="str">
        <f t="shared" si="393"/>
        <v/>
      </c>
      <c r="GH408" s="1149" t="str">
        <f t="shared" si="394"/>
        <v/>
      </c>
      <c r="GI408" s="1149" t="str">
        <f t="shared" si="395"/>
        <v/>
      </c>
      <c r="GJ408" s="1149" t="str">
        <f t="shared" si="396"/>
        <v/>
      </c>
      <c r="GK408" s="1149" t="str">
        <f t="shared" si="397"/>
        <v/>
      </c>
      <c r="GL408" s="1149" t="str">
        <f t="shared" si="398"/>
        <v/>
      </c>
      <c r="GM408" s="1149" t="str">
        <f t="shared" si="399"/>
        <v/>
      </c>
      <c r="GN408" s="1149" t="str">
        <f t="shared" si="400"/>
        <v/>
      </c>
      <c r="GO408" s="1149" t="str">
        <f t="shared" si="401"/>
        <v/>
      </c>
      <c r="GP408" s="1149" t="str">
        <f t="shared" si="402"/>
        <v/>
      </c>
      <c r="GQ408" s="1149" t="str">
        <f t="shared" si="403"/>
        <v/>
      </c>
      <c r="GR408" s="1149" t="str">
        <f t="shared" si="404"/>
        <v/>
      </c>
      <c r="GS408" s="1149" t="str">
        <f t="shared" si="405"/>
        <v/>
      </c>
      <c r="GT408" s="1149">
        <f t="shared" si="357"/>
        <v>0</v>
      </c>
      <c r="GU408" s="1149">
        <f t="shared" si="358"/>
        <v>0</v>
      </c>
      <c r="GV408" s="1149">
        <f t="shared" si="359"/>
        <v>0</v>
      </c>
      <c r="GW408" s="1149" t="b">
        <f t="shared" si="360"/>
        <v>0</v>
      </c>
      <c r="GX408" s="1149" t="b">
        <f t="shared" si="361"/>
        <v>0</v>
      </c>
      <c r="GY408" s="1149" t="b">
        <f t="shared" si="362"/>
        <v>0</v>
      </c>
      <c r="GZ408" s="1149" t="str">
        <f t="shared" si="385"/>
        <v/>
      </c>
      <c r="HB408" s="1149" t="str">
        <f t="shared" si="363"/>
        <v/>
      </c>
      <c r="HC408" s="1149" t="str">
        <f t="shared" si="364"/>
        <v/>
      </c>
      <c r="HD408" s="1149" t="str">
        <f t="shared" si="365"/>
        <v/>
      </c>
      <c r="HE408" s="1149" t="str">
        <f t="shared" si="366"/>
        <v/>
      </c>
      <c r="HF408" s="1149" t="str">
        <f t="shared" si="367"/>
        <v/>
      </c>
      <c r="HG408" s="1149" t="str">
        <f t="shared" si="368"/>
        <v/>
      </c>
      <c r="HH408" s="1149" t="str">
        <f t="shared" si="369"/>
        <v/>
      </c>
      <c r="HI408" s="1149" t="str">
        <f t="shared" si="370"/>
        <v/>
      </c>
      <c r="HJ408" s="1149" t="str">
        <f t="shared" si="371"/>
        <v/>
      </c>
      <c r="HK408" s="1149" t="str">
        <f t="shared" si="372"/>
        <v/>
      </c>
      <c r="HL408" s="1149" t="str">
        <f t="shared" si="373"/>
        <v/>
      </c>
      <c r="HM408" s="1149" t="str">
        <f t="shared" si="374"/>
        <v/>
      </c>
      <c r="HN408" s="1149" t="str">
        <f t="shared" si="375"/>
        <v/>
      </c>
      <c r="HO408" s="1149" t="str">
        <f t="shared" si="376"/>
        <v/>
      </c>
      <c r="HP408" s="1149" t="str">
        <f t="shared" si="377"/>
        <v/>
      </c>
      <c r="HQ408" s="1149" t="str">
        <f t="shared" si="378"/>
        <v/>
      </c>
      <c r="HR408" s="1149" t="str">
        <f t="shared" si="379"/>
        <v/>
      </c>
      <c r="HT408" s="1149">
        <f>LEFT(M408,1)*10000+MID(M408,3,LEN(M408)-3)*100+COUNTIF($M$307:M408,M408)</f>
        <v>43901</v>
      </c>
      <c r="HU408" s="1149" t="str">
        <f t="shared" si="380"/>
        <v/>
      </c>
      <c r="HV408" s="1149" t="str">
        <f t="shared" si="381"/>
        <v/>
      </c>
      <c r="HW408" s="1149" t="str">
        <f t="shared" si="382"/>
        <v/>
      </c>
      <c r="HX408" s="1149" t="str">
        <f t="shared" si="383"/>
        <v/>
      </c>
    </row>
    <row r="409" spans="1:232" s="69" customFormat="1" ht="50.15" customHeight="1">
      <c r="A409" s="645"/>
      <c r="B409" s="645"/>
      <c r="C409" s="645"/>
      <c r="D409" s="645"/>
      <c r="E409" s="646"/>
      <c r="F409" s="381"/>
      <c r="G409" s="381"/>
      <c r="H409" s="381"/>
      <c r="I409" s="1169"/>
      <c r="J409" s="80"/>
      <c r="K409" s="89"/>
      <c r="L409" s="89"/>
      <c r="M409" s="1967" t="s">
        <v>1261</v>
      </c>
      <c r="N409" s="1967"/>
      <c r="O409" s="1968"/>
      <c r="P409" s="1966"/>
      <c r="Q409" s="1966"/>
      <c r="R409" s="1966"/>
      <c r="S409" s="1966"/>
      <c r="T409" s="1966"/>
      <c r="U409" s="1899" t="s">
        <v>106</v>
      </c>
      <c r="V409" s="1899"/>
      <c r="W409" s="1899"/>
      <c r="X409" s="1899"/>
      <c r="Y409" s="1899"/>
      <c r="Z409" s="1899"/>
      <c r="AA409" s="1899"/>
      <c r="AB409" s="1899"/>
      <c r="AC409" s="1899"/>
      <c r="AD409" s="1899"/>
      <c r="AE409" s="1899"/>
      <c r="AF409" s="1898"/>
      <c r="AG409" s="1898"/>
      <c r="AH409" s="1898"/>
      <c r="AI409" s="1898"/>
      <c r="AJ409" s="1898"/>
      <c r="AK409" s="1898"/>
      <c r="AL409" s="1898"/>
      <c r="AM409" s="1898"/>
      <c r="AN409" s="1898"/>
      <c r="AO409" s="1898"/>
      <c r="AP409" s="1898"/>
      <c r="AQ409" s="1898"/>
      <c r="AR409" s="1910"/>
      <c r="AS409" s="1910"/>
      <c r="AT409" s="1993"/>
      <c r="AU409" s="1993"/>
      <c r="AV409" s="1993"/>
      <c r="AW409" s="1993"/>
      <c r="AX409" s="1993"/>
      <c r="AY409" s="1993"/>
      <c r="AZ409" s="1993"/>
      <c r="BA409" s="1993"/>
      <c r="BB409" s="1993"/>
      <c r="BC409" s="1993"/>
      <c r="BD409" s="1993"/>
      <c r="BE409" s="1993"/>
      <c r="BF409" s="1993"/>
      <c r="BG409" s="1993"/>
      <c r="BH409" s="1993"/>
      <c r="BI409" s="1993"/>
      <c r="BJ409" s="1993"/>
      <c r="BK409" s="1993"/>
      <c r="BL409" s="1993"/>
      <c r="BM409" s="1993"/>
      <c r="BN409" s="1993"/>
      <c r="BO409" s="1993"/>
      <c r="BP409" s="1993"/>
      <c r="BQ409" s="1993"/>
      <c r="BR409" s="1993"/>
      <c r="BS409" s="1895"/>
      <c r="BT409" s="1895"/>
      <c r="BU409" s="1895"/>
      <c r="BV409" s="1889"/>
      <c r="BW409" s="1889"/>
      <c r="BX409" s="1889"/>
      <c r="BY409" s="1889"/>
      <c r="BZ409" s="1896"/>
      <c r="CA409" s="1896"/>
      <c r="CB409" s="2022"/>
      <c r="CC409" s="2023"/>
      <c r="CD409" s="2023"/>
      <c r="CE409" s="2023"/>
      <c r="CF409" s="2023"/>
      <c r="CG409" s="2023"/>
      <c r="CH409" s="2023"/>
      <c r="CI409" s="2023"/>
      <c r="CJ409" s="2023"/>
      <c r="CK409" s="2023"/>
      <c r="CL409" s="2023"/>
      <c r="CM409" s="2023"/>
      <c r="CN409" s="2023"/>
      <c r="CO409" s="2023"/>
      <c r="CP409" s="2023"/>
      <c r="CQ409" s="2023"/>
      <c r="CR409" s="2023"/>
      <c r="CS409" s="2023"/>
      <c r="CT409" s="2023"/>
      <c r="CU409" s="2024"/>
      <c r="CV409" s="2360" t="str">
        <f t="shared" si="301"/>
        <v/>
      </c>
      <c r="CW409" s="2360"/>
      <c r="CX409" s="2360"/>
      <c r="CY409" s="2360"/>
      <c r="CZ409" s="2360"/>
      <c r="DA409" s="2360"/>
      <c r="DC409" s="600" t="str">
        <f t="shared" si="406"/>
        <v/>
      </c>
      <c r="DD409" s="381"/>
      <c r="DF409" s="34"/>
      <c r="DG409" s="34"/>
      <c r="DH409" s="34"/>
      <c r="DI409" s="34"/>
      <c r="DJ409" s="858" t="s">
        <v>5637</v>
      </c>
      <c r="DK409" s="1707" t="str">
        <f t="shared" si="347"/>
        <v/>
      </c>
      <c r="DL409" s="1692" t="str">
        <f t="shared" si="348"/>
        <v/>
      </c>
      <c r="DM409" s="1691">
        <f t="shared" si="388"/>
        <v>0</v>
      </c>
      <c r="DN409" s="111">
        <f t="shared" si="304"/>
        <v>0</v>
      </c>
      <c r="DO409" s="111">
        <f t="shared" si="305"/>
        <v>0</v>
      </c>
      <c r="DP409" s="474">
        <f t="shared" si="306"/>
        <v>0</v>
      </c>
      <c r="DQ409" s="123" t="s">
        <v>803</v>
      </c>
      <c r="DR409" s="473" t="str">
        <f t="shared" si="307"/>
        <v>換気のための開口部の面積の確保の状況</v>
      </c>
      <c r="DS409" s="112">
        <f t="shared" si="308"/>
        <v>0</v>
      </c>
      <c r="DT409" s="118" t="str">
        <f t="shared" si="309"/>
        <v/>
      </c>
      <c r="DU409" s="452" t="str">
        <f t="shared" si="310"/>
        <v/>
      </c>
      <c r="DV409" s="151" t="str">
        <f>IF($DT409="要是正",MAX($DV$366:DV408)+1,"")</f>
        <v/>
      </c>
      <c r="DW409" s="119" t="str">
        <f t="shared" si="311"/>
        <v/>
      </c>
      <c r="DX409" s="119" t="str">
        <f t="shared" si="312"/>
        <v/>
      </c>
      <c r="DY409" s="33" t="str">
        <f t="shared" si="313"/>
        <v/>
      </c>
      <c r="DZ409" s="217" t="str">
        <f t="shared" si="314"/>
        <v/>
      </c>
      <c r="EA409" s="466" t="str">
        <f t="shared" si="315"/>
        <v/>
      </c>
      <c r="EB409" s="234" t="str">
        <f t="shared" si="316"/>
        <v/>
      </c>
      <c r="EC409" s="227" t="str">
        <f t="shared" si="317"/>
        <v>0</v>
      </c>
      <c r="ED409" s="148" t="str">
        <f t="shared" si="349"/>
        <v/>
      </c>
      <c r="EE409" s="227" t="str">
        <f t="shared" si="350"/>
        <v>0</v>
      </c>
      <c r="EF409" s="130" t="str">
        <f t="shared" si="318"/>
        <v/>
      </c>
      <c r="EG409" s="204" t="str">
        <f t="shared" si="319"/>
        <v/>
      </c>
      <c r="EH409" s="134" t="str">
        <f t="shared" si="320"/>
        <v>0</v>
      </c>
      <c r="EI409" s="148" t="str">
        <f t="shared" si="351"/>
        <v/>
      </c>
      <c r="EJ409" s="227" t="str">
        <f t="shared" si="352"/>
        <v>0</v>
      </c>
      <c r="EK409" s="451" t="str">
        <f t="shared" si="321"/>
        <v/>
      </c>
      <c r="EL409" s="452" t="e">
        <f t="shared" si="322"/>
        <v>#N/A</v>
      </c>
      <c r="EM409" s="151" t="e">
        <f t="shared" si="323"/>
        <v>#N/A</v>
      </c>
      <c r="EN409" s="453" t="e">
        <f t="shared" si="324"/>
        <v>#N/A</v>
      </c>
      <c r="FK409" s="597" t="str">
        <f t="shared" si="389"/>
        <v/>
      </c>
      <c r="FL409" s="597" t="str">
        <f t="shared" si="386"/>
        <v/>
      </c>
      <c r="FM409" s="597" t="str">
        <f t="shared" si="387"/>
        <v/>
      </c>
      <c r="FN409" s="597">
        <f t="shared" si="326"/>
        <v>0</v>
      </c>
      <c r="FO409" s="1163" t="str">
        <f t="shared" si="390"/>
        <v/>
      </c>
      <c r="FQ409" s="234" t="str">
        <f t="shared" si="328"/>
        <v/>
      </c>
      <c r="FR409" s="227" t="str">
        <f t="shared" si="329"/>
        <v>0</v>
      </c>
      <c r="FS409" s="148" t="str">
        <f t="shared" si="330"/>
        <v/>
      </c>
      <c r="FT409" s="227" t="str">
        <f t="shared" si="353"/>
        <v>0</v>
      </c>
      <c r="FU409" s="416" t="str">
        <f t="shared" si="331"/>
        <v/>
      </c>
      <c r="FW409" s="1160">
        <f t="shared" si="384"/>
        <v>0</v>
      </c>
      <c r="FX409" s="123"/>
      <c r="FY409" s="123"/>
      <c r="FZ409" s="1161"/>
      <c r="GA409" s="34"/>
      <c r="GB409" s="1149">
        <f t="shared" si="354"/>
        <v>0</v>
      </c>
      <c r="GC409" s="1149">
        <f t="shared" si="355"/>
        <v>0</v>
      </c>
      <c r="GD409" s="1149">
        <f t="shared" si="356"/>
        <v>0</v>
      </c>
      <c r="GE409" s="1149" t="str">
        <f t="shared" si="391"/>
        <v/>
      </c>
      <c r="GF409" s="1149" t="str">
        <f t="shared" si="392"/>
        <v/>
      </c>
      <c r="GG409" s="1149" t="str">
        <f t="shared" si="393"/>
        <v/>
      </c>
      <c r="GH409" s="1149" t="str">
        <f t="shared" si="394"/>
        <v/>
      </c>
      <c r="GI409" s="1149" t="str">
        <f t="shared" si="395"/>
        <v/>
      </c>
      <c r="GJ409" s="1149" t="str">
        <f t="shared" si="396"/>
        <v/>
      </c>
      <c r="GK409" s="1149" t="str">
        <f t="shared" si="397"/>
        <v/>
      </c>
      <c r="GL409" s="1149" t="str">
        <f t="shared" si="398"/>
        <v/>
      </c>
      <c r="GM409" s="1149" t="str">
        <f t="shared" si="399"/>
        <v/>
      </c>
      <c r="GN409" s="1149" t="str">
        <f t="shared" si="400"/>
        <v/>
      </c>
      <c r="GO409" s="1149" t="str">
        <f t="shared" si="401"/>
        <v/>
      </c>
      <c r="GP409" s="1149" t="str">
        <f t="shared" si="402"/>
        <v/>
      </c>
      <c r="GQ409" s="1149" t="str">
        <f t="shared" si="403"/>
        <v/>
      </c>
      <c r="GR409" s="1149" t="str">
        <f t="shared" si="404"/>
        <v/>
      </c>
      <c r="GS409" s="1149" t="str">
        <f t="shared" si="405"/>
        <v/>
      </c>
      <c r="GT409" s="1149">
        <f t="shared" si="357"/>
        <v>0</v>
      </c>
      <c r="GU409" s="1149">
        <f t="shared" si="358"/>
        <v>0</v>
      </c>
      <c r="GV409" s="1149">
        <f t="shared" si="359"/>
        <v>0</v>
      </c>
      <c r="GW409" s="1149" t="b">
        <f t="shared" si="360"/>
        <v>0</v>
      </c>
      <c r="GX409" s="1149" t="b">
        <f t="shared" si="361"/>
        <v>0</v>
      </c>
      <c r="GY409" s="1149" t="b">
        <f t="shared" si="362"/>
        <v>0</v>
      </c>
      <c r="GZ409" s="1149" t="str">
        <f t="shared" si="385"/>
        <v/>
      </c>
      <c r="HB409" s="1149" t="str">
        <f t="shared" si="363"/>
        <v/>
      </c>
      <c r="HC409" s="1149" t="str">
        <f t="shared" si="364"/>
        <v/>
      </c>
      <c r="HD409" s="1149" t="str">
        <f t="shared" si="365"/>
        <v/>
      </c>
      <c r="HE409" s="1149" t="str">
        <f t="shared" si="366"/>
        <v/>
      </c>
      <c r="HF409" s="1149" t="str">
        <f t="shared" si="367"/>
        <v/>
      </c>
      <c r="HG409" s="1149" t="str">
        <f t="shared" si="368"/>
        <v/>
      </c>
      <c r="HH409" s="1149" t="str">
        <f t="shared" si="369"/>
        <v/>
      </c>
      <c r="HI409" s="1149" t="str">
        <f t="shared" si="370"/>
        <v/>
      </c>
      <c r="HJ409" s="1149" t="str">
        <f t="shared" si="371"/>
        <v/>
      </c>
      <c r="HK409" s="1149" t="str">
        <f t="shared" si="372"/>
        <v/>
      </c>
      <c r="HL409" s="1149" t="str">
        <f t="shared" si="373"/>
        <v/>
      </c>
      <c r="HM409" s="1149" t="str">
        <f t="shared" si="374"/>
        <v/>
      </c>
      <c r="HN409" s="1149" t="str">
        <f t="shared" si="375"/>
        <v/>
      </c>
      <c r="HO409" s="1149" t="str">
        <f t="shared" si="376"/>
        <v/>
      </c>
      <c r="HP409" s="1149" t="str">
        <f t="shared" si="377"/>
        <v/>
      </c>
      <c r="HQ409" s="1149" t="str">
        <f t="shared" si="378"/>
        <v/>
      </c>
      <c r="HR409" s="1149" t="str">
        <f t="shared" si="379"/>
        <v/>
      </c>
      <c r="HT409" s="1149">
        <f>LEFT(M409,1)*10000+MID(M409,3,LEN(M409)-3)*100+COUNTIF($M$307:M409,M409)</f>
        <v>44001</v>
      </c>
      <c r="HU409" s="1149" t="str">
        <f t="shared" si="380"/>
        <v/>
      </c>
      <c r="HV409" s="1149" t="str">
        <f t="shared" si="381"/>
        <v/>
      </c>
      <c r="HW409" s="1149" t="str">
        <f t="shared" si="382"/>
        <v/>
      </c>
      <c r="HX409" s="1149" t="str">
        <f t="shared" si="383"/>
        <v/>
      </c>
    </row>
    <row r="410" spans="1:232" s="69" customFormat="1" ht="50.15" customHeight="1">
      <c r="A410" s="645"/>
      <c r="B410" s="645"/>
      <c r="C410" s="645"/>
      <c r="D410" s="645"/>
      <c r="E410" s="646"/>
      <c r="F410" s="381"/>
      <c r="G410" s="381"/>
      <c r="H410" s="381"/>
      <c r="I410" s="1169"/>
      <c r="J410" s="80"/>
      <c r="K410" s="89"/>
      <c r="L410" s="89"/>
      <c r="M410" s="1967" t="s">
        <v>1262</v>
      </c>
      <c r="N410" s="1967"/>
      <c r="O410" s="1968"/>
      <c r="P410" s="1966"/>
      <c r="Q410" s="1966"/>
      <c r="R410" s="1966"/>
      <c r="S410" s="1966"/>
      <c r="T410" s="1966"/>
      <c r="U410" s="1899" t="s">
        <v>107</v>
      </c>
      <c r="V410" s="1899"/>
      <c r="W410" s="1899"/>
      <c r="X410" s="1899"/>
      <c r="Y410" s="1899"/>
      <c r="Z410" s="1899"/>
      <c r="AA410" s="1899"/>
      <c r="AB410" s="1899"/>
      <c r="AC410" s="1899"/>
      <c r="AD410" s="1899"/>
      <c r="AE410" s="1899"/>
      <c r="AF410" s="1898"/>
      <c r="AG410" s="1898"/>
      <c r="AH410" s="1898"/>
      <c r="AI410" s="1898"/>
      <c r="AJ410" s="1898"/>
      <c r="AK410" s="1898"/>
      <c r="AL410" s="1898"/>
      <c r="AM410" s="1898"/>
      <c r="AN410" s="1898"/>
      <c r="AO410" s="1898"/>
      <c r="AP410" s="1898"/>
      <c r="AQ410" s="1898"/>
      <c r="AR410" s="1910"/>
      <c r="AS410" s="1910"/>
      <c r="AT410" s="1993"/>
      <c r="AU410" s="1993"/>
      <c r="AV410" s="1993"/>
      <c r="AW410" s="1993"/>
      <c r="AX410" s="1993"/>
      <c r="AY410" s="1993"/>
      <c r="AZ410" s="1993"/>
      <c r="BA410" s="1993"/>
      <c r="BB410" s="1993"/>
      <c r="BC410" s="1993"/>
      <c r="BD410" s="1993"/>
      <c r="BE410" s="1993"/>
      <c r="BF410" s="1993"/>
      <c r="BG410" s="1993"/>
      <c r="BH410" s="1993"/>
      <c r="BI410" s="1993"/>
      <c r="BJ410" s="1993"/>
      <c r="BK410" s="1993"/>
      <c r="BL410" s="1993"/>
      <c r="BM410" s="1993"/>
      <c r="BN410" s="1993"/>
      <c r="BO410" s="1993"/>
      <c r="BP410" s="1993"/>
      <c r="BQ410" s="1993"/>
      <c r="BR410" s="1993"/>
      <c r="BS410" s="1895"/>
      <c r="BT410" s="1895"/>
      <c r="BU410" s="1895"/>
      <c r="BV410" s="1889"/>
      <c r="BW410" s="1889"/>
      <c r="BX410" s="1889"/>
      <c r="BY410" s="1889"/>
      <c r="BZ410" s="1896"/>
      <c r="CA410" s="1896"/>
      <c r="CB410" s="2022"/>
      <c r="CC410" s="2023"/>
      <c r="CD410" s="2023"/>
      <c r="CE410" s="2023"/>
      <c r="CF410" s="2023"/>
      <c r="CG410" s="2023"/>
      <c r="CH410" s="2023"/>
      <c r="CI410" s="2023"/>
      <c r="CJ410" s="2023"/>
      <c r="CK410" s="2023"/>
      <c r="CL410" s="2023"/>
      <c r="CM410" s="2023"/>
      <c r="CN410" s="2023"/>
      <c r="CO410" s="2023"/>
      <c r="CP410" s="2023"/>
      <c r="CQ410" s="2023"/>
      <c r="CR410" s="2023"/>
      <c r="CS410" s="2023"/>
      <c r="CT410" s="2023"/>
      <c r="CU410" s="2024"/>
      <c r="CV410" s="2360" t="str">
        <f t="shared" si="301"/>
        <v/>
      </c>
      <c r="CW410" s="2360"/>
      <c r="CX410" s="2360"/>
      <c r="CY410" s="2360"/>
      <c r="CZ410" s="2360"/>
      <c r="DA410" s="2360"/>
      <c r="DC410" s="600" t="str">
        <f t="shared" si="406"/>
        <v/>
      </c>
      <c r="DD410" s="381"/>
      <c r="DF410" s="34"/>
      <c r="DG410" s="34"/>
      <c r="DH410" s="34"/>
      <c r="DI410" s="34"/>
      <c r="DJ410" s="858" t="s">
        <v>5637</v>
      </c>
      <c r="DK410" s="1707" t="str">
        <f t="shared" si="347"/>
        <v/>
      </c>
      <c r="DL410" s="1692" t="str">
        <f t="shared" si="348"/>
        <v/>
      </c>
      <c r="DM410" s="1691">
        <f t="shared" si="388"/>
        <v>0</v>
      </c>
      <c r="DN410" s="111">
        <f t="shared" si="304"/>
        <v>0</v>
      </c>
      <c r="DO410" s="111">
        <f t="shared" si="305"/>
        <v>0</v>
      </c>
      <c r="DP410" s="474">
        <f t="shared" si="306"/>
        <v>0</v>
      </c>
      <c r="DQ410" s="123" t="s">
        <v>804</v>
      </c>
      <c r="DR410" s="473" t="str">
        <f t="shared" si="307"/>
        <v>換気設備の設置の状況</v>
      </c>
      <c r="DS410" s="112">
        <f t="shared" si="308"/>
        <v>0</v>
      </c>
      <c r="DT410" s="118" t="str">
        <f t="shared" si="309"/>
        <v/>
      </c>
      <c r="DU410" s="452" t="str">
        <f t="shared" si="310"/>
        <v/>
      </c>
      <c r="DV410" s="151" t="str">
        <f>IF($DT410="要是正",MAX($DV$366:DV409)+1,"")</f>
        <v/>
      </c>
      <c r="DW410" s="119" t="str">
        <f t="shared" si="311"/>
        <v/>
      </c>
      <c r="DX410" s="119" t="str">
        <f t="shared" si="312"/>
        <v/>
      </c>
      <c r="DY410" s="33" t="str">
        <f t="shared" si="313"/>
        <v/>
      </c>
      <c r="DZ410" s="217" t="str">
        <f t="shared" si="314"/>
        <v/>
      </c>
      <c r="EA410" s="466" t="str">
        <f t="shared" si="315"/>
        <v/>
      </c>
      <c r="EB410" s="234" t="str">
        <f t="shared" si="316"/>
        <v/>
      </c>
      <c r="EC410" s="227" t="str">
        <f t="shared" si="317"/>
        <v>0</v>
      </c>
      <c r="ED410" s="148" t="str">
        <f t="shared" si="349"/>
        <v/>
      </c>
      <c r="EE410" s="227" t="str">
        <f t="shared" si="350"/>
        <v>0</v>
      </c>
      <c r="EF410" s="130" t="str">
        <f t="shared" si="318"/>
        <v/>
      </c>
      <c r="EG410" s="204" t="str">
        <f t="shared" si="319"/>
        <v/>
      </c>
      <c r="EH410" s="134" t="str">
        <f t="shared" si="320"/>
        <v>0</v>
      </c>
      <c r="EI410" s="148" t="str">
        <f t="shared" si="351"/>
        <v/>
      </c>
      <c r="EJ410" s="227" t="str">
        <f t="shared" si="352"/>
        <v>0</v>
      </c>
      <c r="EK410" s="451" t="str">
        <f t="shared" si="321"/>
        <v/>
      </c>
      <c r="EL410" s="452" t="e">
        <f t="shared" si="322"/>
        <v>#N/A</v>
      </c>
      <c r="EM410" s="151" t="e">
        <f t="shared" si="323"/>
        <v>#N/A</v>
      </c>
      <c r="EN410" s="453" t="e">
        <f t="shared" si="324"/>
        <v>#N/A</v>
      </c>
      <c r="FK410" s="597" t="str">
        <f t="shared" si="389"/>
        <v/>
      </c>
      <c r="FL410" s="597" t="str">
        <f t="shared" si="386"/>
        <v/>
      </c>
      <c r="FM410" s="597" t="str">
        <f t="shared" si="387"/>
        <v/>
      </c>
      <c r="FN410" s="597">
        <f t="shared" si="326"/>
        <v>0</v>
      </c>
      <c r="FO410" s="1163" t="str">
        <f t="shared" si="390"/>
        <v/>
      </c>
      <c r="FQ410" s="234" t="str">
        <f t="shared" si="328"/>
        <v/>
      </c>
      <c r="FR410" s="227" t="str">
        <f t="shared" si="329"/>
        <v>0</v>
      </c>
      <c r="FS410" s="148" t="str">
        <f t="shared" si="330"/>
        <v/>
      </c>
      <c r="FT410" s="227" t="str">
        <f t="shared" si="353"/>
        <v>0</v>
      </c>
      <c r="FU410" s="416" t="str">
        <f t="shared" si="331"/>
        <v/>
      </c>
      <c r="FW410" s="1160">
        <f t="shared" si="384"/>
        <v>0</v>
      </c>
      <c r="FX410" s="123"/>
      <c r="FY410" s="123"/>
      <c r="FZ410" s="1161"/>
      <c r="GA410" s="34"/>
      <c r="GB410" s="1149">
        <f t="shared" si="354"/>
        <v>0</v>
      </c>
      <c r="GC410" s="1149">
        <f t="shared" si="355"/>
        <v>0</v>
      </c>
      <c r="GD410" s="1149">
        <f t="shared" si="356"/>
        <v>0</v>
      </c>
      <c r="GE410" s="1149" t="str">
        <f t="shared" si="391"/>
        <v/>
      </c>
      <c r="GF410" s="1149" t="str">
        <f t="shared" si="392"/>
        <v/>
      </c>
      <c r="GG410" s="1149" t="str">
        <f t="shared" si="393"/>
        <v/>
      </c>
      <c r="GH410" s="1149" t="str">
        <f t="shared" si="394"/>
        <v/>
      </c>
      <c r="GI410" s="1149" t="str">
        <f t="shared" si="395"/>
        <v/>
      </c>
      <c r="GJ410" s="1149" t="str">
        <f t="shared" si="396"/>
        <v/>
      </c>
      <c r="GK410" s="1149" t="str">
        <f t="shared" si="397"/>
        <v/>
      </c>
      <c r="GL410" s="1149" t="str">
        <f t="shared" si="398"/>
        <v/>
      </c>
      <c r="GM410" s="1149" t="str">
        <f t="shared" si="399"/>
        <v/>
      </c>
      <c r="GN410" s="1149" t="str">
        <f t="shared" si="400"/>
        <v/>
      </c>
      <c r="GO410" s="1149" t="str">
        <f t="shared" si="401"/>
        <v/>
      </c>
      <c r="GP410" s="1149" t="str">
        <f t="shared" si="402"/>
        <v/>
      </c>
      <c r="GQ410" s="1149" t="str">
        <f t="shared" si="403"/>
        <v/>
      </c>
      <c r="GR410" s="1149" t="str">
        <f t="shared" si="404"/>
        <v/>
      </c>
      <c r="GS410" s="1149" t="str">
        <f t="shared" si="405"/>
        <v/>
      </c>
      <c r="GT410" s="1149">
        <f t="shared" si="357"/>
        <v>0</v>
      </c>
      <c r="GU410" s="1149">
        <f t="shared" si="358"/>
        <v>0</v>
      </c>
      <c r="GV410" s="1149">
        <f t="shared" si="359"/>
        <v>0</v>
      </c>
      <c r="GW410" s="1149" t="b">
        <f t="shared" si="360"/>
        <v>0</v>
      </c>
      <c r="GX410" s="1149" t="b">
        <f t="shared" si="361"/>
        <v>0</v>
      </c>
      <c r="GY410" s="1149" t="b">
        <f t="shared" si="362"/>
        <v>0</v>
      </c>
      <c r="GZ410" s="1149" t="str">
        <f t="shared" si="385"/>
        <v/>
      </c>
      <c r="HB410" s="1149" t="str">
        <f t="shared" si="363"/>
        <v/>
      </c>
      <c r="HC410" s="1149" t="str">
        <f t="shared" si="364"/>
        <v/>
      </c>
      <c r="HD410" s="1149" t="str">
        <f t="shared" si="365"/>
        <v/>
      </c>
      <c r="HE410" s="1149" t="str">
        <f t="shared" si="366"/>
        <v/>
      </c>
      <c r="HF410" s="1149" t="str">
        <f t="shared" si="367"/>
        <v/>
      </c>
      <c r="HG410" s="1149" t="str">
        <f t="shared" si="368"/>
        <v/>
      </c>
      <c r="HH410" s="1149" t="str">
        <f t="shared" si="369"/>
        <v/>
      </c>
      <c r="HI410" s="1149" t="str">
        <f t="shared" si="370"/>
        <v/>
      </c>
      <c r="HJ410" s="1149" t="str">
        <f t="shared" si="371"/>
        <v/>
      </c>
      <c r="HK410" s="1149" t="str">
        <f t="shared" si="372"/>
        <v/>
      </c>
      <c r="HL410" s="1149" t="str">
        <f t="shared" si="373"/>
        <v/>
      </c>
      <c r="HM410" s="1149" t="str">
        <f t="shared" si="374"/>
        <v/>
      </c>
      <c r="HN410" s="1149" t="str">
        <f t="shared" si="375"/>
        <v/>
      </c>
      <c r="HO410" s="1149" t="str">
        <f t="shared" si="376"/>
        <v/>
      </c>
      <c r="HP410" s="1149" t="str">
        <f t="shared" si="377"/>
        <v/>
      </c>
      <c r="HQ410" s="1149" t="str">
        <f t="shared" si="378"/>
        <v/>
      </c>
      <c r="HR410" s="1149" t="str">
        <f t="shared" si="379"/>
        <v/>
      </c>
      <c r="HT410" s="1149">
        <f>LEFT(M410,1)*10000+MID(M410,3,LEN(M410)-3)*100+COUNTIF($M$307:M410,M410)</f>
        <v>44101</v>
      </c>
      <c r="HU410" s="1149" t="str">
        <f t="shared" si="380"/>
        <v/>
      </c>
      <c r="HV410" s="1149" t="str">
        <f t="shared" si="381"/>
        <v/>
      </c>
      <c r="HW410" s="1149" t="str">
        <f t="shared" si="382"/>
        <v/>
      </c>
      <c r="HX410" s="1149" t="str">
        <f t="shared" si="383"/>
        <v/>
      </c>
    </row>
    <row r="411" spans="1:232" s="69" customFormat="1" ht="50.15" customHeight="1">
      <c r="A411" s="645"/>
      <c r="B411" s="645"/>
      <c r="C411" s="645"/>
      <c r="D411" s="645"/>
      <c r="E411" s="646"/>
      <c r="F411" s="381"/>
      <c r="G411" s="381"/>
      <c r="H411" s="381"/>
      <c r="I411" s="1169"/>
      <c r="J411" s="80"/>
      <c r="K411" s="89"/>
      <c r="L411" s="89"/>
      <c r="M411" s="1967" t="s">
        <v>1263</v>
      </c>
      <c r="N411" s="1967"/>
      <c r="O411" s="1968"/>
      <c r="P411" s="1966"/>
      <c r="Q411" s="1966"/>
      <c r="R411" s="1966"/>
      <c r="S411" s="1966"/>
      <c r="T411" s="1966"/>
      <c r="U411" s="1899" t="s">
        <v>108</v>
      </c>
      <c r="V411" s="1899"/>
      <c r="W411" s="1899"/>
      <c r="X411" s="1899"/>
      <c r="Y411" s="1899"/>
      <c r="Z411" s="1899"/>
      <c r="AA411" s="1899"/>
      <c r="AB411" s="1899"/>
      <c r="AC411" s="1899"/>
      <c r="AD411" s="1899"/>
      <c r="AE411" s="1899"/>
      <c r="AF411" s="1898"/>
      <c r="AG411" s="1898"/>
      <c r="AH411" s="1898"/>
      <c r="AI411" s="1898"/>
      <c r="AJ411" s="1898"/>
      <c r="AK411" s="1898"/>
      <c r="AL411" s="1898"/>
      <c r="AM411" s="1898"/>
      <c r="AN411" s="1898"/>
      <c r="AO411" s="1898"/>
      <c r="AP411" s="1898"/>
      <c r="AQ411" s="1898"/>
      <c r="AR411" s="1910"/>
      <c r="AS411" s="1910"/>
      <c r="AT411" s="1993"/>
      <c r="AU411" s="1993"/>
      <c r="AV411" s="1993"/>
      <c r="AW411" s="1993"/>
      <c r="AX411" s="1993"/>
      <c r="AY411" s="1993"/>
      <c r="AZ411" s="1993"/>
      <c r="BA411" s="1993"/>
      <c r="BB411" s="1993"/>
      <c r="BC411" s="1993"/>
      <c r="BD411" s="1993"/>
      <c r="BE411" s="1993"/>
      <c r="BF411" s="1993"/>
      <c r="BG411" s="1993"/>
      <c r="BH411" s="1993"/>
      <c r="BI411" s="1993"/>
      <c r="BJ411" s="1993"/>
      <c r="BK411" s="1993"/>
      <c r="BL411" s="1993"/>
      <c r="BM411" s="1993"/>
      <c r="BN411" s="1993"/>
      <c r="BO411" s="1993"/>
      <c r="BP411" s="1993"/>
      <c r="BQ411" s="1993"/>
      <c r="BR411" s="1993"/>
      <c r="BS411" s="1895"/>
      <c r="BT411" s="1895"/>
      <c r="BU411" s="1895"/>
      <c r="BV411" s="1889"/>
      <c r="BW411" s="1889"/>
      <c r="BX411" s="1889"/>
      <c r="BY411" s="1889"/>
      <c r="BZ411" s="1896"/>
      <c r="CA411" s="1896"/>
      <c r="CB411" s="2532" t="str">
        <f>IF(DP270=1,"２０設備（法第12条第三項関係など）に未設置と記載あり","")</f>
        <v/>
      </c>
      <c r="CC411" s="2533"/>
      <c r="CD411" s="2533"/>
      <c r="CE411" s="2533"/>
      <c r="CF411" s="2533"/>
      <c r="CG411" s="2533"/>
      <c r="CH411" s="2533"/>
      <c r="CI411" s="2533"/>
      <c r="CJ411" s="2533"/>
      <c r="CK411" s="2533"/>
      <c r="CL411" s="2533"/>
      <c r="CM411" s="2533"/>
      <c r="CN411" s="2533"/>
      <c r="CO411" s="2533"/>
      <c r="CP411" s="2533"/>
      <c r="CQ411" s="2533"/>
      <c r="CR411" s="2533"/>
      <c r="CS411" s="2533"/>
      <c r="CT411" s="2533"/>
      <c r="CU411" s="2534"/>
      <c r="CV411" s="2360" t="str">
        <f t="shared" si="301"/>
        <v/>
      </c>
      <c r="CW411" s="2360"/>
      <c r="CX411" s="2360"/>
      <c r="CY411" s="2360"/>
      <c r="CZ411" s="2360"/>
      <c r="DA411" s="2360"/>
      <c r="DC411" s="600" t="str">
        <f t="shared" si="406"/>
        <v/>
      </c>
      <c r="DD411" s="381"/>
      <c r="DF411" s="34"/>
      <c r="DG411" s="34"/>
      <c r="DH411" s="34"/>
      <c r="DI411" s="34"/>
      <c r="DJ411" s="858" t="s">
        <v>5637</v>
      </c>
      <c r="DK411" s="1707" t="str">
        <f t="shared" si="347"/>
        <v/>
      </c>
      <c r="DL411" s="1692" t="str">
        <f t="shared" si="348"/>
        <v/>
      </c>
      <c r="DM411" s="1691">
        <f t="shared" si="388"/>
        <v>0</v>
      </c>
      <c r="DN411" s="111">
        <f t="shared" si="304"/>
        <v>0</v>
      </c>
      <c r="DO411" s="111">
        <f t="shared" si="305"/>
        <v>0</v>
      </c>
      <c r="DP411" s="474">
        <f t="shared" si="306"/>
        <v>0</v>
      </c>
      <c r="DQ411" s="123" t="s">
        <v>805</v>
      </c>
      <c r="DR411" s="473" t="str">
        <f t="shared" si="307"/>
        <v>換気設備の作動の状況</v>
      </c>
      <c r="DS411" s="112">
        <f t="shared" si="308"/>
        <v>0</v>
      </c>
      <c r="DT411" s="118" t="str">
        <f t="shared" si="309"/>
        <v/>
      </c>
      <c r="DU411" s="452" t="str">
        <f t="shared" si="310"/>
        <v/>
      </c>
      <c r="DV411" s="151" t="str">
        <f>IF($DT411="要是正",MAX($DV$366:DV410)+1,"")</f>
        <v/>
      </c>
      <c r="DW411" s="119" t="str">
        <f t="shared" si="311"/>
        <v/>
      </c>
      <c r="DX411" s="119" t="str">
        <f t="shared" si="312"/>
        <v/>
      </c>
      <c r="DY411" s="33" t="str">
        <f t="shared" si="313"/>
        <v/>
      </c>
      <c r="DZ411" s="217" t="str">
        <f t="shared" si="314"/>
        <v/>
      </c>
      <c r="EA411" s="466" t="str">
        <f t="shared" si="315"/>
        <v/>
      </c>
      <c r="EB411" s="234" t="str">
        <f t="shared" si="316"/>
        <v/>
      </c>
      <c r="EC411" s="227" t="str">
        <f t="shared" si="317"/>
        <v>0</v>
      </c>
      <c r="ED411" s="148" t="str">
        <f t="shared" si="349"/>
        <v/>
      </c>
      <c r="EE411" s="227" t="str">
        <f t="shared" si="350"/>
        <v>0</v>
      </c>
      <c r="EF411" s="130" t="str">
        <f t="shared" si="318"/>
        <v/>
      </c>
      <c r="EG411" s="204" t="str">
        <f t="shared" si="319"/>
        <v/>
      </c>
      <c r="EH411" s="134" t="str">
        <f t="shared" si="320"/>
        <v>0</v>
      </c>
      <c r="EI411" s="148" t="str">
        <f t="shared" si="351"/>
        <v/>
      </c>
      <c r="EJ411" s="227" t="str">
        <f t="shared" si="352"/>
        <v>0</v>
      </c>
      <c r="EK411" s="451" t="str">
        <f t="shared" si="321"/>
        <v/>
      </c>
      <c r="EL411" s="452" t="e">
        <f t="shared" si="322"/>
        <v>#N/A</v>
      </c>
      <c r="EM411" s="151" t="e">
        <f t="shared" si="323"/>
        <v>#N/A</v>
      </c>
      <c r="EN411" s="453" t="e">
        <f t="shared" si="324"/>
        <v>#N/A</v>
      </c>
      <c r="FK411" s="597" t="str">
        <f t="shared" si="389"/>
        <v/>
      </c>
      <c r="FL411" s="597" t="str">
        <f t="shared" si="386"/>
        <v/>
      </c>
      <c r="FM411" s="597" t="str">
        <f t="shared" si="387"/>
        <v/>
      </c>
      <c r="FN411" s="597">
        <f t="shared" si="326"/>
        <v>0</v>
      </c>
      <c r="FO411" s="1163" t="str">
        <f t="shared" si="390"/>
        <v/>
      </c>
      <c r="FQ411" s="234" t="str">
        <f t="shared" si="328"/>
        <v/>
      </c>
      <c r="FR411" s="227" t="str">
        <f t="shared" si="329"/>
        <v>0</v>
      </c>
      <c r="FS411" s="148" t="str">
        <f t="shared" si="330"/>
        <v/>
      </c>
      <c r="FT411" s="227" t="str">
        <f t="shared" si="353"/>
        <v>0</v>
      </c>
      <c r="FU411" s="416" t="str">
        <f t="shared" si="331"/>
        <v/>
      </c>
      <c r="FW411" s="1160">
        <f t="shared" si="384"/>
        <v>0</v>
      </c>
      <c r="FX411" s="123"/>
      <c r="FY411" s="123"/>
      <c r="FZ411" s="1161"/>
      <c r="GA411" s="34"/>
      <c r="GB411" s="1149">
        <f t="shared" si="354"/>
        <v>0</v>
      </c>
      <c r="GC411" s="1149">
        <f t="shared" si="355"/>
        <v>0</v>
      </c>
      <c r="GD411" s="1149">
        <f t="shared" si="356"/>
        <v>0</v>
      </c>
      <c r="GE411" s="1149" t="str">
        <f t="shared" si="391"/>
        <v/>
      </c>
      <c r="GF411" s="1149" t="str">
        <f t="shared" si="392"/>
        <v/>
      </c>
      <c r="GG411" s="1149" t="str">
        <f t="shared" si="393"/>
        <v/>
      </c>
      <c r="GH411" s="1149" t="str">
        <f t="shared" si="394"/>
        <v/>
      </c>
      <c r="GI411" s="1149" t="str">
        <f t="shared" si="395"/>
        <v/>
      </c>
      <c r="GJ411" s="1149" t="str">
        <f t="shared" si="396"/>
        <v/>
      </c>
      <c r="GK411" s="1149" t="str">
        <f t="shared" si="397"/>
        <v/>
      </c>
      <c r="GL411" s="1149" t="str">
        <f t="shared" si="398"/>
        <v/>
      </c>
      <c r="GM411" s="1149" t="str">
        <f t="shared" si="399"/>
        <v/>
      </c>
      <c r="GN411" s="1149" t="str">
        <f t="shared" si="400"/>
        <v/>
      </c>
      <c r="GO411" s="1149" t="str">
        <f t="shared" si="401"/>
        <v/>
      </c>
      <c r="GP411" s="1149" t="str">
        <f t="shared" si="402"/>
        <v/>
      </c>
      <c r="GQ411" s="1149" t="str">
        <f t="shared" si="403"/>
        <v/>
      </c>
      <c r="GR411" s="1149" t="str">
        <f t="shared" si="404"/>
        <v/>
      </c>
      <c r="GS411" s="1149" t="str">
        <f t="shared" si="405"/>
        <v/>
      </c>
      <c r="GT411" s="1149">
        <f t="shared" si="357"/>
        <v>0</v>
      </c>
      <c r="GU411" s="1149">
        <f t="shared" si="358"/>
        <v>0</v>
      </c>
      <c r="GV411" s="1149">
        <f t="shared" si="359"/>
        <v>0</v>
      </c>
      <c r="GW411" s="1149" t="b">
        <f t="shared" si="360"/>
        <v>0</v>
      </c>
      <c r="GX411" s="1149" t="b">
        <f t="shared" si="361"/>
        <v>0</v>
      </c>
      <c r="GY411" s="1149" t="b">
        <f t="shared" si="362"/>
        <v>0</v>
      </c>
      <c r="GZ411" s="1149" t="str">
        <f t="shared" si="385"/>
        <v/>
      </c>
      <c r="HB411" s="1149" t="str">
        <f t="shared" si="363"/>
        <v/>
      </c>
      <c r="HC411" s="1149" t="str">
        <f t="shared" si="364"/>
        <v/>
      </c>
      <c r="HD411" s="1149" t="str">
        <f t="shared" si="365"/>
        <v/>
      </c>
      <c r="HE411" s="1149" t="str">
        <f t="shared" si="366"/>
        <v/>
      </c>
      <c r="HF411" s="1149" t="str">
        <f t="shared" si="367"/>
        <v/>
      </c>
      <c r="HG411" s="1149" t="str">
        <f t="shared" si="368"/>
        <v/>
      </c>
      <c r="HH411" s="1149" t="str">
        <f t="shared" si="369"/>
        <v/>
      </c>
      <c r="HI411" s="1149" t="str">
        <f t="shared" si="370"/>
        <v/>
      </c>
      <c r="HJ411" s="1149" t="str">
        <f t="shared" si="371"/>
        <v/>
      </c>
      <c r="HK411" s="1149" t="str">
        <f t="shared" si="372"/>
        <v/>
      </c>
      <c r="HL411" s="1149" t="str">
        <f t="shared" si="373"/>
        <v/>
      </c>
      <c r="HM411" s="1149" t="str">
        <f t="shared" si="374"/>
        <v/>
      </c>
      <c r="HN411" s="1149" t="str">
        <f t="shared" si="375"/>
        <v/>
      </c>
      <c r="HO411" s="1149" t="str">
        <f t="shared" si="376"/>
        <v/>
      </c>
      <c r="HP411" s="1149" t="str">
        <f t="shared" si="377"/>
        <v/>
      </c>
      <c r="HQ411" s="1149" t="str">
        <f t="shared" si="378"/>
        <v/>
      </c>
      <c r="HR411" s="1149" t="str">
        <f t="shared" si="379"/>
        <v/>
      </c>
      <c r="HT411" s="1149">
        <f>LEFT(M411,1)*10000+MID(M411,3,LEN(M411)-3)*100+COUNTIF($M$307:M411,M411)</f>
        <v>44201</v>
      </c>
      <c r="HU411" s="1149" t="str">
        <f t="shared" si="380"/>
        <v/>
      </c>
      <c r="HV411" s="1149" t="str">
        <f t="shared" si="381"/>
        <v/>
      </c>
      <c r="HW411" s="1149" t="str">
        <f t="shared" si="382"/>
        <v/>
      </c>
      <c r="HX411" s="1149" t="str">
        <f t="shared" si="383"/>
        <v/>
      </c>
    </row>
    <row r="412" spans="1:232" s="69" customFormat="1" ht="50.15" customHeight="1">
      <c r="A412" s="645"/>
      <c r="B412" s="645"/>
      <c r="C412" s="645"/>
      <c r="D412" s="645"/>
      <c r="E412" s="646"/>
      <c r="F412" s="381"/>
      <c r="G412" s="381"/>
      <c r="H412" s="381"/>
      <c r="I412" s="1169"/>
      <c r="J412" s="80"/>
      <c r="K412" s="89"/>
      <c r="L412" s="89"/>
      <c r="M412" s="1967" t="s">
        <v>1264</v>
      </c>
      <c r="N412" s="1967"/>
      <c r="O412" s="1968"/>
      <c r="P412" s="1966"/>
      <c r="Q412" s="1966"/>
      <c r="R412" s="1966"/>
      <c r="S412" s="1966"/>
      <c r="T412" s="1966"/>
      <c r="U412" s="1956" t="s">
        <v>109</v>
      </c>
      <c r="V412" s="1956"/>
      <c r="W412" s="1956"/>
      <c r="X412" s="1956"/>
      <c r="Y412" s="1956"/>
      <c r="Z412" s="1956"/>
      <c r="AA412" s="1956"/>
      <c r="AB412" s="1956"/>
      <c r="AC412" s="1956"/>
      <c r="AD412" s="1956"/>
      <c r="AE412" s="1956"/>
      <c r="AF412" s="2025"/>
      <c r="AG412" s="2025"/>
      <c r="AH412" s="2025"/>
      <c r="AI412" s="2025"/>
      <c r="AJ412" s="2025"/>
      <c r="AK412" s="2025"/>
      <c r="AL412" s="2025"/>
      <c r="AM412" s="2025"/>
      <c r="AN412" s="2025"/>
      <c r="AO412" s="2025"/>
      <c r="AP412" s="2025"/>
      <c r="AQ412" s="2025"/>
      <c r="AR412" s="2026"/>
      <c r="AS412" s="2026"/>
      <c r="AT412" s="1997"/>
      <c r="AU412" s="1997"/>
      <c r="AV412" s="1997"/>
      <c r="AW412" s="1997"/>
      <c r="AX412" s="1997"/>
      <c r="AY412" s="1997"/>
      <c r="AZ412" s="1997"/>
      <c r="BA412" s="1997"/>
      <c r="BB412" s="1997"/>
      <c r="BC412" s="1997"/>
      <c r="BD412" s="1997"/>
      <c r="BE412" s="1997"/>
      <c r="BF412" s="1997"/>
      <c r="BG412" s="1997"/>
      <c r="BH412" s="1997"/>
      <c r="BI412" s="1997"/>
      <c r="BJ412" s="1997"/>
      <c r="BK412" s="1997"/>
      <c r="BL412" s="1997"/>
      <c r="BM412" s="1997"/>
      <c r="BN412" s="1997"/>
      <c r="BO412" s="1997"/>
      <c r="BP412" s="1997"/>
      <c r="BQ412" s="1997"/>
      <c r="BR412" s="1997"/>
      <c r="BS412" s="1991"/>
      <c r="BT412" s="1991"/>
      <c r="BU412" s="1991"/>
      <c r="BV412" s="1982"/>
      <c r="BW412" s="1982"/>
      <c r="BX412" s="1982"/>
      <c r="BY412" s="1982"/>
      <c r="BZ412" s="1992"/>
      <c r="CA412" s="1992"/>
      <c r="CB412" s="1892"/>
      <c r="CC412" s="1893"/>
      <c r="CD412" s="1893"/>
      <c r="CE412" s="1893"/>
      <c r="CF412" s="1893"/>
      <c r="CG412" s="1893"/>
      <c r="CH412" s="1893"/>
      <c r="CI412" s="1893"/>
      <c r="CJ412" s="1893"/>
      <c r="CK412" s="1893"/>
      <c r="CL412" s="1893"/>
      <c r="CM412" s="1893"/>
      <c r="CN412" s="1893"/>
      <c r="CO412" s="1893"/>
      <c r="CP412" s="1893"/>
      <c r="CQ412" s="1893"/>
      <c r="CR412" s="1893"/>
      <c r="CS412" s="1893"/>
      <c r="CT412" s="1893"/>
      <c r="CU412" s="1894"/>
      <c r="CV412" s="2360" t="str">
        <f t="shared" si="301"/>
        <v/>
      </c>
      <c r="CW412" s="2360"/>
      <c r="CX412" s="2360"/>
      <c r="CY412" s="2360"/>
      <c r="CZ412" s="2360"/>
      <c r="DA412" s="2360"/>
      <c r="DC412" s="600" t="str">
        <f t="shared" si="406"/>
        <v/>
      </c>
      <c r="DD412" s="381"/>
      <c r="DE412" s="34"/>
      <c r="DF412" s="34"/>
      <c r="DG412" s="34"/>
      <c r="DH412" s="34"/>
      <c r="DI412" s="34"/>
      <c r="DJ412" s="858" t="s">
        <v>5637</v>
      </c>
      <c r="DK412" s="1707" t="str">
        <f t="shared" si="347"/>
        <v/>
      </c>
      <c r="DL412" s="1692" t="str">
        <f t="shared" si="348"/>
        <v/>
      </c>
      <c r="DM412" s="1691">
        <f t="shared" si="388"/>
        <v>0</v>
      </c>
      <c r="DN412" s="111">
        <f t="shared" si="304"/>
        <v>0</v>
      </c>
      <c r="DO412" s="111">
        <f t="shared" si="305"/>
        <v>0</v>
      </c>
      <c r="DP412" s="474">
        <f t="shared" si="306"/>
        <v>0</v>
      </c>
      <c r="DQ412" s="123" t="s">
        <v>806</v>
      </c>
      <c r="DR412" s="473" t="str">
        <f t="shared" si="307"/>
        <v>換気の妨げとなる物品の放置の状況</v>
      </c>
      <c r="DS412" s="112">
        <f t="shared" si="308"/>
        <v>0</v>
      </c>
      <c r="DT412" s="118" t="str">
        <f t="shared" si="309"/>
        <v/>
      </c>
      <c r="DU412" s="452" t="str">
        <f t="shared" si="310"/>
        <v/>
      </c>
      <c r="DV412" s="151" t="str">
        <f>IF($DT412="要是正",MAX($DV$366:DV411)+1,"")</f>
        <v/>
      </c>
      <c r="DW412" s="119" t="str">
        <f t="shared" si="311"/>
        <v/>
      </c>
      <c r="DX412" s="119" t="str">
        <f t="shared" si="312"/>
        <v/>
      </c>
      <c r="DY412" s="33" t="str">
        <f t="shared" si="313"/>
        <v/>
      </c>
      <c r="DZ412" s="217" t="str">
        <f t="shared" si="314"/>
        <v/>
      </c>
      <c r="EA412" s="466" t="str">
        <f t="shared" si="315"/>
        <v/>
      </c>
      <c r="EB412" s="234" t="str">
        <f t="shared" si="316"/>
        <v/>
      </c>
      <c r="EC412" s="227" t="str">
        <f t="shared" si="317"/>
        <v>0</v>
      </c>
      <c r="ED412" s="148" t="str">
        <f t="shared" si="349"/>
        <v/>
      </c>
      <c r="EE412" s="227" t="str">
        <f t="shared" si="350"/>
        <v>0</v>
      </c>
      <c r="EF412" s="130" t="str">
        <f t="shared" si="318"/>
        <v/>
      </c>
      <c r="EG412" s="204" t="str">
        <f t="shared" si="319"/>
        <v/>
      </c>
      <c r="EH412" s="134" t="str">
        <f t="shared" si="320"/>
        <v>0</v>
      </c>
      <c r="EI412" s="148" t="str">
        <f t="shared" si="351"/>
        <v/>
      </c>
      <c r="EJ412" s="227" t="str">
        <f t="shared" si="352"/>
        <v>0</v>
      </c>
      <c r="EK412" s="451" t="str">
        <f t="shared" si="321"/>
        <v/>
      </c>
      <c r="EL412" s="452" t="e">
        <f t="shared" si="322"/>
        <v>#N/A</v>
      </c>
      <c r="EM412" s="151" t="e">
        <f t="shared" si="323"/>
        <v>#N/A</v>
      </c>
      <c r="EN412" s="453" t="e">
        <f t="shared" si="324"/>
        <v>#N/A</v>
      </c>
      <c r="FK412" s="597" t="str">
        <f t="shared" si="389"/>
        <v/>
      </c>
      <c r="FL412" s="597" t="str">
        <f t="shared" si="386"/>
        <v/>
      </c>
      <c r="FM412" s="597" t="str">
        <f t="shared" si="387"/>
        <v/>
      </c>
      <c r="FN412" s="597">
        <f t="shared" si="326"/>
        <v>0</v>
      </c>
      <c r="FO412" s="1163" t="str">
        <f t="shared" si="390"/>
        <v/>
      </c>
      <c r="FQ412" s="234" t="str">
        <f t="shared" si="328"/>
        <v/>
      </c>
      <c r="FR412" s="227" t="str">
        <f t="shared" si="329"/>
        <v>0</v>
      </c>
      <c r="FS412" s="148" t="str">
        <f t="shared" si="330"/>
        <v/>
      </c>
      <c r="FT412" s="227" t="str">
        <f t="shared" si="353"/>
        <v>0</v>
      </c>
      <c r="FU412" s="416" t="str">
        <f t="shared" si="331"/>
        <v/>
      </c>
      <c r="FW412" s="1160">
        <f t="shared" si="384"/>
        <v>0</v>
      </c>
      <c r="FX412" s="123"/>
      <c r="FY412" s="123"/>
      <c r="FZ412" s="1161"/>
      <c r="GA412" s="34"/>
      <c r="GB412" s="1149">
        <f t="shared" si="354"/>
        <v>0</v>
      </c>
      <c r="GC412" s="1149">
        <f t="shared" si="355"/>
        <v>0</v>
      </c>
      <c r="GD412" s="1149">
        <f t="shared" si="356"/>
        <v>0</v>
      </c>
      <c r="GE412" s="1149" t="str">
        <f t="shared" si="391"/>
        <v/>
      </c>
      <c r="GF412" s="1149" t="str">
        <f t="shared" si="392"/>
        <v/>
      </c>
      <c r="GG412" s="1149" t="str">
        <f t="shared" si="393"/>
        <v/>
      </c>
      <c r="GH412" s="1149" t="str">
        <f t="shared" si="394"/>
        <v/>
      </c>
      <c r="GI412" s="1149" t="str">
        <f t="shared" si="395"/>
        <v/>
      </c>
      <c r="GJ412" s="1149" t="str">
        <f t="shared" si="396"/>
        <v/>
      </c>
      <c r="GK412" s="1149" t="str">
        <f t="shared" si="397"/>
        <v/>
      </c>
      <c r="GL412" s="1149" t="str">
        <f t="shared" si="398"/>
        <v/>
      </c>
      <c r="GM412" s="1149" t="str">
        <f t="shared" si="399"/>
        <v/>
      </c>
      <c r="GN412" s="1149" t="str">
        <f t="shared" si="400"/>
        <v/>
      </c>
      <c r="GO412" s="1149" t="str">
        <f t="shared" si="401"/>
        <v/>
      </c>
      <c r="GP412" s="1149" t="str">
        <f t="shared" si="402"/>
        <v/>
      </c>
      <c r="GQ412" s="1149" t="str">
        <f t="shared" si="403"/>
        <v/>
      </c>
      <c r="GR412" s="1149" t="str">
        <f t="shared" si="404"/>
        <v/>
      </c>
      <c r="GS412" s="1149" t="str">
        <f t="shared" si="405"/>
        <v/>
      </c>
      <c r="GT412" s="1149">
        <f t="shared" si="357"/>
        <v>0</v>
      </c>
      <c r="GU412" s="1149">
        <f t="shared" si="358"/>
        <v>0</v>
      </c>
      <c r="GV412" s="1149">
        <f t="shared" si="359"/>
        <v>0</v>
      </c>
      <c r="GW412" s="1149" t="b">
        <f t="shared" si="360"/>
        <v>0</v>
      </c>
      <c r="GX412" s="1149" t="b">
        <f t="shared" si="361"/>
        <v>0</v>
      </c>
      <c r="GY412" s="1149" t="b">
        <f t="shared" si="362"/>
        <v>0</v>
      </c>
      <c r="GZ412" s="1149" t="str">
        <f t="shared" si="385"/>
        <v/>
      </c>
      <c r="HB412" s="1149" t="str">
        <f t="shared" si="363"/>
        <v/>
      </c>
      <c r="HC412" s="1149" t="str">
        <f t="shared" si="364"/>
        <v/>
      </c>
      <c r="HD412" s="1149" t="str">
        <f t="shared" si="365"/>
        <v/>
      </c>
      <c r="HE412" s="1149" t="str">
        <f t="shared" si="366"/>
        <v/>
      </c>
      <c r="HF412" s="1149" t="str">
        <f t="shared" si="367"/>
        <v/>
      </c>
      <c r="HG412" s="1149" t="str">
        <f t="shared" si="368"/>
        <v/>
      </c>
      <c r="HH412" s="1149" t="str">
        <f t="shared" si="369"/>
        <v/>
      </c>
      <c r="HI412" s="1149" t="str">
        <f t="shared" si="370"/>
        <v/>
      </c>
      <c r="HJ412" s="1149" t="str">
        <f t="shared" si="371"/>
        <v/>
      </c>
      <c r="HK412" s="1149" t="str">
        <f t="shared" si="372"/>
        <v/>
      </c>
      <c r="HL412" s="1149" t="str">
        <f t="shared" si="373"/>
        <v/>
      </c>
      <c r="HM412" s="1149" t="str">
        <f t="shared" si="374"/>
        <v/>
      </c>
      <c r="HN412" s="1149" t="str">
        <f t="shared" si="375"/>
        <v/>
      </c>
      <c r="HO412" s="1149" t="str">
        <f t="shared" si="376"/>
        <v/>
      </c>
      <c r="HP412" s="1149" t="str">
        <f t="shared" si="377"/>
        <v/>
      </c>
      <c r="HQ412" s="1149" t="str">
        <f t="shared" si="378"/>
        <v/>
      </c>
      <c r="HR412" s="1149" t="str">
        <f t="shared" si="379"/>
        <v/>
      </c>
      <c r="HT412" s="1149">
        <f>LEFT(M412,1)*10000+MID(M412,3,LEN(M412)-3)*100+COUNTIF($M$307:M412,M412)</f>
        <v>44301</v>
      </c>
      <c r="HU412" s="1149" t="str">
        <f t="shared" si="380"/>
        <v/>
      </c>
      <c r="HV412" s="1149" t="str">
        <f t="shared" si="381"/>
        <v/>
      </c>
      <c r="HW412" s="1149" t="str">
        <f t="shared" si="382"/>
        <v/>
      </c>
      <c r="HX412" s="1149" t="str">
        <f t="shared" si="383"/>
        <v/>
      </c>
    </row>
    <row r="413" spans="1:232" s="69" customFormat="1" ht="90" customHeight="1">
      <c r="A413" s="645"/>
      <c r="B413" s="645"/>
      <c r="C413" s="645"/>
      <c r="D413" s="645"/>
      <c r="E413" s="646"/>
      <c r="F413" s="381"/>
      <c r="G413" s="381"/>
      <c r="H413" s="381"/>
      <c r="I413" s="1169"/>
      <c r="J413" s="80"/>
      <c r="K413" s="89"/>
      <c r="L413" s="89"/>
      <c r="M413" s="1967" t="s">
        <v>1265</v>
      </c>
      <c r="N413" s="1967"/>
      <c r="O413" s="1968"/>
      <c r="P413" s="2096" t="s">
        <v>110</v>
      </c>
      <c r="Q413" s="2096"/>
      <c r="R413" s="2096"/>
      <c r="S413" s="2096"/>
      <c r="T413" s="2096"/>
      <c r="U413" s="2011" t="s">
        <v>212</v>
      </c>
      <c r="V413" s="2011"/>
      <c r="W413" s="2011"/>
      <c r="X413" s="2011"/>
      <c r="Y413" s="2011"/>
      <c r="Z413" s="2011"/>
      <c r="AA413" s="2011"/>
      <c r="AB413" s="2011"/>
      <c r="AC413" s="2011"/>
      <c r="AD413" s="2011"/>
      <c r="AE413" s="2011"/>
      <c r="AF413" s="2010"/>
      <c r="AG413" s="2010"/>
      <c r="AH413" s="2010"/>
      <c r="AI413" s="2010"/>
      <c r="AJ413" s="2010"/>
      <c r="AK413" s="2010"/>
      <c r="AL413" s="2010"/>
      <c r="AM413" s="2010"/>
      <c r="AN413" s="2010"/>
      <c r="AO413" s="2010"/>
      <c r="AP413" s="2010"/>
      <c r="AQ413" s="2010"/>
      <c r="AR413" s="2017"/>
      <c r="AS413" s="2017"/>
      <c r="AT413" s="1929"/>
      <c r="AU413" s="1929"/>
      <c r="AV413" s="1929"/>
      <c r="AW413" s="1929"/>
      <c r="AX413" s="1929"/>
      <c r="AY413" s="1929"/>
      <c r="AZ413" s="1929"/>
      <c r="BA413" s="1929"/>
      <c r="BB413" s="1929"/>
      <c r="BC413" s="1929"/>
      <c r="BD413" s="1929"/>
      <c r="BE413" s="1929"/>
      <c r="BF413" s="1929"/>
      <c r="BG413" s="1929"/>
      <c r="BH413" s="1929"/>
      <c r="BI413" s="1929"/>
      <c r="BJ413" s="1929"/>
      <c r="BK413" s="1929"/>
      <c r="BL413" s="1929"/>
      <c r="BM413" s="1929"/>
      <c r="BN413" s="1929"/>
      <c r="BO413" s="1929"/>
      <c r="BP413" s="1929"/>
      <c r="BQ413" s="1929"/>
      <c r="BR413" s="1929"/>
      <c r="BS413" s="1885"/>
      <c r="BT413" s="1885"/>
      <c r="BU413" s="1885"/>
      <c r="BV413" s="1890"/>
      <c r="BW413" s="1890"/>
      <c r="BX413" s="1890"/>
      <c r="BY413" s="1890"/>
      <c r="BZ413" s="1891"/>
      <c r="CA413" s="1891"/>
      <c r="CB413" s="2350" t="s">
        <v>3326</v>
      </c>
      <c r="CC413" s="2351"/>
      <c r="CD413" s="2351"/>
      <c r="CE413" s="2351"/>
      <c r="CF413" s="2351"/>
      <c r="CG413" s="2351"/>
      <c r="CH413" s="2351"/>
      <c r="CI413" s="2351"/>
      <c r="CJ413" s="2351"/>
      <c r="CK413" s="2351"/>
      <c r="CL413" s="2351"/>
      <c r="CM413" s="2351"/>
      <c r="CN413" s="2351"/>
      <c r="CO413" s="2351"/>
      <c r="CP413" s="2351"/>
      <c r="CQ413" s="2351"/>
      <c r="CR413" s="2351"/>
      <c r="CS413" s="2351"/>
      <c r="CT413" s="2351"/>
      <c r="CU413" s="2352"/>
      <c r="CV413" s="2360" t="str">
        <f t="shared" si="301"/>
        <v/>
      </c>
      <c r="CW413" s="2360"/>
      <c r="CX413" s="2360"/>
      <c r="CY413" s="2360"/>
      <c r="CZ413" s="2360"/>
      <c r="DA413" s="2360"/>
      <c r="DC413" s="600" t="str">
        <f t="shared" si="406"/>
        <v/>
      </c>
      <c r="DD413" s="381"/>
      <c r="DE413" s="34"/>
      <c r="DF413" s="34"/>
      <c r="DG413" s="34"/>
      <c r="DH413" s="34"/>
      <c r="DI413" s="34"/>
      <c r="DJ413" s="858" t="s">
        <v>5637</v>
      </c>
      <c r="DK413" s="1707" t="str">
        <f t="shared" si="347"/>
        <v/>
      </c>
      <c r="DL413" s="1692" t="str">
        <f t="shared" si="348"/>
        <v/>
      </c>
      <c r="DM413" s="1697">
        <f t="shared" si="388"/>
        <v>0</v>
      </c>
      <c r="DN413" s="129">
        <f t="shared" si="304"/>
        <v>0</v>
      </c>
      <c r="DO413" s="129">
        <f t="shared" si="305"/>
        <v>0</v>
      </c>
      <c r="DP413" s="526">
        <f t="shared" si="306"/>
        <v>0</v>
      </c>
      <c r="DQ413" s="123" t="s">
        <v>807</v>
      </c>
      <c r="DR413" s="473" t="str">
        <f t="shared" si="307"/>
        <v>吹付け石綿及び吹付けロックウールでその含有する石綿の重量が当該建築材料の重量の0.1パーセントを超えるもの（以下「吹付け石綿等」という。）の使用の状況</v>
      </c>
      <c r="DS413" s="112">
        <f t="shared" si="308"/>
        <v>0</v>
      </c>
      <c r="DT413" s="118" t="str">
        <f t="shared" si="309"/>
        <v/>
      </c>
      <c r="DU413" s="452" t="str">
        <f t="shared" si="310"/>
        <v/>
      </c>
      <c r="DV413" s="137" t="str">
        <f>IF(OR($DT413="要是正",$DT413="既存不適格"),MAX($DV$366:DV412)+1,"")</f>
        <v/>
      </c>
      <c r="DW413" s="119" t="str">
        <f t="shared" si="311"/>
        <v/>
      </c>
      <c r="DX413" s="131" t="str">
        <f>IF($DT413="要是正",$DR413,IF(DT413="既存不適格",DR413&amp;"（既存不適格）",""))</f>
        <v/>
      </c>
      <c r="DY413" s="33" t="str">
        <f>IF($DT413="要是正",$DQ413 &amp;" " &amp; AT413,IF($DT413="既存不適格",$DQ413&amp;" "&amp;AT413&amp;"（"&amp;DT413&amp;"）",""))</f>
        <v/>
      </c>
      <c r="DZ413" s="217" t="str">
        <f t="shared" si="314"/>
        <v/>
      </c>
      <c r="EA413" s="466" t="str">
        <f t="shared" si="315"/>
        <v/>
      </c>
      <c r="EB413" s="219" t="str">
        <f t="shared" si="316"/>
        <v/>
      </c>
      <c r="EC413" s="149" t="str">
        <f t="shared" si="317"/>
        <v>0</v>
      </c>
      <c r="ED413" s="132" t="str">
        <f>IF(OR(DT413="要是正",DT413="既存不適格"),IF(AND(BY413="予定",DS413=2),1,IF(BY413="改善済",2,"")),"")</f>
        <v/>
      </c>
      <c r="EE413" s="227" t="str">
        <f t="shared" ref="EE413:EE416" si="407">IF(ED413=1,EC413,"0")</f>
        <v>0</v>
      </c>
      <c r="EF413" s="132" t="str">
        <f>IF(AND(OR(DT413="要是正",DT413="既存不適格"),AND(DS413=0,BY413="未定")),BY413,"")</f>
        <v/>
      </c>
      <c r="EG413" s="204" t="str">
        <f t="shared" si="319"/>
        <v/>
      </c>
      <c r="EH413" s="134" t="str">
        <f t="shared" si="320"/>
        <v>0</v>
      </c>
      <c r="EI413" s="148" t="str">
        <f t="shared" si="351"/>
        <v/>
      </c>
      <c r="EJ413" s="227" t="str">
        <f t="shared" ref="EJ413:EJ416" si="408">IF(EI413=1,EH413,"0")</f>
        <v>0</v>
      </c>
      <c r="EK413" s="451" t="str">
        <f t="shared" si="321"/>
        <v/>
      </c>
      <c r="EL413" s="452" t="e">
        <f t="shared" si="322"/>
        <v>#N/A</v>
      </c>
      <c r="EM413" s="151" t="e">
        <f t="shared" si="323"/>
        <v>#N/A</v>
      </c>
      <c r="EN413" s="453" t="e">
        <f t="shared" si="324"/>
        <v>#N/A</v>
      </c>
      <c r="FK413" s="597" t="str">
        <f t="shared" si="389"/>
        <v/>
      </c>
      <c r="FL413" s="597" t="str">
        <f t="shared" si="386"/>
        <v/>
      </c>
      <c r="FM413" s="597" t="str">
        <f t="shared" si="387"/>
        <v/>
      </c>
      <c r="FN413" s="597">
        <f t="shared" si="326"/>
        <v>0</v>
      </c>
      <c r="FO413" s="1163" t="str">
        <f t="shared" si="390"/>
        <v/>
      </c>
      <c r="FQ413" s="219" t="str">
        <f t="shared" si="328"/>
        <v/>
      </c>
      <c r="FR413" s="149" t="str">
        <f t="shared" si="329"/>
        <v>0</v>
      </c>
      <c r="FS413" s="132" t="str">
        <f>IF(OR(DT413="要是正",DT413="既存不適格"),IF(AND(BY413="予定",DS413=2),1,IF(BY413="改善済",2,"")),"")</f>
        <v/>
      </c>
      <c r="FT413" s="227" t="str">
        <f t="shared" si="353"/>
        <v>0</v>
      </c>
      <c r="FU413" s="418" t="str">
        <f>IF(AND(OR(DT413="要是正",DT413="既存不適格"),AND(DS413=0,BY413="未定")),BY413,"")</f>
        <v/>
      </c>
      <c r="FW413" s="1160">
        <f t="shared" si="384"/>
        <v>0</v>
      </c>
      <c r="FX413" s="123"/>
      <c r="FY413" s="123"/>
      <c r="FZ413" s="1161"/>
      <c r="GA413" s="34"/>
      <c r="GB413" s="1149">
        <f t="shared" si="354"/>
        <v>0</v>
      </c>
      <c r="GC413" s="1149">
        <f t="shared" si="355"/>
        <v>0</v>
      </c>
      <c r="GD413" s="1149">
        <f t="shared" si="356"/>
        <v>0</v>
      </c>
      <c r="GE413" s="1149" t="str">
        <f t="shared" si="391"/>
        <v/>
      </c>
      <c r="GF413" s="1149" t="str">
        <f t="shared" si="392"/>
        <v/>
      </c>
      <c r="GG413" s="1149" t="str">
        <f t="shared" si="393"/>
        <v/>
      </c>
      <c r="GH413" s="1149" t="str">
        <f t="shared" si="394"/>
        <v/>
      </c>
      <c r="GI413" s="1149" t="str">
        <f t="shared" si="395"/>
        <v/>
      </c>
      <c r="GJ413" s="1149" t="str">
        <f t="shared" si="396"/>
        <v/>
      </c>
      <c r="GK413" s="1149" t="str">
        <f t="shared" si="397"/>
        <v/>
      </c>
      <c r="GL413" s="1149" t="str">
        <f t="shared" si="398"/>
        <v/>
      </c>
      <c r="GM413" s="1149" t="str">
        <f t="shared" si="399"/>
        <v/>
      </c>
      <c r="GN413" s="1149" t="str">
        <f t="shared" si="400"/>
        <v/>
      </c>
      <c r="GO413" s="1149" t="str">
        <f t="shared" si="401"/>
        <v/>
      </c>
      <c r="GP413" s="1149" t="str">
        <f t="shared" si="402"/>
        <v/>
      </c>
      <c r="GQ413" s="1149" t="str">
        <f t="shared" si="403"/>
        <v/>
      </c>
      <c r="GR413" s="1149" t="str">
        <f t="shared" si="404"/>
        <v/>
      </c>
      <c r="GS413" s="1149" t="str">
        <f t="shared" si="405"/>
        <v/>
      </c>
      <c r="GT413" s="1149">
        <f t="shared" si="357"/>
        <v>0</v>
      </c>
      <c r="GU413" s="1149">
        <f t="shared" si="358"/>
        <v>0</v>
      </c>
      <c r="GV413" s="1149">
        <f t="shared" si="359"/>
        <v>0</v>
      </c>
      <c r="GW413" s="1149" t="b">
        <f t="shared" si="360"/>
        <v>0</v>
      </c>
      <c r="GX413" s="1149" t="b">
        <f t="shared" si="361"/>
        <v>0</v>
      </c>
      <c r="GY413" s="1149" t="b">
        <f t="shared" si="362"/>
        <v>0</v>
      </c>
      <c r="GZ413" s="1149" t="str">
        <f t="shared" si="385"/>
        <v/>
      </c>
      <c r="HB413" s="1149" t="str">
        <f t="shared" si="363"/>
        <v/>
      </c>
      <c r="HC413" s="1149" t="str">
        <f t="shared" si="364"/>
        <v/>
      </c>
      <c r="HD413" s="1149" t="str">
        <f t="shared" si="365"/>
        <v/>
      </c>
      <c r="HE413" s="1149" t="str">
        <f t="shared" si="366"/>
        <v/>
      </c>
      <c r="HF413" s="1149" t="str">
        <f t="shared" si="367"/>
        <v/>
      </c>
      <c r="HG413" s="1149" t="str">
        <f t="shared" si="368"/>
        <v/>
      </c>
      <c r="HH413" s="1149" t="str">
        <f t="shared" si="369"/>
        <v/>
      </c>
      <c r="HI413" s="1149" t="str">
        <f t="shared" si="370"/>
        <v/>
      </c>
      <c r="HJ413" s="1149" t="str">
        <f t="shared" si="371"/>
        <v/>
      </c>
      <c r="HK413" s="1149" t="str">
        <f t="shared" si="372"/>
        <v/>
      </c>
      <c r="HL413" s="1149" t="str">
        <f t="shared" si="373"/>
        <v/>
      </c>
      <c r="HM413" s="1149" t="str">
        <f t="shared" si="374"/>
        <v/>
      </c>
      <c r="HN413" s="1149" t="str">
        <f t="shared" si="375"/>
        <v/>
      </c>
      <c r="HO413" s="1149" t="str">
        <f t="shared" si="376"/>
        <v/>
      </c>
      <c r="HP413" s="1149" t="str">
        <f t="shared" si="377"/>
        <v/>
      </c>
      <c r="HQ413" s="1149" t="str">
        <f t="shared" si="378"/>
        <v/>
      </c>
      <c r="HR413" s="1149" t="str">
        <f t="shared" si="379"/>
        <v/>
      </c>
      <c r="HT413" s="1149">
        <f>LEFT(M413,1)*10000+MID(M413,3,LEN(M413)-3)*100+COUNTIF($M$307:M413,M413)</f>
        <v>44401</v>
      </c>
      <c r="HU413" s="1149" t="str">
        <f t="shared" si="380"/>
        <v/>
      </c>
      <c r="HV413" s="1149" t="str">
        <f t="shared" si="381"/>
        <v/>
      </c>
      <c r="HW413" s="1149" t="str">
        <f t="shared" si="382"/>
        <v/>
      </c>
      <c r="HX413" s="1149" t="str">
        <f t="shared" si="383"/>
        <v/>
      </c>
    </row>
    <row r="414" spans="1:232" s="69" customFormat="1" ht="50.15" customHeight="1">
      <c r="A414" s="645"/>
      <c r="B414" s="645"/>
      <c r="C414" s="645"/>
      <c r="D414" s="645"/>
      <c r="E414" s="646"/>
      <c r="F414" s="381"/>
      <c r="G414" s="381"/>
      <c r="H414" s="381"/>
      <c r="I414" s="1169"/>
      <c r="J414" s="80"/>
      <c r="K414" s="89"/>
      <c r="L414" s="89"/>
      <c r="M414" s="1967" t="s">
        <v>1266</v>
      </c>
      <c r="N414" s="1967"/>
      <c r="O414" s="1968"/>
      <c r="P414" s="2029"/>
      <c r="Q414" s="2029"/>
      <c r="R414" s="2029"/>
      <c r="S414" s="2029"/>
      <c r="T414" s="2029"/>
      <c r="U414" s="1899" t="s">
        <v>3071</v>
      </c>
      <c r="V414" s="1899"/>
      <c r="W414" s="1899"/>
      <c r="X414" s="1899"/>
      <c r="Y414" s="1899"/>
      <c r="Z414" s="1899"/>
      <c r="AA414" s="1899"/>
      <c r="AB414" s="1899"/>
      <c r="AC414" s="1899"/>
      <c r="AD414" s="1899"/>
      <c r="AE414" s="1899"/>
      <c r="AF414" s="1898"/>
      <c r="AG414" s="1898"/>
      <c r="AH414" s="1898"/>
      <c r="AI414" s="1898"/>
      <c r="AJ414" s="1898"/>
      <c r="AK414" s="1898"/>
      <c r="AL414" s="1898"/>
      <c r="AM414" s="1898"/>
      <c r="AN414" s="1898"/>
      <c r="AO414" s="1898"/>
      <c r="AP414" s="1898"/>
      <c r="AQ414" s="1898"/>
      <c r="AR414" s="1910"/>
      <c r="AS414" s="1910"/>
      <c r="AT414" s="1993"/>
      <c r="AU414" s="1993"/>
      <c r="AV414" s="1993"/>
      <c r="AW414" s="1993"/>
      <c r="AX414" s="1993"/>
      <c r="AY414" s="1993"/>
      <c r="AZ414" s="1993"/>
      <c r="BA414" s="1993"/>
      <c r="BB414" s="1993"/>
      <c r="BC414" s="1993"/>
      <c r="BD414" s="1993"/>
      <c r="BE414" s="1993"/>
      <c r="BF414" s="1993"/>
      <c r="BG414" s="1993"/>
      <c r="BH414" s="1993"/>
      <c r="BI414" s="1993"/>
      <c r="BJ414" s="1993"/>
      <c r="BK414" s="1993"/>
      <c r="BL414" s="1993"/>
      <c r="BM414" s="1993"/>
      <c r="BN414" s="1993"/>
      <c r="BO414" s="1993"/>
      <c r="BP414" s="1993"/>
      <c r="BQ414" s="1993"/>
      <c r="BR414" s="1993"/>
      <c r="BS414" s="1895"/>
      <c r="BT414" s="1895"/>
      <c r="BU414" s="1895"/>
      <c r="BV414" s="1889"/>
      <c r="BW414" s="1889"/>
      <c r="BX414" s="1889"/>
      <c r="BY414" s="1889"/>
      <c r="BZ414" s="1896"/>
      <c r="CA414" s="1896"/>
      <c r="CB414" s="2560" t="str">
        <f>IF(DX224=1,"１５石綿を添加した建築材料の調査状況に該当なしと記載あり","")</f>
        <v/>
      </c>
      <c r="CC414" s="2561"/>
      <c r="CD414" s="2561"/>
      <c r="CE414" s="2561"/>
      <c r="CF414" s="2561"/>
      <c r="CG414" s="2561"/>
      <c r="CH414" s="2561"/>
      <c r="CI414" s="2561"/>
      <c r="CJ414" s="2561"/>
      <c r="CK414" s="2561"/>
      <c r="CL414" s="2561"/>
      <c r="CM414" s="2561"/>
      <c r="CN414" s="2561"/>
      <c r="CO414" s="2561"/>
      <c r="CP414" s="2561"/>
      <c r="CQ414" s="2561"/>
      <c r="CR414" s="2561"/>
      <c r="CS414" s="2561"/>
      <c r="CT414" s="2561"/>
      <c r="CU414" s="2562"/>
      <c r="CV414" s="2360" t="str">
        <f t="shared" si="301"/>
        <v/>
      </c>
      <c r="CW414" s="2360"/>
      <c r="CX414" s="2360"/>
      <c r="CY414" s="2360"/>
      <c r="CZ414" s="2360"/>
      <c r="DA414" s="2360"/>
      <c r="DC414" s="600" t="str">
        <f t="shared" si="406"/>
        <v/>
      </c>
      <c r="DD414" s="381"/>
      <c r="DE414" s="34"/>
      <c r="DF414" s="34"/>
      <c r="DG414" s="34"/>
      <c r="DH414" s="34"/>
      <c r="DI414" s="34"/>
      <c r="DJ414" s="858" t="s">
        <v>5637</v>
      </c>
      <c r="DK414" s="1707" t="str">
        <f t="shared" si="347"/>
        <v/>
      </c>
      <c r="DL414" s="1692" t="str">
        <f t="shared" si="348"/>
        <v/>
      </c>
      <c r="DM414" s="1697">
        <f t="shared" si="388"/>
        <v>0</v>
      </c>
      <c r="DN414" s="129">
        <f t="shared" si="304"/>
        <v>0</v>
      </c>
      <c r="DO414" s="129">
        <f t="shared" si="305"/>
        <v>0</v>
      </c>
      <c r="DP414" s="526">
        <f t="shared" si="306"/>
        <v>0</v>
      </c>
      <c r="DQ414" s="123" t="s">
        <v>808</v>
      </c>
      <c r="DR414" s="473" t="str">
        <f t="shared" si="307"/>
        <v>吹付け石綿等の劣化の状況</v>
      </c>
      <c r="DS414" s="112">
        <f t="shared" si="308"/>
        <v>0</v>
      </c>
      <c r="DT414" s="118" t="str">
        <f t="shared" si="309"/>
        <v/>
      </c>
      <c r="DU414" s="452" t="str">
        <f t="shared" si="310"/>
        <v/>
      </c>
      <c r="DV414" s="137" t="str">
        <f>IF(OR($DT414="要是正",$DT414="既存不適格"),MAX($DV$366:DV413)+1,"")</f>
        <v/>
      </c>
      <c r="DW414" s="119" t="str">
        <f t="shared" si="311"/>
        <v/>
      </c>
      <c r="DX414" s="131" t="str">
        <f t="shared" ref="DX414:DX416" si="409">IF($DT414="要是正",$DR414,IF(DT414="既存不適格",DR414&amp;"（既存不適格）",""))</f>
        <v/>
      </c>
      <c r="DY414" s="33" t="str">
        <f t="shared" ref="DY414:DY416" si="410">IF($DT414="要是正",$DQ414 &amp;" " &amp; AT414,IF($DT414="既存不適格",$DQ414&amp;" "&amp;AT414&amp;"（"&amp;DT414&amp;"）",""))</f>
        <v/>
      </c>
      <c r="DZ414" s="217" t="str">
        <f t="shared" si="314"/>
        <v/>
      </c>
      <c r="EA414" s="466" t="str">
        <f t="shared" si="315"/>
        <v/>
      </c>
      <c r="EB414" s="219" t="str">
        <f t="shared" si="316"/>
        <v/>
      </c>
      <c r="EC414" s="149" t="str">
        <f t="shared" si="317"/>
        <v>0</v>
      </c>
      <c r="ED414" s="132" t="str">
        <f t="shared" ref="ED414:ED416" si="411">IF(OR(DT414="要是正",DT414="既存不適格"),IF(AND(BY414="予定",DS414=2),1,IF(BY414="改善済",2,"")),"")</f>
        <v/>
      </c>
      <c r="EE414" s="227" t="str">
        <f t="shared" si="407"/>
        <v>0</v>
      </c>
      <c r="EF414" s="132" t="str">
        <f>IF(AND(OR(DT414="要是正",DT414="既存不適格"),AND(DS414=0,BY414="未定")),BY414,"")</f>
        <v/>
      </c>
      <c r="EG414" s="204" t="str">
        <f t="shared" si="319"/>
        <v/>
      </c>
      <c r="EH414" s="134" t="str">
        <f t="shared" si="320"/>
        <v>0</v>
      </c>
      <c r="EI414" s="148" t="str">
        <f t="shared" si="351"/>
        <v/>
      </c>
      <c r="EJ414" s="227" t="str">
        <f t="shared" si="408"/>
        <v>0</v>
      </c>
      <c r="EK414" s="451" t="str">
        <f t="shared" si="321"/>
        <v/>
      </c>
      <c r="EL414" s="452" t="e">
        <f t="shared" si="322"/>
        <v>#N/A</v>
      </c>
      <c r="EM414" s="151" t="e">
        <f t="shared" si="323"/>
        <v>#N/A</v>
      </c>
      <c r="EN414" s="453" t="e">
        <f t="shared" si="324"/>
        <v>#N/A</v>
      </c>
      <c r="FK414" s="597" t="str">
        <f t="shared" si="389"/>
        <v/>
      </c>
      <c r="FL414" s="597" t="str">
        <f t="shared" si="386"/>
        <v/>
      </c>
      <c r="FM414" s="597" t="str">
        <f t="shared" si="387"/>
        <v/>
      </c>
      <c r="FN414" s="597">
        <f t="shared" si="326"/>
        <v>0</v>
      </c>
      <c r="FO414" s="1163" t="str">
        <f t="shared" si="390"/>
        <v/>
      </c>
      <c r="FQ414" s="219" t="str">
        <f t="shared" si="328"/>
        <v/>
      </c>
      <c r="FR414" s="149" t="str">
        <f t="shared" si="329"/>
        <v>0</v>
      </c>
      <c r="FS414" s="132" t="str">
        <f t="shared" ref="FS414:FS416" si="412">IF(OR(DT414="要是正",DT414="既存不適格"),IF(AND(BY414="予定",DS414=2),1,IF(BY414="改善済",2,"")),"")</f>
        <v/>
      </c>
      <c r="FT414" s="227" t="str">
        <f t="shared" si="353"/>
        <v>0</v>
      </c>
      <c r="FU414" s="418" t="str">
        <f t="shared" ref="FU414:FU416" si="413">IF(AND(OR(DT414="要是正",DT414="既存不適格"),AND(DS414=0,BY414="未定")),BY414,"")</f>
        <v/>
      </c>
      <c r="FW414" s="1160">
        <f t="shared" si="384"/>
        <v>0</v>
      </c>
      <c r="FX414" s="123"/>
      <c r="FY414" s="123"/>
      <c r="FZ414" s="1161"/>
      <c r="GA414" s="34"/>
      <c r="GB414" s="1149">
        <f t="shared" si="354"/>
        <v>0</v>
      </c>
      <c r="GC414" s="1149">
        <f t="shared" si="355"/>
        <v>0</v>
      </c>
      <c r="GD414" s="1149">
        <f t="shared" si="356"/>
        <v>0</v>
      </c>
      <c r="GE414" s="1149" t="str">
        <f t="shared" si="391"/>
        <v/>
      </c>
      <c r="GF414" s="1149" t="str">
        <f t="shared" si="392"/>
        <v/>
      </c>
      <c r="GG414" s="1149" t="str">
        <f t="shared" si="393"/>
        <v/>
      </c>
      <c r="GH414" s="1149" t="str">
        <f t="shared" si="394"/>
        <v/>
      </c>
      <c r="GI414" s="1149" t="str">
        <f t="shared" si="395"/>
        <v/>
      </c>
      <c r="GJ414" s="1149" t="str">
        <f t="shared" si="396"/>
        <v/>
      </c>
      <c r="GK414" s="1149" t="str">
        <f t="shared" si="397"/>
        <v/>
      </c>
      <c r="GL414" s="1149" t="str">
        <f t="shared" si="398"/>
        <v/>
      </c>
      <c r="GM414" s="1149" t="str">
        <f t="shared" si="399"/>
        <v/>
      </c>
      <c r="GN414" s="1149" t="str">
        <f t="shared" si="400"/>
        <v/>
      </c>
      <c r="GO414" s="1149" t="str">
        <f t="shared" si="401"/>
        <v/>
      </c>
      <c r="GP414" s="1149" t="str">
        <f t="shared" si="402"/>
        <v/>
      </c>
      <c r="GQ414" s="1149" t="str">
        <f t="shared" si="403"/>
        <v/>
      </c>
      <c r="GR414" s="1149" t="str">
        <f t="shared" si="404"/>
        <v/>
      </c>
      <c r="GS414" s="1149" t="str">
        <f t="shared" si="405"/>
        <v/>
      </c>
      <c r="GT414" s="1149">
        <f t="shared" si="357"/>
        <v>0</v>
      </c>
      <c r="GU414" s="1149">
        <f t="shared" si="358"/>
        <v>0</v>
      </c>
      <c r="GV414" s="1149">
        <f t="shared" si="359"/>
        <v>0</v>
      </c>
      <c r="GW414" s="1149" t="b">
        <f t="shared" si="360"/>
        <v>0</v>
      </c>
      <c r="GX414" s="1149" t="b">
        <f t="shared" si="361"/>
        <v>0</v>
      </c>
      <c r="GY414" s="1149" t="b">
        <f t="shared" si="362"/>
        <v>0</v>
      </c>
      <c r="GZ414" s="1149" t="str">
        <f t="shared" si="385"/>
        <v/>
      </c>
      <c r="HB414" s="1149" t="str">
        <f t="shared" si="363"/>
        <v/>
      </c>
      <c r="HC414" s="1149" t="str">
        <f t="shared" si="364"/>
        <v/>
      </c>
      <c r="HD414" s="1149" t="str">
        <f t="shared" si="365"/>
        <v/>
      </c>
      <c r="HE414" s="1149" t="str">
        <f t="shared" si="366"/>
        <v/>
      </c>
      <c r="HF414" s="1149" t="str">
        <f t="shared" si="367"/>
        <v/>
      </c>
      <c r="HG414" s="1149" t="str">
        <f t="shared" si="368"/>
        <v/>
      </c>
      <c r="HH414" s="1149" t="str">
        <f t="shared" si="369"/>
        <v/>
      </c>
      <c r="HI414" s="1149" t="str">
        <f t="shared" si="370"/>
        <v/>
      </c>
      <c r="HJ414" s="1149" t="str">
        <f t="shared" si="371"/>
        <v/>
      </c>
      <c r="HK414" s="1149" t="str">
        <f t="shared" si="372"/>
        <v/>
      </c>
      <c r="HL414" s="1149" t="str">
        <f t="shared" si="373"/>
        <v/>
      </c>
      <c r="HM414" s="1149" t="str">
        <f t="shared" si="374"/>
        <v/>
      </c>
      <c r="HN414" s="1149" t="str">
        <f t="shared" si="375"/>
        <v/>
      </c>
      <c r="HO414" s="1149" t="str">
        <f t="shared" si="376"/>
        <v/>
      </c>
      <c r="HP414" s="1149" t="str">
        <f t="shared" si="377"/>
        <v/>
      </c>
      <c r="HQ414" s="1149" t="str">
        <f t="shared" si="378"/>
        <v/>
      </c>
      <c r="HR414" s="1149" t="str">
        <f t="shared" si="379"/>
        <v/>
      </c>
      <c r="HT414" s="1149">
        <f>LEFT(M414,1)*10000+MID(M414,3,LEN(M414)-3)*100+COUNTIF($M$307:M414,M414)</f>
        <v>44501</v>
      </c>
      <c r="HU414" s="1149" t="str">
        <f t="shared" si="380"/>
        <v/>
      </c>
      <c r="HV414" s="1149" t="str">
        <f t="shared" si="381"/>
        <v/>
      </c>
      <c r="HW414" s="1149" t="str">
        <f t="shared" si="382"/>
        <v/>
      </c>
      <c r="HX414" s="1149" t="str">
        <f t="shared" si="383"/>
        <v/>
      </c>
    </row>
    <row r="415" spans="1:232" s="69" customFormat="1" ht="50.15" customHeight="1">
      <c r="A415" s="645"/>
      <c r="B415" s="645"/>
      <c r="C415" s="645"/>
      <c r="D415" s="645"/>
      <c r="E415" s="646"/>
      <c r="F415" s="381"/>
      <c r="G415" s="381"/>
      <c r="H415" s="381"/>
      <c r="I415" s="1169"/>
      <c r="J415" s="80"/>
      <c r="K415" s="89"/>
      <c r="L415" s="89"/>
      <c r="M415" s="1967" t="s">
        <v>1267</v>
      </c>
      <c r="N415" s="1967"/>
      <c r="O415" s="1968"/>
      <c r="P415" s="2029"/>
      <c r="Q415" s="2029"/>
      <c r="R415" s="2029"/>
      <c r="S415" s="2029"/>
      <c r="T415" s="2029"/>
      <c r="U415" s="1899" t="s">
        <v>3072</v>
      </c>
      <c r="V415" s="1899"/>
      <c r="W415" s="1899"/>
      <c r="X415" s="1899"/>
      <c r="Y415" s="1899"/>
      <c r="Z415" s="1899"/>
      <c r="AA415" s="1899"/>
      <c r="AB415" s="1899"/>
      <c r="AC415" s="1899"/>
      <c r="AD415" s="1899"/>
      <c r="AE415" s="1899"/>
      <c r="AF415" s="1898"/>
      <c r="AG415" s="1898"/>
      <c r="AH415" s="1898"/>
      <c r="AI415" s="1898"/>
      <c r="AJ415" s="1898"/>
      <c r="AK415" s="1898"/>
      <c r="AL415" s="1898"/>
      <c r="AM415" s="1898"/>
      <c r="AN415" s="1898"/>
      <c r="AO415" s="1898"/>
      <c r="AP415" s="1898"/>
      <c r="AQ415" s="1898"/>
      <c r="AR415" s="1910"/>
      <c r="AS415" s="1910"/>
      <c r="AT415" s="1993"/>
      <c r="AU415" s="1993"/>
      <c r="AV415" s="1993"/>
      <c r="AW415" s="1993"/>
      <c r="AX415" s="1993"/>
      <c r="AY415" s="1993"/>
      <c r="AZ415" s="1993"/>
      <c r="BA415" s="1993"/>
      <c r="BB415" s="1993"/>
      <c r="BC415" s="1993"/>
      <c r="BD415" s="1993"/>
      <c r="BE415" s="1993"/>
      <c r="BF415" s="1993"/>
      <c r="BG415" s="1993"/>
      <c r="BH415" s="1993"/>
      <c r="BI415" s="1993"/>
      <c r="BJ415" s="1993"/>
      <c r="BK415" s="1993"/>
      <c r="BL415" s="1993"/>
      <c r="BM415" s="1993"/>
      <c r="BN415" s="1993"/>
      <c r="BO415" s="1993"/>
      <c r="BP415" s="1993"/>
      <c r="BQ415" s="1993"/>
      <c r="BR415" s="1993"/>
      <c r="BS415" s="1895"/>
      <c r="BT415" s="1895"/>
      <c r="BU415" s="1895"/>
      <c r="BV415" s="1889"/>
      <c r="BW415" s="1889"/>
      <c r="BX415" s="1889"/>
      <c r="BY415" s="1889"/>
      <c r="BZ415" s="1896"/>
      <c r="CA415" s="1896"/>
      <c r="CB415" s="2526"/>
      <c r="CC415" s="2527"/>
      <c r="CD415" s="2527"/>
      <c r="CE415" s="2527"/>
      <c r="CF415" s="2527"/>
      <c r="CG415" s="2527"/>
      <c r="CH415" s="2527"/>
      <c r="CI415" s="2527"/>
      <c r="CJ415" s="2527"/>
      <c r="CK415" s="2527"/>
      <c r="CL415" s="2527"/>
      <c r="CM415" s="2527"/>
      <c r="CN415" s="2527"/>
      <c r="CO415" s="2527"/>
      <c r="CP415" s="2527"/>
      <c r="CQ415" s="2527"/>
      <c r="CR415" s="2527"/>
      <c r="CS415" s="2527"/>
      <c r="CT415" s="2527"/>
      <c r="CU415" s="2528"/>
      <c r="CV415" s="2360" t="str">
        <f t="shared" si="301"/>
        <v/>
      </c>
      <c r="CW415" s="2360"/>
      <c r="CX415" s="2360"/>
      <c r="CY415" s="2360"/>
      <c r="CZ415" s="2360"/>
      <c r="DA415" s="2360"/>
      <c r="DC415" s="600" t="str">
        <f t="shared" si="406"/>
        <v/>
      </c>
      <c r="DD415" s="381"/>
      <c r="DE415" s="34"/>
      <c r="DF415" s="34"/>
      <c r="DG415" s="34"/>
      <c r="DH415" s="34"/>
      <c r="DI415" s="34"/>
      <c r="DJ415" s="858" t="s">
        <v>5637</v>
      </c>
      <c r="DK415" s="1707" t="str">
        <f t="shared" si="347"/>
        <v/>
      </c>
      <c r="DL415" s="1692" t="str">
        <f t="shared" si="348"/>
        <v/>
      </c>
      <c r="DM415" s="1697">
        <f t="shared" si="388"/>
        <v>0</v>
      </c>
      <c r="DN415" s="129">
        <f t="shared" si="304"/>
        <v>0</v>
      </c>
      <c r="DO415" s="129">
        <f t="shared" si="305"/>
        <v>0</v>
      </c>
      <c r="DP415" s="526">
        <f t="shared" si="306"/>
        <v>0</v>
      </c>
      <c r="DQ415" s="123" t="s">
        <v>1136</v>
      </c>
      <c r="DR415" s="473" t="str">
        <f t="shared" si="307"/>
        <v>除去又は囲い込み若しくは封じ込めによる飛散防止措置の実施の状況</v>
      </c>
      <c r="DS415" s="112">
        <f t="shared" si="308"/>
        <v>0</v>
      </c>
      <c r="DT415" s="118" t="str">
        <f t="shared" si="309"/>
        <v/>
      </c>
      <c r="DU415" s="452" t="str">
        <f t="shared" si="310"/>
        <v/>
      </c>
      <c r="DV415" s="137" t="str">
        <f>IF(OR($DT415="要是正",$DT415="既存不適格"),MAX($DV$366:DV414)+1,"")</f>
        <v/>
      </c>
      <c r="DW415" s="119" t="str">
        <f t="shared" si="311"/>
        <v/>
      </c>
      <c r="DX415" s="131" t="str">
        <f t="shared" si="409"/>
        <v/>
      </c>
      <c r="DY415" s="33" t="str">
        <f t="shared" si="410"/>
        <v/>
      </c>
      <c r="DZ415" s="217" t="str">
        <f t="shared" si="314"/>
        <v/>
      </c>
      <c r="EA415" s="466" t="str">
        <f t="shared" si="315"/>
        <v/>
      </c>
      <c r="EB415" s="219" t="str">
        <f t="shared" si="316"/>
        <v/>
      </c>
      <c r="EC415" s="149" t="str">
        <f t="shared" si="317"/>
        <v>0</v>
      </c>
      <c r="ED415" s="132" t="str">
        <f t="shared" si="411"/>
        <v/>
      </c>
      <c r="EE415" s="227" t="str">
        <f t="shared" si="407"/>
        <v>0</v>
      </c>
      <c r="EF415" s="132" t="str">
        <f>IF(AND(OR(DT415="要是正",DT415="既存不適格"),AND(DS415=0,BY415="未定")),BY415,"")</f>
        <v/>
      </c>
      <c r="EG415" s="204" t="str">
        <f t="shared" si="319"/>
        <v/>
      </c>
      <c r="EH415" s="134" t="str">
        <f t="shared" si="320"/>
        <v>0</v>
      </c>
      <c r="EI415" s="148" t="str">
        <f t="shared" si="351"/>
        <v/>
      </c>
      <c r="EJ415" s="227" t="str">
        <f t="shared" si="408"/>
        <v>0</v>
      </c>
      <c r="EK415" s="451" t="str">
        <f t="shared" si="321"/>
        <v/>
      </c>
      <c r="EL415" s="452" t="e">
        <f t="shared" si="322"/>
        <v>#N/A</v>
      </c>
      <c r="EM415" s="151" t="e">
        <f t="shared" si="323"/>
        <v>#N/A</v>
      </c>
      <c r="EN415" s="453" t="e">
        <f t="shared" si="324"/>
        <v>#N/A</v>
      </c>
      <c r="FK415" s="597" t="str">
        <f t="shared" si="389"/>
        <v/>
      </c>
      <c r="FL415" s="597" t="str">
        <f t="shared" si="386"/>
        <v/>
      </c>
      <c r="FM415" s="597" t="str">
        <f t="shared" si="387"/>
        <v/>
      </c>
      <c r="FN415" s="597">
        <f t="shared" si="326"/>
        <v>0</v>
      </c>
      <c r="FO415" s="1163" t="str">
        <f t="shared" si="390"/>
        <v/>
      </c>
      <c r="FQ415" s="219" t="str">
        <f t="shared" si="328"/>
        <v/>
      </c>
      <c r="FR415" s="149" t="str">
        <f t="shared" si="329"/>
        <v>0</v>
      </c>
      <c r="FS415" s="132" t="str">
        <f t="shared" si="412"/>
        <v/>
      </c>
      <c r="FT415" s="227" t="str">
        <f t="shared" si="353"/>
        <v>0</v>
      </c>
      <c r="FU415" s="418" t="str">
        <f t="shared" si="413"/>
        <v/>
      </c>
      <c r="FW415" s="1160">
        <f t="shared" si="384"/>
        <v>0</v>
      </c>
      <c r="FX415" s="123"/>
      <c r="FY415" s="123"/>
      <c r="FZ415" s="1161"/>
      <c r="GA415" s="34"/>
      <c r="GB415" s="1149">
        <f t="shared" si="354"/>
        <v>0</v>
      </c>
      <c r="GC415" s="1149">
        <f t="shared" si="355"/>
        <v>0</v>
      </c>
      <c r="GD415" s="1149">
        <f t="shared" si="356"/>
        <v>0</v>
      </c>
      <c r="GE415" s="1149" t="str">
        <f t="shared" si="391"/>
        <v/>
      </c>
      <c r="GF415" s="1149" t="str">
        <f t="shared" si="392"/>
        <v/>
      </c>
      <c r="GG415" s="1149" t="str">
        <f t="shared" si="393"/>
        <v/>
      </c>
      <c r="GH415" s="1149" t="str">
        <f t="shared" si="394"/>
        <v/>
      </c>
      <c r="GI415" s="1149" t="str">
        <f t="shared" si="395"/>
        <v/>
      </c>
      <c r="GJ415" s="1149" t="str">
        <f t="shared" si="396"/>
        <v/>
      </c>
      <c r="GK415" s="1149" t="str">
        <f t="shared" si="397"/>
        <v/>
      </c>
      <c r="GL415" s="1149" t="str">
        <f t="shared" si="398"/>
        <v/>
      </c>
      <c r="GM415" s="1149" t="str">
        <f t="shared" si="399"/>
        <v/>
      </c>
      <c r="GN415" s="1149" t="str">
        <f t="shared" si="400"/>
        <v/>
      </c>
      <c r="GO415" s="1149" t="str">
        <f t="shared" si="401"/>
        <v/>
      </c>
      <c r="GP415" s="1149" t="str">
        <f t="shared" si="402"/>
        <v/>
      </c>
      <c r="GQ415" s="1149" t="str">
        <f t="shared" si="403"/>
        <v/>
      </c>
      <c r="GR415" s="1149" t="str">
        <f t="shared" si="404"/>
        <v/>
      </c>
      <c r="GS415" s="1149" t="str">
        <f t="shared" si="405"/>
        <v/>
      </c>
      <c r="GT415" s="1149">
        <f t="shared" si="357"/>
        <v>0</v>
      </c>
      <c r="GU415" s="1149">
        <f t="shared" si="358"/>
        <v>0</v>
      </c>
      <c r="GV415" s="1149">
        <f t="shared" si="359"/>
        <v>0</v>
      </c>
      <c r="GW415" s="1149" t="b">
        <f t="shared" si="360"/>
        <v>0</v>
      </c>
      <c r="GX415" s="1149" t="b">
        <f t="shared" si="361"/>
        <v>0</v>
      </c>
      <c r="GY415" s="1149" t="b">
        <f t="shared" si="362"/>
        <v>0</v>
      </c>
      <c r="GZ415" s="1149" t="str">
        <f t="shared" si="385"/>
        <v/>
      </c>
      <c r="HB415" s="1149" t="str">
        <f t="shared" si="363"/>
        <v/>
      </c>
      <c r="HC415" s="1149" t="str">
        <f t="shared" si="364"/>
        <v/>
      </c>
      <c r="HD415" s="1149" t="str">
        <f t="shared" si="365"/>
        <v/>
      </c>
      <c r="HE415" s="1149" t="str">
        <f t="shared" si="366"/>
        <v/>
      </c>
      <c r="HF415" s="1149" t="str">
        <f t="shared" si="367"/>
        <v/>
      </c>
      <c r="HG415" s="1149" t="str">
        <f t="shared" si="368"/>
        <v/>
      </c>
      <c r="HH415" s="1149" t="str">
        <f t="shared" si="369"/>
        <v/>
      </c>
      <c r="HI415" s="1149" t="str">
        <f t="shared" si="370"/>
        <v/>
      </c>
      <c r="HJ415" s="1149" t="str">
        <f t="shared" si="371"/>
        <v/>
      </c>
      <c r="HK415" s="1149" t="str">
        <f t="shared" si="372"/>
        <v/>
      </c>
      <c r="HL415" s="1149" t="str">
        <f t="shared" si="373"/>
        <v/>
      </c>
      <c r="HM415" s="1149" t="str">
        <f t="shared" si="374"/>
        <v/>
      </c>
      <c r="HN415" s="1149" t="str">
        <f t="shared" si="375"/>
        <v/>
      </c>
      <c r="HO415" s="1149" t="str">
        <f t="shared" si="376"/>
        <v/>
      </c>
      <c r="HP415" s="1149" t="str">
        <f t="shared" si="377"/>
        <v/>
      </c>
      <c r="HQ415" s="1149" t="str">
        <f t="shared" si="378"/>
        <v/>
      </c>
      <c r="HR415" s="1149" t="str">
        <f t="shared" si="379"/>
        <v/>
      </c>
      <c r="HT415" s="1149">
        <f>LEFT(M415,1)*10000+MID(M415,3,LEN(M415)-3)*100+COUNTIF($M$307:M415,M415)</f>
        <v>44601</v>
      </c>
      <c r="HU415" s="1149" t="str">
        <f t="shared" si="380"/>
        <v/>
      </c>
      <c r="HV415" s="1149" t="str">
        <f t="shared" si="381"/>
        <v/>
      </c>
      <c r="HW415" s="1149" t="str">
        <f t="shared" si="382"/>
        <v/>
      </c>
      <c r="HX415" s="1149" t="str">
        <f t="shared" si="383"/>
        <v/>
      </c>
    </row>
    <row r="416" spans="1:232" s="69" customFormat="1" ht="50.15" customHeight="1" thickBot="1">
      <c r="A416" s="645"/>
      <c r="B416" s="645"/>
      <c r="C416" s="645"/>
      <c r="D416" s="645"/>
      <c r="E416" s="646"/>
      <c r="F416" s="381"/>
      <c r="G416" s="381"/>
      <c r="H416" s="381"/>
      <c r="I416" s="1169"/>
      <c r="J416" s="80"/>
      <c r="K416" s="89"/>
      <c r="L416" s="89"/>
      <c r="M416" s="1964" t="s">
        <v>1268</v>
      </c>
      <c r="N416" s="1964"/>
      <c r="O416" s="1964"/>
      <c r="P416" s="2029"/>
      <c r="Q416" s="2029"/>
      <c r="R416" s="2029"/>
      <c r="S416" s="2029"/>
      <c r="T416" s="2029"/>
      <c r="U416" s="1899" t="s">
        <v>3073</v>
      </c>
      <c r="V416" s="1899"/>
      <c r="W416" s="1899"/>
      <c r="X416" s="1899"/>
      <c r="Y416" s="1899"/>
      <c r="Z416" s="1899"/>
      <c r="AA416" s="1899"/>
      <c r="AB416" s="1899"/>
      <c r="AC416" s="1899"/>
      <c r="AD416" s="1899"/>
      <c r="AE416" s="1899"/>
      <c r="AF416" s="1898"/>
      <c r="AG416" s="1898"/>
      <c r="AH416" s="1898"/>
      <c r="AI416" s="1898"/>
      <c r="AJ416" s="1898"/>
      <c r="AK416" s="1898"/>
      <c r="AL416" s="1898"/>
      <c r="AM416" s="1898"/>
      <c r="AN416" s="1898"/>
      <c r="AO416" s="1898"/>
      <c r="AP416" s="1898"/>
      <c r="AQ416" s="1898"/>
      <c r="AR416" s="1910"/>
      <c r="AS416" s="1910"/>
      <c r="AT416" s="1993"/>
      <c r="AU416" s="1993"/>
      <c r="AV416" s="1993"/>
      <c r="AW416" s="1993"/>
      <c r="AX416" s="1993"/>
      <c r="AY416" s="1993"/>
      <c r="AZ416" s="1993"/>
      <c r="BA416" s="1993"/>
      <c r="BB416" s="1993"/>
      <c r="BC416" s="1993"/>
      <c r="BD416" s="1993"/>
      <c r="BE416" s="1993"/>
      <c r="BF416" s="1993"/>
      <c r="BG416" s="1993"/>
      <c r="BH416" s="1993"/>
      <c r="BI416" s="1993"/>
      <c r="BJ416" s="1993"/>
      <c r="BK416" s="1993"/>
      <c r="BL416" s="1993"/>
      <c r="BM416" s="1993"/>
      <c r="BN416" s="1993"/>
      <c r="BO416" s="1993"/>
      <c r="BP416" s="1993"/>
      <c r="BQ416" s="1993"/>
      <c r="BR416" s="1993"/>
      <c r="BS416" s="1895"/>
      <c r="BT416" s="1895"/>
      <c r="BU416" s="1895"/>
      <c r="BV416" s="1889"/>
      <c r="BW416" s="1889"/>
      <c r="BX416" s="1889"/>
      <c r="BY416" s="1889"/>
      <c r="BZ416" s="1896"/>
      <c r="CA416" s="1896"/>
      <c r="CB416" s="2034"/>
      <c r="CC416" s="2035"/>
      <c r="CD416" s="2035"/>
      <c r="CE416" s="2035"/>
      <c r="CF416" s="2035"/>
      <c r="CG416" s="2035"/>
      <c r="CH416" s="2035"/>
      <c r="CI416" s="2035"/>
      <c r="CJ416" s="2035"/>
      <c r="CK416" s="2035"/>
      <c r="CL416" s="2035"/>
      <c r="CM416" s="2035"/>
      <c r="CN416" s="2035"/>
      <c r="CO416" s="2035"/>
      <c r="CP416" s="2035"/>
      <c r="CQ416" s="2035"/>
      <c r="CR416" s="2035"/>
      <c r="CS416" s="2035"/>
      <c r="CT416" s="2035"/>
      <c r="CU416" s="2036"/>
      <c r="CV416" s="2360" t="str">
        <f t="shared" si="301"/>
        <v/>
      </c>
      <c r="CW416" s="2360"/>
      <c r="CX416" s="2360"/>
      <c r="CY416" s="2360"/>
      <c r="CZ416" s="2360"/>
      <c r="DA416" s="2360"/>
      <c r="DC416" s="600" t="str">
        <f t="shared" si="406"/>
        <v/>
      </c>
      <c r="DD416" s="381"/>
      <c r="DE416" s="34"/>
      <c r="DF416" s="34"/>
      <c r="DG416" s="34"/>
      <c r="DH416" s="34"/>
      <c r="DI416" s="34"/>
      <c r="DJ416" s="858" t="s">
        <v>5637</v>
      </c>
      <c r="DK416" s="1707" t="str">
        <f t="shared" si="347"/>
        <v/>
      </c>
      <c r="DL416" s="1692" t="str">
        <f t="shared" si="348"/>
        <v/>
      </c>
      <c r="DM416" s="1698">
        <f t="shared" si="388"/>
        <v>0</v>
      </c>
      <c r="DN416" s="527">
        <f t="shared" si="304"/>
        <v>0</v>
      </c>
      <c r="DO416" s="527">
        <f t="shared" si="305"/>
        <v>0</v>
      </c>
      <c r="DP416" s="528">
        <f t="shared" si="306"/>
        <v>0</v>
      </c>
      <c r="DQ416" s="123" t="s">
        <v>1137</v>
      </c>
      <c r="DR416" s="475" t="str">
        <f t="shared" si="307"/>
        <v>囲い込み又は封じ込めによる飛散防止措置の劣化及び損傷の状況</v>
      </c>
      <c r="DS416" s="221">
        <f t="shared" si="308"/>
        <v>0</v>
      </c>
      <c r="DT416" s="480" t="str">
        <f t="shared" si="309"/>
        <v/>
      </c>
      <c r="DU416" s="232" t="str">
        <f t="shared" si="310"/>
        <v/>
      </c>
      <c r="DV416" s="228" t="str">
        <f>IF(OR($DT416="要是正",$DT416="既存不適格"),MAX($DV$366:DV415)+1,"")</f>
        <v/>
      </c>
      <c r="DW416" s="467" t="str">
        <f t="shared" si="311"/>
        <v/>
      </c>
      <c r="DX416" s="531" t="str">
        <f t="shared" si="409"/>
        <v/>
      </c>
      <c r="DY416" s="468" t="str">
        <f t="shared" si="410"/>
        <v/>
      </c>
      <c r="DZ416" s="469" t="str">
        <f t="shared" si="314"/>
        <v/>
      </c>
      <c r="EA416" s="466" t="str">
        <f t="shared" si="315"/>
        <v/>
      </c>
      <c r="EB416" s="219" t="str">
        <f t="shared" si="316"/>
        <v/>
      </c>
      <c r="EC416" s="149" t="str">
        <f t="shared" si="317"/>
        <v>0</v>
      </c>
      <c r="ED416" s="132" t="str">
        <f t="shared" si="411"/>
        <v/>
      </c>
      <c r="EE416" s="227" t="str">
        <f t="shared" si="407"/>
        <v>0</v>
      </c>
      <c r="EF416" s="132" t="str">
        <f>IF(AND(OR(DT416="要是正",DT416="既存不適格"),AND(DS416=0,BY416="未定")),BY416,"")</f>
        <v/>
      </c>
      <c r="EG416" s="204" t="str">
        <f t="shared" si="319"/>
        <v/>
      </c>
      <c r="EH416" s="134" t="str">
        <f t="shared" si="320"/>
        <v>0</v>
      </c>
      <c r="EI416" s="148" t="str">
        <f t="shared" si="351"/>
        <v/>
      </c>
      <c r="EJ416" s="227" t="str">
        <f t="shared" si="408"/>
        <v>0</v>
      </c>
      <c r="EK416" s="451" t="str">
        <f t="shared" si="321"/>
        <v/>
      </c>
      <c r="EL416" s="232" t="e">
        <f t="shared" si="322"/>
        <v>#N/A</v>
      </c>
      <c r="EM416" s="233" t="e">
        <f t="shared" si="323"/>
        <v>#N/A</v>
      </c>
      <c r="EN416" s="454" t="e">
        <f t="shared" si="324"/>
        <v>#N/A</v>
      </c>
      <c r="FK416" s="597" t="str">
        <f t="shared" si="389"/>
        <v/>
      </c>
      <c r="FL416" s="597" t="str">
        <f t="shared" si="386"/>
        <v/>
      </c>
      <c r="FM416" s="597" t="str">
        <f t="shared" si="387"/>
        <v/>
      </c>
      <c r="FN416" s="597">
        <f t="shared" si="326"/>
        <v>0</v>
      </c>
      <c r="FO416" s="1163" t="str">
        <f t="shared" si="390"/>
        <v/>
      </c>
      <c r="FQ416" s="219" t="str">
        <f t="shared" si="328"/>
        <v/>
      </c>
      <c r="FR416" s="149" t="str">
        <f t="shared" si="329"/>
        <v>0</v>
      </c>
      <c r="FS416" s="132" t="str">
        <f t="shared" si="412"/>
        <v/>
      </c>
      <c r="FT416" s="227" t="str">
        <f t="shared" si="353"/>
        <v>0</v>
      </c>
      <c r="FU416" s="418" t="str">
        <f t="shared" si="413"/>
        <v/>
      </c>
      <c r="FW416" s="1160">
        <f t="shared" si="384"/>
        <v>0</v>
      </c>
      <c r="FX416" s="123"/>
      <c r="FY416" s="123"/>
      <c r="FZ416" s="1161"/>
      <c r="GA416" s="34"/>
      <c r="GB416" s="1149">
        <f t="shared" si="354"/>
        <v>0</v>
      </c>
      <c r="GC416" s="1149">
        <f t="shared" si="355"/>
        <v>0</v>
      </c>
      <c r="GD416" s="1149">
        <f t="shared" si="356"/>
        <v>0</v>
      </c>
      <c r="GE416" s="1149" t="str">
        <f t="shared" si="391"/>
        <v/>
      </c>
      <c r="GF416" s="1149" t="str">
        <f t="shared" si="392"/>
        <v/>
      </c>
      <c r="GG416" s="1149" t="str">
        <f t="shared" si="393"/>
        <v/>
      </c>
      <c r="GH416" s="1149" t="str">
        <f t="shared" si="394"/>
        <v/>
      </c>
      <c r="GI416" s="1149" t="str">
        <f t="shared" si="395"/>
        <v/>
      </c>
      <c r="GJ416" s="1149" t="str">
        <f t="shared" si="396"/>
        <v/>
      </c>
      <c r="GK416" s="1149" t="str">
        <f t="shared" si="397"/>
        <v/>
      </c>
      <c r="GL416" s="1149" t="str">
        <f t="shared" si="398"/>
        <v/>
      </c>
      <c r="GM416" s="1149" t="str">
        <f t="shared" si="399"/>
        <v/>
      </c>
      <c r="GN416" s="1149" t="str">
        <f t="shared" si="400"/>
        <v/>
      </c>
      <c r="GO416" s="1149" t="str">
        <f t="shared" si="401"/>
        <v/>
      </c>
      <c r="GP416" s="1149" t="str">
        <f t="shared" si="402"/>
        <v/>
      </c>
      <c r="GQ416" s="1149" t="str">
        <f t="shared" si="403"/>
        <v/>
      </c>
      <c r="GR416" s="1149" t="str">
        <f t="shared" si="404"/>
        <v/>
      </c>
      <c r="GS416" s="1149" t="str">
        <f t="shared" si="405"/>
        <v/>
      </c>
      <c r="GT416" s="1149">
        <f t="shared" si="357"/>
        <v>0</v>
      </c>
      <c r="GU416" s="1149">
        <f t="shared" si="358"/>
        <v>0</v>
      </c>
      <c r="GV416" s="1149">
        <f t="shared" si="359"/>
        <v>0</v>
      </c>
      <c r="GW416" s="1149" t="b">
        <f t="shared" si="360"/>
        <v>0</v>
      </c>
      <c r="GX416" s="1149" t="b">
        <f t="shared" si="361"/>
        <v>0</v>
      </c>
      <c r="GY416" s="1149" t="b">
        <f t="shared" si="362"/>
        <v>0</v>
      </c>
      <c r="GZ416" s="1149" t="str">
        <f t="shared" si="385"/>
        <v/>
      </c>
      <c r="HB416" s="1149" t="str">
        <f t="shared" si="363"/>
        <v/>
      </c>
      <c r="HC416" s="1149" t="str">
        <f t="shared" si="364"/>
        <v/>
      </c>
      <c r="HD416" s="1149" t="str">
        <f t="shared" si="365"/>
        <v/>
      </c>
      <c r="HE416" s="1149" t="str">
        <f t="shared" si="366"/>
        <v/>
      </c>
      <c r="HF416" s="1149" t="str">
        <f t="shared" si="367"/>
        <v/>
      </c>
      <c r="HG416" s="1149" t="str">
        <f t="shared" si="368"/>
        <v/>
      </c>
      <c r="HH416" s="1149" t="str">
        <f t="shared" si="369"/>
        <v/>
      </c>
      <c r="HI416" s="1149" t="str">
        <f t="shared" si="370"/>
        <v/>
      </c>
      <c r="HJ416" s="1149" t="str">
        <f t="shared" si="371"/>
        <v/>
      </c>
      <c r="HK416" s="1149" t="str">
        <f t="shared" si="372"/>
        <v/>
      </c>
      <c r="HL416" s="1149" t="str">
        <f t="shared" si="373"/>
        <v/>
      </c>
      <c r="HM416" s="1149" t="str">
        <f t="shared" si="374"/>
        <v/>
      </c>
      <c r="HN416" s="1149" t="str">
        <f t="shared" si="375"/>
        <v/>
      </c>
      <c r="HO416" s="1149" t="str">
        <f t="shared" si="376"/>
        <v/>
      </c>
      <c r="HP416" s="1149" t="str">
        <f t="shared" si="377"/>
        <v/>
      </c>
      <c r="HQ416" s="1149" t="str">
        <f t="shared" si="378"/>
        <v/>
      </c>
      <c r="HR416" s="1149" t="str">
        <f t="shared" si="379"/>
        <v/>
      </c>
      <c r="HT416" s="1149">
        <f>LEFT(M416,1)*10000+MID(M416,3,LEN(M416)-3)*100+COUNTIF($M$307:M416,M416)</f>
        <v>44701</v>
      </c>
      <c r="HU416" s="1149" t="str">
        <f t="shared" si="380"/>
        <v/>
      </c>
      <c r="HV416" s="1149" t="str">
        <f t="shared" si="381"/>
        <v/>
      </c>
      <c r="HW416" s="1149" t="str">
        <f t="shared" si="382"/>
        <v/>
      </c>
      <c r="HX416" s="1149" t="str">
        <f t="shared" si="383"/>
        <v/>
      </c>
    </row>
    <row r="417" spans="1:232" s="69" customFormat="1" ht="50.15" hidden="1" customHeight="1" thickBot="1">
      <c r="A417" s="645"/>
      <c r="B417" s="645"/>
      <c r="C417" s="645"/>
      <c r="D417" s="645"/>
      <c r="E417" s="646"/>
      <c r="F417" s="381"/>
      <c r="G417" s="381"/>
      <c r="H417" s="381"/>
      <c r="I417" s="1169"/>
      <c r="J417" s="80"/>
      <c r="K417" s="89"/>
      <c r="L417" s="89"/>
      <c r="M417" s="1964" t="s">
        <v>2576</v>
      </c>
      <c r="N417" s="1964"/>
      <c r="O417" s="1964"/>
      <c r="P417" s="2029"/>
      <c r="Q417" s="2029"/>
      <c r="R417" s="2029"/>
      <c r="S417" s="2029"/>
      <c r="T417" s="2029"/>
      <c r="U417" s="1899"/>
      <c r="V417" s="1899"/>
      <c r="W417" s="1899"/>
      <c r="X417" s="1899"/>
      <c r="Y417" s="1899"/>
      <c r="Z417" s="1899"/>
      <c r="AA417" s="1899"/>
      <c r="AB417" s="1899"/>
      <c r="AC417" s="1899"/>
      <c r="AD417" s="1899"/>
      <c r="AE417" s="1899"/>
      <c r="AF417" s="1898"/>
      <c r="AG417" s="1898"/>
      <c r="AH417" s="1898"/>
      <c r="AI417" s="1898"/>
      <c r="AJ417" s="1898"/>
      <c r="AK417" s="1898"/>
      <c r="AL417" s="1898"/>
      <c r="AM417" s="1898"/>
      <c r="AN417" s="1898"/>
      <c r="AO417" s="1898"/>
      <c r="AP417" s="1898"/>
      <c r="AQ417" s="1898"/>
      <c r="AR417" s="1910"/>
      <c r="AS417" s="1910"/>
      <c r="AT417" s="1993"/>
      <c r="AU417" s="1993"/>
      <c r="AV417" s="1993"/>
      <c r="AW417" s="1993"/>
      <c r="AX417" s="1993"/>
      <c r="AY417" s="1993"/>
      <c r="AZ417" s="1993"/>
      <c r="BA417" s="1993"/>
      <c r="BB417" s="1993"/>
      <c r="BC417" s="1993"/>
      <c r="BD417" s="1993"/>
      <c r="BE417" s="1993"/>
      <c r="BF417" s="1993"/>
      <c r="BG417" s="1993"/>
      <c r="BH417" s="1993"/>
      <c r="BI417" s="1993"/>
      <c r="BJ417" s="1993"/>
      <c r="BK417" s="1993"/>
      <c r="BL417" s="1993"/>
      <c r="BM417" s="1993"/>
      <c r="BN417" s="1993"/>
      <c r="BO417" s="1993"/>
      <c r="BP417" s="1993"/>
      <c r="BQ417" s="1993"/>
      <c r="BR417" s="1993"/>
      <c r="BS417" s="1895"/>
      <c r="BT417" s="1895"/>
      <c r="BU417" s="1895"/>
      <c r="BV417" s="1889"/>
      <c r="BW417" s="1889"/>
      <c r="BX417" s="1889"/>
      <c r="BY417" s="1889"/>
      <c r="BZ417" s="1896"/>
      <c r="CA417" s="1896"/>
      <c r="CB417" s="2037" t="str">
        <f t="shared" ref="CB417:CB421" si="414">IF(DX225=1,"１５石綿を添加した建築材料の調査状況に該当なしと記載あり","")</f>
        <v/>
      </c>
      <c r="CC417" s="2038"/>
      <c r="CD417" s="2038"/>
      <c r="CE417" s="2038"/>
      <c r="CF417" s="2038"/>
      <c r="CG417" s="2038"/>
      <c r="CH417" s="2038"/>
      <c r="CI417" s="2038"/>
      <c r="CJ417" s="2038"/>
      <c r="CK417" s="2038"/>
      <c r="CL417" s="2038"/>
      <c r="CM417" s="2038"/>
      <c r="CN417" s="2038"/>
      <c r="CO417" s="2038"/>
      <c r="CP417" s="2038"/>
      <c r="CQ417" s="2038"/>
      <c r="CR417" s="2038"/>
      <c r="CS417" s="2038"/>
      <c r="CT417" s="2038"/>
      <c r="CU417" s="2039"/>
      <c r="CV417" s="2360" t="str">
        <f t="shared" ref="CV417:CV421" si="415">IF(AND(DT417="要是正",DU417&lt;21),HYPERLINK("#"&amp;EL417&amp;"!"&amp;EM417&amp;":"&amp;EN417&amp;"","関連写真添付"),"")</f>
        <v/>
      </c>
      <c r="CW417" s="2360"/>
      <c r="CX417" s="2360"/>
      <c r="CY417" s="2360"/>
      <c r="CZ417" s="2360"/>
      <c r="DA417" s="2360"/>
      <c r="DC417" s="600" t="str">
        <f t="shared" ref="DC417:DC421" si="416">IF(AND(DU417&lt;&gt;"",DU417&gt;20),"「別途様式を作成、提出してください。」","")</f>
        <v/>
      </c>
      <c r="DD417" s="381"/>
      <c r="DE417" s="34"/>
      <c r="DF417" s="34"/>
      <c r="DG417" s="34"/>
      <c r="DH417" s="34"/>
      <c r="DI417" s="34"/>
      <c r="DJ417" s="858" t="s">
        <v>5637</v>
      </c>
      <c r="DK417" s="1707" t="str">
        <f t="shared" si="347"/>
        <v/>
      </c>
      <c r="DL417" s="1692" t="str">
        <f t="shared" si="348"/>
        <v/>
      </c>
      <c r="DM417" s="1698">
        <f t="shared" si="388"/>
        <v>0</v>
      </c>
      <c r="DN417" s="527">
        <f t="shared" ref="DN417:DN421" si="417">COUNTIFS(AF417,"○指摘なし")</f>
        <v>0</v>
      </c>
      <c r="DO417" s="527">
        <f t="shared" ref="DO417:DO421" si="418">COUNTIFS(AF417,"×要是正（既存不適格以外）")</f>
        <v>0</v>
      </c>
      <c r="DP417" s="528">
        <f t="shared" ref="DP417:DP421" si="419">COUNTIFS(AF417,"△既存不適格")</f>
        <v>0</v>
      </c>
      <c r="DQ417" s="123" t="s">
        <v>2601</v>
      </c>
      <c r="DR417" s="475">
        <f t="shared" ref="DR417:DR421" si="420">IF($U417="",R417,U417)</f>
        <v>0</v>
      </c>
      <c r="DS417" s="221">
        <f t="shared" ref="DS417:DS421" si="421">COUNTA(BS417:BX417)</f>
        <v>0</v>
      </c>
      <c r="DT417" s="480" t="str">
        <f t="shared" ref="DT417:DT421" si="422">IF(AF417="×要是正（既存不適格以外）","要是正","")&amp;IF(AF417="△既存不適格","既存不適格","")</f>
        <v/>
      </c>
      <c r="DU417" s="232" t="str">
        <f t="shared" si="310"/>
        <v/>
      </c>
      <c r="DV417" s="228" t="str">
        <f>IF(OR($DT417="要是正",$DT417="既存不適格"),MAX($DV$366:DV416)+1,"")</f>
        <v/>
      </c>
      <c r="DW417" s="467" t="str">
        <f t="shared" ref="DW417:DW421" si="423">IF(OR(AF417="×要是正（既存不適格以外）",AF417="△既存不適格"),DQ417,"")</f>
        <v/>
      </c>
      <c r="DX417" s="531" t="str">
        <f t="shared" ref="DX417:DX421" si="424">IF($DT417="要是正",$DR417,IF(DT417="既存不適格",DR417&amp;"（既存不適格）",""))</f>
        <v/>
      </c>
      <c r="DY417" s="468" t="str">
        <f t="shared" ref="DY417:DY421" si="425">IF($DT417="要是正",$DQ417 &amp;" " &amp; AT417,IF($DT417="既存不適格",$DQ417&amp;" "&amp;AT417&amp;"（"&amp;DT417&amp;"）",""))</f>
        <v/>
      </c>
      <c r="DZ417" s="469" t="str">
        <f t="shared" ref="DZ417:DZ421" si="426">IF($DT417="要是正",IF(BD417="","",BD417),"")</f>
        <v/>
      </c>
      <c r="EA417" s="466" t="str">
        <f t="shared" si="315"/>
        <v/>
      </c>
      <c r="EB417" s="219" t="str">
        <f t="shared" si="316"/>
        <v/>
      </c>
      <c r="EC417" s="149" t="str">
        <f t="shared" si="317"/>
        <v>0</v>
      </c>
      <c r="ED417" s="132" t="str">
        <f t="shared" ref="ED417:ED421" si="427">IF(OR(DT417="要是正",DT417="既存不適格"),IF(AND(BY417="予定",DS417=2),1,IF(BY417="改善済",2,"")),"")</f>
        <v/>
      </c>
      <c r="EE417" s="227" t="str">
        <f t="shared" ref="EE417:EE421" si="428">IF(ED417=1,EC417,"0")</f>
        <v>0</v>
      </c>
      <c r="EF417" s="132" t="str">
        <f t="shared" ref="EF417:EF421" si="429">IF(AND(OR(DT417="要是正",DT417="既存不適格"),AND(DS417=0,BY417="未定")),BY417,"")</f>
        <v/>
      </c>
      <c r="EG417" s="204" t="str">
        <f t="shared" si="319"/>
        <v/>
      </c>
      <c r="EH417" s="134" t="str">
        <f t="shared" si="320"/>
        <v>0</v>
      </c>
      <c r="EI417" s="148" t="str">
        <f t="shared" ref="EI417:EI421" si="430">IF(DT417="既存不適格",IF(AND(BY417="予定",DS417=2),1,IF(BY417="改善済",2,"")),"")</f>
        <v/>
      </c>
      <c r="EJ417" s="227" t="str">
        <f t="shared" ref="EJ417:EJ421" si="431">IF(EI417=1,EH417,"0")</f>
        <v>0</v>
      </c>
      <c r="EK417" s="451" t="str">
        <f t="shared" ref="EK417:EK421" si="432">IF(AND(DT417="既存不適格",AND(DS417=0,BY417="未定")),BY417,"")</f>
        <v/>
      </c>
      <c r="EL417" s="232" t="e">
        <f t="shared" ref="EL417:EL421" si="433">VLOOKUP($DU417,$EO$306:$ER$334,2,FALSE)</f>
        <v>#N/A</v>
      </c>
      <c r="EM417" s="233" t="e">
        <f t="shared" ref="EM417:EM421" si="434">VLOOKUP($DU417,$EO$306:$ER$334,3,FALSE)</f>
        <v>#N/A</v>
      </c>
      <c r="EN417" s="454" t="e">
        <f t="shared" ref="EN417:EN421" si="435">VLOOKUP($DU417,$EO$306:$ER$334,4,FALSE)</f>
        <v>#N/A</v>
      </c>
      <c r="FK417" s="597" t="str">
        <f t="shared" si="389"/>
        <v/>
      </c>
      <c r="FL417" s="597" t="str">
        <f t="shared" si="386"/>
        <v/>
      </c>
      <c r="FM417" s="597" t="str">
        <f t="shared" si="387"/>
        <v/>
      </c>
      <c r="FN417" s="597">
        <f t="shared" ref="FN417:FN421" si="436">AR417</f>
        <v>0</v>
      </c>
      <c r="FO417" s="1163" t="str">
        <f t="shared" si="390"/>
        <v/>
      </c>
      <c r="FQ417" s="219" t="str">
        <f t="shared" si="328"/>
        <v/>
      </c>
      <c r="FR417" s="149" t="str">
        <f t="shared" si="329"/>
        <v>0</v>
      </c>
      <c r="FS417" s="132" t="str">
        <f t="shared" ref="FS417:FS421" si="437">IF(OR(DT417="要是正",DT417="既存不適格"),IF(AND(BY417="予定",DS417=2),1,IF(BY417="改善済",2,"")),"")</f>
        <v/>
      </c>
      <c r="FT417" s="227" t="str">
        <f t="shared" ref="FT417:FT421" si="438">IF(FS417=1,FR417,"0")</f>
        <v>0</v>
      </c>
      <c r="FU417" s="418" t="str">
        <f t="shared" ref="FU417:FU421" si="439">IF(AND(OR(DT417="要是正",DT417="既存不適格"),AND(DS417=0,BY417="未定")),BY417,"")</f>
        <v/>
      </c>
      <c r="FW417" s="1160">
        <f t="shared" ref="FW417:FW421" si="440">IF(AF417="△既存不適格",AT417&amp;"(既存不適格)",AT417)</f>
        <v>0</v>
      </c>
      <c r="FX417" s="123"/>
      <c r="FY417" s="123"/>
      <c r="FZ417" s="1161"/>
      <c r="GA417" s="34"/>
      <c r="GB417" s="123">
        <f t="shared" si="354"/>
        <v>0</v>
      </c>
      <c r="GC417" s="123">
        <f t="shared" si="355"/>
        <v>0</v>
      </c>
      <c r="GD417" s="69">
        <f t="shared" si="356"/>
        <v>0</v>
      </c>
      <c r="GE417" s="1149" t="str">
        <f t="shared" si="391"/>
        <v/>
      </c>
      <c r="GF417" s="1149" t="str">
        <f t="shared" si="392"/>
        <v/>
      </c>
      <c r="GG417" s="1149" t="str">
        <f t="shared" si="393"/>
        <v/>
      </c>
      <c r="GH417" s="1149" t="str">
        <f t="shared" si="394"/>
        <v/>
      </c>
      <c r="GI417" s="1149" t="str">
        <f t="shared" si="395"/>
        <v/>
      </c>
      <c r="GJ417" s="1149" t="str">
        <f t="shared" si="396"/>
        <v/>
      </c>
      <c r="GK417" s="1149" t="str">
        <f t="shared" si="397"/>
        <v/>
      </c>
      <c r="GL417" s="1149" t="str">
        <f t="shared" si="398"/>
        <v/>
      </c>
      <c r="GM417" s="1149" t="str">
        <f t="shared" si="399"/>
        <v/>
      </c>
      <c r="GN417" s="1149" t="str">
        <f t="shared" si="400"/>
        <v/>
      </c>
      <c r="GO417" s="1149" t="str">
        <f t="shared" si="401"/>
        <v/>
      </c>
      <c r="GP417" s="1149" t="str">
        <f t="shared" si="402"/>
        <v/>
      </c>
      <c r="GQ417" s="1149" t="str">
        <f t="shared" si="403"/>
        <v/>
      </c>
      <c r="GR417" s="1149" t="str">
        <f t="shared" si="404"/>
        <v/>
      </c>
      <c r="GS417" s="1149" t="str">
        <f t="shared" si="405"/>
        <v/>
      </c>
      <c r="GT417" s="1149">
        <f t="shared" si="357"/>
        <v>0</v>
      </c>
      <c r="GU417" s="1149">
        <f t="shared" si="358"/>
        <v>0</v>
      </c>
      <c r="GV417" s="1149">
        <f t="shared" si="359"/>
        <v>0</v>
      </c>
      <c r="GW417" s="1149" t="b">
        <f t="shared" si="360"/>
        <v>0</v>
      </c>
      <c r="GX417" s="1149" t="b">
        <f t="shared" si="361"/>
        <v>0</v>
      </c>
      <c r="GY417" s="1149" t="b">
        <f t="shared" si="362"/>
        <v>0</v>
      </c>
      <c r="GZ417" s="1149" t="str">
        <f t="shared" si="385"/>
        <v/>
      </c>
      <c r="HB417" s="1149" t="str">
        <f t="shared" si="363"/>
        <v/>
      </c>
      <c r="HC417" s="1149" t="str">
        <f t="shared" si="364"/>
        <v/>
      </c>
      <c r="HD417" s="1149" t="str">
        <f t="shared" si="365"/>
        <v/>
      </c>
      <c r="HE417" s="1149" t="str">
        <f t="shared" si="366"/>
        <v/>
      </c>
      <c r="HF417" s="1149" t="str">
        <f t="shared" si="367"/>
        <v/>
      </c>
      <c r="HG417" s="1149" t="str">
        <f t="shared" si="368"/>
        <v/>
      </c>
      <c r="HH417" s="1149" t="str">
        <f t="shared" si="369"/>
        <v/>
      </c>
      <c r="HI417" s="1149" t="str">
        <f t="shared" si="370"/>
        <v/>
      </c>
      <c r="HJ417" s="1149" t="str">
        <f t="shared" si="371"/>
        <v/>
      </c>
      <c r="HK417" s="1149" t="str">
        <f t="shared" si="372"/>
        <v/>
      </c>
      <c r="HL417" s="1149" t="str">
        <f t="shared" si="373"/>
        <v/>
      </c>
      <c r="HM417" s="1149" t="str">
        <f t="shared" si="374"/>
        <v/>
      </c>
      <c r="HN417" s="1149" t="str">
        <f t="shared" si="375"/>
        <v/>
      </c>
      <c r="HO417" s="1149" t="str">
        <f t="shared" si="376"/>
        <v/>
      </c>
      <c r="HP417" s="1149" t="str">
        <f t="shared" si="377"/>
        <v/>
      </c>
      <c r="HQ417" s="1149" t="str">
        <f t="shared" si="378"/>
        <v/>
      </c>
      <c r="HR417" s="1149" t="str">
        <f t="shared" si="379"/>
        <v/>
      </c>
      <c r="HT417" s="1149">
        <f>LEFT(M417,1)*10000+MID(M417,3,LEN(M417)-3)*100+COUNTIF($M$307:M417,M417)</f>
        <v>44801</v>
      </c>
      <c r="HU417" s="1149" t="str">
        <f t="shared" si="380"/>
        <v/>
      </c>
      <c r="HV417" s="1149" t="str">
        <f t="shared" si="381"/>
        <v/>
      </c>
      <c r="HW417" s="1149" t="str">
        <f t="shared" si="382"/>
        <v/>
      </c>
      <c r="HX417" s="1149" t="str">
        <f t="shared" si="383"/>
        <v/>
      </c>
    </row>
    <row r="418" spans="1:232" s="69" customFormat="1" ht="50.15" hidden="1" customHeight="1" thickBot="1">
      <c r="A418" s="645"/>
      <c r="B418" s="645"/>
      <c r="C418" s="645"/>
      <c r="D418" s="645"/>
      <c r="E418" s="646"/>
      <c r="F418" s="381"/>
      <c r="G418" s="381"/>
      <c r="H418" s="381"/>
      <c r="I418" s="1169"/>
      <c r="J418" s="80"/>
      <c r="K418" s="89"/>
      <c r="L418" s="89"/>
      <c r="M418" s="1964" t="s">
        <v>2577</v>
      </c>
      <c r="N418" s="1964"/>
      <c r="O418" s="1964"/>
      <c r="P418" s="2029"/>
      <c r="Q418" s="2029"/>
      <c r="R418" s="2029"/>
      <c r="S418" s="2029"/>
      <c r="T418" s="2029"/>
      <c r="U418" s="1899"/>
      <c r="V418" s="1899"/>
      <c r="W418" s="1899"/>
      <c r="X418" s="1899"/>
      <c r="Y418" s="1899"/>
      <c r="Z418" s="1899"/>
      <c r="AA418" s="1899"/>
      <c r="AB418" s="1899"/>
      <c r="AC418" s="1899"/>
      <c r="AD418" s="1899"/>
      <c r="AE418" s="1899"/>
      <c r="AF418" s="1898"/>
      <c r="AG418" s="1898"/>
      <c r="AH418" s="1898"/>
      <c r="AI418" s="1898"/>
      <c r="AJ418" s="1898"/>
      <c r="AK418" s="1898"/>
      <c r="AL418" s="1898"/>
      <c r="AM418" s="1898"/>
      <c r="AN418" s="1898"/>
      <c r="AO418" s="1898"/>
      <c r="AP418" s="1898"/>
      <c r="AQ418" s="1898"/>
      <c r="AR418" s="1910"/>
      <c r="AS418" s="1910"/>
      <c r="AT418" s="1993"/>
      <c r="AU418" s="1993"/>
      <c r="AV418" s="1993"/>
      <c r="AW418" s="1993"/>
      <c r="AX418" s="1993"/>
      <c r="AY418" s="1993"/>
      <c r="AZ418" s="1993"/>
      <c r="BA418" s="1993"/>
      <c r="BB418" s="1993"/>
      <c r="BC418" s="1993"/>
      <c r="BD418" s="1993"/>
      <c r="BE418" s="1993"/>
      <c r="BF418" s="1993"/>
      <c r="BG418" s="1993"/>
      <c r="BH418" s="1993"/>
      <c r="BI418" s="1993"/>
      <c r="BJ418" s="1993"/>
      <c r="BK418" s="1993"/>
      <c r="BL418" s="1993"/>
      <c r="BM418" s="1993"/>
      <c r="BN418" s="1993"/>
      <c r="BO418" s="1993"/>
      <c r="BP418" s="1993"/>
      <c r="BQ418" s="1993"/>
      <c r="BR418" s="1993"/>
      <c r="BS418" s="1895"/>
      <c r="BT418" s="1895"/>
      <c r="BU418" s="1895"/>
      <c r="BV418" s="1889"/>
      <c r="BW418" s="1889"/>
      <c r="BX418" s="1889"/>
      <c r="BY418" s="1889"/>
      <c r="BZ418" s="1896"/>
      <c r="CA418" s="1896"/>
      <c r="CB418" s="2037" t="str">
        <f t="shared" si="414"/>
        <v/>
      </c>
      <c r="CC418" s="2038"/>
      <c r="CD418" s="2038"/>
      <c r="CE418" s="2038"/>
      <c r="CF418" s="2038"/>
      <c r="CG418" s="2038"/>
      <c r="CH418" s="2038"/>
      <c r="CI418" s="2038"/>
      <c r="CJ418" s="2038"/>
      <c r="CK418" s="2038"/>
      <c r="CL418" s="2038"/>
      <c r="CM418" s="2038"/>
      <c r="CN418" s="2038"/>
      <c r="CO418" s="2038"/>
      <c r="CP418" s="2038"/>
      <c r="CQ418" s="2038"/>
      <c r="CR418" s="2038"/>
      <c r="CS418" s="2038"/>
      <c r="CT418" s="2038"/>
      <c r="CU418" s="2039"/>
      <c r="CV418" s="2360" t="str">
        <f t="shared" si="415"/>
        <v/>
      </c>
      <c r="CW418" s="2360"/>
      <c r="CX418" s="2360"/>
      <c r="CY418" s="2360"/>
      <c r="CZ418" s="2360"/>
      <c r="DA418" s="2360"/>
      <c r="DC418" s="600" t="str">
        <f t="shared" si="416"/>
        <v/>
      </c>
      <c r="DD418" s="381"/>
      <c r="DE418" s="34"/>
      <c r="DF418" s="34"/>
      <c r="DG418" s="34"/>
      <c r="DH418" s="34"/>
      <c r="DI418" s="34"/>
      <c r="DJ418" s="858" t="s">
        <v>5637</v>
      </c>
      <c r="DK418" s="1707" t="str">
        <f t="shared" si="347"/>
        <v/>
      </c>
      <c r="DL418" s="1692" t="str">
        <f t="shared" si="348"/>
        <v/>
      </c>
      <c r="DM418" s="1698">
        <f t="shared" si="388"/>
        <v>0</v>
      </c>
      <c r="DN418" s="527">
        <f t="shared" si="417"/>
        <v>0</v>
      </c>
      <c r="DO418" s="527">
        <f t="shared" si="418"/>
        <v>0</v>
      </c>
      <c r="DP418" s="528">
        <f t="shared" si="419"/>
        <v>0</v>
      </c>
      <c r="DQ418" s="123" t="s">
        <v>2602</v>
      </c>
      <c r="DR418" s="475">
        <f t="shared" si="420"/>
        <v>0</v>
      </c>
      <c r="DS418" s="221">
        <f t="shared" si="421"/>
        <v>0</v>
      </c>
      <c r="DT418" s="480" t="str">
        <f t="shared" si="422"/>
        <v/>
      </c>
      <c r="DU418" s="232" t="str">
        <f t="shared" si="310"/>
        <v/>
      </c>
      <c r="DV418" s="228" t="str">
        <f>IF(OR($DT418="要是正",$DT418="既存不適格"),MAX($DV$366:DV417)+1,"")</f>
        <v/>
      </c>
      <c r="DW418" s="467" t="str">
        <f t="shared" si="423"/>
        <v/>
      </c>
      <c r="DX418" s="531" t="str">
        <f t="shared" si="424"/>
        <v/>
      </c>
      <c r="DY418" s="468" t="str">
        <f t="shared" si="425"/>
        <v/>
      </c>
      <c r="DZ418" s="469" t="str">
        <f t="shared" si="426"/>
        <v/>
      </c>
      <c r="EA418" s="466" t="str">
        <f t="shared" si="315"/>
        <v/>
      </c>
      <c r="EB418" s="219" t="str">
        <f t="shared" si="316"/>
        <v/>
      </c>
      <c r="EC418" s="149" t="str">
        <f t="shared" si="317"/>
        <v>0</v>
      </c>
      <c r="ED418" s="132" t="str">
        <f t="shared" si="427"/>
        <v/>
      </c>
      <c r="EE418" s="227" t="str">
        <f t="shared" si="428"/>
        <v>0</v>
      </c>
      <c r="EF418" s="132" t="str">
        <f t="shared" si="429"/>
        <v/>
      </c>
      <c r="EG418" s="204" t="str">
        <f t="shared" si="319"/>
        <v/>
      </c>
      <c r="EH418" s="134" t="str">
        <f t="shared" si="320"/>
        <v>0</v>
      </c>
      <c r="EI418" s="148" t="str">
        <f t="shared" si="430"/>
        <v/>
      </c>
      <c r="EJ418" s="227" t="str">
        <f t="shared" si="431"/>
        <v>0</v>
      </c>
      <c r="EK418" s="451" t="str">
        <f t="shared" si="432"/>
        <v/>
      </c>
      <c r="EL418" s="232" t="e">
        <f t="shared" si="433"/>
        <v>#N/A</v>
      </c>
      <c r="EM418" s="233" t="e">
        <f t="shared" si="434"/>
        <v>#N/A</v>
      </c>
      <c r="EN418" s="454" t="e">
        <f t="shared" si="435"/>
        <v>#N/A</v>
      </c>
      <c r="FK418" s="597" t="str">
        <f t="shared" si="389"/>
        <v/>
      </c>
      <c r="FL418" s="597" t="str">
        <f t="shared" si="386"/>
        <v/>
      </c>
      <c r="FM418" s="597" t="str">
        <f t="shared" si="387"/>
        <v/>
      </c>
      <c r="FN418" s="597">
        <f t="shared" si="436"/>
        <v>0</v>
      </c>
      <c r="FO418" s="1163" t="str">
        <f t="shared" si="390"/>
        <v/>
      </c>
      <c r="FQ418" s="219" t="str">
        <f t="shared" si="328"/>
        <v/>
      </c>
      <c r="FR418" s="149" t="str">
        <f t="shared" si="329"/>
        <v>0</v>
      </c>
      <c r="FS418" s="132" t="str">
        <f t="shared" si="437"/>
        <v/>
      </c>
      <c r="FT418" s="227" t="str">
        <f t="shared" si="438"/>
        <v>0</v>
      </c>
      <c r="FU418" s="418" t="str">
        <f t="shared" si="439"/>
        <v/>
      </c>
      <c r="FW418" s="1160">
        <f t="shared" si="440"/>
        <v>0</v>
      </c>
      <c r="FX418" s="123"/>
      <c r="FY418" s="123"/>
      <c r="FZ418" s="1161"/>
      <c r="GA418" s="34"/>
      <c r="GB418" s="123">
        <f t="shared" si="354"/>
        <v>0</v>
      </c>
      <c r="GC418" s="123">
        <f t="shared" si="355"/>
        <v>0</v>
      </c>
      <c r="GD418" s="69">
        <f t="shared" si="356"/>
        <v>0</v>
      </c>
      <c r="GE418" s="1149" t="str">
        <f t="shared" si="391"/>
        <v/>
      </c>
      <c r="GF418" s="1149" t="str">
        <f t="shared" si="392"/>
        <v/>
      </c>
      <c r="GG418" s="1149" t="str">
        <f t="shared" si="393"/>
        <v/>
      </c>
      <c r="GH418" s="1149" t="str">
        <f t="shared" si="394"/>
        <v/>
      </c>
      <c r="GI418" s="1149" t="str">
        <f t="shared" si="395"/>
        <v/>
      </c>
      <c r="GJ418" s="1149" t="str">
        <f t="shared" si="396"/>
        <v/>
      </c>
      <c r="GK418" s="1149" t="str">
        <f t="shared" si="397"/>
        <v/>
      </c>
      <c r="GL418" s="1149" t="str">
        <f t="shared" si="398"/>
        <v/>
      </c>
      <c r="GM418" s="1149" t="str">
        <f t="shared" si="399"/>
        <v/>
      </c>
      <c r="GN418" s="1149" t="str">
        <f t="shared" si="400"/>
        <v/>
      </c>
      <c r="GO418" s="1149" t="str">
        <f t="shared" si="401"/>
        <v/>
      </c>
      <c r="GP418" s="1149" t="str">
        <f t="shared" si="402"/>
        <v/>
      </c>
      <c r="GQ418" s="1149" t="str">
        <f t="shared" si="403"/>
        <v/>
      </c>
      <c r="GR418" s="1149" t="str">
        <f t="shared" si="404"/>
        <v/>
      </c>
      <c r="GS418" s="1149" t="str">
        <f t="shared" si="405"/>
        <v/>
      </c>
      <c r="GT418" s="1149">
        <f t="shared" si="357"/>
        <v>0</v>
      </c>
      <c r="GU418" s="1149">
        <f t="shared" si="358"/>
        <v>0</v>
      </c>
      <c r="GV418" s="1149">
        <f t="shared" si="359"/>
        <v>0</v>
      </c>
      <c r="GW418" s="1149" t="b">
        <f t="shared" si="360"/>
        <v>0</v>
      </c>
      <c r="GX418" s="1149" t="b">
        <f t="shared" si="361"/>
        <v>0</v>
      </c>
      <c r="GY418" s="1149" t="b">
        <f t="shared" si="362"/>
        <v>0</v>
      </c>
      <c r="GZ418" s="1149" t="str">
        <f t="shared" si="385"/>
        <v/>
      </c>
      <c r="HB418" s="1149" t="str">
        <f t="shared" si="363"/>
        <v/>
      </c>
      <c r="HC418" s="1149" t="str">
        <f t="shared" si="364"/>
        <v/>
      </c>
      <c r="HD418" s="1149" t="str">
        <f t="shared" si="365"/>
        <v/>
      </c>
      <c r="HE418" s="1149" t="str">
        <f t="shared" si="366"/>
        <v/>
      </c>
      <c r="HF418" s="1149" t="str">
        <f t="shared" si="367"/>
        <v/>
      </c>
      <c r="HG418" s="1149" t="str">
        <f t="shared" si="368"/>
        <v/>
      </c>
      <c r="HH418" s="1149" t="str">
        <f t="shared" si="369"/>
        <v/>
      </c>
      <c r="HI418" s="1149" t="str">
        <f t="shared" si="370"/>
        <v/>
      </c>
      <c r="HJ418" s="1149" t="str">
        <f t="shared" si="371"/>
        <v/>
      </c>
      <c r="HK418" s="1149" t="str">
        <f t="shared" si="372"/>
        <v/>
      </c>
      <c r="HL418" s="1149" t="str">
        <f t="shared" si="373"/>
        <v/>
      </c>
      <c r="HM418" s="1149" t="str">
        <f t="shared" si="374"/>
        <v/>
      </c>
      <c r="HN418" s="1149" t="str">
        <f t="shared" si="375"/>
        <v/>
      </c>
      <c r="HO418" s="1149" t="str">
        <f t="shared" si="376"/>
        <v/>
      </c>
      <c r="HP418" s="1149" t="str">
        <f t="shared" si="377"/>
        <v/>
      </c>
      <c r="HQ418" s="1149" t="str">
        <f t="shared" si="378"/>
        <v/>
      </c>
      <c r="HR418" s="1149" t="str">
        <f t="shared" si="379"/>
        <v/>
      </c>
      <c r="HT418" s="1149">
        <f>LEFT(M418,1)*10000+MID(M418,3,LEN(M418)-3)*100+COUNTIF($M$307:M418,M418)</f>
        <v>44901</v>
      </c>
      <c r="HU418" s="1149" t="str">
        <f t="shared" si="380"/>
        <v/>
      </c>
      <c r="HV418" s="1149" t="str">
        <f t="shared" si="381"/>
        <v/>
      </c>
      <c r="HW418" s="1149" t="str">
        <f t="shared" si="382"/>
        <v/>
      </c>
      <c r="HX418" s="1149" t="str">
        <f t="shared" si="383"/>
        <v/>
      </c>
    </row>
    <row r="419" spans="1:232" s="69" customFormat="1" ht="50.15" hidden="1" customHeight="1" thickBot="1">
      <c r="A419" s="645"/>
      <c r="B419" s="645"/>
      <c r="C419" s="645"/>
      <c r="D419" s="645"/>
      <c r="E419" s="646"/>
      <c r="F419" s="381"/>
      <c r="G419" s="381"/>
      <c r="H419" s="381"/>
      <c r="I419" s="1169"/>
      <c r="J419" s="80"/>
      <c r="K419" s="89"/>
      <c r="L419" s="89"/>
      <c r="M419" s="1964" t="s">
        <v>2578</v>
      </c>
      <c r="N419" s="1964"/>
      <c r="O419" s="1964"/>
      <c r="P419" s="2029"/>
      <c r="Q419" s="2029"/>
      <c r="R419" s="2029"/>
      <c r="S419" s="2029"/>
      <c r="T419" s="2029"/>
      <c r="U419" s="1899"/>
      <c r="V419" s="1899"/>
      <c r="W419" s="1899"/>
      <c r="X419" s="1899"/>
      <c r="Y419" s="1899"/>
      <c r="Z419" s="1899"/>
      <c r="AA419" s="1899"/>
      <c r="AB419" s="1899"/>
      <c r="AC419" s="1899"/>
      <c r="AD419" s="1899"/>
      <c r="AE419" s="1899"/>
      <c r="AF419" s="1898"/>
      <c r="AG419" s="1898"/>
      <c r="AH419" s="1898"/>
      <c r="AI419" s="1898"/>
      <c r="AJ419" s="1898"/>
      <c r="AK419" s="1898"/>
      <c r="AL419" s="1898"/>
      <c r="AM419" s="1898"/>
      <c r="AN419" s="1898"/>
      <c r="AO419" s="1898"/>
      <c r="AP419" s="1898"/>
      <c r="AQ419" s="1898"/>
      <c r="AR419" s="1910"/>
      <c r="AS419" s="1910"/>
      <c r="AT419" s="1993"/>
      <c r="AU419" s="1993"/>
      <c r="AV419" s="1993"/>
      <c r="AW419" s="1993"/>
      <c r="AX419" s="1993"/>
      <c r="AY419" s="1993"/>
      <c r="AZ419" s="1993"/>
      <c r="BA419" s="1993"/>
      <c r="BB419" s="1993"/>
      <c r="BC419" s="1993"/>
      <c r="BD419" s="1993"/>
      <c r="BE419" s="1993"/>
      <c r="BF419" s="1993"/>
      <c r="BG419" s="1993"/>
      <c r="BH419" s="1993"/>
      <c r="BI419" s="1993"/>
      <c r="BJ419" s="1993"/>
      <c r="BK419" s="1993"/>
      <c r="BL419" s="1993"/>
      <c r="BM419" s="1993"/>
      <c r="BN419" s="1993"/>
      <c r="BO419" s="1993"/>
      <c r="BP419" s="1993"/>
      <c r="BQ419" s="1993"/>
      <c r="BR419" s="1993"/>
      <c r="BS419" s="1895"/>
      <c r="BT419" s="1895"/>
      <c r="BU419" s="1895"/>
      <c r="BV419" s="1889"/>
      <c r="BW419" s="1889"/>
      <c r="BX419" s="1889"/>
      <c r="BY419" s="1889"/>
      <c r="BZ419" s="1896"/>
      <c r="CA419" s="1896"/>
      <c r="CB419" s="2037" t="str">
        <f t="shared" si="414"/>
        <v/>
      </c>
      <c r="CC419" s="2038"/>
      <c r="CD419" s="2038"/>
      <c r="CE419" s="2038"/>
      <c r="CF419" s="2038"/>
      <c r="CG419" s="2038"/>
      <c r="CH419" s="2038"/>
      <c r="CI419" s="2038"/>
      <c r="CJ419" s="2038"/>
      <c r="CK419" s="2038"/>
      <c r="CL419" s="2038"/>
      <c r="CM419" s="2038"/>
      <c r="CN419" s="2038"/>
      <c r="CO419" s="2038"/>
      <c r="CP419" s="2038"/>
      <c r="CQ419" s="2038"/>
      <c r="CR419" s="2038"/>
      <c r="CS419" s="2038"/>
      <c r="CT419" s="2038"/>
      <c r="CU419" s="2039"/>
      <c r="CV419" s="2360" t="str">
        <f t="shared" si="415"/>
        <v/>
      </c>
      <c r="CW419" s="2360"/>
      <c r="CX419" s="2360"/>
      <c r="CY419" s="2360"/>
      <c r="CZ419" s="2360"/>
      <c r="DA419" s="2360"/>
      <c r="DC419" s="600" t="str">
        <f t="shared" si="416"/>
        <v/>
      </c>
      <c r="DD419" s="381"/>
      <c r="DE419" s="34"/>
      <c r="DF419" s="34"/>
      <c r="DG419" s="34"/>
      <c r="DH419" s="34"/>
      <c r="DI419" s="34"/>
      <c r="DJ419" s="858" t="s">
        <v>5637</v>
      </c>
      <c r="DK419" s="1707" t="str">
        <f t="shared" si="347"/>
        <v/>
      </c>
      <c r="DL419" s="1692" t="str">
        <f t="shared" si="348"/>
        <v/>
      </c>
      <c r="DM419" s="1698">
        <f t="shared" si="388"/>
        <v>0</v>
      </c>
      <c r="DN419" s="527">
        <f t="shared" si="417"/>
        <v>0</v>
      </c>
      <c r="DO419" s="527">
        <f t="shared" si="418"/>
        <v>0</v>
      </c>
      <c r="DP419" s="528">
        <f t="shared" si="419"/>
        <v>0</v>
      </c>
      <c r="DQ419" s="123" t="s">
        <v>2603</v>
      </c>
      <c r="DR419" s="475">
        <f t="shared" si="420"/>
        <v>0</v>
      </c>
      <c r="DS419" s="221">
        <f t="shared" si="421"/>
        <v>0</v>
      </c>
      <c r="DT419" s="480" t="str">
        <f t="shared" si="422"/>
        <v/>
      </c>
      <c r="DU419" s="232" t="str">
        <f t="shared" si="310"/>
        <v/>
      </c>
      <c r="DV419" s="228" t="str">
        <f>IF(OR($DT419="要是正",$DT419="既存不適格"),MAX($DV$366:DV418)+1,"")</f>
        <v/>
      </c>
      <c r="DW419" s="467" t="str">
        <f t="shared" si="423"/>
        <v/>
      </c>
      <c r="DX419" s="531" t="str">
        <f t="shared" si="424"/>
        <v/>
      </c>
      <c r="DY419" s="468" t="str">
        <f t="shared" si="425"/>
        <v/>
      </c>
      <c r="DZ419" s="469" t="str">
        <f t="shared" si="426"/>
        <v/>
      </c>
      <c r="EA419" s="466" t="str">
        <f t="shared" si="315"/>
        <v/>
      </c>
      <c r="EB419" s="219" t="str">
        <f t="shared" si="316"/>
        <v/>
      </c>
      <c r="EC419" s="149" t="str">
        <f t="shared" si="317"/>
        <v>0</v>
      </c>
      <c r="ED419" s="132" t="str">
        <f t="shared" si="427"/>
        <v/>
      </c>
      <c r="EE419" s="227" t="str">
        <f t="shared" si="428"/>
        <v>0</v>
      </c>
      <c r="EF419" s="132" t="str">
        <f t="shared" si="429"/>
        <v/>
      </c>
      <c r="EG419" s="204" t="str">
        <f t="shared" si="319"/>
        <v/>
      </c>
      <c r="EH419" s="134" t="str">
        <f t="shared" si="320"/>
        <v>0</v>
      </c>
      <c r="EI419" s="148" t="str">
        <f t="shared" si="430"/>
        <v/>
      </c>
      <c r="EJ419" s="227" t="str">
        <f t="shared" si="431"/>
        <v>0</v>
      </c>
      <c r="EK419" s="451" t="str">
        <f t="shared" si="432"/>
        <v/>
      </c>
      <c r="EL419" s="232" t="e">
        <f t="shared" si="433"/>
        <v>#N/A</v>
      </c>
      <c r="EM419" s="233" t="e">
        <f t="shared" si="434"/>
        <v>#N/A</v>
      </c>
      <c r="EN419" s="454" t="e">
        <f t="shared" si="435"/>
        <v>#N/A</v>
      </c>
      <c r="FK419" s="597" t="str">
        <f t="shared" si="389"/>
        <v/>
      </c>
      <c r="FL419" s="597" t="str">
        <f t="shared" si="386"/>
        <v/>
      </c>
      <c r="FM419" s="597" t="str">
        <f t="shared" si="387"/>
        <v/>
      </c>
      <c r="FN419" s="597">
        <f t="shared" si="436"/>
        <v>0</v>
      </c>
      <c r="FO419" s="1163" t="str">
        <f t="shared" si="390"/>
        <v/>
      </c>
      <c r="FQ419" s="219" t="str">
        <f t="shared" si="328"/>
        <v/>
      </c>
      <c r="FR419" s="149" t="str">
        <f t="shared" si="329"/>
        <v>0</v>
      </c>
      <c r="FS419" s="132" t="str">
        <f t="shared" si="437"/>
        <v/>
      </c>
      <c r="FT419" s="227" t="str">
        <f t="shared" si="438"/>
        <v>0</v>
      </c>
      <c r="FU419" s="418" t="str">
        <f t="shared" si="439"/>
        <v/>
      </c>
      <c r="FW419" s="1160">
        <f t="shared" si="440"/>
        <v>0</v>
      </c>
      <c r="FX419" s="123"/>
      <c r="FY419" s="123"/>
      <c r="FZ419" s="1161"/>
      <c r="GA419" s="34"/>
      <c r="GB419" s="123">
        <f t="shared" si="354"/>
        <v>0</v>
      </c>
      <c r="GC419" s="123">
        <f t="shared" si="355"/>
        <v>0</v>
      </c>
      <c r="GD419" s="69">
        <f t="shared" si="356"/>
        <v>0</v>
      </c>
      <c r="GE419" s="1149" t="str">
        <f t="shared" si="391"/>
        <v/>
      </c>
      <c r="GF419" s="1149" t="str">
        <f t="shared" si="392"/>
        <v/>
      </c>
      <c r="GG419" s="1149" t="str">
        <f t="shared" si="393"/>
        <v/>
      </c>
      <c r="GH419" s="1149" t="str">
        <f t="shared" si="394"/>
        <v/>
      </c>
      <c r="GI419" s="1149" t="str">
        <f t="shared" si="395"/>
        <v/>
      </c>
      <c r="GJ419" s="1149" t="str">
        <f t="shared" si="396"/>
        <v/>
      </c>
      <c r="GK419" s="1149" t="str">
        <f t="shared" si="397"/>
        <v/>
      </c>
      <c r="GL419" s="1149" t="str">
        <f t="shared" si="398"/>
        <v/>
      </c>
      <c r="GM419" s="1149" t="str">
        <f t="shared" si="399"/>
        <v/>
      </c>
      <c r="GN419" s="1149" t="str">
        <f t="shared" si="400"/>
        <v/>
      </c>
      <c r="GO419" s="1149" t="str">
        <f t="shared" si="401"/>
        <v/>
      </c>
      <c r="GP419" s="1149" t="str">
        <f t="shared" si="402"/>
        <v/>
      </c>
      <c r="GQ419" s="1149" t="str">
        <f t="shared" si="403"/>
        <v/>
      </c>
      <c r="GR419" s="1149" t="str">
        <f t="shared" si="404"/>
        <v/>
      </c>
      <c r="GS419" s="1149" t="str">
        <f t="shared" si="405"/>
        <v/>
      </c>
      <c r="GT419" s="1149">
        <f t="shared" si="357"/>
        <v>0</v>
      </c>
      <c r="GU419" s="1149">
        <f t="shared" si="358"/>
        <v>0</v>
      </c>
      <c r="GV419" s="1149">
        <f t="shared" si="359"/>
        <v>0</v>
      </c>
      <c r="GW419" s="1149" t="b">
        <f t="shared" si="360"/>
        <v>0</v>
      </c>
      <c r="GX419" s="1149" t="b">
        <f t="shared" si="361"/>
        <v>0</v>
      </c>
      <c r="GY419" s="1149" t="b">
        <f t="shared" si="362"/>
        <v>0</v>
      </c>
      <c r="GZ419" s="1149" t="str">
        <f t="shared" si="385"/>
        <v/>
      </c>
      <c r="HB419" s="1149" t="str">
        <f t="shared" si="363"/>
        <v/>
      </c>
      <c r="HC419" s="1149" t="str">
        <f t="shared" si="364"/>
        <v/>
      </c>
      <c r="HD419" s="1149" t="str">
        <f t="shared" si="365"/>
        <v/>
      </c>
      <c r="HE419" s="1149" t="str">
        <f t="shared" si="366"/>
        <v/>
      </c>
      <c r="HF419" s="1149" t="str">
        <f t="shared" si="367"/>
        <v/>
      </c>
      <c r="HG419" s="1149" t="str">
        <f t="shared" si="368"/>
        <v/>
      </c>
      <c r="HH419" s="1149" t="str">
        <f t="shared" si="369"/>
        <v/>
      </c>
      <c r="HI419" s="1149" t="str">
        <f t="shared" si="370"/>
        <v/>
      </c>
      <c r="HJ419" s="1149" t="str">
        <f t="shared" si="371"/>
        <v/>
      </c>
      <c r="HK419" s="1149" t="str">
        <f t="shared" si="372"/>
        <v/>
      </c>
      <c r="HL419" s="1149" t="str">
        <f t="shared" si="373"/>
        <v/>
      </c>
      <c r="HM419" s="1149" t="str">
        <f t="shared" si="374"/>
        <v/>
      </c>
      <c r="HN419" s="1149" t="str">
        <f t="shared" si="375"/>
        <v/>
      </c>
      <c r="HO419" s="1149" t="str">
        <f t="shared" si="376"/>
        <v/>
      </c>
      <c r="HP419" s="1149" t="str">
        <f t="shared" si="377"/>
        <v/>
      </c>
      <c r="HQ419" s="1149" t="str">
        <f t="shared" si="378"/>
        <v/>
      </c>
      <c r="HR419" s="1149" t="str">
        <f t="shared" si="379"/>
        <v/>
      </c>
      <c r="HT419" s="1149">
        <f>LEFT(M419,1)*10000+MID(M419,3,LEN(M419)-3)*100+COUNTIF($M$307:M419,M419)</f>
        <v>45001</v>
      </c>
      <c r="HU419" s="1149" t="str">
        <f t="shared" si="380"/>
        <v/>
      </c>
      <c r="HV419" s="1149" t="str">
        <f t="shared" si="381"/>
        <v/>
      </c>
      <c r="HW419" s="1149" t="str">
        <f t="shared" si="382"/>
        <v/>
      </c>
      <c r="HX419" s="1149" t="str">
        <f t="shared" si="383"/>
        <v/>
      </c>
    </row>
    <row r="420" spans="1:232" s="69" customFormat="1" ht="50.15" hidden="1" customHeight="1" thickBot="1">
      <c r="A420" s="645"/>
      <c r="B420" s="645"/>
      <c r="C420" s="645"/>
      <c r="D420" s="645"/>
      <c r="E420" s="646"/>
      <c r="F420" s="381"/>
      <c r="G420" s="381"/>
      <c r="H420" s="381"/>
      <c r="I420" s="1169"/>
      <c r="J420" s="80"/>
      <c r="K420" s="89"/>
      <c r="L420" s="89"/>
      <c r="M420" s="1964" t="s">
        <v>2579</v>
      </c>
      <c r="N420" s="1964"/>
      <c r="O420" s="1964"/>
      <c r="P420" s="2029"/>
      <c r="Q420" s="2029"/>
      <c r="R420" s="2029"/>
      <c r="S420" s="2029"/>
      <c r="T420" s="2029"/>
      <c r="U420" s="1899"/>
      <c r="V420" s="1899"/>
      <c r="W420" s="1899"/>
      <c r="X420" s="1899"/>
      <c r="Y420" s="1899"/>
      <c r="Z420" s="1899"/>
      <c r="AA420" s="1899"/>
      <c r="AB420" s="1899"/>
      <c r="AC420" s="1899"/>
      <c r="AD420" s="1899"/>
      <c r="AE420" s="1899"/>
      <c r="AF420" s="1898"/>
      <c r="AG420" s="1898"/>
      <c r="AH420" s="1898"/>
      <c r="AI420" s="1898"/>
      <c r="AJ420" s="1898"/>
      <c r="AK420" s="1898"/>
      <c r="AL420" s="1898"/>
      <c r="AM420" s="1898"/>
      <c r="AN420" s="1898"/>
      <c r="AO420" s="1898"/>
      <c r="AP420" s="1898"/>
      <c r="AQ420" s="1898"/>
      <c r="AR420" s="1910"/>
      <c r="AS420" s="1910"/>
      <c r="AT420" s="1993"/>
      <c r="AU420" s="1993"/>
      <c r="AV420" s="1993"/>
      <c r="AW420" s="1993"/>
      <c r="AX420" s="1993"/>
      <c r="AY420" s="1993"/>
      <c r="AZ420" s="1993"/>
      <c r="BA420" s="1993"/>
      <c r="BB420" s="1993"/>
      <c r="BC420" s="1993"/>
      <c r="BD420" s="1993"/>
      <c r="BE420" s="1993"/>
      <c r="BF420" s="1993"/>
      <c r="BG420" s="1993"/>
      <c r="BH420" s="1993"/>
      <c r="BI420" s="1993"/>
      <c r="BJ420" s="1993"/>
      <c r="BK420" s="1993"/>
      <c r="BL420" s="1993"/>
      <c r="BM420" s="1993"/>
      <c r="BN420" s="1993"/>
      <c r="BO420" s="1993"/>
      <c r="BP420" s="1993"/>
      <c r="BQ420" s="1993"/>
      <c r="BR420" s="1993"/>
      <c r="BS420" s="1895"/>
      <c r="BT420" s="1895"/>
      <c r="BU420" s="1895"/>
      <c r="BV420" s="1889"/>
      <c r="BW420" s="1889"/>
      <c r="BX420" s="1889"/>
      <c r="BY420" s="1889"/>
      <c r="BZ420" s="1896"/>
      <c r="CA420" s="1896"/>
      <c r="CB420" s="2037" t="str">
        <f t="shared" si="414"/>
        <v/>
      </c>
      <c r="CC420" s="2038"/>
      <c r="CD420" s="2038"/>
      <c r="CE420" s="2038"/>
      <c r="CF420" s="2038"/>
      <c r="CG420" s="2038"/>
      <c r="CH420" s="2038"/>
      <c r="CI420" s="2038"/>
      <c r="CJ420" s="2038"/>
      <c r="CK420" s="2038"/>
      <c r="CL420" s="2038"/>
      <c r="CM420" s="2038"/>
      <c r="CN420" s="2038"/>
      <c r="CO420" s="2038"/>
      <c r="CP420" s="2038"/>
      <c r="CQ420" s="2038"/>
      <c r="CR420" s="2038"/>
      <c r="CS420" s="2038"/>
      <c r="CT420" s="2038"/>
      <c r="CU420" s="2039"/>
      <c r="CV420" s="2360" t="str">
        <f t="shared" si="415"/>
        <v/>
      </c>
      <c r="CW420" s="2360"/>
      <c r="CX420" s="2360"/>
      <c r="CY420" s="2360"/>
      <c r="CZ420" s="2360"/>
      <c r="DA420" s="2360"/>
      <c r="DC420" s="600" t="str">
        <f t="shared" si="416"/>
        <v/>
      </c>
      <c r="DD420" s="381"/>
      <c r="DE420" s="34"/>
      <c r="DF420" s="34"/>
      <c r="DG420" s="34"/>
      <c r="DH420" s="34"/>
      <c r="DI420" s="34"/>
      <c r="DJ420" s="858" t="s">
        <v>5637</v>
      </c>
      <c r="DK420" s="1707" t="str">
        <f t="shared" si="347"/>
        <v/>
      </c>
      <c r="DL420" s="1692" t="str">
        <f t="shared" si="348"/>
        <v/>
      </c>
      <c r="DM420" s="1698">
        <f t="shared" si="388"/>
        <v>0</v>
      </c>
      <c r="DN420" s="527">
        <f t="shared" si="417"/>
        <v>0</v>
      </c>
      <c r="DO420" s="527">
        <f t="shared" si="418"/>
        <v>0</v>
      </c>
      <c r="DP420" s="528">
        <f t="shared" si="419"/>
        <v>0</v>
      </c>
      <c r="DQ420" s="123" t="s">
        <v>2604</v>
      </c>
      <c r="DR420" s="475">
        <f t="shared" si="420"/>
        <v>0</v>
      </c>
      <c r="DS420" s="221">
        <f t="shared" si="421"/>
        <v>0</v>
      </c>
      <c r="DT420" s="480" t="str">
        <f t="shared" si="422"/>
        <v/>
      </c>
      <c r="DU420" s="232" t="str">
        <f t="shared" si="310"/>
        <v/>
      </c>
      <c r="DV420" s="228" t="str">
        <f>IF(OR($DT420="要是正",$DT420="既存不適格"),MAX($DV$366:DV419)+1,"")</f>
        <v/>
      </c>
      <c r="DW420" s="467" t="str">
        <f t="shared" si="423"/>
        <v/>
      </c>
      <c r="DX420" s="531" t="str">
        <f t="shared" si="424"/>
        <v/>
      </c>
      <c r="DY420" s="468" t="str">
        <f t="shared" si="425"/>
        <v/>
      </c>
      <c r="DZ420" s="469" t="str">
        <f t="shared" si="426"/>
        <v/>
      </c>
      <c r="EA420" s="466" t="str">
        <f t="shared" si="315"/>
        <v/>
      </c>
      <c r="EB420" s="219" t="str">
        <f t="shared" si="316"/>
        <v/>
      </c>
      <c r="EC420" s="149" t="str">
        <f t="shared" si="317"/>
        <v>0</v>
      </c>
      <c r="ED420" s="132" t="str">
        <f t="shared" si="427"/>
        <v/>
      </c>
      <c r="EE420" s="227" t="str">
        <f t="shared" si="428"/>
        <v>0</v>
      </c>
      <c r="EF420" s="132" t="str">
        <f t="shared" si="429"/>
        <v/>
      </c>
      <c r="EG420" s="204" t="str">
        <f t="shared" si="319"/>
        <v/>
      </c>
      <c r="EH420" s="134" t="str">
        <f t="shared" si="320"/>
        <v>0</v>
      </c>
      <c r="EI420" s="148" t="str">
        <f t="shared" si="430"/>
        <v/>
      </c>
      <c r="EJ420" s="227" t="str">
        <f t="shared" si="431"/>
        <v>0</v>
      </c>
      <c r="EK420" s="451" t="str">
        <f t="shared" si="432"/>
        <v/>
      </c>
      <c r="EL420" s="232" t="e">
        <f t="shared" si="433"/>
        <v>#N/A</v>
      </c>
      <c r="EM420" s="233" t="e">
        <f t="shared" si="434"/>
        <v>#N/A</v>
      </c>
      <c r="EN420" s="454" t="e">
        <f t="shared" si="435"/>
        <v>#N/A</v>
      </c>
      <c r="FK420" s="597" t="str">
        <f t="shared" si="389"/>
        <v/>
      </c>
      <c r="FL420" s="597" t="str">
        <f t="shared" si="386"/>
        <v/>
      </c>
      <c r="FM420" s="597" t="str">
        <f t="shared" si="387"/>
        <v/>
      </c>
      <c r="FN420" s="597">
        <f t="shared" si="436"/>
        <v>0</v>
      </c>
      <c r="FO420" s="1163" t="str">
        <f t="shared" si="390"/>
        <v/>
      </c>
      <c r="FQ420" s="219" t="str">
        <f t="shared" si="328"/>
        <v/>
      </c>
      <c r="FR420" s="149" t="str">
        <f t="shared" si="329"/>
        <v>0</v>
      </c>
      <c r="FS420" s="132" t="str">
        <f t="shared" si="437"/>
        <v/>
      </c>
      <c r="FT420" s="227" t="str">
        <f t="shared" si="438"/>
        <v>0</v>
      </c>
      <c r="FU420" s="418" t="str">
        <f t="shared" si="439"/>
        <v/>
      </c>
      <c r="FW420" s="1160">
        <f t="shared" si="440"/>
        <v>0</v>
      </c>
      <c r="FX420" s="123"/>
      <c r="FY420" s="123"/>
      <c r="FZ420" s="1161"/>
      <c r="GA420" s="34"/>
      <c r="GB420" s="123">
        <f t="shared" si="354"/>
        <v>0</v>
      </c>
      <c r="GC420" s="123">
        <f t="shared" si="355"/>
        <v>0</v>
      </c>
      <c r="GD420" s="69">
        <f t="shared" si="356"/>
        <v>0</v>
      </c>
      <c r="GE420" s="1149" t="str">
        <f t="shared" si="391"/>
        <v/>
      </c>
      <c r="GF420" s="1149" t="str">
        <f t="shared" si="392"/>
        <v/>
      </c>
      <c r="GG420" s="1149" t="str">
        <f t="shared" si="393"/>
        <v/>
      </c>
      <c r="GH420" s="1149" t="str">
        <f t="shared" si="394"/>
        <v/>
      </c>
      <c r="GI420" s="1149" t="str">
        <f t="shared" si="395"/>
        <v/>
      </c>
      <c r="GJ420" s="1149" t="str">
        <f t="shared" si="396"/>
        <v/>
      </c>
      <c r="GK420" s="1149" t="str">
        <f t="shared" si="397"/>
        <v/>
      </c>
      <c r="GL420" s="1149" t="str">
        <f t="shared" si="398"/>
        <v/>
      </c>
      <c r="GM420" s="1149" t="str">
        <f t="shared" si="399"/>
        <v/>
      </c>
      <c r="GN420" s="1149" t="str">
        <f t="shared" si="400"/>
        <v/>
      </c>
      <c r="GO420" s="1149" t="str">
        <f t="shared" si="401"/>
        <v/>
      </c>
      <c r="GP420" s="1149" t="str">
        <f t="shared" si="402"/>
        <v/>
      </c>
      <c r="GQ420" s="1149" t="str">
        <f t="shared" si="403"/>
        <v/>
      </c>
      <c r="GR420" s="1149" t="str">
        <f t="shared" si="404"/>
        <v/>
      </c>
      <c r="GS420" s="1149" t="str">
        <f t="shared" si="405"/>
        <v/>
      </c>
      <c r="GT420" s="1149">
        <f t="shared" si="357"/>
        <v>0</v>
      </c>
      <c r="GU420" s="1149">
        <f t="shared" si="358"/>
        <v>0</v>
      </c>
      <c r="GV420" s="1149">
        <f t="shared" si="359"/>
        <v>0</v>
      </c>
      <c r="GW420" s="1149" t="b">
        <f t="shared" si="360"/>
        <v>0</v>
      </c>
      <c r="GX420" s="1149" t="b">
        <f t="shared" si="361"/>
        <v>0</v>
      </c>
      <c r="GY420" s="1149" t="b">
        <f t="shared" si="362"/>
        <v>0</v>
      </c>
      <c r="GZ420" s="1149" t="str">
        <f t="shared" si="385"/>
        <v/>
      </c>
      <c r="HB420" s="1149" t="str">
        <f t="shared" si="363"/>
        <v/>
      </c>
      <c r="HC420" s="1149" t="str">
        <f t="shared" si="364"/>
        <v/>
      </c>
      <c r="HD420" s="1149" t="str">
        <f t="shared" si="365"/>
        <v/>
      </c>
      <c r="HE420" s="1149" t="str">
        <f t="shared" si="366"/>
        <v/>
      </c>
      <c r="HF420" s="1149" t="str">
        <f t="shared" si="367"/>
        <v/>
      </c>
      <c r="HG420" s="1149" t="str">
        <f t="shared" si="368"/>
        <v/>
      </c>
      <c r="HH420" s="1149" t="str">
        <f t="shared" si="369"/>
        <v/>
      </c>
      <c r="HI420" s="1149" t="str">
        <f t="shared" si="370"/>
        <v/>
      </c>
      <c r="HJ420" s="1149" t="str">
        <f t="shared" si="371"/>
        <v/>
      </c>
      <c r="HK420" s="1149" t="str">
        <f t="shared" si="372"/>
        <v/>
      </c>
      <c r="HL420" s="1149" t="str">
        <f t="shared" si="373"/>
        <v/>
      </c>
      <c r="HM420" s="1149" t="str">
        <f t="shared" si="374"/>
        <v/>
      </c>
      <c r="HN420" s="1149" t="str">
        <f t="shared" si="375"/>
        <v/>
      </c>
      <c r="HO420" s="1149" t="str">
        <f t="shared" si="376"/>
        <v/>
      </c>
      <c r="HP420" s="1149" t="str">
        <f t="shared" si="377"/>
        <v/>
      </c>
      <c r="HQ420" s="1149" t="str">
        <f t="shared" si="378"/>
        <v/>
      </c>
      <c r="HR420" s="1149" t="str">
        <f t="shared" si="379"/>
        <v/>
      </c>
      <c r="HT420" s="1149">
        <f>LEFT(M420,1)*10000+MID(M420,3,LEN(M420)-3)*100+COUNTIF($M$307:M420,M420)</f>
        <v>45101</v>
      </c>
      <c r="HU420" s="1149" t="str">
        <f t="shared" si="380"/>
        <v/>
      </c>
      <c r="HV420" s="1149" t="str">
        <f t="shared" si="381"/>
        <v/>
      </c>
      <c r="HW420" s="1149" t="str">
        <f t="shared" si="382"/>
        <v/>
      </c>
      <c r="HX420" s="1149" t="str">
        <f t="shared" si="383"/>
        <v/>
      </c>
    </row>
    <row r="421" spans="1:232" s="69" customFormat="1" ht="50.15" hidden="1" customHeight="1" thickBot="1">
      <c r="A421" s="645"/>
      <c r="B421" s="645"/>
      <c r="C421" s="645"/>
      <c r="D421" s="645"/>
      <c r="E421" s="646"/>
      <c r="F421" s="381"/>
      <c r="G421" s="381"/>
      <c r="H421" s="381"/>
      <c r="I421" s="1169"/>
      <c r="J421" s="80"/>
      <c r="K421" s="89"/>
      <c r="L421" s="89"/>
      <c r="M421" s="1964" t="s">
        <v>2580</v>
      </c>
      <c r="N421" s="1964"/>
      <c r="O421" s="1964"/>
      <c r="P421" s="2028"/>
      <c r="Q421" s="2028"/>
      <c r="R421" s="2028"/>
      <c r="S421" s="2028"/>
      <c r="T421" s="2028"/>
      <c r="U421" s="2029"/>
      <c r="V421" s="2029"/>
      <c r="W421" s="2029"/>
      <c r="X421" s="2029"/>
      <c r="Y421" s="2029"/>
      <c r="Z421" s="2029"/>
      <c r="AA421" s="2029"/>
      <c r="AB421" s="2029"/>
      <c r="AC421" s="2029"/>
      <c r="AD421" s="2029"/>
      <c r="AE421" s="2029"/>
      <c r="AF421" s="2114"/>
      <c r="AG421" s="2114"/>
      <c r="AH421" s="2114"/>
      <c r="AI421" s="2114"/>
      <c r="AJ421" s="2114"/>
      <c r="AK421" s="2114"/>
      <c r="AL421" s="2114"/>
      <c r="AM421" s="2114"/>
      <c r="AN421" s="2114"/>
      <c r="AO421" s="2114"/>
      <c r="AP421" s="2114"/>
      <c r="AQ421" s="2114"/>
      <c r="AR421" s="2110"/>
      <c r="AS421" s="2110"/>
      <c r="AT421" s="1996"/>
      <c r="AU421" s="1996"/>
      <c r="AV421" s="1996"/>
      <c r="AW421" s="1996"/>
      <c r="AX421" s="1996"/>
      <c r="AY421" s="1996"/>
      <c r="AZ421" s="1996"/>
      <c r="BA421" s="1996"/>
      <c r="BB421" s="1996"/>
      <c r="BC421" s="1996"/>
      <c r="BD421" s="1996"/>
      <c r="BE421" s="1996"/>
      <c r="BF421" s="1996"/>
      <c r="BG421" s="1996"/>
      <c r="BH421" s="1996"/>
      <c r="BI421" s="1996"/>
      <c r="BJ421" s="1996"/>
      <c r="BK421" s="1996"/>
      <c r="BL421" s="1996"/>
      <c r="BM421" s="1996"/>
      <c r="BN421" s="1996"/>
      <c r="BO421" s="1996"/>
      <c r="BP421" s="1996"/>
      <c r="BQ421" s="1996"/>
      <c r="BR421" s="1996"/>
      <c r="BS421" s="2126"/>
      <c r="BT421" s="2126"/>
      <c r="BU421" s="2126"/>
      <c r="BV421" s="2089"/>
      <c r="BW421" s="2089"/>
      <c r="BX421" s="2089"/>
      <c r="BY421" s="2089"/>
      <c r="BZ421" s="2090"/>
      <c r="CA421" s="2090"/>
      <c r="CB421" s="2037" t="str">
        <f t="shared" si="414"/>
        <v/>
      </c>
      <c r="CC421" s="2038"/>
      <c r="CD421" s="2038"/>
      <c r="CE421" s="2038"/>
      <c r="CF421" s="2038"/>
      <c r="CG421" s="2038"/>
      <c r="CH421" s="2038"/>
      <c r="CI421" s="2038"/>
      <c r="CJ421" s="2038"/>
      <c r="CK421" s="2038"/>
      <c r="CL421" s="2038"/>
      <c r="CM421" s="2038"/>
      <c r="CN421" s="2038"/>
      <c r="CO421" s="2038"/>
      <c r="CP421" s="2038"/>
      <c r="CQ421" s="2038"/>
      <c r="CR421" s="2038"/>
      <c r="CS421" s="2038"/>
      <c r="CT421" s="2038"/>
      <c r="CU421" s="2039"/>
      <c r="CV421" s="2360" t="str">
        <f t="shared" si="415"/>
        <v/>
      </c>
      <c r="CW421" s="2360"/>
      <c r="CX421" s="2360"/>
      <c r="CY421" s="2360"/>
      <c r="CZ421" s="2360"/>
      <c r="DA421" s="2360"/>
      <c r="DC421" s="600" t="str">
        <f t="shared" si="416"/>
        <v/>
      </c>
      <c r="DD421" s="381"/>
      <c r="DE421" s="34"/>
      <c r="DF421" s="34"/>
      <c r="DG421" s="34"/>
      <c r="DH421" s="34"/>
      <c r="DI421" s="34"/>
      <c r="DJ421" s="1699" t="s">
        <v>5637</v>
      </c>
      <c r="DK421" s="1708" t="str">
        <f t="shared" si="347"/>
        <v/>
      </c>
      <c r="DL421" s="1700" t="str">
        <f t="shared" si="348"/>
        <v/>
      </c>
      <c r="DM421" s="1698">
        <f t="shared" si="388"/>
        <v>0</v>
      </c>
      <c r="DN421" s="527">
        <f t="shared" si="417"/>
        <v>0</v>
      </c>
      <c r="DO421" s="527">
        <f t="shared" si="418"/>
        <v>0</v>
      </c>
      <c r="DP421" s="528">
        <f t="shared" si="419"/>
        <v>0</v>
      </c>
      <c r="DQ421" s="123" t="s">
        <v>2605</v>
      </c>
      <c r="DR421" s="475">
        <f t="shared" si="420"/>
        <v>0</v>
      </c>
      <c r="DS421" s="221">
        <f t="shared" si="421"/>
        <v>0</v>
      </c>
      <c r="DT421" s="480" t="str">
        <f t="shared" si="422"/>
        <v/>
      </c>
      <c r="DU421" s="232" t="str">
        <f t="shared" si="310"/>
        <v/>
      </c>
      <c r="DV421" s="228" t="str">
        <f>IF(OR($DT421="要是正",$DT421="既存不適格"),MAX($DV$366:DV420)+1,"")</f>
        <v/>
      </c>
      <c r="DW421" s="467" t="str">
        <f t="shared" si="423"/>
        <v/>
      </c>
      <c r="DX421" s="531" t="str">
        <f t="shared" si="424"/>
        <v/>
      </c>
      <c r="DY421" s="468" t="str">
        <f t="shared" si="425"/>
        <v/>
      </c>
      <c r="DZ421" s="469" t="str">
        <f t="shared" si="426"/>
        <v/>
      </c>
      <c r="EA421" s="466" t="str">
        <f t="shared" si="315"/>
        <v/>
      </c>
      <c r="EB421" s="219" t="str">
        <f t="shared" si="316"/>
        <v/>
      </c>
      <c r="EC421" s="149" t="str">
        <f t="shared" si="317"/>
        <v>0</v>
      </c>
      <c r="ED421" s="132" t="str">
        <f t="shared" si="427"/>
        <v/>
      </c>
      <c r="EE421" s="227" t="str">
        <f t="shared" si="428"/>
        <v>0</v>
      </c>
      <c r="EF421" s="132" t="str">
        <f t="shared" si="429"/>
        <v/>
      </c>
      <c r="EG421" s="204" t="str">
        <f t="shared" si="319"/>
        <v/>
      </c>
      <c r="EH421" s="134" t="str">
        <f t="shared" si="320"/>
        <v>0</v>
      </c>
      <c r="EI421" s="148" t="str">
        <f t="shared" si="430"/>
        <v/>
      </c>
      <c r="EJ421" s="227" t="str">
        <f t="shared" si="431"/>
        <v>0</v>
      </c>
      <c r="EK421" s="451" t="str">
        <f t="shared" si="432"/>
        <v/>
      </c>
      <c r="EL421" s="232" t="e">
        <f t="shared" si="433"/>
        <v>#N/A</v>
      </c>
      <c r="EM421" s="233" t="e">
        <f t="shared" si="434"/>
        <v>#N/A</v>
      </c>
      <c r="EN421" s="454" t="e">
        <f t="shared" si="435"/>
        <v>#N/A</v>
      </c>
      <c r="FK421" s="597" t="str">
        <f t="shared" si="389"/>
        <v/>
      </c>
      <c r="FL421" s="597" t="str">
        <f t="shared" si="386"/>
        <v/>
      </c>
      <c r="FM421" s="597" t="str">
        <f t="shared" si="387"/>
        <v/>
      </c>
      <c r="FN421" s="597">
        <f t="shared" si="436"/>
        <v>0</v>
      </c>
      <c r="FO421" s="1163" t="str">
        <f t="shared" si="390"/>
        <v/>
      </c>
      <c r="FQ421" s="219" t="str">
        <f t="shared" si="328"/>
        <v/>
      </c>
      <c r="FR421" s="149" t="str">
        <f t="shared" si="329"/>
        <v>0</v>
      </c>
      <c r="FS421" s="132" t="str">
        <f t="shared" si="437"/>
        <v/>
      </c>
      <c r="FT421" s="227" t="str">
        <f t="shared" si="438"/>
        <v>0</v>
      </c>
      <c r="FU421" s="418" t="str">
        <f t="shared" si="439"/>
        <v/>
      </c>
      <c r="FW421" s="1160">
        <f t="shared" si="440"/>
        <v>0</v>
      </c>
      <c r="FX421" s="123"/>
      <c r="FY421" s="123"/>
      <c r="FZ421" s="1161"/>
      <c r="GA421" s="34"/>
      <c r="GB421" s="123">
        <f t="shared" si="354"/>
        <v>0</v>
      </c>
      <c r="GC421" s="123">
        <f t="shared" si="355"/>
        <v>0</v>
      </c>
      <c r="GD421" s="69">
        <f t="shared" si="356"/>
        <v>0</v>
      </c>
      <c r="GE421" s="1149" t="str">
        <f t="shared" si="391"/>
        <v/>
      </c>
      <c r="GF421" s="1149" t="str">
        <f t="shared" si="392"/>
        <v/>
      </c>
      <c r="GG421" s="1149" t="str">
        <f t="shared" si="393"/>
        <v/>
      </c>
      <c r="GH421" s="1149" t="str">
        <f t="shared" si="394"/>
        <v/>
      </c>
      <c r="GI421" s="1149" t="str">
        <f t="shared" si="395"/>
        <v/>
      </c>
      <c r="GJ421" s="1149" t="str">
        <f t="shared" si="396"/>
        <v/>
      </c>
      <c r="GK421" s="1149" t="str">
        <f t="shared" si="397"/>
        <v/>
      </c>
      <c r="GL421" s="1149" t="str">
        <f t="shared" si="398"/>
        <v/>
      </c>
      <c r="GM421" s="1149" t="str">
        <f t="shared" si="399"/>
        <v/>
      </c>
      <c r="GN421" s="1149" t="str">
        <f t="shared" si="400"/>
        <v/>
      </c>
      <c r="GO421" s="1149" t="str">
        <f t="shared" si="401"/>
        <v/>
      </c>
      <c r="GP421" s="1149" t="str">
        <f t="shared" si="402"/>
        <v/>
      </c>
      <c r="GQ421" s="1149" t="str">
        <f t="shared" si="403"/>
        <v/>
      </c>
      <c r="GR421" s="1149" t="str">
        <f t="shared" si="404"/>
        <v/>
      </c>
      <c r="GS421" s="1149" t="str">
        <f t="shared" si="405"/>
        <v/>
      </c>
      <c r="GT421" s="1149">
        <f t="shared" si="357"/>
        <v>0</v>
      </c>
      <c r="GU421" s="1149">
        <f t="shared" si="358"/>
        <v>0</v>
      </c>
      <c r="GV421" s="1149">
        <f t="shared" si="359"/>
        <v>0</v>
      </c>
      <c r="GW421" s="1149" t="b">
        <f t="shared" si="360"/>
        <v>0</v>
      </c>
      <c r="GX421" s="1149" t="b">
        <f t="shared" si="361"/>
        <v>0</v>
      </c>
      <c r="GY421" s="1149" t="b">
        <f t="shared" si="362"/>
        <v>0</v>
      </c>
      <c r="GZ421" s="1149" t="str">
        <f t="shared" si="385"/>
        <v/>
      </c>
      <c r="HB421" s="1149" t="str">
        <f t="shared" si="363"/>
        <v/>
      </c>
      <c r="HC421" s="1149" t="str">
        <f t="shared" si="364"/>
        <v/>
      </c>
      <c r="HD421" s="1149" t="str">
        <f t="shared" si="365"/>
        <v/>
      </c>
      <c r="HE421" s="1149" t="str">
        <f t="shared" si="366"/>
        <v/>
      </c>
      <c r="HF421" s="1149" t="str">
        <f t="shared" si="367"/>
        <v/>
      </c>
      <c r="HG421" s="1149" t="str">
        <f t="shared" si="368"/>
        <v/>
      </c>
      <c r="HH421" s="1149" t="str">
        <f t="shared" si="369"/>
        <v/>
      </c>
      <c r="HI421" s="1149" t="str">
        <f t="shared" si="370"/>
        <v/>
      </c>
      <c r="HJ421" s="1149" t="str">
        <f t="shared" si="371"/>
        <v/>
      </c>
      <c r="HK421" s="1149" t="str">
        <f t="shared" si="372"/>
        <v/>
      </c>
      <c r="HL421" s="1149" t="str">
        <f t="shared" si="373"/>
        <v/>
      </c>
      <c r="HM421" s="1149" t="str">
        <f t="shared" si="374"/>
        <v/>
      </c>
      <c r="HN421" s="1149" t="str">
        <f t="shared" si="375"/>
        <v/>
      </c>
      <c r="HO421" s="1149" t="str">
        <f t="shared" si="376"/>
        <v/>
      </c>
      <c r="HP421" s="1149" t="str">
        <f t="shared" si="377"/>
        <v/>
      </c>
      <c r="HQ421" s="1149" t="str">
        <f t="shared" si="378"/>
        <v/>
      </c>
      <c r="HR421" s="1149" t="str">
        <f t="shared" si="379"/>
        <v/>
      </c>
      <c r="HT421" s="1149">
        <f>LEFT(M421,1)*10000+MID(M421,3,LEN(M421)-3)*100+COUNTIF($M$307:M421,M421)</f>
        <v>45201</v>
      </c>
      <c r="HU421" s="1149" t="str">
        <f t="shared" si="380"/>
        <v/>
      </c>
      <c r="HV421" s="1149" t="str">
        <f t="shared" si="381"/>
        <v/>
      </c>
      <c r="HW421" s="1149" t="str">
        <f t="shared" si="382"/>
        <v/>
      </c>
      <c r="HX421" s="1149" t="str">
        <f t="shared" si="383"/>
        <v/>
      </c>
    </row>
    <row r="422" spans="1:232" ht="15" customHeight="1" thickBot="1">
      <c r="A422" s="645"/>
      <c r="B422" s="645"/>
      <c r="C422" s="645"/>
      <c r="D422" s="645"/>
      <c r="E422" s="646"/>
      <c r="J422" s="282"/>
      <c r="K422" s="300"/>
      <c r="L422" s="300"/>
      <c r="M422" s="556"/>
      <c r="N422" s="556"/>
      <c r="O422" s="556"/>
      <c r="P422" s="556"/>
      <c r="Q422" s="556"/>
      <c r="R422" s="556"/>
      <c r="S422" s="556"/>
      <c r="T422" s="556"/>
      <c r="U422" s="556"/>
      <c r="V422" s="556"/>
      <c r="W422" s="556"/>
      <c r="X422" s="556"/>
      <c r="Y422" s="556"/>
      <c r="Z422" s="556"/>
      <c r="AA422" s="556"/>
      <c r="AB422" s="556"/>
      <c r="AC422" s="556"/>
      <c r="AD422" s="556"/>
      <c r="AE422" s="92"/>
      <c r="AF422" s="92"/>
      <c r="AG422" s="92"/>
      <c r="AH422" s="92"/>
      <c r="AI422" s="92"/>
      <c r="AJ422" s="92"/>
      <c r="AK422" s="92"/>
      <c r="AL422" s="92"/>
      <c r="AM422" s="92"/>
      <c r="AN422" s="92"/>
      <c r="AO422" s="92"/>
      <c r="AP422" s="92"/>
      <c r="AQ422" s="92"/>
      <c r="AR422" s="92"/>
      <c r="AS422" s="92"/>
      <c r="AT422" s="92"/>
      <c r="AU422" s="92"/>
      <c r="AV422" s="92"/>
      <c r="AW422" s="92"/>
      <c r="AX422" s="92"/>
      <c r="AY422" s="92"/>
      <c r="AZ422" s="92"/>
      <c r="BA422" s="92"/>
      <c r="BB422" s="92"/>
      <c r="BC422" s="92"/>
      <c r="BD422" s="92"/>
      <c r="BE422" s="92"/>
      <c r="BF422" s="92"/>
      <c r="BG422" s="92"/>
      <c r="BH422" s="92"/>
      <c r="BI422" s="92"/>
      <c r="BJ422" s="92"/>
      <c r="BK422" s="92"/>
      <c r="BL422" s="92"/>
      <c r="BM422" s="92"/>
      <c r="BN422" s="92"/>
      <c r="BO422" s="92"/>
      <c r="BP422" s="92"/>
      <c r="BQ422" s="92"/>
      <c r="BR422" s="92"/>
      <c r="BS422" s="557"/>
      <c r="BT422" s="557"/>
      <c r="BU422" s="745"/>
      <c r="BV422" s="745"/>
      <c r="BW422" s="745"/>
      <c r="BX422" s="745"/>
      <c r="BY422" s="748"/>
      <c r="BZ422" s="748"/>
      <c r="CA422" s="748"/>
      <c r="CB422" s="746"/>
      <c r="CC422" s="746"/>
      <c r="CD422" s="746"/>
      <c r="CE422" s="746"/>
      <c r="CF422" s="746"/>
      <c r="CG422" s="746"/>
      <c r="CH422" s="746"/>
      <c r="CI422" s="746"/>
      <c r="CJ422" s="746"/>
      <c r="CK422" s="746"/>
      <c r="CL422" s="746"/>
      <c r="CM422" s="746"/>
      <c r="CN422" s="746"/>
      <c r="CO422" s="746"/>
      <c r="CP422" s="746"/>
      <c r="CQ422" s="746"/>
      <c r="CR422" s="746"/>
      <c r="CS422" s="746"/>
      <c r="CT422" s="746"/>
      <c r="CU422" s="747"/>
      <c r="CV422" s="2360"/>
      <c r="CW422" s="2360"/>
      <c r="CX422" s="2360"/>
      <c r="CY422" s="2360"/>
      <c r="CZ422" s="2360"/>
      <c r="DA422" s="2360"/>
      <c r="DD422" s="381"/>
      <c r="DE422" s="36"/>
      <c r="DF422" s="36"/>
      <c r="DG422" s="36"/>
      <c r="DH422" s="36"/>
      <c r="DI422" s="36"/>
      <c r="DJ422" s="641"/>
      <c r="DK422" s="1709"/>
      <c r="DL422" s="1685"/>
      <c r="DM422" s="193">
        <f>SUM(DM370:DM421)</f>
        <v>0</v>
      </c>
      <c r="DN422" s="193">
        <f>SUM(DN370:DN421)</f>
        <v>0</v>
      </c>
      <c r="DO422" s="193">
        <f>SUM(DO370:DO421)</f>
        <v>0</v>
      </c>
      <c r="DP422" s="193">
        <f>SUM(DP370:DP421)</f>
        <v>0</v>
      </c>
      <c r="DU422" s="506"/>
      <c r="DX422" s="1972" t="s">
        <v>2427</v>
      </c>
      <c r="DY422" s="924" t="s">
        <v>2430</v>
      </c>
      <c r="DZ422" s="427"/>
      <c r="EA422" s="535"/>
      <c r="EB422" s="1166"/>
      <c r="EC422" s="229"/>
      <c r="ED422" s="207">
        <f>COUNTIF(ED370:ED421,"1")</f>
        <v>0</v>
      </c>
      <c r="EE422" s="206" t="str">
        <f t="array" ref="EE422">INDEX(EE370:EE421,MATCH(MIN(ABS(EE370:EE421-$DP$4)),ABS(EE370:EE421-$DP$4),0))</f>
        <v>0</v>
      </c>
      <c r="EF422" s="207">
        <f>COUNTIF(EF370:EF421,"未定")</f>
        <v>0</v>
      </c>
      <c r="EG422" s="205"/>
      <c r="EH422" s="229"/>
      <c r="EI422" s="207">
        <f>COUNTIF(EI370:EI421,"1")</f>
        <v>0</v>
      </c>
      <c r="EJ422" s="206" t="str">
        <f t="array" ref="EJ422">INDEX(EJ370:EJ421,MATCH(MIN(ABS(EJ370:EJ421-$DP$4)),ABS(EJ370:EJ421-$DP$4),0))</f>
        <v>0</v>
      </c>
      <c r="EK422" s="207">
        <f>COUNTIF(EK370:EK421,"未定")</f>
        <v>0</v>
      </c>
      <c r="FK422" s="632"/>
      <c r="FL422" s="632"/>
      <c r="FM422" s="632"/>
      <c r="FN422" s="632"/>
      <c r="FO422" s="1163"/>
      <c r="FQ422" s="1166"/>
      <c r="FR422" s="229"/>
      <c r="FS422" s="207">
        <f>COUNTIF(FS370:FS421,"1")</f>
        <v>0</v>
      </c>
      <c r="FT422" s="206" t="str">
        <f t="array" ref="FT422">INDEX(FT370:FT421,MATCH(MIN(ABS(FT370:FT421-$DP$4)),ABS(FT370:FT421-$DP$4),0))</f>
        <v>0</v>
      </c>
      <c r="FU422" s="417">
        <f>COUNTIF(FU370:FU421,"未定")</f>
        <v>0</v>
      </c>
      <c r="FV422" s="167"/>
      <c r="FW422" s="1160">
        <f t="shared" si="384"/>
        <v>0</v>
      </c>
      <c r="FX422" s="31"/>
      <c r="FY422" s="31"/>
      <c r="FZ422" s="1164"/>
      <c r="GB422" s="1149">
        <f t="shared" ref="GB422" si="441">IF(SUM(GB370:GB421)&gt;0,1,0)</f>
        <v>0</v>
      </c>
      <c r="GC422" s="1149">
        <f t="shared" ref="GC422" si="442">IF(SUM(GC370:GC421)&gt;0,1,0)</f>
        <v>0</v>
      </c>
      <c r="GD422" s="1149">
        <f>IF(SUM(GD370:GD421)&gt;0,1,0)</f>
        <v>0</v>
      </c>
      <c r="GE422" s="1151"/>
      <c r="GF422" s="1151"/>
      <c r="GG422" s="1151"/>
      <c r="GH422" s="1151"/>
      <c r="GI422" s="1151"/>
      <c r="GJ422" s="1151"/>
      <c r="GK422" s="1151"/>
      <c r="GL422" s="1151"/>
      <c r="GM422" s="1151"/>
      <c r="GN422" s="1151"/>
      <c r="GO422" s="1151"/>
      <c r="GP422" s="1151"/>
      <c r="GQ422" s="1151"/>
      <c r="GR422" s="1151"/>
      <c r="GS422" s="1151"/>
      <c r="GT422" s="1149">
        <f t="shared" ref="GT422:GU422" si="443">IF(SUM(GT370:GT421)&gt;0,1,0)</f>
        <v>0</v>
      </c>
      <c r="GU422" s="1149">
        <f t="shared" si="443"/>
        <v>0</v>
      </c>
      <c r="GV422" s="1149">
        <f>IF(SUM(GV370:GV421)&gt;0,1,0)</f>
        <v>0</v>
      </c>
      <c r="GW422" s="1149" t="b">
        <f t="shared" si="360"/>
        <v>0</v>
      </c>
      <c r="GX422" s="1149" t="b">
        <f t="shared" si="361"/>
        <v>0</v>
      </c>
      <c r="GY422" s="1149" t="b">
        <f t="shared" si="362"/>
        <v>0</v>
      </c>
      <c r="GZ422" s="1149" t="str">
        <f t="shared" si="385"/>
        <v/>
      </c>
      <c r="HB422" s="1151"/>
      <c r="HC422" s="1151"/>
      <c r="HD422" s="1151"/>
      <c r="HE422" s="1151"/>
      <c r="HF422" s="1151"/>
      <c r="HG422" s="1151"/>
      <c r="HH422" s="1151"/>
      <c r="HI422" s="1151"/>
      <c r="HJ422" s="1151"/>
      <c r="HK422" s="1151"/>
      <c r="HL422" s="1151"/>
      <c r="HM422" s="1151"/>
      <c r="HN422" s="1151"/>
      <c r="HO422" s="1151"/>
      <c r="HP422" s="1151"/>
      <c r="HQ422" s="1151"/>
      <c r="HR422" s="1151"/>
      <c r="HT422" s="1702"/>
      <c r="HU422" s="1702"/>
      <c r="HV422" s="1702"/>
      <c r="HW422" s="1702"/>
      <c r="HX422" s="1702"/>
    </row>
    <row r="423" spans="1:232" s="69" customFormat="1" ht="35.15" customHeight="1" thickBot="1">
      <c r="A423" s="645"/>
      <c r="B423" s="645"/>
      <c r="C423" s="645"/>
      <c r="D423" s="645"/>
      <c r="E423" s="646"/>
      <c r="F423" s="381"/>
      <c r="G423" s="381"/>
      <c r="H423" s="381"/>
      <c r="J423" s="80"/>
      <c r="K423" s="89"/>
      <c r="L423" s="89"/>
      <c r="M423" s="2144" t="s">
        <v>113</v>
      </c>
      <c r="N423" s="2144"/>
      <c r="O423" s="2144"/>
      <c r="P423" s="2144"/>
      <c r="Q423" s="2144"/>
      <c r="R423" s="2144"/>
      <c r="S423" s="2144"/>
      <c r="T423" s="2144"/>
      <c r="U423" s="2144"/>
      <c r="V423" s="2144"/>
      <c r="W423" s="2144"/>
      <c r="X423" s="2144"/>
      <c r="Y423" s="2144"/>
      <c r="Z423" s="2144"/>
      <c r="AA423" s="2144"/>
      <c r="AB423" s="2144"/>
      <c r="AC423" s="2144"/>
      <c r="AD423" s="2144"/>
      <c r="AE423" s="2144"/>
      <c r="AF423" s="2144"/>
      <c r="AG423" s="2144"/>
      <c r="AH423" s="2144"/>
      <c r="AI423" s="2144"/>
      <c r="AJ423" s="2144"/>
      <c r="AK423" s="2144"/>
      <c r="AL423" s="2144"/>
      <c r="AM423" s="2144"/>
      <c r="AN423" s="2144"/>
      <c r="AO423" s="2144"/>
      <c r="AP423" s="2144"/>
      <c r="AQ423" s="2144"/>
      <c r="AR423" s="2144"/>
      <c r="AS423" s="2144"/>
      <c r="AT423" s="2144"/>
      <c r="AU423" s="2144"/>
      <c r="AV423" s="2144"/>
      <c r="AW423" s="2144"/>
      <c r="AX423" s="2144"/>
      <c r="AY423" s="2144"/>
      <c r="AZ423" s="2144"/>
      <c r="BA423" s="2144"/>
      <c r="BB423" s="2144"/>
      <c r="BC423" s="2144"/>
      <c r="BD423" s="2144"/>
      <c r="BE423" s="2144"/>
      <c r="BF423" s="2144"/>
      <c r="BG423" s="2144"/>
      <c r="BH423" s="2144"/>
      <c r="BI423" s="2144"/>
      <c r="BJ423" s="2144"/>
      <c r="BK423" s="2144"/>
      <c r="BL423" s="2144"/>
      <c r="BM423" s="2144"/>
      <c r="BN423" s="2144"/>
      <c r="BO423" s="2144"/>
      <c r="BP423" s="2144"/>
      <c r="BQ423" s="2144"/>
      <c r="BR423" s="2144"/>
      <c r="BS423" s="2144"/>
      <c r="BT423" s="2144"/>
      <c r="BU423" s="2144"/>
      <c r="BV423" s="2144"/>
      <c r="BW423" s="2144"/>
      <c r="BX423" s="2144"/>
      <c r="BY423" s="2144"/>
      <c r="BZ423" s="2144"/>
      <c r="CA423" s="2144"/>
      <c r="CB423" s="2144"/>
      <c r="CC423" s="2144"/>
      <c r="CD423" s="2144"/>
      <c r="CE423" s="2144"/>
      <c r="CF423" s="2144"/>
      <c r="CG423" s="2144"/>
      <c r="CH423" s="2144"/>
      <c r="CI423" s="2144"/>
      <c r="CJ423" s="2144"/>
      <c r="CK423" s="2144"/>
      <c r="CL423" s="2144"/>
      <c r="CM423" s="2144"/>
      <c r="CN423" s="2144"/>
      <c r="CO423" s="2144"/>
      <c r="CP423" s="2144"/>
      <c r="CQ423" s="2144"/>
      <c r="CR423" s="2144"/>
      <c r="CS423" s="2144"/>
      <c r="CT423" s="2144"/>
      <c r="CU423" s="2145"/>
      <c r="CV423" s="2360" t="str">
        <f>IF(AND(DT423="要是正",DU423&lt;21),HYPERLINK("#"&amp;EL423&amp;"!"&amp;EM423&amp;":"&amp;EN423&amp;"","関連写真添付"),"")</f>
        <v/>
      </c>
      <c r="CW423" s="2360"/>
      <c r="CX423" s="2360"/>
      <c r="CY423" s="2360"/>
      <c r="CZ423" s="2360"/>
      <c r="DA423" s="2360"/>
      <c r="DC423" s="600" t="str">
        <f>IF(AND(DU423&lt;&gt;"",DU423&gt;10),"「別途様式を作成、提出してください。」","")</f>
        <v/>
      </c>
      <c r="DD423" s="381"/>
      <c r="DE423" s="34"/>
      <c r="DF423" s="34"/>
      <c r="DG423" s="34"/>
      <c r="DH423" s="34"/>
      <c r="DI423" s="34"/>
      <c r="DJ423" s="34"/>
      <c r="DK423" s="1711"/>
      <c r="DL423" s="114"/>
      <c r="DM423" s="386" t="str">
        <f>IF(AND(DN423="",DO423="",DP423="",DM471&lt;&gt;0),"レ","")</f>
        <v/>
      </c>
      <c r="DN423" s="386" t="str">
        <f>IF(AND(DO423="",DP423="",DN471&lt;&gt;0),"レ","")</f>
        <v/>
      </c>
      <c r="DO423" s="386" t="str">
        <f>IF(DO471&lt;&gt;0,"レ","")</f>
        <v/>
      </c>
      <c r="DP423" s="386" t="str">
        <f>IF(AND(DO423="",DP471&lt;&gt;0),"レ","")</f>
        <v/>
      </c>
      <c r="DQ423" s="114"/>
      <c r="DR423" s="114"/>
      <c r="DS423" s="114"/>
      <c r="DT423" s="113"/>
      <c r="DU423" s="151"/>
      <c r="DV423" s="537"/>
      <c r="DW423" s="113"/>
      <c r="DX423" s="2046"/>
      <c r="DY423" s="135" t="str">
        <f>SUBSTITUTE(TRIM(DY426&amp;"　"&amp;DY427&amp;"　"&amp;DY428&amp;"　"&amp;DY429&amp;"　"&amp;DY430&amp;"　"&amp;DY431&amp;"　"&amp;DY432&amp;"　"&amp;DY433&amp;"　"&amp;DY434&amp;"　"&amp;DY435&amp;"　"&amp;DY436&amp;"　"&amp;DY437&amp;"　"&amp;DY438&amp;"　"&amp;DY439&amp;"　"&amp;DY440&amp;"　"&amp;DY441&amp;"　"&amp;DY442&amp;"　"&amp;DY443&amp;"　"&amp;DY444&amp;"　"&amp;DY445&amp;"　"&amp;DY446&amp;"　"&amp;DY447&amp;"　"&amp;DY448&amp;"　"&amp;DY449&amp;"　"&amp;DY450&amp;"　"&amp;DY451&amp;"　"&amp;DY452&amp;"　"&amp;DY453&amp;"　"&amp;DY454&amp;"　"&amp;DY455&amp;"　"&amp;DY456&amp;"　"&amp;DY457&amp;"　"&amp;DY458&amp;"　"&amp;DY459&amp;"　"&amp;DY460&amp;"　"&amp;DY461&amp;"　"&amp;DY462&amp;"　"&amp;DY463&amp;"　"&amp;DY464&amp;"　"&amp;DY465&amp;"　"&amp;DY466&amp;"　"&amp;DY467&amp;"　"&amp;DY468&amp;"　"&amp;DY469&amp;"　"&amp;DY470),"　",", ")&amp;HP528</f>
        <v/>
      </c>
      <c r="DZ423" s="2518" t="s">
        <v>2436</v>
      </c>
      <c r="EA423" s="2519"/>
      <c r="EB423" s="230" t="str">
        <f>IF(COUNTIF(ED426:ED470,1)&gt;0,"レ","")</f>
        <v/>
      </c>
      <c r="EC423" s="389"/>
      <c r="ED423" s="231" t="str">
        <f>IF(EB423="レ",YEAR(EE471)-VLOOKUP(EE471,$DS$6:$DV$9,4,TRUE),"")</f>
        <v/>
      </c>
      <c r="EE423" s="231" t="str">
        <f>IF(EB423="レ",MONTH(EE471),IF(AND(DO423="レ",EF423="レ",EF471=0),"",IF(AND(DO423="レ",EF423="レ",EF471&gt;0),"","")))</f>
        <v/>
      </c>
      <c r="EF423" s="387" t="str">
        <f>IF(EB423="",IF(OR(EF471&gt;0,DO423="レ"),"レ",""),"")</f>
        <v/>
      </c>
      <c r="EG423" s="230" t="str">
        <f>IF(AND(COUNTIF(DT426:DT470,"要是正")=0,COUNTIF(EI426:EI470,1)&gt;0),"レ","")</f>
        <v/>
      </c>
      <c r="EH423" s="389"/>
      <c r="EI423" s="231" t="str">
        <f>IF(EG423="レ",YEAR(EJ471)-VLOOKUP(EJ471,$DS$6:$DV$9,4,TRUE),"")</f>
        <v/>
      </c>
      <c r="EJ423" s="231" t="str">
        <f>IF(EG423="レ",MONTH(EJ471),IF(AND(DP423="レ",EK423="レ",EK471=0),"",IF(AND(DP423="レ",EK423="レ",EK471&gt;0),"","")))</f>
        <v/>
      </c>
      <c r="EK423" s="387" t="str">
        <f>IF(EG423="",IF(OR(EK471&gt;0,DP423="レ"),"レ",""),"")</f>
        <v/>
      </c>
      <c r="EL423" s="151"/>
      <c r="EM423" s="151"/>
      <c r="EN423" s="151"/>
      <c r="EO423" s="35"/>
      <c r="EP423" s="35"/>
      <c r="EQ423" s="35"/>
      <c r="ER423" s="35"/>
      <c r="ES423" s="35" t="str">
        <f>$GZ$531</f>
        <v>要是正なし</v>
      </c>
      <c r="ET423" s="35"/>
      <c r="EU423" s="35"/>
      <c r="EV423" s="35"/>
      <c r="EW423" s="35"/>
      <c r="EX423" s="35"/>
      <c r="EY423" s="35"/>
      <c r="EZ423" s="35"/>
      <c r="FA423" s="35"/>
      <c r="FB423" s="35"/>
      <c r="FC423" s="35"/>
      <c r="FD423" s="35"/>
      <c r="FE423" s="35"/>
      <c r="FF423" s="35"/>
      <c r="FG423" s="35"/>
      <c r="FH423" s="35"/>
      <c r="FI423" s="35"/>
      <c r="FK423" s="632"/>
      <c r="FL423" s="632"/>
      <c r="FM423" s="632"/>
      <c r="FN423" s="632"/>
      <c r="FO423" s="1163"/>
      <c r="FQ423" s="230" t="str">
        <f>IF(COUNTIF(FS426:FS470,1)&gt;0,"レ","")</f>
        <v/>
      </c>
      <c r="FR423" s="389"/>
      <c r="FS423" s="231" t="str">
        <f>IF(FQ423="レ",TEXT(FT471,"ee"),"")</f>
        <v/>
      </c>
      <c r="FT423" s="231" t="str">
        <f>IF(FQ423="レ",MONTH(FT471),IF(AND(FH423="レ",FU423="レ",FU471=0),"",IF(AND(FH423="レ",FU423="レ",FU471&gt;0),"未定","")))</f>
        <v/>
      </c>
      <c r="FU423" s="387" t="str">
        <f>IF(FQ423="",IF(OR(FU471&gt;0,FH423="レ"),"レ",""),"")</f>
        <v/>
      </c>
      <c r="FW423" s="1160">
        <f t="shared" ref="FW423:FW454" si="444">IF(AF423="△既存不適格",AT423&amp;"(既存不適格)",AT423)</f>
        <v>0</v>
      </c>
      <c r="FX423" s="123"/>
      <c r="FY423" s="123"/>
      <c r="FZ423" s="1161"/>
      <c r="GA423" s="34"/>
      <c r="GB423" s="123"/>
      <c r="GC423" s="123"/>
      <c r="GE423" s="123"/>
      <c r="GF423" s="123"/>
      <c r="GG423" s="123"/>
      <c r="GH423" s="123"/>
      <c r="GI423" s="123"/>
      <c r="GJ423" s="123"/>
      <c r="GK423" s="123"/>
      <c r="GL423" s="123"/>
      <c r="GM423" s="123"/>
      <c r="GN423" s="123"/>
      <c r="GO423" s="123"/>
      <c r="GP423" s="123"/>
      <c r="GQ423" s="123"/>
      <c r="GR423" s="123"/>
      <c r="GS423" s="123"/>
      <c r="GT423" s="123"/>
      <c r="GU423" s="123"/>
      <c r="GV423" s="123"/>
      <c r="GW423" s="123"/>
      <c r="GX423" s="123"/>
      <c r="GY423" s="123"/>
      <c r="HB423" s="123"/>
      <c r="HC423" s="123"/>
      <c r="HD423" s="123"/>
      <c r="HE423" s="123"/>
      <c r="HF423" s="123"/>
      <c r="HG423" s="123"/>
      <c r="HH423" s="123"/>
      <c r="HI423" s="123"/>
      <c r="HJ423" s="123"/>
      <c r="HK423" s="123"/>
      <c r="HL423" s="123"/>
      <c r="HM423" s="123"/>
      <c r="HN423" s="123"/>
      <c r="HO423" s="123"/>
      <c r="HP423" s="123"/>
      <c r="HQ423" s="123"/>
      <c r="HR423" s="123"/>
      <c r="HT423" s="1703"/>
      <c r="HU423" s="1703"/>
      <c r="HV423" s="1703"/>
      <c r="HW423" s="1703"/>
      <c r="HX423" s="1703"/>
    </row>
    <row r="424" spans="1:232" s="69" customFormat="1" ht="36" customHeight="1" thickBot="1">
      <c r="A424" s="645"/>
      <c r="B424" s="645"/>
      <c r="C424" s="645"/>
      <c r="D424" s="645"/>
      <c r="E424" s="646"/>
      <c r="F424" s="381"/>
      <c r="G424" s="381"/>
      <c r="H424" s="381"/>
      <c r="I424" s="123"/>
      <c r="J424" s="88"/>
      <c r="K424" s="89"/>
      <c r="L424" s="89"/>
      <c r="M424" s="2030" t="s">
        <v>31</v>
      </c>
      <c r="N424" s="2030"/>
      <c r="O424" s="2030"/>
      <c r="P424" s="2006" t="s">
        <v>32</v>
      </c>
      <c r="Q424" s="2006"/>
      <c r="R424" s="2006"/>
      <c r="S424" s="2006"/>
      <c r="T424" s="2006"/>
      <c r="U424" s="2006"/>
      <c r="V424" s="2006"/>
      <c r="W424" s="2006"/>
      <c r="X424" s="2006"/>
      <c r="Y424" s="2006"/>
      <c r="Z424" s="2006"/>
      <c r="AA424" s="2006"/>
      <c r="AB424" s="2006"/>
      <c r="AC424" s="2006"/>
      <c r="AD424" s="2006"/>
      <c r="AE424" s="2006"/>
      <c r="AF424" s="2006" t="s">
        <v>33</v>
      </c>
      <c r="AG424" s="2006"/>
      <c r="AH424" s="2006"/>
      <c r="AI424" s="2006"/>
      <c r="AJ424" s="2006"/>
      <c r="AK424" s="2006"/>
      <c r="AL424" s="2006"/>
      <c r="AM424" s="2006"/>
      <c r="AN424" s="2006"/>
      <c r="AO424" s="2006"/>
      <c r="AP424" s="2006"/>
      <c r="AQ424" s="2006"/>
      <c r="AR424" s="2006" t="s">
        <v>752</v>
      </c>
      <c r="AS424" s="2006"/>
      <c r="AT424" s="2003" t="s">
        <v>156</v>
      </c>
      <c r="AU424" s="2003"/>
      <c r="AV424" s="2003"/>
      <c r="AW424" s="2003"/>
      <c r="AX424" s="2003"/>
      <c r="AY424" s="2003"/>
      <c r="AZ424" s="2003"/>
      <c r="BA424" s="2003"/>
      <c r="BB424" s="2003"/>
      <c r="BC424" s="2003"/>
      <c r="BD424" s="2003" t="s">
        <v>194</v>
      </c>
      <c r="BE424" s="2003"/>
      <c r="BF424" s="2003"/>
      <c r="BG424" s="2003"/>
      <c r="BH424" s="2003"/>
      <c r="BI424" s="2003"/>
      <c r="BJ424" s="2003"/>
      <c r="BK424" s="2003"/>
      <c r="BL424" s="2003"/>
      <c r="BM424" s="2003"/>
      <c r="BN424" s="2003"/>
      <c r="BO424" s="2003"/>
      <c r="BP424" s="2003"/>
      <c r="BQ424" s="2003"/>
      <c r="BR424" s="2003"/>
      <c r="BS424" s="2006" t="s">
        <v>387</v>
      </c>
      <c r="BT424" s="2003"/>
      <c r="BU424" s="2003"/>
      <c r="BV424" s="2003"/>
      <c r="BW424" s="2003"/>
      <c r="BX424" s="2003"/>
      <c r="BY424" s="2003"/>
      <c r="BZ424" s="2003"/>
      <c r="CA424" s="2003"/>
      <c r="CB424" s="2120" t="s">
        <v>2818</v>
      </c>
      <c r="CC424" s="2120"/>
      <c r="CD424" s="2120"/>
      <c r="CE424" s="2120"/>
      <c r="CF424" s="2120"/>
      <c r="CG424" s="2120"/>
      <c r="CH424" s="2120"/>
      <c r="CI424" s="2120"/>
      <c r="CJ424" s="2120"/>
      <c r="CK424" s="2120"/>
      <c r="CL424" s="2120"/>
      <c r="CM424" s="2120"/>
      <c r="CN424" s="2120"/>
      <c r="CO424" s="2120"/>
      <c r="CP424" s="2120"/>
      <c r="CQ424" s="2120"/>
      <c r="CR424" s="2120"/>
      <c r="CS424" s="2120"/>
      <c r="CT424" s="2120"/>
      <c r="CU424" s="2121"/>
      <c r="CV424" s="108"/>
      <c r="CW424" s="108"/>
      <c r="CX424" s="108"/>
      <c r="CY424" s="108"/>
      <c r="CZ424" s="108"/>
      <c r="DA424" s="108"/>
      <c r="DB424" s="108"/>
      <c r="DC424" s="35"/>
      <c r="DD424" s="381"/>
      <c r="DE424" s="34"/>
      <c r="DF424" s="34"/>
      <c r="DG424" s="34"/>
      <c r="DH424" s="34"/>
      <c r="DI424" s="34"/>
      <c r="DJ424" s="34"/>
      <c r="DK424" s="1711"/>
      <c r="DL424" s="114"/>
      <c r="DM424" s="166" t="s">
        <v>3357</v>
      </c>
      <c r="DN424" s="34"/>
      <c r="DO424" s="34"/>
      <c r="DP424" s="34"/>
      <c r="DQ424" s="34"/>
      <c r="DR424" s="34"/>
      <c r="DU424" s="536"/>
      <c r="DV424" s="310"/>
      <c r="DW424" s="546"/>
      <c r="DX424" s="2046"/>
      <c r="DY424" s="2520" t="s">
        <v>911</v>
      </c>
      <c r="DZ424" s="1974" t="s">
        <v>194</v>
      </c>
      <c r="EA424" s="2517" t="s">
        <v>2402</v>
      </c>
      <c r="EB424" s="1907" t="s">
        <v>24</v>
      </c>
      <c r="EC424" s="1908"/>
      <c r="ED424" s="1908"/>
      <c r="EE424" s="1908"/>
      <c r="EF424" s="1908"/>
      <c r="EG424" s="1969" t="s">
        <v>931</v>
      </c>
      <c r="EH424" s="1970"/>
      <c r="EI424" s="1970"/>
      <c r="EJ424" s="1970"/>
      <c r="EK424" s="1971"/>
      <c r="EL424" s="1882" t="s">
        <v>938</v>
      </c>
      <c r="EM424" s="1883"/>
      <c r="EN424" s="1884"/>
      <c r="EO424" s="1897"/>
      <c r="EP424" s="1897"/>
      <c r="EQ424" s="1897"/>
      <c r="ER424" s="1897"/>
      <c r="ES424" s="35"/>
      <c r="ET424" s="1897"/>
      <c r="EU424" s="1897"/>
      <c r="EV424" s="1897"/>
      <c r="EW424" s="1897"/>
      <c r="EX424" s="1897"/>
      <c r="EY424" s="1900"/>
      <c r="EZ424" s="1900"/>
      <c r="FA424" s="1900"/>
      <c r="FB424" s="1900"/>
      <c r="FC424" s="1900"/>
      <c r="FD424" s="1900"/>
      <c r="FE424" s="1900"/>
      <c r="FF424" s="1900"/>
      <c r="FG424" s="1900"/>
      <c r="FH424" s="1900"/>
      <c r="FI424" s="120"/>
      <c r="FJ424" s="108"/>
      <c r="FK424" s="1901" t="s">
        <v>1180</v>
      </c>
      <c r="FL424" s="1902"/>
      <c r="FM424" s="1902"/>
      <c r="FN424" s="1902"/>
      <c r="FO424" s="1903"/>
      <c r="FQ424" s="1907" t="s">
        <v>24</v>
      </c>
      <c r="FR424" s="1908"/>
      <c r="FS424" s="1908"/>
      <c r="FT424" s="1908"/>
      <c r="FU424" s="1909"/>
      <c r="FW424" s="1160" t="str">
        <f t="shared" si="444"/>
        <v>指摘の具体的内容等</v>
      </c>
      <c r="FX424" s="123"/>
      <c r="FY424" s="123"/>
      <c r="FZ424" s="1161"/>
      <c r="GA424" s="34"/>
      <c r="GB424" s="123"/>
      <c r="GC424" s="123"/>
      <c r="GE424" s="123"/>
      <c r="GF424" s="123"/>
      <c r="GG424" s="123"/>
      <c r="GH424" s="123"/>
      <c r="GI424" s="123"/>
      <c r="GJ424" s="123"/>
      <c r="GK424" s="123"/>
      <c r="GL424" s="123"/>
      <c r="GM424" s="123"/>
      <c r="GN424" s="123"/>
      <c r="GO424" s="123"/>
      <c r="GP424" s="123"/>
      <c r="GQ424" s="123"/>
      <c r="GR424" s="123"/>
      <c r="GS424" s="123"/>
      <c r="GT424" s="123"/>
      <c r="GU424" s="123"/>
      <c r="GV424" s="167"/>
      <c r="GW424" s="123"/>
      <c r="GX424" s="123"/>
      <c r="GY424" s="123"/>
      <c r="HB424" s="123"/>
      <c r="HC424" s="123"/>
      <c r="HD424" s="123"/>
      <c r="HE424" s="123"/>
      <c r="HF424" s="123"/>
      <c r="HG424" s="123"/>
      <c r="HH424" s="123"/>
      <c r="HI424" s="123"/>
      <c r="HJ424" s="123"/>
      <c r="HK424" s="123"/>
      <c r="HL424" s="123"/>
      <c r="HM424" s="123"/>
      <c r="HN424" s="123"/>
      <c r="HO424" s="123"/>
      <c r="HP424" s="123"/>
      <c r="HQ424" s="123"/>
      <c r="HR424" s="123"/>
      <c r="HS424" s="167"/>
      <c r="HT424" s="1703"/>
      <c r="HU424" s="1703"/>
      <c r="HV424" s="1703"/>
      <c r="HW424" s="1703"/>
      <c r="HX424" s="1703"/>
    </row>
    <row r="425" spans="1:232" s="69" customFormat="1" ht="36" customHeight="1" thickBot="1">
      <c r="A425" s="645"/>
      <c r="B425" s="645"/>
      <c r="C425" s="645"/>
      <c r="D425" s="645"/>
      <c r="E425" s="646"/>
      <c r="F425" s="381"/>
      <c r="G425" s="381"/>
      <c r="H425" s="381"/>
      <c r="I425" s="123"/>
      <c r="J425" s="88"/>
      <c r="K425" s="89"/>
      <c r="L425" s="89"/>
      <c r="M425" s="1976"/>
      <c r="N425" s="1976"/>
      <c r="O425" s="1976"/>
      <c r="P425" s="1976"/>
      <c r="Q425" s="1976"/>
      <c r="R425" s="1976"/>
      <c r="S425" s="1976"/>
      <c r="T425" s="1976"/>
      <c r="U425" s="1976"/>
      <c r="V425" s="1976"/>
      <c r="W425" s="1976"/>
      <c r="X425" s="1976"/>
      <c r="Y425" s="1976"/>
      <c r="Z425" s="1976"/>
      <c r="AA425" s="1976"/>
      <c r="AB425" s="1976"/>
      <c r="AC425" s="1976"/>
      <c r="AD425" s="1976"/>
      <c r="AE425" s="1976"/>
      <c r="AF425" s="1976"/>
      <c r="AG425" s="1976"/>
      <c r="AH425" s="1976"/>
      <c r="AI425" s="1976"/>
      <c r="AJ425" s="1976"/>
      <c r="AK425" s="1976"/>
      <c r="AL425" s="1976"/>
      <c r="AM425" s="1976"/>
      <c r="AN425" s="1976"/>
      <c r="AO425" s="1976"/>
      <c r="AP425" s="1976"/>
      <c r="AQ425" s="1976"/>
      <c r="AR425" s="1976"/>
      <c r="AS425" s="1976"/>
      <c r="AT425" s="2004"/>
      <c r="AU425" s="2004"/>
      <c r="AV425" s="2004"/>
      <c r="AW425" s="2004"/>
      <c r="AX425" s="2004"/>
      <c r="AY425" s="2004"/>
      <c r="AZ425" s="2004"/>
      <c r="BA425" s="2004"/>
      <c r="BB425" s="2004"/>
      <c r="BC425" s="2004"/>
      <c r="BD425" s="2004"/>
      <c r="BE425" s="2004"/>
      <c r="BF425" s="2004"/>
      <c r="BG425" s="2004"/>
      <c r="BH425" s="2004"/>
      <c r="BI425" s="2004"/>
      <c r="BJ425" s="2004"/>
      <c r="BK425" s="2004"/>
      <c r="BL425" s="2004"/>
      <c r="BM425" s="2004"/>
      <c r="BN425" s="2004"/>
      <c r="BO425" s="2004"/>
      <c r="BP425" s="2004"/>
      <c r="BQ425" s="2004"/>
      <c r="BR425" s="2004"/>
      <c r="BS425" s="1976" t="s">
        <v>865</v>
      </c>
      <c r="BT425" s="1976"/>
      <c r="BU425" s="1976"/>
      <c r="BV425" s="1977" t="s">
        <v>383</v>
      </c>
      <c r="BW425" s="1977"/>
      <c r="BX425" s="1977"/>
      <c r="BY425" s="1977" t="s">
        <v>1700</v>
      </c>
      <c r="BZ425" s="1978"/>
      <c r="CA425" s="1978"/>
      <c r="CB425" s="2122"/>
      <c r="CC425" s="2122"/>
      <c r="CD425" s="2122"/>
      <c r="CE425" s="2122"/>
      <c r="CF425" s="2122"/>
      <c r="CG425" s="2122"/>
      <c r="CH425" s="2122"/>
      <c r="CI425" s="2122"/>
      <c r="CJ425" s="2122"/>
      <c r="CK425" s="2122"/>
      <c r="CL425" s="2122"/>
      <c r="CM425" s="2122"/>
      <c r="CN425" s="2122"/>
      <c r="CO425" s="2122"/>
      <c r="CP425" s="2122"/>
      <c r="CQ425" s="2122"/>
      <c r="CR425" s="2122"/>
      <c r="CS425" s="2122"/>
      <c r="CT425" s="2122"/>
      <c r="CU425" s="2123"/>
      <c r="CV425" s="108"/>
      <c r="CW425" s="108"/>
      <c r="CX425" s="108"/>
      <c r="CY425" s="108"/>
      <c r="CZ425" s="108"/>
      <c r="DA425" s="108"/>
      <c r="DB425" s="108"/>
      <c r="DC425" s="35"/>
      <c r="DD425" s="381"/>
      <c r="DE425" s="34"/>
      <c r="DF425" s="34"/>
      <c r="DG425" s="34"/>
      <c r="DH425" s="34"/>
      <c r="DI425" s="34"/>
      <c r="DJ425" s="1695" t="s">
        <v>5640</v>
      </c>
      <c r="DK425" s="1706" t="s">
        <v>5639</v>
      </c>
      <c r="DL425" s="1696" t="s">
        <v>5641</v>
      </c>
      <c r="DM425" s="512" t="s">
        <v>347</v>
      </c>
      <c r="DN425" s="471" t="s">
        <v>348</v>
      </c>
      <c r="DO425" s="471" t="s">
        <v>349</v>
      </c>
      <c r="DP425" s="472" t="s">
        <v>350</v>
      </c>
      <c r="DQ425" s="192" t="s">
        <v>863</v>
      </c>
      <c r="DR425" s="470" t="s">
        <v>754</v>
      </c>
      <c r="DS425" s="514" t="s">
        <v>753</v>
      </c>
      <c r="DT425" s="479" t="s">
        <v>746</v>
      </c>
      <c r="DU425" s="481" t="s">
        <v>920</v>
      </c>
      <c r="DV425" s="522" t="s">
        <v>912</v>
      </c>
      <c r="DW425" s="110" t="s">
        <v>695</v>
      </c>
      <c r="DX425" s="2047"/>
      <c r="DY425" s="2521"/>
      <c r="DZ425" s="1975"/>
      <c r="EA425" s="2486"/>
      <c r="EB425" s="235" t="s">
        <v>950</v>
      </c>
      <c r="EC425" s="228" t="s">
        <v>949</v>
      </c>
      <c r="ED425" s="228" t="s">
        <v>943</v>
      </c>
      <c r="EE425" s="215" t="s">
        <v>944</v>
      </c>
      <c r="EF425" s="216" t="s">
        <v>945</v>
      </c>
      <c r="EG425" s="214" t="s">
        <v>941</v>
      </c>
      <c r="EH425" s="215" t="s">
        <v>942</v>
      </c>
      <c r="EI425" s="228" t="s">
        <v>943</v>
      </c>
      <c r="EJ425" s="215" t="s">
        <v>944</v>
      </c>
      <c r="EK425" s="450" t="s">
        <v>945</v>
      </c>
      <c r="EL425" s="223" t="s">
        <v>358</v>
      </c>
      <c r="EM425" s="112" t="s">
        <v>693</v>
      </c>
      <c r="EN425" s="220" t="s">
        <v>694</v>
      </c>
      <c r="EO425" s="35"/>
      <c r="EP425" s="313"/>
      <c r="EQ425" s="313"/>
      <c r="ER425" s="313"/>
      <c r="ES425" s="309"/>
      <c r="ET425" s="35"/>
      <c r="EU425" s="309"/>
      <c r="EV425" s="309"/>
      <c r="EW425" s="309"/>
      <c r="EX425" s="309"/>
      <c r="EY425" s="310"/>
      <c r="EZ425" s="310"/>
      <c r="FA425" s="310"/>
      <c r="FB425" s="310"/>
      <c r="FC425" s="310"/>
      <c r="FD425" s="310"/>
      <c r="FE425" s="310"/>
      <c r="FF425" s="310"/>
      <c r="FG425" s="310"/>
      <c r="FH425" s="310"/>
      <c r="FI425" s="120"/>
      <c r="FJ425" s="108"/>
      <c r="FK425" s="1904"/>
      <c r="FL425" s="1905"/>
      <c r="FM425" s="1905"/>
      <c r="FN425" s="1905"/>
      <c r="FO425" s="1906"/>
      <c r="FQ425" s="235" t="s">
        <v>950</v>
      </c>
      <c r="FR425" s="228" t="s">
        <v>949</v>
      </c>
      <c r="FS425" s="228" t="s">
        <v>943</v>
      </c>
      <c r="FT425" s="215" t="s">
        <v>944</v>
      </c>
      <c r="FU425" s="415" t="s">
        <v>945</v>
      </c>
      <c r="FW425" s="1160">
        <f t="shared" si="444"/>
        <v>0</v>
      </c>
      <c r="FX425" s="123"/>
      <c r="FY425" s="123"/>
      <c r="FZ425" s="1161"/>
      <c r="GA425" s="34"/>
      <c r="GB425" s="123"/>
      <c r="GC425" s="123"/>
      <c r="GE425" s="1165"/>
      <c r="GF425" s="1165"/>
      <c r="GG425" s="1165"/>
      <c r="GH425" s="1165"/>
      <c r="GI425" s="1165"/>
      <c r="GJ425" s="1165"/>
      <c r="GK425" s="1165"/>
      <c r="GL425" s="1165"/>
      <c r="GM425" s="1165"/>
      <c r="GN425" s="1165"/>
      <c r="GO425" s="1165"/>
      <c r="GP425" s="1165"/>
      <c r="GQ425" s="1165"/>
      <c r="GR425" s="1165"/>
      <c r="GS425" s="1165"/>
      <c r="GT425" s="1165"/>
      <c r="GU425" s="1165"/>
      <c r="GV425" s="1165"/>
      <c r="GW425" s="123"/>
      <c r="GX425" s="123"/>
      <c r="GY425" s="123"/>
      <c r="HB425" s="1165"/>
      <c r="HC425" s="1165"/>
      <c r="HD425" s="1165"/>
      <c r="HE425" s="1165"/>
      <c r="HF425" s="1165"/>
      <c r="HG425" s="1165"/>
      <c r="HH425" s="1165"/>
      <c r="HI425" s="1165"/>
      <c r="HJ425" s="1165"/>
      <c r="HK425" s="1165"/>
      <c r="HL425" s="1165"/>
      <c r="HM425" s="1165"/>
      <c r="HN425" s="1165"/>
      <c r="HO425" s="1165"/>
      <c r="HP425" s="1165"/>
      <c r="HQ425" s="1165"/>
      <c r="HR425" s="1165"/>
      <c r="HT425" s="1704"/>
      <c r="HU425" s="1704"/>
      <c r="HV425" s="1704"/>
      <c r="HW425" s="1704"/>
      <c r="HX425" s="1704"/>
    </row>
    <row r="426" spans="1:232" s="69" customFormat="1" ht="50.15" customHeight="1">
      <c r="A426" s="645"/>
      <c r="B426" s="645"/>
      <c r="C426" s="645"/>
      <c r="D426" s="645"/>
      <c r="E426" s="646"/>
      <c r="F426" s="381"/>
      <c r="G426" s="381"/>
      <c r="H426" s="381"/>
      <c r="J426" s="80"/>
      <c r="K426" s="89"/>
      <c r="L426" s="89"/>
      <c r="M426" s="2082" t="s">
        <v>1269</v>
      </c>
      <c r="N426" s="2082"/>
      <c r="O426" s="2082"/>
      <c r="P426" s="1966" t="s">
        <v>211</v>
      </c>
      <c r="Q426" s="1966"/>
      <c r="R426" s="1966"/>
      <c r="S426" s="1966"/>
      <c r="T426" s="1966"/>
      <c r="U426" s="1966" t="s">
        <v>210</v>
      </c>
      <c r="V426" s="1966"/>
      <c r="W426" s="1966"/>
      <c r="X426" s="1966"/>
      <c r="Y426" s="1966"/>
      <c r="Z426" s="1966"/>
      <c r="AA426" s="1966"/>
      <c r="AB426" s="1966"/>
      <c r="AC426" s="1966"/>
      <c r="AD426" s="1966"/>
      <c r="AE426" s="1966"/>
      <c r="AF426" s="1995"/>
      <c r="AG426" s="1995"/>
      <c r="AH426" s="1995"/>
      <c r="AI426" s="1995"/>
      <c r="AJ426" s="1995"/>
      <c r="AK426" s="1995"/>
      <c r="AL426" s="1995"/>
      <c r="AM426" s="1995"/>
      <c r="AN426" s="1995"/>
      <c r="AO426" s="1995"/>
      <c r="AP426" s="1995"/>
      <c r="AQ426" s="1995"/>
      <c r="AR426" s="1957"/>
      <c r="AS426" s="1957"/>
      <c r="AT426" s="1928"/>
      <c r="AU426" s="1928"/>
      <c r="AV426" s="1928"/>
      <c r="AW426" s="1928"/>
      <c r="AX426" s="1928"/>
      <c r="AY426" s="1928"/>
      <c r="AZ426" s="1928"/>
      <c r="BA426" s="1928"/>
      <c r="BB426" s="1928"/>
      <c r="BC426" s="1928"/>
      <c r="BD426" s="1928"/>
      <c r="BE426" s="1928"/>
      <c r="BF426" s="1928"/>
      <c r="BG426" s="1928"/>
      <c r="BH426" s="1928"/>
      <c r="BI426" s="1928"/>
      <c r="BJ426" s="1928"/>
      <c r="BK426" s="1928"/>
      <c r="BL426" s="1928"/>
      <c r="BM426" s="1928"/>
      <c r="BN426" s="1928"/>
      <c r="BO426" s="1928"/>
      <c r="BP426" s="1928"/>
      <c r="BQ426" s="1928"/>
      <c r="BR426" s="1928"/>
      <c r="BS426" s="1998"/>
      <c r="BT426" s="1998"/>
      <c r="BU426" s="1998"/>
      <c r="BV426" s="1989"/>
      <c r="BW426" s="1989"/>
      <c r="BX426" s="1989"/>
      <c r="BY426" s="1989"/>
      <c r="BZ426" s="1990"/>
      <c r="CA426" s="1990"/>
      <c r="CB426" s="2031"/>
      <c r="CC426" s="2032"/>
      <c r="CD426" s="2032"/>
      <c r="CE426" s="2032"/>
      <c r="CF426" s="2032"/>
      <c r="CG426" s="2032"/>
      <c r="CH426" s="2032"/>
      <c r="CI426" s="2032"/>
      <c r="CJ426" s="2032"/>
      <c r="CK426" s="2032"/>
      <c r="CL426" s="2032"/>
      <c r="CM426" s="2032"/>
      <c r="CN426" s="2032"/>
      <c r="CO426" s="2032"/>
      <c r="CP426" s="2032"/>
      <c r="CQ426" s="2032"/>
      <c r="CR426" s="2032"/>
      <c r="CS426" s="2032"/>
      <c r="CT426" s="2032"/>
      <c r="CU426" s="2033"/>
      <c r="CV426" s="2360" t="str">
        <f t="shared" ref="CV426:CV465" si="445">IF(AND(DT426="要是正",DU426&lt;21),HYPERLINK("#"&amp;EL426&amp;"!"&amp;EM426&amp;":"&amp;EN426&amp;"","関連写真添付"),"")</f>
        <v/>
      </c>
      <c r="CW426" s="2360"/>
      <c r="CX426" s="2360"/>
      <c r="CY426" s="2360"/>
      <c r="CZ426" s="2360"/>
      <c r="DA426" s="2360"/>
      <c r="DC426" s="600" t="str">
        <f t="shared" ref="DC426:DC465" si="446">IF(AND(DU426&lt;&gt;"",DU426&gt;20),"「別途様式を作成、提出してください。」","")</f>
        <v/>
      </c>
      <c r="DD426" s="381"/>
      <c r="DF426" s="34"/>
      <c r="DG426" s="34"/>
      <c r="DH426" s="34"/>
      <c r="DI426" s="34"/>
      <c r="DJ426" s="858" t="s">
        <v>5637</v>
      </c>
      <c r="DK426" s="1707" t="str">
        <f>IF(DS426=2,DATE(VLOOKUP(DJ426,$DU$6:$DV$9,2,FALSE)+BS426,BV426,1),"")</f>
        <v/>
      </c>
      <c r="DL426" s="1692" t="str">
        <f>IF(DS426=2,DJ426&amp;BS426&amp;"."&amp;BV426,"")</f>
        <v/>
      </c>
      <c r="DM426" s="1691">
        <f t="shared" ref="DM426:DM470" si="447">COUNTIFS(AF426,"―対象外")</f>
        <v>0</v>
      </c>
      <c r="DN426" s="111">
        <f t="shared" ref="DN426:DN465" si="448">COUNTIFS(AF426,"○指摘なし")</f>
        <v>0</v>
      </c>
      <c r="DO426" s="111">
        <f t="shared" ref="DO426:DO465" si="449">COUNTIFS(AF426,"×要是正（既存不適格以外）")</f>
        <v>0</v>
      </c>
      <c r="DP426" s="474">
        <f t="shared" ref="DP426:DP465" si="450">COUNTIFS(AF426,"△既存不適格")</f>
        <v>0</v>
      </c>
      <c r="DQ426" s="123" t="s">
        <v>809</v>
      </c>
      <c r="DR426" s="473" t="str">
        <f t="shared" ref="DR426:DR463" si="451">IF($U426="",R426,U426)</f>
        <v>令第120条第２項に規定する通路の確保の状況</v>
      </c>
      <c r="DS426" s="112">
        <f t="shared" ref="DS426:DS465" si="452">COUNTA(BS426:BX426)</f>
        <v>0</v>
      </c>
      <c r="DT426" s="118" t="str">
        <f t="shared" ref="DT426:DT465" si="453">IF(AF426="×要是正（既存不適格以外）","要是正","")&amp;IF(AF426="△既存不適格","既存不適格","")</f>
        <v/>
      </c>
      <c r="DU426" s="452" t="str">
        <f t="shared" ref="DU426:DU470" si="454">IF(HV426="","",HV426)</f>
        <v/>
      </c>
      <c r="DV426" s="453" t="str">
        <f>IF($DT426="要是正",MAX($DV$422:DV423)+1,"")</f>
        <v/>
      </c>
      <c r="DW426" s="32" t="str">
        <f t="shared" ref="DW426:DW465" si="455">IF(OR(AF426="×要是正（既存不適格以外）",AF426="△既存不適格"),DQ426,"")</f>
        <v/>
      </c>
      <c r="DX426" s="119" t="str">
        <f t="shared" ref="DX426:DX470" si="456">IF(OR($DT426="要是正",$DT426="既存不適格"),$DR426,"")</f>
        <v/>
      </c>
      <c r="DY426" s="33" t="str">
        <f t="shared" ref="DY426:DY477" si="457">IF($DT426="要是正",IF(AT426="","",DQ426 &amp;" " &amp; AT426),"")</f>
        <v/>
      </c>
      <c r="DZ426" s="217" t="str">
        <f t="shared" ref="DZ426:DZ465" si="458">IF($DT426="要是正",IF(BD426="","",BD426),"")</f>
        <v/>
      </c>
      <c r="EA426" s="466" t="str">
        <f t="shared" ref="EA426:EA470" si="459">IF(BY426="未定","未定",IF(FR426="0","",IF(BY426="予定","("&amp;DL426&amp;")",IF(BY426="改善済",DL426,DL426))))</f>
        <v/>
      </c>
      <c r="EB426" s="234" t="str">
        <f t="shared" ref="EB426:EB470" si="460">IF(OR(DT426="要是正",DT426="既存不適格"),IF(OR(DS426&lt;2,BY426&lt;&gt;"予定"),"",DK426),"")</f>
        <v/>
      </c>
      <c r="EC426" s="227" t="str">
        <f t="shared" ref="EC426:EC470" si="461">IF(EB426="","0",EB426)</f>
        <v>0</v>
      </c>
      <c r="ED426" s="148" t="str">
        <f>IF(DT426="要是正",IF(AND(BY426="予定",DS426=2),1,IF(BY426="改善済",2,"")),"")</f>
        <v/>
      </c>
      <c r="EE426" s="227" t="str">
        <f>IF(ED426=1,EC426,"0")</f>
        <v>0</v>
      </c>
      <c r="EF426" s="130" t="str">
        <f t="shared" ref="EF426:EF465" si="462">IF(AND(DT426="要是正",AND(DS426=0,BY426="未定")),BY426,"")</f>
        <v/>
      </c>
      <c r="EG426" s="204" t="str">
        <f t="shared" ref="EG426:EG470" si="463">IF(DT426="既存不適格",IF(OR(DS426&lt;2,BY426&lt;&gt;"予定"),"",DK426),"")</f>
        <v/>
      </c>
      <c r="EH426" s="134" t="str">
        <f t="shared" ref="EH426:EH470" si="464">IF(EG426="","0",EG426)</f>
        <v>0</v>
      </c>
      <c r="EI426" s="148" t="str">
        <f>IF(DT426="既存不適格",IF(AND(BY426="予定",DS426=2),1,IF(BY426="改善済",2,"")),"")</f>
        <v/>
      </c>
      <c r="EJ426" s="227" t="str">
        <f>IF(EI426=1,EH426,"0")</f>
        <v>0</v>
      </c>
      <c r="EK426" s="451" t="str">
        <f t="shared" ref="EK426:EK465" si="465">IF(AND(DT426="既存不適格",AND(DS426=0,BY426="未定")),BY426,"")</f>
        <v/>
      </c>
      <c r="EL426" s="452" t="e">
        <f t="shared" ref="EL426:EL465" si="466">VLOOKUP($DU426,$EO$306:$ER$334,2,FALSE)</f>
        <v>#N/A</v>
      </c>
      <c r="EM426" s="151" t="e">
        <f t="shared" ref="EM426:EM465" si="467">VLOOKUP($DU426,$EO$306:$ER$334,3,FALSE)</f>
        <v>#N/A</v>
      </c>
      <c r="EN426" s="453" t="e">
        <f t="shared" ref="EN426:EN465" si="468">VLOOKUP($DU426,$EO$306:$ER$334,4,FALSE)</f>
        <v>#N/A</v>
      </c>
      <c r="EO426" s="35"/>
      <c r="EP426" s="35"/>
      <c r="EQ426" s="35"/>
      <c r="ER426" s="35"/>
      <c r="ES426" s="35"/>
      <c r="ET426" s="35"/>
      <c r="EU426" s="35"/>
      <c r="EV426" s="35"/>
      <c r="EW426" s="35"/>
      <c r="EX426" s="35"/>
      <c r="EY426" s="35"/>
      <c r="EZ426" s="35"/>
      <c r="FA426" s="35"/>
      <c r="FB426" s="35"/>
      <c r="FC426" s="35"/>
      <c r="FD426" s="35"/>
      <c r="FE426" s="35"/>
      <c r="FF426" s="35"/>
      <c r="FG426" s="35"/>
      <c r="FH426" s="35"/>
      <c r="FI426" s="35"/>
      <c r="FK426" s="597" t="str">
        <f t="shared" ref="FK426:FK470" si="469">IF($AF426="○指摘なし","○",IF($AF426="―対象外","―",""))</f>
        <v/>
      </c>
      <c r="FL426" s="597" t="str">
        <f t="shared" si="386"/>
        <v/>
      </c>
      <c r="FM426" s="597" t="str">
        <f t="shared" si="387"/>
        <v/>
      </c>
      <c r="FN426" s="597">
        <f t="shared" ref="FN426:FN465" si="470">AR426</f>
        <v>0</v>
      </c>
      <c r="FO426" s="1163" t="str">
        <f t="shared" ref="FO426:FO470" si="471">IF($AF426="―対象外","○","")</f>
        <v/>
      </c>
      <c r="FQ426" s="234" t="str">
        <f t="shared" ref="FQ426:FQ470" si="472">IF(NOT(OR(BY426="未定",BY426="")),DK426,"")</f>
        <v/>
      </c>
      <c r="FR426" s="227" t="str">
        <f t="shared" ref="FR426:FR470" si="473">IF(FQ426="","0",FQ426)</f>
        <v>0</v>
      </c>
      <c r="FS426" s="148" t="str">
        <f t="shared" ref="FS426:FS465" si="474">IF(OR(BY426="予定",BY426="改善済"),1,"")</f>
        <v/>
      </c>
      <c r="FT426" s="227" t="str">
        <f t="shared" ref="FT426:FT465" si="475">IF(FS426=1,FR426,"0")</f>
        <v>0</v>
      </c>
      <c r="FU426" s="416" t="str">
        <f>IF(AND(FM426="要是正",AND(FL426=0,DR426="未定")),DR426,"")</f>
        <v/>
      </c>
      <c r="FW426" s="1160">
        <f t="shared" si="444"/>
        <v>0</v>
      </c>
      <c r="FX426" s="123"/>
      <c r="FY426" s="123"/>
      <c r="FZ426" s="1161"/>
      <c r="GA426" s="34"/>
      <c r="GB426" s="1149">
        <f t="shared" si="354"/>
        <v>0</v>
      </c>
      <c r="GC426" s="1149">
        <f t="shared" si="355"/>
        <v>0</v>
      </c>
      <c r="GD426" s="1149">
        <f t="shared" si="356"/>
        <v>0</v>
      </c>
      <c r="GE426" s="1149" t="str">
        <f t="shared" ref="GE426:GE470" si="476">IF(GE$306=$M426,$BY$512,"")</f>
        <v/>
      </c>
      <c r="GF426" s="1149" t="str">
        <f t="shared" ref="GF426:GF470" si="477">IF(GF$306=$M426,$BY$513,"")</f>
        <v/>
      </c>
      <c r="GG426" s="1149" t="str">
        <f t="shared" ref="GG426:GG470" si="478">IF(GG$306=$M426,$BY$514,"")</f>
        <v/>
      </c>
      <c r="GH426" s="1149" t="str">
        <f t="shared" ref="GH426:GH470" si="479">IF(GH$306=$M426,$BY$515,"")</f>
        <v/>
      </c>
      <c r="GI426" s="1149" t="str">
        <f t="shared" ref="GI426:GI470" si="480">IF(GI$306=$M426,$BY$516,"")</f>
        <v/>
      </c>
      <c r="GJ426" s="1149" t="str">
        <f t="shared" ref="GJ426:GJ470" si="481">IF(GJ$306=$M426,$BY$517,"")</f>
        <v/>
      </c>
      <c r="GK426" s="1149" t="str">
        <f t="shared" ref="GK426:GK470" si="482">IF(GK$306=$M426,$BY$518,"")</f>
        <v/>
      </c>
      <c r="GL426" s="1149" t="str">
        <f t="shared" ref="GL426:GL470" si="483">IF(GL$306=$M426,$BY$519,"")</f>
        <v/>
      </c>
      <c r="GM426" s="1149" t="str">
        <f t="shared" ref="GM426:GM470" si="484">IF(GM$306=$M426,$BY$520,"")</f>
        <v/>
      </c>
      <c r="GN426" s="1149" t="str">
        <f t="shared" ref="GN426:GN470" si="485">IF(GN$306=$M426,$BY$521,"")</f>
        <v/>
      </c>
      <c r="GO426" s="1149" t="str">
        <f t="shared" ref="GO426:GO470" si="486">IF(GO$306=$M426,$BY$522,"")</f>
        <v/>
      </c>
      <c r="GP426" s="1149" t="str">
        <f t="shared" ref="GP426:GP470" si="487">IF(GP$306=$M426,$BY$523,"")</f>
        <v/>
      </c>
      <c r="GQ426" s="1149" t="str">
        <f t="shared" ref="GQ426:GQ470" si="488">IF(GQ$306=$M426,$BY$524,"")</f>
        <v/>
      </c>
      <c r="GR426" s="1149" t="str">
        <f t="shared" ref="GR426:GR470" si="489">IF(GR$306=$M426,$BY$525,"")</f>
        <v/>
      </c>
      <c r="GS426" s="1149" t="str">
        <f t="shared" ref="GS426:GS470" si="490">IF(GS$306=$M426,$BY$526,"")</f>
        <v/>
      </c>
      <c r="GT426" s="1149">
        <f t="shared" si="357"/>
        <v>0</v>
      </c>
      <c r="GU426" s="1149">
        <f t="shared" si="358"/>
        <v>0</v>
      </c>
      <c r="GV426" s="1149">
        <f t="shared" si="359"/>
        <v>0</v>
      </c>
      <c r="GW426" s="1149" t="b">
        <f t="shared" si="360"/>
        <v>0</v>
      </c>
      <c r="GX426" s="1149" t="b">
        <f t="shared" si="361"/>
        <v>0</v>
      </c>
      <c r="GY426" s="1149" t="b">
        <f t="shared" si="362"/>
        <v>0</v>
      </c>
      <c r="GZ426" s="1149" t="str">
        <f t="shared" si="385"/>
        <v/>
      </c>
      <c r="HB426" s="1149" t="str">
        <f t="shared" si="363"/>
        <v/>
      </c>
      <c r="HC426" s="1149" t="str">
        <f t="shared" si="364"/>
        <v/>
      </c>
      <c r="HD426" s="1149" t="str">
        <f t="shared" si="365"/>
        <v/>
      </c>
      <c r="HE426" s="1149" t="str">
        <f t="shared" si="366"/>
        <v/>
      </c>
      <c r="HF426" s="1149" t="str">
        <f t="shared" si="367"/>
        <v/>
      </c>
      <c r="HG426" s="1149" t="str">
        <f t="shared" si="368"/>
        <v/>
      </c>
      <c r="HH426" s="1149" t="str">
        <f t="shared" si="369"/>
        <v/>
      </c>
      <c r="HI426" s="1149" t="str">
        <f t="shared" si="370"/>
        <v/>
      </c>
      <c r="HJ426" s="1149" t="str">
        <f t="shared" si="371"/>
        <v/>
      </c>
      <c r="HK426" s="1149" t="str">
        <f t="shared" si="372"/>
        <v/>
      </c>
      <c r="HL426" s="1149" t="str">
        <f t="shared" si="373"/>
        <v/>
      </c>
      <c r="HM426" s="1149" t="str">
        <f t="shared" si="374"/>
        <v/>
      </c>
      <c r="HN426" s="1149" t="str">
        <f t="shared" si="375"/>
        <v/>
      </c>
      <c r="HO426" s="1149" t="str">
        <f t="shared" si="376"/>
        <v/>
      </c>
      <c r="HP426" s="1149" t="str">
        <f t="shared" si="377"/>
        <v/>
      </c>
      <c r="HQ426" s="1149" t="str">
        <f t="shared" si="378"/>
        <v/>
      </c>
      <c r="HR426" s="1149" t="str">
        <f t="shared" si="379"/>
        <v/>
      </c>
      <c r="HT426" s="1149">
        <f>LEFT(M426,1)*10000+MID(M426,3,LEN(M426)-3)*100+COUNTIF($M$307:M426,M426)</f>
        <v>50101</v>
      </c>
      <c r="HU426" s="1149" t="str">
        <f t="shared" si="380"/>
        <v/>
      </c>
      <c r="HV426" s="1149" t="str">
        <f t="shared" si="381"/>
        <v/>
      </c>
      <c r="HW426" s="1149" t="str">
        <f t="shared" si="382"/>
        <v/>
      </c>
      <c r="HX426" s="1149" t="str">
        <f t="shared" si="383"/>
        <v/>
      </c>
    </row>
    <row r="427" spans="1:232" s="69" customFormat="1" ht="50.15" customHeight="1">
      <c r="A427" s="645"/>
      <c r="B427" s="645"/>
      <c r="C427" s="645"/>
      <c r="D427" s="645"/>
      <c r="E427" s="646"/>
      <c r="F427" s="381"/>
      <c r="G427" s="381"/>
      <c r="H427" s="381"/>
      <c r="J427" s="80"/>
      <c r="K427" s="89"/>
      <c r="L427" s="89"/>
      <c r="M427" s="2082" t="s">
        <v>1270</v>
      </c>
      <c r="N427" s="2082"/>
      <c r="O427" s="2082"/>
      <c r="P427" s="1966" t="s">
        <v>114</v>
      </c>
      <c r="Q427" s="1966"/>
      <c r="R427" s="1966"/>
      <c r="S427" s="1966"/>
      <c r="T427" s="1966"/>
      <c r="U427" s="2011" t="s">
        <v>209</v>
      </c>
      <c r="V427" s="2011"/>
      <c r="W427" s="2011"/>
      <c r="X427" s="2011"/>
      <c r="Y427" s="2011"/>
      <c r="Z427" s="2011"/>
      <c r="AA427" s="2011"/>
      <c r="AB427" s="2011"/>
      <c r="AC427" s="2011"/>
      <c r="AD427" s="2011"/>
      <c r="AE427" s="2011"/>
      <c r="AF427" s="2010"/>
      <c r="AG427" s="2010"/>
      <c r="AH427" s="2010"/>
      <c r="AI427" s="2010"/>
      <c r="AJ427" s="2010"/>
      <c r="AK427" s="2010"/>
      <c r="AL427" s="2010"/>
      <c r="AM427" s="2010"/>
      <c r="AN427" s="2010"/>
      <c r="AO427" s="2010"/>
      <c r="AP427" s="2010"/>
      <c r="AQ427" s="2010"/>
      <c r="AR427" s="2017"/>
      <c r="AS427" s="2017"/>
      <c r="AT427" s="1929"/>
      <c r="AU427" s="1929"/>
      <c r="AV427" s="1929"/>
      <c r="AW427" s="1929"/>
      <c r="AX427" s="1929"/>
      <c r="AY427" s="1929"/>
      <c r="AZ427" s="1929"/>
      <c r="BA427" s="1929"/>
      <c r="BB427" s="1929"/>
      <c r="BC427" s="1929"/>
      <c r="BD427" s="1929"/>
      <c r="BE427" s="1929"/>
      <c r="BF427" s="1929"/>
      <c r="BG427" s="1929"/>
      <c r="BH427" s="1929"/>
      <c r="BI427" s="1929"/>
      <c r="BJ427" s="1929"/>
      <c r="BK427" s="1929"/>
      <c r="BL427" s="1929"/>
      <c r="BM427" s="1929"/>
      <c r="BN427" s="1929"/>
      <c r="BO427" s="1929"/>
      <c r="BP427" s="1929"/>
      <c r="BQ427" s="1929"/>
      <c r="BR427" s="1929"/>
      <c r="BS427" s="1885"/>
      <c r="BT427" s="1885"/>
      <c r="BU427" s="1885"/>
      <c r="BV427" s="1890"/>
      <c r="BW427" s="1890"/>
      <c r="BX427" s="1890"/>
      <c r="BY427" s="1890"/>
      <c r="BZ427" s="1891"/>
      <c r="CA427" s="1891"/>
      <c r="CB427" s="1912"/>
      <c r="CC427" s="1913"/>
      <c r="CD427" s="1913"/>
      <c r="CE427" s="1913"/>
      <c r="CF427" s="1913"/>
      <c r="CG427" s="1913"/>
      <c r="CH427" s="1913"/>
      <c r="CI427" s="1913"/>
      <c r="CJ427" s="1913"/>
      <c r="CK427" s="1913"/>
      <c r="CL427" s="1913"/>
      <c r="CM427" s="1913"/>
      <c r="CN427" s="1913"/>
      <c r="CO427" s="1913"/>
      <c r="CP427" s="1913"/>
      <c r="CQ427" s="1913"/>
      <c r="CR427" s="1913"/>
      <c r="CS427" s="1913"/>
      <c r="CT427" s="1913"/>
      <c r="CU427" s="1914"/>
      <c r="CV427" s="2360" t="str">
        <f t="shared" si="445"/>
        <v/>
      </c>
      <c r="CW427" s="2360"/>
      <c r="CX427" s="2360"/>
      <c r="CY427" s="2360"/>
      <c r="CZ427" s="2360"/>
      <c r="DA427" s="2360"/>
      <c r="DC427" s="600" t="str">
        <f t="shared" si="446"/>
        <v/>
      </c>
      <c r="DD427" s="381"/>
      <c r="DF427" s="34"/>
      <c r="DG427" s="34"/>
      <c r="DH427" s="34"/>
      <c r="DI427" s="34"/>
      <c r="DJ427" s="858" t="s">
        <v>5637</v>
      </c>
      <c r="DK427" s="1707" t="str">
        <f t="shared" ref="DK427:DK470" si="491">IF(DS427=2,DATE(VLOOKUP(DJ427,$DU$6:$DV$9,2,FALSE)+BS427,BV427,1),"")</f>
        <v/>
      </c>
      <c r="DL427" s="1692" t="str">
        <f t="shared" ref="DL427:DL470" si="492">IF(DS427=2,DJ427&amp;BS427&amp;"."&amp;BV427,"")</f>
        <v/>
      </c>
      <c r="DM427" s="1691">
        <f t="shared" si="447"/>
        <v>0</v>
      </c>
      <c r="DN427" s="111">
        <f t="shared" si="448"/>
        <v>0</v>
      </c>
      <c r="DO427" s="111">
        <f t="shared" si="449"/>
        <v>0</v>
      </c>
      <c r="DP427" s="474">
        <f t="shared" si="450"/>
        <v>0</v>
      </c>
      <c r="DQ427" s="123" t="s">
        <v>810</v>
      </c>
      <c r="DR427" s="473" t="str">
        <f t="shared" si="451"/>
        <v xml:space="preserve">幅員の確保の状況
</v>
      </c>
      <c r="DS427" s="112">
        <f t="shared" si="452"/>
        <v>0</v>
      </c>
      <c r="DT427" s="118" t="str">
        <f t="shared" si="453"/>
        <v/>
      </c>
      <c r="DU427" s="452" t="str">
        <f t="shared" si="454"/>
        <v/>
      </c>
      <c r="DV427" s="453" t="str">
        <f>IF($DT427="要是正",MAX($DV$422:DV426)+1,"")</f>
        <v/>
      </c>
      <c r="DW427" s="32" t="str">
        <f t="shared" si="455"/>
        <v/>
      </c>
      <c r="DX427" s="119" t="str">
        <f t="shared" si="456"/>
        <v/>
      </c>
      <c r="DY427" s="33" t="str">
        <f t="shared" si="457"/>
        <v/>
      </c>
      <c r="DZ427" s="217" t="str">
        <f t="shared" si="458"/>
        <v/>
      </c>
      <c r="EA427" s="466" t="str">
        <f t="shared" si="459"/>
        <v/>
      </c>
      <c r="EB427" s="234" t="str">
        <f t="shared" si="460"/>
        <v/>
      </c>
      <c r="EC427" s="227" t="str">
        <f t="shared" si="461"/>
        <v>0</v>
      </c>
      <c r="ED427" s="148" t="str">
        <f t="shared" ref="ED427:ED465" si="493">IF(DT427="要是正",IF(AND(BY427="予定",DS427=2),1,IF(BY427="改善済",2,"")),"")</f>
        <v/>
      </c>
      <c r="EE427" s="227" t="str">
        <f t="shared" ref="EE427:EE465" si="494">IF(ED427=1,EC427,"0")</f>
        <v>0</v>
      </c>
      <c r="EF427" s="130" t="str">
        <f t="shared" si="462"/>
        <v/>
      </c>
      <c r="EG427" s="204" t="str">
        <f t="shared" si="463"/>
        <v/>
      </c>
      <c r="EH427" s="134" t="str">
        <f t="shared" si="464"/>
        <v>0</v>
      </c>
      <c r="EI427" s="148" t="str">
        <f t="shared" ref="EI427:EI465" si="495">IF(DT427="既存不適格",IF(AND(BY427="予定",DS427=2),1,IF(BY427="改善済",2,"")),"")</f>
        <v/>
      </c>
      <c r="EJ427" s="227" t="str">
        <f t="shared" ref="EJ427:EJ465" si="496">IF(EI427=1,EH427,"0")</f>
        <v>0</v>
      </c>
      <c r="EK427" s="451" t="str">
        <f t="shared" si="465"/>
        <v/>
      </c>
      <c r="EL427" s="452" t="e">
        <f t="shared" si="466"/>
        <v>#N/A</v>
      </c>
      <c r="EM427" s="151" t="e">
        <f t="shared" si="467"/>
        <v>#N/A</v>
      </c>
      <c r="EN427" s="453" t="e">
        <f t="shared" si="468"/>
        <v>#N/A</v>
      </c>
      <c r="FK427" s="597" t="str">
        <f t="shared" si="469"/>
        <v/>
      </c>
      <c r="FL427" s="597" t="str">
        <f t="shared" si="386"/>
        <v/>
      </c>
      <c r="FM427" s="597" t="str">
        <f t="shared" si="387"/>
        <v/>
      </c>
      <c r="FN427" s="597">
        <f t="shared" si="470"/>
        <v>0</v>
      </c>
      <c r="FO427" s="1163" t="str">
        <f t="shared" si="471"/>
        <v/>
      </c>
      <c r="FQ427" s="234" t="str">
        <f t="shared" si="472"/>
        <v/>
      </c>
      <c r="FR427" s="227" t="str">
        <f t="shared" si="473"/>
        <v>0</v>
      </c>
      <c r="FS427" s="148" t="str">
        <f t="shared" si="474"/>
        <v/>
      </c>
      <c r="FT427" s="227" t="str">
        <f t="shared" si="475"/>
        <v>0</v>
      </c>
      <c r="FU427" s="416" t="str">
        <f t="shared" ref="FU427:FU465" si="497">IF(AND(FM427="要是正",AND(FL427=0,DR427="未定")),DR427,"")</f>
        <v/>
      </c>
      <c r="FW427" s="1160">
        <f t="shared" si="444"/>
        <v>0</v>
      </c>
      <c r="FX427" s="123"/>
      <c r="FY427" s="123"/>
      <c r="FZ427" s="1161"/>
      <c r="GA427" s="34"/>
      <c r="GB427" s="1149">
        <f t="shared" si="354"/>
        <v>0</v>
      </c>
      <c r="GC427" s="1149">
        <f t="shared" si="355"/>
        <v>0</v>
      </c>
      <c r="GD427" s="1149">
        <f t="shared" si="356"/>
        <v>0</v>
      </c>
      <c r="GE427" s="1149" t="str">
        <f t="shared" si="476"/>
        <v/>
      </c>
      <c r="GF427" s="1149" t="str">
        <f t="shared" si="477"/>
        <v/>
      </c>
      <c r="GG427" s="1149" t="str">
        <f t="shared" si="478"/>
        <v/>
      </c>
      <c r="GH427" s="1149" t="str">
        <f t="shared" si="479"/>
        <v/>
      </c>
      <c r="GI427" s="1149" t="str">
        <f t="shared" si="480"/>
        <v/>
      </c>
      <c r="GJ427" s="1149" t="str">
        <f t="shared" si="481"/>
        <v/>
      </c>
      <c r="GK427" s="1149" t="str">
        <f t="shared" si="482"/>
        <v/>
      </c>
      <c r="GL427" s="1149" t="str">
        <f t="shared" si="483"/>
        <v/>
      </c>
      <c r="GM427" s="1149" t="str">
        <f t="shared" si="484"/>
        <v/>
      </c>
      <c r="GN427" s="1149" t="str">
        <f t="shared" si="485"/>
        <v/>
      </c>
      <c r="GO427" s="1149" t="str">
        <f t="shared" si="486"/>
        <v/>
      </c>
      <c r="GP427" s="1149" t="str">
        <f t="shared" si="487"/>
        <v/>
      </c>
      <c r="GQ427" s="1149" t="str">
        <f t="shared" si="488"/>
        <v/>
      </c>
      <c r="GR427" s="1149" t="str">
        <f t="shared" si="489"/>
        <v/>
      </c>
      <c r="GS427" s="1149" t="str">
        <f t="shared" si="490"/>
        <v/>
      </c>
      <c r="GT427" s="1149">
        <f t="shared" si="357"/>
        <v>0</v>
      </c>
      <c r="GU427" s="1149">
        <f t="shared" si="358"/>
        <v>0</v>
      </c>
      <c r="GV427" s="1149">
        <f t="shared" si="359"/>
        <v>0</v>
      </c>
      <c r="GW427" s="1149" t="b">
        <f t="shared" si="360"/>
        <v>0</v>
      </c>
      <c r="GX427" s="1149" t="b">
        <f t="shared" si="361"/>
        <v>0</v>
      </c>
      <c r="GY427" s="1149" t="b">
        <f t="shared" si="362"/>
        <v>0</v>
      </c>
      <c r="GZ427" s="1149" t="str">
        <f t="shared" si="385"/>
        <v/>
      </c>
      <c r="HB427" s="1149" t="str">
        <f t="shared" si="363"/>
        <v/>
      </c>
      <c r="HC427" s="1149" t="str">
        <f t="shared" si="364"/>
        <v/>
      </c>
      <c r="HD427" s="1149" t="str">
        <f t="shared" si="365"/>
        <v/>
      </c>
      <c r="HE427" s="1149" t="str">
        <f t="shared" si="366"/>
        <v/>
      </c>
      <c r="HF427" s="1149" t="str">
        <f t="shared" si="367"/>
        <v/>
      </c>
      <c r="HG427" s="1149" t="str">
        <f t="shared" si="368"/>
        <v/>
      </c>
      <c r="HH427" s="1149" t="str">
        <f t="shared" si="369"/>
        <v/>
      </c>
      <c r="HI427" s="1149" t="str">
        <f t="shared" si="370"/>
        <v/>
      </c>
      <c r="HJ427" s="1149" t="str">
        <f t="shared" si="371"/>
        <v/>
      </c>
      <c r="HK427" s="1149" t="str">
        <f t="shared" si="372"/>
        <v/>
      </c>
      <c r="HL427" s="1149" t="str">
        <f t="shared" si="373"/>
        <v/>
      </c>
      <c r="HM427" s="1149" t="str">
        <f t="shared" si="374"/>
        <v/>
      </c>
      <c r="HN427" s="1149" t="str">
        <f t="shared" si="375"/>
        <v/>
      </c>
      <c r="HO427" s="1149" t="str">
        <f t="shared" si="376"/>
        <v/>
      </c>
      <c r="HP427" s="1149" t="str">
        <f t="shared" si="377"/>
        <v/>
      </c>
      <c r="HQ427" s="1149" t="str">
        <f t="shared" si="378"/>
        <v/>
      </c>
      <c r="HR427" s="1149" t="str">
        <f t="shared" si="379"/>
        <v/>
      </c>
      <c r="HT427" s="1149">
        <f>LEFT(M427,1)*10000+MID(M427,3,LEN(M427)-3)*100+COUNTIF($M$307:M427,M427)</f>
        <v>50201</v>
      </c>
      <c r="HU427" s="1149" t="str">
        <f t="shared" si="380"/>
        <v/>
      </c>
      <c r="HV427" s="1149" t="str">
        <f t="shared" si="381"/>
        <v/>
      </c>
      <c r="HW427" s="1149" t="str">
        <f t="shared" si="382"/>
        <v/>
      </c>
      <c r="HX427" s="1149" t="str">
        <f t="shared" si="383"/>
        <v/>
      </c>
    </row>
    <row r="428" spans="1:232" s="69" customFormat="1" ht="50.15" customHeight="1">
      <c r="A428" s="645"/>
      <c r="B428" s="645"/>
      <c r="C428" s="645"/>
      <c r="D428" s="645"/>
      <c r="E428" s="646"/>
      <c r="F428" s="381"/>
      <c r="G428" s="381"/>
      <c r="H428" s="381"/>
      <c r="J428" s="80"/>
      <c r="K428" s="89"/>
      <c r="L428" s="89"/>
      <c r="M428" s="2082" t="s">
        <v>1271</v>
      </c>
      <c r="N428" s="2082"/>
      <c r="O428" s="2082"/>
      <c r="P428" s="1966"/>
      <c r="Q428" s="1966"/>
      <c r="R428" s="1966"/>
      <c r="S428" s="1966"/>
      <c r="T428" s="1966"/>
      <c r="U428" s="1956" t="s">
        <v>115</v>
      </c>
      <c r="V428" s="1956"/>
      <c r="W428" s="1956"/>
      <c r="X428" s="1956"/>
      <c r="Y428" s="1956"/>
      <c r="Z428" s="1956"/>
      <c r="AA428" s="1956"/>
      <c r="AB428" s="1956"/>
      <c r="AC428" s="1956"/>
      <c r="AD428" s="1956"/>
      <c r="AE428" s="1956"/>
      <c r="AF428" s="2025"/>
      <c r="AG428" s="2025"/>
      <c r="AH428" s="2025"/>
      <c r="AI428" s="2025"/>
      <c r="AJ428" s="2025"/>
      <c r="AK428" s="2025"/>
      <c r="AL428" s="2025"/>
      <c r="AM428" s="2025"/>
      <c r="AN428" s="2025"/>
      <c r="AO428" s="2025"/>
      <c r="AP428" s="2025"/>
      <c r="AQ428" s="2025"/>
      <c r="AR428" s="2026"/>
      <c r="AS428" s="2026"/>
      <c r="AT428" s="1997"/>
      <c r="AU428" s="1997"/>
      <c r="AV428" s="1997"/>
      <c r="AW428" s="1997"/>
      <c r="AX428" s="1997"/>
      <c r="AY428" s="1997"/>
      <c r="AZ428" s="1997"/>
      <c r="BA428" s="1997"/>
      <c r="BB428" s="1997"/>
      <c r="BC428" s="1997"/>
      <c r="BD428" s="1997"/>
      <c r="BE428" s="1997"/>
      <c r="BF428" s="1997"/>
      <c r="BG428" s="1997"/>
      <c r="BH428" s="1997"/>
      <c r="BI428" s="1997"/>
      <c r="BJ428" s="1997"/>
      <c r="BK428" s="1997"/>
      <c r="BL428" s="1997"/>
      <c r="BM428" s="1997"/>
      <c r="BN428" s="1997"/>
      <c r="BO428" s="1997"/>
      <c r="BP428" s="1997"/>
      <c r="BQ428" s="1997"/>
      <c r="BR428" s="1997"/>
      <c r="BS428" s="1991"/>
      <c r="BT428" s="1991"/>
      <c r="BU428" s="1991"/>
      <c r="BV428" s="1982"/>
      <c r="BW428" s="1982"/>
      <c r="BX428" s="1982"/>
      <c r="BY428" s="1982"/>
      <c r="BZ428" s="1992"/>
      <c r="CA428" s="1992"/>
      <c r="CB428" s="2000"/>
      <c r="CC428" s="2001"/>
      <c r="CD428" s="2001"/>
      <c r="CE428" s="2001"/>
      <c r="CF428" s="2001"/>
      <c r="CG428" s="2001"/>
      <c r="CH428" s="2001"/>
      <c r="CI428" s="2001"/>
      <c r="CJ428" s="2001"/>
      <c r="CK428" s="2001"/>
      <c r="CL428" s="2001"/>
      <c r="CM428" s="2001"/>
      <c r="CN428" s="2001"/>
      <c r="CO428" s="2001"/>
      <c r="CP428" s="2001"/>
      <c r="CQ428" s="2001"/>
      <c r="CR428" s="2001"/>
      <c r="CS428" s="2001"/>
      <c r="CT428" s="2001"/>
      <c r="CU428" s="2002"/>
      <c r="CV428" s="2360" t="str">
        <f t="shared" si="445"/>
        <v/>
      </c>
      <c r="CW428" s="2360"/>
      <c r="CX428" s="2360"/>
      <c r="CY428" s="2360"/>
      <c r="CZ428" s="2360"/>
      <c r="DA428" s="2360"/>
      <c r="DC428" s="600" t="str">
        <f t="shared" si="446"/>
        <v/>
      </c>
      <c r="DD428" s="381"/>
      <c r="DF428" s="34"/>
      <c r="DG428" s="34"/>
      <c r="DH428" s="34"/>
      <c r="DI428" s="34"/>
      <c r="DJ428" s="858" t="s">
        <v>5637</v>
      </c>
      <c r="DK428" s="1707" t="str">
        <f t="shared" si="491"/>
        <v/>
      </c>
      <c r="DL428" s="1692" t="str">
        <f t="shared" si="492"/>
        <v/>
      </c>
      <c r="DM428" s="1691">
        <f t="shared" si="447"/>
        <v>0</v>
      </c>
      <c r="DN428" s="111">
        <f t="shared" si="448"/>
        <v>0</v>
      </c>
      <c r="DO428" s="111">
        <f t="shared" si="449"/>
        <v>0</v>
      </c>
      <c r="DP428" s="474">
        <f t="shared" si="450"/>
        <v>0</v>
      </c>
      <c r="DQ428" s="123" t="s">
        <v>811</v>
      </c>
      <c r="DR428" s="473" t="str">
        <f t="shared" si="451"/>
        <v>物品の放置の状況</v>
      </c>
      <c r="DS428" s="112">
        <f t="shared" si="452"/>
        <v>0</v>
      </c>
      <c r="DT428" s="118" t="str">
        <f t="shared" si="453"/>
        <v/>
      </c>
      <c r="DU428" s="452" t="str">
        <f t="shared" si="454"/>
        <v/>
      </c>
      <c r="DV428" s="453" t="str">
        <f>IF($DT428="要是正",MAX($DV$422:DV427)+1,"")</f>
        <v/>
      </c>
      <c r="DW428" s="32" t="str">
        <f t="shared" si="455"/>
        <v/>
      </c>
      <c r="DX428" s="119" t="str">
        <f t="shared" si="456"/>
        <v/>
      </c>
      <c r="DY428" s="33" t="str">
        <f t="shared" si="457"/>
        <v/>
      </c>
      <c r="DZ428" s="217" t="str">
        <f t="shared" si="458"/>
        <v/>
      </c>
      <c r="EA428" s="466" t="str">
        <f t="shared" si="459"/>
        <v/>
      </c>
      <c r="EB428" s="234" t="str">
        <f t="shared" si="460"/>
        <v/>
      </c>
      <c r="EC428" s="227" t="str">
        <f t="shared" si="461"/>
        <v>0</v>
      </c>
      <c r="ED428" s="148" t="str">
        <f t="shared" si="493"/>
        <v/>
      </c>
      <c r="EE428" s="227" t="str">
        <f t="shared" si="494"/>
        <v>0</v>
      </c>
      <c r="EF428" s="130" t="str">
        <f t="shared" si="462"/>
        <v/>
      </c>
      <c r="EG428" s="204" t="str">
        <f t="shared" si="463"/>
        <v/>
      </c>
      <c r="EH428" s="134" t="str">
        <f t="shared" si="464"/>
        <v>0</v>
      </c>
      <c r="EI428" s="148" t="str">
        <f t="shared" si="495"/>
        <v/>
      </c>
      <c r="EJ428" s="227" t="str">
        <f t="shared" si="496"/>
        <v>0</v>
      </c>
      <c r="EK428" s="451" t="str">
        <f t="shared" si="465"/>
        <v/>
      </c>
      <c r="EL428" s="452" t="e">
        <f t="shared" si="466"/>
        <v>#N/A</v>
      </c>
      <c r="EM428" s="151" t="e">
        <f t="shared" si="467"/>
        <v>#N/A</v>
      </c>
      <c r="EN428" s="453" t="e">
        <f t="shared" si="468"/>
        <v>#N/A</v>
      </c>
      <c r="FK428" s="597" t="str">
        <f t="shared" si="469"/>
        <v/>
      </c>
      <c r="FL428" s="597" t="str">
        <f t="shared" si="386"/>
        <v/>
      </c>
      <c r="FM428" s="597" t="str">
        <f t="shared" si="387"/>
        <v/>
      </c>
      <c r="FN428" s="597">
        <f t="shared" si="470"/>
        <v>0</v>
      </c>
      <c r="FO428" s="1163" t="str">
        <f t="shared" si="471"/>
        <v/>
      </c>
      <c r="FQ428" s="234" t="str">
        <f t="shared" si="472"/>
        <v/>
      </c>
      <c r="FR428" s="227" t="str">
        <f t="shared" si="473"/>
        <v>0</v>
      </c>
      <c r="FS428" s="148" t="str">
        <f t="shared" si="474"/>
        <v/>
      </c>
      <c r="FT428" s="227" t="str">
        <f t="shared" si="475"/>
        <v>0</v>
      </c>
      <c r="FU428" s="416" t="str">
        <f t="shared" si="497"/>
        <v/>
      </c>
      <c r="FW428" s="1160">
        <f t="shared" si="444"/>
        <v>0</v>
      </c>
      <c r="FX428" s="123"/>
      <c r="FY428" s="123"/>
      <c r="FZ428" s="1161"/>
      <c r="GA428" s="34"/>
      <c r="GB428" s="1149">
        <f t="shared" si="354"/>
        <v>0</v>
      </c>
      <c r="GC428" s="1149">
        <f t="shared" si="355"/>
        <v>0</v>
      </c>
      <c r="GD428" s="1149">
        <f t="shared" si="356"/>
        <v>0</v>
      </c>
      <c r="GE428" s="1149" t="str">
        <f t="shared" si="476"/>
        <v/>
      </c>
      <c r="GF428" s="1149" t="str">
        <f t="shared" si="477"/>
        <v/>
      </c>
      <c r="GG428" s="1149" t="str">
        <f t="shared" si="478"/>
        <v/>
      </c>
      <c r="GH428" s="1149" t="str">
        <f t="shared" si="479"/>
        <v/>
      </c>
      <c r="GI428" s="1149" t="str">
        <f t="shared" si="480"/>
        <v/>
      </c>
      <c r="GJ428" s="1149" t="str">
        <f t="shared" si="481"/>
        <v/>
      </c>
      <c r="GK428" s="1149" t="str">
        <f t="shared" si="482"/>
        <v/>
      </c>
      <c r="GL428" s="1149" t="str">
        <f t="shared" si="483"/>
        <v/>
      </c>
      <c r="GM428" s="1149" t="str">
        <f t="shared" si="484"/>
        <v/>
      </c>
      <c r="GN428" s="1149" t="str">
        <f t="shared" si="485"/>
        <v/>
      </c>
      <c r="GO428" s="1149" t="str">
        <f t="shared" si="486"/>
        <v/>
      </c>
      <c r="GP428" s="1149" t="str">
        <f t="shared" si="487"/>
        <v/>
      </c>
      <c r="GQ428" s="1149" t="str">
        <f t="shared" si="488"/>
        <v/>
      </c>
      <c r="GR428" s="1149" t="str">
        <f t="shared" si="489"/>
        <v/>
      </c>
      <c r="GS428" s="1149" t="str">
        <f t="shared" si="490"/>
        <v/>
      </c>
      <c r="GT428" s="1149">
        <f t="shared" si="357"/>
        <v>0</v>
      </c>
      <c r="GU428" s="1149">
        <f t="shared" si="358"/>
        <v>0</v>
      </c>
      <c r="GV428" s="1149">
        <f t="shared" si="359"/>
        <v>0</v>
      </c>
      <c r="GW428" s="1149" t="b">
        <f t="shared" si="360"/>
        <v>0</v>
      </c>
      <c r="GX428" s="1149" t="b">
        <f t="shared" si="361"/>
        <v>0</v>
      </c>
      <c r="GY428" s="1149" t="b">
        <f t="shared" si="362"/>
        <v>0</v>
      </c>
      <c r="GZ428" s="1149" t="str">
        <f t="shared" si="385"/>
        <v/>
      </c>
      <c r="HB428" s="1149" t="str">
        <f t="shared" si="363"/>
        <v/>
      </c>
      <c r="HC428" s="1149" t="str">
        <f t="shared" si="364"/>
        <v/>
      </c>
      <c r="HD428" s="1149" t="str">
        <f t="shared" si="365"/>
        <v/>
      </c>
      <c r="HE428" s="1149" t="str">
        <f t="shared" si="366"/>
        <v/>
      </c>
      <c r="HF428" s="1149" t="str">
        <f t="shared" si="367"/>
        <v/>
      </c>
      <c r="HG428" s="1149" t="str">
        <f t="shared" si="368"/>
        <v/>
      </c>
      <c r="HH428" s="1149" t="str">
        <f t="shared" si="369"/>
        <v/>
      </c>
      <c r="HI428" s="1149" t="str">
        <f t="shared" si="370"/>
        <v/>
      </c>
      <c r="HJ428" s="1149" t="str">
        <f t="shared" si="371"/>
        <v/>
      </c>
      <c r="HK428" s="1149" t="str">
        <f t="shared" si="372"/>
        <v/>
      </c>
      <c r="HL428" s="1149" t="str">
        <f t="shared" si="373"/>
        <v/>
      </c>
      <c r="HM428" s="1149" t="str">
        <f t="shared" si="374"/>
        <v/>
      </c>
      <c r="HN428" s="1149" t="str">
        <f t="shared" si="375"/>
        <v/>
      </c>
      <c r="HO428" s="1149" t="str">
        <f t="shared" si="376"/>
        <v/>
      </c>
      <c r="HP428" s="1149" t="str">
        <f t="shared" si="377"/>
        <v/>
      </c>
      <c r="HQ428" s="1149" t="str">
        <f t="shared" si="378"/>
        <v/>
      </c>
      <c r="HR428" s="1149" t="str">
        <f t="shared" si="379"/>
        <v/>
      </c>
      <c r="HT428" s="1149">
        <f>LEFT(M428,1)*10000+MID(M428,3,LEN(M428)-3)*100+COUNTIF($M$307:M428,M428)</f>
        <v>50301</v>
      </c>
      <c r="HU428" s="1149" t="str">
        <f t="shared" si="380"/>
        <v/>
      </c>
      <c r="HV428" s="1149" t="str">
        <f t="shared" si="381"/>
        <v/>
      </c>
      <c r="HW428" s="1149" t="str">
        <f t="shared" si="382"/>
        <v/>
      </c>
      <c r="HX428" s="1149" t="str">
        <f t="shared" si="383"/>
        <v/>
      </c>
    </row>
    <row r="429" spans="1:232" s="69" customFormat="1" ht="50.15" customHeight="1">
      <c r="A429" s="645"/>
      <c r="B429" s="645"/>
      <c r="C429" s="645"/>
      <c r="D429" s="645"/>
      <c r="E429" s="646"/>
      <c r="F429" s="381"/>
      <c r="G429" s="381"/>
      <c r="H429" s="381"/>
      <c r="J429" s="80"/>
      <c r="K429" s="89"/>
      <c r="L429" s="89"/>
      <c r="M429" s="2082" t="s">
        <v>1272</v>
      </c>
      <c r="N429" s="2082"/>
      <c r="O429" s="2082"/>
      <c r="P429" s="1966" t="s">
        <v>116</v>
      </c>
      <c r="Q429" s="1966"/>
      <c r="R429" s="1966"/>
      <c r="S429" s="1966"/>
      <c r="T429" s="1966"/>
      <c r="U429" s="2011" t="s">
        <v>117</v>
      </c>
      <c r="V429" s="2011"/>
      <c r="W429" s="2011"/>
      <c r="X429" s="2011"/>
      <c r="Y429" s="2011"/>
      <c r="Z429" s="2011"/>
      <c r="AA429" s="2011"/>
      <c r="AB429" s="2011"/>
      <c r="AC429" s="2011"/>
      <c r="AD429" s="2011"/>
      <c r="AE429" s="2011"/>
      <c r="AF429" s="2010"/>
      <c r="AG429" s="2010"/>
      <c r="AH429" s="2010"/>
      <c r="AI429" s="2010"/>
      <c r="AJ429" s="2010"/>
      <c r="AK429" s="2010"/>
      <c r="AL429" s="2010"/>
      <c r="AM429" s="2010"/>
      <c r="AN429" s="2010"/>
      <c r="AO429" s="2010"/>
      <c r="AP429" s="2010"/>
      <c r="AQ429" s="2010"/>
      <c r="AR429" s="2017"/>
      <c r="AS429" s="2017"/>
      <c r="AT429" s="1929"/>
      <c r="AU429" s="1929"/>
      <c r="AV429" s="1929"/>
      <c r="AW429" s="1929"/>
      <c r="AX429" s="1929"/>
      <c r="AY429" s="1929"/>
      <c r="AZ429" s="1929"/>
      <c r="BA429" s="1929"/>
      <c r="BB429" s="1929"/>
      <c r="BC429" s="1929"/>
      <c r="BD429" s="1929"/>
      <c r="BE429" s="1929"/>
      <c r="BF429" s="1929"/>
      <c r="BG429" s="1929"/>
      <c r="BH429" s="1929"/>
      <c r="BI429" s="1929"/>
      <c r="BJ429" s="1929"/>
      <c r="BK429" s="1929"/>
      <c r="BL429" s="1929"/>
      <c r="BM429" s="1929"/>
      <c r="BN429" s="1929"/>
      <c r="BO429" s="1929"/>
      <c r="BP429" s="1929"/>
      <c r="BQ429" s="1929"/>
      <c r="BR429" s="1929"/>
      <c r="BS429" s="1885"/>
      <c r="BT429" s="1885"/>
      <c r="BU429" s="1885"/>
      <c r="BV429" s="1890"/>
      <c r="BW429" s="1890"/>
      <c r="BX429" s="1890"/>
      <c r="BY429" s="1890"/>
      <c r="BZ429" s="1891"/>
      <c r="CA429" s="1891"/>
      <c r="CB429" s="1912"/>
      <c r="CC429" s="1913"/>
      <c r="CD429" s="1913"/>
      <c r="CE429" s="1913"/>
      <c r="CF429" s="1913"/>
      <c r="CG429" s="1913"/>
      <c r="CH429" s="1913"/>
      <c r="CI429" s="1913"/>
      <c r="CJ429" s="1913"/>
      <c r="CK429" s="1913"/>
      <c r="CL429" s="1913"/>
      <c r="CM429" s="1913"/>
      <c r="CN429" s="1913"/>
      <c r="CO429" s="1913"/>
      <c r="CP429" s="1913"/>
      <c r="CQ429" s="1913"/>
      <c r="CR429" s="1913"/>
      <c r="CS429" s="1913"/>
      <c r="CT429" s="1913"/>
      <c r="CU429" s="1914"/>
      <c r="CV429" s="2360" t="str">
        <f t="shared" si="445"/>
        <v/>
      </c>
      <c r="CW429" s="2360"/>
      <c r="CX429" s="2360"/>
      <c r="CY429" s="2360"/>
      <c r="CZ429" s="2360"/>
      <c r="DA429" s="2360"/>
      <c r="DC429" s="600" t="str">
        <f t="shared" si="446"/>
        <v/>
      </c>
      <c r="DD429" s="381"/>
      <c r="DF429" s="34"/>
      <c r="DG429" s="34"/>
      <c r="DH429" s="34"/>
      <c r="DI429" s="34"/>
      <c r="DJ429" s="858" t="s">
        <v>5637</v>
      </c>
      <c r="DK429" s="1707" t="str">
        <f t="shared" si="491"/>
        <v/>
      </c>
      <c r="DL429" s="1692" t="str">
        <f t="shared" si="492"/>
        <v/>
      </c>
      <c r="DM429" s="1691">
        <f t="shared" si="447"/>
        <v>0</v>
      </c>
      <c r="DN429" s="111">
        <f t="shared" si="448"/>
        <v>0</v>
      </c>
      <c r="DO429" s="111">
        <f t="shared" si="449"/>
        <v>0</v>
      </c>
      <c r="DP429" s="474">
        <f t="shared" si="450"/>
        <v>0</v>
      </c>
      <c r="DQ429" s="123" t="s">
        <v>812</v>
      </c>
      <c r="DR429" s="473" t="str">
        <f t="shared" si="451"/>
        <v>出入口の確保の状況</v>
      </c>
      <c r="DS429" s="112">
        <f t="shared" si="452"/>
        <v>0</v>
      </c>
      <c r="DT429" s="118" t="str">
        <f t="shared" si="453"/>
        <v/>
      </c>
      <c r="DU429" s="452" t="str">
        <f t="shared" si="454"/>
        <v/>
      </c>
      <c r="DV429" s="453" t="str">
        <f>IF($DT429="要是正",MAX($DV$422:DV428)+1,"")</f>
        <v/>
      </c>
      <c r="DW429" s="32" t="str">
        <f t="shared" si="455"/>
        <v/>
      </c>
      <c r="DX429" s="119" t="str">
        <f t="shared" si="456"/>
        <v/>
      </c>
      <c r="DY429" s="33" t="str">
        <f t="shared" si="457"/>
        <v/>
      </c>
      <c r="DZ429" s="217" t="str">
        <f t="shared" si="458"/>
        <v/>
      </c>
      <c r="EA429" s="466" t="str">
        <f t="shared" si="459"/>
        <v/>
      </c>
      <c r="EB429" s="234" t="str">
        <f t="shared" si="460"/>
        <v/>
      </c>
      <c r="EC429" s="227" t="str">
        <f t="shared" si="461"/>
        <v>0</v>
      </c>
      <c r="ED429" s="148" t="str">
        <f t="shared" si="493"/>
        <v/>
      </c>
      <c r="EE429" s="227" t="str">
        <f t="shared" si="494"/>
        <v>0</v>
      </c>
      <c r="EF429" s="130" t="str">
        <f t="shared" si="462"/>
        <v/>
      </c>
      <c r="EG429" s="204" t="str">
        <f t="shared" si="463"/>
        <v/>
      </c>
      <c r="EH429" s="134" t="str">
        <f t="shared" si="464"/>
        <v>0</v>
      </c>
      <c r="EI429" s="148" t="str">
        <f t="shared" si="495"/>
        <v/>
      </c>
      <c r="EJ429" s="227" t="str">
        <f t="shared" si="496"/>
        <v>0</v>
      </c>
      <c r="EK429" s="451" t="str">
        <f t="shared" si="465"/>
        <v/>
      </c>
      <c r="EL429" s="452" t="e">
        <f t="shared" si="466"/>
        <v>#N/A</v>
      </c>
      <c r="EM429" s="151" t="e">
        <f t="shared" si="467"/>
        <v>#N/A</v>
      </c>
      <c r="EN429" s="453" t="e">
        <f t="shared" si="468"/>
        <v>#N/A</v>
      </c>
      <c r="FK429" s="597" t="str">
        <f t="shared" si="469"/>
        <v/>
      </c>
      <c r="FL429" s="597" t="str">
        <f t="shared" si="386"/>
        <v/>
      </c>
      <c r="FM429" s="597" t="str">
        <f t="shared" si="387"/>
        <v/>
      </c>
      <c r="FN429" s="597">
        <f t="shared" si="470"/>
        <v>0</v>
      </c>
      <c r="FO429" s="1163" t="str">
        <f t="shared" si="471"/>
        <v/>
      </c>
      <c r="FQ429" s="234" t="str">
        <f t="shared" si="472"/>
        <v/>
      </c>
      <c r="FR429" s="227" t="str">
        <f t="shared" si="473"/>
        <v>0</v>
      </c>
      <c r="FS429" s="148" t="str">
        <f t="shared" si="474"/>
        <v/>
      </c>
      <c r="FT429" s="227" t="str">
        <f t="shared" si="475"/>
        <v>0</v>
      </c>
      <c r="FU429" s="416" t="str">
        <f t="shared" si="497"/>
        <v/>
      </c>
      <c r="FW429" s="1160">
        <f t="shared" si="444"/>
        <v>0</v>
      </c>
      <c r="FX429" s="123"/>
      <c r="FY429" s="123"/>
      <c r="FZ429" s="1161"/>
      <c r="GA429" s="34"/>
      <c r="GB429" s="1149">
        <f t="shared" si="354"/>
        <v>0</v>
      </c>
      <c r="GC429" s="1149">
        <f t="shared" si="355"/>
        <v>0</v>
      </c>
      <c r="GD429" s="1149">
        <f t="shared" si="356"/>
        <v>0</v>
      </c>
      <c r="GE429" s="1149" t="str">
        <f t="shared" si="476"/>
        <v/>
      </c>
      <c r="GF429" s="1149" t="str">
        <f t="shared" si="477"/>
        <v/>
      </c>
      <c r="GG429" s="1149" t="str">
        <f t="shared" si="478"/>
        <v/>
      </c>
      <c r="GH429" s="1149" t="str">
        <f t="shared" si="479"/>
        <v/>
      </c>
      <c r="GI429" s="1149" t="str">
        <f t="shared" si="480"/>
        <v/>
      </c>
      <c r="GJ429" s="1149" t="str">
        <f t="shared" si="481"/>
        <v/>
      </c>
      <c r="GK429" s="1149" t="str">
        <f t="shared" si="482"/>
        <v/>
      </c>
      <c r="GL429" s="1149" t="str">
        <f t="shared" si="483"/>
        <v/>
      </c>
      <c r="GM429" s="1149" t="str">
        <f t="shared" si="484"/>
        <v/>
      </c>
      <c r="GN429" s="1149" t="str">
        <f t="shared" si="485"/>
        <v/>
      </c>
      <c r="GO429" s="1149" t="str">
        <f t="shared" si="486"/>
        <v/>
      </c>
      <c r="GP429" s="1149" t="str">
        <f t="shared" si="487"/>
        <v/>
      </c>
      <c r="GQ429" s="1149" t="str">
        <f t="shared" si="488"/>
        <v/>
      </c>
      <c r="GR429" s="1149" t="str">
        <f t="shared" si="489"/>
        <v/>
      </c>
      <c r="GS429" s="1149" t="str">
        <f t="shared" si="490"/>
        <v/>
      </c>
      <c r="GT429" s="1149">
        <f t="shared" si="357"/>
        <v>0</v>
      </c>
      <c r="GU429" s="1149">
        <f t="shared" si="358"/>
        <v>0</v>
      </c>
      <c r="GV429" s="1149">
        <f t="shared" si="359"/>
        <v>0</v>
      </c>
      <c r="GW429" s="1149" t="b">
        <f t="shared" si="360"/>
        <v>0</v>
      </c>
      <c r="GX429" s="1149" t="b">
        <f t="shared" si="361"/>
        <v>0</v>
      </c>
      <c r="GY429" s="1149" t="b">
        <f t="shared" si="362"/>
        <v>0</v>
      </c>
      <c r="GZ429" s="1149" t="str">
        <f t="shared" si="385"/>
        <v/>
      </c>
      <c r="HB429" s="1149" t="str">
        <f t="shared" si="363"/>
        <v/>
      </c>
      <c r="HC429" s="1149" t="str">
        <f t="shared" si="364"/>
        <v/>
      </c>
      <c r="HD429" s="1149" t="str">
        <f t="shared" si="365"/>
        <v/>
      </c>
      <c r="HE429" s="1149" t="str">
        <f t="shared" si="366"/>
        <v/>
      </c>
      <c r="HF429" s="1149" t="str">
        <f t="shared" si="367"/>
        <v/>
      </c>
      <c r="HG429" s="1149" t="str">
        <f t="shared" si="368"/>
        <v/>
      </c>
      <c r="HH429" s="1149" t="str">
        <f t="shared" si="369"/>
        <v/>
      </c>
      <c r="HI429" s="1149" t="str">
        <f t="shared" si="370"/>
        <v/>
      </c>
      <c r="HJ429" s="1149" t="str">
        <f t="shared" si="371"/>
        <v/>
      </c>
      <c r="HK429" s="1149" t="str">
        <f t="shared" si="372"/>
        <v/>
      </c>
      <c r="HL429" s="1149" t="str">
        <f t="shared" si="373"/>
        <v/>
      </c>
      <c r="HM429" s="1149" t="str">
        <f t="shared" si="374"/>
        <v/>
      </c>
      <c r="HN429" s="1149" t="str">
        <f t="shared" si="375"/>
        <v/>
      </c>
      <c r="HO429" s="1149" t="str">
        <f t="shared" si="376"/>
        <v/>
      </c>
      <c r="HP429" s="1149" t="str">
        <f t="shared" si="377"/>
        <v/>
      </c>
      <c r="HQ429" s="1149" t="str">
        <f t="shared" si="378"/>
        <v/>
      </c>
      <c r="HR429" s="1149" t="str">
        <f t="shared" si="379"/>
        <v/>
      </c>
      <c r="HT429" s="1149">
        <f>LEFT(M429,1)*10000+MID(M429,3,LEN(M429)-3)*100+COUNTIF($M$307:M429,M429)</f>
        <v>50401</v>
      </c>
      <c r="HU429" s="1149" t="str">
        <f t="shared" si="380"/>
        <v/>
      </c>
      <c r="HV429" s="1149" t="str">
        <f t="shared" si="381"/>
        <v/>
      </c>
      <c r="HW429" s="1149" t="str">
        <f t="shared" si="382"/>
        <v/>
      </c>
      <c r="HX429" s="1149" t="str">
        <f t="shared" si="383"/>
        <v/>
      </c>
    </row>
    <row r="430" spans="1:232" s="69" customFormat="1" ht="50.15" customHeight="1">
      <c r="A430" s="645"/>
      <c r="B430" s="645"/>
      <c r="C430" s="645"/>
      <c r="D430" s="645"/>
      <c r="E430" s="646"/>
      <c r="F430" s="381"/>
      <c r="G430" s="381"/>
      <c r="H430" s="381"/>
      <c r="J430" s="80"/>
      <c r="K430" s="89"/>
      <c r="L430" s="89"/>
      <c r="M430" s="2082" t="s">
        <v>1273</v>
      </c>
      <c r="N430" s="2082"/>
      <c r="O430" s="2082"/>
      <c r="P430" s="1966"/>
      <c r="Q430" s="1966"/>
      <c r="R430" s="1966"/>
      <c r="S430" s="1966"/>
      <c r="T430" s="1966"/>
      <c r="U430" s="1956" t="s">
        <v>115</v>
      </c>
      <c r="V430" s="1956"/>
      <c r="W430" s="1956"/>
      <c r="X430" s="1956"/>
      <c r="Y430" s="1956"/>
      <c r="Z430" s="1956"/>
      <c r="AA430" s="1956"/>
      <c r="AB430" s="1956"/>
      <c r="AC430" s="1956"/>
      <c r="AD430" s="1956"/>
      <c r="AE430" s="1956"/>
      <c r="AF430" s="2025"/>
      <c r="AG430" s="2025"/>
      <c r="AH430" s="2025"/>
      <c r="AI430" s="2025"/>
      <c r="AJ430" s="2025"/>
      <c r="AK430" s="2025"/>
      <c r="AL430" s="2025"/>
      <c r="AM430" s="2025"/>
      <c r="AN430" s="2025"/>
      <c r="AO430" s="2025"/>
      <c r="AP430" s="2025"/>
      <c r="AQ430" s="2025"/>
      <c r="AR430" s="2026"/>
      <c r="AS430" s="2026"/>
      <c r="AT430" s="1997"/>
      <c r="AU430" s="1997"/>
      <c r="AV430" s="1997"/>
      <c r="AW430" s="1997"/>
      <c r="AX430" s="1997"/>
      <c r="AY430" s="1997"/>
      <c r="AZ430" s="1997"/>
      <c r="BA430" s="1997"/>
      <c r="BB430" s="1997"/>
      <c r="BC430" s="1997"/>
      <c r="BD430" s="1997"/>
      <c r="BE430" s="1997"/>
      <c r="BF430" s="1997"/>
      <c r="BG430" s="1997"/>
      <c r="BH430" s="1997"/>
      <c r="BI430" s="1997"/>
      <c r="BJ430" s="1997"/>
      <c r="BK430" s="1997"/>
      <c r="BL430" s="1997"/>
      <c r="BM430" s="1997"/>
      <c r="BN430" s="1997"/>
      <c r="BO430" s="1997"/>
      <c r="BP430" s="1997"/>
      <c r="BQ430" s="1997"/>
      <c r="BR430" s="1997"/>
      <c r="BS430" s="1991"/>
      <c r="BT430" s="1991"/>
      <c r="BU430" s="1991"/>
      <c r="BV430" s="1982"/>
      <c r="BW430" s="1982"/>
      <c r="BX430" s="1982"/>
      <c r="BY430" s="1982"/>
      <c r="BZ430" s="1992"/>
      <c r="CA430" s="1992"/>
      <c r="CB430" s="2000"/>
      <c r="CC430" s="2001"/>
      <c r="CD430" s="2001"/>
      <c r="CE430" s="2001"/>
      <c r="CF430" s="2001"/>
      <c r="CG430" s="2001"/>
      <c r="CH430" s="2001"/>
      <c r="CI430" s="2001"/>
      <c r="CJ430" s="2001"/>
      <c r="CK430" s="2001"/>
      <c r="CL430" s="2001"/>
      <c r="CM430" s="2001"/>
      <c r="CN430" s="2001"/>
      <c r="CO430" s="2001"/>
      <c r="CP430" s="2001"/>
      <c r="CQ430" s="2001"/>
      <c r="CR430" s="2001"/>
      <c r="CS430" s="2001"/>
      <c r="CT430" s="2001"/>
      <c r="CU430" s="2002"/>
      <c r="CV430" s="2360" t="str">
        <f t="shared" si="445"/>
        <v/>
      </c>
      <c r="CW430" s="2360"/>
      <c r="CX430" s="2360"/>
      <c r="CY430" s="2360"/>
      <c r="CZ430" s="2360"/>
      <c r="DA430" s="2360"/>
      <c r="DC430" s="600" t="str">
        <f t="shared" si="446"/>
        <v/>
      </c>
      <c r="DD430" s="381"/>
      <c r="DF430" s="34"/>
      <c r="DG430" s="34"/>
      <c r="DH430" s="34"/>
      <c r="DI430" s="34"/>
      <c r="DJ430" s="858" t="s">
        <v>5637</v>
      </c>
      <c r="DK430" s="1707" t="str">
        <f t="shared" si="491"/>
        <v/>
      </c>
      <c r="DL430" s="1692" t="str">
        <f t="shared" si="492"/>
        <v/>
      </c>
      <c r="DM430" s="1691">
        <f t="shared" si="447"/>
        <v>0</v>
      </c>
      <c r="DN430" s="111">
        <f t="shared" si="448"/>
        <v>0</v>
      </c>
      <c r="DO430" s="111">
        <f t="shared" si="449"/>
        <v>0</v>
      </c>
      <c r="DP430" s="474">
        <f t="shared" si="450"/>
        <v>0</v>
      </c>
      <c r="DQ430" s="123" t="s">
        <v>813</v>
      </c>
      <c r="DR430" s="473" t="str">
        <f t="shared" si="451"/>
        <v>物品の放置の状況</v>
      </c>
      <c r="DS430" s="112">
        <f t="shared" si="452"/>
        <v>0</v>
      </c>
      <c r="DT430" s="118" t="str">
        <f t="shared" si="453"/>
        <v/>
      </c>
      <c r="DU430" s="452" t="str">
        <f t="shared" si="454"/>
        <v/>
      </c>
      <c r="DV430" s="453" t="str">
        <f>IF($DT430="要是正",MAX($DV$422:DV429)+1,"")</f>
        <v/>
      </c>
      <c r="DW430" s="32" t="str">
        <f t="shared" si="455"/>
        <v/>
      </c>
      <c r="DX430" s="119" t="str">
        <f t="shared" si="456"/>
        <v/>
      </c>
      <c r="DY430" s="33" t="str">
        <f t="shared" si="457"/>
        <v/>
      </c>
      <c r="DZ430" s="217" t="str">
        <f t="shared" si="458"/>
        <v/>
      </c>
      <c r="EA430" s="466" t="str">
        <f t="shared" si="459"/>
        <v/>
      </c>
      <c r="EB430" s="234" t="str">
        <f t="shared" si="460"/>
        <v/>
      </c>
      <c r="EC430" s="227" t="str">
        <f t="shared" si="461"/>
        <v>0</v>
      </c>
      <c r="ED430" s="148" t="str">
        <f t="shared" si="493"/>
        <v/>
      </c>
      <c r="EE430" s="227" t="str">
        <f t="shared" si="494"/>
        <v>0</v>
      </c>
      <c r="EF430" s="130" t="str">
        <f t="shared" si="462"/>
        <v/>
      </c>
      <c r="EG430" s="204" t="str">
        <f t="shared" si="463"/>
        <v/>
      </c>
      <c r="EH430" s="134" t="str">
        <f t="shared" si="464"/>
        <v>0</v>
      </c>
      <c r="EI430" s="148" t="str">
        <f t="shared" si="495"/>
        <v/>
      </c>
      <c r="EJ430" s="227" t="str">
        <f t="shared" si="496"/>
        <v>0</v>
      </c>
      <c r="EK430" s="451" t="str">
        <f t="shared" si="465"/>
        <v/>
      </c>
      <c r="EL430" s="452" t="e">
        <f t="shared" si="466"/>
        <v>#N/A</v>
      </c>
      <c r="EM430" s="151" t="e">
        <f t="shared" si="467"/>
        <v>#N/A</v>
      </c>
      <c r="EN430" s="453" t="e">
        <f t="shared" si="468"/>
        <v>#N/A</v>
      </c>
      <c r="FK430" s="597" t="str">
        <f t="shared" si="469"/>
        <v/>
      </c>
      <c r="FL430" s="597" t="str">
        <f t="shared" si="386"/>
        <v/>
      </c>
      <c r="FM430" s="597" t="str">
        <f t="shared" si="387"/>
        <v/>
      </c>
      <c r="FN430" s="597">
        <f t="shared" si="470"/>
        <v>0</v>
      </c>
      <c r="FO430" s="1163" t="str">
        <f t="shared" si="471"/>
        <v/>
      </c>
      <c r="FQ430" s="234" t="str">
        <f t="shared" si="472"/>
        <v/>
      </c>
      <c r="FR430" s="227" t="str">
        <f t="shared" si="473"/>
        <v>0</v>
      </c>
      <c r="FS430" s="148" t="str">
        <f t="shared" si="474"/>
        <v/>
      </c>
      <c r="FT430" s="227" t="str">
        <f t="shared" si="475"/>
        <v>0</v>
      </c>
      <c r="FU430" s="416" t="str">
        <f t="shared" si="497"/>
        <v/>
      </c>
      <c r="FW430" s="1160">
        <f t="shared" si="444"/>
        <v>0</v>
      </c>
      <c r="FX430" s="123"/>
      <c r="FY430" s="123"/>
      <c r="FZ430" s="1161"/>
      <c r="GA430" s="34"/>
      <c r="GB430" s="1149">
        <f t="shared" si="354"/>
        <v>0</v>
      </c>
      <c r="GC430" s="1149">
        <f t="shared" si="355"/>
        <v>0</v>
      </c>
      <c r="GD430" s="1149">
        <f t="shared" si="356"/>
        <v>0</v>
      </c>
      <c r="GE430" s="1149" t="str">
        <f t="shared" si="476"/>
        <v/>
      </c>
      <c r="GF430" s="1149" t="str">
        <f t="shared" si="477"/>
        <v/>
      </c>
      <c r="GG430" s="1149" t="str">
        <f t="shared" si="478"/>
        <v/>
      </c>
      <c r="GH430" s="1149" t="str">
        <f t="shared" si="479"/>
        <v/>
      </c>
      <c r="GI430" s="1149" t="str">
        <f t="shared" si="480"/>
        <v/>
      </c>
      <c r="GJ430" s="1149" t="str">
        <f t="shared" si="481"/>
        <v/>
      </c>
      <c r="GK430" s="1149" t="str">
        <f t="shared" si="482"/>
        <v/>
      </c>
      <c r="GL430" s="1149" t="str">
        <f t="shared" si="483"/>
        <v/>
      </c>
      <c r="GM430" s="1149" t="str">
        <f t="shared" si="484"/>
        <v/>
      </c>
      <c r="GN430" s="1149" t="str">
        <f t="shared" si="485"/>
        <v/>
      </c>
      <c r="GO430" s="1149" t="str">
        <f t="shared" si="486"/>
        <v/>
      </c>
      <c r="GP430" s="1149" t="str">
        <f t="shared" si="487"/>
        <v/>
      </c>
      <c r="GQ430" s="1149" t="str">
        <f t="shared" si="488"/>
        <v/>
      </c>
      <c r="GR430" s="1149" t="str">
        <f t="shared" si="489"/>
        <v/>
      </c>
      <c r="GS430" s="1149" t="str">
        <f t="shared" si="490"/>
        <v/>
      </c>
      <c r="GT430" s="1149">
        <f t="shared" si="357"/>
        <v>0</v>
      </c>
      <c r="GU430" s="1149">
        <f t="shared" si="358"/>
        <v>0</v>
      </c>
      <c r="GV430" s="1149">
        <f t="shared" si="359"/>
        <v>0</v>
      </c>
      <c r="GW430" s="1149" t="b">
        <f t="shared" si="360"/>
        <v>0</v>
      </c>
      <c r="GX430" s="1149" t="b">
        <f t="shared" si="361"/>
        <v>0</v>
      </c>
      <c r="GY430" s="1149" t="b">
        <f t="shared" si="362"/>
        <v>0</v>
      </c>
      <c r="GZ430" s="1149" t="str">
        <f t="shared" si="385"/>
        <v/>
      </c>
      <c r="HB430" s="1149" t="str">
        <f t="shared" si="363"/>
        <v/>
      </c>
      <c r="HC430" s="1149" t="str">
        <f t="shared" si="364"/>
        <v/>
      </c>
      <c r="HD430" s="1149" t="str">
        <f t="shared" si="365"/>
        <v/>
      </c>
      <c r="HE430" s="1149" t="str">
        <f t="shared" si="366"/>
        <v/>
      </c>
      <c r="HF430" s="1149" t="str">
        <f t="shared" si="367"/>
        <v/>
      </c>
      <c r="HG430" s="1149" t="str">
        <f t="shared" si="368"/>
        <v/>
      </c>
      <c r="HH430" s="1149" t="str">
        <f t="shared" si="369"/>
        <v/>
      </c>
      <c r="HI430" s="1149" t="str">
        <f t="shared" si="370"/>
        <v/>
      </c>
      <c r="HJ430" s="1149" t="str">
        <f t="shared" si="371"/>
        <v/>
      </c>
      <c r="HK430" s="1149" t="str">
        <f t="shared" si="372"/>
        <v/>
      </c>
      <c r="HL430" s="1149" t="str">
        <f t="shared" si="373"/>
        <v/>
      </c>
      <c r="HM430" s="1149" t="str">
        <f t="shared" si="374"/>
        <v/>
      </c>
      <c r="HN430" s="1149" t="str">
        <f t="shared" si="375"/>
        <v/>
      </c>
      <c r="HO430" s="1149" t="str">
        <f t="shared" si="376"/>
        <v/>
      </c>
      <c r="HP430" s="1149" t="str">
        <f t="shared" si="377"/>
        <v/>
      </c>
      <c r="HQ430" s="1149" t="str">
        <f t="shared" si="378"/>
        <v/>
      </c>
      <c r="HR430" s="1149" t="str">
        <f t="shared" si="379"/>
        <v/>
      </c>
      <c r="HT430" s="1149">
        <f>LEFT(M430,1)*10000+MID(M430,3,LEN(M430)-3)*100+COUNTIF($M$307:M430,M430)</f>
        <v>50501</v>
      </c>
      <c r="HU430" s="1149" t="str">
        <f t="shared" si="380"/>
        <v/>
      </c>
      <c r="HV430" s="1149" t="str">
        <f t="shared" si="381"/>
        <v/>
      </c>
      <c r="HW430" s="1149" t="str">
        <f t="shared" si="382"/>
        <v/>
      </c>
      <c r="HX430" s="1149" t="str">
        <f t="shared" si="383"/>
        <v/>
      </c>
    </row>
    <row r="431" spans="1:232" s="69" customFormat="1" ht="50.15" customHeight="1">
      <c r="A431" s="645"/>
      <c r="B431" s="645"/>
      <c r="C431" s="645"/>
      <c r="D431" s="645"/>
      <c r="E431" s="646"/>
      <c r="F431" s="381"/>
      <c r="G431" s="381"/>
      <c r="H431" s="381"/>
      <c r="J431" s="80"/>
      <c r="K431" s="89"/>
      <c r="L431" s="89"/>
      <c r="M431" s="2082" t="s">
        <v>1274</v>
      </c>
      <c r="N431" s="2082"/>
      <c r="O431" s="2082"/>
      <c r="P431" s="1966" t="s">
        <v>118</v>
      </c>
      <c r="Q431" s="1966"/>
      <c r="R431" s="1966"/>
      <c r="S431" s="1966"/>
      <c r="T431" s="1966"/>
      <c r="U431" s="1966" t="s">
        <v>119</v>
      </c>
      <c r="V431" s="1966"/>
      <c r="W431" s="1966"/>
      <c r="X431" s="1966"/>
      <c r="Y431" s="1966"/>
      <c r="Z431" s="1966"/>
      <c r="AA431" s="1966"/>
      <c r="AB431" s="1966"/>
      <c r="AC431" s="1966"/>
      <c r="AD431" s="1966"/>
      <c r="AE431" s="1966"/>
      <c r="AF431" s="1995"/>
      <c r="AG431" s="1995"/>
      <c r="AH431" s="1995"/>
      <c r="AI431" s="1995"/>
      <c r="AJ431" s="1995"/>
      <c r="AK431" s="1995"/>
      <c r="AL431" s="1995"/>
      <c r="AM431" s="1995"/>
      <c r="AN431" s="1995"/>
      <c r="AO431" s="1995"/>
      <c r="AP431" s="1995"/>
      <c r="AQ431" s="1995"/>
      <c r="AR431" s="1957"/>
      <c r="AS431" s="1957"/>
      <c r="AT431" s="1928"/>
      <c r="AU431" s="1928"/>
      <c r="AV431" s="1928"/>
      <c r="AW431" s="1928"/>
      <c r="AX431" s="1928"/>
      <c r="AY431" s="1928"/>
      <c r="AZ431" s="1928"/>
      <c r="BA431" s="1928"/>
      <c r="BB431" s="1928"/>
      <c r="BC431" s="1928"/>
      <c r="BD431" s="1928"/>
      <c r="BE431" s="1928"/>
      <c r="BF431" s="1928"/>
      <c r="BG431" s="1928"/>
      <c r="BH431" s="1928"/>
      <c r="BI431" s="1928"/>
      <c r="BJ431" s="1928"/>
      <c r="BK431" s="1928"/>
      <c r="BL431" s="1928"/>
      <c r="BM431" s="1928"/>
      <c r="BN431" s="1928"/>
      <c r="BO431" s="1928"/>
      <c r="BP431" s="1928"/>
      <c r="BQ431" s="1928"/>
      <c r="BR431" s="1928"/>
      <c r="BS431" s="1998"/>
      <c r="BT431" s="1998"/>
      <c r="BU431" s="1998"/>
      <c r="BV431" s="1989"/>
      <c r="BW431" s="1989"/>
      <c r="BX431" s="1989"/>
      <c r="BY431" s="1989"/>
      <c r="BZ431" s="1990"/>
      <c r="CA431" s="1990"/>
      <c r="CB431" s="2031"/>
      <c r="CC431" s="2032"/>
      <c r="CD431" s="2032"/>
      <c r="CE431" s="2032"/>
      <c r="CF431" s="2032"/>
      <c r="CG431" s="2032"/>
      <c r="CH431" s="2032"/>
      <c r="CI431" s="2032"/>
      <c r="CJ431" s="2032"/>
      <c r="CK431" s="2032"/>
      <c r="CL431" s="2032"/>
      <c r="CM431" s="2032"/>
      <c r="CN431" s="2032"/>
      <c r="CO431" s="2032"/>
      <c r="CP431" s="2032"/>
      <c r="CQ431" s="2032"/>
      <c r="CR431" s="2032"/>
      <c r="CS431" s="2032"/>
      <c r="CT431" s="2032"/>
      <c r="CU431" s="2033"/>
      <c r="CV431" s="2360" t="str">
        <f t="shared" si="445"/>
        <v/>
      </c>
      <c r="CW431" s="2360"/>
      <c r="CX431" s="2360"/>
      <c r="CY431" s="2360"/>
      <c r="CZ431" s="2360"/>
      <c r="DA431" s="2360"/>
      <c r="DC431" s="600" t="str">
        <f t="shared" si="446"/>
        <v/>
      </c>
      <c r="DD431" s="381"/>
      <c r="DF431" s="34"/>
      <c r="DG431" s="34"/>
      <c r="DH431" s="34"/>
      <c r="DI431" s="34"/>
      <c r="DJ431" s="858" t="s">
        <v>5637</v>
      </c>
      <c r="DK431" s="1707" t="str">
        <f t="shared" si="491"/>
        <v/>
      </c>
      <c r="DL431" s="1692" t="str">
        <f t="shared" si="492"/>
        <v/>
      </c>
      <c r="DM431" s="1691">
        <f t="shared" si="447"/>
        <v>0</v>
      </c>
      <c r="DN431" s="111">
        <f t="shared" si="448"/>
        <v>0</v>
      </c>
      <c r="DO431" s="111">
        <f t="shared" si="449"/>
        <v>0</v>
      </c>
      <c r="DP431" s="474">
        <f t="shared" si="450"/>
        <v>0</v>
      </c>
      <c r="DQ431" s="123" t="s">
        <v>814</v>
      </c>
      <c r="DR431" s="473" t="str">
        <f t="shared" si="451"/>
        <v>屋上広場の確保の状況</v>
      </c>
      <c r="DS431" s="112">
        <f t="shared" si="452"/>
        <v>0</v>
      </c>
      <c r="DT431" s="118" t="str">
        <f t="shared" si="453"/>
        <v/>
      </c>
      <c r="DU431" s="452" t="str">
        <f t="shared" si="454"/>
        <v/>
      </c>
      <c r="DV431" s="453" t="str">
        <f>IF($DT431="要是正",MAX($DV$422:DV430)+1,"")</f>
        <v/>
      </c>
      <c r="DW431" s="32" t="str">
        <f t="shared" si="455"/>
        <v/>
      </c>
      <c r="DX431" s="119" t="str">
        <f t="shared" si="456"/>
        <v/>
      </c>
      <c r="DY431" s="33" t="str">
        <f t="shared" si="457"/>
        <v/>
      </c>
      <c r="DZ431" s="217" t="str">
        <f t="shared" si="458"/>
        <v/>
      </c>
      <c r="EA431" s="466" t="str">
        <f t="shared" si="459"/>
        <v/>
      </c>
      <c r="EB431" s="234" t="str">
        <f t="shared" si="460"/>
        <v/>
      </c>
      <c r="EC431" s="227" t="str">
        <f t="shared" si="461"/>
        <v>0</v>
      </c>
      <c r="ED431" s="148" t="str">
        <f t="shared" si="493"/>
        <v/>
      </c>
      <c r="EE431" s="227" t="str">
        <f t="shared" si="494"/>
        <v>0</v>
      </c>
      <c r="EF431" s="130" t="str">
        <f t="shared" si="462"/>
        <v/>
      </c>
      <c r="EG431" s="204" t="str">
        <f t="shared" si="463"/>
        <v/>
      </c>
      <c r="EH431" s="134" t="str">
        <f t="shared" si="464"/>
        <v>0</v>
      </c>
      <c r="EI431" s="148" t="str">
        <f t="shared" si="495"/>
        <v/>
      </c>
      <c r="EJ431" s="227" t="str">
        <f t="shared" si="496"/>
        <v>0</v>
      </c>
      <c r="EK431" s="451" t="str">
        <f t="shared" si="465"/>
        <v/>
      </c>
      <c r="EL431" s="452" t="e">
        <f t="shared" si="466"/>
        <v>#N/A</v>
      </c>
      <c r="EM431" s="151" t="e">
        <f t="shared" si="467"/>
        <v>#N/A</v>
      </c>
      <c r="EN431" s="453" t="e">
        <f t="shared" si="468"/>
        <v>#N/A</v>
      </c>
      <c r="FK431" s="597" t="str">
        <f t="shared" si="469"/>
        <v/>
      </c>
      <c r="FL431" s="597" t="str">
        <f t="shared" si="386"/>
        <v/>
      </c>
      <c r="FM431" s="597" t="str">
        <f t="shared" si="387"/>
        <v/>
      </c>
      <c r="FN431" s="597">
        <f t="shared" si="470"/>
        <v>0</v>
      </c>
      <c r="FO431" s="1163" t="str">
        <f t="shared" si="471"/>
        <v/>
      </c>
      <c r="FQ431" s="234" t="str">
        <f t="shared" si="472"/>
        <v/>
      </c>
      <c r="FR431" s="227" t="str">
        <f t="shared" si="473"/>
        <v>0</v>
      </c>
      <c r="FS431" s="148" t="str">
        <f t="shared" si="474"/>
        <v/>
      </c>
      <c r="FT431" s="227" t="str">
        <f t="shared" si="475"/>
        <v>0</v>
      </c>
      <c r="FU431" s="416" t="str">
        <f t="shared" si="497"/>
        <v/>
      </c>
      <c r="FW431" s="1160">
        <f t="shared" si="444"/>
        <v>0</v>
      </c>
      <c r="FX431" s="123"/>
      <c r="FY431" s="123"/>
      <c r="FZ431" s="1161"/>
      <c r="GA431" s="34"/>
      <c r="GB431" s="1149">
        <f t="shared" si="354"/>
        <v>0</v>
      </c>
      <c r="GC431" s="1149">
        <f t="shared" si="355"/>
        <v>0</v>
      </c>
      <c r="GD431" s="1149">
        <f t="shared" si="356"/>
        <v>0</v>
      </c>
      <c r="GE431" s="1149" t="str">
        <f t="shared" si="476"/>
        <v/>
      </c>
      <c r="GF431" s="1149" t="str">
        <f t="shared" si="477"/>
        <v/>
      </c>
      <c r="GG431" s="1149" t="str">
        <f t="shared" si="478"/>
        <v/>
      </c>
      <c r="GH431" s="1149" t="str">
        <f t="shared" si="479"/>
        <v/>
      </c>
      <c r="GI431" s="1149" t="str">
        <f t="shared" si="480"/>
        <v/>
      </c>
      <c r="GJ431" s="1149" t="str">
        <f t="shared" si="481"/>
        <v/>
      </c>
      <c r="GK431" s="1149" t="str">
        <f t="shared" si="482"/>
        <v/>
      </c>
      <c r="GL431" s="1149" t="str">
        <f t="shared" si="483"/>
        <v/>
      </c>
      <c r="GM431" s="1149" t="str">
        <f t="shared" si="484"/>
        <v/>
      </c>
      <c r="GN431" s="1149" t="str">
        <f t="shared" si="485"/>
        <v/>
      </c>
      <c r="GO431" s="1149" t="str">
        <f t="shared" si="486"/>
        <v/>
      </c>
      <c r="GP431" s="1149" t="str">
        <f t="shared" si="487"/>
        <v/>
      </c>
      <c r="GQ431" s="1149" t="str">
        <f t="shared" si="488"/>
        <v/>
      </c>
      <c r="GR431" s="1149" t="str">
        <f t="shared" si="489"/>
        <v/>
      </c>
      <c r="GS431" s="1149" t="str">
        <f t="shared" si="490"/>
        <v/>
      </c>
      <c r="GT431" s="1149">
        <f t="shared" si="357"/>
        <v>0</v>
      </c>
      <c r="GU431" s="1149">
        <f t="shared" si="358"/>
        <v>0</v>
      </c>
      <c r="GV431" s="1149">
        <f t="shared" si="359"/>
        <v>0</v>
      </c>
      <c r="GW431" s="1149" t="b">
        <f t="shared" si="360"/>
        <v>0</v>
      </c>
      <c r="GX431" s="1149" t="b">
        <f t="shared" si="361"/>
        <v>0</v>
      </c>
      <c r="GY431" s="1149" t="b">
        <f t="shared" si="362"/>
        <v>0</v>
      </c>
      <c r="GZ431" s="1149" t="str">
        <f t="shared" si="385"/>
        <v/>
      </c>
      <c r="HB431" s="1149" t="str">
        <f t="shared" si="363"/>
        <v/>
      </c>
      <c r="HC431" s="1149" t="str">
        <f t="shared" si="364"/>
        <v/>
      </c>
      <c r="HD431" s="1149" t="str">
        <f t="shared" si="365"/>
        <v/>
      </c>
      <c r="HE431" s="1149" t="str">
        <f t="shared" si="366"/>
        <v/>
      </c>
      <c r="HF431" s="1149" t="str">
        <f t="shared" si="367"/>
        <v/>
      </c>
      <c r="HG431" s="1149" t="str">
        <f t="shared" si="368"/>
        <v/>
      </c>
      <c r="HH431" s="1149" t="str">
        <f t="shared" si="369"/>
        <v/>
      </c>
      <c r="HI431" s="1149" t="str">
        <f t="shared" si="370"/>
        <v/>
      </c>
      <c r="HJ431" s="1149" t="str">
        <f t="shared" si="371"/>
        <v/>
      </c>
      <c r="HK431" s="1149" t="str">
        <f t="shared" si="372"/>
        <v/>
      </c>
      <c r="HL431" s="1149" t="str">
        <f t="shared" si="373"/>
        <v/>
      </c>
      <c r="HM431" s="1149" t="str">
        <f t="shared" si="374"/>
        <v/>
      </c>
      <c r="HN431" s="1149" t="str">
        <f t="shared" si="375"/>
        <v/>
      </c>
      <c r="HO431" s="1149" t="str">
        <f t="shared" si="376"/>
        <v/>
      </c>
      <c r="HP431" s="1149" t="str">
        <f t="shared" si="377"/>
        <v/>
      </c>
      <c r="HQ431" s="1149" t="str">
        <f t="shared" si="378"/>
        <v/>
      </c>
      <c r="HR431" s="1149" t="str">
        <f t="shared" si="379"/>
        <v/>
      </c>
      <c r="HT431" s="1149">
        <f>LEFT(M431,1)*10000+MID(M431,3,LEN(M431)-3)*100+COUNTIF($M$307:M431,M431)</f>
        <v>50601</v>
      </c>
      <c r="HU431" s="1149" t="str">
        <f t="shared" si="380"/>
        <v/>
      </c>
      <c r="HV431" s="1149" t="str">
        <f t="shared" si="381"/>
        <v/>
      </c>
      <c r="HW431" s="1149" t="str">
        <f t="shared" si="382"/>
        <v/>
      </c>
      <c r="HX431" s="1149" t="str">
        <f t="shared" si="383"/>
        <v/>
      </c>
    </row>
    <row r="432" spans="1:232" s="69" customFormat="1" ht="50.15" customHeight="1">
      <c r="A432" s="645"/>
      <c r="B432" s="645"/>
      <c r="C432" s="645"/>
      <c r="D432" s="645"/>
      <c r="E432" s="646"/>
      <c r="F432" s="381"/>
      <c r="G432" s="381"/>
      <c r="H432" s="381"/>
      <c r="J432" s="80"/>
      <c r="K432" s="89"/>
      <c r="L432" s="89"/>
      <c r="M432" s="2082" t="s">
        <v>1275</v>
      </c>
      <c r="N432" s="2082"/>
      <c r="O432" s="2082"/>
      <c r="P432" s="1966" t="s">
        <v>120</v>
      </c>
      <c r="Q432" s="1966"/>
      <c r="R432" s="1966"/>
      <c r="S432" s="1966"/>
      <c r="T432" s="1966"/>
      <c r="U432" s="2011" t="s">
        <v>121</v>
      </c>
      <c r="V432" s="2011"/>
      <c r="W432" s="2011"/>
      <c r="X432" s="2011"/>
      <c r="Y432" s="2011"/>
      <c r="Z432" s="2011"/>
      <c r="AA432" s="2011"/>
      <c r="AB432" s="2011"/>
      <c r="AC432" s="2011"/>
      <c r="AD432" s="2011"/>
      <c r="AE432" s="2011"/>
      <c r="AF432" s="2010"/>
      <c r="AG432" s="2010"/>
      <c r="AH432" s="2010"/>
      <c r="AI432" s="2010"/>
      <c r="AJ432" s="2010"/>
      <c r="AK432" s="2010"/>
      <c r="AL432" s="2010"/>
      <c r="AM432" s="2010"/>
      <c r="AN432" s="2010"/>
      <c r="AO432" s="2010"/>
      <c r="AP432" s="2010"/>
      <c r="AQ432" s="2010"/>
      <c r="AR432" s="2017"/>
      <c r="AS432" s="2017"/>
      <c r="AT432" s="1929"/>
      <c r="AU432" s="1929"/>
      <c r="AV432" s="1929"/>
      <c r="AW432" s="1929"/>
      <c r="AX432" s="1929"/>
      <c r="AY432" s="1929"/>
      <c r="AZ432" s="1929"/>
      <c r="BA432" s="1929"/>
      <c r="BB432" s="1929"/>
      <c r="BC432" s="1929"/>
      <c r="BD432" s="1929"/>
      <c r="BE432" s="1929"/>
      <c r="BF432" s="1929"/>
      <c r="BG432" s="1929"/>
      <c r="BH432" s="1929"/>
      <c r="BI432" s="1929"/>
      <c r="BJ432" s="1929"/>
      <c r="BK432" s="1929"/>
      <c r="BL432" s="1929"/>
      <c r="BM432" s="1929"/>
      <c r="BN432" s="1929"/>
      <c r="BO432" s="1929"/>
      <c r="BP432" s="1929"/>
      <c r="BQ432" s="1929"/>
      <c r="BR432" s="1929"/>
      <c r="BS432" s="1885"/>
      <c r="BT432" s="1885"/>
      <c r="BU432" s="1885"/>
      <c r="BV432" s="1890"/>
      <c r="BW432" s="1890"/>
      <c r="BX432" s="1890"/>
      <c r="BY432" s="1890"/>
      <c r="BZ432" s="1891"/>
      <c r="CA432" s="1891"/>
      <c r="CB432" s="1912"/>
      <c r="CC432" s="1913"/>
      <c r="CD432" s="1913"/>
      <c r="CE432" s="1913"/>
      <c r="CF432" s="1913"/>
      <c r="CG432" s="1913"/>
      <c r="CH432" s="1913"/>
      <c r="CI432" s="1913"/>
      <c r="CJ432" s="1913"/>
      <c r="CK432" s="1913"/>
      <c r="CL432" s="1913"/>
      <c r="CM432" s="1913"/>
      <c r="CN432" s="1913"/>
      <c r="CO432" s="1913"/>
      <c r="CP432" s="1913"/>
      <c r="CQ432" s="1913"/>
      <c r="CR432" s="1913"/>
      <c r="CS432" s="1913"/>
      <c r="CT432" s="1913"/>
      <c r="CU432" s="1914"/>
      <c r="CV432" s="2360" t="str">
        <f t="shared" si="445"/>
        <v/>
      </c>
      <c r="CW432" s="2360"/>
      <c r="CX432" s="2360"/>
      <c r="CY432" s="2360"/>
      <c r="CZ432" s="2360"/>
      <c r="DA432" s="2360"/>
      <c r="DC432" s="600" t="str">
        <f t="shared" si="446"/>
        <v/>
      </c>
      <c r="DD432" s="381"/>
      <c r="DF432" s="34"/>
      <c r="DG432" s="34"/>
      <c r="DH432" s="34"/>
      <c r="DI432" s="34"/>
      <c r="DJ432" s="858" t="s">
        <v>5637</v>
      </c>
      <c r="DK432" s="1707" t="str">
        <f t="shared" si="491"/>
        <v/>
      </c>
      <c r="DL432" s="1692" t="str">
        <f t="shared" si="492"/>
        <v/>
      </c>
      <c r="DM432" s="1691">
        <f t="shared" si="447"/>
        <v>0</v>
      </c>
      <c r="DN432" s="111">
        <f t="shared" si="448"/>
        <v>0</v>
      </c>
      <c r="DO432" s="111">
        <f t="shared" si="449"/>
        <v>0</v>
      </c>
      <c r="DP432" s="474">
        <f t="shared" si="450"/>
        <v>0</v>
      </c>
      <c r="DQ432" s="123" t="s">
        <v>815</v>
      </c>
      <c r="DR432" s="473" t="str">
        <f t="shared" si="451"/>
        <v>避難上有効なバルコニーの確保の状況</v>
      </c>
      <c r="DS432" s="112">
        <f t="shared" si="452"/>
        <v>0</v>
      </c>
      <c r="DT432" s="118" t="str">
        <f t="shared" si="453"/>
        <v/>
      </c>
      <c r="DU432" s="452" t="str">
        <f t="shared" si="454"/>
        <v/>
      </c>
      <c r="DV432" s="453" t="str">
        <f>IF($DT432="要是正",MAX($DV$422:DV431)+1,"")</f>
        <v/>
      </c>
      <c r="DW432" s="32" t="str">
        <f t="shared" si="455"/>
        <v/>
      </c>
      <c r="DX432" s="119" t="str">
        <f t="shared" si="456"/>
        <v/>
      </c>
      <c r="DY432" s="33" t="str">
        <f t="shared" si="457"/>
        <v/>
      </c>
      <c r="DZ432" s="217" t="str">
        <f t="shared" si="458"/>
        <v/>
      </c>
      <c r="EA432" s="466" t="str">
        <f t="shared" si="459"/>
        <v/>
      </c>
      <c r="EB432" s="234" t="str">
        <f t="shared" si="460"/>
        <v/>
      </c>
      <c r="EC432" s="227" t="str">
        <f t="shared" si="461"/>
        <v>0</v>
      </c>
      <c r="ED432" s="148" t="str">
        <f t="shared" si="493"/>
        <v/>
      </c>
      <c r="EE432" s="227" t="str">
        <f t="shared" si="494"/>
        <v>0</v>
      </c>
      <c r="EF432" s="130" t="str">
        <f t="shared" si="462"/>
        <v/>
      </c>
      <c r="EG432" s="204" t="str">
        <f t="shared" si="463"/>
        <v/>
      </c>
      <c r="EH432" s="134" t="str">
        <f t="shared" si="464"/>
        <v>0</v>
      </c>
      <c r="EI432" s="148" t="str">
        <f t="shared" si="495"/>
        <v/>
      </c>
      <c r="EJ432" s="227" t="str">
        <f t="shared" si="496"/>
        <v>0</v>
      </c>
      <c r="EK432" s="451" t="str">
        <f t="shared" si="465"/>
        <v/>
      </c>
      <c r="EL432" s="452" t="e">
        <f t="shared" si="466"/>
        <v>#N/A</v>
      </c>
      <c r="EM432" s="151" t="e">
        <f t="shared" si="467"/>
        <v>#N/A</v>
      </c>
      <c r="EN432" s="453" t="e">
        <f t="shared" si="468"/>
        <v>#N/A</v>
      </c>
      <c r="FK432" s="597" t="str">
        <f t="shared" si="469"/>
        <v/>
      </c>
      <c r="FL432" s="597" t="str">
        <f t="shared" si="386"/>
        <v/>
      </c>
      <c r="FM432" s="597" t="str">
        <f t="shared" si="387"/>
        <v/>
      </c>
      <c r="FN432" s="597">
        <f t="shared" si="470"/>
        <v>0</v>
      </c>
      <c r="FO432" s="1163" t="str">
        <f t="shared" si="471"/>
        <v/>
      </c>
      <c r="FQ432" s="234" t="str">
        <f t="shared" si="472"/>
        <v/>
      </c>
      <c r="FR432" s="227" t="str">
        <f t="shared" si="473"/>
        <v>0</v>
      </c>
      <c r="FS432" s="148" t="str">
        <f t="shared" si="474"/>
        <v/>
      </c>
      <c r="FT432" s="227" t="str">
        <f t="shared" si="475"/>
        <v>0</v>
      </c>
      <c r="FU432" s="416" t="str">
        <f t="shared" si="497"/>
        <v/>
      </c>
      <c r="FW432" s="1160">
        <f t="shared" si="444"/>
        <v>0</v>
      </c>
      <c r="FX432" s="123"/>
      <c r="FY432" s="123"/>
      <c r="FZ432" s="1161"/>
      <c r="GA432" s="34"/>
      <c r="GB432" s="1149">
        <f t="shared" si="354"/>
        <v>0</v>
      </c>
      <c r="GC432" s="1149">
        <f t="shared" si="355"/>
        <v>0</v>
      </c>
      <c r="GD432" s="1149">
        <f t="shared" si="356"/>
        <v>0</v>
      </c>
      <c r="GE432" s="1149" t="str">
        <f t="shared" si="476"/>
        <v/>
      </c>
      <c r="GF432" s="1149" t="str">
        <f t="shared" si="477"/>
        <v/>
      </c>
      <c r="GG432" s="1149" t="str">
        <f t="shared" si="478"/>
        <v/>
      </c>
      <c r="GH432" s="1149" t="str">
        <f t="shared" si="479"/>
        <v/>
      </c>
      <c r="GI432" s="1149" t="str">
        <f t="shared" si="480"/>
        <v/>
      </c>
      <c r="GJ432" s="1149" t="str">
        <f t="shared" si="481"/>
        <v/>
      </c>
      <c r="GK432" s="1149" t="str">
        <f t="shared" si="482"/>
        <v/>
      </c>
      <c r="GL432" s="1149" t="str">
        <f t="shared" si="483"/>
        <v/>
      </c>
      <c r="GM432" s="1149" t="str">
        <f t="shared" si="484"/>
        <v/>
      </c>
      <c r="GN432" s="1149" t="str">
        <f t="shared" si="485"/>
        <v/>
      </c>
      <c r="GO432" s="1149" t="str">
        <f t="shared" si="486"/>
        <v/>
      </c>
      <c r="GP432" s="1149" t="str">
        <f t="shared" si="487"/>
        <v/>
      </c>
      <c r="GQ432" s="1149" t="str">
        <f t="shared" si="488"/>
        <v/>
      </c>
      <c r="GR432" s="1149" t="str">
        <f t="shared" si="489"/>
        <v/>
      </c>
      <c r="GS432" s="1149" t="str">
        <f t="shared" si="490"/>
        <v/>
      </c>
      <c r="GT432" s="1149">
        <f t="shared" si="357"/>
        <v>0</v>
      </c>
      <c r="GU432" s="1149">
        <f t="shared" si="358"/>
        <v>0</v>
      </c>
      <c r="GV432" s="1149">
        <f t="shared" si="359"/>
        <v>0</v>
      </c>
      <c r="GW432" s="1149" t="b">
        <f t="shared" si="360"/>
        <v>0</v>
      </c>
      <c r="GX432" s="1149" t="b">
        <f t="shared" si="361"/>
        <v>0</v>
      </c>
      <c r="GY432" s="1149" t="b">
        <f t="shared" si="362"/>
        <v>0</v>
      </c>
      <c r="GZ432" s="1149" t="str">
        <f t="shared" si="385"/>
        <v/>
      </c>
      <c r="HB432" s="1149" t="str">
        <f t="shared" si="363"/>
        <v/>
      </c>
      <c r="HC432" s="1149" t="str">
        <f t="shared" si="364"/>
        <v/>
      </c>
      <c r="HD432" s="1149" t="str">
        <f t="shared" si="365"/>
        <v/>
      </c>
      <c r="HE432" s="1149" t="str">
        <f t="shared" si="366"/>
        <v/>
      </c>
      <c r="HF432" s="1149" t="str">
        <f t="shared" si="367"/>
        <v/>
      </c>
      <c r="HG432" s="1149" t="str">
        <f t="shared" si="368"/>
        <v/>
      </c>
      <c r="HH432" s="1149" t="str">
        <f t="shared" si="369"/>
        <v/>
      </c>
      <c r="HI432" s="1149" t="str">
        <f t="shared" si="370"/>
        <v/>
      </c>
      <c r="HJ432" s="1149" t="str">
        <f t="shared" si="371"/>
        <v/>
      </c>
      <c r="HK432" s="1149" t="str">
        <f t="shared" si="372"/>
        <v/>
      </c>
      <c r="HL432" s="1149" t="str">
        <f t="shared" si="373"/>
        <v/>
      </c>
      <c r="HM432" s="1149" t="str">
        <f t="shared" si="374"/>
        <v/>
      </c>
      <c r="HN432" s="1149" t="str">
        <f t="shared" si="375"/>
        <v/>
      </c>
      <c r="HO432" s="1149" t="str">
        <f t="shared" si="376"/>
        <v/>
      </c>
      <c r="HP432" s="1149" t="str">
        <f t="shared" si="377"/>
        <v/>
      </c>
      <c r="HQ432" s="1149" t="str">
        <f t="shared" si="378"/>
        <v/>
      </c>
      <c r="HR432" s="1149" t="str">
        <f t="shared" si="379"/>
        <v/>
      </c>
      <c r="HT432" s="1149">
        <f>LEFT(M432,1)*10000+MID(M432,3,LEN(M432)-3)*100+COUNTIF($M$307:M432,M432)</f>
        <v>50701</v>
      </c>
      <c r="HU432" s="1149" t="str">
        <f t="shared" si="380"/>
        <v/>
      </c>
      <c r="HV432" s="1149" t="str">
        <f t="shared" si="381"/>
        <v/>
      </c>
      <c r="HW432" s="1149" t="str">
        <f t="shared" si="382"/>
        <v/>
      </c>
      <c r="HX432" s="1149" t="str">
        <f t="shared" si="383"/>
        <v/>
      </c>
    </row>
    <row r="433" spans="1:232" s="69" customFormat="1" ht="50.15" customHeight="1">
      <c r="A433" s="645"/>
      <c r="B433" s="645"/>
      <c r="C433" s="645"/>
      <c r="D433" s="645"/>
      <c r="E433" s="646"/>
      <c r="F433" s="381"/>
      <c r="G433" s="381"/>
      <c r="H433" s="381"/>
      <c r="J433" s="80"/>
      <c r="K433" s="89"/>
      <c r="L433" s="89"/>
      <c r="M433" s="2082" t="s">
        <v>1276</v>
      </c>
      <c r="N433" s="2082"/>
      <c r="O433" s="2082"/>
      <c r="P433" s="1966"/>
      <c r="Q433" s="1966"/>
      <c r="R433" s="1966"/>
      <c r="S433" s="1966"/>
      <c r="T433" s="1966"/>
      <c r="U433" s="1899" t="s">
        <v>122</v>
      </c>
      <c r="V433" s="1899"/>
      <c r="W433" s="1899"/>
      <c r="X433" s="1899"/>
      <c r="Y433" s="1899"/>
      <c r="Z433" s="1899"/>
      <c r="AA433" s="1899"/>
      <c r="AB433" s="1899"/>
      <c r="AC433" s="1899"/>
      <c r="AD433" s="1899"/>
      <c r="AE433" s="1899"/>
      <c r="AF433" s="1898"/>
      <c r="AG433" s="1898"/>
      <c r="AH433" s="1898"/>
      <c r="AI433" s="1898"/>
      <c r="AJ433" s="1898"/>
      <c r="AK433" s="1898"/>
      <c r="AL433" s="1898"/>
      <c r="AM433" s="1898"/>
      <c r="AN433" s="1898"/>
      <c r="AO433" s="1898"/>
      <c r="AP433" s="1898"/>
      <c r="AQ433" s="1898"/>
      <c r="AR433" s="1910"/>
      <c r="AS433" s="1910"/>
      <c r="AT433" s="1993"/>
      <c r="AU433" s="1993"/>
      <c r="AV433" s="1993"/>
      <c r="AW433" s="1993"/>
      <c r="AX433" s="1993"/>
      <c r="AY433" s="1993"/>
      <c r="AZ433" s="1993"/>
      <c r="BA433" s="1993"/>
      <c r="BB433" s="1993"/>
      <c r="BC433" s="1993"/>
      <c r="BD433" s="1993"/>
      <c r="BE433" s="1993"/>
      <c r="BF433" s="1993"/>
      <c r="BG433" s="1993"/>
      <c r="BH433" s="1993"/>
      <c r="BI433" s="1993"/>
      <c r="BJ433" s="1993"/>
      <c r="BK433" s="1993"/>
      <c r="BL433" s="1993"/>
      <c r="BM433" s="1993"/>
      <c r="BN433" s="1993"/>
      <c r="BO433" s="1993"/>
      <c r="BP433" s="1993"/>
      <c r="BQ433" s="1993"/>
      <c r="BR433" s="1993"/>
      <c r="BS433" s="1895"/>
      <c r="BT433" s="1895"/>
      <c r="BU433" s="1895"/>
      <c r="BV433" s="1889"/>
      <c r="BW433" s="1889"/>
      <c r="BX433" s="1889"/>
      <c r="BY433" s="1889"/>
      <c r="BZ433" s="1896"/>
      <c r="CA433" s="1896"/>
      <c r="CB433" s="1986"/>
      <c r="CC433" s="1987"/>
      <c r="CD433" s="1987"/>
      <c r="CE433" s="1987"/>
      <c r="CF433" s="1987"/>
      <c r="CG433" s="1987"/>
      <c r="CH433" s="1987"/>
      <c r="CI433" s="1987"/>
      <c r="CJ433" s="1987"/>
      <c r="CK433" s="1987"/>
      <c r="CL433" s="1987"/>
      <c r="CM433" s="1987"/>
      <c r="CN433" s="1987"/>
      <c r="CO433" s="1987"/>
      <c r="CP433" s="1987"/>
      <c r="CQ433" s="1987"/>
      <c r="CR433" s="1987"/>
      <c r="CS433" s="1987"/>
      <c r="CT433" s="1987"/>
      <c r="CU433" s="1988"/>
      <c r="CV433" s="2360" t="str">
        <f t="shared" si="445"/>
        <v/>
      </c>
      <c r="CW433" s="2360"/>
      <c r="CX433" s="2360"/>
      <c r="CY433" s="2360"/>
      <c r="CZ433" s="2360"/>
      <c r="DA433" s="2360"/>
      <c r="DC433" s="600" t="str">
        <f t="shared" si="446"/>
        <v/>
      </c>
      <c r="DD433" s="381"/>
      <c r="DF433" s="34"/>
      <c r="DG433" s="34"/>
      <c r="DH433" s="34"/>
      <c r="DI433" s="34"/>
      <c r="DJ433" s="858" t="s">
        <v>5637</v>
      </c>
      <c r="DK433" s="1707" t="str">
        <f t="shared" si="491"/>
        <v/>
      </c>
      <c r="DL433" s="1692" t="str">
        <f t="shared" si="492"/>
        <v/>
      </c>
      <c r="DM433" s="1691">
        <f t="shared" si="447"/>
        <v>0</v>
      </c>
      <c r="DN433" s="111">
        <f t="shared" si="448"/>
        <v>0</v>
      </c>
      <c r="DO433" s="111">
        <f t="shared" si="449"/>
        <v>0</v>
      </c>
      <c r="DP433" s="474">
        <f t="shared" si="450"/>
        <v>0</v>
      </c>
      <c r="DQ433" s="123" t="s">
        <v>816</v>
      </c>
      <c r="DR433" s="473" t="str">
        <f t="shared" si="451"/>
        <v>手すり等の劣化及び損傷の状況</v>
      </c>
      <c r="DS433" s="112">
        <f t="shared" si="452"/>
        <v>0</v>
      </c>
      <c r="DT433" s="118" t="str">
        <f t="shared" si="453"/>
        <v/>
      </c>
      <c r="DU433" s="452" t="str">
        <f t="shared" si="454"/>
        <v/>
      </c>
      <c r="DV433" s="453" t="str">
        <f>IF($DT433="要是正",MAX($DV$422:DV432)+1,"")</f>
        <v/>
      </c>
      <c r="DW433" s="32" t="str">
        <f t="shared" si="455"/>
        <v/>
      </c>
      <c r="DX433" s="119" t="str">
        <f t="shared" si="456"/>
        <v/>
      </c>
      <c r="DY433" s="33" t="str">
        <f t="shared" si="457"/>
        <v/>
      </c>
      <c r="DZ433" s="217" t="str">
        <f t="shared" si="458"/>
        <v/>
      </c>
      <c r="EA433" s="466" t="str">
        <f t="shared" si="459"/>
        <v/>
      </c>
      <c r="EB433" s="234" t="str">
        <f t="shared" si="460"/>
        <v/>
      </c>
      <c r="EC433" s="227" t="str">
        <f t="shared" si="461"/>
        <v>0</v>
      </c>
      <c r="ED433" s="148" t="str">
        <f t="shared" si="493"/>
        <v/>
      </c>
      <c r="EE433" s="227" t="str">
        <f t="shared" si="494"/>
        <v>0</v>
      </c>
      <c r="EF433" s="130" t="str">
        <f t="shared" si="462"/>
        <v/>
      </c>
      <c r="EG433" s="204" t="str">
        <f t="shared" si="463"/>
        <v/>
      </c>
      <c r="EH433" s="134" t="str">
        <f t="shared" si="464"/>
        <v>0</v>
      </c>
      <c r="EI433" s="148" t="str">
        <f t="shared" si="495"/>
        <v/>
      </c>
      <c r="EJ433" s="227" t="str">
        <f t="shared" si="496"/>
        <v>0</v>
      </c>
      <c r="EK433" s="451" t="str">
        <f t="shared" si="465"/>
        <v/>
      </c>
      <c r="EL433" s="452" t="e">
        <f t="shared" si="466"/>
        <v>#N/A</v>
      </c>
      <c r="EM433" s="151" t="e">
        <f t="shared" si="467"/>
        <v>#N/A</v>
      </c>
      <c r="EN433" s="453" t="e">
        <f t="shared" si="468"/>
        <v>#N/A</v>
      </c>
      <c r="FK433" s="597" t="str">
        <f t="shared" si="469"/>
        <v/>
      </c>
      <c r="FL433" s="597" t="str">
        <f t="shared" si="386"/>
        <v/>
      </c>
      <c r="FM433" s="597" t="str">
        <f t="shared" si="387"/>
        <v/>
      </c>
      <c r="FN433" s="597">
        <f t="shared" si="470"/>
        <v>0</v>
      </c>
      <c r="FO433" s="1163" t="str">
        <f t="shared" si="471"/>
        <v/>
      </c>
      <c r="FQ433" s="234" t="str">
        <f t="shared" si="472"/>
        <v/>
      </c>
      <c r="FR433" s="227" t="str">
        <f t="shared" si="473"/>
        <v>0</v>
      </c>
      <c r="FS433" s="148" t="str">
        <f t="shared" si="474"/>
        <v/>
      </c>
      <c r="FT433" s="227" t="str">
        <f t="shared" si="475"/>
        <v>0</v>
      </c>
      <c r="FU433" s="416" t="str">
        <f t="shared" si="497"/>
        <v/>
      </c>
      <c r="FW433" s="1160">
        <f t="shared" si="444"/>
        <v>0</v>
      </c>
      <c r="FX433" s="123"/>
      <c r="FY433" s="123"/>
      <c r="FZ433" s="1161"/>
      <c r="GA433" s="34"/>
      <c r="GB433" s="1149">
        <f t="shared" si="354"/>
        <v>0</v>
      </c>
      <c r="GC433" s="1149">
        <f t="shared" si="355"/>
        <v>0</v>
      </c>
      <c r="GD433" s="1149">
        <f t="shared" si="356"/>
        <v>0</v>
      </c>
      <c r="GE433" s="1149" t="str">
        <f t="shared" si="476"/>
        <v/>
      </c>
      <c r="GF433" s="1149" t="str">
        <f t="shared" si="477"/>
        <v/>
      </c>
      <c r="GG433" s="1149" t="str">
        <f t="shared" si="478"/>
        <v/>
      </c>
      <c r="GH433" s="1149" t="str">
        <f t="shared" si="479"/>
        <v/>
      </c>
      <c r="GI433" s="1149" t="str">
        <f t="shared" si="480"/>
        <v/>
      </c>
      <c r="GJ433" s="1149" t="str">
        <f t="shared" si="481"/>
        <v/>
      </c>
      <c r="GK433" s="1149" t="str">
        <f t="shared" si="482"/>
        <v/>
      </c>
      <c r="GL433" s="1149" t="str">
        <f t="shared" si="483"/>
        <v/>
      </c>
      <c r="GM433" s="1149" t="str">
        <f t="shared" si="484"/>
        <v/>
      </c>
      <c r="GN433" s="1149" t="str">
        <f t="shared" si="485"/>
        <v/>
      </c>
      <c r="GO433" s="1149" t="str">
        <f t="shared" si="486"/>
        <v/>
      </c>
      <c r="GP433" s="1149" t="str">
        <f t="shared" si="487"/>
        <v/>
      </c>
      <c r="GQ433" s="1149" t="str">
        <f t="shared" si="488"/>
        <v/>
      </c>
      <c r="GR433" s="1149" t="str">
        <f t="shared" si="489"/>
        <v/>
      </c>
      <c r="GS433" s="1149" t="str">
        <f t="shared" si="490"/>
        <v/>
      </c>
      <c r="GT433" s="1149">
        <f t="shared" si="357"/>
        <v>0</v>
      </c>
      <c r="GU433" s="1149">
        <f t="shared" si="358"/>
        <v>0</v>
      </c>
      <c r="GV433" s="1149">
        <f t="shared" si="359"/>
        <v>0</v>
      </c>
      <c r="GW433" s="1149" t="b">
        <f t="shared" si="360"/>
        <v>0</v>
      </c>
      <c r="GX433" s="1149" t="b">
        <f t="shared" si="361"/>
        <v>0</v>
      </c>
      <c r="GY433" s="1149" t="b">
        <f t="shared" si="362"/>
        <v>0</v>
      </c>
      <c r="GZ433" s="1149" t="str">
        <f t="shared" si="385"/>
        <v/>
      </c>
      <c r="HB433" s="1149" t="str">
        <f t="shared" si="363"/>
        <v/>
      </c>
      <c r="HC433" s="1149" t="str">
        <f t="shared" si="364"/>
        <v/>
      </c>
      <c r="HD433" s="1149" t="str">
        <f t="shared" si="365"/>
        <v/>
      </c>
      <c r="HE433" s="1149" t="str">
        <f t="shared" si="366"/>
        <v/>
      </c>
      <c r="HF433" s="1149" t="str">
        <f t="shared" si="367"/>
        <v/>
      </c>
      <c r="HG433" s="1149" t="str">
        <f t="shared" si="368"/>
        <v/>
      </c>
      <c r="HH433" s="1149" t="str">
        <f t="shared" si="369"/>
        <v/>
      </c>
      <c r="HI433" s="1149" t="str">
        <f t="shared" si="370"/>
        <v/>
      </c>
      <c r="HJ433" s="1149" t="str">
        <f t="shared" si="371"/>
        <v/>
      </c>
      <c r="HK433" s="1149" t="str">
        <f t="shared" si="372"/>
        <v/>
      </c>
      <c r="HL433" s="1149" t="str">
        <f t="shared" si="373"/>
        <v/>
      </c>
      <c r="HM433" s="1149" t="str">
        <f t="shared" si="374"/>
        <v/>
      </c>
      <c r="HN433" s="1149" t="str">
        <f t="shared" si="375"/>
        <v/>
      </c>
      <c r="HO433" s="1149" t="str">
        <f t="shared" si="376"/>
        <v/>
      </c>
      <c r="HP433" s="1149" t="str">
        <f t="shared" si="377"/>
        <v/>
      </c>
      <c r="HQ433" s="1149" t="str">
        <f t="shared" si="378"/>
        <v/>
      </c>
      <c r="HR433" s="1149" t="str">
        <f t="shared" si="379"/>
        <v/>
      </c>
      <c r="HT433" s="1149">
        <f>LEFT(M433,1)*10000+MID(M433,3,LEN(M433)-3)*100+COUNTIF($M$307:M433,M433)</f>
        <v>50801</v>
      </c>
      <c r="HU433" s="1149" t="str">
        <f t="shared" si="380"/>
        <v/>
      </c>
      <c r="HV433" s="1149" t="str">
        <f t="shared" si="381"/>
        <v/>
      </c>
      <c r="HW433" s="1149" t="str">
        <f t="shared" si="382"/>
        <v/>
      </c>
      <c r="HX433" s="1149" t="str">
        <f t="shared" si="383"/>
        <v/>
      </c>
    </row>
    <row r="434" spans="1:232" s="69" customFormat="1" ht="50.15" customHeight="1">
      <c r="A434" s="645"/>
      <c r="B434" s="645"/>
      <c r="C434" s="645"/>
      <c r="D434" s="645"/>
      <c r="E434" s="646"/>
      <c r="F434" s="381"/>
      <c r="G434" s="381"/>
      <c r="H434" s="381"/>
      <c r="J434" s="80"/>
      <c r="K434" s="89"/>
      <c r="L434" s="89"/>
      <c r="M434" s="2082" t="s">
        <v>1277</v>
      </c>
      <c r="N434" s="2082"/>
      <c r="O434" s="2082"/>
      <c r="P434" s="1966"/>
      <c r="Q434" s="1966"/>
      <c r="R434" s="1966"/>
      <c r="S434" s="1966"/>
      <c r="T434" s="1966"/>
      <c r="U434" s="1899" t="s">
        <v>115</v>
      </c>
      <c r="V434" s="1899"/>
      <c r="W434" s="1899"/>
      <c r="X434" s="1899"/>
      <c r="Y434" s="1899"/>
      <c r="Z434" s="1899"/>
      <c r="AA434" s="1899"/>
      <c r="AB434" s="1899"/>
      <c r="AC434" s="1899"/>
      <c r="AD434" s="1899"/>
      <c r="AE434" s="1899"/>
      <c r="AF434" s="1898"/>
      <c r="AG434" s="1898"/>
      <c r="AH434" s="1898"/>
      <c r="AI434" s="1898"/>
      <c r="AJ434" s="1898"/>
      <c r="AK434" s="1898"/>
      <c r="AL434" s="1898"/>
      <c r="AM434" s="1898"/>
      <c r="AN434" s="1898"/>
      <c r="AO434" s="1898"/>
      <c r="AP434" s="1898"/>
      <c r="AQ434" s="1898"/>
      <c r="AR434" s="1910"/>
      <c r="AS434" s="1910"/>
      <c r="AT434" s="1993"/>
      <c r="AU434" s="1993"/>
      <c r="AV434" s="1993"/>
      <c r="AW434" s="1993"/>
      <c r="AX434" s="1993"/>
      <c r="AY434" s="1993"/>
      <c r="AZ434" s="1993"/>
      <c r="BA434" s="1993"/>
      <c r="BB434" s="1993"/>
      <c r="BC434" s="1993"/>
      <c r="BD434" s="1993"/>
      <c r="BE434" s="1993"/>
      <c r="BF434" s="1993"/>
      <c r="BG434" s="1993"/>
      <c r="BH434" s="1993"/>
      <c r="BI434" s="1993"/>
      <c r="BJ434" s="1993"/>
      <c r="BK434" s="1993"/>
      <c r="BL434" s="1993"/>
      <c r="BM434" s="1993"/>
      <c r="BN434" s="1993"/>
      <c r="BO434" s="1993"/>
      <c r="BP434" s="1993"/>
      <c r="BQ434" s="1993"/>
      <c r="BR434" s="1993"/>
      <c r="BS434" s="1895"/>
      <c r="BT434" s="1895"/>
      <c r="BU434" s="1895"/>
      <c r="BV434" s="1889"/>
      <c r="BW434" s="1889"/>
      <c r="BX434" s="1889"/>
      <c r="BY434" s="1889"/>
      <c r="BZ434" s="1896"/>
      <c r="CA434" s="1896"/>
      <c r="CB434" s="1986"/>
      <c r="CC434" s="1987"/>
      <c r="CD434" s="1987"/>
      <c r="CE434" s="1987"/>
      <c r="CF434" s="1987"/>
      <c r="CG434" s="1987"/>
      <c r="CH434" s="1987"/>
      <c r="CI434" s="1987"/>
      <c r="CJ434" s="1987"/>
      <c r="CK434" s="1987"/>
      <c r="CL434" s="1987"/>
      <c r="CM434" s="1987"/>
      <c r="CN434" s="1987"/>
      <c r="CO434" s="1987"/>
      <c r="CP434" s="1987"/>
      <c r="CQ434" s="1987"/>
      <c r="CR434" s="1987"/>
      <c r="CS434" s="1987"/>
      <c r="CT434" s="1987"/>
      <c r="CU434" s="1988"/>
      <c r="CV434" s="2360" t="str">
        <f t="shared" si="445"/>
        <v/>
      </c>
      <c r="CW434" s="2360"/>
      <c r="CX434" s="2360"/>
      <c r="CY434" s="2360"/>
      <c r="CZ434" s="2360"/>
      <c r="DA434" s="2360"/>
      <c r="DC434" s="600" t="str">
        <f t="shared" si="446"/>
        <v/>
      </c>
      <c r="DD434" s="381"/>
      <c r="DF434" s="34"/>
      <c r="DG434" s="34"/>
      <c r="DH434" s="34"/>
      <c r="DI434" s="34"/>
      <c r="DJ434" s="858" t="s">
        <v>5637</v>
      </c>
      <c r="DK434" s="1707" t="str">
        <f t="shared" si="491"/>
        <v/>
      </c>
      <c r="DL434" s="1692" t="str">
        <f t="shared" si="492"/>
        <v/>
      </c>
      <c r="DM434" s="1691">
        <f t="shared" si="447"/>
        <v>0</v>
      </c>
      <c r="DN434" s="111">
        <f t="shared" si="448"/>
        <v>0</v>
      </c>
      <c r="DO434" s="111">
        <f t="shared" si="449"/>
        <v>0</v>
      </c>
      <c r="DP434" s="474">
        <f t="shared" si="450"/>
        <v>0</v>
      </c>
      <c r="DQ434" s="123" t="s">
        <v>817</v>
      </c>
      <c r="DR434" s="473" t="str">
        <f t="shared" si="451"/>
        <v>物品の放置の状況</v>
      </c>
      <c r="DS434" s="112">
        <f t="shared" si="452"/>
        <v>0</v>
      </c>
      <c r="DT434" s="118" t="str">
        <f t="shared" si="453"/>
        <v/>
      </c>
      <c r="DU434" s="452" t="str">
        <f t="shared" si="454"/>
        <v/>
      </c>
      <c r="DV434" s="453" t="str">
        <f>IF($DT434="要是正",MAX($DV$422:DV433)+1,"")</f>
        <v/>
      </c>
      <c r="DW434" s="32" t="str">
        <f t="shared" si="455"/>
        <v/>
      </c>
      <c r="DX434" s="119" t="str">
        <f t="shared" si="456"/>
        <v/>
      </c>
      <c r="DY434" s="33" t="str">
        <f t="shared" si="457"/>
        <v/>
      </c>
      <c r="DZ434" s="217" t="str">
        <f t="shared" si="458"/>
        <v/>
      </c>
      <c r="EA434" s="466" t="str">
        <f t="shared" si="459"/>
        <v/>
      </c>
      <c r="EB434" s="234" t="str">
        <f t="shared" si="460"/>
        <v/>
      </c>
      <c r="EC434" s="227" t="str">
        <f t="shared" si="461"/>
        <v>0</v>
      </c>
      <c r="ED434" s="148" t="str">
        <f t="shared" si="493"/>
        <v/>
      </c>
      <c r="EE434" s="227" t="str">
        <f t="shared" si="494"/>
        <v>0</v>
      </c>
      <c r="EF434" s="130" t="str">
        <f t="shared" si="462"/>
        <v/>
      </c>
      <c r="EG434" s="204" t="str">
        <f t="shared" si="463"/>
        <v/>
      </c>
      <c r="EH434" s="134" t="str">
        <f t="shared" si="464"/>
        <v>0</v>
      </c>
      <c r="EI434" s="148" t="str">
        <f t="shared" si="495"/>
        <v/>
      </c>
      <c r="EJ434" s="227" t="str">
        <f t="shared" si="496"/>
        <v>0</v>
      </c>
      <c r="EK434" s="451" t="str">
        <f t="shared" si="465"/>
        <v/>
      </c>
      <c r="EL434" s="452" t="e">
        <f t="shared" si="466"/>
        <v>#N/A</v>
      </c>
      <c r="EM434" s="151" t="e">
        <f t="shared" si="467"/>
        <v>#N/A</v>
      </c>
      <c r="EN434" s="453" t="e">
        <f t="shared" si="468"/>
        <v>#N/A</v>
      </c>
      <c r="FK434" s="597" t="str">
        <f t="shared" si="469"/>
        <v/>
      </c>
      <c r="FL434" s="597" t="str">
        <f t="shared" si="386"/>
        <v/>
      </c>
      <c r="FM434" s="597" t="str">
        <f t="shared" si="387"/>
        <v/>
      </c>
      <c r="FN434" s="597">
        <f t="shared" si="470"/>
        <v>0</v>
      </c>
      <c r="FO434" s="1163" t="str">
        <f t="shared" si="471"/>
        <v/>
      </c>
      <c r="FQ434" s="234" t="str">
        <f t="shared" si="472"/>
        <v/>
      </c>
      <c r="FR434" s="227" t="str">
        <f t="shared" si="473"/>
        <v>0</v>
      </c>
      <c r="FS434" s="148" t="str">
        <f t="shared" si="474"/>
        <v/>
      </c>
      <c r="FT434" s="227" t="str">
        <f t="shared" si="475"/>
        <v>0</v>
      </c>
      <c r="FU434" s="416" t="str">
        <f t="shared" si="497"/>
        <v/>
      </c>
      <c r="FW434" s="1160">
        <f t="shared" si="444"/>
        <v>0</v>
      </c>
      <c r="FX434" s="123"/>
      <c r="FY434" s="123"/>
      <c r="FZ434" s="1161"/>
      <c r="GA434" s="34"/>
      <c r="GB434" s="1149">
        <f t="shared" si="354"/>
        <v>0</v>
      </c>
      <c r="GC434" s="1149">
        <f t="shared" si="355"/>
        <v>0</v>
      </c>
      <c r="GD434" s="1149">
        <f t="shared" si="356"/>
        <v>0</v>
      </c>
      <c r="GE434" s="1149" t="str">
        <f t="shared" si="476"/>
        <v/>
      </c>
      <c r="GF434" s="1149" t="str">
        <f t="shared" si="477"/>
        <v/>
      </c>
      <c r="GG434" s="1149" t="str">
        <f t="shared" si="478"/>
        <v/>
      </c>
      <c r="GH434" s="1149" t="str">
        <f t="shared" si="479"/>
        <v/>
      </c>
      <c r="GI434" s="1149" t="str">
        <f t="shared" si="480"/>
        <v/>
      </c>
      <c r="GJ434" s="1149" t="str">
        <f t="shared" si="481"/>
        <v/>
      </c>
      <c r="GK434" s="1149" t="str">
        <f t="shared" si="482"/>
        <v/>
      </c>
      <c r="GL434" s="1149" t="str">
        <f t="shared" si="483"/>
        <v/>
      </c>
      <c r="GM434" s="1149" t="str">
        <f t="shared" si="484"/>
        <v/>
      </c>
      <c r="GN434" s="1149" t="str">
        <f t="shared" si="485"/>
        <v/>
      </c>
      <c r="GO434" s="1149" t="str">
        <f t="shared" si="486"/>
        <v/>
      </c>
      <c r="GP434" s="1149" t="str">
        <f t="shared" si="487"/>
        <v/>
      </c>
      <c r="GQ434" s="1149" t="str">
        <f t="shared" si="488"/>
        <v/>
      </c>
      <c r="GR434" s="1149" t="str">
        <f t="shared" si="489"/>
        <v/>
      </c>
      <c r="GS434" s="1149" t="str">
        <f t="shared" si="490"/>
        <v/>
      </c>
      <c r="GT434" s="1149">
        <f t="shared" si="357"/>
        <v>0</v>
      </c>
      <c r="GU434" s="1149">
        <f t="shared" si="358"/>
        <v>0</v>
      </c>
      <c r="GV434" s="1149">
        <f t="shared" si="359"/>
        <v>0</v>
      </c>
      <c r="GW434" s="1149" t="b">
        <f t="shared" si="360"/>
        <v>0</v>
      </c>
      <c r="GX434" s="1149" t="b">
        <f t="shared" si="361"/>
        <v>0</v>
      </c>
      <c r="GY434" s="1149" t="b">
        <f t="shared" si="362"/>
        <v>0</v>
      </c>
      <c r="GZ434" s="1149" t="str">
        <f t="shared" si="385"/>
        <v/>
      </c>
      <c r="HB434" s="1149" t="str">
        <f t="shared" si="363"/>
        <v/>
      </c>
      <c r="HC434" s="1149" t="str">
        <f t="shared" si="364"/>
        <v/>
      </c>
      <c r="HD434" s="1149" t="str">
        <f t="shared" si="365"/>
        <v/>
      </c>
      <c r="HE434" s="1149" t="str">
        <f t="shared" si="366"/>
        <v/>
      </c>
      <c r="HF434" s="1149" t="str">
        <f t="shared" si="367"/>
        <v/>
      </c>
      <c r="HG434" s="1149" t="str">
        <f t="shared" si="368"/>
        <v/>
      </c>
      <c r="HH434" s="1149" t="str">
        <f t="shared" si="369"/>
        <v/>
      </c>
      <c r="HI434" s="1149" t="str">
        <f t="shared" si="370"/>
        <v/>
      </c>
      <c r="HJ434" s="1149" t="str">
        <f t="shared" si="371"/>
        <v/>
      </c>
      <c r="HK434" s="1149" t="str">
        <f t="shared" si="372"/>
        <v/>
      </c>
      <c r="HL434" s="1149" t="str">
        <f t="shared" si="373"/>
        <v/>
      </c>
      <c r="HM434" s="1149" t="str">
        <f t="shared" si="374"/>
        <v/>
      </c>
      <c r="HN434" s="1149" t="str">
        <f t="shared" si="375"/>
        <v/>
      </c>
      <c r="HO434" s="1149" t="str">
        <f t="shared" si="376"/>
        <v/>
      </c>
      <c r="HP434" s="1149" t="str">
        <f t="shared" si="377"/>
        <v/>
      </c>
      <c r="HQ434" s="1149" t="str">
        <f t="shared" si="378"/>
        <v/>
      </c>
      <c r="HR434" s="1149" t="str">
        <f t="shared" si="379"/>
        <v/>
      </c>
      <c r="HT434" s="1149">
        <f>LEFT(M434,1)*10000+MID(M434,3,LEN(M434)-3)*100+COUNTIF($M$307:M434,M434)</f>
        <v>50901</v>
      </c>
      <c r="HU434" s="1149" t="str">
        <f t="shared" si="380"/>
        <v/>
      </c>
      <c r="HV434" s="1149" t="str">
        <f t="shared" si="381"/>
        <v/>
      </c>
      <c r="HW434" s="1149" t="str">
        <f t="shared" si="382"/>
        <v/>
      </c>
      <c r="HX434" s="1149" t="str">
        <f t="shared" si="383"/>
        <v/>
      </c>
    </row>
    <row r="435" spans="1:232" s="69" customFormat="1" ht="50.15" customHeight="1">
      <c r="A435" s="645"/>
      <c r="B435" s="645"/>
      <c r="C435" s="645"/>
      <c r="D435" s="645"/>
      <c r="E435" s="646"/>
      <c r="F435" s="381"/>
      <c r="G435" s="381"/>
      <c r="H435" s="381"/>
      <c r="J435" s="80"/>
      <c r="K435" s="89"/>
      <c r="L435" s="89"/>
      <c r="M435" s="2082" t="s">
        <v>1278</v>
      </c>
      <c r="N435" s="2082"/>
      <c r="O435" s="2082"/>
      <c r="P435" s="1966"/>
      <c r="Q435" s="1966"/>
      <c r="R435" s="1966"/>
      <c r="S435" s="1966"/>
      <c r="T435" s="1966"/>
      <c r="U435" s="1956" t="s">
        <v>123</v>
      </c>
      <c r="V435" s="1956"/>
      <c r="W435" s="1956"/>
      <c r="X435" s="1956"/>
      <c r="Y435" s="1956"/>
      <c r="Z435" s="1956"/>
      <c r="AA435" s="1956"/>
      <c r="AB435" s="1956"/>
      <c r="AC435" s="1956"/>
      <c r="AD435" s="1956"/>
      <c r="AE435" s="1956"/>
      <c r="AF435" s="2025"/>
      <c r="AG435" s="2025"/>
      <c r="AH435" s="2025"/>
      <c r="AI435" s="2025"/>
      <c r="AJ435" s="2025"/>
      <c r="AK435" s="2025"/>
      <c r="AL435" s="2025"/>
      <c r="AM435" s="2025"/>
      <c r="AN435" s="2025"/>
      <c r="AO435" s="2025"/>
      <c r="AP435" s="2025"/>
      <c r="AQ435" s="2025"/>
      <c r="AR435" s="2026"/>
      <c r="AS435" s="2026"/>
      <c r="AT435" s="1997"/>
      <c r="AU435" s="1997"/>
      <c r="AV435" s="1997"/>
      <c r="AW435" s="1997"/>
      <c r="AX435" s="1997"/>
      <c r="AY435" s="1997"/>
      <c r="AZ435" s="1997"/>
      <c r="BA435" s="1997"/>
      <c r="BB435" s="1997"/>
      <c r="BC435" s="1997"/>
      <c r="BD435" s="1997"/>
      <c r="BE435" s="1997"/>
      <c r="BF435" s="1997"/>
      <c r="BG435" s="1997"/>
      <c r="BH435" s="1997"/>
      <c r="BI435" s="1997"/>
      <c r="BJ435" s="1997"/>
      <c r="BK435" s="1997"/>
      <c r="BL435" s="1997"/>
      <c r="BM435" s="1997"/>
      <c r="BN435" s="1997"/>
      <c r="BO435" s="1997"/>
      <c r="BP435" s="1997"/>
      <c r="BQ435" s="1997"/>
      <c r="BR435" s="1997"/>
      <c r="BS435" s="1991"/>
      <c r="BT435" s="1991"/>
      <c r="BU435" s="1991"/>
      <c r="BV435" s="1982"/>
      <c r="BW435" s="1982"/>
      <c r="BX435" s="1982"/>
      <c r="BY435" s="1982"/>
      <c r="BZ435" s="1992"/>
      <c r="CA435" s="1992"/>
      <c r="CB435" s="2000"/>
      <c r="CC435" s="2001"/>
      <c r="CD435" s="2001"/>
      <c r="CE435" s="2001"/>
      <c r="CF435" s="2001"/>
      <c r="CG435" s="2001"/>
      <c r="CH435" s="2001"/>
      <c r="CI435" s="2001"/>
      <c r="CJ435" s="2001"/>
      <c r="CK435" s="2001"/>
      <c r="CL435" s="2001"/>
      <c r="CM435" s="2001"/>
      <c r="CN435" s="2001"/>
      <c r="CO435" s="2001"/>
      <c r="CP435" s="2001"/>
      <c r="CQ435" s="2001"/>
      <c r="CR435" s="2001"/>
      <c r="CS435" s="2001"/>
      <c r="CT435" s="2001"/>
      <c r="CU435" s="2002"/>
      <c r="CV435" s="2360" t="str">
        <f t="shared" si="445"/>
        <v/>
      </c>
      <c r="CW435" s="2360"/>
      <c r="CX435" s="2360"/>
      <c r="CY435" s="2360"/>
      <c r="CZ435" s="2360"/>
      <c r="DA435" s="2360"/>
      <c r="DC435" s="600" t="str">
        <f t="shared" si="446"/>
        <v/>
      </c>
      <c r="DD435" s="381"/>
      <c r="DF435" s="34"/>
      <c r="DG435" s="34"/>
      <c r="DH435" s="34"/>
      <c r="DI435" s="34"/>
      <c r="DJ435" s="858" t="s">
        <v>5637</v>
      </c>
      <c r="DK435" s="1707" t="str">
        <f t="shared" si="491"/>
        <v/>
      </c>
      <c r="DL435" s="1692" t="str">
        <f t="shared" si="492"/>
        <v/>
      </c>
      <c r="DM435" s="1691">
        <f t="shared" si="447"/>
        <v>0</v>
      </c>
      <c r="DN435" s="111">
        <f t="shared" si="448"/>
        <v>0</v>
      </c>
      <c r="DO435" s="111">
        <f t="shared" si="449"/>
        <v>0</v>
      </c>
      <c r="DP435" s="474">
        <f t="shared" si="450"/>
        <v>0</v>
      </c>
      <c r="DQ435" s="123" t="s">
        <v>818</v>
      </c>
      <c r="DR435" s="473" t="str">
        <f t="shared" si="451"/>
        <v>避難器具の操作性の確保の状況</v>
      </c>
      <c r="DS435" s="112">
        <f t="shared" si="452"/>
        <v>0</v>
      </c>
      <c r="DT435" s="118" t="str">
        <f t="shared" si="453"/>
        <v/>
      </c>
      <c r="DU435" s="452" t="str">
        <f t="shared" si="454"/>
        <v/>
      </c>
      <c r="DV435" s="453" t="str">
        <f>IF($DT435="要是正",MAX($DV$422:DV434)+1,"")</f>
        <v/>
      </c>
      <c r="DW435" s="32" t="str">
        <f t="shared" si="455"/>
        <v/>
      </c>
      <c r="DX435" s="119" t="str">
        <f t="shared" si="456"/>
        <v/>
      </c>
      <c r="DY435" s="33" t="str">
        <f t="shared" si="457"/>
        <v/>
      </c>
      <c r="DZ435" s="217" t="str">
        <f t="shared" si="458"/>
        <v/>
      </c>
      <c r="EA435" s="466" t="str">
        <f t="shared" si="459"/>
        <v/>
      </c>
      <c r="EB435" s="234" t="str">
        <f t="shared" si="460"/>
        <v/>
      </c>
      <c r="EC435" s="227" t="str">
        <f t="shared" si="461"/>
        <v>0</v>
      </c>
      <c r="ED435" s="148" t="str">
        <f t="shared" si="493"/>
        <v/>
      </c>
      <c r="EE435" s="227" t="str">
        <f t="shared" si="494"/>
        <v>0</v>
      </c>
      <c r="EF435" s="130" t="str">
        <f t="shared" si="462"/>
        <v/>
      </c>
      <c r="EG435" s="204" t="str">
        <f t="shared" si="463"/>
        <v/>
      </c>
      <c r="EH435" s="134" t="str">
        <f t="shared" si="464"/>
        <v>0</v>
      </c>
      <c r="EI435" s="148" t="str">
        <f t="shared" si="495"/>
        <v/>
      </c>
      <c r="EJ435" s="227" t="str">
        <f t="shared" si="496"/>
        <v>0</v>
      </c>
      <c r="EK435" s="451" t="str">
        <f t="shared" si="465"/>
        <v/>
      </c>
      <c r="EL435" s="452" t="e">
        <f t="shared" si="466"/>
        <v>#N/A</v>
      </c>
      <c r="EM435" s="151" t="e">
        <f t="shared" si="467"/>
        <v>#N/A</v>
      </c>
      <c r="EN435" s="453" t="e">
        <f t="shared" si="468"/>
        <v>#N/A</v>
      </c>
      <c r="FK435" s="597" t="str">
        <f t="shared" si="469"/>
        <v/>
      </c>
      <c r="FL435" s="597" t="str">
        <f t="shared" si="386"/>
        <v/>
      </c>
      <c r="FM435" s="597" t="str">
        <f t="shared" si="387"/>
        <v/>
      </c>
      <c r="FN435" s="597">
        <f t="shared" si="470"/>
        <v>0</v>
      </c>
      <c r="FO435" s="1163" t="str">
        <f t="shared" si="471"/>
        <v/>
      </c>
      <c r="FQ435" s="234" t="str">
        <f t="shared" si="472"/>
        <v/>
      </c>
      <c r="FR435" s="227" t="str">
        <f t="shared" si="473"/>
        <v>0</v>
      </c>
      <c r="FS435" s="148" t="str">
        <f t="shared" si="474"/>
        <v/>
      </c>
      <c r="FT435" s="227" t="str">
        <f t="shared" si="475"/>
        <v>0</v>
      </c>
      <c r="FU435" s="416" t="str">
        <f t="shared" si="497"/>
        <v/>
      </c>
      <c r="FW435" s="1160">
        <f t="shared" si="444"/>
        <v>0</v>
      </c>
      <c r="FX435" s="123"/>
      <c r="FY435" s="123"/>
      <c r="FZ435" s="1161"/>
      <c r="GA435" s="34"/>
      <c r="GB435" s="1149">
        <f t="shared" si="354"/>
        <v>0</v>
      </c>
      <c r="GC435" s="1149">
        <f t="shared" si="355"/>
        <v>0</v>
      </c>
      <c r="GD435" s="1149">
        <f t="shared" si="356"/>
        <v>0</v>
      </c>
      <c r="GE435" s="1149" t="str">
        <f t="shared" si="476"/>
        <v/>
      </c>
      <c r="GF435" s="1149" t="str">
        <f t="shared" si="477"/>
        <v/>
      </c>
      <c r="GG435" s="1149" t="str">
        <f t="shared" si="478"/>
        <v/>
      </c>
      <c r="GH435" s="1149" t="str">
        <f t="shared" si="479"/>
        <v/>
      </c>
      <c r="GI435" s="1149" t="str">
        <f t="shared" si="480"/>
        <v/>
      </c>
      <c r="GJ435" s="1149" t="str">
        <f t="shared" si="481"/>
        <v/>
      </c>
      <c r="GK435" s="1149" t="str">
        <f t="shared" si="482"/>
        <v/>
      </c>
      <c r="GL435" s="1149" t="str">
        <f t="shared" si="483"/>
        <v/>
      </c>
      <c r="GM435" s="1149" t="str">
        <f t="shared" si="484"/>
        <v/>
      </c>
      <c r="GN435" s="1149" t="str">
        <f t="shared" si="485"/>
        <v/>
      </c>
      <c r="GO435" s="1149" t="str">
        <f t="shared" si="486"/>
        <v/>
      </c>
      <c r="GP435" s="1149" t="str">
        <f t="shared" si="487"/>
        <v/>
      </c>
      <c r="GQ435" s="1149" t="str">
        <f t="shared" si="488"/>
        <v/>
      </c>
      <c r="GR435" s="1149" t="str">
        <f t="shared" si="489"/>
        <v/>
      </c>
      <c r="GS435" s="1149" t="str">
        <f t="shared" si="490"/>
        <v/>
      </c>
      <c r="GT435" s="1149">
        <f t="shared" si="357"/>
        <v>0</v>
      </c>
      <c r="GU435" s="1149">
        <f t="shared" si="358"/>
        <v>0</v>
      </c>
      <c r="GV435" s="1149">
        <f t="shared" si="359"/>
        <v>0</v>
      </c>
      <c r="GW435" s="1149" t="b">
        <f t="shared" si="360"/>
        <v>0</v>
      </c>
      <c r="GX435" s="1149" t="b">
        <f t="shared" si="361"/>
        <v>0</v>
      </c>
      <c r="GY435" s="1149" t="b">
        <f t="shared" si="362"/>
        <v>0</v>
      </c>
      <c r="GZ435" s="1149" t="str">
        <f t="shared" si="385"/>
        <v/>
      </c>
      <c r="HB435" s="1149" t="str">
        <f t="shared" si="363"/>
        <v/>
      </c>
      <c r="HC435" s="1149" t="str">
        <f t="shared" si="364"/>
        <v/>
      </c>
      <c r="HD435" s="1149" t="str">
        <f t="shared" si="365"/>
        <v/>
      </c>
      <c r="HE435" s="1149" t="str">
        <f t="shared" si="366"/>
        <v/>
      </c>
      <c r="HF435" s="1149" t="str">
        <f t="shared" si="367"/>
        <v/>
      </c>
      <c r="HG435" s="1149" t="str">
        <f t="shared" si="368"/>
        <v/>
      </c>
      <c r="HH435" s="1149" t="str">
        <f t="shared" si="369"/>
        <v/>
      </c>
      <c r="HI435" s="1149" t="str">
        <f t="shared" si="370"/>
        <v/>
      </c>
      <c r="HJ435" s="1149" t="str">
        <f t="shared" si="371"/>
        <v/>
      </c>
      <c r="HK435" s="1149" t="str">
        <f t="shared" si="372"/>
        <v/>
      </c>
      <c r="HL435" s="1149" t="str">
        <f t="shared" si="373"/>
        <v/>
      </c>
      <c r="HM435" s="1149" t="str">
        <f t="shared" si="374"/>
        <v/>
      </c>
      <c r="HN435" s="1149" t="str">
        <f t="shared" si="375"/>
        <v/>
      </c>
      <c r="HO435" s="1149" t="str">
        <f t="shared" si="376"/>
        <v/>
      </c>
      <c r="HP435" s="1149" t="str">
        <f t="shared" si="377"/>
        <v/>
      </c>
      <c r="HQ435" s="1149" t="str">
        <f t="shared" si="378"/>
        <v/>
      </c>
      <c r="HR435" s="1149" t="str">
        <f t="shared" si="379"/>
        <v/>
      </c>
      <c r="HT435" s="1149">
        <f>LEFT(M435,1)*10000+MID(M435,3,LEN(M435)-3)*100+COUNTIF($M$307:M435,M435)</f>
        <v>51001</v>
      </c>
      <c r="HU435" s="1149" t="str">
        <f t="shared" si="380"/>
        <v/>
      </c>
      <c r="HV435" s="1149" t="str">
        <f t="shared" si="381"/>
        <v/>
      </c>
      <c r="HW435" s="1149" t="str">
        <f t="shared" si="382"/>
        <v/>
      </c>
      <c r="HX435" s="1149" t="str">
        <f t="shared" si="383"/>
        <v/>
      </c>
    </row>
    <row r="436" spans="1:232" s="69" customFormat="1" ht="50.15" customHeight="1">
      <c r="A436" s="645"/>
      <c r="B436" s="645"/>
      <c r="C436" s="645"/>
      <c r="D436" s="645"/>
      <c r="E436" s="646"/>
      <c r="F436" s="381"/>
      <c r="G436" s="381"/>
      <c r="H436" s="381"/>
      <c r="J436" s="80"/>
      <c r="K436" s="89"/>
      <c r="L436" s="89"/>
      <c r="M436" s="2082" t="s">
        <v>1279</v>
      </c>
      <c r="N436" s="2082"/>
      <c r="O436" s="2082"/>
      <c r="P436" s="2016" t="s">
        <v>124</v>
      </c>
      <c r="Q436" s="2016"/>
      <c r="R436" s="1966" t="s">
        <v>124</v>
      </c>
      <c r="S436" s="1966"/>
      <c r="T436" s="1966"/>
      <c r="U436" s="2011" t="s">
        <v>125</v>
      </c>
      <c r="V436" s="2011"/>
      <c r="W436" s="2011"/>
      <c r="X436" s="2011"/>
      <c r="Y436" s="2011"/>
      <c r="Z436" s="2011"/>
      <c r="AA436" s="2011"/>
      <c r="AB436" s="2011"/>
      <c r="AC436" s="2011"/>
      <c r="AD436" s="2011"/>
      <c r="AE436" s="2011"/>
      <c r="AF436" s="2010"/>
      <c r="AG436" s="2010"/>
      <c r="AH436" s="2010"/>
      <c r="AI436" s="2010"/>
      <c r="AJ436" s="2010"/>
      <c r="AK436" s="2010"/>
      <c r="AL436" s="2010"/>
      <c r="AM436" s="2010"/>
      <c r="AN436" s="2010"/>
      <c r="AO436" s="2010"/>
      <c r="AP436" s="2010"/>
      <c r="AQ436" s="2010"/>
      <c r="AR436" s="2017"/>
      <c r="AS436" s="2017"/>
      <c r="AT436" s="1929"/>
      <c r="AU436" s="1929"/>
      <c r="AV436" s="1929"/>
      <c r="AW436" s="1929"/>
      <c r="AX436" s="1929"/>
      <c r="AY436" s="1929"/>
      <c r="AZ436" s="1929"/>
      <c r="BA436" s="1929"/>
      <c r="BB436" s="1929"/>
      <c r="BC436" s="1929"/>
      <c r="BD436" s="1929"/>
      <c r="BE436" s="1929"/>
      <c r="BF436" s="1929"/>
      <c r="BG436" s="1929"/>
      <c r="BH436" s="1929"/>
      <c r="BI436" s="1929"/>
      <c r="BJ436" s="1929"/>
      <c r="BK436" s="1929"/>
      <c r="BL436" s="1929"/>
      <c r="BM436" s="1929"/>
      <c r="BN436" s="1929"/>
      <c r="BO436" s="1929"/>
      <c r="BP436" s="1929"/>
      <c r="BQ436" s="1929"/>
      <c r="BR436" s="1929"/>
      <c r="BS436" s="1885"/>
      <c r="BT436" s="1885"/>
      <c r="BU436" s="1885"/>
      <c r="BV436" s="1890"/>
      <c r="BW436" s="1890"/>
      <c r="BX436" s="1890"/>
      <c r="BY436" s="1890"/>
      <c r="BZ436" s="1891"/>
      <c r="CA436" s="1891"/>
      <c r="CB436" s="1912"/>
      <c r="CC436" s="1913"/>
      <c r="CD436" s="1913"/>
      <c r="CE436" s="1913"/>
      <c r="CF436" s="1913"/>
      <c r="CG436" s="1913"/>
      <c r="CH436" s="1913"/>
      <c r="CI436" s="1913"/>
      <c r="CJ436" s="1913"/>
      <c r="CK436" s="1913"/>
      <c r="CL436" s="1913"/>
      <c r="CM436" s="1913"/>
      <c r="CN436" s="1913"/>
      <c r="CO436" s="1913"/>
      <c r="CP436" s="1913"/>
      <c r="CQ436" s="1913"/>
      <c r="CR436" s="1913"/>
      <c r="CS436" s="1913"/>
      <c r="CT436" s="1913"/>
      <c r="CU436" s="1914"/>
      <c r="CV436" s="2360" t="str">
        <f t="shared" si="445"/>
        <v/>
      </c>
      <c r="CW436" s="2360"/>
      <c r="CX436" s="2360"/>
      <c r="CY436" s="2360"/>
      <c r="CZ436" s="2360"/>
      <c r="DA436" s="2360"/>
      <c r="DC436" s="600" t="str">
        <f t="shared" si="446"/>
        <v/>
      </c>
      <c r="DD436" s="381"/>
      <c r="DF436" s="34"/>
      <c r="DG436" s="34"/>
      <c r="DH436" s="34"/>
      <c r="DI436" s="34"/>
      <c r="DJ436" s="858" t="s">
        <v>5637</v>
      </c>
      <c r="DK436" s="1707" t="str">
        <f t="shared" si="491"/>
        <v/>
      </c>
      <c r="DL436" s="1692" t="str">
        <f t="shared" si="492"/>
        <v/>
      </c>
      <c r="DM436" s="1691">
        <f t="shared" si="447"/>
        <v>0</v>
      </c>
      <c r="DN436" s="111">
        <f t="shared" si="448"/>
        <v>0</v>
      </c>
      <c r="DO436" s="111">
        <f t="shared" si="449"/>
        <v>0</v>
      </c>
      <c r="DP436" s="474">
        <f t="shared" si="450"/>
        <v>0</v>
      </c>
      <c r="DQ436" s="123" t="s">
        <v>819</v>
      </c>
      <c r="DR436" s="473" t="str">
        <f>IF($U436="",R436,U436)</f>
        <v>直通階段の設置の状況</v>
      </c>
      <c r="DS436" s="112">
        <f t="shared" si="452"/>
        <v>0</v>
      </c>
      <c r="DT436" s="118" t="str">
        <f t="shared" si="453"/>
        <v/>
      </c>
      <c r="DU436" s="452" t="str">
        <f t="shared" si="454"/>
        <v/>
      </c>
      <c r="DV436" s="453" t="str">
        <f>IF($DT436="要是正",MAX($DV$422:DV435)+1,"")</f>
        <v/>
      </c>
      <c r="DW436" s="32" t="str">
        <f t="shared" si="455"/>
        <v/>
      </c>
      <c r="DX436" s="119" t="str">
        <f t="shared" si="456"/>
        <v/>
      </c>
      <c r="DY436" s="33" t="str">
        <f t="shared" si="457"/>
        <v/>
      </c>
      <c r="DZ436" s="217" t="str">
        <f t="shared" si="458"/>
        <v/>
      </c>
      <c r="EA436" s="466" t="str">
        <f t="shared" si="459"/>
        <v/>
      </c>
      <c r="EB436" s="234" t="str">
        <f t="shared" si="460"/>
        <v/>
      </c>
      <c r="EC436" s="227" t="str">
        <f t="shared" si="461"/>
        <v>0</v>
      </c>
      <c r="ED436" s="148" t="str">
        <f t="shared" si="493"/>
        <v/>
      </c>
      <c r="EE436" s="227" t="str">
        <f t="shared" si="494"/>
        <v>0</v>
      </c>
      <c r="EF436" s="130" t="str">
        <f t="shared" si="462"/>
        <v/>
      </c>
      <c r="EG436" s="204" t="str">
        <f t="shared" si="463"/>
        <v/>
      </c>
      <c r="EH436" s="134" t="str">
        <f t="shared" si="464"/>
        <v>0</v>
      </c>
      <c r="EI436" s="148" t="str">
        <f t="shared" si="495"/>
        <v/>
      </c>
      <c r="EJ436" s="227" t="str">
        <f t="shared" si="496"/>
        <v>0</v>
      </c>
      <c r="EK436" s="451" t="str">
        <f t="shared" si="465"/>
        <v/>
      </c>
      <c r="EL436" s="452" t="e">
        <f t="shared" si="466"/>
        <v>#N/A</v>
      </c>
      <c r="EM436" s="151" t="e">
        <f t="shared" si="467"/>
        <v>#N/A</v>
      </c>
      <c r="EN436" s="453" t="e">
        <f t="shared" si="468"/>
        <v>#N/A</v>
      </c>
      <c r="FK436" s="597" t="str">
        <f t="shared" si="469"/>
        <v/>
      </c>
      <c r="FL436" s="597" t="str">
        <f t="shared" si="386"/>
        <v/>
      </c>
      <c r="FM436" s="597" t="str">
        <f t="shared" si="387"/>
        <v/>
      </c>
      <c r="FN436" s="597">
        <f t="shared" si="470"/>
        <v>0</v>
      </c>
      <c r="FO436" s="1163" t="str">
        <f t="shared" si="471"/>
        <v/>
      </c>
      <c r="FQ436" s="234" t="str">
        <f t="shared" si="472"/>
        <v/>
      </c>
      <c r="FR436" s="227" t="str">
        <f t="shared" si="473"/>
        <v>0</v>
      </c>
      <c r="FS436" s="148" t="str">
        <f t="shared" si="474"/>
        <v/>
      </c>
      <c r="FT436" s="227" t="str">
        <f t="shared" si="475"/>
        <v>0</v>
      </c>
      <c r="FU436" s="416" t="str">
        <f t="shared" si="497"/>
        <v/>
      </c>
      <c r="FW436" s="1160">
        <f t="shared" si="444"/>
        <v>0</v>
      </c>
      <c r="FX436" s="123"/>
      <c r="FY436" s="123"/>
      <c r="FZ436" s="1161"/>
      <c r="GA436" s="34"/>
      <c r="GB436" s="1149">
        <f t="shared" ref="GB436:GB497" si="498">IF(BY436="予定",1,0)</f>
        <v>0</v>
      </c>
      <c r="GC436" s="1149">
        <f t="shared" ref="GC436:GC497" si="499">IF(BY436="改善済",1,0)</f>
        <v>0</v>
      </c>
      <c r="GD436" s="1149">
        <f t="shared" ref="GD436:GD497" si="500">IF(BY436="未定",1,0)</f>
        <v>0</v>
      </c>
      <c r="GE436" s="1149" t="str">
        <f t="shared" si="476"/>
        <v/>
      </c>
      <c r="GF436" s="1149" t="str">
        <f t="shared" si="477"/>
        <v/>
      </c>
      <c r="GG436" s="1149" t="str">
        <f t="shared" si="478"/>
        <v/>
      </c>
      <c r="GH436" s="1149" t="str">
        <f t="shared" si="479"/>
        <v/>
      </c>
      <c r="GI436" s="1149" t="str">
        <f t="shared" si="480"/>
        <v/>
      </c>
      <c r="GJ436" s="1149" t="str">
        <f t="shared" si="481"/>
        <v/>
      </c>
      <c r="GK436" s="1149" t="str">
        <f t="shared" si="482"/>
        <v/>
      </c>
      <c r="GL436" s="1149" t="str">
        <f t="shared" si="483"/>
        <v/>
      </c>
      <c r="GM436" s="1149" t="str">
        <f t="shared" si="484"/>
        <v/>
      </c>
      <c r="GN436" s="1149" t="str">
        <f t="shared" si="485"/>
        <v/>
      </c>
      <c r="GO436" s="1149" t="str">
        <f t="shared" si="486"/>
        <v/>
      </c>
      <c r="GP436" s="1149" t="str">
        <f t="shared" si="487"/>
        <v/>
      </c>
      <c r="GQ436" s="1149" t="str">
        <f t="shared" si="488"/>
        <v/>
      </c>
      <c r="GR436" s="1149" t="str">
        <f t="shared" si="489"/>
        <v/>
      </c>
      <c r="GS436" s="1149" t="str">
        <f t="shared" si="490"/>
        <v/>
      </c>
      <c r="GT436" s="1149">
        <f t="shared" ref="GT436:GT497" si="501">IF(COUNTIF(GE436:GS436,"予定")&gt;0,1,0)</f>
        <v>0</v>
      </c>
      <c r="GU436" s="1149">
        <f t="shared" ref="GU436:GU497" si="502">IF(COUNTIF(GE436:GS436,"改善済")&gt;0,1,0)</f>
        <v>0</v>
      </c>
      <c r="GV436" s="1149">
        <f t="shared" ref="GV436:GV497" si="503">IF(COUNTIF(GE436:GS436,"未定")&gt;0,1,0)</f>
        <v>0</v>
      </c>
      <c r="GW436" s="1149" t="b">
        <f t="shared" ref="GW436:GW497" si="504">(GB436+GT436)&gt;0</f>
        <v>0</v>
      </c>
      <c r="GX436" s="1149" t="b">
        <f t="shared" ref="GX436:GX497" si="505">(GC436+GU436)&gt;0</f>
        <v>0</v>
      </c>
      <c r="GY436" s="1149" t="b">
        <f t="shared" ref="GY436:GY497" si="506">(GD436+GV436)&gt;0</f>
        <v>0</v>
      </c>
      <c r="GZ436" s="1149" t="str">
        <f t="shared" si="385"/>
        <v/>
      </c>
      <c r="HB436" s="1149" t="str">
        <f t="shared" ref="HB436:HB499" si="507">IF(FW436=0,"",FW436&amp;", ")</f>
        <v/>
      </c>
      <c r="HC436" s="1149" t="str">
        <f t="shared" ref="HC436:HC499" si="508">IF(HC$306=$M436,$FW$512&amp;", ","")</f>
        <v/>
      </c>
      <c r="HD436" s="1149" t="str">
        <f t="shared" ref="HD436:HD499" si="509">IF(HD$306=$M436,$FW$513&amp;", ","")</f>
        <v/>
      </c>
      <c r="HE436" s="1149" t="str">
        <f t="shared" ref="HE436:HE499" si="510">IF(HE$306=$M436,$FW$514&amp;", ","")</f>
        <v/>
      </c>
      <c r="HF436" s="1149" t="str">
        <f t="shared" ref="HF436:HF499" si="511">IF(HF$306=$M436,$FW$515&amp;", ","")</f>
        <v/>
      </c>
      <c r="HG436" s="1149" t="str">
        <f t="shared" ref="HG436:HG499" si="512">IF(HG$306=$M436,$FW$516&amp;", ","")</f>
        <v/>
      </c>
      <c r="HH436" s="1149" t="str">
        <f t="shared" ref="HH436:HH499" si="513">IF(HH$306=$M436,$FW$517&amp;", ","")</f>
        <v/>
      </c>
      <c r="HI436" s="1149" t="str">
        <f t="shared" ref="HI436:HI499" si="514">IF(HI$306=$M436,$FW$518&amp;", ","")</f>
        <v/>
      </c>
      <c r="HJ436" s="1149" t="str">
        <f t="shared" ref="HJ436:HJ499" si="515">IF(HJ$306=$M436,$FW$519&amp;", ","")</f>
        <v/>
      </c>
      <c r="HK436" s="1149" t="str">
        <f t="shared" ref="HK436:HK499" si="516">IF(HK$306=$M436,$FW$520&amp;", ","")</f>
        <v/>
      </c>
      <c r="HL436" s="1149" t="str">
        <f t="shared" ref="HL436:HL499" si="517">IF(HL$306=$M436,$FW$521&amp;", ","")</f>
        <v/>
      </c>
      <c r="HM436" s="1149" t="str">
        <f t="shared" ref="HM436:HM499" si="518">IF(HM$306=$M436,$FW$522&amp;", ","")</f>
        <v/>
      </c>
      <c r="HN436" s="1149" t="str">
        <f t="shared" ref="HN436:HN499" si="519">IF(HN$306=$M436,$FW$523&amp;", ","")</f>
        <v/>
      </c>
      <c r="HO436" s="1149" t="str">
        <f t="shared" ref="HO436:HO499" si="520">IF(HO$306=$M436,$FW$524&amp;", ","")</f>
        <v/>
      </c>
      <c r="HP436" s="1149" t="str">
        <f t="shared" ref="HP436:HP499" si="521">IF(HP$306=$M436,$FW$525&amp;", ","")</f>
        <v/>
      </c>
      <c r="HQ436" s="1149" t="str">
        <f t="shared" ref="HQ436:HQ499" si="522">IF(HQ$306=$M436,$FW$526&amp;", ","")</f>
        <v/>
      </c>
      <c r="HR436" s="1149" t="str">
        <f t="shared" ref="HR436:HR499" si="523">CONCATENATE(HB436,HC436,HD436,HE436,HF436,HG436,HH436,HI436,HJ436,HK436,HL436,HM436,HN436,HO436,HP436,HQ436)</f>
        <v/>
      </c>
      <c r="HT436" s="1149">
        <f>LEFT(M436,1)*10000+MID(M436,3,LEN(M436)-3)*100+COUNTIF($M$307:M436,M436)</f>
        <v>51101</v>
      </c>
      <c r="HU436" s="1149" t="str">
        <f t="shared" ref="HU436:HU499" si="524">IF($DT436="要是正",$HT436,"")</f>
        <v/>
      </c>
      <c r="HV436" s="1149" t="str">
        <f t="shared" ref="HV436:HV499" si="525">IF(HU436="","",RANK(HU436,HU$307:HU$526,1))</f>
        <v/>
      </c>
      <c r="HW436" s="1149" t="str">
        <f t="shared" ref="HW436:HW499" si="526">IF(OR($DT436="要是正",$DT436="既存不適格"),$HT436,"")</f>
        <v/>
      </c>
      <c r="HX436" s="1149" t="str">
        <f t="shared" ref="HX436:HX499" si="527">IF(HW436="","",RANK(HW436,HW$307:HW$526,1))</f>
        <v/>
      </c>
    </row>
    <row r="437" spans="1:232" s="69" customFormat="1" ht="50.15" customHeight="1">
      <c r="A437" s="645"/>
      <c r="B437" s="645"/>
      <c r="C437" s="645"/>
      <c r="D437" s="645"/>
      <c r="E437" s="646"/>
      <c r="F437" s="381"/>
      <c r="G437" s="381"/>
      <c r="H437" s="381"/>
      <c r="J437" s="80"/>
      <c r="K437" s="89"/>
      <c r="L437" s="89"/>
      <c r="M437" s="2082" t="s">
        <v>1280</v>
      </c>
      <c r="N437" s="2082"/>
      <c r="O437" s="2082"/>
      <c r="P437" s="2016"/>
      <c r="Q437" s="2016"/>
      <c r="R437" s="1966"/>
      <c r="S437" s="1966"/>
      <c r="T437" s="1966"/>
      <c r="U437" s="1899" t="s">
        <v>208</v>
      </c>
      <c r="V437" s="1899"/>
      <c r="W437" s="1899"/>
      <c r="X437" s="1899"/>
      <c r="Y437" s="1899"/>
      <c r="Z437" s="1899"/>
      <c r="AA437" s="1899"/>
      <c r="AB437" s="1899"/>
      <c r="AC437" s="1899"/>
      <c r="AD437" s="1899"/>
      <c r="AE437" s="1899"/>
      <c r="AF437" s="1898"/>
      <c r="AG437" s="1898"/>
      <c r="AH437" s="1898"/>
      <c r="AI437" s="1898"/>
      <c r="AJ437" s="1898"/>
      <c r="AK437" s="1898"/>
      <c r="AL437" s="1898"/>
      <c r="AM437" s="1898"/>
      <c r="AN437" s="1898"/>
      <c r="AO437" s="1898"/>
      <c r="AP437" s="1898"/>
      <c r="AQ437" s="1898"/>
      <c r="AR437" s="1910"/>
      <c r="AS437" s="1910"/>
      <c r="AT437" s="1993"/>
      <c r="AU437" s="1993"/>
      <c r="AV437" s="1993"/>
      <c r="AW437" s="1993"/>
      <c r="AX437" s="1993"/>
      <c r="AY437" s="1993"/>
      <c r="AZ437" s="1993"/>
      <c r="BA437" s="1993"/>
      <c r="BB437" s="1993"/>
      <c r="BC437" s="1993"/>
      <c r="BD437" s="1993"/>
      <c r="BE437" s="1993"/>
      <c r="BF437" s="1993"/>
      <c r="BG437" s="1993"/>
      <c r="BH437" s="1993"/>
      <c r="BI437" s="1993"/>
      <c r="BJ437" s="1993"/>
      <c r="BK437" s="1993"/>
      <c r="BL437" s="1993"/>
      <c r="BM437" s="1993"/>
      <c r="BN437" s="1993"/>
      <c r="BO437" s="1993"/>
      <c r="BP437" s="1993"/>
      <c r="BQ437" s="1993"/>
      <c r="BR437" s="1993"/>
      <c r="BS437" s="1895"/>
      <c r="BT437" s="1895"/>
      <c r="BU437" s="1895"/>
      <c r="BV437" s="1889"/>
      <c r="BW437" s="1889"/>
      <c r="BX437" s="1889"/>
      <c r="BY437" s="1889"/>
      <c r="BZ437" s="1896"/>
      <c r="CA437" s="1896"/>
      <c r="CB437" s="1986"/>
      <c r="CC437" s="1987"/>
      <c r="CD437" s="1987"/>
      <c r="CE437" s="1987"/>
      <c r="CF437" s="1987"/>
      <c r="CG437" s="1987"/>
      <c r="CH437" s="1987"/>
      <c r="CI437" s="1987"/>
      <c r="CJ437" s="1987"/>
      <c r="CK437" s="1987"/>
      <c r="CL437" s="1987"/>
      <c r="CM437" s="1987"/>
      <c r="CN437" s="1987"/>
      <c r="CO437" s="1987"/>
      <c r="CP437" s="1987"/>
      <c r="CQ437" s="1987"/>
      <c r="CR437" s="1987"/>
      <c r="CS437" s="1987"/>
      <c r="CT437" s="1987"/>
      <c r="CU437" s="1988"/>
      <c r="CV437" s="2360" t="str">
        <f t="shared" si="445"/>
        <v/>
      </c>
      <c r="CW437" s="2360"/>
      <c r="CX437" s="2360"/>
      <c r="CY437" s="2360"/>
      <c r="CZ437" s="2360"/>
      <c r="DA437" s="2360"/>
      <c r="DC437" s="600" t="str">
        <f t="shared" si="446"/>
        <v/>
      </c>
      <c r="DD437" s="381"/>
      <c r="DF437" s="34"/>
      <c r="DG437" s="34"/>
      <c r="DH437" s="34"/>
      <c r="DI437" s="34"/>
      <c r="DJ437" s="858" t="s">
        <v>5637</v>
      </c>
      <c r="DK437" s="1707" t="str">
        <f t="shared" si="491"/>
        <v/>
      </c>
      <c r="DL437" s="1692" t="str">
        <f t="shared" si="492"/>
        <v/>
      </c>
      <c r="DM437" s="1691">
        <f t="shared" si="447"/>
        <v>0</v>
      </c>
      <c r="DN437" s="111">
        <f t="shared" si="448"/>
        <v>0</v>
      </c>
      <c r="DO437" s="111">
        <f t="shared" si="449"/>
        <v>0</v>
      </c>
      <c r="DP437" s="474">
        <f t="shared" si="450"/>
        <v>0</v>
      </c>
      <c r="DQ437" s="123" t="s">
        <v>820</v>
      </c>
      <c r="DR437" s="473" t="str">
        <f>IF($U437="",R436,U437)</f>
        <v>幅員の確保の状況</v>
      </c>
      <c r="DS437" s="112">
        <f t="shared" si="452"/>
        <v>0</v>
      </c>
      <c r="DT437" s="118" t="str">
        <f t="shared" si="453"/>
        <v/>
      </c>
      <c r="DU437" s="452" t="str">
        <f t="shared" si="454"/>
        <v/>
      </c>
      <c r="DV437" s="453" t="str">
        <f>IF($DT437="要是正",MAX($DV$422:DV436)+1,"")</f>
        <v/>
      </c>
      <c r="DW437" s="32" t="str">
        <f t="shared" si="455"/>
        <v/>
      </c>
      <c r="DX437" s="119" t="str">
        <f t="shared" si="456"/>
        <v/>
      </c>
      <c r="DY437" s="33" t="str">
        <f t="shared" si="457"/>
        <v/>
      </c>
      <c r="DZ437" s="217" t="str">
        <f t="shared" si="458"/>
        <v/>
      </c>
      <c r="EA437" s="466" t="str">
        <f t="shared" si="459"/>
        <v/>
      </c>
      <c r="EB437" s="234" t="str">
        <f t="shared" si="460"/>
        <v/>
      </c>
      <c r="EC437" s="227" t="str">
        <f t="shared" si="461"/>
        <v>0</v>
      </c>
      <c r="ED437" s="148" t="str">
        <f t="shared" si="493"/>
        <v/>
      </c>
      <c r="EE437" s="227" t="str">
        <f t="shared" si="494"/>
        <v>0</v>
      </c>
      <c r="EF437" s="130" t="str">
        <f t="shared" si="462"/>
        <v/>
      </c>
      <c r="EG437" s="204" t="str">
        <f t="shared" si="463"/>
        <v/>
      </c>
      <c r="EH437" s="134" t="str">
        <f t="shared" si="464"/>
        <v>0</v>
      </c>
      <c r="EI437" s="148" t="str">
        <f t="shared" si="495"/>
        <v/>
      </c>
      <c r="EJ437" s="227" t="str">
        <f t="shared" si="496"/>
        <v>0</v>
      </c>
      <c r="EK437" s="451" t="str">
        <f t="shared" si="465"/>
        <v/>
      </c>
      <c r="EL437" s="452" t="e">
        <f t="shared" si="466"/>
        <v>#N/A</v>
      </c>
      <c r="EM437" s="151" t="e">
        <f t="shared" si="467"/>
        <v>#N/A</v>
      </c>
      <c r="EN437" s="453" t="e">
        <f t="shared" si="468"/>
        <v>#N/A</v>
      </c>
      <c r="FK437" s="597" t="str">
        <f t="shared" si="469"/>
        <v/>
      </c>
      <c r="FL437" s="597" t="str">
        <f t="shared" si="386"/>
        <v/>
      </c>
      <c r="FM437" s="597" t="str">
        <f t="shared" si="387"/>
        <v/>
      </c>
      <c r="FN437" s="597">
        <f t="shared" si="470"/>
        <v>0</v>
      </c>
      <c r="FO437" s="1163" t="str">
        <f t="shared" si="471"/>
        <v/>
      </c>
      <c r="FQ437" s="234" t="str">
        <f t="shared" si="472"/>
        <v/>
      </c>
      <c r="FR437" s="227" t="str">
        <f t="shared" si="473"/>
        <v>0</v>
      </c>
      <c r="FS437" s="148" t="str">
        <f t="shared" si="474"/>
        <v/>
      </c>
      <c r="FT437" s="227" t="str">
        <f t="shared" si="475"/>
        <v>0</v>
      </c>
      <c r="FU437" s="416" t="str">
        <f t="shared" si="497"/>
        <v/>
      </c>
      <c r="FW437" s="1160">
        <f t="shared" si="444"/>
        <v>0</v>
      </c>
      <c r="FX437" s="123"/>
      <c r="FY437" s="123"/>
      <c r="FZ437" s="1161"/>
      <c r="GA437" s="34"/>
      <c r="GB437" s="1149">
        <f t="shared" si="498"/>
        <v>0</v>
      </c>
      <c r="GC437" s="1149">
        <f t="shared" si="499"/>
        <v>0</v>
      </c>
      <c r="GD437" s="1149">
        <f t="shared" si="500"/>
        <v>0</v>
      </c>
      <c r="GE437" s="1149" t="str">
        <f t="shared" si="476"/>
        <v/>
      </c>
      <c r="GF437" s="1149" t="str">
        <f t="shared" si="477"/>
        <v/>
      </c>
      <c r="GG437" s="1149" t="str">
        <f t="shared" si="478"/>
        <v/>
      </c>
      <c r="GH437" s="1149" t="str">
        <f t="shared" si="479"/>
        <v/>
      </c>
      <c r="GI437" s="1149" t="str">
        <f t="shared" si="480"/>
        <v/>
      </c>
      <c r="GJ437" s="1149" t="str">
        <f t="shared" si="481"/>
        <v/>
      </c>
      <c r="GK437" s="1149" t="str">
        <f t="shared" si="482"/>
        <v/>
      </c>
      <c r="GL437" s="1149" t="str">
        <f t="shared" si="483"/>
        <v/>
      </c>
      <c r="GM437" s="1149" t="str">
        <f t="shared" si="484"/>
        <v/>
      </c>
      <c r="GN437" s="1149" t="str">
        <f t="shared" si="485"/>
        <v/>
      </c>
      <c r="GO437" s="1149" t="str">
        <f t="shared" si="486"/>
        <v/>
      </c>
      <c r="GP437" s="1149" t="str">
        <f t="shared" si="487"/>
        <v/>
      </c>
      <c r="GQ437" s="1149" t="str">
        <f t="shared" si="488"/>
        <v/>
      </c>
      <c r="GR437" s="1149" t="str">
        <f t="shared" si="489"/>
        <v/>
      </c>
      <c r="GS437" s="1149" t="str">
        <f t="shared" si="490"/>
        <v/>
      </c>
      <c r="GT437" s="1149">
        <f t="shared" si="501"/>
        <v>0</v>
      </c>
      <c r="GU437" s="1149">
        <f t="shared" si="502"/>
        <v>0</v>
      </c>
      <c r="GV437" s="1149">
        <f t="shared" si="503"/>
        <v>0</v>
      </c>
      <c r="GW437" s="1149" t="b">
        <f t="shared" si="504"/>
        <v>0</v>
      </c>
      <c r="GX437" s="1149" t="b">
        <f t="shared" si="505"/>
        <v>0</v>
      </c>
      <c r="GY437" s="1149" t="b">
        <f t="shared" si="506"/>
        <v>0</v>
      </c>
      <c r="GZ437" s="1149" t="str">
        <f t="shared" si="385"/>
        <v/>
      </c>
      <c r="HB437" s="1149" t="str">
        <f t="shared" si="507"/>
        <v/>
      </c>
      <c r="HC437" s="1149" t="str">
        <f t="shared" si="508"/>
        <v/>
      </c>
      <c r="HD437" s="1149" t="str">
        <f t="shared" si="509"/>
        <v/>
      </c>
      <c r="HE437" s="1149" t="str">
        <f t="shared" si="510"/>
        <v/>
      </c>
      <c r="HF437" s="1149" t="str">
        <f t="shared" si="511"/>
        <v/>
      </c>
      <c r="HG437" s="1149" t="str">
        <f t="shared" si="512"/>
        <v/>
      </c>
      <c r="HH437" s="1149" t="str">
        <f t="shared" si="513"/>
        <v/>
      </c>
      <c r="HI437" s="1149" t="str">
        <f t="shared" si="514"/>
        <v/>
      </c>
      <c r="HJ437" s="1149" t="str">
        <f t="shared" si="515"/>
        <v/>
      </c>
      <c r="HK437" s="1149" t="str">
        <f t="shared" si="516"/>
        <v/>
      </c>
      <c r="HL437" s="1149" t="str">
        <f t="shared" si="517"/>
        <v/>
      </c>
      <c r="HM437" s="1149" t="str">
        <f t="shared" si="518"/>
        <v/>
      </c>
      <c r="HN437" s="1149" t="str">
        <f t="shared" si="519"/>
        <v/>
      </c>
      <c r="HO437" s="1149" t="str">
        <f t="shared" si="520"/>
        <v/>
      </c>
      <c r="HP437" s="1149" t="str">
        <f t="shared" si="521"/>
        <v/>
      </c>
      <c r="HQ437" s="1149" t="str">
        <f t="shared" si="522"/>
        <v/>
      </c>
      <c r="HR437" s="1149" t="str">
        <f t="shared" si="523"/>
        <v/>
      </c>
      <c r="HT437" s="1149">
        <f>LEFT(M437,1)*10000+MID(M437,3,LEN(M437)-3)*100+COUNTIF($M$307:M437,M437)</f>
        <v>51201</v>
      </c>
      <c r="HU437" s="1149" t="str">
        <f t="shared" si="524"/>
        <v/>
      </c>
      <c r="HV437" s="1149" t="str">
        <f t="shared" si="525"/>
        <v/>
      </c>
      <c r="HW437" s="1149" t="str">
        <f t="shared" si="526"/>
        <v/>
      </c>
      <c r="HX437" s="1149" t="str">
        <f t="shared" si="527"/>
        <v/>
      </c>
    </row>
    <row r="438" spans="1:232" s="69" customFormat="1" ht="50.15" customHeight="1">
      <c r="A438" s="645"/>
      <c r="B438" s="645"/>
      <c r="C438" s="645"/>
      <c r="D438" s="645"/>
      <c r="E438" s="646"/>
      <c r="F438" s="381"/>
      <c r="G438" s="381"/>
      <c r="H438" s="381"/>
      <c r="J438" s="80"/>
      <c r="K438" s="89"/>
      <c r="L438" s="89"/>
      <c r="M438" s="2082" t="s">
        <v>1281</v>
      </c>
      <c r="N438" s="2082"/>
      <c r="O438" s="2082"/>
      <c r="P438" s="2016"/>
      <c r="Q438" s="2016"/>
      <c r="R438" s="1966"/>
      <c r="S438" s="1966"/>
      <c r="T438" s="1966"/>
      <c r="U438" s="1899" t="s">
        <v>126</v>
      </c>
      <c r="V438" s="1899"/>
      <c r="W438" s="1899"/>
      <c r="X438" s="1899"/>
      <c r="Y438" s="1899"/>
      <c r="Z438" s="1899"/>
      <c r="AA438" s="1899"/>
      <c r="AB438" s="1899"/>
      <c r="AC438" s="1899"/>
      <c r="AD438" s="1899"/>
      <c r="AE438" s="1899"/>
      <c r="AF438" s="1898"/>
      <c r="AG438" s="1898"/>
      <c r="AH438" s="1898"/>
      <c r="AI438" s="1898"/>
      <c r="AJ438" s="1898"/>
      <c r="AK438" s="1898"/>
      <c r="AL438" s="1898"/>
      <c r="AM438" s="1898"/>
      <c r="AN438" s="1898"/>
      <c r="AO438" s="1898"/>
      <c r="AP438" s="1898"/>
      <c r="AQ438" s="1898"/>
      <c r="AR438" s="1910"/>
      <c r="AS438" s="1910"/>
      <c r="AT438" s="1993"/>
      <c r="AU438" s="1993"/>
      <c r="AV438" s="1993"/>
      <c r="AW438" s="1993"/>
      <c r="AX438" s="1993"/>
      <c r="AY438" s="1993"/>
      <c r="AZ438" s="1993"/>
      <c r="BA438" s="1993"/>
      <c r="BB438" s="1993"/>
      <c r="BC438" s="1993"/>
      <c r="BD438" s="1993"/>
      <c r="BE438" s="1993"/>
      <c r="BF438" s="1993"/>
      <c r="BG438" s="1993"/>
      <c r="BH438" s="1993"/>
      <c r="BI438" s="1993"/>
      <c r="BJ438" s="1993"/>
      <c r="BK438" s="1993"/>
      <c r="BL438" s="1993"/>
      <c r="BM438" s="1993"/>
      <c r="BN438" s="1993"/>
      <c r="BO438" s="1993"/>
      <c r="BP438" s="1993"/>
      <c r="BQ438" s="1993"/>
      <c r="BR438" s="1993"/>
      <c r="BS438" s="1895"/>
      <c r="BT438" s="1895"/>
      <c r="BU438" s="1895"/>
      <c r="BV438" s="1889"/>
      <c r="BW438" s="1889"/>
      <c r="BX438" s="1889"/>
      <c r="BY438" s="1889"/>
      <c r="BZ438" s="1896"/>
      <c r="CA438" s="1896"/>
      <c r="CB438" s="1986"/>
      <c r="CC438" s="1987"/>
      <c r="CD438" s="1987"/>
      <c r="CE438" s="1987"/>
      <c r="CF438" s="1987"/>
      <c r="CG438" s="1987"/>
      <c r="CH438" s="1987"/>
      <c r="CI438" s="1987"/>
      <c r="CJ438" s="1987"/>
      <c r="CK438" s="1987"/>
      <c r="CL438" s="1987"/>
      <c r="CM438" s="1987"/>
      <c r="CN438" s="1987"/>
      <c r="CO438" s="1987"/>
      <c r="CP438" s="1987"/>
      <c r="CQ438" s="1987"/>
      <c r="CR438" s="1987"/>
      <c r="CS438" s="1987"/>
      <c r="CT438" s="1987"/>
      <c r="CU438" s="1988"/>
      <c r="CV438" s="2360" t="str">
        <f t="shared" si="445"/>
        <v/>
      </c>
      <c r="CW438" s="2360"/>
      <c r="CX438" s="2360"/>
      <c r="CY438" s="2360"/>
      <c r="CZ438" s="2360"/>
      <c r="DA438" s="2360"/>
      <c r="DC438" s="600" t="str">
        <f t="shared" si="446"/>
        <v/>
      </c>
      <c r="DD438" s="381"/>
      <c r="DF438" s="34"/>
      <c r="DG438" s="34"/>
      <c r="DH438" s="34"/>
      <c r="DI438" s="34"/>
      <c r="DJ438" s="858" t="s">
        <v>5637</v>
      </c>
      <c r="DK438" s="1707" t="str">
        <f t="shared" si="491"/>
        <v/>
      </c>
      <c r="DL438" s="1692" t="str">
        <f t="shared" si="492"/>
        <v/>
      </c>
      <c r="DM438" s="1691">
        <f t="shared" si="447"/>
        <v>0</v>
      </c>
      <c r="DN438" s="111">
        <f t="shared" si="448"/>
        <v>0</v>
      </c>
      <c r="DO438" s="111">
        <f t="shared" si="449"/>
        <v>0</v>
      </c>
      <c r="DP438" s="474">
        <f t="shared" si="450"/>
        <v>0</v>
      </c>
      <c r="DQ438" s="123" t="s">
        <v>821</v>
      </c>
      <c r="DR438" s="473" t="str">
        <f>IF($U438="",R436,U438)</f>
        <v>手すりの設置の状況</v>
      </c>
      <c r="DS438" s="112">
        <f t="shared" si="452"/>
        <v>0</v>
      </c>
      <c r="DT438" s="118" t="str">
        <f t="shared" si="453"/>
        <v/>
      </c>
      <c r="DU438" s="452" t="str">
        <f t="shared" si="454"/>
        <v/>
      </c>
      <c r="DV438" s="453" t="str">
        <f>IF($DT438="要是正",MAX($DV$422:DV437)+1,"")</f>
        <v/>
      </c>
      <c r="DW438" s="32" t="str">
        <f t="shared" si="455"/>
        <v/>
      </c>
      <c r="DX438" s="119" t="str">
        <f t="shared" si="456"/>
        <v/>
      </c>
      <c r="DY438" s="33" t="str">
        <f t="shared" si="457"/>
        <v/>
      </c>
      <c r="DZ438" s="217" t="str">
        <f t="shared" si="458"/>
        <v/>
      </c>
      <c r="EA438" s="466" t="str">
        <f t="shared" si="459"/>
        <v/>
      </c>
      <c r="EB438" s="234" t="str">
        <f t="shared" si="460"/>
        <v/>
      </c>
      <c r="EC438" s="227" t="str">
        <f t="shared" si="461"/>
        <v>0</v>
      </c>
      <c r="ED438" s="148" t="str">
        <f t="shared" si="493"/>
        <v/>
      </c>
      <c r="EE438" s="227" t="str">
        <f t="shared" si="494"/>
        <v>0</v>
      </c>
      <c r="EF438" s="130" t="str">
        <f t="shared" si="462"/>
        <v/>
      </c>
      <c r="EG438" s="204" t="str">
        <f t="shared" si="463"/>
        <v/>
      </c>
      <c r="EH438" s="134" t="str">
        <f t="shared" si="464"/>
        <v>0</v>
      </c>
      <c r="EI438" s="148" t="str">
        <f t="shared" si="495"/>
        <v/>
      </c>
      <c r="EJ438" s="227" t="str">
        <f t="shared" si="496"/>
        <v>0</v>
      </c>
      <c r="EK438" s="451" t="str">
        <f t="shared" si="465"/>
        <v/>
      </c>
      <c r="EL438" s="452" t="e">
        <f t="shared" si="466"/>
        <v>#N/A</v>
      </c>
      <c r="EM438" s="151" t="e">
        <f t="shared" si="467"/>
        <v>#N/A</v>
      </c>
      <c r="EN438" s="453" t="e">
        <f t="shared" si="468"/>
        <v>#N/A</v>
      </c>
      <c r="FK438" s="597" t="str">
        <f t="shared" si="469"/>
        <v/>
      </c>
      <c r="FL438" s="597" t="str">
        <f t="shared" si="386"/>
        <v/>
      </c>
      <c r="FM438" s="597" t="str">
        <f t="shared" si="387"/>
        <v/>
      </c>
      <c r="FN438" s="597">
        <f t="shared" si="470"/>
        <v>0</v>
      </c>
      <c r="FO438" s="1163" t="str">
        <f t="shared" si="471"/>
        <v/>
      </c>
      <c r="FQ438" s="234" t="str">
        <f t="shared" si="472"/>
        <v/>
      </c>
      <c r="FR438" s="227" t="str">
        <f t="shared" si="473"/>
        <v>0</v>
      </c>
      <c r="FS438" s="148" t="str">
        <f t="shared" si="474"/>
        <v/>
      </c>
      <c r="FT438" s="227" t="str">
        <f t="shared" si="475"/>
        <v>0</v>
      </c>
      <c r="FU438" s="416" t="str">
        <f t="shared" si="497"/>
        <v/>
      </c>
      <c r="FW438" s="1160">
        <f t="shared" si="444"/>
        <v>0</v>
      </c>
      <c r="FX438" s="123"/>
      <c r="FY438" s="123"/>
      <c r="FZ438" s="1161"/>
      <c r="GA438" s="34"/>
      <c r="GB438" s="1149">
        <f t="shared" si="498"/>
        <v>0</v>
      </c>
      <c r="GC438" s="1149">
        <f t="shared" si="499"/>
        <v>0</v>
      </c>
      <c r="GD438" s="1149">
        <f t="shared" si="500"/>
        <v>0</v>
      </c>
      <c r="GE438" s="1149" t="str">
        <f t="shared" si="476"/>
        <v/>
      </c>
      <c r="GF438" s="1149" t="str">
        <f t="shared" si="477"/>
        <v/>
      </c>
      <c r="GG438" s="1149" t="str">
        <f t="shared" si="478"/>
        <v/>
      </c>
      <c r="GH438" s="1149" t="str">
        <f t="shared" si="479"/>
        <v/>
      </c>
      <c r="GI438" s="1149" t="str">
        <f t="shared" si="480"/>
        <v/>
      </c>
      <c r="GJ438" s="1149" t="str">
        <f t="shared" si="481"/>
        <v/>
      </c>
      <c r="GK438" s="1149" t="str">
        <f t="shared" si="482"/>
        <v/>
      </c>
      <c r="GL438" s="1149" t="str">
        <f t="shared" si="483"/>
        <v/>
      </c>
      <c r="GM438" s="1149" t="str">
        <f t="shared" si="484"/>
        <v/>
      </c>
      <c r="GN438" s="1149" t="str">
        <f t="shared" si="485"/>
        <v/>
      </c>
      <c r="GO438" s="1149" t="str">
        <f t="shared" si="486"/>
        <v/>
      </c>
      <c r="GP438" s="1149" t="str">
        <f t="shared" si="487"/>
        <v/>
      </c>
      <c r="GQ438" s="1149" t="str">
        <f t="shared" si="488"/>
        <v/>
      </c>
      <c r="GR438" s="1149" t="str">
        <f t="shared" si="489"/>
        <v/>
      </c>
      <c r="GS438" s="1149" t="str">
        <f t="shared" si="490"/>
        <v/>
      </c>
      <c r="GT438" s="1149">
        <f t="shared" si="501"/>
        <v>0</v>
      </c>
      <c r="GU438" s="1149">
        <f t="shared" si="502"/>
        <v>0</v>
      </c>
      <c r="GV438" s="1149">
        <f t="shared" si="503"/>
        <v>0</v>
      </c>
      <c r="GW438" s="1149" t="b">
        <f t="shared" si="504"/>
        <v>0</v>
      </c>
      <c r="GX438" s="1149" t="b">
        <f t="shared" si="505"/>
        <v>0</v>
      </c>
      <c r="GY438" s="1149" t="b">
        <f t="shared" si="506"/>
        <v>0</v>
      </c>
      <c r="GZ438" s="1149" t="str">
        <f t="shared" si="385"/>
        <v/>
      </c>
      <c r="HB438" s="1149" t="str">
        <f t="shared" si="507"/>
        <v/>
      </c>
      <c r="HC438" s="1149" t="str">
        <f t="shared" si="508"/>
        <v/>
      </c>
      <c r="HD438" s="1149" t="str">
        <f t="shared" si="509"/>
        <v/>
      </c>
      <c r="HE438" s="1149" t="str">
        <f t="shared" si="510"/>
        <v/>
      </c>
      <c r="HF438" s="1149" t="str">
        <f t="shared" si="511"/>
        <v/>
      </c>
      <c r="HG438" s="1149" t="str">
        <f t="shared" si="512"/>
        <v/>
      </c>
      <c r="HH438" s="1149" t="str">
        <f t="shared" si="513"/>
        <v/>
      </c>
      <c r="HI438" s="1149" t="str">
        <f t="shared" si="514"/>
        <v/>
      </c>
      <c r="HJ438" s="1149" t="str">
        <f t="shared" si="515"/>
        <v/>
      </c>
      <c r="HK438" s="1149" t="str">
        <f t="shared" si="516"/>
        <v/>
      </c>
      <c r="HL438" s="1149" t="str">
        <f t="shared" si="517"/>
        <v/>
      </c>
      <c r="HM438" s="1149" t="str">
        <f t="shared" si="518"/>
        <v/>
      </c>
      <c r="HN438" s="1149" t="str">
        <f t="shared" si="519"/>
        <v/>
      </c>
      <c r="HO438" s="1149" t="str">
        <f t="shared" si="520"/>
        <v/>
      </c>
      <c r="HP438" s="1149" t="str">
        <f t="shared" si="521"/>
        <v/>
      </c>
      <c r="HQ438" s="1149" t="str">
        <f t="shared" si="522"/>
        <v/>
      </c>
      <c r="HR438" s="1149" t="str">
        <f t="shared" si="523"/>
        <v/>
      </c>
      <c r="HT438" s="1149">
        <f>LEFT(M438,1)*10000+MID(M438,3,LEN(M438)-3)*100+COUNTIF($M$307:M438,M438)</f>
        <v>51301</v>
      </c>
      <c r="HU438" s="1149" t="str">
        <f t="shared" si="524"/>
        <v/>
      </c>
      <c r="HV438" s="1149" t="str">
        <f t="shared" si="525"/>
        <v/>
      </c>
      <c r="HW438" s="1149" t="str">
        <f t="shared" si="526"/>
        <v/>
      </c>
      <c r="HX438" s="1149" t="str">
        <f t="shared" si="527"/>
        <v/>
      </c>
    </row>
    <row r="439" spans="1:232" s="69" customFormat="1" ht="50.15" customHeight="1">
      <c r="A439" s="645"/>
      <c r="B439" s="645"/>
      <c r="C439" s="645"/>
      <c r="D439" s="645"/>
      <c r="E439" s="646"/>
      <c r="F439" s="381"/>
      <c r="G439" s="381"/>
      <c r="H439" s="381"/>
      <c r="J439" s="80"/>
      <c r="K439" s="89"/>
      <c r="L439" s="89"/>
      <c r="M439" s="2082" t="s">
        <v>1282</v>
      </c>
      <c r="N439" s="2082"/>
      <c r="O439" s="2082"/>
      <c r="P439" s="2016"/>
      <c r="Q439" s="2016"/>
      <c r="R439" s="1966"/>
      <c r="S439" s="1966"/>
      <c r="T439" s="1966"/>
      <c r="U439" s="1899" t="s">
        <v>115</v>
      </c>
      <c r="V439" s="1899"/>
      <c r="W439" s="1899"/>
      <c r="X439" s="1899"/>
      <c r="Y439" s="1899"/>
      <c r="Z439" s="1899"/>
      <c r="AA439" s="1899"/>
      <c r="AB439" s="1899"/>
      <c r="AC439" s="1899"/>
      <c r="AD439" s="1899"/>
      <c r="AE439" s="1899"/>
      <c r="AF439" s="1898"/>
      <c r="AG439" s="1898"/>
      <c r="AH439" s="1898"/>
      <c r="AI439" s="1898"/>
      <c r="AJ439" s="1898"/>
      <c r="AK439" s="1898"/>
      <c r="AL439" s="1898"/>
      <c r="AM439" s="1898"/>
      <c r="AN439" s="1898"/>
      <c r="AO439" s="1898"/>
      <c r="AP439" s="1898"/>
      <c r="AQ439" s="1898"/>
      <c r="AR439" s="1910"/>
      <c r="AS439" s="1910"/>
      <c r="AT439" s="1993"/>
      <c r="AU439" s="1993"/>
      <c r="AV439" s="1993"/>
      <c r="AW439" s="1993"/>
      <c r="AX439" s="1993"/>
      <c r="AY439" s="1993"/>
      <c r="AZ439" s="1993"/>
      <c r="BA439" s="1993"/>
      <c r="BB439" s="1993"/>
      <c r="BC439" s="1993"/>
      <c r="BD439" s="1993"/>
      <c r="BE439" s="1993"/>
      <c r="BF439" s="1993"/>
      <c r="BG439" s="1993"/>
      <c r="BH439" s="1993"/>
      <c r="BI439" s="1993"/>
      <c r="BJ439" s="1993"/>
      <c r="BK439" s="1993"/>
      <c r="BL439" s="1993"/>
      <c r="BM439" s="1993"/>
      <c r="BN439" s="1993"/>
      <c r="BO439" s="1993"/>
      <c r="BP439" s="1993"/>
      <c r="BQ439" s="1993"/>
      <c r="BR439" s="1993"/>
      <c r="BS439" s="1895"/>
      <c r="BT439" s="1895"/>
      <c r="BU439" s="1895"/>
      <c r="BV439" s="1889"/>
      <c r="BW439" s="1889"/>
      <c r="BX439" s="1889"/>
      <c r="BY439" s="1889"/>
      <c r="BZ439" s="1896"/>
      <c r="CA439" s="1896"/>
      <c r="CB439" s="1986"/>
      <c r="CC439" s="1987"/>
      <c r="CD439" s="1987"/>
      <c r="CE439" s="1987"/>
      <c r="CF439" s="1987"/>
      <c r="CG439" s="1987"/>
      <c r="CH439" s="1987"/>
      <c r="CI439" s="1987"/>
      <c r="CJ439" s="1987"/>
      <c r="CK439" s="1987"/>
      <c r="CL439" s="1987"/>
      <c r="CM439" s="1987"/>
      <c r="CN439" s="1987"/>
      <c r="CO439" s="1987"/>
      <c r="CP439" s="1987"/>
      <c r="CQ439" s="1987"/>
      <c r="CR439" s="1987"/>
      <c r="CS439" s="1987"/>
      <c r="CT439" s="1987"/>
      <c r="CU439" s="1988"/>
      <c r="CV439" s="2360" t="str">
        <f t="shared" si="445"/>
        <v/>
      </c>
      <c r="CW439" s="2360"/>
      <c r="CX439" s="2360"/>
      <c r="CY439" s="2360"/>
      <c r="CZ439" s="2360"/>
      <c r="DA439" s="2360"/>
      <c r="DC439" s="600" t="str">
        <f t="shared" si="446"/>
        <v/>
      </c>
      <c r="DD439" s="381"/>
      <c r="DF439" s="34"/>
      <c r="DG439" s="34"/>
      <c r="DH439" s="34"/>
      <c r="DI439" s="34"/>
      <c r="DJ439" s="858" t="s">
        <v>5637</v>
      </c>
      <c r="DK439" s="1707" t="str">
        <f t="shared" si="491"/>
        <v/>
      </c>
      <c r="DL439" s="1692" t="str">
        <f t="shared" si="492"/>
        <v/>
      </c>
      <c r="DM439" s="1691">
        <f t="shared" si="447"/>
        <v>0</v>
      </c>
      <c r="DN439" s="111">
        <f t="shared" si="448"/>
        <v>0</v>
      </c>
      <c r="DO439" s="111">
        <f t="shared" si="449"/>
        <v>0</v>
      </c>
      <c r="DP439" s="474">
        <f t="shared" si="450"/>
        <v>0</v>
      </c>
      <c r="DQ439" s="123" t="s">
        <v>822</v>
      </c>
      <c r="DR439" s="473" t="str">
        <f>IF($U439="",R436,U439)</f>
        <v>物品の放置の状況</v>
      </c>
      <c r="DS439" s="112">
        <f t="shared" si="452"/>
        <v>0</v>
      </c>
      <c r="DT439" s="118" t="str">
        <f t="shared" si="453"/>
        <v/>
      </c>
      <c r="DU439" s="452" t="str">
        <f t="shared" si="454"/>
        <v/>
      </c>
      <c r="DV439" s="453" t="str">
        <f>IF($DT439="要是正",MAX($DV$422:DV438)+1,"")</f>
        <v/>
      </c>
      <c r="DW439" s="32" t="str">
        <f t="shared" si="455"/>
        <v/>
      </c>
      <c r="DX439" s="119" t="str">
        <f t="shared" si="456"/>
        <v/>
      </c>
      <c r="DY439" s="33" t="str">
        <f t="shared" si="457"/>
        <v/>
      </c>
      <c r="DZ439" s="217" t="str">
        <f t="shared" si="458"/>
        <v/>
      </c>
      <c r="EA439" s="466" t="str">
        <f t="shared" si="459"/>
        <v/>
      </c>
      <c r="EB439" s="234" t="str">
        <f t="shared" si="460"/>
        <v/>
      </c>
      <c r="EC439" s="227" t="str">
        <f t="shared" si="461"/>
        <v>0</v>
      </c>
      <c r="ED439" s="148" t="str">
        <f t="shared" si="493"/>
        <v/>
      </c>
      <c r="EE439" s="227" t="str">
        <f t="shared" si="494"/>
        <v>0</v>
      </c>
      <c r="EF439" s="130" t="str">
        <f t="shared" si="462"/>
        <v/>
      </c>
      <c r="EG439" s="204" t="str">
        <f t="shared" si="463"/>
        <v/>
      </c>
      <c r="EH439" s="134" t="str">
        <f t="shared" si="464"/>
        <v>0</v>
      </c>
      <c r="EI439" s="148" t="str">
        <f t="shared" si="495"/>
        <v/>
      </c>
      <c r="EJ439" s="227" t="str">
        <f t="shared" si="496"/>
        <v>0</v>
      </c>
      <c r="EK439" s="451" t="str">
        <f t="shared" si="465"/>
        <v/>
      </c>
      <c r="EL439" s="452" t="e">
        <f t="shared" si="466"/>
        <v>#N/A</v>
      </c>
      <c r="EM439" s="151" t="e">
        <f t="shared" si="467"/>
        <v>#N/A</v>
      </c>
      <c r="EN439" s="453" t="e">
        <f t="shared" si="468"/>
        <v>#N/A</v>
      </c>
      <c r="FK439" s="597" t="str">
        <f t="shared" si="469"/>
        <v/>
      </c>
      <c r="FL439" s="597" t="str">
        <f t="shared" si="386"/>
        <v/>
      </c>
      <c r="FM439" s="597" t="str">
        <f t="shared" si="387"/>
        <v/>
      </c>
      <c r="FN439" s="597">
        <f t="shared" si="470"/>
        <v>0</v>
      </c>
      <c r="FO439" s="1163" t="str">
        <f t="shared" si="471"/>
        <v/>
      </c>
      <c r="FQ439" s="234" t="str">
        <f t="shared" si="472"/>
        <v/>
      </c>
      <c r="FR439" s="227" t="str">
        <f t="shared" si="473"/>
        <v>0</v>
      </c>
      <c r="FS439" s="148" t="str">
        <f t="shared" si="474"/>
        <v/>
      </c>
      <c r="FT439" s="227" t="str">
        <f t="shared" si="475"/>
        <v>0</v>
      </c>
      <c r="FU439" s="416" t="str">
        <f t="shared" si="497"/>
        <v/>
      </c>
      <c r="FW439" s="1160">
        <f t="shared" si="444"/>
        <v>0</v>
      </c>
      <c r="FX439" s="123"/>
      <c r="FY439" s="123"/>
      <c r="FZ439" s="1161"/>
      <c r="GA439" s="34"/>
      <c r="GB439" s="1149">
        <f t="shared" si="498"/>
        <v>0</v>
      </c>
      <c r="GC439" s="1149">
        <f t="shared" si="499"/>
        <v>0</v>
      </c>
      <c r="GD439" s="1149">
        <f t="shared" si="500"/>
        <v>0</v>
      </c>
      <c r="GE439" s="1149" t="str">
        <f t="shared" si="476"/>
        <v/>
      </c>
      <c r="GF439" s="1149" t="str">
        <f t="shared" si="477"/>
        <v/>
      </c>
      <c r="GG439" s="1149" t="str">
        <f t="shared" si="478"/>
        <v/>
      </c>
      <c r="GH439" s="1149" t="str">
        <f t="shared" si="479"/>
        <v/>
      </c>
      <c r="GI439" s="1149" t="str">
        <f t="shared" si="480"/>
        <v/>
      </c>
      <c r="GJ439" s="1149" t="str">
        <f t="shared" si="481"/>
        <v/>
      </c>
      <c r="GK439" s="1149" t="str">
        <f t="shared" si="482"/>
        <v/>
      </c>
      <c r="GL439" s="1149" t="str">
        <f t="shared" si="483"/>
        <v/>
      </c>
      <c r="GM439" s="1149" t="str">
        <f t="shared" si="484"/>
        <v/>
      </c>
      <c r="GN439" s="1149" t="str">
        <f t="shared" si="485"/>
        <v/>
      </c>
      <c r="GO439" s="1149" t="str">
        <f t="shared" si="486"/>
        <v/>
      </c>
      <c r="GP439" s="1149" t="str">
        <f t="shared" si="487"/>
        <v/>
      </c>
      <c r="GQ439" s="1149" t="str">
        <f t="shared" si="488"/>
        <v/>
      </c>
      <c r="GR439" s="1149" t="str">
        <f t="shared" si="489"/>
        <v/>
      </c>
      <c r="GS439" s="1149" t="str">
        <f t="shared" si="490"/>
        <v/>
      </c>
      <c r="GT439" s="1149">
        <f t="shared" si="501"/>
        <v>0</v>
      </c>
      <c r="GU439" s="1149">
        <f t="shared" si="502"/>
        <v>0</v>
      </c>
      <c r="GV439" s="1149">
        <f t="shared" si="503"/>
        <v>0</v>
      </c>
      <c r="GW439" s="1149" t="b">
        <f t="shared" si="504"/>
        <v>0</v>
      </c>
      <c r="GX439" s="1149" t="b">
        <f t="shared" si="505"/>
        <v>0</v>
      </c>
      <c r="GY439" s="1149" t="b">
        <f t="shared" si="506"/>
        <v>0</v>
      </c>
      <c r="GZ439" s="1149" t="str">
        <f t="shared" si="385"/>
        <v/>
      </c>
      <c r="HB439" s="1149" t="str">
        <f t="shared" si="507"/>
        <v/>
      </c>
      <c r="HC439" s="1149" t="str">
        <f t="shared" si="508"/>
        <v/>
      </c>
      <c r="HD439" s="1149" t="str">
        <f t="shared" si="509"/>
        <v/>
      </c>
      <c r="HE439" s="1149" t="str">
        <f t="shared" si="510"/>
        <v/>
      </c>
      <c r="HF439" s="1149" t="str">
        <f t="shared" si="511"/>
        <v/>
      </c>
      <c r="HG439" s="1149" t="str">
        <f t="shared" si="512"/>
        <v/>
      </c>
      <c r="HH439" s="1149" t="str">
        <f t="shared" si="513"/>
        <v/>
      </c>
      <c r="HI439" s="1149" t="str">
        <f t="shared" si="514"/>
        <v/>
      </c>
      <c r="HJ439" s="1149" t="str">
        <f t="shared" si="515"/>
        <v/>
      </c>
      <c r="HK439" s="1149" t="str">
        <f t="shared" si="516"/>
        <v/>
      </c>
      <c r="HL439" s="1149" t="str">
        <f t="shared" si="517"/>
        <v/>
      </c>
      <c r="HM439" s="1149" t="str">
        <f t="shared" si="518"/>
        <v/>
      </c>
      <c r="HN439" s="1149" t="str">
        <f t="shared" si="519"/>
        <v/>
      </c>
      <c r="HO439" s="1149" t="str">
        <f t="shared" si="520"/>
        <v/>
      </c>
      <c r="HP439" s="1149" t="str">
        <f t="shared" si="521"/>
        <v/>
      </c>
      <c r="HQ439" s="1149" t="str">
        <f t="shared" si="522"/>
        <v/>
      </c>
      <c r="HR439" s="1149" t="str">
        <f t="shared" si="523"/>
        <v/>
      </c>
      <c r="HT439" s="1149">
        <f>LEFT(M439,1)*10000+MID(M439,3,LEN(M439)-3)*100+COUNTIF($M$307:M439,M439)</f>
        <v>51401</v>
      </c>
      <c r="HU439" s="1149" t="str">
        <f t="shared" si="524"/>
        <v/>
      </c>
      <c r="HV439" s="1149" t="str">
        <f t="shared" si="525"/>
        <v/>
      </c>
      <c r="HW439" s="1149" t="str">
        <f t="shared" si="526"/>
        <v/>
      </c>
      <c r="HX439" s="1149" t="str">
        <f t="shared" si="527"/>
        <v/>
      </c>
    </row>
    <row r="440" spans="1:232" s="69" customFormat="1" ht="50.15" customHeight="1">
      <c r="A440" s="645"/>
      <c r="B440" s="645"/>
      <c r="C440" s="645"/>
      <c r="D440" s="645"/>
      <c r="E440" s="646"/>
      <c r="F440" s="381"/>
      <c r="G440" s="381"/>
      <c r="H440" s="381"/>
      <c r="J440" s="80"/>
      <c r="K440" s="89"/>
      <c r="L440" s="89"/>
      <c r="M440" s="2082" t="s">
        <v>1283</v>
      </c>
      <c r="N440" s="2082"/>
      <c r="O440" s="2082"/>
      <c r="P440" s="2016"/>
      <c r="Q440" s="2016"/>
      <c r="R440" s="1966"/>
      <c r="S440" s="1966"/>
      <c r="T440" s="1966"/>
      <c r="U440" s="1956" t="s">
        <v>127</v>
      </c>
      <c r="V440" s="1956"/>
      <c r="W440" s="1956"/>
      <c r="X440" s="1956"/>
      <c r="Y440" s="1956"/>
      <c r="Z440" s="1956"/>
      <c r="AA440" s="1956"/>
      <c r="AB440" s="1956"/>
      <c r="AC440" s="1956"/>
      <c r="AD440" s="1956"/>
      <c r="AE440" s="1956"/>
      <c r="AF440" s="2025"/>
      <c r="AG440" s="2025"/>
      <c r="AH440" s="2025"/>
      <c r="AI440" s="2025"/>
      <c r="AJ440" s="2025"/>
      <c r="AK440" s="2025"/>
      <c r="AL440" s="2025"/>
      <c r="AM440" s="2025"/>
      <c r="AN440" s="2025"/>
      <c r="AO440" s="2025"/>
      <c r="AP440" s="2025"/>
      <c r="AQ440" s="2025"/>
      <c r="AR440" s="2026"/>
      <c r="AS440" s="2026"/>
      <c r="AT440" s="1997"/>
      <c r="AU440" s="1997"/>
      <c r="AV440" s="1997"/>
      <c r="AW440" s="1997"/>
      <c r="AX440" s="1997"/>
      <c r="AY440" s="1997"/>
      <c r="AZ440" s="1997"/>
      <c r="BA440" s="1997"/>
      <c r="BB440" s="1997"/>
      <c r="BC440" s="1997"/>
      <c r="BD440" s="1997"/>
      <c r="BE440" s="1997"/>
      <c r="BF440" s="1997"/>
      <c r="BG440" s="1997"/>
      <c r="BH440" s="1997"/>
      <c r="BI440" s="1997"/>
      <c r="BJ440" s="1997"/>
      <c r="BK440" s="1997"/>
      <c r="BL440" s="1997"/>
      <c r="BM440" s="1997"/>
      <c r="BN440" s="1997"/>
      <c r="BO440" s="1997"/>
      <c r="BP440" s="1997"/>
      <c r="BQ440" s="1997"/>
      <c r="BR440" s="1997"/>
      <c r="BS440" s="1991"/>
      <c r="BT440" s="1991"/>
      <c r="BU440" s="1991"/>
      <c r="BV440" s="1982"/>
      <c r="BW440" s="1982"/>
      <c r="BX440" s="1982"/>
      <c r="BY440" s="1982"/>
      <c r="BZ440" s="1992"/>
      <c r="CA440" s="1992"/>
      <c r="CB440" s="2000"/>
      <c r="CC440" s="2001"/>
      <c r="CD440" s="2001"/>
      <c r="CE440" s="2001"/>
      <c r="CF440" s="2001"/>
      <c r="CG440" s="2001"/>
      <c r="CH440" s="2001"/>
      <c r="CI440" s="2001"/>
      <c r="CJ440" s="2001"/>
      <c r="CK440" s="2001"/>
      <c r="CL440" s="2001"/>
      <c r="CM440" s="2001"/>
      <c r="CN440" s="2001"/>
      <c r="CO440" s="2001"/>
      <c r="CP440" s="2001"/>
      <c r="CQ440" s="2001"/>
      <c r="CR440" s="2001"/>
      <c r="CS440" s="2001"/>
      <c r="CT440" s="2001"/>
      <c r="CU440" s="2002"/>
      <c r="CV440" s="2360" t="str">
        <f t="shared" si="445"/>
        <v/>
      </c>
      <c r="CW440" s="2360"/>
      <c r="CX440" s="2360"/>
      <c r="CY440" s="2360"/>
      <c r="CZ440" s="2360"/>
      <c r="DA440" s="2360"/>
      <c r="DC440" s="600" t="str">
        <f t="shared" si="446"/>
        <v/>
      </c>
      <c r="DD440" s="381"/>
      <c r="DF440" s="34"/>
      <c r="DG440" s="34"/>
      <c r="DH440" s="34"/>
      <c r="DI440" s="34"/>
      <c r="DJ440" s="858" t="s">
        <v>5637</v>
      </c>
      <c r="DK440" s="1707" t="str">
        <f t="shared" si="491"/>
        <v/>
      </c>
      <c r="DL440" s="1692" t="str">
        <f t="shared" si="492"/>
        <v/>
      </c>
      <c r="DM440" s="1691">
        <f t="shared" si="447"/>
        <v>0</v>
      </c>
      <c r="DN440" s="111">
        <f t="shared" si="448"/>
        <v>0</v>
      </c>
      <c r="DO440" s="111">
        <f t="shared" si="449"/>
        <v>0</v>
      </c>
      <c r="DP440" s="474">
        <f t="shared" si="450"/>
        <v>0</v>
      </c>
      <c r="DQ440" s="123" t="s">
        <v>823</v>
      </c>
      <c r="DR440" s="473" t="str">
        <f>IF($U440="",R436,U440)</f>
        <v>階段各部の劣化及び損傷の状況</v>
      </c>
      <c r="DS440" s="112">
        <f t="shared" si="452"/>
        <v>0</v>
      </c>
      <c r="DT440" s="118" t="str">
        <f t="shared" si="453"/>
        <v/>
      </c>
      <c r="DU440" s="452" t="str">
        <f t="shared" si="454"/>
        <v/>
      </c>
      <c r="DV440" s="453" t="str">
        <f>IF($DT440="要是正",MAX($DV$422:DV439)+1,"")</f>
        <v/>
      </c>
      <c r="DW440" s="32" t="str">
        <f t="shared" si="455"/>
        <v/>
      </c>
      <c r="DX440" s="119" t="str">
        <f t="shared" si="456"/>
        <v/>
      </c>
      <c r="DY440" s="33" t="str">
        <f t="shared" si="457"/>
        <v/>
      </c>
      <c r="DZ440" s="217" t="str">
        <f t="shared" si="458"/>
        <v/>
      </c>
      <c r="EA440" s="466" t="str">
        <f t="shared" si="459"/>
        <v/>
      </c>
      <c r="EB440" s="234" t="str">
        <f t="shared" si="460"/>
        <v/>
      </c>
      <c r="EC440" s="227" t="str">
        <f t="shared" si="461"/>
        <v>0</v>
      </c>
      <c r="ED440" s="148" t="str">
        <f t="shared" si="493"/>
        <v/>
      </c>
      <c r="EE440" s="227" t="str">
        <f t="shared" si="494"/>
        <v>0</v>
      </c>
      <c r="EF440" s="130" t="str">
        <f t="shared" si="462"/>
        <v/>
      </c>
      <c r="EG440" s="204" t="str">
        <f t="shared" si="463"/>
        <v/>
      </c>
      <c r="EH440" s="134" t="str">
        <f t="shared" si="464"/>
        <v>0</v>
      </c>
      <c r="EI440" s="148" t="str">
        <f t="shared" si="495"/>
        <v/>
      </c>
      <c r="EJ440" s="227" t="str">
        <f t="shared" si="496"/>
        <v>0</v>
      </c>
      <c r="EK440" s="451" t="str">
        <f t="shared" si="465"/>
        <v/>
      </c>
      <c r="EL440" s="452" t="e">
        <f t="shared" si="466"/>
        <v>#N/A</v>
      </c>
      <c r="EM440" s="151" t="e">
        <f t="shared" si="467"/>
        <v>#N/A</v>
      </c>
      <c r="EN440" s="453" t="e">
        <f t="shared" si="468"/>
        <v>#N/A</v>
      </c>
      <c r="FK440" s="597" t="str">
        <f t="shared" si="469"/>
        <v/>
      </c>
      <c r="FL440" s="597" t="str">
        <f t="shared" si="386"/>
        <v/>
      </c>
      <c r="FM440" s="597" t="str">
        <f t="shared" si="387"/>
        <v/>
      </c>
      <c r="FN440" s="597">
        <f t="shared" si="470"/>
        <v>0</v>
      </c>
      <c r="FO440" s="1163" t="str">
        <f t="shared" si="471"/>
        <v/>
      </c>
      <c r="FQ440" s="234" t="str">
        <f t="shared" si="472"/>
        <v/>
      </c>
      <c r="FR440" s="227" t="str">
        <f t="shared" si="473"/>
        <v>0</v>
      </c>
      <c r="FS440" s="148" t="str">
        <f t="shared" si="474"/>
        <v/>
      </c>
      <c r="FT440" s="227" t="str">
        <f t="shared" si="475"/>
        <v>0</v>
      </c>
      <c r="FU440" s="416" t="str">
        <f t="shared" si="497"/>
        <v/>
      </c>
      <c r="FW440" s="1160">
        <f t="shared" si="444"/>
        <v>0</v>
      </c>
      <c r="FX440" s="123"/>
      <c r="FY440" s="123"/>
      <c r="FZ440" s="1161"/>
      <c r="GA440" s="34"/>
      <c r="GB440" s="1149">
        <f t="shared" si="498"/>
        <v>0</v>
      </c>
      <c r="GC440" s="1149">
        <f t="shared" si="499"/>
        <v>0</v>
      </c>
      <c r="GD440" s="1149">
        <f t="shared" si="500"/>
        <v>0</v>
      </c>
      <c r="GE440" s="1149" t="str">
        <f t="shared" si="476"/>
        <v/>
      </c>
      <c r="GF440" s="1149" t="str">
        <f t="shared" si="477"/>
        <v/>
      </c>
      <c r="GG440" s="1149" t="str">
        <f t="shared" si="478"/>
        <v/>
      </c>
      <c r="GH440" s="1149" t="str">
        <f t="shared" si="479"/>
        <v/>
      </c>
      <c r="GI440" s="1149" t="str">
        <f t="shared" si="480"/>
        <v/>
      </c>
      <c r="GJ440" s="1149" t="str">
        <f t="shared" si="481"/>
        <v/>
      </c>
      <c r="GK440" s="1149" t="str">
        <f t="shared" si="482"/>
        <v/>
      </c>
      <c r="GL440" s="1149" t="str">
        <f t="shared" si="483"/>
        <v/>
      </c>
      <c r="GM440" s="1149" t="str">
        <f t="shared" si="484"/>
        <v/>
      </c>
      <c r="GN440" s="1149" t="str">
        <f t="shared" si="485"/>
        <v/>
      </c>
      <c r="GO440" s="1149" t="str">
        <f t="shared" si="486"/>
        <v/>
      </c>
      <c r="GP440" s="1149" t="str">
        <f t="shared" si="487"/>
        <v/>
      </c>
      <c r="GQ440" s="1149" t="str">
        <f t="shared" si="488"/>
        <v/>
      </c>
      <c r="GR440" s="1149" t="str">
        <f t="shared" si="489"/>
        <v/>
      </c>
      <c r="GS440" s="1149" t="str">
        <f t="shared" si="490"/>
        <v/>
      </c>
      <c r="GT440" s="1149">
        <f t="shared" si="501"/>
        <v>0</v>
      </c>
      <c r="GU440" s="1149">
        <f t="shared" si="502"/>
        <v>0</v>
      </c>
      <c r="GV440" s="1149">
        <f t="shared" si="503"/>
        <v>0</v>
      </c>
      <c r="GW440" s="1149" t="b">
        <f t="shared" si="504"/>
        <v>0</v>
      </c>
      <c r="GX440" s="1149" t="b">
        <f t="shared" si="505"/>
        <v>0</v>
      </c>
      <c r="GY440" s="1149" t="b">
        <f t="shared" si="506"/>
        <v>0</v>
      </c>
      <c r="GZ440" s="1149" t="str">
        <f t="shared" si="385"/>
        <v/>
      </c>
      <c r="HB440" s="1149" t="str">
        <f t="shared" si="507"/>
        <v/>
      </c>
      <c r="HC440" s="1149" t="str">
        <f t="shared" si="508"/>
        <v/>
      </c>
      <c r="HD440" s="1149" t="str">
        <f t="shared" si="509"/>
        <v/>
      </c>
      <c r="HE440" s="1149" t="str">
        <f t="shared" si="510"/>
        <v/>
      </c>
      <c r="HF440" s="1149" t="str">
        <f t="shared" si="511"/>
        <v/>
      </c>
      <c r="HG440" s="1149" t="str">
        <f t="shared" si="512"/>
        <v/>
      </c>
      <c r="HH440" s="1149" t="str">
        <f t="shared" si="513"/>
        <v/>
      </c>
      <c r="HI440" s="1149" t="str">
        <f t="shared" si="514"/>
        <v/>
      </c>
      <c r="HJ440" s="1149" t="str">
        <f t="shared" si="515"/>
        <v/>
      </c>
      <c r="HK440" s="1149" t="str">
        <f t="shared" si="516"/>
        <v/>
      </c>
      <c r="HL440" s="1149" t="str">
        <f t="shared" si="517"/>
        <v/>
      </c>
      <c r="HM440" s="1149" t="str">
        <f t="shared" si="518"/>
        <v/>
      </c>
      <c r="HN440" s="1149" t="str">
        <f t="shared" si="519"/>
        <v/>
      </c>
      <c r="HO440" s="1149" t="str">
        <f t="shared" si="520"/>
        <v/>
      </c>
      <c r="HP440" s="1149" t="str">
        <f t="shared" si="521"/>
        <v/>
      </c>
      <c r="HQ440" s="1149" t="str">
        <f t="shared" si="522"/>
        <v/>
      </c>
      <c r="HR440" s="1149" t="str">
        <f t="shared" si="523"/>
        <v/>
      </c>
      <c r="HT440" s="1149">
        <f>LEFT(M440,1)*10000+MID(M440,3,LEN(M440)-3)*100+COUNTIF($M$307:M440,M440)</f>
        <v>51501</v>
      </c>
      <c r="HU440" s="1149" t="str">
        <f t="shared" si="524"/>
        <v/>
      </c>
      <c r="HV440" s="1149" t="str">
        <f t="shared" si="525"/>
        <v/>
      </c>
      <c r="HW440" s="1149" t="str">
        <f t="shared" si="526"/>
        <v/>
      </c>
      <c r="HX440" s="1149" t="str">
        <f t="shared" si="527"/>
        <v/>
      </c>
    </row>
    <row r="441" spans="1:232" s="69" customFormat="1" ht="90" customHeight="1">
      <c r="A441" s="645"/>
      <c r="B441" s="645"/>
      <c r="C441" s="645"/>
      <c r="D441" s="645"/>
      <c r="E441" s="646"/>
      <c r="F441" s="381"/>
      <c r="G441" s="381"/>
      <c r="H441" s="381"/>
      <c r="J441" s="80"/>
      <c r="K441" s="89"/>
      <c r="L441" s="89"/>
      <c r="M441" s="2082" t="s">
        <v>1284</v>
      </c>
      <c r="N441" s="2082"/>
      <c r="O441" s="2082"/>
      <c r="P441" s="2016"/>
      <c r="Q441" s="2016"/>
      <c r="R441" s="1966" t="s">
        <v>207</v>
      </c>
      <c r="S441" s="1966"/>
      <c r="T441" s="1966"/>
      <c r="U441" s="1966" t="s">
        <v>206</v>
      </c>
      <c r="V441" s="1966"/>
      <c r="W441" s="1966"/>
      <c r="X441" s="1966"/>
      <c r="Y441" s="1966"/>
      <c r="Z441" s="1966"/>
      <c r="AA441" s="1966"/>
      <c r="AB441" s="1966"/>
      <c r="AC441" s="1966"/>
      <c r="AD441" s="1966"/>
      <c r="AE441" s="1966"/>
      <c r="AF441" s="1995"/>
      <c r="AG441" s="1995"/>
      <c r="AH441" s="1995"/>
      <c r="AI441" s="1995"/>
      <c r="AJ441" s="1995"/>
      <c r="AK441" s="1995"/>
      <c r="AL441" s="1995"/>
      <c r="AM441" s="1995"/>
      <c r="AN441" s="1995"/>
      <c r="AO441" s="1995"/>
      <c r="AP441" s="1995"/>
      <c r="AQ441" s="1995"/>
      <c r="AR441" s="1957"/>
      <c r="AS441" s="1957"/>
      <c r="AT441" s="1928"/>
      <c r="AU441" s="1928"/>
      <c r="AV441" s="1928"/>
      <c r="AW441" s="1928"/>
      <c r="AX441" s="1928"/>
      <c r="AY441" s="1928"/>
      <c r="AZ441" s="1928"/>
      <c r="BA441" s="1928"/>
      <c r="BB441" s="1928"/>
      <c r="BC441" s="1928"/>
      <c r="BD441" s="1928"/>
      <c r="BE441" s="1928"/>
      <c r="BF441" s="1928"/>
      <c r="BG441" s="1928"/>
      <c r="BH441" s="1928"/>
      <c r="BI441" s="1928"/>
      <c r="BJ441" s="1928"/>
      <c r="BK441" s="1928"/>
      <c r="BL441" s="1928"/>
      <c r="BM441" s="1928"/>
      <c r="BN441" s="1928"/>
      <c r="BO441" s="1928"/>
      <c r="BP441" s="1928"/>
      <c r="BQ441" s="1928"/>
      <c r="BR441" s="1928"/>
      <c r="BS441" s="1998"/>
      <c r="BT441" s="1998"/>
      <c r="BU441" s="1998"/>
      <c r="BV441" s="1989"/>
      <c r="BW441" s="1989"/>
      <c r="BX441" s="1989"/>
      <c r="BY441" s="1989"/>
      <c r="BZ441" s="1990"/>
      <c r="CA441" s="1990"/>
      <c r="CB441" s="2031"/>
      <c r="CC441" s="2032"/>
      <c r="CD441" s="2032"/>
      <c r="CE441" s="2032"/>
      <c r="CF441" s="2032"/>
      <c r="CG441" s="2032"/>
      <c r="CH441" s="2032"/>
      <c r="CI441" s="2032"/>
      <c r="CJ441" s="2032"/>
      <c r="CK441" s="2032"/>
      <c r="CL441" s="2032"/>
      <c r="CM441" s="2032"/>
      <c r="CN441" s="2032"/>
      <c r="CO441" s="2032"/>
      <c r="CP441" s="2032"/>
      <c r="CQ441" s="2032"/>
      <c r="CR441" s="2032"/>
      <c r="CS441" s="2032"/>
      <c r="CT441" s="2032"/>
      <c r="CU441" s="2033"/>
      <c r="CV441" s="2360" t="str">
        <f t="shared" si="445"/>
        <v/>
      </c>
      <c r="CW441" s="2360"/>
      <c r="CX441" s="2360"/>
      <c r="CY441" s="2360"/>
      <c r="CZ441" s="2360"/>
      <c r="DA441" s="2360"/>
      <c r="DC441" s="600" t="str">
        <f t="shared" si="446"/>
        <v/>
      </c>
      <c r="DD441" s="381"/>
      <c r="DF441" s="34"/>
      <c r="DG441" s="34"/>
      <c r="DH441" s="34"/>
      <c r="DI441" s="34"/>
      <c r="DJ441" s="858" t="s">
        <v>5637</v>
      </c>
      <c r="DK441" s="1707" t="str">
        <f t="shared" si="491"/>
        <v/>
      </c>
      <c r="DL441" s="1692" t="str">
        <f t="shared" si="492"/>
        <v/>
      </c>
      <c r="DM441" s="1691">
        <f t="shared" si="447"/>
        <v>0</v>
      </c>
      <c r="DN441" s="111">
        <f t="shared" si="448"/>
        <v>0</v>
      </c>
      <c r="DO441" s="111">
        <f t="shared" si="449"/>
        <v>0</v>
      </c>
      <c r="DP441" s="474">
        <f t="shared" si="450"/>
        <v>0</v>
      </c>
      <c r="DQ441" s="123" t="s">
        <v>824</v>
      </c>
      <c r="DR441" s="473" t="str">
        <f t="shared" si="451"/>
        <v>階段室の構造の確保の状況</v>
      </c>
      <c r="DS441" s="112">
        <f t="shared" si="452"/>
        <v>0</v>
      </c>
      <c r="DT441" s="118" t="str">
        <f t="shared" si="453"/>
        <v/>
      </c>
      <c r="DU441" s="452" t="str">
        <f t="shared" si="454"/>
        <v/>
      </c>
      <c r="DV441" s="453" t="str">
        <f>IF($DT441="要是正",MAX($DV$422:DV440)+1,"")</f>
        <v/>
      </c>
      <c r="DW441" s="32" t="str">
        <f t="shared" si="455"/>
        <v/>
      </c>
      <c r="DX441" s="119" t="str">
        <f t="shared" si="456"/>
        <v/>
      </c>
      <c r="DY441" s="33" t="str">
        <f t="shared" si="457"/>
        <v/>
      </c>
      <c r="DZ441" s="217" t="str">
        <f t="shared" si="458"/>
        <v/>
      </c>
      <c r="EA441" s="466" t="str">
        <f t="shared" si="459"/>
        <v/>
      </c>
      <c r="EB441" s="234" t="str">
        <f t="shared" si="460"/>
        <v/>
      </c>
      <c r="EC441" s="227" t="str">
        <f t="shared" si="461"/>
        <v>0</v>
      </c>
      <c r="ED441" s="148" t="str">
        <f t="shared" si="493"/>
        <v/>
      </c>
      <c r="EE441" s="227" t="str">
        <f t="shared" si="494"/>
        <v>0</v>
      </c>
      <c r="EF441" s="130" t="str">
        <f t="shared" si="462"/>
        <v/>
      </c>
      <c r="EG441" s="204" t="str">
        <f t="shared" si="463"/>
        <v/>
      </c>
      <c r="EH441" s="134" t="str">
        <f t="shared" si="464"/>
        <v>0</v>
      </c>
      <c r="EI441" s="148" t="str">
        <f t="shared" si="495"/>
        <v/>
      </c>
      <c r="EJ441" s="227" t="str">
        <f t="shared" si="496"/>
        <v>0</v>
      </c>
      <c r="EK441" s="451" t="str">
        <f t="shared" si="465"/>
        <v/>
      </c>
      <c r="EL441" s="452" t="e">
        <f t="shared" si="466"/>
        <v>#N/A</v>
      </c>
      <c r="EM441" s="151" t="e">
        <f t="shared" si="467"/>
        <v>#N/A</v>
      </c>
      <c r="EN441" s="453" t="e">
        <f t="shared" si="468"/>
        <v>#N/A</v>
      </c>
      <c r="FK441" s="597" t="str">
        <f t="shared" si="469"/>
        <v/>
      </c>
      <c r="FL441" s="597" t="str">
        <f t="shared" si="386"/>
        <v/>
      </c>
      <c r="FM441" s="597" t="str">
        <f t="shared" si="387"/>
        <v/>
      </c>
      <c r="FN441" s="597">
        <f t="shared" si="470"/>
        <v>0</v>
      </c>
      <c r="FO441" s="1163" t="str">
        <f t="shared" si="471"/>
        <v/>
      </c>
      <c r="FQ441" s="234" t="str">
        <f t="shared" si="472"/>
        <v/>
      </c>
      <c r="FR441" s="227" t="str">
        <f t="shared" si="473"/>
        <v>0</v>
      </c>
      <c r="FS441" s="148" t="str">
        <f t="shared" si="474"/>
        <v/>
      </c>
      <c r="FT441" s="227" t="str">
        <f t="shared" si="475"/>
        <v>0</v>
      </c>
      <c r="FU441" s="416" t="str">
        <f t="shared" si="497"/>
        <v/>
      </c>
      <c r="FW441" s="1160">
        <f t="shared" si="444"/>
        <v>0</v>
      </c>
      <c r="FX441" s="123"/>
      <c r="FY441" s="123"/>
      <c r="FZ441" s="1161"/>
      <c r="GA441" s="34"/>
      <c r="GB441" s="1149">
        <f t="shared" si="498"/>
        <v>0</v>
      </c>
      <c r="GC441" s="1149">
        <f t="shared" si="499"/>
        <v>0</v>
      </c>
      <c r="GD441" s="1149">
        <f t="shared" si="500"/>
        <v>0</v>
      </c>
      <c r="GE441" s="1149" t="str">
        <f t="shared" si="476"/>
        <v/>
      </c>
      <c r="GF441" s="1149" t="str">
        <f t="shared" si="477"/>
        <v/>
      </c>
      <c r="GG441" s="1149" t="str">
        <f t="shared" si="478"/>
        <v/>
      </c>
      <c r="GH441" s="1149" t="str">
        <f t="shared" si="479"/>
        <v/>
      </c>
      <c r="GI441" s="1149" t="str">
        <f t="shared" si="480"/>
        <v/>
      </c>
      <c r="GJ441" s="1149" t="str">
        <f t="shared" si="481"/>
        <v/>
      </c>
      <c r="GK441" s="1149" t="str">
        <f t="shared" si="482"/>
        <v/>
      </c>
      <c r="GL441" s="1149" t="str">
        <f t="shared" si="483"/>
        <v/>
      </c>
      <c r="GM441" s="1149" t="str">
        <f t="shared" si="484"/>
        <v/>
      </c>
      <c r="GN441" s="1149" t="str">
        <f t="shared" si="485"/>
        <v/>
      </c>
      <c r="GO441" s="1149" t="str">
        <f t="shared" si="486"/>
        <v/>
      </c>
      <c r="GP441" s="1149" t="str">
        <f t="shared" si="487"/>
        <v/>
      </c>
      <c r="GQ441" s="1149" t="str">
        <f t="shared" si="488"/>
        <v/>
      </c>
      <c r="GR441" s="1149" t="str">
        <f t="shared" si="489"/>
        <v/>
      </c>
      <c r="GS441" s="1149" t="str">
        <f t="shared" si="490"/>
        <v/>
      </c>
      <c r="GT441" s="1149">
        <f t="shared" si="501"/>
        <v>0</v>
      </c>
      <c r="GU441" s="1149">
        <f t="shared" si="502"/>
        <v>0</v>
      </c>
      <c r="GV441" s="1149">
        <f t="shared" si="503"/>
        <v>0</v>
      </c>
      <c r="GW441" s="1149" t="b">
        <f t="shared" si="504"/>
        <v>0</v>
      </c>
      <c r="GX441" s="1149" t="b">
        <f t="shared" si="505"/>
        <v>0</v>
      </c>
      <c r="GY441" s="1149" t="b">
        <f t="shared" si="506"/>
        <v>0</v>
      </c>
      <c r="GZ441" s="1149" t="str">
        <f t="shared" si="385"/>
        <v/>
      </c>
      <c r="HB441" s="1149" t="str">
        <f t="shared" si="507"/>
        <v/>
      </c>
      <c r="HC441" s="1149" t="str">
        <f t="shared" si="508"/>
        <v/>
      </c>
      <c r="HD441" s="1149" t="str">
        <f t="shared" si="509"/>
        <v/>
      </c>
      <c r="HE441" s="1149" t="str">
        <f t="shared" si="510"/>
        <v/>
      </c>
      <c r="HF441" s="1149" t="str">
        <f t="shared" si="511"/>
        <v/>
      </c>
      <c r="HG441" s="1149" t="str">
        <f t="shared" si="512"/>
        <v/>
      </c>
      <c r="HH441" s="1149" t="str">
        <f t="shared" si="513"/>
        <v/>
      </c>
      <c r="HI441" s="1149" t="str">
        <f t="shared" si="514"/>
        <v/>
      </c>
      <c r="HJ441" s="1149" t="str">
        <f t="shared" si="515"/>
        <v/>
      </c>
      <c r="HK441" s="1149" t="str">
        <f t="shared" si="516"/>
        <v/>
      </c>
      <c r="HL441" s="1149" t="str">
        <f t="shared" si="517"/>
        <v/>
      </c>
      <c r="HM441" s="1149" t="str">
        <f t="shared" si="518"/>
        <v/>
      </c>
      <c r="HN441" s="1149" t="str">
        <f t="shared" si="519"/>
        <v/>
      </c>
      <c r="HO441" s="1149" t="str">
        <f t="shared" si="520"/>
        <v/>
      </c>
      <c r="HP441" s="1149" t="str">
        <f t="shared" si="521"/>
        <v/>
      </c>
      <c r="HQ441" s="1149" t="str">
        <f t="shared" si="522"/>
        <v/>
      </c>
      <c r="HR441" s="1149" t="str">
        <f t="shared" si="523"/>
        <v/>
      </c>
      <c r="HT441" s="1149">
        <f>LEFT(M441,1)*10000+MID(M441,3,LEN(M441)-3)*100+COUNTIF($M$307:M441,M441)</f>
        <v>51601</v>
      </c>
      <c r="HU441" s="1149" t="str">
        <f t="shared" si="524"/>
        <v/>
      </c>
      <c r="HV441" s="1149" t="str">
        <f t="shared" si="525"/>
        <v/>
      </c>
      <c r="HW441" s="1149" t="str">
        <f t="shared" si="526"/>
        <v/>
      </c>
      <c r="HX441" s="1149" t="str">
        <f t="shared" si="527"/>
        <v/>
      </c>
    </row>
    <row r="442" spans="1:232" s="69" customFormat="1" ht="50.15" customHeight="1">
      <c r="A442" s="645"/>
      <c r="B442" s="645"/>
      <c r="C442" s="645"/>
      <c r="D442" s="645"/>
      <c r="E442" s="646"/>
      <c r="F442" s="381"/>
      <c r="G442" s="381"/>
      <c r="H442" s="381"/>
      <c r="J442" s="80"/>
      <c r="K442" s="89"/>
      <c r="L442" s="89"/>
      <c r="M442" s="2082" t="s">
        <v>1285</v>
      </c>
      <c r="N442" s="2082"/>
      <c r="O442" s="2082"/>
      <c r="P442" s="2016"/>
      <c r="Q442" s="2016"/>
      <c r="R442" s="1966" t="s">
        <v>205</v>
      </c>
      <c r="S442" s="1966"/>
      <c r="T442" s="1966"/>
      <c r="U442" s="2011" t="s">
        <v>128</v>
      </c>
      <c r="V442" s="2011"/>
      <c r="W442" s="2011"/>
      <c r="X442" s="2011"/>
      <c r="Y442" s="2011"/>
      <c r="Z442" s="2011"/>
      <c r="AA442" s="2011"/>
      <c r="AB442" s="2011"/>
      <c r="AC442" s="2011"/>
      <c r="AD442" s="2011"/>
      <c r="AE442" s="2011"/>
      <c r="AF442" s="2010"/>
      <c r="AG442" s="2010"/>
      <c r="AH442" s="2010"/>
      <c r="AI442" s="2010"/>
      <c r="AJ442" s="2010"/>
      <c r="AK442" s="2010"/>
      <c r="AL442" s="2010"/>
      <c r="AM442" s="2010"/>
      <c r="AN442" s="2010"/>
      <c r="AO442" s="2010"/>
      <c r="AP442" s="2010"/>
      <c r="AQ442" s="2010"/>
      <c r="AR442" s="2017"/>
      <c r="AS442" s="2017"/>
      <c r="AT442" s="1929"/>
      <c r="AU442" s="1929"/>
      <c r="AV442" s="1929"/>
      <c r="AW442" s="1929"/>
      <c r="AX442" s="1929"/>
      <c r="AY442" s="1929"/>
      <c r="AZ442" s="1929"/>
      <c r="BA442" s="1929"/>
      <c r="BB442" s="1929"/>
      <c r="BC442" s="1929"/>
      <c r="BD442" s="1929"/>
      <c r="BE442" s="1929"/>
      <c r="BF442" s="1929"/>
      <c r="BG442" s="1929"/>
      <c r="BH442" s="1929"/>
      <c r="BI442" s="1929"/>
      <c r="BJ442" s="1929"/>
      <c r="BK442" s="1929"/>
      <c r="BL442" s="1929"/>
      <c r="BM442" s="1929"/>
      <c r="BN442" s="1929"/>
      <c r="BO442" s="1929"/>
      <c r="BP442" s="1929"/>
      <c r="BQ442" s="1929"/>
      <c r="BR442" s="1929"/>
      <c r="BS442" s="1885"/>
      <c r="BT442" s="1885"/>
      <c r="BU442" s="1885"/>
      <c r="BV442" s="1890"/>
      <c r="BW442" s="1890"/>
      <c r="BX442" s="1890"/>
      <c r="BY442" s="1890"/>
      <c r="BZ442" s="1891"/>
      <c r="CA442" s="1891"/>
      <c r="CB442" s="1912"/>
      <c r="CC442" s="1913"/>
      <c r="CD442" s="1913"/>
      <c r="CE442" s="1913"/>
      <c r="CF442" s="1913"/>
      <c r="CG442" s="1913"/>
      <c r="CH442" s="1913"/>
      <c r="CI442" s="1913"/>
      <c r="CJ442" s="1913"/>
      <c r="CK442" s="1913"/>
      <c r="CL442" s="1913"/>
      <c r="CM442" s="1913"/>
      <c r="CN442" s="1913"/>
      <c r="CO442" s="1913"/>
      <c r="CP442" s="1913"/>
      <c r="CQ442" s="1913"/>
      <c r="CR442" s="1913"/>
      <c r="CS442" s="1913"/>
      <c r="CT442" s="1913"/>
      <c r="CU442" s="1914"/>
      <c r="CV442" s="2360" t="str">
        <f t="shared" si="445"/>
        <v/>
      </c>
      <c r="CW442" s="2360"/>
      <c r="CX442" s="2360"/>
      <c r="CY442" s="2360"/>
      <c r="CZ442" s="2360"/>
      <c r="DA442" s="2360"/>
      <c r="DC442" s="600" t="str">
        <f t="shared" si="446"/>
        <v/>
      </c>
      <c r="DD442" s="381"/>
      <c r="DF442" s="34"/>
      <c r="DG442" s="34"/>
      <c r="DH442" s="34"/>
      <c r="DI442" s="34"/>
      <c r="DJ442" s="858" t="s">
        <v>5637</v>
      </c>
      <c r="DK442" s="1707" t="str">
        <f t="shared" si="491"/>
        <v/>
      </c>
      <c r="DL442" s="1692" t="str">
        <f t="shared" si="492"/>
        <v/>
      </c>
      <c r="DM442" s="1691">
        <f t="shared" si="447"/>
        <v>0</v>
      </c>
      <c r="DN442" s="111">
        <f t="shared" si="448"/>
        <v>0</v>
      </c>
      <c r="DO442" s="111">
        <f t="shared" si="449"/>
        <v>0</v>
      </c>
      <c r="DP442" s="474">
        <f t="shared" si="450"/>
        <v>0</v>
      </c>
      <c r="DQ442" s="123" t="s">
        <v>825</v>
      </c>
      <c r="DR442" s="473" t="str">
        <f t="shared" si="451"/>
        <v>屋内と階段との間の防火区画の確保の状況</v>
      </c>
      <c r="DS442" s="112">
        <f t="shared" si="452"/>
        <v>0</v>
      </c>
      <c r="DT442" s="118" t="str">
        <f t="shared" si="453"/>
        <v/>
      </c>
      <c r="DU442" s="452" t="str">
        <f t="shared" si="454"/>
        <v/>
      </c>
      <c r="DV442" s="453" t="str">
        <f>IF($DT442="要是正",MAX($DV$422:DV441)+1,"")</f>
        <v/>
      </c>
      <c r="DW442" s="32" t="str">
        <f t="shared" si="455"/>
        <v/>
      </c>
      <c r="DX442" s="119" t="str">
        <f t="shared" si="456"/>
        <v/>
      </c>
      <c r="DY442" s="33" t="str">
        <f t="shared" si="457"/>
        <v/>
      </c>
      <c r="DZ442" s="217" t="str">
        <f t="shared" si="458"/>
        <v/>
      </c>
      <c r="EA442" s="466" t="str">
        <f t="shared" si="459"/>
        <v/>
      </c>
      <c r="EB442" s="234" t="str">
        <f t="shared" si="460"/>
        <v/>
      </c>
      <c r="EC442" s="227" t="str">
        <f t="shared" si="461"/>
        <v>0</v>
      </c>
      <c r="ED442" s="148" t="str">
        <f t="shared" si="493"/>
        <v/>
      </c>
      <c r="EE442" s="227" t="str">
        <f t="shared" si="494"/>
        <v>0</v>
      </c>
      <c r="EF442" s="130" t="str">
        <f t="shared" si="462"/>
        <v/>
      </c>
      <c r="EG442" s="204" t="str">
        <f t="shared" si="463"/>
        <v/>
      </c>
      <c r="EH442" s="134" t="str">
        <f t="shared" si="464"/>
        <v>0</v>
      </c>
      <c r="EI442" s="148" t="str">
        <f t="shared" si="495"/>
        <v/>
      </c>
      <c r="EJ442" s="227" t="str">
        <f t="shared" si="496"/>
        <v>0</v>
      </c>
      <c r="EK442" s="451" t="str">
        <f t="shared" si="465"/>
        <v/>
      </c>
      <c r="EL442" s="452" t="e">
        <f t="shared" si="466"/>
        <v>#N/A</v>
      </c>
      <c r="EM442" s="151" t="e">
        <f t="shared" si="467"/>
        <v>#N/A</v>
      </c>
      <c r="EN442" s="453" t="e">
        <f t="shared" si="468"/>
        <v>#N/A</v>
      </c>
      <c r="FK442" s="597" t="str">
        <f t="shared" si="469"/>
        <v/>
      </c>
      <c r="FL442" s="597" t="str">
        <f t="shared" si="386"/>
        <v/>
      </c>
      <c r="FM442" s="597" t="str">
        <f t="shared" si="387"/>
        <v/>
      </c>
      <c r="FN442" s="597">
        <f t="shared" si="470"/>
        <v>0</v>
      </c>
      <c r="FO442" s="1163" t="str">
        <f t="shared" si="471"/>
        <v/>
      </c>
      <c r="FQ442" s="234" t="str">
        <f t="shared" si="472"/>
        <v/>
      </c>
      <c r="FR442" s="227" t="str">
        <f t="shared" si="473"/>
        <v>0</v>
      </c>
      <c r="FS442" s="148" t="str">
        <f t="shared" si="474"/>
        <v/>
      </c>
      <c r="FT442" s="227" t="str">
        <f t="shared" si="475"/>
        <v>0</v>
      </c>
      <c r="FU442" s="416" t="str">
        <f t="shared" si="497"/>
        <v/>
      </c>
      <c r="FW442" s="1160">
        <f t="shared" si="444"/>
        <v>0</v>
      </c>
      <c r="FX442" s="123"/>
      <c r="FY442" s="123"/>
      <c r="FZ442" s="1161"/>
      <c r="GA442" s="34"/>
      <c r="GB442" s="1149">
        <f t="shared" si="498"/>
        <v>0</v>
      </c>
      <c r="GC442" s="1149">
        <f t="shared" si="499"/>
        <v>0</v>
      </c>
      <c r="GD442" s="1149">
        <f t="shared" si="500"/>
        <v>0</v>
      </c>
      <c r="GE442" s="1149" t="str">
        <f t="shared" si="476"/>
        <v/>
      </c>
      <c r="GF442" s="1149" t="str">
        <f t="shared" si="477"/>
        <v/>
      </c>
      <c r="GG442" s="1149" t="str">
        <f t="shared" si="478"/>
        <v/>
      </c>
      <c r="GH442" s="1149" t="str">
        <f t="shared" si="479"/>
        <v/>
      </c>
      <c r="GI442" s="1149" t="str">
        <f t="shared" si="480"/>
        <v/>
      </c>
      <c r="GJ442" s="1149" t="str">
        <f t="shared" si="481"/>
        <v/>
      </c>
      <c r="GK442" s="1149" t="str">
        <f t="shared" si="482"/>
        <v/>
      </c>
      <c r="GL442" s="1149" t="str">
        <f t="shared" si="483"/>
        <v/>
      </c>
      <c r="GM442" s="1149" t="str">
        <f t="shared" si="484"/>
        <v/>
      </c>
      <c r="GN442" s="1149" t="str">
        <f t="shared" si="485"/>
        <v/>
      </c>
      <c r="GO442" s="1149" t="str">
        <f t="shared" si="486"/>
        <v/>
      </c>
      <c r="GP442" s="1149" t="str">
        <f t="shared" si="487"/>
        <v/>
      </c>
      <c r="GQ442" s="1149" t="str">
        <f t="shared" si="488"/>
        <v/>
      </c>
      <c r="GR442" s="1149" t="str">
        <f t="shared" si="489"/>
        <v/>
      </c>
      <c r="GS442" s="1149" t="str">
        <f t="shared" si="490"/>
        <v/>
      </c>
      <c r="GT442" s="1149">
        <f t="shared" si="501"/>
        <v>0</v>
      </c>
      <c r="GU442" s="1149">
        <f t="shared" si="502"/>
        <v>0</v>
      </c>
      <c r="GV442" s="1149">
        <f t="shared" si="503"/>
        <v>0</v>
      </c>
      <c r="GW442" s="1149" t="b">
        <f t="shared" si="504"/>
        <v>0</v>
      </c>
      <c r="GX442" s="1149" t="b">
        <f t="shared" si="505"/>
        <v>0</v>
      </c>
      <c r="GY442" s="1149" t="b">
        <f t="shared" si="506"/>
        <v>0</v>
      </c>
      <c r="GZ442" s="1149" t="str">
        <f t="shared" si="385"/>
        <v/>
      </c>
      <c r="HB442" s="1149" t="str">
        <f t="shared" si="507"/>
        <v/>
      </c>
      <c r="HC442" s="1149" t="str">
        <f t="shared" si="508"/>
        <v/>
      </c>
      <c r="HD442" s="1149" t="str">
        <f t="shared" si="509"/>
        <v/>
      </c>
      <c r="HE442" s="1149" t="str">
        <f t="shared" si="510"/>
        <v/>
      </c>
      <c r="HF442" s="1149" t="str">
        <f t="shared" si="511"/>
        <v/>
      </c>
      <c r="HG442" s="1149" t="str">
        <f t="shared" si="512"/>
        <v/>
      </c>
      <c r="HH442" s="1149" t="str">
        <f t="shared" si="513"/>
        <v/>
      </c>
      <c r="HI442" s="1149" t="str">
        <f t="shared" si="514"/>
        <v/>
      </c>
      <c r="HJ442" s="1149" t="str">
        <f t="shared" si="515"/>
        <v/>
      </c>
      <c r="HK442" s="1149" t="str">
        <f t="shared" si="516"/>
        <v/>
      </c>
      <c r="HL442" s="1149" t="str">
        <f t="shared" si="517"/>
        <v/>
      </c>
      <c r="HM442" s="1149" t="str">
        <f t="shared" si="518"/>
        <v/>
      </c>
      <c r="HN442" s="1149" t="str">
        <f t="shared" si="519"/>
        <v/>
      </c>
      <c r="HO442" s="1149" t="str">
        <f t="shared" si="520"/>
        <v/>
      </c>
      <c r="HP442" s="1149" t="str">
        <f t="shared" si="521"/>
        <v/>
      </c>
      <c r="HQ442" s="1149" t="str">
        <f t="shared" si="522"/>
        <v/>
      </c>
      <c r="HR442" s="1149" t="str">
        <f t="shared" si="523"/>
        <v/>
      </c>
      <c r="HT442" s="1149">
        <f>LEFT(M442,1)*10000+MID(M442,3,LEN(M442)-3)*100+COUNTIF($M$307:M442,M442)</f>
        <v>51701</v>
      </c>
      <c r="HU442" s="1149" t="str">
        <f t="shared" si="524"/>
        <v/>
      </c>
      <c r="HV442" s="1149" t="str">
        <f t="shared" si="525"/>
        <v/>
      </c>
      <c r="HW442" s="1149" t="str">
        <f t="shared" si="526"/>
        <v/>
      </c>
      <c r="HX442" s="1149" t="str">
        <f t="shared" si="527"/>
        <v/>
      </c>
    </row>
    <row r="443" spans="1:232" s="69" customFormat="1" ht="50.15" customHeight="1">
      <c r="A443" s="645"/>
      <c r="B443" s="645"/>
      <c r="C443" s="645"/>
      <c r="D443" s="645"/>
      <c r="E443" s="646"/>
      <c r="F443" s="381"/>
      <c r="G443" s="381"/>
      <c r="H443" s="381"/>
      <c r="J443" s="80"/>
      <c r="K443" s="89"/>
      <c r="L443" s="89"/>
      <c r="M443" s="2082" t="s">
        <v>1286</v>
      </c>
      <c r="N443" s="2082"/>
      <c r="O443" s="2082"/>
      <c r="P443" s="2016"/>
      <c r="Q443" s="2016"/>
      <c r="R443" s="1966"/>
      <c r="S443" s="1966"/>
      <c r="T443" s="1966"/>
      <c r="U443" s="1956" t="s">
        <v>129</v>
      </c>
      <c r="V443" s="1956"/>
      <c r="W443" s="1956"/>
      <c r="X443" s="1956"/>
      <c r="Y443" s="1956"/>
      <c r="Z443" s="1956"/>
      <c r="AA443" s="1956"/>
      <c r="AB443" s="1956"/>
      <c r="AC443" s="1956"/>
      <c r="AD443" s="1956"/>
      <c r="AE443" s="1956"/>
      <c r="AF443" s="2025"/>
      <c r="AG443" s="2025"/>
      <c r="AH443" s="2025"/>
      <c r="AI443" s="2025"/>
      <c r="AJ443" s="2025"/>
      <c r="AK443" s="2025"/>
      <c r="AL443" s="2025"/>
      <c r="AM443" s="2025"/>
      <c r="AN443" s="2025"/>
      <c r="AO443" s="2025"/>
      <c r="AP443" s="2025"/>
      <c r="AQ443" s="2025"/>
      <c r="AR443" s="2026"/>
      <c r="AS443" s="2026"/>
      <c r="AT443" s="1997"/>
      <c r="AU443" s="1997"/>
      <c r="AV443" s="1997"/>
      <c r="AW443" s="1997"/>
      <c r="AX443" s="1997"/>
      <c r="AY443" s="1997"/>
      <c r="AZ443" s="1997"/>
      <c r="BA443" s="1997"/>
      <c r="BB443" s="1997"/>
      <c r="BC443" s="1997"/>
      <c r="BD443" s="1997"/>
      <c r="BE443" s="1997"/>
      <c r="BF443" s="1997"/>
      <c r="BG443" s="1997"/>
      <c r="BH443" s="1997"/>
      <c r="BI443" s="1997"/>
      <c r="BJ443" s="1997"/>
      <c r="BK443" s="1997"/>
      <c r="BL443" s="1997"/>
      <c r="BM443" s="1997"/>
      <c r="BN443" s="1997"/>
      <c r="BO443" s="1997"/>
      <c r="BP443" s="1997"/>
      <c r="BQ443" s="1997"/>
      <c r="BR443" s="1997"/>
      <c r="BS443" s="1991"/>
      <c r="BT443" s="1991"/>
      <c r="BU443" s="1991"/>
      <c r="BV443" s="1982"/>
      <c r="BW443" s="1982"/>
      <c r="BX443" s="1982"/>
      <c r="BY443" s="1982"/>
      <c r="BZ443" s="1992"/>
      <c r="CA443" s="1992"/>
      <c r="CB443" s="2000"/>
      <c r="CC443" s="2001"/>
      <c r="CD443" s="2001"/>
      <c r="CE443" s="2001"/>
      <c r="CF443" s="2001"/>
      <c r="CG443" s="2001"/>
      <c r="CH443" s="2001"/>
      <c r="CI443" s="2001"/>
      <c r="CJ443" s="2001"/>
      <c r="CK443" s="2001"/>
      <c r="CL443" s="2001"/>
      <c r="CM443" s="2001"/>
      <c r="CN443" s="2001"/>
      <c r="CO443" s="2001"/>
      <c r="CP443" s="2001"/>
      <c r="CQ443" s="2001"/>
      <c r="CR443" s="2001"/>
      <c r="CS443" s="2001"/>
      <c r="CT443" s="2001"/>
      <c r="CU443" s="2002"/>
      <c r="CV443" s="2360" t="str">
        <f t="shared" si="445"/>
        <v/>
      </c>
      <c r="CW443" s="2360"/>
      <c r="CX443" s="2360"/>
      <c r="CY443" s="2360"/>
      <c r="CZ443" s="2360"/>
      <c r="DA443" s="2360"/>
      <c r="DC443" s="600" t="str">
        <f t="shared" si="446"/>
        <v/>
      </c>
      <c r="DD443" s="381"/>
      <c r="DF443" s="34"/>
      <c r="DG443" s="34"/>
      <c r="DH443" s="34"/>
      <c r="DI443" s="34"/>
      <c r="DJ443" s="858" t="s">
        <v>5637</v>
      </c>
      <c r="DK443" s="1707" t="str">
        <f t="shared" si="491"/>
        <v/>
      </c>
      <c r="DL443" s="1692" t="str">
        <f t="shared" si="492"/>
        <v/>
      </c>
      <c r="DM443" s="1691">
        <f t="shared" si="447"/>
        <v>0</v>
      </c>
      <c r="DN443" s="111">
        <f t="shared" si="448"/>
        <v>0</v>
      </c>
      <c r="DO443" s="111">
        <f t="shared" si="449"/>
        <v>0</v>
      </c>
      <c r="DP443" s="474">
        <f t="shared" si="450"/>
        <v>0</v>
      </c>
      <c r="DQ443" s="123" t="s">
        <v>826</v>
      </c>
      <c r="DR443" s="473" t="str">
        <f>IF($U443="",R442,U443)</f>
        <v>開放性の確保の状況</v>
      </c>
      <c r="DS443" s="112">
        <f t="shared" si="452"/>
        <v>0</v>
      </c>
      <c r="DT443" s="118" t="str">
        <f t="shared" si="453"/>
        <v/>
      </c>
      <c r="DU443" s="452" t="str">
        <f t="shared" si="454"/>
        <v/>
      </c>
      <c r="DV443" s="453" t="str">
        <f>IF($DT443="要是正",MAX($DV$422:DV442)+1,"")</f>
        <v/>
      </c>
      <c r="DW443" s="32" t="str">
        <f t="shared" si="455"/>
        <v/>
      </c>
      <c r="DX443" s="119" t="str">
        <f t="shared" si="456"/>
        <v/>
      </c>
      <c r="DY443" s="33" t="str">
        <f t="shared" si="457"/>
        <v/>
      </c>
      <c r="DZ443" s="217" t="str">
        <f t="shared" si="458"/>
        <v/>
      </c>
      <c r="EA443" s="466" t="str">
        <f t="shared" si="459"/>
        <v/>
      </c>
      <c r="EB443" s="234" t="str">
        <f t="shared" si="460"/>
        <v/>
      </c>
      <c r="EC443" s="227" t="str">
        <f t="shared" si="461"/>
        <v>0</v>
      </c>
      <c r="ED443" s="148" t="str">
        <f t="shared" si="493"/>
        <v/>
      </c>
      <c r="EE443" s="227" t="str">
        <f t="shared" si="494"/>
        <v>0</v>
      </c>
      <c r="EF443" s="130" t="str">
        <f t="shared" si="462"/>
        <v/>
      </c>
      <c r="EG443" s="204" t="str">
        <f t="shared" si="463"/>
        <v/>
      </c>
      <c r="EH443" s="134" t="str">
        <f t="shared" si="464"/>
        <v>0</v>
      </c>
      <c r="EI443" s="148" t="str">
        <f t="shared" si="495"/>
        <v/>
      </c>
      <c r="EJ443" s="227" t="str">
        <f t="shared" si="496"/>
        <v>0</v>
      </c>
      <c r="EK443" s="451" t="str">
        <f t="shared" si="465"/>
        <v/>
      </c>
      <c r="EL443" s="452" t="e">
        <f t="shared" si="466"/>
        <v>#N/A</v>
      </c>
      <c r="EM443" s="151" t="e">
        <f t="shared" si="467"/>
        <v>#N/A</v>
      </c>
      <c r="EN443" s="453" t="e">
        <f t="shared" si="468"/>
        <v>#N/A</v>
      </c>
      <c r="FK443" s="597" t="str">
        <f t="shared" si="469"/>
        <v/>
      </c>
      <c r="FL443" s="597" t="str">
        <f t="shared" si="386"/>
        <v/>
      </c>
      <c r="FM443" s="597" t="str">
        <f t="shared" si="387"/>
        <v/>
      </c>
      <c r="FN443" s="597">
        <f t="shared" si="470"/>
        <v>0</v>
      </c>
      <c r="FO443" s="1163" t="str">
        <f t="shared" si="471"/>
        <v/>
      </c>
      <c r="FQ443" s="234" t="str">
        <f t="shared" si="472"/>
        <v/>
      </c>
      <c r="FR443" s="227" t="str">
        <f t="shared" si="473"/>
        <v>0</v>
      </c>
      <c r="FS443" s="148" t="str">
        <f t="shared" si="474"/>
        <v/>
      </c>
      <c r="FT443" s="227" t="str">
        <f t="shared" si="475"/>
        <v>0</v>
      </c>
      <c r="FU443" s="416" t="str">
        <f t="shared" si="497"/>
        <v/>
      </c>
      <c r="FW443" s="1160">
        <f t="shared" si="444"/>
        <v>0</v>
      </c>
      <c r="FX443" s="123"/>
      <c r="FY443" s="123"/>
      <c r="FZ443" s="1161"/>
      <c r="GA443" s="34"/>
      <c r="GB443" s="1149">
        <f t="shared" si="498"/>
        <v>0</v>
      </c>
      <c r="GC443" s="1149">
        <f t="shared" si="499"/>
        <v>0</v>
      </c>
      <c r="GD443" s="1149">
        <f t="shared" si="500"/>
        <v>0</v>
      </c>
      <c r="GE443" s="1149" t="str">
        <f t="shared" si="476"/>
        <v/>
      </c>
      <c r="GF443" s="1149" t="str">
        <f t="shared" si="477"/>
        <v/>
      </c>
      <c r="GG443" s="1149" t="str">
        <f t="shared" si="478"/>
        <v/>
      </c>
      <c r="GH443" s="1149" t="str">
        <f t="shared" si="479"/>
        <v/>
      </c>
      <c r="GI443" s="1149" t="str">
        <f t="shared" si="480"/>
        <v/>
      </c>
      <c r="GJ443" s="1149" t="str">
        <f t="shared" si="481"/>
        <v/>
      </c>
      <c r="GK443" s="1149" t="str">
        <f t="shared" si="482"/>
        <v/>
      </c>
      <c r="GL443" s="1149" t="str">
        <f t="shared" si="483"/>
        <v/>
      </c>
      <c r="GM443" s="1149" t="str">
        <f t="shared" si="484"/>
        <v/>
      </c>
      <c r="GN443" s="1149" t="str">
        <f t="shared" si="485"/>
        <v/>
      </c>
      <c r="GO443" s="1149" t="str">
        <f t="shared" si="486"/>
        <v/>
      </c>
      <c r="GP443" s="1149" t="str">
        <f t="shared" si="487"/>
        <v/>
      </c>
      <c r="GQ443" s="1149" t="str">
        <f t="shared" si="488"/>
        <v/>
      </c>
      <c r="GR443" s="1149" t="str">
        <f t="shared" si="489"/>
        <v/>
      </c>
      <c r="GS443" s="1149" t="str">
        <f t="shared" si="490"/>
        <v/>
      </c>
      <c r="GT443" s="1149">
        <f t="shared" si="501"/>
        <v>0</v>
      </c>
      <c r="GU443" s="1149">
        <f t="shared" si="502"/>
        <v>0</v>
      </c>
      <c r="GV443" s="1149">
        <f t="shared" si="503"/>
        <v>0</v>
      </c>
      <c r="GW443" s="1149" t="b">
        <f t="shared" si="504"/>
        <v>0</v>
      </c>
      <c r="GX443" s="1149" t="b">
        <f t="shared" si="505"/>
        <v>0</v>
      </c>
      <c r="GY443" s="1149" t="b">
        <f t="shared" si="506"/>
        <v>0</v>
      </c>
      <c r="GZ443" s="1149" t="str">
        <f t="shared" si="385"/>
        <v/>
      </c>
      <c r="HB443" s="1149" t="str">
        <f t="shared" si="507"/>
        <v/>
      </c>
      <c r="HC443" s="1149" t="str">
        <f t="shared" si="508"/>
        <v/>
      </c>
      <c r="HD443" s="1149" t="str">
        <f t="shared" si="509"/>
        <v/>
      </c>
      <c r="HE443" s="1149" t="str">
        <f t="shared" si="510"/>
        <v/>
      </c>
      <c r="HF443" s="1149" t="str">
        <f t="shared" si="511"/>
        <v/>
      </c>
      <c r="HG443" s="1149" t="str">
        <f t="shared" si="512"/>
        <v/>
      </c>
      <c r="HH443" s="1149" t="str">
        <f t="shared" si="513"/>
        <v/>
      </c>
      <c r="HI443" s="1149" t="str">
        <f t="shared" si="514"/>
        <v/>
      </c>
      <c r="HJ443" s="1149" t="str">
        <f t="shared" si="515"/>
        <v/>
      </c>
      <c r="HK443" s="1149" t="str">
        <f t="shared" si="516"/>
        <v/>
      </c>
      <c r="HL443" s="1149" t="str">
        <f t="shared" si="517"/>
        <v/>
      </c>
      <c r="HM443" s="1149" t="str">
        <f t="shared" si="518"/>
        <v/>
      </c>
      <c r="HN443" s="1149" t="str">
        <f t="shared" si="519"/>
        <v/>
      </c>
      <c r="HO443" s="1149" t="str">
        <f t="shared" si="520"/>
        <v/>
      </c>
      <c r="HP443" s="1149" t="str">
        <f t="shared" si="521"/>
        <v/>
      </c>
      <c r="HQ443" s="1149" t="str">
        <f t="shared" si="522"/>
        <v/>
      </c>
      <c r="HR443" s="1149" t="str">
        <f t="shared" si="523"/>
        <v/>
      </c>
      <c r="HT443" s="1149">
        <f>LEFT(M443,1)*10000+MID(M443,3,LEN(M443)-3)*100+COUNTIF($M$307:M443,M443)</f>
        <v>51801</v>
      </c>
      <c r="HU443" s="1149" t="str">
        <f t="shared" si="524"/>
        <v/>
      </c>
      <c r="HV443" s="1149" t="str">
        <f t="shared" si="525"/>
        <v/>
      </c>
      <c r="HW443" s="1149" t="str">
        <f t="shared" si="526"/>
        <v/>
      </c>
      <c r="HX443" s="1149" t="str">
        <f t="shared" si="527"/>
        <v/>
      </c>
    </row>
    <row r="444" spans="1:232" s="69" customFormat="1" ht="50.15" customHeight="1">
      <c r="A444" s="645"/>
      <c r="B444" s="645"/>
      <c r="C444" s="645"/>
      <c r="D444" s="645"/>
      <c r="E444" s="646"/>
      <c r="F444" s="381"/>
      <c r="G444" s="381"/>
      <c r="H444" s="381"/>
      <c r="J444" s="80"/>
      <c r="K444" s="89"/>
      <c r="L444" s="89"/>
      <c r="M444" s="2082" t="s">
        <v>1287</v>
      </c>
      <c r="N444" s="2082"/>
      <c r="O444" s="2082"/>
      <c r="P444" s="2016"/>
      <c r="Q444" s="2016"/>
      <c r="R444" s="1966" t="s">
        <v>130</v>
      </c>
      <c r="S444" s="1966"/>
      <c r="T444" s="1966"/>
      <c r="U444" s="2011" t="s">
        <v>131</v>
      </c>
      <c r="V444" s="2011"/>
      <c r="W444" s="2011"/>
      <c r="X444" s="2011"/>
      <c r="Y444" s="2011"/>
      <c r="Z444" s="2011"/>
      <c r="AA444" s="2011"/>
      <c r="AB444" s="2011"/>
      <c r="AC444" s="2011"/>
      <c r="AD444" s="2011"/>
      <c r="AE444" s="2011"/>
      <c r="AF444" s="2010"/>
      <c r="AG444" s="2010"/>
      <c r="AH444" s="2010"/>
      <c r="AI444" s="2010"/>
      <c r="AJ444" s="2010"/>
      <c r="AK444" s="2010"/>
      <c r="AL444" s="2010"/>
      <c r="AM444" s="2010"/>
      <c r="AN444" s="2010"/>
      <c r="AO444" s="2010"/>
      <c r="AP444" s="2010"/>
      <c r="AQ444" s="2010"/>
      <c r="AR444" s="2017"/>
      <c r="AS444" s="2017"/>
      <c r="AT444" s="1929"/>
      <c r="AU444" s="1929"/>
      <c r="AV444" s="1929"/>
      <c r="AW444" s="1929"/>
      <c r="AX444" s="1929"/>
      <c r="AY444" s="1929"/>
      <c r="AZ444" s="1929"/>
      <c r="BA444" s="1929"/>
      <c r="BB444" s="1929"/>
      <c r="BC444" s="1929"/>
      <c r="BD444" s="1929"/>
      <c r="BE444" s="1929"/>
      <c r="BF444" s="1929"/>
      <c r="BG444" s="1929"/>
      <c r="BH444" s="1929"/>
      <c r="BI444" s="1929"/>
      <c r="BJ444" s="1929"/>
      <c r="BK444" s="1929"/>
      <c r="BL444" s="1929"/>
      <c r="BM444" s="1929"/>
      <c r="BN444" s="1929"/>
      <c r="BO444" s="1929"/>
      <c r="BP444" s="1929"/>
      <c r="BQ444" s="1929"/>
      <c r="BR444" s="1929"/>
      <c r="BS444" s="1885"/>
      <c r="BT444" s="1885"/>
      <c r="BU444" s="1885"/>
      <c r="BV444" s="1890"/>
      <c r="BW444" s="1890"/>
      <c r="BX444" s="1890"/>
      <c r="BY444" s="1890"/>
      <c r="BZ444" s="1891"/>
      <c r="CA444" s="1891"/>
      <c r="CB444" s="1912"/>
      <c r="CC444" s="1913"/>
      <c r="CD444" s="1913"/>
      <c r="CE444" s="1913"/>
      <c r="CF444" s="1913"/>
      <c r="CG444" s="1913"/>
      <c r="CH444" s="1913"/>
      <c r="CI444" s="1913"/>
      <c r="CJ444" s="1913"/>
      <c r="CK444" s="1913"/>
      <c r="CL444" s="1913"/>
      <c r="CM444" s="1913"/>
      <c r="CN444" s="1913"/>
      <c r="CO444" s="1913"/>
      <c r="CP444" s="1913"/>
      <c r="CQ444" s="1913"/>
      <c r="CR444" s="1913"/>
      <c r="CS444" s="1913"/>
      <c r="CT444" s="1913"/>
      <c r="CU444" s="1914"/>
      <c r="CV444" s="2360" t="str">
        <f t="shared" si="445"/>
        <v/>
      </c>
      <c r="CW444" s="2360"/>
      <c r="CX444" s="2360"/>
      <c r="CY444" s="2360"/>
      <c r="CZ444" s="2360"/>
      <c r="DA444" s="2360"/>
      <c r="DC444" s="600" t="str">
        <f t="shared" si="446"/>
        <v/>
      </c>
      <c r="DD444" s="381"/>
      <c r="DF444" s="34"/>
      <c r="DG444" s="34"/>
      <c r="DH444" s="34"/>
      <c r="DI444" s="34"/>
      <c r="DJ444" s="858" t="s">
        <v>5637</v>
      </c>
      <c r="DK444" s="1707" t="str">
        <f t="shared" si="491"/>
        <v/>
      </c>
      <c r="DL444" s="1692" t="str">
        <f t="shared" si="492"/>
        <v/>
      </c>
      <c r="DM444" s="1691">
        <f t="shared" si="447"/>
        <v>0</v>
      </c>
      <c r="DN444" s="111">
        <f t="shared" si="448"/>
        <v>0</v>
      </c>
      <c r="DO444" s="111">
        <f t="shared" si="449"/>
        <v>0</v>
      </c>
      <c r="DP444" s="474">
        <f t="shared" si="450"/>
        <v>0</v>
      </c>
      <c r="DQ444" s="123" t="s">
        <v>827</v>
      </c>
      <c r="DR444" s="473" t="str">
        <f t="shared" si="451"/>
        <v>バルコニー又は付室の構造及び面積の確保の状況</v>
      </c>
      <c r="DS444" s="112">
        <f t="shared" si="452"/>
        <v>0</v>
      </c>
      <c r="DT444" s="118" t="str">
        <f t="shared" si="453"/>
        <v/>
      </c>
      <c r="DU444" s="452" t="str">
        <f t="shared" si="454"/>
        <v/>
      </c>
      <c r="DV444" s="453" t="str">
        <f>IF($DT444="要是正",MAX($DV$422:DV443)+1,"")</f>
        <v/>
      </c>
      <c r="DW444" s="32" t="str">
        <f t="shared" si="455"/>
        <v/>
      </c>
      <c r="DX444" s="119" t="str">
        <f t="shared" si="456"/>
        <v/>
      </c>
      <c r="DY444" s="33" t="str">
        <f t="shared" si="457"/>
        <v/>
      </c>
      <c r="DZ444" s="217" t="str">
        <f t="shared" si="458"/>
        <v/>
      </c>
      <c r="EA444" s="466" t="str">
        <f t="shared" si="459"/>
        <v/>
      </c>
      <c r="EB444" s="234" t="str">
        <f t="shared" si="460"/>
        <v/>
      </c>
      <c r="EC444" s="227" t="str">
        <f t="shared" si="461"/>
        <v>0</v>
      </c>
      <c r="ED444" s="148" t="str">
        <f t="shared" si="493"/>
        <v/>
      </c>
      <c r="EE444" s="227" t="str">
        <f t="shared" si="494"/>
        <v>0</v>
      </c>
      <c r="EF444" s="130" t="str">
        <f t="shared" si="462"/>
        <v/>
      </c>
      <c r="EG444" s="204" t="str">
        <f t="shared" si="463"/>
        <v/>
      </c>
      <c r="EH444" s="134" t="str">
        <f t="shared" si="464"/>
        <v>0</v>
      </c>
      <c r="EI444" s="148" t="str">
        <f t="shared" si="495"/>
        <v/>
      </c>
      <c r="EJ444" s="227" t="str">
        <f t="shared" si="496"/>
        <v>0</v>
      </c>
      <c r="EK444" s="451" t="str">
        <f t="shared" si="465"/>
        <v/>
      </c>
      <c r="EL444" s="452" t="e">
        <f t="shared" si="466"/>
        <v>#N/A</v>
      </c>
      <c r="EM444" s="151" t="e">
        <f t="shared" si="467"/>
        <v>#N/A</v>
      </c>
      <c r="EN444" s="453" t="e">
        <f t="shared" si="468"/>
        <v>#N/A</v>
      </c>
      <c r="FK444" s="597" t="str">
        <f t="shared" si="469"/>
        <v/>
      </c>
      <c r="FL444" s="597" t="str">
        <f t="shared" si="386"/>
        <v/>
      </c>
      <c r="FM444" s="597" t="str">
        <f t="shared" si="387"/>
        <v/>
      </c>
      <c r="FN444" s="597">
        <f t="shared" si="470"/>
        <v>0</v>
      </c>
      <c r="FO444" s="1163" t="str">
        <f t="shared" si="471"/>
        <v/>
      </c>
      <c r="FQ444" s="234" t="str">
        <f t="shared" si="472"/>
        <v/>
      </c>
      <c r="FR444" s="227" t="str">
        <f t="shared" si="473"/>
        <v>0</v>
      </c>
      <c r="FS444" s="148" t="str">
        <f t="shared" si="474"/>
        <v/>
      </c>
      <c r="FT444" s="227" t="str">
        <f t="shared" si="475"/>
        <v>0</v>
      </c>
      <c r="FU444" s="416" t="str">
        <f t="shared" si="497"/>
        <v/>
      </c>
      <c r="FW444" s="1160">
        <f t="shared" si="444"/>
        <v>0</v>
      </c>
      <c r="FX444" s="123"/>
      <c r="FY444" s="123"/>
      <c r="FZ444" s="1161"/>
      <c r="GA444" s="34"/>
      <c r="GB444" s="1149">
        <f t="shared" si="498"/>
        <v>0</v>
      </c>
      <c r="GC444" s="1149">
        <f t="shared" si="499"/>
        <v>0</v>
      </c>
      <c r="GD444" s="1149">
        <f t="shared" si="500"/>
        <v>0</v>
      </c>
      <c r="GE444" s="1149" t="str">
        <f t="shared" si="476"/>
        <v/>
      </c>
      <c r="GF444" s="1149" t="str">
        <f t="shared" si="477"/>
        <v/>
      </c>
      <c r="GG444" s="1149" t="str">
        <f t="shared" si="478"/>
        <v/>
      </c>
      <c r="GH444" s="1149" t="str">
        <f t="shared" si="479"/>
        <v/>
      </c>
      <c r="GI444" s="1149" t="str">
        <f t="shared" si="480"/>
        <v/>
      </c>
      <c r="GJ444" s="1149" t="str">
        <f t="shared" si="481"/>
        <v/>
      </c>
      <c r="GK444" s="1149" t="str">
        <f t="shared" si="482"/>
        <v/>
      </c>
      <c r="GL444" s="1149" t="str">
        <f t="shared" si="483"/>
        <v/>
      </c>
      <c r="GM444" s="1149" t="str">
        <f t="shared" si="484"/>
        <v/>
      </c>
      <c r="GN444" s="1149" t="str">
        <f t="shared" si="485"/>
        <v/>
      </c>
      <c r="GO444" s="1149" t="str">
        <f t="shared" si="486"/>
        <v/>
      </c>
      <c r="GP444" s="1149" t="str">
        <f t="shared" si="487"/>
        <v/>
      </c>
      <c r="GQ444" s="1149" t="str">
        <f t="shared" si="488"/>
        <v/>
      </c>
      <c r="GR444" s="1149" t="str">
        <f t="shared" si="489"/>
        <v/>
      </c>
      <c r="GS444" s="1149" t="str">
        <f t="shared" si="490"/>
        <v/>
      </c>
      <c r="GT444" s="1149">
        <f t="shared" si="501"/>
        <v>0</v>
      </c>
      <c r="GU444" s="1149">
        <f t="shared" si="502"/>
        <v>0</v>
      </c>
      <c r="GV444" s="1149">
        <f t="shared" si="503"/>
        <v>0</v>
      </c>
      <c r="GW444" s="1149" t="b">
        <f t="shared" si="504"/>
        <v>0</v>
      </c>
      <c r="GX444" s="1149" t="b">
        <f t="shared" si="505"/>
        <v>0</v>
      </c>
      <c r="GY444" s="1149" t="b">
        <f t="shared" si="506"/>
        <v>0</v>
      </c>
      <c r="GZ444" s="1149" t="str">
        <f t="shared" si="385"/>
        <v/>
      </c>
      <c r="HB444" s="1149" t="str">
        <f t="shared" si="507"/>
        <v/>
      </c>
      <c r="HC444" s="1149" t="str">
        <f t="shared" si="508"/>
        <v/>
      </c>
      <c r="HD444" s="1149" t="str">
        <f t="shared" si="509"/>
        <v/>
      </c>
      <c r="HE444" s="1149" t="str">
        <f t="shared" si="510"/>
        <v/>
      </c>
      <c r="HF444" s="1149" t="str">
        <f t="shared" si="511"/>
        <v/>
      </c>
      <c r="HG444" s="1149" t="str">
        <f t="shared" si="512"/>
        <v/>
      </c>
      <c r="HH444" s="1149" t="str">
        <f t="shared" si="513"/>
        <v/>
      </c>
      <c r="HI444" s="1149" t="str">
        <f t="shared" si="514"/>
        <v/>
      </c>
      <c r="HJ444" s="1149" t="str">
        <f t="shared" si="515"/>
        <v/>
      </c>
      <c r="HK444" s="1149" t="str">
        <f t="shared" si="516"/>
        <v/>
      </c>
      <c r="HL444" s="1149" t="str">
        <f t="shared" si="517"/>
        <v/>
      </c>
      <c r="HM444" s="1149" t="str">
        <f t="shared" si="518"/>
        <v/>
      </c>
      <c r="HN444" s="1149" t="str">
        <f t="shared" si="519"/>
        <v/>
      </c>
      <c r="HO444" s="1149" t="str">
        <f t="shared" si="520"/>
        <v/>
      </c>
      <c r="HP444" s="1149" t="str">
        <f t="shared" si="521"/>
        <v/>
      </c>
      <c r="HQ444" s="1149" t="str">
        <f t="shared" si="522"/>
        <v/>
      </c>
      <c r="HR444" s="1149" t="str">
        <f t="shared" si="523"/>
        <v/>
      </c>
      <c r="HT444" s="1149">
        <f>LEFT(M444,1)*10000+MID(M444,3,LEN(M444)-3)*100+COUNTIF($M$307:M444,M444)</f>
        <v>51901</v>
      </c>
      <c r="HU444" s="1149" t="str">
        <f t="shared" si="524"/>
        <v/>
      </c>
      <c r="HV444" s="1149" t="str">
        <f t="shared" si="525"/>
        <v/>
      </c>
      <c r="HW444" s="1149" t="str">
        <f t="shared" si="526"/>
        <v/>
      </c>
      <c r="HX444" s="1149" t="str">
        <f t="shared" si="527"/>
        <v/>
      </c>
    </row>
    <row r="445" spans="1:232" s="69" customFormat="1" ht="50.15" customHeight="1">
      <c r="A445" s="645"/>
      <c r="B445" s="645"/>
      <c r="C445" s="645"/>
      <c r="D445" s="645"/>
      <c r="E445" s="646"/>
      <c r="F445" s="381"/>
      <c r="G445" s="381"/>
      <c r="H445" s="381"/>
      <c r="J445" s="80"/>
      <c r="K445" s="89"/>
      <c r="L445" s="89"/>
      <c r="M445" s="2082" t="s">
        <v>1288</v>
      </c>
      <c r="N445" s="2082"/>
      <c r="O445" s="2082"/>
      <c r="P445" s="2016"/>
      <c r="Q445" s="2016"/>
      <c r="R445" s="1966"/>
      <c r="S445" s="1966"/>
      <c r="T445" s="1966"/>
      <c r="U445" s="1899" t="s">
        <v>204</v>
      </c>
      <c r="V445" s="1899"/>
      <c r="W445" s="1899"/>
      <c r="X445" s="1899"/>
      <c r="Y445" s="1899"/>
      <c r="Z445" s="1899"/>
      <c r="AA445" s="1899"/>
      <c r="AB445" s="1899"/>
      <c r="AC445" s="1899"/>
      <c r="AD445" s="1899"/>
      <c r="AE445" s="1899"/>
      <c r="AF445" s="1898"/>
      <c r="AG445" s="1898"/>
      <c r="AH445" s="1898"/>
      <c r="AI445" s="1898"/>
      <c r="AJ445" s="1898"/>
      <c r="AK445" s="1898"/>
      <c r="AL445" s="1898"/>
      <c r="AM445" s="1898"/>
      <c r="AN445" s="1898"/>
      <c r="AO445" s="1898"/>
      <c r="AP445" s="1898"/>
      <c r="AQ445" s="1898"/>
      <c r="AR445" s="1910"/>
      <c r="AS445" s="1910"/>
      <c r="AT445" s="1993"/>
      <c r="AU445" s="1993"/>
      <c r="AV445" s="1993"/>
      <c r="AW445" s="1993"/>
      <c r="AX445" s="1993"/>
      <c r="AY445" s="1993"/>
      <c r="AZ445" s="1993"/>
      <c r="BA445" s="1993"/>
      <c r="BB445" s="1993"/>
      <c r="BC445" s="1993"/>
      <c r="BD445" s="1993"/>
      <c r="BE445" s="1993"/>
      <c r="BF445" s="1993"/>
      <c r="BG445" s="1993"/>
      <c r="BH445" s="1993"/>
      <c r="BI445" s="1993"/>
      <c r="BJ445" s="1993"/>
      <c r="BK445" s="1993"/>
      <c r="BL445" s="1993"/>
      <c r="BM445" s="1993"/>
      <c r="BN445" s="1993"/>
      <c r="BO445" s="1993"/>
      <c r="BP445" s="1993"/>
      <c r="BQ445" s="1993"/>
      <c r="BR445" s="1993"/>
      <c r="BS445" s="1895"/>
      <c r="BT445" s="1895"/>
      <c r="BU445" s="1895"/>
      <c r="BV445" s="1889"/>
      <c r="BW445" s="1889"/>
      <c r="BX445" s="1889"/>
      <c r="BY445" s="1889"/>
      <c r="BZ445" s="1896"/>
      <c r="CA445" s="1896"/>
      <c r="CB445" s="1986"/>
      <c r="CC445" s="1987"/>
      <c r="CD445" s="1987"/>
      <c r="CE445" s="1987"/>
      <c r="CF445" s="1987"/>
      <c r="CG445" s="1987"/>
      <c r="CH445" s="1987"/>
      <c r="CI445" s="1987"/>
      <c r="CJ445" s="1987"/>
      <c r="CK445" s="1987"/>
      <c r="CL445" s="1987"/>
      <c r="CM445" s="1987"/>
      <c r="CN445" s="1987"/>
      <c r="CO445" s="1987"/>
      <c r="CP445" s="1987"/>
      <c r="CQ445" s="1987"/>
      <c r="CR445" s="1987"/>
      <c r="CS445" s="1987"/>
      <c r="CT445" s="1987"/>
      <c r="CU445" s="1988"/>
      <c r="CV445" s="2360" t="str">
        <f t="shared" si="445"/>
        <v/>
      </c>
      <c r="CW445" s="2360"/>
      <c r="CX445" s="2360"/>
      <c r="CY445" s="2360"/>
      <c r="CZ445" s="2360"/>
      <c r="DA445" s="2360"/>
      <c r="DC445" s="600" t="str">
        <f t="shared" si="446"/>
        <v/>
      </c>
      <c r="DD445" s="381"/>
      <c r="DF445" s="34"/>
      <c r="DG445" s="34"/>
      <c r="DH445" s="34"/>
      <c r="DI445" s="34"/>
      <c r="DJ445" s="858" t="s">
        <v>5637</v>
      </c>
      <c r="DK445" s="1707" t="str">
        <f t="shared" si="491"/>
        <v/>
      </c>
      <c r="DL445" s="1692" t="str">
        <f t="shared" si="492"/>
        <v/>
      </c>
      <c r="DM445" s="1691">
        <f t="shared" si="447"/>
        <v>0</v>
      </c>
      <c r="DN445" s="111">
        <f t="shared" si="448"/>
        <v>0</v>
      </c>
      <c r="DO445" s="111">
        <f t="shared" si="449"/>
        <v>0</v>
      </c>
      <c r="DP445" s="474">
        <f t="shared" si="450"/>
        <v>0</v>
      </c>
      <c r="DQ445" s="123" t="s">
        <v>828</v>
      </c>
      <c r="DR445" s="473" t="str">
        <f>IF($U445="",R444,U445)</f>
        <v>付室等の排煙設備の設置の状況</v>
      </c>
      <c r="DS445" s="112">
        <f t="shared" si="452"/>
        <v>0</v>
      </c>
      <c r="DT445" s="118" t="str">
        <f t="shared" si="453"/>
        <v/>
      </c>
      <c r="DU445" s="452" t="str">
        <f t="shared" si="454"/>
        <v/>
      </c>
      <c r="DV445" s="453" t="str">
        <f>IF($DT445="要是正",MAX($DV$422:DV444)+1,"")</f>
        <v/>
      </c>
      <c r="DW445" s="32" t="str">
        <f t="shared" si="455"/>
        <v/>
      </c>
      <c r="DX445" s="119" t="str">
        <f t="shared" si="456"/>
        <v/>
      </c>
      <c r="DY445" s="33" t="str">
        <f t="shared" si="457"/>
        <v/>
      </c>
      <c r="DZ445" s="217" t="str">
        <f t="shared" si="458"/>
        <v/>
      </c>
      <c r="EA445" s="466" t="str">
        <f t="shared" si="459"/>
        <v/>
      </c>
      <c r="EB445" s="234" t="str">
        <f t="shared" si="460"/>
        <v/>
      </c>
      <c r="EC445" s="227" t="str">
        <f t="shared" si="461"/>
        <v>0</v>
      </c>
      <c r="ED445" s="148" t="str">
        <f t="shared" si="493"/>
        <v/>
      </c>
      <c r="EE445" s="227" t="str">
        <f t="shared" si="494"/>
        <v>0</v>
      </c>
      <c r="EF445" s="130" t="str">
        <f t="shared" si="462"/>
        <v/>
      </c>
      <c r="EG445" s="204" t="str">
        <f t="shared" si="463"/>
        <v/>
      </c>
      <c r="EH445" s="134" t="str">
        <f t="shared" si="464"/>
        <v>0</v>
      </c>
      <c r="EI445" s="148" t="str">
        <f t="shared" si="495"/>
        <v/>
      </c>
      <c r="EJ445" s="227" t="str">
        <f t="shared" si="496"/>
        <v>0</v>
      </c>
      <c r="EK445" s="451" t="str">
        <f t="shared" si="465"/>
        <v/>
      </c>
      <c r="EL445" s="452" t="e">
        <f t="shared" si="466"/>
        <v>#N/A</v>
      </c>
      <c r="EM445" s="151" t="e">
        <f t="shared" si="467"/>
        <v>#N/A</v>
      </c>
      <c r="EN445" s="453" t="e">
        <f t="shared" si="468"/>
        <v>#N/A</v>
      </c>
      <c r="FK445" s="597" t="str">
        <f t="shared" si="469"/>
        <v/>
      </c>
      <c r="FL445" s="597" t="str">
        <f t="shared" si="386"/>
        <v/>
      </c>
      <c r="FM445" s="597" t="str">
        <f t="shared" si="387"/>
        <v/>
      </c>
      <c r="FN445" s="597">
        <f t="shared" si="470"/>
        <v>0</v>
      </c>
      <c r="FO445" s="1163" t="str">
        <f t="shared" si="471"/>
        <v/>
      </c>
      <c r="FQ445" s="234" t="str">
        <f t="shared" si="472"/>
        <v/>
      </c>
      <c r="FR445" s="227" t="str">
        <f t="shared" si="473"/>
        <v>0</v>
      </c>
      <c r="FS445" s="148" t="str">
        <f t="shared" si="474"/>
        <v/>
      </c>
      <c r="FT445" s="227" t="str">
        <f t="shared" si="475"/>
        <v>0</v>
      </c>
      <c r="FU445" s="416" t="str">
        <f t="shared" si="497"/>
        <v/>
      </c>
      <c r="FW445" s="1160">
        <f t="shared" si="444"/>
        <v>0</v>
      </c>
      <c r="FX445" s="123"/>
      <c r="FY445" s="123"/>
      <c r="FZ445" s="1161"/>
      <c r="GA445" s="34"/>
      <c r="GB445" s="1149">
        <f t="shared" si="498"/>
        <v>0</v>
      </c>
      <c r="GC445" s="1149">
        <f t="shared" si="499"/>
        <v>0</v>
      </c>
      <c r="GD445" s="1149">
        <f t="shared" si="500"/>
        <v>0</v>
      </c>
      <c r="GE445" s="1149" t="str">
        <f t="shared" si="476"/>
        <v/>
      </c>
      <c r="GF445" s="1149" t="str">
        <f t="shared" si="477"/>
        <v/>
      </c>
      <c r="GG445" s="1149" t="str">
        <f t="shared" si="478"/>
        <v/>
      </c>
      <c r="GH445" s="1149" t="str">
        <f t="shared" si="479"/>
        <v/>
      </c>
      <c r="GI445" s="1149" t="str">
        <f t="shared" si="480"/>
        <v/>
      </c>
      <c r="GJ445" s="1149" t="str">
        <f t="shared" si="481"/>
        <v/>
      </c>
      <c r="GK445" s="1149" t="str">
        <f t="shared" si="482"/>
        <v/>
      </c>
      <c r="GL445" s="1149" t="str">
        <f t="shared" si="483"/>
        <v/>
      </c>
      <c r="GM445" s="1149" t="str">
        <f t="shared" si="484"/>
        <v/>
      </c>
      <c r="GN445" s="1149" t="str">
        <f t="shared" si="485"/>
        <v/>
      </c>
      <c r="GO445" s="1149" t="str">
        <f t="shared" si="486"/>
        <v/>
      </c>
      <c r="GP445" s="1149" t="str">
        <f t="shared" si="487"/>
        <v/>
      </c>
      <c r="GQ445" s="1149" t="str">
        <f t="shared" si="488"/>
        <v/>
      </c>
      <c r="GR445" s="1149" t="str">
        <f t="shared" si="489"/>
        <v/>
      </c>
      <c r="GS445" s="1149" t="str">
        <f t="shared" si="490"/>
        <v/>
      </c>
      <c r="GT445" s="1149">
        <f t="shared" si="501"/>
        <v>0</v>
      </c>
      <c r="GU445" s="1149">
        <f t="shared" si="502"/>
        <v>0</v>
      </c>
      <c r="GV445" s="1149">
        <f t="shared" si="503"/>
        <v>0</v>
      </c>
      <c r="GW445" s="1149" t="b">
        <f t="shared" si="504"/>
        <v>0</v>
      </c>
      <c r="GX445" s="1149" t="b">
        <f t="shared" si="505"/>
        <v>0</v>
      </c>
      <c r="GY445" s="1149" t="b">
        <f t="shared" si="506"/>
        <v>0</v>
      </c>
      <c r="GZ445" s="1149" t="str">
        <f t="shared" si="385"/>
        <v/>
      </c>
      <c r="HB445" s="1149" t="str">
        <f t="shared" si="507"/>
        <v/>
      </c>
      <c r="HC445" s="1149" t="str">
        <f t="shared" si="508"/>
        <v/>
      </c>
      <c r="HD445" s="1149" t="str">
        <f t="shared" si="509"/>
        <v/>
      </c>
      <c r="HE445" s="1149" t="str">
        <f t="shared" si="510"/>
        <v/>
      </c>
      <c r="HF445" s="1149" t="str">
        <f t="shared" si="511"/>
        <v/>
      </c>
      <c r="HG445" s="1149" t="str">
        <f t="shared" si="512"/>
        <v/>
      </c>
      <c r="HH445" s="1149" t="str">
        <f t="shared" si="513"/>
        <v/>
      </c>
      <c r="HI445" s="1149" t="str">
        <f t="shared" si="514"/>
        <v/>
      </c>
      <c r="HJ445" s="1149" t="str">
        <f t="shared" si="515"/>
        <v/>
      </c>
      <c r="HK445" s="1149" t="str">
        <f t="shared" si="516"/>
        <v/>
      </c>
      <c r="HL445" s="1149" t="str">
        <f t="shared" si="517"/>
        <v/>
      </c>
      <c r="HM445" s="1149" t="str">
        <f t="shared" si="518"/>
        <v/>
      </c>
      <c r="HN445" s="1149" t="str">
        <f t="shared" si="519"/>
        <v/>
      </c>
      <c r="HO445" s="1149" t="str">
        <f t="shared" si="520"/>
        <v/>
      </c>
      <c r="HP445" s="1149" t="str">
        <f t="shared" si="521"/>
        <v/>
      </c>
      <c r="HQ445" s="1149" t="str">
        <f t="shared" si="522"/>
        <v/>
      </c>
      <c r="HR445" s="1149" t="str">
        <f t="shared" si="523"/>
        <v/>
      </c>
      <c r="HT445" s="1149">
        <f>LEFT(M445,1)*10000+MID(M445,3,LEN(M445)-3)*100+COUNTIF($M$307:M445,M445)</f>
        <v>52001</v>
      </c>
      <c r="HU445" s="1149" t="str">
        <f t="shared" si="524"/>
        <v/>
      </c>
      <c r="HV445" s="1149" t="str">
        <f t="shared" si="525"/>
        <v/>
      </c>
      <c r="HW445" s="1149" t="str">
        <f t="shared" si="526"/>
        <v/>
      </c>
      <c r="HX445" s="1149" t="str">
        <f t="shared" si="527"/>
        <v/>
      </c>
    </row>
    <row r="446" spans="1:232" s="69" customFormat="1" ht="50.15" customHeight="1">
      <c r="A446" s="645"/>
      <c r="B446" s="645"/>
      <c r="C446" s="645"/>
      <c r="D446" s="645"/>
      <c r="E446" s="646"/>
      <c r="F446" s="381"/>
      <c r="G446" s="381"/>
      <c r="H446" s="381"/>
      <c r="J446" s="80"/>
      <c r="K446" s="89"/>
      <c r="L446" s="89"/>
      <c r="M446" s="2082" t="s">
        <v>1289</v>
      </c>
      <c r="N446" s="2082"/>
      <c r="O446" s="2082"/>
      <c r="P446" s="2016"/>
      <c r="Q446" s="2016"/>
      <c r="R446" s="1966"/>
      <c r="S446" s="1966"/>
      <c r="T446" s="1966"/>
      <c r="U446" s="1899" t="s">
        <v>203</v>
      </c>
      <c r="V446" s="1899"/>
      <c r="W446" s="1899"/>
      <c r="X446" s="1899"/>
      <c r="Y446" s="1899"/>
      <c r="Z446" s="1899"/>
      <c r="AA446" s="1899"/>
      <c r="AB446" s="1899"/>
      <c r="AC446" s="1899"/>
      <c r="AD446" s="1899"/>
      <c r="AE446" s="1899"/>
      <c r="AF446" s="1898"/>
      <c r="AG446" s="1898"/>
      <c r="AH446" s="1898"/>
      <c r="AI446" s="1898"/>
      <c r="AJ446" s="1898"/>
      <c r="AK446" s="1898"/>
      <c r="AL446" s="1898"/>
      <c r="AM446" s="1898"/>
      <c r="AN446" s="1898"/>
      <c r="AO446" s="1898"/>
      <c r="AP446" s="1898"/>
      <c r="AQ446" s="1898"/>
      <c r="AR446" s="1910"/>
      <c r="AS446" s="1910"/>
      <c r="AT446" s="1993"/>
      <c r="AU446" s="1993"/>
      <c r="AV446" s="1993"/>
      <c r="AW446" s="1993"/>
      <c r="AX446" s="1993"/>
      <c r="AY446" s="1993"/>
      <c r="AZ446" s="1993"/>
      <c r="BA446" s="1993"/>
      <c r="BB446" s="1993"/>
      <c r="BC446" s="1993"/>
      <c r="BD446" s="1993"/>
      <c r="BE446" s="1993"/>
      <c r="BF446" s="1993"/>
      <c r="BG446" s="1993"/>
      <c r="BH446" s="1993"/>
      <c r="BI446" s="1993"/>
      <c r="BJ446" s="1993"/>
      <c r="BK446" s="1993"/>
      <c r="BL446" s="1993"/>
      <c r="BM446" s="1993"/>
      <c r="BN446" s="1993"/>
      <c r="BO446" s="1993"/>
      <c r="BP446" s="1993"/>
      <c r="BQ446" s="1993"/>
      <c r="BR446" s="1993"/>
      <c r="BS446" s="1895"/>
      <c r="BT446" s="1895"/>
      <c r="BU446" s="1895"/>
      <c r="BV446" s="1889"/>
      <c r="BW446" s="1889"/>
      <c r="BX446" s="1889"/>
      <c r="BY446" s="1889"/>
      <c r="BZ446" s="1896"/>
      <c r="CA446" s="1896"/>
      <c r="CB446" s="1986"/>
      <c r="CC446" s="1987"/>
      <c r="CD446" s="1987"/>
      <c r="CE446" s="1987"/>
      <c r="CF446" s="1987"/>
      <c r="CG446" s="1987"/>
      <c r="CH446" s="1987"/>
      <c r="CI446" s="1987"/>
      <c r="CJ446" s="1987"/>
      <c r="CK446" s="1987"/>
      <c r="CL446" s="1987"/>
      <c r="CM446" s="1987"/>
      <c r="CN446" s="1987"/>
      <c r="CO446" s="1987"/>
      <c r="CP446" s="1987"/>
      <c r="CQ446" s="1987"/>
      <c r="CR446" s="1987"/>
      <c r="CS446" s="1987"/>
      <c r="CT446" s="1987"/>
      <c r="CU446" s="1988"/>
      <c r="CV446" s="2360" t="str">
        <f t="shared" si="445"/>
        <v/>
      </c>
      <c r="CW446" s="2360"/>
      <c r="CX446" s="2360"/>
      <c r="CY446" s="2360"/>
      <c r="CZ446" s="2360"/>
      <c r="DA446" s="2360"/>
      <c r="DC446" s="600" t="str">
        <f t="shared" si="446"/>
        <v/>
      </c>
      <c r="DD446" s="381"/>
      <c r="DF446" s="34"/>
      <c r="DG446" s="34"/>
      <c r="DH446" s="34"/>
      <c r="DI446" s="34"/>
      <c r="DJ446" s="858" t="s">
        <v>5637</v>
      </c>
      <c r="DK446" s="1707" t="str">
        <f t="shared" si="491"/>
        <v/>
      </c>
      <c r="DL446" s="1692" t="str">
        <f t="shared" si="492"/>
        <v/>
      </c>
      <c r="DM446" s="1691">
        <f t="shared" si="447"/>
        <v>0</v>
      </c>
      <c r="DN446" s="111">
        <f t="shared" si="448"/>
        <v>0</v>
      </c>
      <c r="DO446" s="111">
        <f t="shared" si="449"/>
        <v>0</v>
      </c>
      <c r="DP446" s="474">
        <f t="shared" si="450"/>
        <v>0</v>
      </c>
      <c r="DQ446" s="123" t="s">
        <v>829</v>
      </c>
      <c r="DR446" s="473" t="str">
        <f>IF($U446="",R444,U446)</f>
        <v>付室等の排煙設備の作動の状況</v>
      </c>
      <c r="DS446" s="112">
        <f t="shared" si="452"/>
        <v>0</v>
      </c>
      <c r="DT446" s="118" t="str">
        <f t="shared" si="453"/>
        <v/>
      </c>
      <c r="DU446" s="452" t="str">
        <f t="shared" si="454"/>
        <v/>
      </c>
      <c r="DV446" s="453" t="str">
        <f>IF($DT446="要是正",MAX($DV$422:DV445)+1,"")</f>
        <v/>
      </c>
      <c r="DW446" s="32" t="str">
        <f t="shared" si="455"/>
        <v/>
      </c>
      <c r="DX446" s="119" t="str">
        <f t="shared" si="456"/>
        <v/>
      </c>
      <c r="DY446" s="33" t="str">
        <f t="shared" si="457"/>
        <v/>
      </c>
      <c r="DZ446" s="217" t="str">
        <f t="shared" si="458"/>
        <v/>
      </c>
      <c r="EA446" s="466" t="str">
        <f t="shared" si="459"/>
        <v/>
      </c>
      <c r="EB446" s="234" t="str">
        <f t="shared" si="460"/>
        <v/>
      </c>
      <c r="EC446" s="227" t="str">
        <f t="shared" si="461"/>
        <v>0</v>
      </c>
      <c r="ED446" s="148" t="str">
        <f t="shared" si="493"/>
        <v/>
      </c>
      <c r="EE446" s="227" t="str">
        <f t="shared" si="494"/>
        <v>0</v>
      </c>
      <c r="EF446" s="130" t="str">
        <f t="shared" si="462"/>
        <v/>
      </c>
      <c r="EG446" s="204" t="str">
        <f t="shared" si="463"/>
        <v/>
      </c>
      <c r="EH446" s="134" t="str">
        <f t="shared" si="464"/>
        <v>0</v>
      </c>
      <c r="EI446" s="148" t="str">
        <f t="shared" si="495"/>
        <v/>
      </c>
      <c r="EJ446" s="227" t="str">
        <f t="shared" si="496"/>
        <v>0</v>
      </c>
      <c r="EK446" s="451" t="str">
        <f t="shared" si="465"/>
        <v/>
      </c>
      <c r="EL446" s="452" t="e">
        <f t="shared" si="466"/>
        <v>#N/A</v>
      </c>
      <c r="EM446" s="151" t="e">
        <f t="shared" si="467"/>
        <v>#N/A</v>
      </c>
      <c r="EN446" s="453" t="e">
        <f t="shared" si="468"/>
        <v>#N/A</v>
      </c>
      <c r="FK446" s="597" t="str">
        <f t="shared" si="469"/>
        <v/>
      </c>
      <c r="FL446" s="597" t="str">
        <f t="shared" si="386"/>
        <v/>
      </c>
      <c r="FM446" s="597" t="str">
        <f t="shared" si="387"/>
        <v/>
      </c>
      <c r="FN446" s="597">
        <f t="shared" si="470"/>
        <v>0</v>
      </c>
      <c r="FO446" s="1163" t="str">
        <f t="shared" si="471"/>
        <v/>
      </c>
      <c r="FQ446" s="234" t="str">
        <f t="shared" si="472"/>
        <v/>
      </c>
      <c r="FR446" s="227" t="str">
        <f t="shared" si="473"/>
        <v>0</v>
      </c>
      <c r="FS446" s="148" t="str">
        <f t="shared" si="474"/>
        <v/>
      </c>
      <c r="FT446" s="227" t="str">
        <f t="shared" si="475"/>
        <v>0</v>
      </c>
      <c r="FU446" s="416" t="str">
        <f t="shared" si="497"/>
        <v/>
      </c>
      <c r="FW446" s="1160">
        <f t="shared" si="444"/>
        <v>0</v>
      </c>
      <c r="FX446" s="123"/>
      <c r="FY446" s="123"/>
      <c r="FZ446" s="1161"/>
      <c r="GA446" s="34"/>
      <c r="GB446" s="1149">
        <f t="shared" si="498"/>
        <v>0</v>
      </c>
      <c r="GC446" s="1149">
        <f t="shared" si="499"/>
        <v>0</v>
      </c>
      <c r="GD446" s="1149">
        <f t="shared" si="500"/>
        <v>0</v>
      </c>
      <c r="GE446" s="1149" t="str">
        <f t="shared" si="476"/>
        <v/>
      </c>
      <c r="GF446" s="1149" t="str">
        <f t="shared" si="477"/>
        <v/>
      </c>
      <c r="GG446" s="1149" t="str">
        <f t="shared" si="478"/>
        <v/>
      </c>
      <c r="GH446" s="1149" t="str">
        <f t="shared" si="479"/>
        <v/>
      </c>
      <c r="GI446" s="1149" t="str">
        <f t="shared" si="480"/>
        <v/>
      </c>
      <c r="GJ446" s="1149" t="str">
        <f t="shared" si="481"/>
        <v/>
      </c>
      <c r="GK446" s="1149" t="str">
        <f t="shared" si="482"/>
        <v/>
      </c>
      <c r="GL446" s="1149" t="str">
        <f t="shared" si="483"/>
        <v/>
      </c>
      <c r="GM446" s="1149" t="str">
        <f t="shared" si="484"/>
        <v/>
      </c>
      <c r="GN446" s="1149" t="str">
        <f t="shared" si="485"/>
        <v/>
      </c>
      <c r="GO446" s="1149" t="str">
        <f t="shared" si="486"/>
        <v/>
      </c>
      <c r="GP446" s="1149" t="str">
        <f t="shared" si="487"/>
        <v/>
      </c>
      <c r="GQ446" s="1149" t="str">
        <f t="shared" si="488"/>
        <v/>
      </c>
      <c r="GR446" s="1149" t="str">
        <f t="shared" si="489"/>
        <v/>
      </c>
      <c r="GS446" s="1149" t="str">
        <f t="shared" si="490"/>
        <v/>
      </c>
      <c r="GT446" s="1149">
        <f t="shared" si="501"/>
        <v>0</v>
      </c>
      <c r="GU446" s="1149">
        <f t="shared" si="502"/>
        <v>0</v>
      </c>
      <c r="GV446" s="1149">
        <f t="shared" si="503"/>
        <v>0</v>
      </c>
      <c r="GW446" s="1149" t="b">
        <f t="shared" si="504"/>
        <v>0</v>
      </c>
      <c r="GX446" s="1149" t="b">
        <f t="shared" si="505"/>
        <v>0</v>
      </c>
      <c r="GY446" s="1149" t="b">
        <f t="shared" si="506"/>
        <v>0</v>
      </c>
      <c r="GZ446" s="1149" t="str">
        <f t="shared" si="385"/>
        <v/>
      </c>
      <c r="HB446" s="1149" t="str">
        <f t="shared" si="507"/>
        <v/>
      </c>
      <c r="HC446" s="1149" t="str">
        <f t="shared" si="508"/>
        <v/>
      </c>
      <c r="HD446" s="1149" t="str">
        <f t="shared" si="509"/>
        <v/>
      </c>
      <c r="HE446" s="1149" t="str">
        <f t="shared" si="510"/>
        <v/>
      </c>
      <c r="HF446" s="1149" t="str">
        <f t="shared" si="511"/>
        <v/>
      </c>
      <c r="HG446" s="1149" t="str">
        <f t="shared" si="512"/>
        <v/>
      </c>
      <c r="HH446" s="1149" t="str">
        <f t="shared" si="513"/>
        <v/>
      </c>
      <c r="HI446" s="1149" t="str">
        <f t="shared" si="514"/>
        <v/>
      </c>
      <c r="HJ446" s="1149" t="str">
        <f t="shared" si="515"/>
        <v/>
      </c>
      <c r="HK446" s="1149" t="str">
        <f t="shared" si="516"/>
        <v/>
      </c>
      <c r="HL446" s="1149" t="str">
        <f t="shared" si="517"/>
        <v/>
      </c>
      <c r="HM446" s="1149" t="str">
        <f t="shared" si="518"/>
        <v/>
      </c>
      <c r="HN446" s="1149" t="str">
        <f t="shared" si="519"/>
        <v/>
      </c>
      <c r="HO446" s="1149" t="str">
        <f t="shared" si="520"/>
        <v/>
      </c>
      <c r="HP446" s="1149" t="str">
        <f t="shared" si="521"/>
        <v/>
      </c>
      <c r="HQ446" s="1149" t="str">
        <f t="shared" si="522"/>
        <v/>
      </c>
      <c r="HR446" s="1149" t="str">
        <f t="shared" si="523"/>
        <v/>
      </c>
      <c r="HT446" s="1149">
        <f>LEFT(M446,1)*10000+MID(M446,3,LEN(M446)-3)*100+COUNTIF($M$307:M446,M446)</f>
        <v>52101</v>
      </c>
      <c r="HU446" s="1149" t="str">
        <f t="shared" si="524"/>
        <v/>
      </c>
      <c r="HV446" s="1149" t="str">
        <f t="shared" si="525"/>
        <v/>
      </c>
      <c r="HW446" s="1149" t="str">
        <f t="shared" si="526"/>
        <v/>
      </c>
      <c r="HX446" s="1149" t="str">
        <f t="shared" si="527"/>
        <v/>
      </c>
    </row>
    <row r="447" spans="1:232" s="69" customFormat="1" ht="50.15" customHeight="1">
      <c r="A447" s="645"/>
      <c r="B447" s="645"/>
      <c r="C447" s="645"/>
      <c r="D447" s="645"/>
      <c r="E447" s="646"/>
      <c r="F447" s="381"/>
      <c r="G447" s="381"/>
      <c r="H447" s="381"/>
      <c r="J447" s="80"/>
      <c r="K447" s="89"/>
      <c r="L447" s="89"/>
      <c r="M447" s="2082" t="s">
        <v>1290</v>
      </c>
      <c r="N447" s="2082"/>
      <c r="O447" s="2082"/>
      <c r="P447" s="2016"/>
      <c r="Q447" s="2016"/>
      <c r="R447" s="1966"/>
      <c r="S447" s="1966"/>
      <c r="T447" s="1966"/>
      <c r="U447" s="1899" t="s">
        <v>202</v>
      </c>
      <c r="V447" s="1899"/>
      <c r="W447" s="1899"/>
      <c r="X447" s="1899"/>
      <c r="Y447" s="1899"/>
      <c r="Z447" s="1899"/>
      <c r="AA447" s="1899"/>
      <c r="AB447" s="1899"/>
      <c r="AC447" s="1899"/>
      <c r="AD447" s="1899"/>
      <c r="AE447" s="1899"/>
      <c r="AF447" s="1898"/>
      <c r="AG447" s="1898"/>
      <c r="AH447" s="1898"/>
      <c r="AI447" s="1898"/>
      <c r="AJ447" s="1898"/>
      <c r="AK447" s="1898"/>
      <c r="AL447" s="1898"/>
      <c r="AM447" s="1898"/>
      <c r="AN447" s="1898"/>
      <c r="AO447" s="1898"/>
      <c r="AP447" s="1898"/>
      <c r="AQ447" s="1898"/>
      <c r="AR447" s="1910"/>
      <c r="AS447" s="1910"/>
      <c r="AT447" s="1993"/>
      <c r="AU447" s="1993"/>
      <c r="AV447" s="1993"/>
      <c r="AW447" s="1993"/>
      <c r="AX447" s="1993"/>
      <c r="AY447" s="1993"/>
      <c r="AZ447" s="1993"/>
      <c r="BA447" s="1993"/>
      <c r="BB447" s="1993"/>
      <c r="BC447" s="1993"/>
      <c r="BD447" s="1993"/>
      <c r="BE447" s="1993"/>
      <c r="BF447" s="1993"/>
      <c r="BG447" s="1993"/>
      <c r="BH447" s="1993"/>
      <c r="BI447" s="1993"/>
      <c r="BJ447" s="1993"/>
      <c r="BK447" s="1993"/>
      <c r="BL447" s="1993"/>
      <c r="BM447" s="1993"/>
      <c r="BN447" s="1993"/>
      <c r="BO447" s="1993"/>
      <c r="BP447" s="1993"/>
      <c r="BQ447" s="1993"/>
      <c r="BR447" s="1993"/>
      <c r="BS447" s="1895"/>
      <c r="BT447" s="1895"/>
      <c r="BU447" s="1895"/>
      <c r="BV447" s="1889"/>
      <c r="BW447" s="1889"/>
      <c r="BX447" s="1889"/>
      <c r="BY447" s="1889"/>
      <c r="BZ447" s="1896"/>
      <c r="CA447" s="1896"/>
      <c r="CB447" s="1986"/>
      <c r="CC447" s="1987"/>
      <c r="CD447" s="1987"/>
      <c r="CE447" s="1987"/>
      <c r="CF447" s="1987"/>
      <c r="CG447" s="1987"/>
      <c r="CH447" s="1987"/>
      <c r="CI447" s="1987"/>
      <c r="CJ447" s="1987"/>
      <c r="CK447" s="1987"/>
      <c r="CL447" s="1987"/>
      <c r="CM447" s="1987"/>
      <c r="CN447" s="1987"/>
      <c r="CO447" s="1987"/>
      <c r="CP447" s="1987"/>
      <c r="CQ447" s="1987"/>
      <c r="CR447" s="1987"/>
      <c r="CS447" s="1987"/>
      <c r="CT447" s="1987"/>
      <c r="CU447" s="1988"/>
      <c r="CV447" s="2360" t="str">
        <f t="shared" si="445"/>
        <v/>
      </c>
      <c r="CW447" s="2360"/>
      <c r="CX447" s="2360"/>
      <c r="CY447" s="2360"/>
      <c r="CZ447" s="2360"/>
      <c r="DA447" s="2360"/>
      <c r="DC447" s="600" t="str">
        <f t="shared" si="446"/>
        <v/>
      </c>
      <c r="DD447" s="381"/>
      <c r="DF447" s="34"/>
      <c r="DG447" s="34"/>
      <c r="DH447" s="34"/>
      <c r="DI447" s="34"/>
      <c r="DJ447" s="858" t="s">
        <v>5637</v>
      </c>
      <c r="DK447" s="1707" t="str">
        <f t="shared" si="491"/>
        <v/>
      </c>
      <c r="DL447" s="1692" t="str">
        <f t="shared" si="492"/>
        <v/>
      </c>
      <c r="DM447" s="1691">
        <f t="shared" si="447"/>
        <v>0</v>
      </c>
      <c r="DN447" s="111">
        <f t="shared" si="448"/>
        <v>0</v>
      </c>
      <c r="DO447" s="111">
        <f t="shared" si="449"/>
        <v>0</v>
      </c>
      <c r="DP447" s="474">
        <f t="shared" si="450"/>
        <v>0</v>
      </c>
      <c r="DQ447" s="123" t="s">
        <v>830</v>
      </c>
      <c r="DR447" s="473" t="str">
        <f>IF($U447="",R444,U447)</f>
        <v>付室等の外気に向かって開くことができる窓の状況</v>
      </c>
      <c r="DS447" s="112">
        <f t="shared" si="452"/>
        <v>0</v>
      </c>
      <c r="DT447" s="118" t="str">
        <f t="shared" si="453"/>
        <v/>
      </c>
      <c r="DU447" s="452" t="str">
        <f t="shared" si="454"/>
        <v/>
      </c>
      <c r="DV447" s="453" t="str">
        <f>IF($DT447="要是正",MAX($DV$422:DV446)+1,"")</f>
        <v/>
      </c>
      <c r="DW447" s="32" t="str">
        <f t="shared" si="455"/>
        <v/>
      </c>
      <c r="DX447" s="119" t="str">
        <f t="shared" si="456"/>
        <v/>
      </c>
      <c r="DY447" s="33" t="str">
        <f t="shared" si="457"/>
        <v/>
      </c>
      <c r="DZ447" s="217" t="str">
        <f t="shared" si="458"/>
        <v/>
      </c>
      <c r="EA447" s="466" t="str">
        <f t="shared" si="459"/>
        <v/>
      </c>
      <c r="EB447" s="234" t="str">
        <f t="shared" si="460"/>
        <v/>
      </c>
      <c r="EC447" s="227" t="str">
        <f t="shared" si="461"/>
        <v>0</v>
      </c>
      <c r="ED447" s="148" t="str">
        <f t="shared" si="493"/>
        <v/>
      </c>
      <c r="EE447" s="227" t="str">
        <f t="shared" si="494"/>
        <v>0</v>
      </c>
      <c r="EF447" s="130" t="str">
        <f t="shared" si="462"/>
        <v/>
      </c>
      <c r="EG447" s="204" t="str">
        <f t="shared" si="463"/>
        <v/>
      </c>
      <c r="EH447" s="134" t="str">
        <f t="shared" si="464"/>
        <v>0</v>
      </c>
      <c r="EI447" s="148" t="str">
        <f t="shared" si="495"/>
        <v/>
      </c>
      <c r="EJ447" s="227" t="str">
        <f t="shared" si="496"/>
        <v>0</v>
      </c>
      <c r="EK447" s="451" t="str">
        <f t="shared" si="465"/>
        <v/>
      </c>
      <c r="EL447" s="452" t="e">
        <f t="shared" si="466"/>
        <v>#N/A</v>
      </c>
      <c r="EM447" s="151" t="e">
        <f t="shared" si="467"/>
        <v>#N/A</v>
      </c>
      <c r="EN447" s="453" t="e">
        <f t="shared" si="468"/>
        <v>#N/A</v>
      </c>
      <c r="FK447" s="597" t="str">
        <f t="shared" si="469"/>
        <v/>
      </c>
      <c r="FL447" s="597" t="str">
        <f t="shared" si="386"/>
        <v/>
      </c>
      <c r="FM447" s="597" t="str">
        <f t="shared" si="387"/>
        <v/>
      </c>
      <c r="FN447" s="597">
        <f t="shared" si="470"/>
        <v>0</v>
      </c>
      <c r="FO447" s="1163" t="str">
        <f t="shared" si="471"/>
        <v/>
      </c>
      <c r="FQ447" s="234" t="str">
        <f t="shared" si="472"/>
        <v/>
      </c>
      <c r="FR447" s="227" t="str">
        <f t="shared" si="473"/>
        <v>0</v>
      </c>
      <c r="FS447" s="148" t="str">
        <f t="shared" si="474"/>
        <v/>
      </c>
      <c r="FT447" s="227" t="str">
        <f t="shared" si="475"/>
        <v>0</v>
      </c>
      <c r="FU447" s="416" t="str">
        <f t="shared" si="497"/>
        <v/>
      </c>
      <c r="FW447" s="1160">
        <f t="shared" si="444"/>
        <v>0</v>
      </c>
      <c r="FX447" s="123"/>
      <c r="FY447" s="123"/>
      <c r="FZ447" s="1161"/>
      <c r="GA447" s="34"/>
      <c r="GB447" s="1149">
        <f t="shared" si="498"/>
        <v>0</v>
      </c>
      <c r="GC447" s="1149">
        <f t="shared" si="499"/>
        <v>0</v>
      </c>
      <c r="GD447" s="1149">
        <f t="shared" si="500"/>
        <v>0</v>
      </c>
      <c r="GE447" s="1149" t="str">
        <f t="shared" si="476"/>
        <v/>
      </c>
      <c r="GF447" s="1149" t="str">
        <f t="shared" si="477"/>
        <v/>
      </c>
      <c r="GG447" s="1149" t="str">
        <f t="shared" si="478"/>
        <v/>
      </c>
      <c r="GH447" s="1149" t="str">
        <f t="shared" si="479"/>
        <v/>
      </c>
      <c r="GI447" s="1149" t="str">
        <f t="shared" si="480"/>
        <v/>
      </c>
      <c r="GJ447" s="1149" t="str">
        <f t="shared" si="481"/>
        <v/>
      </c>
      <c r="GK447" s="1149" t="str">
        <f t="shared" si="482"/>
        <v/>
      </c>
      <c r="GL447" s="1149" t="str">
        <f t="shared" si="483"/>
        <v/>
      </c>
      <c r="GM447" s="1149" t="str">
        <f t="shared" si="484"/>
        <v/>
      </c>
      <c r="GN447" s="1149" t="str">
        <f t="shared" si="485"/>
        <v/>
      </c>
      <c r="GO447" s="1149" t="str">
        <f t="shared" si="486"/>
        <v/>
      </c>
      <c r="GP447" s="1149" t="str">
        <f t="shared" si="487"/>
        <v/>
      </c>
      <c r="GQ447" s="1149" t="str">
        <f t="shared" si="488"/>
        <v/>
      </c>
      <c r="GR447" s="1149" t="str">
        <f t="shared" si="489"/>
        <v/>
      </c>
      <c r="GS447" s="1149" t="str">
        <f t="shared" si="490"/>
        <v/>
      </c>
      <c r="GT447" s="1149">
        <f t="shared" si="501"/>
        <v>0</v>
      </c>
      <c r="GU447" s="1149">
        <f t="shared" si="502"/>
        <v>0</v>
      </c>
      <c r="GV447" s="1149">
        <f t="shared" si="503"/>
        <v>0</v>
      </c>
      <c r="GW447" s="1149" t="b">
        <f t="shared" si="504"/>
        <v>0</v>
      </c>
      <c r="GX447" s="1149" t="b">
        <f t="shared" si="505"/>
        <v>0</v>
      </c>
      <c r="GY447" s="1149" t="b">
        <f t="shared" si="506"/>
        <v>0</v>
      </c>
      <c r="GZ447" s="1149" t="str">
        <f t="shared" si="385"/>
        <v/>
      </c>
      <c r="HB447" s="1149" t="str">
        <f t="shared" si="507"/>
        <v/>
      </c>
      <c r="HC447" s="1149" t="str">
        <f t="shared" si="508"/>
        <v/>
      </c>
      <c r="HD447" s="1149" t="str">
        <f t="shared" si="509"/>
        <v/>
      </c>
      <c r="HE447" s="1149" t="str">
        <f t="shared" si="510"/>
        <v/>
      </c>
      <c r="HF447" s="1149" t="str">
        <f t="shared" si="511"/>
        <v/>
      </c>
      <c r="HG447" s="1149" t="str">
        <f t="shared" si="512"/>
        <v/>
      </c>
      <c r="HH447" s="1149" t="str">
        <f t="shared" si="513"/>
        <v/>
      </c>
      <c r="HI447" s="1149" t="str">
        <f t="shared" si="514"/>
        <v/>
      </c>
      <c r="HJ447" s="1149" t="str">
        <f t="shared" si="515"/>
        <v/>
      </c>
      <c r="HK447" s="1149" t="str">
        <f t="shared" si="516"/>
        <v/>
      </c>
      <c r="HL447" s="1149" t="str">
        <f t="shared" si="517"/>
        <v/>
      </c>
      <c r="HM447" s="1149" t="str">
        <f t="shared" si="518"/>
        <v/>
      </c>
      <c r="HN447" s="1149" t="str">
        <f t="shared" si="519"/>
        <v/>
      </c>
      <c r="HO447" s="1149" t="str">
        <f t="shared" si="520"/>
        <v/>
      </c>
      <c r="HP447" s="1149" t="str">
        <f t="shared" si="521"/>
        <v/>
      </c>
      <c r="HQ447" s="1149" t="str">
        <f t="shared" si="522"/>
        <v/>
      </c>
      <c r="HR447" s="1149" t="str">
        <f t="shared" si="523"/>
        <v/>
      </c>
      <c r="HT447" s="1149">
        <f>LEFT(M447,1)*10000+MID(M447,3,LEN(M447)-3)*100+COUNTIF($M$307:M447,M447)</f>
        <v>52201</v>
      </c>
      <c r="HU447" s="1149" t="str">
        <f t="shared" si="524"/>
        <v/>
      </c>
      <c r="HV447" s="1149" t="str">
        <f t="shared" si="525"/>
        <v/>
      </c>
      <c r="HW447" s="1149" t="str">
        <f t="shared" si="526"/>
        <v/>
      </c>
      <c r="HX447" s="1149" t="str">
        <f t="shared" si="527"/>
        <v/>
      </c>
    </row>
    <row r="448" spans="1:232" s="69" customFormat="1" ht="50.15" customHeight="1">
      <c r="A448" s="645"/>
      <c r="B448" s="645"/>
      <c r="C448" s="645"/>
      <c r="D448" s="645"/>
      <c r="E448" s="646"/>
      <c r="F448" s="381"/>
      <c r="G448" s="381"/>
      <c r="H448" s="381"/>
      <c r="J448" s="80"/>
      <c r="K448" s="89"/>
      <c r="L448" s="89"/>
      <c r="M448" s="2082" t="s">
        <v>1291</v>
      </c>
      <c r="N448" s="2082"/>
      <c r="O448" s="2082"/>
      <c r="P448" s="2016"/>
      <c r="Q448" s="2016"/>
      <c r="R448" s="1966"/>
      <c r="S448" s="1966"/>
      <c r="T448" s="1966"/>
      <c r="U448" s="1956" t="s">
        <v>115</v>
      </c>
      <c r="V448" s="1956"/>
      <c r="W448" s="1956"/>
      <c r="X448" s="1956"/>
      <c r="Y448" s="1956"/>
      <c r="Z448" s="1956"/>
      <c r="AA448" s="1956"/>
      <c r="AB448" s="1956"/>
      <c r="AC448" s="1956"/>
      <c r="AD448" s="1956"/>
      <c r="AE448" s="1956"/>
      <c r="AF448" s="2025"/>
      <c r="AG448" s="2025"/>
      <c r="AH448" s="2025"/>
      <c r="AI448" s="2025"/>
      <c r="AJ448" s="2025"/>
      <c r="AK448" s="2025"/>
      <c r="AL448" s="2025"/>
      <c r="AM448" s="2025"/>
      <c r="AN448" s="2025"/>
      <c r="AO448" s="2025"/>
      <c r="AP448" s="2025"/>
      <c r="AQ448" s="2025"/>
      <c r="AR448" s="2026"/>
      <c r="AS448" s="2026"/>
      <c r="AT448" s="1997"/>
      <c r="AU448" s="1997"/>
      <c r="AV448" s="1997"/>
      <c r="AW448" s="1997"/>
      <c r="AX448" s="1997"/>
      <c r="AY448" s="1997"/>
      <c r="AZ448" s="1997"/>
      <c r="BA448" s="1997"/>
      <c r="BB448" s="1997"/>
      <c r="BC448" s="1997"/>
      <c r="BD448" s="1997"/>
      <c r="BE448" s="1997"/>
      <c r="BF448" s="1997"/>
      <c r="BG448" s="1997"/>
      <c r="BH448" s="1997"/>
      <c r="BI448" s="1997"/>
      <c r="BJ448" s="1997"/>
      <c r="BK448" s="1997"/>
      <c r="BL448" s="1997"/>
      <c r="BM448" s="1997"/>
      <c r="BN448" s="1997"/>
      <c r="BO448" s="1997"/>
      <c r="BP448" s="1997"/>
      <c r="BQ448" s="1997"/>
      <c r="BR448" s="1997"/>
      <c r="BS448" s="1991"/>
      <c r="BT448" s="1991"/>
      <c r="BU448" s="1991"/>
      <c r="BV448" s="1982"/>
      <c r="BW448" s="1982"/>
      <c r="BX448" s="1982"/>
      <c r="BY448" s="1982"/>
      <c r="BZ448" s="1992"/>
      <c r="CA448" s="1992"/>
      <c r="CB448" s="2000"/>
      <c r="CC448" s="2001"/>
      <c r="CD448" s="2001"/>
      <c r="CE448" s="2001"/>
      <c r="CF448" s="2001"/>
      <c r="CG448" s="2001"/>
      <c r="CH448" s="2001"/>
      <c r="CI448" s="2001"/>
      <c r="CJ448" s="2001"/>
      <c r="CK448" s="2001"/>
      <c r="CL448" s="2001"/>
      <c r="CM448" s="2001"/>
      <c r="CN448" s="2001"/>
      <c r="CO448" s="2001"/>
      <c r="CP448" s="2001"/>
      <c r="CQ448" s="2001"/>
      <c r="CR448" s="2001"/>
      <c r="CS448" s="2001"/>
      <c r="CT448" s="2001"/>
      <c r="CU448" s="2002"/>
      <c r="CV448" s="2360" t="str">
        <f t="shared" si="445"/>
        <v/>
      </c>
      <c r="CW448" s="2360"/>
      <c r="CX448" s="2360"/>
      <c r="CY448" s="2360"/>
      <c r="CZ448" s="2360"/>
      <c r="DA448" s="2360"/>
      <c r="DC448" s="600" t="str">
        <f t="shared" si="446"/>
        <v/>
      </c>
      <c r="DD448" s="381"/>
      <c r="DF448" s="34"/>
      <c r="DG448" s="34"/>
      <c r="DH448" s="34"/>
      <c r="DI448" s="34"/>
      <c r="DJ448" s="858" t="s">
        <v>5637</v>
      </c>
      <c r="DK448" s="1707" t="str">
        <f t="shared" si="491"/>
        <v/>
      </c>
      <c r="DL448" s="1692" t="str">
        <f t="shared" si="492"/>
        <v/>
      </c>
      <c r="DM448" s="1691">
        <f t="shared" si="447"/>
        <v>0</v>
      </c>
      <c r="DN448" s="111">
        <f t="shared" si="448"/>
        <v>0</v>
      </c>
      <c r="DO448" s="111">
        <f t="shared" si="449"/>
        <v>0</v>
      </c>
      <c r="DP448" s="474">
        <f t="shared" si="450"/>
        <v>0</v>
      </c>
      <c r="DQ448" s="123" t="s">
        <v>831</v>
      </c>
      <c r="DR448" s="473" t="str">
        <f>IF($U448="",R444,U448)</f>
        <v>物品の放置の状況</v>
      </c>
      <c r="DS448" s="112">
        <f t="shared" si="452"/>
        <v>0</v>
      </c>
      <c r="DT448" s="118" t="str">
        <f t="shared" si="453"/>
        <v/>
      </c>
      <c r="DU448" s="452" t="str">
        <f t="shared" si="454"/>
        <v/>
      </c>
      <c r="DV448" s="453" t="str">
        <f>IF($DT448="要是正",MAX($DV$422:DV447)+1,"")</f>
        <v/>
      </c>
      <c r="DW448" s="32" t="str">
        <f t="shared" si="455"/>
        <v/>
      </c>
      <c r="DX448" s="119" t="str">
        <f t="shared" si="456"/>
        <v/>
      </c>
      <c r="DY448" s="33" t="str">
        <f t="shared" si="457"/>
        <v/>
      </c>
      <c r="DZ448" s="217" t="str">
        <f t="shared" si="458"/>
        <v/>
      </c>
      <c r="EA448" s="466" t="str">
        <f t="shared" si="459"/>
        <v/>
      </c>
      <c r="EB448" s="234" t="str">
        <f t="shared" si="460"/>
        <v/>
      </c>
      <c r="EC448" s="227" t="str">
        <f t="shared" si="461"/>
        <v>0</v>
      </c>
      <c r="ED448" s="148" t="str">
        <f t="shared" si="493"/>
        <v/>
      </c>
      <c r="EE448" s="227" t="str">
        <f t="shared" si="494"/>
        <v>0</v>
      </c>
      <c r="EF448" s="130" t="str">
        <f t="shared" si="462"/>
        <v/>
      </c>
      <c r="EG448" s="204" t="str">
        <f t="shared" si="463"/>
        <v/>
      </c>
      <c r="EH448" s="134" t="str">
        <f t="shared" si="464"/>
        <v>0</v>
      </c>
      <c r="EI448" s="148" t="str">
        <f t="shared" si="495"/>
        <v/>
      </c>
      <c r="EJ448" s="227" t="str">
        <f t="shared" si="496"/>
        <v>0</v>
      </c>
      <c r="EK448" s="451" t="str">
        <f t="shared" si="465"/>
        <v/>
      </c>
      <c r="EL448" s="452" t="e">
        <f t="shared" si="466"/>
        <v>#N/A</v>
      </c>
      <c r="EM448" s="151" t="e">
        <f t="shared" si="467"/>
        <v>#N/A</v>
      </c>
      <c r="EN448" s="453" t="e">
        <f t="shared" si="468"/>
        <v>#N/A</v>
      </c>
      <c r="FK448" s="597" t="str">
        <f t="shared" si="469"/>
        <v/>
      </c>
      <c r="FL448" s="597" t="str">
        <f t="shared" si="386"/>
        <v/>
      </c>
      <c r="FM448" s="597" t="str">
        <f t="shared" si="387"/>
        <v/>
      </c>
      <c r="FN448" s="597">
        <f t="shared" si="470"/>
        <v>0</v>
      </c>
      <c r="FO448" s="1163" t="str">
        <f t="shared" si="471"/>
        <v/>
      </c>
      <c r="FQ448" s="234" t="str">
        <f t="shared" si="472"/>
        <v/>
      </c>
      <c r="FR448" s="227" t="str">
        <f t="shared" si="473"/>
        <v>0</v>
      </c>
      <c r="FS448" s="148" t="str">
        <f t="shared" si="474"/>
        <v/>
      </c>
      <c r="FT448" s="227" t="str">
        <f t="shared" si="475"/>
        <v>0</v>
      </c>
      <c r="FU448" s="416" t="str">
        <f t="shared" si="497"/>
        <v/>
      </c>
      <c r="FW448" s="1160">
        <f t="shared" si="444"/>
        <v>0</v>
      </c>
      <c r="FX448" s="123"/>
      <c r="FY448" s="123"/>
      <c r="FZ448" s="1161"/>
      <c r="GA448" s="34"/>
      <c r="GB448" s="1149">
        <f t="shared" si="498"/>
        <v>0</v>
      </c>
      <c r="GC448" s="1149">
        <f t="shared" si="499"/>
        <v>0</v>
      </c>
      <c r="GD448" s="1149">
        <f t="shared" si="500"/>
        <v>0</v>
      </c>
      <c r="GE448" s="1149" t="str">
        <f t="shared" si="476"/>
        <v/>
      </c>
      <c r="GF448" s="1149" t="str">
        <f t="shared" si="477"/>
        <v/>
      </c>
      <c r="GG448" s="1149" t="str">
        <f t="shared" si="478"/>
        <v/>
      </c>
      <c r="GH448" s="1149" t="str">
        <f t="shared" si="479"/>
        <v/>
      </c>
      <c r="GI448" s="1149" t="str">
        <f t="shared" si="480"/>
        <v/>
      </c>
      <c r="GJ448" s="1149" t="str">
        <f t="shared" si="481"/>
        <v/>
      </c>
      <c r="GK448" s="1149" t="str">
        <f t="shared" si="482"/>
        <v/>
      </c>
      <c r="GL448" s="1149" t="str">
        <f t="shared" si="483"/>
        <v/>
      </c>
      <c r="GM448" s="1149" t="str">
        <f t="shared" si="484"/>
        <v/>
      </c>
      <c r="GN448" s="1149" t="str">
        <f t="shared" si="485"/>
        <v/>
      </c>
      <c r="GO448" s="1149" t="str">
        <f t="shared" si="486"/>
        <v/>
      </c>
      <c r="GP448" s="1149" t="str">
        <f t="shared" si="487"/>
        <v/>
      </c>
      <c r="GQ448" s="1149" t="str">
        <f t="shared" si="488"/>
        <v/>
      </c>
      <c r="GR448" s="1149" t="str">
        <f t="shared" si="489"/>
        <v/>
      </c>
      <c r="GS448" s="1149" t="str">
        <f t="shared" si="490"/>
        <v/>
      </c>
      <c r="GT448" s="1149">
        <f t="shared" si="501"/>
        <v>0</v>
      </c>
      <c r="GU448" s="1149">
        <f t="shared" si="502"/>
        <v>0</v>
      </c>
      <c r="GV448" s="1149">
        <f t="shared" si="503"/>
        <v>0</v>
      </c>
      <c r="GW448" s="1149" t="b">
        <f t="shared" si="504"/>
        <v>0</v>
      </c>
      <c r="GX448" s="1149" t="b">
        <f t="shared" si="505"/>
        <v>0</v>
      </c>
      <c r="GY448" s="1149" t="b">
        <f t="shared" si="506"/>
        <v>0</v>
      </c>
      <c r="GZ448" s="1149" t="str">
        <f t="shared" si="385"/>
        <v/>
      </c>
      <c r="HB448" s="1149" t="str">
        <f t="shared" si="507"/>
        <v/>
      </c>
      <c r="HC448" s="1149" t="str">
        <f t="shared" si="508"/>
        <v/>
      </c>
      <c r="HD448" s="1149" t="str">
        <f t="shared" si="509"/>
        <v/>
      </c>
      <c r="HE448" s="1149" t="str">
        <f t="shared" si="510"/>
        <v/>
      </c>
      <c r="HF448" s="1149" t="str">
        <f t="shared" si="511"/>
        <v/>
      </c>
      <c r="HG448" s="1149" t="str">
        <f t="shared" si="512"/>
        <v/>
      </c>
      <c r="HH448" s="1149" t="str">
        <f t="shared" si="513"/>
        <v/>
      </c>
      <c r="HI448" s="1149" t="str">
        <f t="shared" si="514"/>
        <v/>
      </c>
      <c r="HJ448" s="1149" t="str">
        <f t="shared" si="515"/>
        <v/>
      </c>
      <c r="HK448" s="1149" t="str">
        <f t="shared" si="516"/>
        <v/>
      </c>
      <c r="HL448" s="1149" t="str">
        <f t="shared" si="517"/>
        <v/>
      </c>
      <c r="HM448" s="1149" t="str">
        <f t="shared" si="518"/>
        <v/>
      </c>
      <c r="HN448" s="1149" t="str">
        <f t="shared" si="519"/>
        <v/>
      </c>
      <c r="HO448" s="1149" t="str">
        <f t="shared" si="520"/>
        <v/>
      </c>
      <c r="HP448" s="1149" t="str">
        <f t="shared" si="521"/>
        <v/>
      </c>
      <c r="HQ448" s="1149" t="str">
        <f t="shared" si="522"/>
        <v/>
      </c>
      <c r="HR448" s="1149" t="str">
        <f t="shared" si="523"/>
        <v/>
      </c>
      <c r="HT448" s="1149">
        <f>LEFT(M448,1)*10000+MID(M448,3,LEN(M448)-3)*100+COUNTIF($M$307:M448,M448)</f>
        <v>52301</v>
      </c>
      <c r="HU448" s="1149" t="str">
        <f t="shared" si="524"/>
        <v/>
      </c>
      <c r="HV448" s="1149" t="str">
        <f t="shared" si="525"/>
        <v/>
      </c>
      <c r="HW448" s="1149" t="str">
        <f t="shared" si="526"/>
        <v/>
      </c>
      <c r="HX448" s="1149" t="str">
        <f t="shared" si="527"/>
        <v/>
      </c>
    </row>
    <row r="449" spans="1:232" s="69" customFormat="1" ht="50.15" customHeight="1">
      <c r="A449" s="645"/>
      <c r="B449" s="645"/>
      <c r="C449" s="645"/>
      <c r="D449" s="645"/>
      <c r="E449" s="646"/>
      <c r="F449" s="381"/>
      <c r="G449" s="381"/>
      <c r="H449" s="381"/>
      <c r="J449" s="80"/>
      <c r="K449" s="89"/>
      <c r="L449" s="89"/>
      <c r="M449" s="2082" t="s">
        <v>1292</v>
      </c>
      <c r="N449" s="2082"/>
      <c r="O449" s="2082"/>
      <c r="P449" s="2016" t="s">
        <v>132</v>
      </c>
      <c r="Q449" s="2016"/>
      <c r="R449" s="1966" t="s">
        <v>133</v>
      </c>
      <c r="S449" s="1966"/>
      <c r="T449" s="1966"/>
      <c r="U449" s="2011" t="s">
        <v>134</v>
      </c>
      <c r="V449" s="2011"/>
      <c r="W449" s="2011"/>
      <c r="X449" s="2011"/>
      <c r="Y449" s="2011"/>
      <c r="Z449" s="2011"/>
      <c r="AA449" s="2011"/>
      <c r="AB449" s="2011"/>
      <c r="AC449" s="2011"/>
      <c r="AD449" s="2011"/>
      <c r="AE449" s="2011"/>
      <c r="AF449" s="2010"/>
      <c r="AG449" s="2010"/>
      <c r="AH449" s="2010"/>
      <c r="AI449" s="2010"/>
      <c r="AJ449" s="2010"/>
      <c r="AK449" s="2010"/>
      <c r="AL449" s="2010"/>
      <c r="AM449" s="2010"/>
      <c r="AN449" s="2010"/>
      <c r="AO449" s="2010"/>
      <c r="AP449" s="2010"/>
      <c r="AQ449" s="2010"/>
      <c r="AR449" s="2017"/>
      <c r="AS449" s="2017"/>
      <c r="AT449" s="1929"/>
      <c r="AU449" s="1929"/>
      <c r="AV449" s="1929"/>
      <c r="AW449" s="1929"/>
      <c r="AX449" s="1929"/>
      <c r="AY449" s="1929"/>
      <c r="AZ449" s="1929"/>
      <c r="BA449" s="1929"/>
      <c r="BB449" s="1929"/>
      <c r="BC449" s="1929"/>
      <c r="BD449" s="1929"/>
      <c r="BE449" s="1929"/>
      <c r="BF449" s="1929"/>
      <c r="BG449" s="1929"/>
      <c r="BH449" s="1929"/>
      <c r="BI449" s="1929"/>
      <c r="BJ449" s="1929"/>
      <c r="BK449" s="1929"/>
      <c r="BL449" s="1929"/>
      <c r="BM449" s="1929"/>
      <c r="BN449" s="1929"/>
      <c r="BO449" s="1929"/>
      <c r="BP449" s="1929"/>
      <c r="BQ449" s="1929"/>
      <c r="BR449" s="1929"/>
      <c r="BS449" s="1885"/>
      <c r="BT449" s="1885"/>
      <c r="BU449" s="1885"/>
      <c r="BV449" s="1890"/>
      <c r="BW449" s="1890"/>
      <c r="BX449" s="1890"/>
      <c r="BY449" s="1890"/>
      <c r="BZ449" s="1891"/>
      <c r="CA449" s="1891"/>
      <c r="CB449" s="1912"/>
      <c r="CC449" s="1913"/>
      <c r="CD449" s="1913"/>
      <c r="CE449" s="1913"/>
      <c r="CF449" s="1913"/>
      <c r="CG449" s="1913"/>
      <c r="CH449" s="1913"/>
      <c r="CI449" s="1913"/>
      <c r="CJ449" s="1913"/>
      <c r="CK449" s="1913"/>
      <c r="CL449" s="1913"/>
      <c r="CM449" s="1913"/>
      <c r="CN449" s="1913"/>
      <c r="CO449" s="1913"/>
      <c r="CP449" s="1913"/>
      <c r="CQ449" s="1913"/>
      <c r="CR449" s="1913"/>
      <c r="CS449" s="1913"/>
      <c r="CT449" s="1913"/>
      <c r="CU449" s="1914"/>
      <c r="CV449" s="2360" t="str">
        <f t="shared" si="445"/>
        <v/>
      </c>
      <c r="CW449" s="2360"/>
      <c r="CX449" s="2360"/>
      <c r="CY449" s="2360"/>
      <c r="CZ449" s="2360"/>
      <c r="DA449" s="2360"/>
      <c r="DC449" s="600" t="str">
        <f t="shared" si="446"/>
        <v/>
      </c>
      <c r="DD449" s="381"/>
      <c r="DF449" s="34"/>
      <c r="DG449" s="34"/>
      <c r="DH449" s="34"/>
      <c r="DI449" s="34"/>
      <c r="DJ449" s="858" t="s">
        <v>5637</v>
      </c>
      <c r="DK449" s="1707" t="str">
        <f t="shared" si="491"/>
        <v/>
      </c>
      <c r="DL449" s="1692" t="str">
        <f t="shared" si="492"/>
        <v/>
      </c>
      <c r="DM449" s="1691">
        <f t="shared" si="447"/>
        <v>0</v>
      </c>
      <c r="DN449" s="111">
        <f t="shared" si="448"/>
        <v>0</v>
      </c>
      <c r="DO449" s="111">
        <f t="shared" si="449"/>
        <v>0</v>
      </c>
      <c r="DP449" s="474">
        <f t="shared" si="450"/>
        <v>0</v>
      </c>
      <c r="DQ449" s="123" t="s">
        <v>832</v>
      </c>
      <c r="DR449" s="473" t="str">
        <f t="shared" si="451"/>
        <v>防煙区画の設置の状況</v>
      </c>
      <c r="DS449" s="112">
        <f t="shared" si="452"/>
        <v>0</v>
      </c>
      <c r="DT449" s="118" t="str">
        <f t="shared" si="453"/>
        <v/>
      </c>
      <c r="DU449" s="452" t="str">
        <f t="shared" si="454"/>
        <v/>
      </c>
      <c r="DV449" s="453" t="str">
        <f>IF($DT449="要是正",MAX($DV$422:DV448)+1,"")</f>
        <v/>
      </c>
      <c r="DW449" s="32" t="str">
        <f t="shared" si="455"/>
        <v/>
      </c>
      <c r="DX449" s="119" t="str">
        <f t="shared" si="456"/>
        <v/>
      </c>
      <c r="DY449" s="33" t="str">
        <f t="shared" si="457"/>
        <v/>
      </c>
      <c r="DZ449" s="217" t="str">
        <f t="shared" si="458"/>
        <v/>
      </c>
      <c r="EA449" s="466" t="str">
        <f t="shared" si="459"/>
        <v/>
      </c>
      <c r="EB449" s="234" t="str">
        <f t="shared" si="460"/>
        <v/>
      </c>
      <c r="EC449" s="227" t="str">
        <f t="shared" si="461"/>
        <v>0</v>
      </c>
      <c r="ED449" s="148" t="str">
        <f t="shared" si="493"/>
        <v/>
      </c>
      <c r="EE449" s="227" t="str">
        <f t="shared" si="494"/>
        <v>0</v>
      </c>
      <c r="EF449" s="130" t="str">
        <f t="shared" si="462"/>
        <v/>
      </c>
      <c r="EG449" s="204" t="str">
        <f t="shared" si="463"/>
        <v/>
      </c>
      <c r="EH449" s="134" t="str">
        <f t="shared" si="464"/>
        <v>0</v>
      </c>
      <c r="EI449" s="148" t="str">
        <f t="shared" si="495"/>
        <v/>
      </c>
      <c r="EJ449" s="227" t="str">
        <f t="shared" si="496"/>
        <v>0</v>
      </c>
      <c r="EK449" s="451" t="str">
        <f t="shared" si="465"/>
        <v/>
      </c>
      <c r="EL449" s="452" t="e">
        <f t="shared" si="466"/>
        <v>#N/A</v>
      </c>
      <c r="EM449" s="151" t="e">
        <f t="shared" si="467"/>
        <v>#N/A</v>
      </c>
      <c r="EN449" s="453" t="e">
        <f t="shared" si="468"/>
        <v>#N/A</v>
      </c>
      <c r="FK449" s="597" t="str">
        <f t="shared" si="469"/>
        <v/>
      </c>
      <c r="FL449" s="597" t="str">
        <f t="shared" si="386"/>
        <v/>
      </c>
      <c r="FM449" s="597" t="str">
        <f t="shared" si="387"/>
        <v/>
      </c>
      <c r="FN449" s="597">
        <f t="shared" si="470"/>
        <v>0</v>
      </c>
      <c r="FO449" s="1163" t="str">
        <f t="shared" si="471"/>
        <v/>
      </c>
      <c r="FQ449" s="234" t="str">
        <f t="shared" si="472"/>
        <v/>
      </c>
      <c r="FR449" s="227" t="str">
        <f t="shared" si="473"/>
        <v>0</v>
      </c>
      <c r="FS449" s="148" t="str">
        <f t="shared" si="474"/>
        <v/>
      </c>
      <c r="FT449" s="227" t="str">
        <f t="shared" si="475"/>
        <v>0</v>
      </c>
      <c r="FU449" s="416" t="str">
        <f t="shared" si="497"/>
        <v/>
      </c>
      <c r="FW449" s="1160">
        <f t="shared" si="444"/>
        <v>0</v>
      </c>
      <c r="FX449" s="123"/>
      <c r="FY449" s="123"/>
      <c r="FZ449" s="1161"/>
      <c r="GA449" s="34"/>
      <c r="GB449" s="1149">
        <f t="shared" si="498"/>
        <v>0</v>
      </c>
      <c r="GC449" s="1149">
        <f t="shared" si="499"/>
        <v>0</v>
      </c>
      <c r="GD449" s="1149">
        <f t="shared" si="500"/>
        <v>0</v>
      </c>
      <c r="GE449" s="1149" t="str">
        <f t="shared" si="476"/>
        <v/>
      </c>
      <c r="GF449" s="1149" t="str">
        <f t="shared" si="477"/>
        <v/>
      </c>
      <c r="GG449" s="1149" t="str">
        <f t="shared" si="478"/>
        <v/>
      </c>
      <c r="GH449" s="1149" t="str">
        <f t="shared" si="479"/>
        <v/>
      </c>
      <c r="GI449" s="1149" t="str">
        <f t="shared" si="480"/>
        <v/>
      </c>
      <c r="GJ449" s="1149" t="str">
        <f t="shared" si="481"/>
        <v/>
      </c>
      <c r="GK449" s="1149" t="str">
        <f t="shared" si="482"/>
        <v/>
      </c>
      <c r="GL449" s="1149" t="str">
        <f t="shared" si="483"/>
        <v/>
      </c>
      <c r="GM449" s="1149" t="str">
        <f t="shared" si="484"/>
        <v/>
      </c>
      <c r="GN449" s="1149" t="str">
        <f t="shared" si="485"/>
        <v/>
      </c>
      <c r="GO449" s="1149" t="str">
        <f t="shared" si="486"/>
        <v/>
      </c>
      <c r="GP449" s="1149" t="str">
        <f t="shared" si="487"/>
        <v/>
      </c>
      <c r="GQ449" s="1149" t="str">
        <f t="shared" si="488"/>
        <v/>
      </c>
      <c r="GR449" s="1149" t="str">
        <f t="shared" si="489"/>
        <v/>
      </c>
      <c r="GS449" s="1149" t="str">
        <f t="shared" si="490"/>
        <v/>
      </c>
      <c r="GT449" s="1149">
        <f t="shared" si="501"/>
        <v>0</v>
      </c>
      <c r="GU449" s="1149">
        <f t="shared" si="502"/>
        <v>0</v>
      </c>
      <c r="GV449" s="1149">
        <f t="shared" si="503"/>
        <v>0</v>
      </c>
      <c r="GW449" s="1149" t="b">
        <f t="shared" si="504"/>
        <v>0</v>
      </c>
      <c r="GX449" s="1149" t="b">
        <f t="shared" si="505"/>
        <v>0</v>
      </c>
      <c r="GY449" s="1149" t="b">
        <f t="shared" si="506"/>
        <v>0</v>
      </c>
      <c r="GZ449" s="1149" t="str">
        <f t="shared" si="385"/>
        <v/>
      </c>
      <c r="HB449" s="1149" t="str">
        <f t="shared" si="507"/>
        <v/>
      </c>
      <c r="HC449" s="1149" t="str">
        <f t="shared" si="508"/>
        <v/>
      </c>
      <c r="HD449" s="1149" t="str">
        <f t="shared" si="509"/>
        <v/>
      </c>
      <c r="HE449" s="1149" t="str">
        <f t="shared" si="510"/>
        <v/>
      </c>
      <c r="HF449" s="1149" t="str">
        <f t="shared" si="511"/>
        <v/>
      </c>
      <c r="HG449" s="1149" t="str">
        <f t="shared" si="512"/>
        <v/>
      </c>
      <c r="HH449" s="1149" t="str">
        <f t="shared" si="513"/>
        <v/>
      </c>
      <c r="HI449" s="1149" t="str">
        <f t="shared" si="514"/>
        <v/>
      </c>
      <c r="HJ449" s="1149" t="str">
        <f t="shared" si="515"/>
        <v/>
      </c>
      <c r="HK449" s="1149" t="str">
        <f t="shared" si="516"/>
        <v/>
      </c>
      <c r="HL449" s="1149" t="str">
        <f t="shared" si="517"/>
        <v/>
      </c>
      <c r="HM449" s="1149" t="str">
        <f t="shared" si="518"/>
        <v/>
      </c>
      <c r="HN449" s="1149" t="str">
        <f t="shared" si="519"/>
        <v/>
      </c>
      <c r="HO449" s="1149" t="str">
        <f t="shared" si="520"/>
        <v/>
      </c>
      <c r="HP449" s="1149" t="str">
        <f t="shared" si="521"/>
        <v/>
      </c>
      <c r="HQ449" s="1149" t="str">
        <f t="shared" si="522"/>
        <v/>
      </c>
      <c r="HR449" s="1149" t="str">
        <f t="shared" si="523"/>
        <v/>
      </c>
      <c r="HT449" s="1149">
        <f>LEFT(M449,1)*10000+MID(M449,3,LEN(M449)-3)*100+COUNTIF($M$307:M449,M449)</f>
        <v>52401</v>
      </c>
      <c r="HU449" s="1149" t="str">
        <f t="shared" si="524"/>
        <v/>
      </c>
      <c r="HV449" s="1149" t="str">
        <f t="shared" si="525"/>
        <v/>
      </c>
      <c r="HW449" s="1149" t="str">
        <f t="shared" si="526"/>
        <v/>
      </c>
      <c r="HX449" s="1149" t="str">
        <f t="shared" si="527"/>
        <v/>
      </c>
    </row>
    <row r="450" spans="1:232" s="69" customFormat="1" ht="50.15" customHeight="1">
      <c r="A450" s="645"/>
      <c r="B450" s="645"/>
      <c r="C450" s="645"/>
      <c r="D450" s="645"/>
      <c r="E450" s="646"/>
      <c r="F450" s="381"/>
      <c r="G450" s="381"/>
      <c r="H450" s="381"/>
      <c r="J450" s="80"/>
      <c r="K450" s="89"/>
      <c r="L450" s="89"/>
      <c r="M450" s="2082" t="s">
        <v>1293</v>
      </c>
      <c r="N450" s="2082"/>
      <c r="O450" s="2082"/>
      <c r="P450" s="2016"/>
      <c r="Q450" s="2016"/>
      <c r="R450" s="1966"/>
      <c r="S450" s="1966"/>
      <c r="T450" s="1966"/>
      <c r="U450" s="1899" t="s">
        <v>201</v>
      </c>
      <c r="V450" s="1899"/>
      <c r="W450" s="1899"/>
      <c r="X450" s="1899"/>
      <c r="Y450" s="1899"/>
      <c r="Z450" s="1899"/>
      <c r="AA450" s="1899"/>
      <c r="AB450" s="1899"/>
      <c r="AC450" s="1899"/>
      <c r="AD450" s="1899"/>
      <c r="AE450" s="1899"/>
      <c r="AF450" s="1898"/>
      <c r="AG450" s="1898"/>
      <c r="AH450" s="1898"/>
      <c r="AI450" s="1898"/>
      <c r="AJ450" s="1898"/>
      <c r="AK450" s="1898"/>
      <c r="AL450" s="1898"/>
      <c r="AM450" s="1898"/>
      <c r="AN450" s="1898"/>
      <c r="AO450" s="1898"/>
      <c r="AP450" s="1898"/>
      <c r="AQ450" s="1898"/>
      <c r="AR450" s="1910"/>
      <c r="AS450" s="1910"/>
      <c r="AT450" s="1993"/>
      <c r="AU450" s="1993"/>
      <c r="AV450" s="1993"/>
      <c r="AW450" s="1993"/>
      <c r="AX450" s="1993"/>
      <c r="AY450" s="1993"/>
      <c r="AZ450" s="1993"/>
      <c r="BA450" s="1993"/>
      <c r="BB450" s="1993"/>
      <c r="BC450" s="1993"/>
      <c r="BD450" s="1993"/>
      <c r="BE450" s="1993"/>
      <c r="BF450" s="1993"/>
      <c r="BG450" s="1993"/>
      <c r="BH450" s="1993"/>
      <c r="BI450" s="1993"/>
      <c r="BJ450" s="1993"/>
      <c r="BK450" s="1993"/>
      <c r="BL450" s="1993"/>
      <c r="BM450" s="1993"/>
      <c r="BN450" s="1993"/>
      <c r="BO450" s="1993"/>
      <c r="BP450" s="1993"/>
      <c r="BQ450" s="1993"/>
      <c r="BR450" s="1993"/>
      <c r="BS450" s="1895"/>
      <c r="BT450" s="1895"/>
      <c r="BU450" s="1895"/>
      <c r="BV450" s="1889"/>
      <c r="BW450" s="1889"/>
      <c r="BX450" s="1889"/>
      <c r="BY450" s="1889"/>
      <c r="BZ450" s="1896"/>
      <c r="CA450" s="1896"/>
      <c r="CB450" s="1986"/>
      <c r="CC450" s="1987"/>
      <c r="CD450" s="1987"/>
      <c r="CE450" s="1987"/>
      <c r="CF450" s="1987"/>
      <c r="CG450" s="1987"/>
      <c r="CH450" s="1987"/>
      <c r="CI450" s="1987"/>
      <c r="CJ450" s="1987"/>
      <c r="CK450" s="1987"/>
      <c r="CL450" s="1987"/>
      <c r="CM450" s="1987"/>
      <c r="CN450" s="1987"/>
      <c r="CO450" s="1987"/>
      <c r="CP450" s="1987"/>
      <c r="CQ450" s="1987"/>
      <c r="CR450" s="1987"/>
      <c r="CS450" s="1987"/>
      <c r="CT450" s="1987"/>
      <c r="CU450" s="1988"/>
      <c r="CV450" s="2360" t="str">
        <f t="shared" si="445"/>
        <v/>
      </c>
      <c r="CW450" s="2360"/>
      <c r="CX450" s="2360"/>
      <c r="CY450" s="2360"/>
      <c r="CZ450" s="2360"/>
      <c r="DA450" s="2360"/>
      <c r="DC450" s="600" t="str">
        <f t="shared" si="446"/>
        <v/>
      </c>
      <c r="DD450" s="381"/>
      <c r="DF450" s="34"/>
      <c r="DG450" s="34"/>
      <c r="DH450" s="34"/>
      <c r="DI450" s="34"/>
      <c r="DJ450" s="858" t="s">
        <v>5637</v>
      </c>
      <c r="DK450" s="1707" t="str">
        <f t="shared" si="491"/>
        <v/>
      </c>
      <c r="DL450" s="1692" t="str">
        <f t="shared" si="492"/>
        <v/>
      </c>
      <c r="DM450" s="1691">
        <f t="shared" si="447"/>
        <v>0</v>
      </c>
      <c r="DN450" s="111">
        <f t="shared" si="448"/>
        <v>0</v>
      </c>
      <c r="DO450" s="111">
        <f t="shared" si="449"/>
        <v>0</v>
      </c>
      <c r="DP450" s="474">
        <f t="shared" si="450"/>
        <v>0</v>
      </c>
      <c r="DQ450" s="123" t="s">
        <v>833</v>
      </c>
      <c r="DR450" s="473" t="str">
        <f t="shared" si="451"/>
        <v>防煙垂れ壁の劣化及び損傷の状況</v>
      </c>
      <c r="DS450" s="112">
        <f t="shared" si="452"/>
        <v>0</v>
      </c>
      <c r="DT450" s="118" t="str">
        <f t="shared" si="453"/>
        <v/>
      </c>
      <c r="DU450" s="452" t="str">
        <f t="shared" si="454"/>
        <v/>
      </c>
      <c r="DV450" s="453" t="str">
        <f>IF($DT450="要是正",MAX($DV$422:DV449)+1,"")</f>
        <v/>
      </c>
      <c r="DW450" s="32" t="str">
        <f t="shared" si="455"/>
        <v/>
      </c>
      <c r="DX450" s="119" t="str">
        <f t="shared" si="456"/>
        <v/>
      </c>
      <c r="DY450" s="33" t="str">
        <f t="shared" si="457"/>
        <v/>
      </c>
      <c r="DZ450" s="217" t="str">
        <f t="shared" si="458"/>
        <v/>
      </c>
      <c r="EA450" s="466" t="str">
        <f t="shared" si="459"/>
        <v/>
      </c>
      <c r="EB450" s="234" t="str">
        <f t="shared" si="460"/>
        <v/>
      </c>
      <c r="EC450" s="227" t="str">
        <f t="shared" si="461"/>
        <v>0</v>
      </c>
      <c r="ED450" s="148" t="str">
        <f t="shared" si="493"/>
        <v/>
      </c>
      <c r="EE450" s="227" t="str">
        <f t="shared" si="494"/>
        <v>0</v>
      </c>
      <c r="EF450" s="130" t="str">
        <f t="shared" si="462"/>
        <v/>
      </c>
      <c r="EG450" s="204" t="str">
        <f t="shared" si="463"/>
        <v/>
      </c>
      <c r="EH450" s="134" t="str">
        <f t="shared" si="464"/>
        <v>0</v>
      </c>
      <c r="EI450" s="148" t="str">
        <f t="shared" si="495"/>
        <v/>
      </c>
      <c r="EJ450" s="227" t="str">
        <f t="shared" si="496"/>
        <v>0</v>
      </c>
      <c r="EK450" s="451" t="str">
        <f t="shared" si="465"/>
        <v/>
      </c>
      <c r="EL450" s="452" t="e">
        <f t="shared" si="466"/>
        <v>#N/A</v>
      </c>
      <c r="EM450" s="151" t="e">
        <f t="shared" si="467"/>
        <v>#N/A</v>
      </c>
      <c r="EN450" s="453" t="e">
        <f t="shared" si="468"/>
        <v>#N/A</v>
      </c>
      <c r="FK450" s="597" t="str">
        <f t="shared" si="469"/>
        <v/>
      </c>
      <c r="FL450" s="597" t="str">
        <f t="shared" si="386"/>
        <v/>
      </c>
      <c r="FM450" s="597" t="str">
        <f t="shared" si="387"/>
        <v/>
      </c>
      <c r="FN450" s="597">
        <f t="shared" si="470"/>
        <v>0</v>
      </c>
      <c r="FO450" s="1163" t="str">
        <f t="shared" si="471"/>
        <v/>
      </c>
      <c r="FQ450" s="234" t="str">
        <f t="shared" si="472"/>
        <v/>
      </c>
      <c r="FR450" s="227" t="str">
        <f t="shared" si="473"/>
        <v>0</v>
      </c>
      <c r="FS450" s="148" t="str">
        <f t="shared" si="474"/>
        <v/>
      </c>
      <c r="FT450" s="227" t="str">
        <f t="shared" si="475"/>
        <v>0</v>
      </c>
      <c r="FU450" s="416" t="str">
        <f t="shared" si="497"/>
        <v/>
      </c>
      <c r="FW450" s="1160">
        <f t="shared" si="444"/>
        <v>0</v>
      </c>
      <c r="FX450" s="123"/>
      <c r="FY450" s="123"/>
      <c r="FZ450" s="1161"/>
      <c r="GA450" s="34"/>
      <c r="GB450" s="1149">
        <f t="shared" si="498"/>
        <v>0</v>
      </c>
      <c r="GC450" s="1149">
        <f t="shared" si="499"/>
        <v>0</v>
      </c>
      <c r="GD450" s="1149">
        <f t="shared" si="500"/>
        <v>0</v>
      </c>
      <c r="GE450" s="1149" t="str">
        <f t="shared" si="476"/>
        <v/>
      </c>
      <c r="GF450" s="1149" t="str">
        <f t="shared" si="477"/>
        <v/>
      </c>
      <c r="GG450" s="1149" t="str">
        <f t="shared" si="478"/>
        <v/>
      </c>
      <c r="GH450" s="1149" t="str">
        <f t="shared" si="479"/>
        <v/>
      </c>
      <c r="GI450" s="1149" t="str">
        <f t="shared" si="480"/>
        <v/>
      </c>
      <c r="GJ450" s="1149" t="str">
        <f t="shared" si="481"/>
        <v/>
      </c>
      <c r="GK450" s="1149" t="str">
        <f t="shared" si="482"/>
        <v/>
      </c>
      <c r="GL450" s="1149" t="str">
        <f t="shared" si="483"/>
        <v/>
      </c>
      <c r="GM450" s="1149" t="str">
        <f t="shared" si="484"/>
        <v/>
      </c>
      <c r="GN450" s="1149" t="str">
        <f t="shared" si="485"/>
        <v/>
      </c>
      <c r="GO450" s="1149" t="str">
        <f t="shared" si="486"/>
        <v/>
      </c>
      <c r="GP450" s="1149" t="str">
        <f t="shared" si="487"/>
        <v/>
      </c>
      <c r="GQ450" s="1149" t="str">
        <f t="shared" si="488"/>
        <v/>
      </c>
      <c r="GR450" s="1149" t="str">
        <f t="shared" si="489"/>
        <v/>
      </c>
      <c r="GS450" s="1149" t="str">
        <f t="shared" si="490"/>
        <v/>
      </c>
      <c r="GT450" s="1149">
        <f t="shared" si="501"/>
        <v>0</v>
      </c>
      <c r="GU450" s="1149">
        <f t="shared" si="502"/>
        <v>0</v>
      </c>
      <c r="GV450" s="1149">
        <f t="shared" si="503"/>
        <v>0</v>
      </c>
      <c r="GW450" s="1149" t="b">
        <f t="shared" si="504"/>
        <v>0</v>
      </c>
      <c r="GX450" s="1149" t="b">
        <f t="shared" si="505"/>
        <v>0</v>
      </c>
      <c r="GY450" s="1149" t="b">
        <f t="shared" si="506"/>
        <v>0</v>
      </c>
      <c r="GZ450" s="1149" t="str">
        <f t="shared" si="385"/>
        <v/>
      </c>
      <c r="HB450" s="1149" t="str">
        <f t="shared" si="507"/>
        <v/>
      </c>
      <c r="HC450" s="1149" t="str">
        <f t="shared" si="508"/>
        <v/>
      </c>
      <c r="HD450" s="1149" t="str">
        <f t="shared" si="509"/>
        <v/>
      </c>
      <c r="HE450" s="1149" t="str">
        <f t="shared" si="510"/>
        <v/>
      </c>
      <c r="HF450" s="1149" t="str">
        <f t="shared" si="511"/>
        <v/>
      </c>
      <c r="HG450" s="1149" t="str">
        <f t="shared" si="512"/>
        <v/>
      </c>
      <c r="HH450" s="1149" t="str">
        <f t="shared" si="513"/>
        <v/>
      </c>
      <c r="HI450" s="1149" t="str">
        <f t="shared" si="514"/>
        <v/>
      </c>
      <c r="HJ450" s="1149" t="str">
        <f t="shared" si="515"/>
        <v/>
      </c>
      <c r="HK450" s="1149" t="str">
        <f t="shared" si="516"/>
        <v/>
      </c>
      <c r="HL450" s="1149" t="str">
        <f t="shared" si="517"/>
        <v/>
      </c>
      <c r="HM450" s="1149" t="str">
        <f t="shared" si="518"/>
        <v/>
      </c>
      <c r="HN450" s="1149" t="str">
        <f t="shared" si="519"/>
        <v/>
      </c>
      <c r="HO450" s="1149" t="str">
        <f t="shared" si="520"/>
        <v/>
      </c>
      <c r="HP450" s="1149" t="str">
        <f t="shared" si="521"/>
        <v/>
      </c>
      <c r="HQ450" s="1149" t="str">
        <f t="shared" si="522"/>
        <v/>
      </c>
      <c r="HR450" s="1149" t="str">
        <f t="shared" si="523"/>
        <v/>
      </c>
      <c r="HT450" s="1149">
        <f>LEFT(M450,1)*10000+MID(M450,3,LEN(M450)-3)*100+COUNTIF($M$307:M450,M450)</f>
        <v>52501</v>
      </c>
      <c r="HU450" s="1149" t="str">
        <f t="shared" si="524"/>
        <v/>
      </c>
      <c r="HV450" s="1149" t="str">
        <f t="shared" si="525"/>
        <v/>
      </c>
      <c r="HW450" s="1149" t="str">
        <f t="shared" si="526"/>
        <v/>
      </c>
      <c r="HX450" s="1149" t="str">
        <f t="shared" si="527"/>
        <v/>
      </c>
    </row>
    <row r="451" spans="1:232" s="69" customFormat="1" ht="50.15" customHeight="1">
      <c r="A451" s="645"/>
      <c r="B451" s="645"/>
      <c r="C451" s="645"/>
      <c r="D451" s="645"/>
      <c r="E451" s="646"/>
      <c r="F451" s="381"/>
      <c r="G451" s="381"/>
      <c r="H451" s="381"/>
      <c r="J451" s="80"/>
      <c r="K451" s="89"/>
      <c r="L451" s="89"/>
      <c r="M451" s="2082" t="s">
        <v>1294</v>
      </c>
      <c r="N451" s="2082"/>
      <c r="O451" s="2082"/>
      <c r="P451" s="2016"/>
      <c r="Q451" s="2016"/>
      <c r="R451" s="1966"/>
      <c r="S451" s="1966"/>
      <c r="T451" s="1966"/>
      <c r="U451" s="1956" t="s">
        <v>200</v>
      </c>
      <c r="V451" s="1956"/>
      <c r="W451" s="1956"/>
      <c r="X451" s="1956"/>
      <c r="Y451" s="1956"/>
      <c r="Z451" s="1956"/>
      <c r="AA451" s="1956"/>
      <c r="AB451" s="1956"/>
      <c r="AC451" s="1956"/>
      <c r="AD451" s="1956"/>
      <c r="AE451" s="1956"/>
      <c r="AF451" s="2025"/>
      <c r="AG451" s="2025"/>
      <c r="AH451" s="2025"/>
      <c r="AI451" s="2025"/>
      <c r="AJ451" s="2025"/>
      <c r="AK451" s="2025"/>
      <c r="AL451" s="2025"/>
      <c r="AM451" s="2025"/>
      <c r="AN451" s="2025"/>
      <c r="AO451" s="2025"/>
      <c r="AP451" s="2025"/>
      <c r="AQ451" s="2025"/>
      <c r="AR451" s="2026"/>
      <c r="AS451" s="2026"/>
      <c r="AT451" s="1997"/>
      <c r="AU451" s="1997"/>
      <c r="AV451" s="1997"/>
      <c r="AW451" s="1997"/>
      <c r="AX451" s="1997"/>
      <c r="AY451" s="1997"/>
      <c r="AZ451" s="1997"/>
      <c r="BA451" s="1997"/>
      <c r="BB451" s="1997"/>
      <c r="BC451" s="1997"/>
      <c r="BD451" s="1997"/>
      <c r="BE451" s="1997"/>
      <c r="BF451" s="1997"/>
      <c r="BG451" s="1997"/>
      <c r="BH451" s="1997"/>
      <c r="BI451" s="1997"/>
      <c r="BJ451" s="1997"/>
      <c r="BK451" s="1997"/>
      <c r="BL451" s="1997"/>
      <c r="BM451" s="1997"/>
      <c r="BN451" s="1997"/>
      <c r="BO451" s="1997"/>
      <c r="BP451" s="1997"/>
      <c r="BQ451" s="1997"/>
      <c r="BR451" s="1997"/>
      <c r="BS451" s="1991"/>
      <c r="BT451" s="1991"/>
      <c r="BU451" s="1991"/>
      <c r="BV451" s="1982"/>
      <c r="BW451" s="1982"/>
      <c r="BX451" s="1982"/>
      <c r="BY451" s="1982"/>
      <c r="BZ451" s="1992"/>
      <c r="CA451" s="1992"/>
      <c r="CB451" s="2000"/>
      <c r="CC451" s="2001"/>
      <c r="CD451" s="2001"/>
      <c r="CE451" s="2001"/>
      <c r="CF451" s="2001"/>
      <c r="CG451" s="2001"/>
      <c r="CH451" s="2001"/>
      <c r="CI451" s="2001"/>
      <c r="CJ451" s="2001"/>
      <c r="CK451" s="2001"/>
      <c r="CL451" s="2001"/>
      <c r="CM451" s="2001"/>
      <c r="CN451" s="2001"/>
      <c r="CO451" s="2001"/>
      <c r="CP451" s="2001"/>
      <c r="CQ451" s="2001"/>
      <c r="CR451" s="2001"/>
      <c r="CS451" s="2001"/>
      <c r="CT451" s="2001"/>
      <c r="CU451" s="2002"/>
      <c r="CV451" s="2360" t="str">
        <f t="shared" si="445"/>
        <v/>
      </c>
      <c r="CW451" s="2360"/>
      <c r="CX451" s="2360"/>
      <c r="CY451" s="2360"/>
      <c r="CZ451" s="2360"/>
      <c r="DA451" s="2360"/>
      <c r="DC451" s="600" t="str">
        <f t="shared" si="446"/>
        <v/>
      </c>
      <c r="DD451" s="381"/>
      <c r="DF451" s="34"/>
      <c r="DG451" s="34"/>
      <c r="DH451" s="34"/>
      <c r="DI451" s="34"/>
      <c r="DJ451" s="858" t="s">
        <v>5637</v>
      </c>
      <c r="DK451" s="1707" t="str">
        <f t="shared" si="491"/>
        <v/>
      </c>
      <c r="DL451" s="1692" t="str">
        <f t="shared" si="492"/>
        <v/>
      </c>
      <c r="DM451" s="1691">
        <f t="shared" si="447"/>
        <v>0</v>
      </c>
      <c r="DN451" s="111">
        <f t="shared" si="448"/>
        <v>0</v>
      </c>
      <c r="DO451" s="111">
        <f t="shared" si="449"/>
        <v>0</v>
      </c>
      <c r="DP451" s="474">
        <f t="shared" si="450"/>
        <v>0</v>
      </c>
      <c r="DQ451" s="123" t="s">
        <v>834</v>
      </c>
      <c r="DR451" s="473" t="str">
        <f t="shared" si="451"/>
        <v>可動式防煙垂れ壁の作動の状況</v>
      </c>
      <c r="DS451" s="112">
        <f t="shared" si="452"/>
        <v>0</v>
      </c>
      <c r="DT451" s="118" t="str">
        <f t="shared" si="453"/>
        <v/>
      </c>
      <c r="DU451" s="452" t="str">
        <f t="shared" si="454"/>
        <v/>
      </c>
      <c r="DV451" s="453" t="str">
        <f>IF($DT451="要是正",MAX($DV$422:DV450)+1,"")</f>
        <v/>
      </c>
      <c r="DW451" s="32" t="str">
        <f t="shared" si="455"/>
        <v/>
      </c>
      <c r="DX451" s="119" t="str">
        <f t="shared" si="456"/>
        <v/>
      </c>
      <c r="DY451" s="33" t="str">
        <f t="shared" si="457"/>
        <v/>
      </c>
      <c r="DZ451" s="217" t="str">
        <f t="shared" si="458"/>
        <v/>
      </c>
      <c r="EA451" s="466" t="str">
        <f t="shared" si="459"/>
        <v/>
      </c>
      <c r="EB451" s="234" t="str">
        <f t="shared" si="460"/>
        <v/>
      </c>
      <c r="EC451" s="227" t="str">
        <f t="shared" si="461"/>
        <v>0</v>
      </c>
      <c r="ED451" s="148" t="str">
        <f t="shared" si="493"/>
        <v/>
      </c>
      <c r="EE451" s="227" t="str">
        <f t="shared" si="494"/>
        <v>0</v>
      </c>
      <c r="EF451" s="130" t="str">
        <f t="shared" si="462"/>
        <v/>
      </c>
      <c r="EG451" s="204" t="str">
        <f t="shared" si="463"/>
        <v/>
      </c>
      <c r="EH451" s="134" t="str">
        <f t="shared" si="464"/>
        <v>0</v>
      </c>
      <c r="EI451" s="148" t="str">
        <f t="shared" si="495"/>
        <v/>
      </c>
      <c r="EJ451" s="227" t="str">
        <f t="shared" si="496"/>
        <v>0</v>
      </c>
      <c r="EK451" s="451" t="str">
        <f t="shared" si="465"/>
        <v/>
      </c>
      <c r="EL451" s="452" t="e">
        <f t="shared" si="466"/>
        <v>#N/A</v>
      </c>
      <c r="EM451" s="151" t="e">
        <f t="shared" si="467"/>
        <v>#N/A</v>
      </c>
      <c r="EN451" s="453" t="e">
        <f t="shared" si="468"/>
        <v>#N/A</v>
      </c>
      <c r="FK451" s="597" t="str">
        <f t="shared" si="469"/>
        <v/>
      </c>
      <c r="FL451" s="597" t="str">
        <f t="shared" si="386"/>
        <v/>
      </c>
      <c r="FM451" s="597" t="str">
        <f t="shared" si="387"/>
        <v/>
      </c>
      <c r="FN451" s="597">
        <f t="shared" si="470"/>
        <v>0</v>
      </c>
      <c r="FO451" s="1163" t="str">
        <f t="shared" si="471"/>
        <v/>
      </c>
      <c r="FQ451" s="234" t="str">
        <f t="shared" si="472"/>
        <v/>
      </c>
      <c r="FR451" s="227" t="str">
        <f t="shared" si="473"/>
        <v>0</v>
      </c>
      <c r="FS451" s="148" t="str">
        <f t="shared" si="474"/>
        <v/>
      </c>
      <c r="FT451" s="227" t="str">
        <f t="shared" si="475"/>
        <v>0</v>
      </c>
      <c r="FU451" s="416" t="str">
        <f t="shared" si="497"/>
        <v/>
      </c>
      <c r="FW451" s="1160">
        <f t="shared" si="444"/>
        <v>0</v>
      </c>
      <c r="FX451" s="123"/>
      <c r="FY451" s="123"/>
      <c r="FZ451" s="1161"/>
      <c r="GA451" s="34"/>
      <c r="GB451" s="1149">
        <f t="shared" si="498"/>
        <v>0</v>
      </c>
      <c r="GC451" s="1149">
        <f t="shared" si="499"/>
        <v>0</v>
      </c>
      <c r="GD451" s="1149">
        <f t="shared" si="500"/>
        <v>0</v>
      </c>
      <c r="GE451" s="1149" t="str">
        <f t="shared" si="476"/>
        <v/>
      </c>
      <c r="GF451" s="1149" t="str">
        <f t="shared" si="477"/>
        <v/>
      </c>
      <c r="GG451" s="1149" t="str">
        <f t="shared" si="478"/>
        <v/>
      </c>
      <c r="GH451" s="1149" t="str">
        <f t="shared" si="479"/>
        <v/>
      </c>
      <c r="GI451" s="1149" t="str">
        <f t="shared" si="480"/>
        <v/>
      </c>
      <c r="GJ451" s="1149" t="str">
        <f t="shared" si="481"/>
        <v/>
      </c>
      <c r="GK451" s="1149" t="str">
        <f t="shared" si="482"/>
        <v/>
      </c>
      <c r="GL451" s="1149" t="str">
        <f t="shared" si="483"/>
        <v/>
      </c>
      <c r="GM451" s="1149" t="str">
        <f t="shared" si="484"/>
        <v/>
      </c>
      <c r="GN451" s="1149" t="str">
        <f t="shared" si="485"/>
        <v/>
      </c>
      <c r="GO451" s="1149" t="str">
        <f t="shared" si="486"/>
        <v/>
      </c>
      <c r="GP451" s="1149" t="str">
        <f t="shared" si="487"/>
        <v/>
      </c>
      <c r="GQ451" s="1149" t="str">
        <f t="shared" si="488"/>
        <v/>
      </c>
      <c r="GR451" s="1149" t="str">
        <f t="shared" si="489"/>
        <v/>
      </c>
      <c r="GS451" s="1149" t="str">
        <f t="shared" si="490"/>
        <v/>
      </c>
      <c r="GT451" s="1149">
        <f t="shared" si="501"/>
        <v>0</v>
      </c>
      <c r="GU451" s="1149">
        <f t="shared" si="502"/>
        <v>0</v>
      </c>
      <c r="GV451" s="1149">
        <f t="shared" si="503"/>
        <v>0</v>
      </c>
      <c r="GW451" s="1149" t="b">
        <f t="shared" si="504"/>
        <v>0</v>
      </c>
      <c r="GX451" s="1149" t="b">
        <f t="shared" si="505"/>
        <v>0</v>
      </c>
      <c r="GY451" s="1149" t="b">
        <f t="shared" si="506"/>
        <v>0</v>
      </c>
      <c r="GZ451" s="1149" t="str">
        <f t="shared" si="385"/>
        <v/>
      </c>
      <c r="HB451" s="1149" t="str">
        <f t="shared" si="507"/>
        <v/>
      </c>
      <c r="HC451" s="1149" t="str">
        <f t="shared" si="508"/>
        <v/>
      </c>
      <c r="HD451" s="1149" t="str">
        <f t="shared" si="509"/>
        <v/>
      </c>
      <c r="HE451" s="1149" t="str">
        <f t="shared" si="510"/>
        <v/>
      </c>
      <c r="HF451" s="1149" t="str">
        <f t="shared" si="511"/>
        <v/>
      </c>
      <c r="HG451" s="1149" t="str">
        <f t="shared" si="512"/>
        <v/>
      </c>
      <c r="HH451" s="1149" t="str">
        <f t="shared" si="513"/>
        <v/>
      </c>
      <c r="HI451" s="1149" t="str">
        <f t="shared" si="514"/>
        <v/>
      </c>
      <c r="HJ451" s="1149" t="str">
        <f t="shared" si="515"/>
        <v/>
      </c>
      <c r="HK451" s="1149" t="str">
        <f t="shared" si="516"/>
        <v/>
      </c>
      <c r="HL451" s="1149" t="str">
        <f t="shared" si="517"/>
        <v/>
      </c>
      <c r="HM451" s="1149" t="str">
        <f t="shared" si="518"/>
        <v/>
      </c>
      <c r="HN451" s="1149" t="str">
        <f t="shared" si="519"/>
        <v/>
      </c>
      <c r="HO451" s="1149" t="str">
        <f t="shared" si="520"/>
        <v/>
      </c>
      <c r="HP451" s="1149" t="str">
        <f t="shared" si="521"/>
        <v/>
      </c>
      <c r="HQ451" s="1149" t="str">
        <f t="shared" si="522"/>
        <v/>
      </c>
      <c r="HR451" s="1149" t="str">
        <f t="shared" si="523"/>
        <v/>
      </c>
      <c r="HT451" s="1149">
        <f>LEFT(M451,1)*10000+MID(M451,3,LEN(M451)-3)*100+COUNTIF($M$307:M451,M451)</f>
        <v>52601</v>
      </c>
      <c r="HU451" s="1149" t="str">
        <f t="shared" si="524"/>
        <v/>
      </c>
      <c r="HV451" s="1149" t="str">
        <f t="shared" si="525"/>
        <v/>
      </c>
      <c r="HW451" s="1149" t="str">
        <f t="shared" si="526"/>
        <v/>
      </c>
      <c r="HX451" s="1149" t="str">
        <f t="shared" si="527"/>
        <v/>
      </c>
    </row>
    <row r="452" spans="1:232" s="69" customFormat="1" ht="50.15" customHeight="1">
      <c r="A452" s="645"/>
      <c r="B452" s="645"/>
      <c r="C452" s="645"/>
      <c r="D452" s="645"/>
      <c r="E452" s="646"/>
      <c r="F452" s="381"/>
      <c r="G452" s="381"/>
      <c r="H452" s="381"/>
      <c r="J452" s="80"/>
      <c r="K452" s="89"/>
      <c r="L452" s="89"/>
      <c r="M452" s="2082" t="s">
        <v>1295</v>
      </c>
      <c r="N452" s="2082"/>
      <c r="O452" s="2082"/>
      <c r="P452" s="2016"/>
      <c r="Q452" s="2016"/>
      <c r="R452" s="1966" t="s">
        <v>135</v>
      </c>
      <c r="S452" s="1966"/>
      <c r="T452" s="1966"/>
      <c r="U452" s="2011" t="s">
        <v>136</v>
      </c>
      <c r="V452" s="2011"/>
      <c r="W452" s="2011"/>
      <c r="X452" s="2011"/>
      <c r="Y452" s="2011"/>
      <c r="Z452" s="2011"/>
      <c r="AA452" s="2011"/>
      <c r="AB452" s="2011"/>
      <c r="AC452" s="2011"/>
      <c r="AD452" s="2011"/>
      <c r="AE452" s="2011"/>
      <c r="AF452" s="2010"/>
      <c r="AG452" s="2010"/>
      <c r="AH452" s="2010"/>
      <c r="AI452" s="2010"/>
      <c r="AJ452" s="2010"/>
      <c r="AK452" s="2010"/>
      <c r="AL452" s="2010"/>
      <c r="AM452" s="2010"/>
      <c r="AN452" s="2010"/>
      <c r="AO452" s="2010"/>
      <c r="AP452" s="2010"/>
      <c r="AQ452" s="2010"/>
      <c r="AR452" s="2017"/>
      <c r="AS452" s="2017"/>
      <c r="AT452" s="1929"/>
      <c r="AU452" s="1929"/>
      <c r="AV452" s="1929"/>
      <c r="AW452" s="1929"/>
      <c r="AX452" s="1929"/>
      <c r="AY452" s="1929"/>
      <c r="AZ452" s="1929"/>
      <c r="BA452" s="1929"/>
      <c r="BB452" s="1929"/>
      <c r="BC452" s="1929"/>
      <c r="BD452" s="1929"/>
      <c r="BE452" s="1929"/>
      <c r="BF452" s="1929"/>
      <c r="BG452" s="1929"/>
      <c r="BH452" s="1929"/>
      <c r="BI452" s="1929"/>
      <c r="BJ452" s="1929"/>
      <c r="BK452" s="1929"/>
      <c r="BL452" s="1929"/>
      <c r="BM452" s="1929"/>
      <c r="BN452" s="1929"/>
      <c r="BO452" s="1929"/>
      <c r="BP452" s="1929"/>
      <c r="BQ452" s="1929"/>
      <c r="BR452" s="1929"/>
      <c r="BS452" s="1885"/>
      <c r="BT452" s="1885"/>
      <c r="BU452" s="1885"/>
      <c r="BV452" s="1890"/>
      <c r="BW452" s="1890"/>
      <c r="BX452" s="1890"/>
      <c r="BY452" s="1890"/>
      <c r="BZ452" s="1891"/>
      <c r="CA452" s="1891"/>
      <c r="CB452" s="2535" t="s">
        <v>2824</v>
      </c>
      <c r="CC452" s="2536"/>
      <c r="CD452" s="2536"/>
      <c r="CE452" s="2536"/>
      <c r="CF452" s="2536"/>
      <c r="CG452" s="2536"/>
      <c r="CH452" s="2536"/>
      <c r="CI452" s="2536"/>
      <c r="CJ452" s="2536"/>
      <c r="CK452" s="2536"/>
      <c r="CL452" s="2536"/>
      <c r="CM452" s="2536"/>
      <c r="CN452" s="2536"/>
      <c r="CO452" s="2536"/>
      <c r="CP452" s="2536"/>
      <c r="CQ452" s="2536"/>
      <c r="CR452" s="2536"/>
      <c r="CS452" s="2536"/>
      <c r="CT452" s="2536"/>
      <c r="CU452" s="2537"/>
      <c r="CV452" s="2360" t="str">
        <f t="shared" si="445"/>
        <v/>
      </c>
      <c r="CW452" s="2360"/>
      <c r="CX452" s="2360"/>
      <c r="CY452" s="2360"/>
      <c r="CZ452" s="2360"/>
      <c r="DA452" s="2360"/>
      <c r="DC452" s="600" t="str">
        <f t="shared" si="446"/>
        <v/>
      </c>
      <c r="DD452" s="381"/>
      <c r="DF452" s="34"/>
      <c r="DG452" s="34"/>
      <c r="DH452" s="34"/>
      <c r="DI452" s="34"/>
      <c r="DJ452" s="858" t="s">
        <v>5637</v>
      </c>
      <c r="DK452" s="1707" t="str">
        <f t="shared" si="491"/>
        <v/>
      </c>
      <c r="DL452" s="1692" t="str">
        <f t="shared" si="492"/>
        <v/>
      </c>
      <c r="DM452" s="1691">
        <f t="shared" si="447"/>
        <v>0</v>
      </c>
      <c r="DN452" s="111">
        <f t="shared" si="448"/>
        <v>0</v>
      </c>
      <c r="DO452" s="111">
        <f t="shared" si="449"/>
        <v>0</v>
      </c>
      <c r="DP452" s="474">
        <f t="shared" si="450"/>
        <v>0</v>
      </c>
      <c r="DQ452" s="123" t="s">
        <v>835</v>
      </c>
      <c r="DR452" s="473" t="str">
        <f t="shared" si="451"/>
        <v>排煙設備の設置の状況</v>
      </c>
      <c r="DS452" s="112">
        <f t="shared" si="452"/>
        <v>0</v>
      </c>
      <c r="DT452" s="118" t="str">
        <f t="shared" si="453"/>
        <v/>
      </c>
      <c r="DU452" s="452" t="str">
        <f t="shared" si="454"/>
        <v/>
      </c>
      <c r="DV452" s="453" t="str">
        <f>IF($DT452="要是正",MAX($DV$422:DV451)+1,"")</f>
        <v/>
      </c>
      <c r="DW452" s="32" t="str">
        <f t="shared" si="455"/>
        <v/>
      </c>
      <c r="DX452" s="119" t="str">
        <f t="shared" si="456"/>
        <v/>
      </c>
      <c r="DY452" s="33" t="str">
        <f>IF($DT452="要是正",IF(AT452="","",DQ452 &amp;" " &amp; AT452),"")</f>
        <v/>
      </c>
      <c r="DZ452" s="217" t="str">
        <f t="shared" si="458"/>
        <v/>
      </c>
      <c r="EA452" s="466" t="str">
        <f t="shared" si="459"/>
        <v/>
      </c>
      <c r="EB452" s="234" t="str">
        <f t="shared" si="460"/>
        <v/>
      </c>
      <c r="EC452" s="227" t="str">
        <f t="shared" si="461"/>
        <v>0</v>
      </c>
      <c r="ED452" s="148" t="str">
        <f t="shared" si="493"/>
        <v/>
      </c>
      <c r="EE452" s="227" t="str">
        <f t="shared" si="494"/>
        <v>0</v>
      </c>
      <c r="EF452" s="130" t="str">
        <f t="shared" si="462"/>
        <v/>
      </c>
      <c r="EG452" s="204" t="str">
        <f t="shared" si="463"/>
        <v/>
      </c>
      <c r="EH452" s="134" t="str">
        <f t="shared" si="464"/>
        <v>0</v>
      </c>
      <c r="EI452" s="148" t="str">
        <f t="shared" si="495"/>
        <v/>
      </c>
      <c r="EJ452" s="227" t="str">
        <f t="shared" si="496"/>
        <v>0</v>
      </c>
      <c r="EK452" s="451" t="str">
        <f t="shared" si="465"/>
        <v/>
      </c>
      <c r="EL452" s="452" t="e">
        <f t="shared" si="466"/>
        <v>#N/A</v>
      </c>
      <c r="EM452" s="151" t="e">
        <f t="shared" si="467"/>
        <v>#N/A</v>
      </c>
      <c r="EN452" s="453" t="e">
        <f t="shared" si="468"/>
        <v>#N/A</v>
      </c>
      <c r="FK452" s="597" t="str">
        <f t="shared" si="469"/>
        <v/>
      </c>
      <c r="FL452" s="597" t="str">
        <f t="shared" si="386"/>
        <v/>
      </c>
      <c r="FM452" s="597" t="str">
        <f t="shared" si="387"/>
        <v/>
      </c>
      <c r="FN452" s="597">
        <f t="shared" si="470"/>
        <v>0</v>
      </c>
      <c r="FO452" s="1163" t="str">
        <f t="shared" si="471"/>
        <v/>
      </c>
      <c r="FQ452" s="234" t="str">
        <f t="shared" si="472"/>
        <v/>
      </c>
      <c r="FR452" s="227" t="str">
        <f t="shared" si="473"/>
        <v>0</v>
      </c>
      <c r="FS452" s="148" t="str">
        <f t="shared" si="474"/>
        <v/>
      </c>
      <c r="FT452" s="227" t="str">
        <f t="shared" si="475"/>
        <v>0</v>
      </c>
      <c r="FU452" s="416" t="str">
        <f t="shared" si="497"/>
        <v/>
      </c>
      <c r="FW452" s="1160">
        <f t="shared" si="444"/>
        <v>0</v>
      </c>
      <c r="FX452" s="123"/>
      <c r="FY452" s="123"/>
      <c r="FZ452" s="1161"/>
      <c r="GA452" s="34"/>
      <c r="GB452" s="1149">
        <f t="shared" si="498"/>
        <v>0</v>
      </c>
      <c r="GC452" s="1149">
        <f t="shared" si="499"/>
        <v>0</v>
      </c>
      <c r="GD452" s="1149">
        <f t="shared" si="500"/>
        <v>0</v>
      </c>
      <c r="GE452" s="1149" t="str">
        <f t="shared" si="476"/>
        <v/>
      </c>
      <c r="GF452" s="1149" t="str">
        <f t="shared" si="477"/>
        <v/>
      </c>
      <c r="GG452" s="1149" t="str">
        <f t="shared" si="478"/>
        <v/>
      </c>
      <c r="GH452" s="1149" t="str">
        <f t="shared" si="479"/>
        <v/>
      </c>
      <c r="GI452" s="1149" t="str">
        <f t="shared" si="480"/>
        <v/>
      </c>
      <c r="GJ452" s="1149" t="str">
        <f t="shared" si="481"/>
        <v/>
      </c>
      <c r="GK452" s="1149" t="str">
        <f t="shared" si="482"/>
        <v/>
      </c>
      <c r="GL452" s="1149" t="str">
        <f t="shared" si="483"/>
        <v/>
      </c>
      <c r="GM452" s="1149" t="str">
        <f t="shared" si="484"/>
        <v/>
      </c>
      <c r="GN452" s="1149" t="str">
        <f t="shared" si="485"/>
        <v/>
      </c>
      <c r="GO452" s="1149" t="str">
        <f t="shared" si="486"/>
        <v/>
      </c>
      <c r="GP452" s="1149" t="str">
        <f t="shared" si="487"/>
        <v/>
      </c>
      <c r="GQ452" s="1149" t="str">
        <f t="shared" si="488"/>
        <v/>
      </c>
      <c r="GR452" s="1149" t="str">
        <f t="shared" si="489"/>
        <v/>
      </c>
      <c r="GS452" s="1149" t="str">
        <f t="shared" si="490"/>
        <v/>
      </c>
      <c r="GT452" s="1149">
        <f t="shared" si="501"/>
        <v>0</v>
      </c>
      <c r="GU452" s="1149">
        <f t="shared" si="502"/>
        <v>0</v>
      </c>
      <c r="GV452" s="1149">
        <f t="shared" si="503"/>
        <v>0</v>
      </c>
      <c r="GW452" s="1149" t="b">
        <f t="shared" si="504"/>
        <v>0</v>
      </c>
      <c r="GX452" s="1149" t="b">
        <f t="shared" si="505"/>
        <v>0</v>
      </c>
      <c r="GY452" s="1149" t="b">
        <f t="shared" si="506"/>
        <v>0</v>
      </c>
      <c r="GZ452" s="1149" t="str">
        <f t="shared" si="385"/>
        <v/>
      </c>
      <c r="HB452" s="1149" t="str">
        <f t="shared" si="507"/>
        <v/>
      </c>
      <c r="HC452" s="1149" t="str">
        <f t="shared" si="508"/>
        <v/>
      </c>
      <c r="HD452" s="1149" t="str">
        <f t="shared" si="509"/>
        <v/>
      </c>
      <c r="HE452" s="1149" t="str">
        <f t="shared" si="510"/>
        <v/>
      </c>
      <c r="HF452" s="1149" t="str">
        <f t="shared" si="511"/>
        <v/>
      </c>
      <c r="HG452" s="1149" t="str">
        <f t="shared" si="512"/>
        <v/>
      </c>
      <c r="HH452" s="1149" t="str">
        <f t="shared" si="513"/>
        <v/>
      </c>
      <c r="HI452" s="1149" t="str">
        <f t="shared" si="514"/>
        <v/>
      </c>
      <c r="HJ452" s="1149" t="str">
        <f t="shared" si="515"/>
        <v/>
      </c>
      <c r="HK452" s="1149" t="str">
        <f t="shared" si="516"/>
        <v/>
      </c>
      <c r="HL452" s="1149" t="str">
        <f t="shared" si="517"/>
        <v/>
      </c>
      <c r="HM452" s="1149" t="str">
        <f t="shared" si="518"/>
        <v/>
      </c>
      <c r="HN452" s="1149" t="str">
        <f t="shared" si="519"/>
        <v/>
      </c>
      <c r="HO452" s="1149" t="str">
        <f t="shared" si="520"/>
        <v/>
      </c>
      <c r="HP452" s="1149" t="str">
        <f t="shared" si="521"/>
        <v/>
      </c>
      <c r="HQ452" s="1149" t="str">
        <f t="shared" si="522"/>
        <v/>
      </c>
      <c r="HR452" s="1149" t="str">
        <f t="shared" si="523"/>
        <v/>
      </c>
      <c r="HT452" s="1149">
        <f>LEFT(M452,1)*10000+MID(M452,3,LEN(M452)-3)*100+COUNTIF($M$307:M452,M452)</f>
        <v>52701</v>
      </c>
      <c r="HU452" s="1149" t="str">
        <f t="shared" si="524"/>
        <v/>
      </c>
      <c r="HV452" s="1149" t="str">
        <f t="shared" si="525"/>
        <v/>
      </c>
      <c r="HW452" s="1149" t="str">
        <f t="shared" si="526"/>
        <v/>
      </c>
      <c r="HX452" s="1149" t="str">
        <f t="shared" si="527"/>
        <v/>
      </c>
    </row>
    <row r="453" spans="1:232" s="69" customFormat="1" ht="50.15" customHeight="1">
      <c r="A453" s="645"/>
      <c r="B453" s="645"/>
      <c r="C453" s="645"/>
      <c r="D453" s="645"/>
      <c r="E453" s="646"/>
      <c r="F453" s="381"/>
      <c r="G453" s="381"/>
      <c r="H453" s="381"/>
      <c r="J453" s="80"/>
      <c r="K453" s="89"/>
      <c r="L453" s="89"/>
      <c r="M453" s="2082" t="s">
        <v>1296</v>
      </c>
      <c r="N453" s="2082"/>
      <c r="O453" s="2082"/>
      <c r="P453" s="2016"/>
      <c r="Q453" s="2016"/>
      <c r="R453" s="1966"/>
      <c r="S453" s="1966"/>
      <c r="T453" s="1966"/>
      <c r="U453" s="1899" t="s">
        <v>137</v>
      </c>
      <c r="V453" s="1899"/>
      <c r="W453" s="1899"/>
      <c r="X453" s="1899"/>
      <c r="Y453" s="1899"/>
      <c r="Z453" s="1899"/>
      <c r="AA453" s="1899"/>
      <c r="AB453" s="1899"/>
      <c r="AC453" s="1899"/>
      <c r="AD453" s="1899"/>
      <c r="AE453" s="1899"/>
      <c r="AF453" s="1898"/>
      <c r="AG453" s="1898"/>
      <c r="AH453" s="1898"/>
      <c r="AI453" s="1898"/>
      <c r="AJ453" s="1898"/>
      <c r="AK453" s="1898"/>
      <c r="AL453" s="1898"/>
      <c r="AM453" s="1898"/>
      <c r="AN453" s="1898"/>
      <c r="AO453" s="1898"/>
      <c r="AP453" s="1898"/>
      <c r="AQ453" s="1898"/>
      <c r="AR453" s="1910"/>
      <c r="AS453" s="1910"/>
      <c r="AT453" s="1993"/>
      <c r="AU453" s="1993"/>
      <c r="AV453" s="1993"/>
      <c r="AW453" s="1993"/>
      <c r="AX453" s="1993"/>
      <c r="AY453" s="1993"/>
      <c r="AZ453" s="1993"/>
      <c r="BA453" s="1993"/>
      <c r="BB453" s="1993"/>
      <c r="BC453" s="1993"/>
      <c r="BD453" s="1993"/>
      <c r="BE453" s="1993"/>
      <c r="BF453" s="1993"/>
      <c r="BG453" s="1993"/>
      <c r="BH453" s="1993"/>
      <c r="BI453" s="1993"/>
      <c r="BJ453" s="1993"/>
      <c r="BK453" s="1993"/>
      <c r="BL453" s="1993"/>
      <c r="BM453" s="1993"/>
      <c r="BN453" s="1993"/>
      <c r="BO453" s="1993"/>
      <c r="BP453" s="1993"/>
      <c r="BQ453" s="1993"/>
      <c r="BR453" s="1993"/>
      <c r="BS453" s="1895"/>
      <c r="BT453" s="1895"/>
      <c r="BU453" s="1895"/>
      <c r="BV453" s="1889"/>
      <c r="BW453" s="1889"/>
      <c r="BX453" s="1889"/>
      <c r="BY453" s="1889"/>
      <c r="BZ453" s="1896"/>
      <c r="CA453" s="1896"/>
      <c r="CB453" s="1983" t="s">
        <v>2825</v>
      </c>
      <c r="CC453" s="1984"/>
      <c r="CD453" s="1984"/>
      <c r="CE453" s="1984"/>
      <c r="CF453" s="1984"/>
      <c r="CG453" s="1984"/>
      <c r="CH453" s="1984"/>
      <c r="CI453" s="1984"/>
      <c r="CJ453" s="1984"/>
      <c r="CK453" s="1984"/>
      <c r="CL453" s="1984"/>
      <c r="CM453" s="1984"/>
      <c r="CN453" s="1984"/>
      <c r="CO453" s="1984"/>
      <c r="CP453" s="1984"/>
      <c r="CQ453" s="1984"/>
      <c r="CR453" s="1984"/>
      <c r="CS453" s="1984"/>
      <c r="CT453" s="1984"/>
      <c r="CU453" s="1985"/>
      <c r="CV453" s="2360" t="str">
        <f t="shared" si="445"/>
        <v/>
      </c>
      <c r="CW453" s="2360"/>
      <c r="CX453" s="2360"/>
      <c r="CY453" s="2360"/>
      <c r="CZ453" s="2360"/>
      <c r="DA453" s="2360"/>
      <c r="DC453" s="600" t="str">
        <f t="shared" si="446"/>
        <v/>
      </c>
      <c r="DD453" s="381"/>
      <c r="DF453" s="34"/>
      <c r="DG453" s="34"/>
      <c r="DH453" s="34"/>
      <c r="DI453" s="34"/>
      <c r="DJ453" s="858" t="s">
        <v>5637</v>
      </c>
      <c r="DK453" s="1707" t="str">
        <f t="shared" si="491"/>
        <v/>
      </c>
      <c r="DL453" s="1692" t="str">
        <f t="shared" si="492"/>
        <v/>
      </c>
      <c r="DM453" s="1691">
        <f t="shared" si="447"/>
        <v>0</v>
      </c>
      <c r="DN453" s="111">
        <f t="shared" si="448"/>
        <v>0</v>
      </c>
      <c r="DO453" s="111">
        <f t="shared" si="449"/>
        <v>0</v>
      </c>
      <c r="DP453" s="474">
        <f t="shared" si="450"/>
        <v>0</v>
      </c>
      <c r="DQ453" s="123" t="s">
        <v>836</v>
      </c>
      <c r="DR453" s="473" t="str">
        <f>IF($U453="",R452,U453)</f>
        <v>排煙設備の作動の状況</v>
      </c>
      <c r="DS453" s="112">
        <f t="shared" si="452"/>
        <v>0</v>
      </c>
      <c r="DT453" s="118" t="str">
        <f t="shared" si="453"/>
        <v/>
      </c>
      <c r="DU453" s="452" t="str">
        <f t="shared" si="454"/>
        <v/>
      </c>
      <c r="DV453" s="453" t="str">
        <f>IF($DT453="要是正",MAX($DV$422:DV452)+1,"")</f>
        <v/>
      </c>
      <c r="DW453" s="32" t="str">
        <f t="shared" si="455"/>
        <v/>
      </c>
      <c r="DX453" s="119" t="str">
        <f t="shared" si="456"/>
        <v/>
      </c>
      <c r="DY453" s="33" t="str">
        <f t="shared" si="457"/>
        <v/>
      </c>
      <c r="DZ453" s="217" t="str">
        <f t="shared" si="458"/>
        <v/>
      </c>
      <c r="EA453" s="466" t="str">
        <f t="shared" si="459"/>
        <v/>
      </c>
      <c r="EB453" s="234" t="str">
        <f t="shared" si="460"/>
        <v/>
      </c>
      <c r="EC453" s="227" t="str">
        <f t="shared" si="461"/>
        <v>0</v>
      </c>
      <c r="ED453" s="148" t="str">
        <f t="shared" si="493"/>
        <v/>
      </c>
      <c r="EE453" s="227" t="str">
        <f t="shared" si="494"/>
        <v>0</v>
      </c>
      <c r="EF453" s="130" t="str">
        <f t="shared" si="462"/>
        <v/>
      </c>
      <c r="EG453" s="204" t="str">
        <f t="shared" si="463"/>
        <v/>
      </c>
      <c r="EH453" s="134" t="str">
        <f t="shared" si="464"/>
        <v>0</v>
      </c>
      <c r="EI453" s="148" t="str">
        <f t="shared" si="495"/>
        <v/>
      </c>
      <c r="EJ453" s="227" t="str">
        <f t="shared" si="496"/>
        <v>0</v>
      </c>
      <c r="EK453" s="451" t="str">
        <f t="shared" si="465"/>
        <v/>
      </c>
      <c r="EL453" s="452" t="e">
        <f t="shared" si="466"/>
        <v>#N/A</v>
      </c>
      <c r="EM453" s="151" t="e">
        <f t="shared" si="467"/>
        <v>#N/A</v>
      </c>
      <c r="EN453" s="453" t="e">
        <f t="shared" si="468"/>
        <v>#N/A</v>
      </c>
      <c r="FK453" s="597" t="str">
        <f t="shared" si="469"/>
        <v/>
      </c>
      <c r="FL453" s="597" t="str">
        <f t="shared" si="386"/>
        <v/>
      </c>
      <c r="FM453" s="597" t="str">
        <f t="shared" si="387"/>
        <v/>
      </c>
      <c r="FN453" s="597">
        <f t="shared" si="470"/>
        <v>0</v>
      </c>
      <c r="FO453" s="1163" t="str">
        <f t="shared" si="471"/>
        <v/>
      </c>
      <c r="FQ453" s="234" t="str">
        <f t="shared" si="472"/>
        <v/>
      </c>
      <c r="FR453" s="227" t="str">
        <f t="shared" si="473"/>
        <v>0</v>
      </c>
      <c r="FS453" s="148" t="str">
        <f t="shared" si="474"/>
        <v/>
      </c>
      <c r="FT453" s="227" t="str">
        <f t="shared" si="475"/>
        <v>0</v>
      </c>
      <c r="FU453" s="416" t="str">
        <f t="shared" si="497"/>
        <v/>
      </c>
      <c r="FW453" s="1160">
        <f t="shared" si="444"/>
        <v>0</v>
      </c>
      <c r="FX453" s="123"/>
      <c r="FY453" s="123"/>
      <c r="FZ453" s="1161"/>
      <c r="GA453" s="34"/>
      <c r="GB453" s="1149">
        <f t="shared" si="498"/>
        <v>0</v>
      </c>
      <c r="GC453" s="1149">
        <f t="shared" si="499"/>
        <v>0</v>
      </c>
      <c r="GD453" s="1149">
        <f t="shared" si="500"/>
        <v>0</v>
      </c>
      <c r="GE453" s="1149" t="str">
        <f t="shared" si="476"/>
        <v/>
      </c>
      <c r="GF453" s="1149" t="str">
        <f t="shared" si="477"/>
        <v/>
      </c>
      <c r="GG453" s="1149" t="str">
        <f t="shared" si="478"/>
        <v/>
      </c>
      <c r="GH453" s="1149" t="str">
        <f t="shared" si="479"/>
        <v/>
      </c>
      <c r="GI453" s="1149" t="str">
        <f t="shared" si="480"/>
        <v/>
      </c>
      <c r="GJ453" s="1149" t="str">
        <f t="shared" si="481"/>
        <v/>
      </c>
      <c r="GK453" s="1149" t="str">
        <f t="shared" si="482"/>
        <v/>
      </c>
      <c r="GL453" s="1149" t="str">
        <f t="shared" si="483"/>
        <v/>
      </c>
      <c r="GM453" s="1149" t="str">
        <f t="shared" si="484"/>
        <v/>
      </c>
      <c r="GN453" s="1149" t="str">
        <f t="shared" si="485"/>
        <v/>
      </c>
      <c r="GO453" s="1149" t="str">
        <f t="shared" si="486"/>
        <v/>
      </c>
      <c r="GP453" s="1149" t="str">
        <f t="shared" si="487"/>
        <v/>
      </c>
      <c r="GQ453" s="1149" t="str">
        <f t="shared" si="488"/>
        <v/>
      </c>
      <c r="GR453" s="1149" t="str">
        <f t="shared" si="489"/>
        <v/>
      </c>
      <c r="GS453" s="1149" t="str">
        <f t="shared" si="490"/>
        <v/>
      </c>
      <c r="GT453" s="1149">
        <f t="shared" si="501"/>
        <v>0</v>
      </c>
      <c r="GU453" s="1149">
        <f t="shared" si="502"/>
        <v>0</v>
      </c>
      <c r="GV453" s="1149">
        <f t="shared" si="503"/>
        <v>0</v>
      </c>
      <c r="GW453" s="1149" t="b">
        <f t="shared" si="504"/>
        <v>0</v>
      </c>
      <c r="GX453" s="1149" t="b">
        <f t="shared" si="505"/>
        <v>0</v>
      </c>
      <c r="GY453" s="1149" t="b">
        <f t="shared" si="506"/>
        <v>0</v>
      </c>
      <c r="GZ453" s="1149" t="str">
        <f t="shared" ref="GZ453:GZ508" si="528">IF(GW453,"有",IF(GY453,"無",""))&amp;IF(GX453,IF(OR(GW453,GY453),"（一部改善済）","改善済"),"")</f>
        <v/>
      </c>
      <c r="HB453" s="1149" t="str">
        <f t="shared" si="507"/>
        <v/>
      </c>
      <c r="HC453" s="1149" t="str">
        <f t="shared" si="508"/>
        <v/>
      </c>
      <c r="HD453" s="1149" t="str">
        <f t="shared" si="509"/>
        <v/>
      </c>
      <c r="HE453" s="1149" t="str">
        <f t="shared" si="510"/>
        <v/>
      </c>
      <c r="HF453" s="1149" t="str">
        <f t="shared" si="511"/>
        <v/>
      </c>
      <c r="HG453" s="1149" t="str">
        <f t="shared" si="512"/>
        <v/>
      </c>
      <c r="HH453" s="1149" t="str">
        <f t="shared" si="513"/>
        <v/>
      </c>
      <c r="HI453" s="1149" t="str">
        <f t="shared" si="514"/>
        <v/>
      </c>
      <c r="HJ453" s="1149" t="str">
        <f t="shared" si="515"/>
        <v/>
      </c>
      <c r="HK453" s="1149" t="str">
        <f t="shared" si="516"/>
        <v/>
      </c>
      <c r="HL453" s="1149" t="str">
        <f t="shared" si="517"/>
        <v/>
      </c>
      <c r="HM453" s="1149" t="str">
        <f t="shared" si="518"/>
        <v/>
      </c>
      <c r="HN453" s="1149" t="str">
        <f t="shared" si="519"/>
        <v/>
      </c>
      <c r="HO453" s="1149" t="str">
        <f t="shared" si="520"/>
        <v/>
      </c>
      <c r="HP453" s="1149" t="str">
        <f t="shared" si="521"/>
        <v/>
      </c>
      <c r="HQ453" s="1149" t="str">
        <f t="shared" si="522"/>
        <v/>
      </c>
      <c r="HR453" s="1149" t="str">
        <f t="shared" si="523"/>
        <v/>
      </c>
      <c r="HT453" s="1149">
        <f>LEFT(M453,1)*10000+MID(M453,3,LEN(M453)-3)*100+COUNTIF($M$307:M453,M453)</f>
        <v>52801</v>
      </c>
      <c r="HU453" s="1149" t="str">
        <f t="shared" si="524"/>
        <v/>
      </c>
      <c r="HV453" s="1149" t="str">
        <f t="shared" si="525"/>
        <v/>
      </c>
      <c r="HW453" s="1149" t="str">
        <f t="shared" si="526"/>
        <v/>
      </c>
      <c r="HX453" s="1149" t="str">
        <f t="shared" si="527"/>
        <v/>
      </c>
    </row>
    <row r="454" spans="1:232" s="69" customFormat="1" ht="50.15" customHeight="1">
      <c r="A454" s="645"/>
      <c r="B454" s="645"/>
      <c r="C454" s="645"/>
      <c r="D454" s="645"/>
      <c r="E454" s="646"/>
      <c r="F454" s="381"/>
      <c r="G454" s="381"/>
      <c r="H454" s="381"/>
      <c r="J454" s="80"/>
      <c r="K454" s="89"/>
      <c r="L454" s="89"/>
      <c r="M454" s="2082" t="s">
        <v>1297</v>
      </c>
      <c r="N454" s="2082"/>
      <c r="O454" s="2082"/>
      <c r="P454" s="2016"/>
      <c r="Q454" s="2016"/>
      <c r="R454" s="1966"/>
      <c r="S454" s="1966"/>
      <c r="T454" s="1966"/>
      <c r="U454" s="1956" t="s">
        <v>199</v>
      </c>
      <c r="V454" s="1956"/>
      <c r="W454" s="1956"/>
      <c r="X454" s="1956"/>
      <c r="Y454" s="1956"/>
      <c r="Z454" s="1956"/>
      <c r="AA454" s="1956"/>
      <c r="AB454" s="1956"/>
      <c r="AC454" s="1956"/>
      <c r="AD454" s="1956"/>
      <c r="AE454" s="1956"/>
      <c r="AF454" s="2025"/>
      <c r="AG454" s="2025"/>
      <c r="AH454" s="2025"/>
      <c r="AI454" s="2025"/>
      <c r="AJ454" s="2025"/>
      <c r="AK454" s="2025"/>
      <c r="AL454" s="2025"/>
      <c r="AM454" s="2025"/>
      <c r="AN454" s="2025"/>
      <c r="AO454" s="2025"/>
      <c r="AP454" s="2025"/>
      <c r="AQ454" s="2025"/>
      <c r="AR454" s="2026"/>
      <c r="AS454" s="2026"/>
      <c r="AT454" s="1997"/>
      <c r="AU454" s="1997"/>
      <c r="AV454" s="1997"/>
      <c r="AW454" s="1997"/>
      <c r="AX454" s="1997"/>
      <c r="AY454" s="1997"/>
      <c r="AZ454" s="1997"/>
      <c r="BA454" s="1997"/>
      <c r="BB454" s="1997"/>
      <c r="BC454" s="1997"/>
      <c r="BD454" s="1997"/>
      <c r="BE454" s="1997"/>
      <c r="BF454" s="1997"/>
      <c r="BG454" s="1997"/>
      <c r="BH454" s="1997"/>
      <c r="BI454" s="1997"/>
      <c r="BJ454" s="1997"/>
      <c r="BK454" s="1997"/>
      <c r="BL454" s="1997"/>
      <c r="BM454" s="1997"/>
      <c r="BN454" s="1997"/>
      <c r="BO454" s="1997"/>
      <c r="BP454" s="1997"/>
      <c r="BQ454" s="1997"/>
      <c r="BR454" s="1997"/>
      <c r="BS454" s="1991"/>
      <c r="BT454" s="1991"/>
      <c r="BU454" s="1991"/>
      <c r="BV454" s="1982"/>
      <c r="BW454" s="1982"/>
      <c r="BX454" s="1982"/>
      <c r="BY454" s="1982"/>
      <c r="BZ454" s="1992"/>
      <c r="CA454" s="1992"/>
      <c r="CB454" s="2000"/>
      <c r="CC454" s="2001"/>
      <c r="CD454" s="2001"/>
      <c r="CE454" s="2001"/>
      <c r="CF454" s="2001"/>
      <c r="CG454" s="2001"/>
      <c r="CH454" s="2001"/>
      <c r="CI454" s="2001"/>
      <c r="CJ454" s="2001"/>
      <c r="CK454" s="2001"/>
      <c r="CL454" s="2001"/>
      <c r="CM454" s="2001"/>
      <c r="CN454" s="2001"/>
      <c r="CO454" s="2001"/>
      <c r="CP454" s="2001"/>
      <c r="CQ454" s="2001"/>
      <c r="CR454" s="2001"/>
      <c r="CS454" s="2001"/>
      <c r="CT454" s="2001"/>
      <c r="CU454" s="2002"/>
      <c r="CV454" s="2360" t="str">
        <f t="shared" si="445"/>
        <v/>
      </c>
      <c r="CW454" s="2360"/>
      <c r="CX454" s="2360"/>
      <c r="CY454" s="2360"/>
      <c r="CZ454" s="2360"/>
      <c r="DA454" s="2360"/>
      <c r="DC454" s="600" t="str">
        <f t="shared" si="446"/>
        <v/>
      </c>
      <c r="DD454" s="381"/>
      <c r="DF454" s="34"/>
      <c r="DG454" s="34"/>
      <c r="DH454" s="34"/>
      <c r="DI454" s="34"/>
      <c r="DJ454" s="858" t="s">
        <v>5637</v>
      </c>
      <c r="DK454" s="1707" t="str">
        <f t="shared" si="491"/>
        <v/>
      </c>
      <c r="DL454" s="1692" t="str">
        <f t="shared" si="492"/>
        <v/>
      </c>
      <c r="DM454" s="1691">
        <f t="shared" si="447"/>
        <v>0</v>
      </c>
      <c r="DN454" s="111">
        <f t="shared" si="448"/>
        <v>0</v>
      </c>
      <c r="DO454" s="111">
        <f t="shared" si="449"/>
        <v>0</v>
      </c>
      <c r="DP454" s="474">
        <f t="shared" si="450"/>
        <v>0</v>
      </c>
      <c r="DQ454" s="123" t="s">
        <v>837</v>
      </c>
      <c r="DR454" s="473" t="str">
        <f>IF($U454="",R452,U454)</f>
        <v>自然排煙口の維持保全の状況</v>
      </c>
      <c r="DS454" s="112">
        <f t="shared" si="452"/>
        <v>0</v>
      </c>
      <c r="DT454" s="118" t="str">
        <f t="shared" si="453"/>
        <v/>
      </c>
      <c r="DU454" s="452" t="str">
        <f t="shared" si="454"/>
        <v/>
      </c>
      <c r="DV454" s="453" t="str">
        <f>IF($DT454="要是正",MAX($DV$422:DV453)+1,"")</f>
        <v/>
      </c>
      <c r="DW454" s="32" t="str">
        <f t="shared" si="455"/>
        <v/>
      </c>
      <c r="DX454" s="119" t="str">
        <f t="shared" si="456"/>
        <v/>
      </c>
      <c r="DY454" s="33" t="str">
        <f t="shared" si="457"/>
        <v/>
      </c>
      <c r="DZ454" s="217" t="str">
        <f t="shared" si="458"/>
        <v/>
      </c>
      <c r="EA454" s="466" t="str">
        <f t="shared" si="459"/>
        <v/>
      </c>
      <c r="EB454" s="234" t="str">
        <f t="shared" si="460"/>
        <v/>
      </c>
      <c r="EC454" s="227" t="str">
        <f t="shared" si="461"/>
        <v>0</v>
      </c>
      <c r="ED454" s="148" t="str">
        <f t="shared" si="493"/>
        <v/>
      </c>
      <c r="EE454" s="227" t="str">
        <f t="shared" si="494"/>
        <v>0</v>
      </c>
      <c r="EF454" s="130" t="str">
        <f t="shared" si="462"/>
        <v/>
      </c>
      <c r="EG454" s="204" t="str">
        <f t="shared" si="463"/>
        <v/>
      </c>
      <c r="EH454" s="134" t="str">
        <f t="shared" si="464"/>
        <v>0</v>
      </c>
      <c r="EI454" s="148" t="str">
        <f t="shared" si="495"/>
        <v/>
      </c>
      <c r="EJ454" s="227" t="str">
        <f t="shared" si="496"/>
        <v>0</v>
      </c>
      <c r="EK454" s="451" t="str">
        <f t="shared" si="465"/>
        <v/>
      </c>
      <c r="EL454" s="452" t="e">
        <f t="shared" si="466"/>
        <v>#N/A</v>
      </c>
      <c r="EM454" s="151" t="e">
        <f t="shared" si="467"/>
        <v>#N/A</v>
      </c>
      <c r="EN454" s="453" t="e">
        <f t="shared" si="468"/>
        <v>#N/A</v>
      </c>
      <c r="FK454" s="597" t="str">
        <f t="shared" si="469"/>
        <v/>
      </c>
      <c r="FL454" s="597" t="str">
        <f t="shared" si="386"/>
        <v/>
      </c>
      <c r="FM454" s="597" t="str">
        <f t="shared" si="387"/>
        <v/>
      </c>
      <c r="FN454" s="597">
        <f t="shared" si="470"/>
        <v>0</v>
      </c>
      <c r="FO454" s="1163" t="str">
        <f t="shared" si="471"/>
        <v/>
      </c>
      <c r="FQ454" s="234" t="str">
        <f t="shared" si="472"/>
        <v/>
      </c>
      <c r="FR454" s="227" t="str">
        <f t="shared" si="473"/>
        <v>0</v>
      </c>
      <c r="FS454" s="148" t="str">
        <f t="shared" si="474"/>
        <v/>
      </c>
      <c r="FT454" s="227" t="str">
        <f t="shared" si="475"/>
        <v>0</v>
      </c>
      <c r="FU454" s="416" t="str">
        <f t="shared" si="497"/>
        <v/>
      </c>
      <c r="FW454" s="1160">
        <f t="shared" si="444"/>
        <v>0</v>
      </c>
      <c r="FX454" s="123"/>
      <c r="FY454" s="123"/>
      <c r="FZ454" s="1161"/>
      <c r="GA454" s="34"/>
      <c r="GB454" s="1149">
        <f t="shared" si="498"/>
        <v>0</v>
      </c>
      <c r="GC454" s="1149">
        <f t="shared" si="499"/>
        <v>0</v>
      </c>
      <c r="GD454" s="1149">
        <f t="shared" si="500"/>
        <v>0</v>
      </c>
      <c r="GE454" s="1149" t="str">
        <f t="shared" si="476"/>
        <v/>
      </c>
      <c r="GF454" s="1149" t="str">
        <f t="shared" si="477"/>
        <v/>
      </c>
      <c r="GG454" s="1149" t="str">
        <f t="shared" si="478"/>
        <v/>
      </c>
      <c r="GH454" s="1149" t="str">
        <f t="shared" si="479"/>
        <v/>
      </c>
      <c r="GI454" s="1149" t="str">
        <f t="shared" si="480"/>
        <v/>
      </c>
      <c r="GJ454" s="1149" t="str">
        <f t="shared" si="481"/>
        <v/>
      </c>
      <c r="GK454" s="1149" t="str">
        <f t="shared" si="482"/>
        <v/>
      </c>
      <c r="GL454" s="1149" t="str">
        <f t="shared" si="483"/>
        <v/>
      </c>
      <c r="GM454" s="1149" t="str">
        <f t="shared" si="484"/>
        <v/>
      </c>
      <c r="GN454" s="1149" t="str">
        <f t="shared" si="485"/>
        <v/>
      </c>
      <c r="GO454" s="1149" t="str">
        <f t="shared" si="486"/>
        <v/>
      </c>
      <c r="GP454" s="1149" t="str">
        <f t="shared" si="487"/>
        <v/>
      </c>
      <c r="GQ454" s="1149" t="str">
        <f t="shared" si="488"/>
        <v/>
      </c>
      <c r="GR454" s="1149" t="str">
        <f t="shared" si="489"/>
        <v/>
      </c>
      <c r="GS454" s="1149" t="str">
        <f t="shared" si="490"/>
        <v/>
      </c>
      <c r="GT454" s="1149">
        <f t="shared" si="501"/>
        <v>0</v>
      </c>
      <c r="GU454" s="1149">
        <f t="shared" si="502"/>
        <v>0</v>
      </c>
      <c r="GV454" s="1149">
        <f t="shared" si="503"/>
        <v>0</v>
      </c>
      <c r="GW454" s="1149" t="b">
        <f t="shared" si="504"/>
        <v>0</v>
      </c>
      <c r="GX454" s="1149" t="b">
        <f t="shared" si="505"/>
        <v>0</v>
      </c>
      <c r="GY454" s="1149" t="b">
        <f t="shared" si="506"/>
        <v>0</v>
      </c>
      <c r="GZ454" s="1149" t="str">
        <f t="shared" si="528"/>
        <v/>
      </c>
      <c r="HB454" s="1149" t="str">
        <f t="shared" si="507"/>
        <v/>
      </c>
      <c r="HC454" s="1149" t="str">
        <f t="shared" si="508"/>
        <v/>
      </c>
      <c r="HD454" s="1149" t="str">
        <f t="shared" si="509"/>
        <v/>
      </c>
      <c r="HE454" s="1149" t="str">
        <f t="shared" si="510"/>
        <v/>
      </c>
      <c r="HF454" s="1149" t="str">
        <f t="shared" si="511"/>
        <v/>
      </c>
      <c r="HG454" s="1149" t="str">
        <f t="shared" si="512"/>
        <v/>
      </c>
      <c r="HH454" s="1149" t="str">
        <f t="shared" si="513"/>
        <v/>
      </c>
      <c r="HI454" s="1149" t="str">
        <f t="shared" si="514"/>
        <v/>
      </c>
      <c r="HJ454" s="1149" t="str">
        <f t="shared" si="515"/>
        <v/>
      </c>
      <c r="HK454" s="1149" t="str">
        <f t="shared" si="516"/>
        <v/>
      </c>
      <c r="HL454" s="1149" t="str">
        <f t="shared" si="517"/>
        <v/>
      </c>
      <c r="HM454" s="1149" t="str">
        <f t="shared" si="518"/>
        <v/>
      </c>
      <c r="HN454" s="1149" t="str">
        <f t="shared" si="519"/>
        <v/>
      </c>
      <c r="HO454" s="1149" t="str">
        <f t="shared" si="520"/>
        <v/>
      </c>
      <c r="HP454" s="1149" t="str">
        <f t="shared" si="521"/>
        <v/>
      </c>
      <c r="HQ454" s="1149" t="str">
        <f t="shared" si="522"/>
        <v/>
      </c>
      <c r="HR454" s="1149" t="str">
        <f t="shared" si="523"/>
        <v/>
      </c>
      <c r="HT454" s="1149">
        <f>LEFT(M454,1)*10000+MID(M454,3,LEN(M454)-3)*100+COUNTIF($M$307:M454,M454)</f>
        <v>52901</v>
      </c>
      <c r="HU454" s="1149" t="str">
        <f t="shared" si="524"/>
        <v/>
      </c>
      <c r="HV454" s="1149" t="str">
        <f t="shared" si="525"/>
        <v/>
      </c>
      <c r="HW454" s="1149" t="str">
        <f t="shared" si="526"/>
        <v/>
      </c>
      <c r="HX454" s="1149" t="str">
        <f t="shared" si="527"/>
        <v/>
      </c>
    </row>
    <row r="455" spans="1:232" s="69" customFormat="1" ht="50.15" customHeight="1">
      <c r="A455" s="645"/>
      <c r="B455" s="645"/>
      <c r="C455" s="645"/>
      <c r="D455" s="645"/>
      <c r="E455" s="646"/>
      <c r="F455" s="381"/>
      <c r="G455" s="381"/>
      <c r="H455" s="381"/>
      <c r="J455" s="80"/>
      <c r="K455" s="89"/>
      <c r="L455" s="89"/>
      <c r="M455" s="2082" t="s">
        <v>1298</v>
      </c>
      <c r="N455" s="2082"/>
      <c r="O455" s="2082"/>
      <c r="P455" s="2099" t="s">
        <v>172</v>
      </c>
      <c r="Q455" s="2099"/>
      <c r="R455" s="1966" t="s">
        <v>138</v>
      </c>
      <c r="S455" s="1966"/>
      <c r="T455" s="1966"/>
      <c r="U455" s="2011" t="s">
        <v>139</v>
      </c>
      <c r="V455" s="2011"/>
      <c r="W455" s="2011"/>
      <c r="X455" s="2011"/>
      <c r="Y455" s="2011"/>
      <c r="Z455" s="2011"/>
      <c r="AA455" s="2011"/>
      <c r="AB455" s="2011"/>
      <c r="AC455" s="2011"/>
      <c r="AD455" s="2011"/>
      <c r="AE455" s="2011"/>
      <c r="AF455" s="2010"/>
      <c r="AG455" s="2010"/>
      <c r="AH455" s="2010"/>
      <c r="AI455" s="2010"/>
      <c r="AJ455" s="2010"/>
      <c r="AK455" s="2010"/>
      <c r="AL455" s="2010"/>
      <c r="AM455" s="2010"/>
      <c r="AN455" s="2010"/>
      <c r="AO455" s="2010"/>
      <c r="AP455" s="2010"/>
      <c r="AQ455" s="2010"/>
      <c r="AR455" s="2017"/>
      <c r="AS455" s="2017"/>
      <c r="AT455" s="1929"/>
      <c r="AU455" s="1929"/>
      <c r="AV455" s="1929"/>
      <c r="AW455" s="1929"/>
      <c r="AX455" s="1929"/>
      <c r="AY455" s="1929"/>
      <c r="AZ455" s="1929"/>
      <c r="BA455" s="1929"/>
      <c r="BB455" s="1929"/>
      <c r="BC455" s="1929"/>
      <c r="BD455" s="1929"/>
      <c r="BE455" s="1929"/>
      <c r="BF455" s="1929"/>
      <c r="BG455" s="1929"/>
      <c r="BH455" s="1929"/>
      <c r="BI455" s="1929"/>
      <c r="BJ455" s="1929"/>
      <c r="BK455" s="1929"/>
      <c r="BL455" s="1929"/>
      <c r="BM455" s="1929"/>
      <c r="BN455" s="1929"/>
      <c r="BO455" s="1929"/>
      <c r="BP455" s="1929"/>
      <c r="BQ455" s="1929"/>
      <c r="BR455" s="1929"/>
      <c r="BS455" s="1885"/>
      <c r="BT455" s="1885"/>
      <c r="BU455" s="1885"/>
      <c r="BV455" s="1890"/>
      <c r="BW455" s="1890"/>
      <c r="BX455" s="1890"/>
      <c r="BY455" s="1890"/>
      <c r="BZ455" s="1891"/>
      <c r="CA455" s="1891"/>
      <c r="CB455" s="1912"/>
      <c r="CC455" s="1913"/>
      <c r="CD455" s="1913"/>
      <c r="CE455" s="1913"/>
      <c r="CF455" s="1913"/>
      <c r="CG455" s="1913"/>
      <c r="CH455" s="1913"/>
      <c r="CI455" s="1913"/>
      <c r="CJ455" s="1913"/>
      <c r="CK455" s="1913"/>
      <c r="CL455" s="1913"/>
      <c r="CM455" s="1913"/>
      <c r="CN455" s="1913"/>
      <c r="CO455" s="1913"/>
      <c r="CP455" s="1913"/>
      <c r="CQ455" s="1913"/>
      <c r="CR455" s="1913"/>
      <c r="CS455" s="1913"/>
      <c r="CT455" s="1913"/>
      <c r="CU455" s="1914"/>
      <c r="CV455" s="2360" t="str">
        <f t="shared" si="445"/>
        <v/>
      </c>
      <c r="CW455" s="2360"/>
      <c r="CX455" s="2360"/>
      <c r="CY455" s="2360"/>
      <c r="CZ455" s="2360"/>
      <c r="DA455" s="2360"/>
      <c r="DC455" s="600" t="str">
        <f t="shared" si="446"/>
        <v/>
      </c>
      <c r="DD455" s="381"/>
      <c r="DF455" s="34"/>
      <c r="DG455" s="34"/>
      <c r="DH455" s="34"/>
      <c r="DI455" s="34"/>
      <c r="DJ455" s="858" t="s">
        <v>5637</v>
      </c>
      <c r="DK455" s="1707" t="str">
        <f t="shared" si="491"/>
        <v/>
      </c>
      <c r="DL455" s="1692" t="str">
        <f t="shared" si="492"/>
        <v/>
      </c>
      <c r="DM455" s="1691">
        <f t="shared" si="447"/>
        <v>0</v>
      </c>
      <c r="DN455" s="111">
        <f t="shared" si="448"/>
        <v>0</v>
      </c>
      <c r="DO455" s="111">
        <f t="shared" si="449"/>
        <v>0</v>
      </c>
      <c r="DP455" s="474">
        <f t="shared" si="450"/>
        <v>0</v>
      </c>
      <c r="DQ455" s="123" t="s">
        <v>838</v>
      </c>
      <c r="DR455" s="473" t="str">
        <f t="shared" si="451"/>
        <v>非常用の進入口等の設置の状況</v>
      </c>
      <c r="DS455" s="112">
        <f t="shared" si="452"/>
        <v>0</v>
      </c>
      <c r="DT455" s="118" t="str">
        <f t="shared" si="453"/>
        <v/>
      </c>
      <c r="DU455" s="452" t="str">
        <f t="shared" si="454"/>
        <v/>
      </c>
      <c r="DV455" s="453" t="str">
        <f>IF($DT455="要是正",MAX($DV$422:DV454)+1,"")</f>
        <v/>
      </c>
      <c r="DW455" s="32" t="str">
        <f t="shared" si="455"/>
        <v/>
      </c>
      <c r="DX455" s="119" t="str">
        <f t="shared" si="456"/>
        <v/>
      </c>
      <c r="DY455" s="33" t="str">
        <f t="shared" si="457"/>
        <v/>
      </c>
      <c r="DZ455" s="217" t="str">
        <f t="shared" si="458"/>
        <v/>
      </c>
      <c r="EA455" s="466" t="str">
        <f t="shared" si="459"/>
        <v/>
      </c>
      <c r="EB455" s="234" t="str">
        <f t="shared" si="460"/>
        <v/>
      </c>
      <c r="EC455" s="227" t="str">
        <f t="shared" si="461"/>
        <v>0</v>
      </c>
      <c r="ED455" s="148" t="str">
        <f t="shared" si="493"/>
        <v/>
      </c>
      <c r="EE455" s="227" t="str">
        <f t="shared" si="494"/>
        <v>0</v>
      </c>
      <c r="EF455" s="130" t="str">
        <f t="shared" si="462"/>
        <v/>
      </c>
      <c r="EG455" s="204" t="str">
        <f t="shared" si="463"/>
        <v/>
      </c>
      <c r="EH455" s="134" t="str">
        <f t="shared" si="464"/>
        <v>0</v>
      </c>
      <c r="EI455" s="148" t="str">
        <f t="shared" si="495"/>
        <v/>
      </c>
      <c r="EJ455" s="227" t="str">
        <f t="shared" si="496"/>
        <v>0</v>
      </c>
      <c r="EK455" s="451" t="str">
        <f t="shared" si="465"/>
        <v/>
      </c>
      <c r="EL455" s="452" t="e">
        <f t="shared" si="466"/>
        <v>#N/A</v>
      </c>
      <c r="EM455" s="151" t="e">
        <f t="shared" si="467"/>
        <v>#N/A</v>
      </c>
      <c r="EN455" s="453" t="e">
        <f t="shared" si="468"/>
        <v>#N/A</v>
      </c>
      <c r="FK455" s="597" t="str">
        <f t="shared" si="469"/>
        <v/>
      </c>
      <c r="FL455" s="597" t="str">
        <f t="shared" si="386"/>
        <v/>
      </c>
      <c r="FM455" s="597" t="str">
        <f t="shared" si="387"/>
        <v/>
      </c>
      <c r="FN455" s="597">
        <f t="shared" si="470"/>
        <v>0</v>
      </c>
      <c r="FO455" s="1163" t="str">
        <f t="shared" si="471"/>
        <v/>
      </c>
      <c r="FQ455" s="234" t="str">
        <f t="shared" si="472"/>
        <v/>
      </c>
      <c r="FR455" s="227" t="str">
        <f t="shared" si="473"/>
        <v>0</v>
      </c>
      <c r="FS455" s="148" t="str">
        <f t="shared" si="474"/>
        <v/>
      </c>
      <c r="FT455" s="227" t="str">
        <f t="shared" si="475"/>
        <v>0</v>
      </c>
      <c r="FU455" s="416" t="str">
        <f t="shared" si="497"/>
        <v/>
      </c>
      <c r="FW455" s="1160">
        <f t="shared" ref="FW455:FW496" si="529">IF(AF455="△既存不適格",AT455&amp;"(既存不適格)",AT455)</f>
        <v>0</v>
      </c>
      <c r="FX455" s="123"/>
      <c r="FY455" s="123"/>
      <c r="FZ455" s="1161"/>
      <c r="GA455" s="34"/>
      <c r="GB455" s="1149">
        <f t="shared" si="498"/>
        <v>0</v>
      </c>
      <c r="GC455" s="1149">
        <f t="shared" si="499"/>
        <v>0</v>
      </c>
      <c r="GD455" s="1149">
        <f t="shared" si="500"/>
        <v>0</v>
      </c>
      <c r="GE455" s="1149" t="str">
        <f t="shared" si="476"/>
        <v/>
      </c>
      <c r="GF455" s="1149" t="str">
        <f t="shared" si="477"/>
        <v/>
      </c>
      <c r="GG455" s="1149" t="str">
        <f t="shared" si="478"/>
        <v/>
      </c>
      <c r="GH455" s="1149" t="str">
        <f t="shared" si="479"/>
        <v/>
      </c>
      <c r="GI455" s="1149" t="str">
        <f t="shared" si="480"/>
        <v/>
      </c>
      <c r="GJ455" s="1149" t="str">
        <f t="shared" si="481"/>
        <v/>
      </c>
      <c r="GK455" s="1149" t="str">
        <f t="shared" si="482"/>
        <v/>
      </c>
      <c r="GL455" s="1149" t="str">
        <f t="shared" si="483"/>
        <v/>
      </c>
      <c r="GM455" s="1149" t="str">
        <f t="shared" si="484"/>
        <v/>
      </c>
      <c r="GN455" s="1149" t="str">
        <f t="shared" si="485"/>
        <v/>
      </c>
      <c r="GO455" s="1149" t="str">
        <f t="shared" si="486"/>
        <v/>
      </c>
      <c r="GP455" s="1149" t="str">
        <f t="shared" si="487"/>
        <v/>
      </c>
      <c r="GQ455" s="1149" t="str">
        <f t="shared" si="488"/>
        <v/>
      </c>
      <c r="GR455" s="1149" t="str">
        <f t="shared" si="489"/>
        <v/>
      </c>
      <c r="GS455" s="1149" t="str">
        <f t="shared" si="490"/>
        <v/>
      </c>
      <c r="GT455" s="1149">
        <f t="shared" si="501"/>
        <v>0</v>
      </c>
      <c r="GU455" s="1149">
        <f t="shared" si="502"/>
        <v>0</v>
      </c>
      <c r="GV455" s="1149">
        <f t="shared" si="503"/>
        <v>0</v>
      </c>
      <c r="GW455" s="1149" t="b">
        <f t="shared" si="504"/>
        <v>0</v>
      </c>
      <c r="GX455" s="1149" t="b">
        <f t="shared" si="505"/>
        <v>0</v>
      </c>
      <c r="GY455" s="1149" t="b">
        <f t="shared" si="506"/>
        <v>0</v>
      </c>
      <c r="GZ455" s="1149" t="str">
        <f t="shared" si="528"/>
        <v/>
      </c>
      <c r="HB455" s="1149" t="str">
        <f t="shared" si="507"/>
        <v/>
      </c>
      <c r="HC455" s="1149" t="str">
        <f t="shared" si="508"/>
        <v/>
      </c>
      <c r="HD455" s="1149" t="str">
        <f t="shared" si="509"/>
        <v/>
      </c>
      <c r="HE455" s="1149" t="str">
        <f t="shared" si="510"/>
        <v/>
      </c>
      <c r="HF455" s="1149" t="str">
        <f t="shared" si="511"/>
        <v/>
      </c>
      <c r="HG455" s="1149" t="str">
        <f t="shared" si="512"/>
        <v/>
      </c>
      <c r="HH455" s="1149" t="str">
        <f t="shared" si="513"/>
        <v/>
      </c>
      <c r="HI455" s="1149" t="str">
        <f t="shared" si="514"/>
        <v/>
      </c>
      <c r="HJ455" s="1149" t="str">
        <f t="shared" si="515"/>
        <v/>
      </c>
      <c r="HK455" s="1149" t="str">
        <f t="shared" si="516"/>
        <v/>
      </c>
      <c r="HL455" s="1149" t="str">
        <f t="shared" si="517"/>
        <v/>
      </c>
      <c r="HM455" s="1149" t="str">
        <f t="shared" si="518"/>
        <v/>
      </c>
      <c r="HN455" s="1149" t="str">
        <f t="shared" si="519"/>
        <v/>
      </c>
      <c r="HO455" s="1149" t="str">
        <f t="shared" si="520"/>
        <v/>
      </c>
      <c r="HP455" s="1149" t="str">
        <f t="shared" si="521"/>
        <v/>
      </c>
      <c r="HQ455" s="1149" t="str">
        <f t="shared" si="522"/>
        <v/>
      </c>
      <c r="HR455" s="1149" t="str">
        <f t="shared" si="523"/>
        <v/>
      </c>
      <c r="HT455" s="1149">
        <f>LEFT(M455,1)*10000+MID(M455,3,LEN(M455)-3)*100+COUNTIF($M$307:M455,M455)</f>
        <v>53001</v>
      </c>
      <c r="HU455" s="1149" t="str">
        <f t="shared" si="524"/>
        <v/>
      </c>
      <c r="HV455" s="1149" t="str">
        <f t="shared" si="525"/>
        <v/>
      </c>
      <c r="HW455" s="1149" t="str">
        <f t="shared" si="526"/>
        <v/>
      </c>
      <c r="HX455" s="1149" t="str">
        <f t="shared" si="527"/>
        <v/>
      </c>
    </row>
    <row r="456" spans="1:232" s="69" customFormat="1" ht="50.15" customHeight="1">
      <c r="A456" s="645"/>
      <c r="B456" s="645"/>
      <c r="C456" s="645"/>
      <c r="D456" s="645"/>
      <c r="E456" s="646"/>
      <c r="F456" s="381"/>
      <c r="G456" s="381"/>
      <c r="H456" s="381"/>
      <c r="J456" s="80"/>
      <c r="K456" s="89"/>
      <c r="L456" s="89"/>
      <c r="M456" s="2082" t="s">
        <v>1299</v>
      </c>
      <c r="N456" s="2082"/>
      <c r="O456" s="2082"/>
      <c r="P456" s="2100"/>
      <c r="Q456" s="2100"/>
      <c r="R456" s="1966"/>
      <c r="S456" s="1966"/>
      <c r="T456" s="1966"/>
      <c r="U456" s="1956" t="s">
        <v>140</v>
      </c>
      <c r="V456" s="1956"/>
      <c r="W456" s="1956"/>
      <c r="X456" s="1956"/>
      <c r="Y456" s="1956"/>
      <c r="Z456" s="1956"/>
      <c r="AA456" s="1956"/>
      <c r="AB456" s="1956"/>
      <c r="AC456" s="1956"/>
      <c r="AD456" s="1956"/>
      <c r="AE456" s="1956"/>
      <c r="AF456" s="2025"/>
      <c r="AG456" s="2025"/>
      <c r="AH456" s="2025"/>
      <c r="AI456" s="2025"/>
      <c r="AJ456" s="2025"/>
      <c r="AK456" s="2025"/>
      <c r="AL456" s="2025"/>
      <c r="AM456" s="2025"/>
      <c r="AN456" s="2025"/>
      <c r="AO456" s="2025"/>
      <c r="AP456" s="2025"/>
      <c r="AQ456" s="2025"/>
      <c r="AR456" s="2026"/>
      <c r="AS456" s="2026"/>
      <c r="AT456" s="1997"/>
      <c r="AU456" s="1997"/>
      <c r="AV456" s="1997"/>
      <c r="AW456" s="1997"/>
      <c r="AX456" s="1997"/>
      <c r="AY456" s="1997"/>
      <c r="AZ456" s="1997"/>
      <c r="BA456" s="1997"/>
      <c r="BB456" s="1997"/>
      <c r="BC456" s="1997"/>
      <c r="BD456" s="1997"/>
      <c r="BE456" s="1997"/>
      <c r="BF456" s="1997"/>
      <c r="BG456" s="1997"/>
      <c r="BH456" s="1997"/>
      <c r="BI456" s="1997"/>
      <c r="BJ456" s="1997"/>
      <c r="BK456" s="1997"/>
      <c r="BL456" s="1997"/>
      <c r="BM456" s="1997"/>
      <c r="BN456" s="1997"/>
      <c r="BO456" s="1997"/>
      <c r="BP456" s="1997"/>
      <c r="BQ456" s="1997"/>
      <c r="BR456" s="1997"/>
      <c r="BS456" s="1991"/>
      <c r="BT456" s="1991"/>
      <c r="BU456" s="1991"/>
      <c r="BV456" s="1982"/>
      <c r="BW456" s="1982"/>
      <c r="BX456" s="1982"/>
      <c r="BY456" s="1982"/>
      <c r="BZ456" s="1992"/>
      <c r="CA456" s="1992"/>
      <c r="CB456" s="2000"/>
      <c r="CC456" s="2001"/>
      <c r="CD456" s="2001"/>
      <c r="CE456" s="2001"/>
      <c r="CF456" s="2001"/>
      <c r="CG456" s="2001"/>
      <c r="CH456" s="2001"/>
      <c r="CI456" s="2001"/>
      <c r="CJ456" s="2001"/>
      <c r="CK456" s="2001"/>
      <c r="CL456" s="2001"/>
      <c r="CM456" s="2001"/>
      <c r="CN456" s="2001"/>
      <c r="CO456" s="2001"/>
      <c r="CP456" s="2001"/>
      <c r="CQ456" s="2001"/>
      <c r="CR456" s="2001"/>
      <c r="CS456" s="2001"/>
      <c r="CT456" s="2001"/>
      <c r="CU456" s="2002"/>
      <c r="CV456" s="2360" t="str">
        <f t="shared" si="445"/>
        <v/>
      </c>
      <c r="CW456" s="2360"/>
      <c r="CX456" s="2360"/>
      <c r="CY456" s="2360"/>
      <c r="CZ456" s="2360"/>
      <c r="DA456" s="2360"/>
      <c r="DC456" s="600" t="str">
        <f t="shared" si="446"/>
        <v/>
      </c>
      <c r="DD456" s="381"/>
      <c r="DF456" s="34"/>
      <c r="DG456" s="34"/>
      <c r="DH456" s="34"/>
      <c r="DI456" s="34"/>
      <c r="DJ456" s="858" t="s">
        <v>5637</v>
      </c>
      <c r="DK456" s="1707" t="str">
        <f t="shared" si="491"/>
        <v/>
      </c>
      <c r="DL456" s="1692" t="str">
        <f t="shared" si="492"/>
        <v/>
      </c>
      <c r="DM456" s="1691">
        <f t="shared" si="447"/>
        <v>0</v>
      </c>
      <c r="DN456" s="111">
        <f t="shared" si="448"/>
        <v>0</v>
      </c>
      <c r="DO456" s="111">
        <f t="shared" si="449"/>
        <v>0</v>
      </c>
      <c r="DP456" s="474">
        <f t="shared" si="450"/>
        <v>0</v>
      </c>
      <c r="DQ456" s="123" t="s">
        <v>839</v>
      </c>
      <c r="DR456" s="473" t="str">
        <f>IF($U456="",R455,U456)</f>
        <v>非常用の進入口等の維持保全の状況</v>
      </c>
      <c r="DS456" s="112">
        <f t="shared" si="452"/>
        <v>0</v>
      </c>
      <c r="DT456" s="118" t="str">
        <f t="shared" si="453"/>
        <v/>
      </c>
      <c r="DU456" s="452" t="str">
        <f t="shared" si="454"/>
        <v/>
      </c>
      <c r="DV456" s="453" t="str">
        <f>IF($DT456="要是正",MAX($DV$422:DV455)+1,"")</f>
        <v/>
      </c>
      <c r="DW456" s="32" t="str">
        <f t="shared" si="455"/>
        <v/>
      </c>
      <c r="DX456" s="119" t="str">
        <f t="shared" si="456"/>
        <v/>
      </c>
      <c r="DY456" s="33" t="str">
        <f t="shared" si="457"/>
        <v/>
      </c>
      <c r="DZ456" s="217" t="str">
        <f t="shared" si="458"/>
        <v/>
      </c>
      <c r="EA456" s="466" t="str">
        <f t="shared" si="459"/>
        <v/>
      </c>
      <c r="EB456" s="234" t="str">
        <f t="shared" si="460"/>
        <v/>
      </c>
      <c r="EC456" s="227" t="str">
        <f t="shared" si="461"/>
        <v>0</v>
      </c>
      <c r="ED456" s="148" t="str">
        <f t="shared" si="493"/>
        <v/>
      </c>
      <c r="EE456" s="227" t="str">
        <f t="shared" si="494"/>
        <v>0</v>
      </c>
      <c r="EF456" s="130" t="str">
        <f t="shared" si="462"/>
        <v/>
      </c>
      <c r="EG456" s="204" t="str">
        <f t="shared" si="463"/>
        <v/>
      </c>
      <c r="EH456" s="134" t="str">
        <f t="shared" si="464"/>
        <v>0</v>
      </c>
      <c r="EI456" s="148" t="str">
        <f t="shared" si="495"/>
        <v/>
      </c>
      <c r="EJ456" s="227" t="str">
        <f t="shared" si="496"/>
        <v>0</v>
      </c>
      <c r="EK456" s="451" t="str">
        <f t="shared" si="465"/>
        <v/>
      </c>
      <c r="EL456" s="452" t="e">
        <f t="shared" si="466"/>
        <v>#N/A</v>
      </c>
      <c r="EM456" s="151" t="e">
        <f t="shared" si="467"/>
        <v>#N/A</v>
      </c>
      <c r="EN456" s="453" t="e">
        <f t="shared" si="468"/>
        <v>#N/A</v>
      </c>
      <c r="FK456" s="597" t="str">
        <f t="shared" si="469"/>
        <v/>
      </c>
      <c r="FL456" s="597" t="str">
        <f t="shared" si="386"/>
        <v/>
      </c>
      <c r="FM456" s="597" t="str">
        <f t="shared" si="387"/>
        <v/>
      </c>
      <c r="FN456" s="597">
        <f t="shared" si="470"/>
        <v>0</v>
      </c>
      <c r="FO456" s="1163" t="str">
        <f t="shared" si="471"/>
        <v/>
      </c>
      <c r="FQ456" s="234" t="str">
        <f t="shared" si="472"/>
        <v/>
      </c>
      <c r="FR456" s="227" t="str">
        <f t="shared" si="473"/>
        <v>0</v>
      </c>
      <c r="FS456" s="148" t="str">
        <f t="shared" si="474"/>
        <v/>
      </c>
      <c r="FT456" s="227" t="str">
        <f t="shared" si="475"/>
        <v>0</v>
      </c>
      <c r="FU456" s="416" t="str">
        <f t="shared" si="497"/>
        <v/>
      </c>
      <c r="FW456" s="1160">
        <f t="shared" si="529"/>
        <v>0</v>
      </c>
      <c r="FX456" s="123"/>
      <c r="FY456" s="123"/>
      <c r="FZ456" s="1161"/>
      <c r="GA456" s="34"/>
      <c r="GB456" s="1149">
        <f t="shared" si="498"/>
        <v>0</v>
      </c>
      <c r="GC456" s="1149">
        <f t="shared" si="499"/>
        <v>0</v>
      </c>
      <c r="GD456" s="1149">
        <f t="shared" si="500"/>
        <v>0</v>
      </c>
      <c r="GE456" s="1149" t="str">
        <f t="shared" si="476"/>
        <v/>
      </c>
      <c r="GF456" s="1149" t="str">
        <f t="shared" si="477"/>
        <v/>
      </c>
      <c r="GG456" s="1149" t="str">
        <f t="shared" si="478"/>
        <v/>
      </c>
      <c r="GH456" s="1149" t="str">
        <f t="shared" si="479"/>
        <v/>
      </c>
      <c r="GI456" s="1149" t="str">
        <f t="shared" si="480"/>
        <v/>
      </c>
      <c r="GJ456" s="1149" t="str">
        <f t="shared" si="481"/>
        <v/>
      </c>
      <c r="GK456" s="1149" t="str">
        <f t="shared" si="482"/>
        <v/>
      </c>
      <c r="GL456" s="1149" t="str">
        <f t="shared" si="483"/>
        <v/>
      </c>
      <c r="GM456" s="1149" t="str">
        <f t="shared" si="484"/>
        <v/>
      </c>
      <c r="GN456" s="1149" t="str">
        <f t="shared" si="485"/>
        <v/>
      </c>
      <c r="GO456" s="1149" t="str">
        <f t="shared" si="486"/>
        <v/>
      </c>
      <c r="GP456" s="1149" t="str">
        <f t="shared" si="487"/>
        <v/>
      </c>
      <c r="GQ456" s="1149" t="str">
        <f t="shared" si="488"/>
        <v/>
      </c>
      <c r="GR456" s="1149" t="str">
        <f t="shared" si="489"/>
        <v/>
      </c>
      <c r="GS456" s="1149" t="str">
        <f t="shared" si="490"/>
        <v/>
      </c>
      <c r="GT456" s="1149">
        <f t="shared" si="501"/>
        <v>0</v>
      </c>
      <c r="GU456" s="1149">
        <f t="shared" si="502"/>
        <v>0</v>
      </c>
      <c r="GV456" s="1149">
        <f t="shared" si="503"/>
        <v>0</v>
      </c>
      <c r="GW456" s="1149" t="b">
        <f t="shared" si="504"/>
        <v>0</v>
      </c>
      <c r="GX456" s="1149" t="b">
        <f t="shared" si="505"/>
        <v>0</v>
      </c>
      <c r="GY456" s="1149" t="b">
        <f t="shared" si="506"/>
        <v>0</v>
      </c>
      <c r="GZ456" s="1149" t="str">
        <f t="shared" si="528"/>
        <v/>
      </c>
      <c r="HB456" s="1149" t="str">
        <f t="shared" si="507"/>
        <v/>
      </c>
      <c r="HC456" s="1149" t="str">
        <f t="shared" si="508"/>
        <v/>
      </c>
      <c r="HD456" s="1149" t="str">
        <f t="shared" si="509"/>
        <v/>
      </c>
      <c r="HE456" s="1149" t="str">
        <f t="shared" si="510"/>
        <v/>
      </c>
      <c r="HF456" s="1149" t="str">
        <f t="shared" si="511"/>
        <v/>
      </c>
      <c r="HG456" s="1149" t="str">
        <f t="shared" si="512"/>
        <v/>
      </c>
      <c r="HH456" s="1149" t="str">
        <f t="shared" si="513"/>
        <v/>
      </c>
      <c r="HI456" s="1149" t="str">
        <f t="shared" si="514"/>
        <v/>
      </c>
      <c r="HJ456" s="1149" t="str">
        <f t="shared" si="515"/>
        <v/>
      </c>
      <c r="HK456" s="1149" t="str">
        <f t="shared" si="516"/>
        <v/>
      </c>
      <c r="HL456" s="1149" t="str">
        <f t="shared" si="517"/>
        <v/>
      </c>
      <c r="HM456" s="1149" t="str">
        <f t="shared" si="518"/>
        <v/>
      </c>
      <c r="HN456" s="1149" t="str">
        <f t="shared" si="519"/>
        <v/>
      </c>
      <c r="HO456" s="1149" t="str">
        <f t="shared" si="520"/>
        <v/>
      </c>
      <c r="HP456" s="1149" t="str">
        <f t="shared" si="521"/>
        <v/>
      </c>
      <c r="HQ456" s="1149" t="str">
        <f t="shared" si="522"/>
        <v/>
      </c>
      <c r="HR456" s="1149" t="str">
        <f t="shared" si="523"/>
        <v/>
      </c>
      <c r="HT456" s="1149">
        <f>LEFT(M456,1)*10000+MID(M456,3,LEN(M456)-3)*100+COUNTIF($M$307:M456,M456)</f>
        <v>53101</v>
      </c>
      <c r="HU456" s="1149" t="str">
        <f t="shared" si="524"/>
        <v/>
      </c>
      <c r="HV456" s="1149" t="str">
        <f t="shared" si="525"/>
        <v/>
      </c>
      <c r="HW456" s="1149" t="str">
        <f t="shared" si="526"/>
        <v/>
      </c>
      <c r="HX456" s="1149" t="str">
        <f t="shared" si="527"/>
        <v/>
      </c>
    </row>
    <row r="457" spans="1:232" s="69" customFormat="1" ht="50.15" customHeight="1">
      <c r="A457" s="645"/>
      <c r="B457" s="645"/>
      <c r="C457" s="645"/>
      <c r="D457" s="645"/>
      <c r="E457" s="646"/>
      <c r="F457" s="381"/>
      <c r="G457" s="381"/>
      <c r="H457" s="381"/>
      <c r="J457" s="80"/>
      <c r="K457" s="89"/>
      <c r="L457" s="89"/>
      <c r="M457" s="2082" t="s">
        <v>1300</v>
      </c>
      <c r="N457" s="2082"/>
      <c r="O457" s="2082"/>
      <c r="P457" s="2100"/>
      <c r="Q457" s="2100"/>
      <c r="R457" s="1966" t="s">
        <v>173</v>
      </c>
      <c r="S457" s="1966"/>
      <c r="T457" s="1966"/>
      <c r="U457" s="2011" t="s">
        <v>742</v>
      </c>
      <c r="V457" s="2011"/>
      <c r="W457" s="2011"/>
      <c r="X457" s="2011"/>
      <c r="Y457" s="2011"/>
      <c r="Z457" s="2011"/>
      <c r="AA457" s="2011"/>
      <c r="AB457" s="2011"/>
      <c r="AC457" s="2011"/>
      <c r="AD457" s="2011"/>
      <c r="AE457" s="2011"/>
      <c r="AF457" s="2010"/>
      <c r="AG457" s="2010"/>
      <c r="AH457" s="2010"/>
      <c r="AI457" s="2010"/>
      <c r="AJ457" s="2010"/>
      <c r="AK457" s="2010"/>
      <c r="AL457" s="2010"/>
      <c r="AM457" s="2010"/>
      <c r="AN457" s="2010"/>
      <c r="AO457" s="2010"/>
      <c r="AP457" s="2010"/>
      <c r="AQ457" s="2010"/>
      <c r="AR457" s="2017"/>
      <c r="AS457" s="2017"/>
      <c r="AT457" s="1929"/>
      <c r="AU457" s="1929"/>
      <c r="AV457" s="1929"/>
      <c r="AW457" s="1929"/>
      <c r="AX457" s="1929"/>
      <c r="AY457" s="1929"/>
      <c r="AZ457" s="1929"/>
      <c r="BA457" s="1929"/>
      <c r="BB457" s="1929"/>
      <c r="BC457" s="1929"/>
      <c r="BD457" s="1929"/>
      <c r="BE457" s="1929"/>
      <c r="BF457" s="1929"/>
      <c r="BG457" s="1929"/>
      <c r="BH457" s="1929"/>
      <c r="BI457" s="1929"/>
      <c r="BJ457" s="1929"/>
      <c r="BK457" s="1929"/>
      <c r="BL457" s="1929"/>
      <c r="BM457" s="1929"/>
      <c r="BN457" s="1929"/>
      <c r="BO457" s="1929"/>
      <c r="BP457" s="1929"/>
      <c r="BQ457" s="1929"/>
      <c r="BR457" s="1929"/>
      <c r="BS457" s="1885"/>
      <c r="BT457" s="1885"/>
      <c r="BU457" s="1885"/>
      <c r="BV457" s="1890"/>
      <c r="BW457" s="1890"/>
      <c r="BX457" s="1890"/>
      <c r="BY457" s="1890"/>
      <c r="BZ457" s="1891"/>
      <c r="CA457" s="1891"/>
      <c r="CB457" s="1912"/>
      <c r="CC457" s="1913"/>
      <c r="CD457" s="1913"/>
      <c r="CE457" s="1913"/>
      <c r="CF457" s="1913"/>
      <c r="CG457" s="1913"/>
      <c r="CH457" s="1913"/>
      <c r="CI457" s="1913"/>
      <c r="CJ457" s="1913"/>
      <c r="CK457" s="1913"/>
      <c r="CL457" s="1913"/>
      <c r="CM457" s="1913"/>
      <c r="CN457" s="1913"/>
      <c r="CO457" s="1913"/>
      <c r="CP457" s="1913"/>
      <c r="CQ457" s="1913"/>
      <c r="CR457" s="1913"/>
      <c r="CS457" s="1913"/>
      <c r="CT457" s="1913"/>
      <c r="CU457" s="1914"/>
      <c r="CV457" s="2360" t="str">
        <f t="shared" si="445"/>
        <v/>
      </c>
      <c r="CW457" s="2360"/>
      <c r="CX457" s="2360"/>
      <c r="CY457" s="2360"/>
      <c r="CZ457" s="2360"/>
      <c r="DA457" s="2360"/>
      <c r="DC457" s="600" t="str">
        <f t="shared" si="446"/>
        <v/>
      </c>
      <c r="DD457" s="381"/>
      <c r="DF457" s="34"/>
      <c r="DG457" s="34"/>
      <c r="DH457" s="34"/>
      <c r="DI457" s="34"/>
      <c r="DJ457" s="858" t="s">
        <v>5637</v>
      </c>
      <c r="DK457" s="1707" t="str">
        <f t="shared" si="491"/>
        <v/>
      </c>
      <c r="DL457" s="1692" t="str">
        <f t="shared" si="492"/>
        <v/>
      </c>
      <c r="DM457" s="1691">
        <f t="shared" si="447"/>
        <v>0</v>
      </c>
      <c r="DN457" s="111">
        <f t="shared" si="448"/>
        <v>0</v>
      </c>
      <c r="DO457" s="111">
        <f t="shared" si="449"/>
        <v>0</v>
      </c>
      <c r="DP457" s="474">
        <f t="shared" si="450"/>
        <v>0</v>
      </c>
      <c r="DQ457" s="123" t="s">
        <v>840</v>
      </c>
      <c r="DR457" s="473" t="str">
        <f t="shared" si="451"/>
        <v>乗降ロビーの構造及び面積の確保の状況</v>
      </c>
      <c r="DS457" s="112">
        <f t="shared" si="452"/>
        <v>0</v>
      </c>
      <c r="DT457" s="118" t="str">
        <f t="shared" si="453"/>
        <v/>
      </c>
      <c r="DU457" s="452" t="str">
        <f t="shared" si="454"/>
        <v/>
      </c>
      <c r="DV457" s="453" t="str">
        <f>IF($DT457="要是正",MAX($DV$422:DV456)+1,"")</f>
        <v/>
      </c>
      <c r="DW457" s="32" t="str">
        <f t="shared" si="455"/>
        <v/>
      </c>
      <c r="DX457" s="119" t="str">
        <f t="shared" si="456"/>
        <v/>
      </c>
      <c r="DY457" s="33" t="str">
        <f t="shared" si="457"/>
        <v/>
      </c>
      <c r="DZ457" s="217" t="str">
        <f t="shared" si="458"/>
        <v/>
      </c>
      <c r="EA457" s="466" t="str">
        <f t="shared" si="459"/>
        <v/>
      </c>
      <c r="EB457" s="234" t="str">
        <f t="shared" si="460"/>
        <v/>
      </c>
      <c r="EC457" s="227" t="str">
        <f t="shared" si="461"/>
        <v>0</v>
      </c>
      <c r="ED457" s="148" t="str">
        <f t="shared" si="493"/>
        <v/>
      </c>
      <c r="EE457" s="227" t="str">
        <f t="shared" si="494"/>
        <v>0</v>
      </c>
      <c r="EF457" s="130" t="str">
        <f t="shared" si="462"/>
        <v/>
      </c>
      <c r="EG457" s="204" t="str">
        <f t="shared" si="463"/>
        <v/>
      </c>
      <c r="EH457" s="134" t="str">
        <f t="shared" si="464"/>
        <v>0</v>
      </c>
      <c r="EI457" s="148" t="str">
        <f t="shared" si="495"/>
        <v/>
      </c>
      <c r="EJ457" s="227" t="str">
        <f t="shared" si="496"/>
        <v>0</v>
      </c>
      <c r="EK457" s="451" t="str">
        <f t="shared" si="465"/>
        <v/>
      </c>
      <c r="EL457" s="452" t="e">
        <f t="shared" si="466"/>
        <v>#N/A</v>
      </c>
      <c r="EM457" s="151" t="e">
        <f t="shared" si="467"/>
        <v>#N/A</v>
      </c>
      <c r="EN457" s="453" t="e">
        <f t="shared" si="468"/>
        <v>#N/A</v>
      </c>
      <c r="FK457" s="597" t="str">
        <f t="shared" si="469"/>
        <v/>
      </c>
      <c r="FL457" s="597" t="str">
        <f t="shared" si="386"/>
        <v/>
      </c>
      <c r="FM457" s="597" t="str">
        <f t="shared" si="387"/>
        <v/>
      </c>
      <c r="FN457" s="597">
        <f t="shared" si="470"/>
        <v>0</v>
      </c>
      <c r="FO457" s="1163" t="str">
        <f t="shared" si="471"/>
        <v/>
      </c>
      <c r="FQ457" s="234" t="str">
        <f t="shared" si="472"/>
        <v/>
      </c>
      <c r="FR457" s="227" t="str">
        <f t="shared" si="473"/>
        <v>0</v>
      </c>
      <c r="FS457" s="148" t="str">
        <f t="shared" si="474"/>
        <v/>
      </c>
      <c r="FT457" s="227" t="str">
        <f t="shared" si="475"/>
        <v>0</v>
      </c>
      <c r="FU457" s="416" t="str">
        <f t="shared" si="497"/>
        <v/>
      </c>
      <c r="FW457" s="1160">
        <f t="shared" si="529"/>
        <v>0</v>
      </c>
      <c r="FX457" s="123"/>
      <c r="FY457" s="123"/>
      <c r="FZ457" s="1161"/>
      <c r="GA457" s="34"/>
      <c r="GB457" s="1149">
        <f t="shared" si="498"/>
        <v>0</v>
      </c>
      <c r="GC457" s="1149">
        <f t="shared" si="499"/>
        <v>0</v>
      </c>
      <c r="GD457" s="1149">
        <f t="shared" si="500"/>
        <v>0</v>
      </c>
      <c r="GE457" s="1149" t="str">
        <f t="shared" si="476"/>
        <v/>
      </c>
      <c r="GF457" s="1149" t="str">
        <f t="shared" si="477"/>
        <v/>
      </c>
      <c r="GG457" s="1149" t="str">
        <f t="shared" si="478"/>
        <v/>
      </c>
      <c r="GH457" s="1149" t="str">
        <f t="shared" si="479"/>
        <v/>
      </c>
      <c r="GI457" s="1149" t="str">
        <f t="shared" si="480"/>
        <v/>
      </c>
      <c r="GJ457" s="1149" t="str">
        <f t="shared" si="481"/>
        <v/>
      </c>
      <c r="GK457" s="1149" t="str">
        <f t="shared" si="482"/>
        <v/>
      </c>
      <c r="GL457" s="1149" t="str">
        <f t="shared" si="483"/>
        <v/>
      </c>
      <c r="GM457" s="1149" t="str">
        <f t="shared" si="484"/>
        <v/>
      </c>
      <c r="GN457" s="1149" t="str">
        <f t="shared" si="485"/>
        <v/>
      </c>
      <c r="GO457" s="1149" t="str">
        <f t="shared" si="486"/>
        <v/>
      </c>
      <c r="GP457" s="1149" t="str">
        <f t="shared" si="487"/>
        <v/>
      </c>
      <c r="GQ457" s="1149" t="str">
        <f t="shared" si="488"/>
        <v/>
      </c>
      <c r="GR457" s="1149" t="str">
        <f t="shared" si="489"/>
        <v/>
      </c>
      <c r="GS457" s="1149" t="str">
        <f t="shared" si="490"/>
        <v/>
      </c>
      <c r="GT457" s="1149">
        <f t="shared" si="501"/>
        <v>0</v>
      </c>
      <c r="GU457" s="1149">
        <f t="shared" si="502"/>
        <v>0</v>
      </c>
      <c r="GV457" s="1149">
        <f t="shared" si="503"/>
        <v>0</v>
      </c>
      <c r="GW457" s="1149" t="b">
        <f t="shared" si="504"/>
        <v>0</v>
      </c>
      <c r="GX457" s="1149" t="b">
        <f t="shared" si="505"/>
        <v>0</v>
      </c>
      <c r="GY457" s="1149" t="b">
        <f t="shared" si="506"/>
        <v>0</v>
      </c>
      <c r="GZ457" s="1149" t="str">
        <f t="shared" si="528"/>
        <v/>
      </c>
      <c r="HB457" s="1149" t="str">
        <f t="shared" si="507"/>
        <v/>
      </c>
      <c r="HC457" s="1149" t="str">
        <f t="shared" si="508"/>
        <v/>
      </c>
      <c r="HD457" s="1149" t="str">
        <f t="shared" si="509"/>
        <v/>
      </c>
      <c r="HE457" s="1149" t="str">
        <f t="shared" si="510"/>
        <v/>
      </c>
      <c r="HF457" s="1149" t="str">
        <f t="shared" si="511"/>
        <v/>
      </c>
      <c r="HG457" s="1149" t="str">
        <f t="shared" si="512"/>
        <v/>
      </c>
      <c r="HH457" s="1149" t="str">
        <f t="shared" si="513"/>
        <v/>
      </c>
      <c r="HI457" s="1149" t="str">
        <f t="shared" si="514"/>
        <v/>
      </c>
      <c r="HJ457" s="1149" t="str">
        <f t="shared" si="515"/>
        <v/>
      </c>
      <c r="HK457" s="1149" t="str">
        <f t="shared" si="516"/>
        <v/>
      </c>
      <c r="HL457" s="1149" t="str">
        <f t="shared" si="517"/>
        <v/>
      </c>
      <c r="HM457" s="1149" t="str">
        <f t="shared" si="518"/>
        <v/>
      </c>
      <c r="HN457" s="1149" t="str">
        <f t="shared" si="519"/>
        <v/>
      </c>
      <c r="HO457" s="1149" t="str">
        <f t="shared" si="520"/>
        <v/>
      </c>
      <c r="HP457" s="1149" t="str">
        <f t="shared" si="521"/>
        <v/>
      </c>
      <c r="HQ457" s="1149" t="str">
        <f t="shared" si="522"/>
        <v/>
      </c>
      <c r="HR457" s="1149" t="str">
        <f t="shared" si="523"/>
        <v/>
      </c>
      <c r="HT457" s="1149">
        <f>LEFT(M457,1)*10000+MID(M457,3,LEN(M457)-3)*100+COUNTIF($M$307:M457,M457)</f>
        <v>53201</v>
      </c>
      <c r="HU457" s="1149" t="str">
        <f t="shared" si="524"/>
        <v/>
      </c>
      <c r="HV457" s="1149" t="str">
        <f t="shared" si="525"/>
        <v/>
      </c>
      <c r="HW457" s="1149" t="str">
        <f t="shared" si="526"/>
        <v/>
      </c>
      <c r="HX457" s="1149" t="str">
        <f t="shared" si="527"/>
        <v/>
      </c>
    </row>
    <row r="458" spans="1:232" s="69" customFormat="1" ht="50.15" customHeight="1">
      <c r="A458" s="645"/>
      <c r="B458" s="645"/>
      <c r="C458" s="645"/>
      <c r="D458" s="645"/>
      <c r="E458" s="646"/>
      <c r="F458" s="381"/>
      <c r="G458" s="381"/>
      <c r="H458" s="381"/>
      <c r="J458" s="80"/>
      <c r="K458" s="89"/>
      <c r="L458" s="89"/>
      <c r="M458" s="2082" t="s">
        <v>1301</v>
      </c>
      <c r="N458" s="2082"/>
      <c r="O458" s="2082"/>
      <c r="P458" s="2100"/>
      <c r="Q458" s="2100"/>
      <c r="R458" s="1966"/>
      <c r="S458" s="1966"/>
      <c r="T458" s="1966"/>
      <c r="U458" s="1899" t="s">
        <v>198</v>
      </c>
      <c r="V458" s="1899"/>
      <c r="W458" s="1899"/>
      <c r="X458" s="1899"/>
      <c r="Y458" s="1899"/>
      <c r="Z458" s="1899"/>
      <c r="AA458" s="1899"/>
      <c r="AB458" s="1899"/>
      <c r="AC458" s="1899"/>
      <c r="AD458" s="1899"/>
      <c r="AE458" s="1899"/>
      <c r="AF458" s="1898"/>
      <c r="AG458" s="1898"/>
      <c r="AH458" s="1898"/>
      <c r="AI458" s="1898"/>
      <c r="AJ458" s="1898"/>
      <c r="AK458" s="1898"/>
      <c r="AL458" s="1898"/>
      <c r="AM458" s="1898"/>
      <c r="AN458" s="1898"/>
      <c r="AO458" s="1898"/>
      <c r="AP458" s="1898"/>
      <c r="AQ458" s="1898"/>
      <c r="AR458" s="1910"/>
      <c r="AS458" s="1910"/>
      <c r="AT458" s="1993"/>
      <c r="AU458" s="1993"/>
      <c r="AV458" s="1993"/>
      <c r="AW458" s="1993"/>
      <c r="AX458" s="1993"/>
      <c r="AY458" s="1993"/>
      <c r="AZ458" s="1993"/>
      <c r="BA458" s="1993"/>
      <c r="BB458" s="1993"/>
      <c r="BC458" s="1993"/>
      <c r="BD458" s="1993"/>
      <c r="BE458" s="1993"/>
      <c r="BF458" s="1993"/>
      <c r="BG458" s="1993"/>
      <c r="BH458" s="1993"/>
      <c r="BI458" s="1993"/>
      <c r="BJ458" s="1993"/>
      <c r="BK458" s="1993"/>
      <c r="BL458" s="1993"/>
      <c r="BM458" s="1993"/>
      <c r="BN458" s="1993"/>
      <c r="BO458" s="1993"/>
      <c r="BP458" s="1993"/>
      <c r="BQ458" s="1993"/>
      <c r="BR458" s="1993"/>
      <c r="BS458" s="1895"/>
      <c r="BT458" s="1895"/>
      <c r="BU458" s="1895"/>
      <c r="BV458" s="1889"/>
      <c r="BW458" s="1889"/>
      <c r="BX458" s="1889"/>
      <c r="BY458" s="1889"/>
      <c r="BZ458" s="1896"/>
      <c r="CA458" s="1896"/>
      <c r="CB458" s="1986"/>
      <c r="CC458" s="1987"/>
      <c r="CD458" s="1987"/>
      <c r="CE458" s="1987"/>
      <c r="CF458" s="1987"/>
      <c r="CG458" s="1987"/>
      <c r="CH458" s="1987"/>
      <c r="CI458" s="1987"/>
      <c r="CJ458" s="1987"/>
      <c r="CK458" s="1987"/>
      <c r="CL458" s="1987"/>
      <c r="CM458" s="1987"/>
      <c r="CN458" s="1987"/>
      <c r="CO458" s="1987"/>
      <c r="CP458" s="1987"/>
      <c r="CQ458" s="1987"/>
      <c r="CR458" s="1987"/>
      <c r="CS458" s="1987"/>
      <c r="CT458" s="1987"/>
      <c r="CU458" s="1988"/>
      <c r="CV458" s="2360" t="str">
        <f t="shared" si="445"/>
        <v/>
      </c>
      <c r="CW458" s="2360"/>
      <c r="CX458" s="2360"/>
      <c r="CY458" s="2360"/>
      <c r="CZ458" s="2360"/>
      <c r="DA458" s="2360"/>
      <c r="DC458" s="600" t="str">
        <f t="shared" si="446"/>
        <v/>
      </c>
      <c r="DD458" s="381"/>
      <c r="DF458" s="34"/>
      <c r="DG458" s="34"/>
      <c r="DH458" s="34"/>
      <c r="DI458" s="34"/>
      <c r="DJ458" s="858" t="s">
        <v>5637</v>
      </c>
      <c r="DK458" s="1707" t="str">
        <f t="shared" si="491"/>
        <v/>
      </c>
      <c r="DL458" s="1692" t="str">
        <f t="shared" si="492"/>
        <v/>
      </c>
      <c r="DM458" s="1691">
        <f t="shared" si="447"/>
        <v>0</v>
      </c>
      <c r="DN458" s="111">
        <f t="shared" si="448"/>
        <v>0</v>
      </c>
      <c r="DO458" s="111">
        <f t="shared" si="449"/>
        <v>0</v>
      </c>
      <c r="DP458" s="474">
        <f t="shared" si="450"/>
        <v>0</v>
      </c>
      <c r="DQ458" s="123" t="s">
        <v>841</v>
      </c>
      <c r="DR458" s="473" t="str">
        <f>IF($U458="",R457,U458)</f>
        <v>乗降ロビー等の排煙設備の設置の状況</v>
      </c>
      <c r="DS458" s="112">
        <f t="shared" si="452"/>
        <v>0</v>
      </c>
      <c r="DT458" s="118" t="str">
        <f t="shared" si="453"/>
        <v/>
      </c>
      <c r="DU458" s="452" t="str">
        <f t="shared" si="454"/>
        <v/>
      </c>
      <c r="DV458" s="453" t="str">
        <f>IF($DT458="要是正",MAX($DV$422:DV457)+1,"")</f>
        <v/>
      </c>
      <c r="DW458" s="32" t="str">
        <f t="shared" si="455"/>
        <v/>
      </c>
      <c r="DX458" s="119" t="str">
        <f t="shared" si="456"/>
        <v/>
      </c>
      <c r="DY458" s="33" t="str">
        <f t="shared" si="457"/>
        <v/>
      </c>
      <c r="DZ458" s="217" t="str">
        <f t="shared" si="458"/>
        <v/>
      </c>
      <c r="EA458" s="466" t="str">
        <f t="shared" si="459"/>
        <v/>
      </c>
      <c r="EB458" s="234" t="str">
        <f t="shared" si="460"/>
        <v/>
      </c>
      <c r="EC458" s="227" t="str">
        <f t="shared" si="461"/>
        <v>0</v>
      </c>
      <c r="ED458" s="148" t="str">
        <f t="shared" si="493"/>
        <v/>
      </c>
      <c r="EE458" s="227" t="str">
        <f t="shared" si="494"/>
        <v>0</v>
      </c>
      <c r="EF458" s="130" t="str">
        <f t="shared" si="462"/>
        <v/>
      </c>
      <c r="EG458" s="204" t="str">
        <f t="shared" si="463"/>
        <v/>
      </c>
      <c r="EH458" s="134" t="str">
        <f t="shared" si="464"/>
        <v>0</v>
      </c>
      <c r="EI458" s="148" t="str">
        <f t="shared" si="495"/>
        <v/>
      </c>
      <c r="EJ458" s="227" t="str">
        <f t="shared" si="496"/>
        <v>0</v>
      </c>
      <c r="EK458" s="451" t="str">
        <f t="shared" si="465"/>
        <v/>
      </c>
      <c r="EL458" s="452" t="e">
        <f t="shared" si="466"/>
        <v>#N/A</v>
      </c>
      <c r="EM458" s="151" t="e">
        <f t="shared" si="467"/>
        <v>#N/A</v>
      </c>
      <c r="EN458" s="453" t="e">
        <f t="shared" si="468"/>
        <v>#N/A</v>
      </c>
      <c r="FK458" s="597" t="str">
        <f t="shared" si="469"/>
        <v/>
      </c>
      <c r="FL458" s="597" t="str">
        <f t="shared" si="386"/>
        <v/>
      </c>
      <c r="FM458" s="597" t="str">
        <f t="shared" si="387"/>
        <v/>
      </c>
      <c r="FN458" s="597">
        <f t="shared" si="470"/>
        <v>0</v>
      </c>
      <c r="FO458" s="1163" t="str">
        <f t="shared" si="471"/>
        <v/>
      </c>
      <c r="FQ458" s="234" t="str">
        <f t="shared" si="472"/>
        <v/>
      </c>
      <c r="FR458" s="227" t="str">
        <f t="shared" si="473"/>
        <v>0</v>
      </c>
      <c r="FS458" s="148" t="str">
        <f t="shared" si="474"/>
        <v/>
      </c>
      <c r="FT458" s="227" t="str">
        <f t="shared" si="475"/>
        <v>0</v>
      </c>
      <c r="FU458" s="416" t="str">
        <f t="shared" si="497"/>
        <v/>
      </c>
      <c r="FW458" s="1160">
        <f t="shared" si="529"/>
        <v>0</v>
      </c>
      <c r="FX458" s="123"/>
      <c r="FY458" s="123"/>
      <c r="FZ458" s="1161"/>
      <c r="GA458" s="34"/>
      <c r="GB458" s="1149">
        <f t="shared" si="498"/>
        <v>0</v>
      </c>
      <c r="GC458" s="1149">
        <f t="shared" si="499"/>
        <v>0</v>
      </c>
      <c r="GD458" s="1149">
        <f t="shared" si="500"/>
        <v>0</v>
      </c>
      <c r="GE458" s="1149" t="str">
        <f t="shared" si="476"/>
        <v/>
      </c>
      <c r="GF458" s="1149" t="str">
        <f t="shared" si="477"/>
        <v/>
      </c>
      <c r="GG458" s="1149" t="str">
        <f t="shared" si="478"/>
        <v/>
      </c>
      <c r="GH458" s="1149" t="str">
        <f t="shared" si="479"/>
        <v/>
      </c>
      <c r="GI458" s="1149" t="str">
        <f t="shared" si="480"/>
        <v/>
      </c>
      <c r="GJ458" s="1149" t="str">
        <f t="shared" si="481"/>
        <v/>
      </c>
      <c r="GK458" s="1149" t="str">
        <f t="shared" si="482"/>
        <v/>
      </c>
      <c r="GL458" s="1149" t="str">
        <f t="shared" si="483"/>
        <v/>
      </c>
      <c r="GM458" s="1149" t="str">
        <f t="shared" si="484"/>
        <v/>
      </c>
      <c r="GN458" s="1149" t="str">
        <f t="shared" si="485"/>
        <v/>
      </c>
      <c r="GO458" s="1149" t="str">
        <f t="shared" si="486"/>
        <v/>
      </c>
      <c r="GP458" s="1149" t="str">
        <f t="shared" si="487"/>
        <v/>
      </c>
      <c r="GQ458" s="1149" t="str">
        <f t="shared" si="488"/>
        <v/>
      </c>
      <c r="GR458" s="1149" t="str">
        <f t="shared" si="489"/>
        <v/>
      </c>
      <c r="GS458" s="1149" t="str">
        <f t="shared" si="490"/>
        <v/>
      </c>
      <c r="GT458" s="1149">
        <f t="shared" si="501"/>
        <v>0</v>
      </c>
      <c r="GU458" s="1149">
        <f t="shared" si="502"/>
        <v>0</v>
      </c>
      <c r="GV458" s="1149">
        <f t="shared" si="503"/>
        <v>0</v>
      </c>
      <c r="GW458" s="1149" t="b">
        <f t="shared" si="504"/>
        <v>0</v>
      </c>
      <c r="GX458" s="1149" t="b">
        <f t="shared" si="505"/>
        <v>0</v>
      </c>
      <c r="GY458" s="1149" t="b">
        <f t="shared" si="506"/>
        <v>0</v>
      </c>
      <c r="GZ458" s="1149" t="str">
        <f t="shared" si="528"/>
        <v/>
      </c>
      <c r="HB458" s="1149" t="str">
        <f t="shared" si="507"/>
        <v/>
      </c>
      <c r="HC458" s="1149" t="str">
        <f t="shared" si="508"/>
        <v/>
      </c>
      <c r="HD458" s="1149" t="str">
        <f t="shared" si="509"/>
        <v/>
      </c>
      <c r="HE458" s="1149" t="str">
        <f t="shared" si="510"/>
        <v/>
      </c>
      <c r="HF458" s="1149" t="str">
        <f t="shared" si="511"/>
        <v/>
      </c>
      <c r="HG458" s="1149" t="str">
        <f t="shared" si="512"/>
        <v/>
      </c>
      <c r="HH458" s="1149" t="str">
        <f t="shared" si="513"/>
        <v/>
      </c>
      <c r="HI458" s="1149" t="str">
        <f t="shared" si="514"/>
        <v/>
      </c>
      <c r="HJ458" s="1149" t="str">
        <f t="shared" si="515"/>
        <v/>
      </c>
      <c r="HK458" s="1149" t="str">
        <f t="shared" si="516"/>
        <v/>
      </c>
      <c r="HL458" s="1149" t="str">
        <f t="shared" si="517"/>
        <v/>
      </c>
      <c r="HM458" s="1149" t="str">
        <f t="shared" si="518"/>
        <v/>
      </c>
      <c r="HN458" s="1149" t="str">
        <f t="shared" si="519"/>
        <v/>
      </c>
      <c r="HO458" s="1149" t="str">
        <f t="shared" si="520"/>
        <v/>
      </c>
      <c r="HP458" s="1149" t="str">
        <f t="shared" si="521"/>
        <v/>
      </c>
      <c r="HQ458" s="1149" t="str">
        <f t="shared" si="522"/>
        <v/>
      </c>
      <c r="HR458" s="1149" t="str">
        <f t="shared" si="523"/>
        <v/>
      </c>
      <c r="HT458" s="1149">
        <f>LEFT(M458,1)*10000+MID(M458,3,LEN(M458)-3)*100+COUNTIF($M$307:M458,M458)</f>
        <v>53301</v>
      </c>
      <c r="HU458" s="1149" t="str">
        <f t="shared" si="524"/>
        <v/>
      </c>
      <c r="HV458" s="1149" t="str">
        <f t="shared" si="525"/>
        <v/>
      </c>
      <c r="HW458" s="1149" t="str">
        <f t="shared" si="526"/>
        <v/>
      </c>
      <c r="HX458" s="1149" t="str">
        <f t="shared" si="527"/>
        <v/>
      </c>
    </row>
    <row r="459" spans="1:232" s="69" customFormat="1" ht="50.15" customHeight="1">
      <c r="A459" s="645"/>
      <c r="B459" s="645"/>
      <c r="C459" s="645"/>
      <c r="D459" s="645"/>
      <c r="E459" s="646"/>
      <c r="F459" s="381"/>
      <c r="G459" s="381"/>
      <c r="H459" s="381"/>
      <c r="J459" s="80"/>
      <c r="K459" s="89"/>
      <c r="L459" s="89"/>
      <c r="M459" s="2082" t="s">
        <v>1302</v>
      </c>
      <c r="N459" s="2082"/>
      <c r="O459" s="2082"/>
      <c r="P459" s="2100"/>
      <c r="Q459" s="2100"/>
      <c r="R459" s="1966"/>
      <c r="S459" s="1966"/>
      <c r="T459" s="1966"/>
      <c r="U459" s="1899" t="s">
        <v>197</v>
      </c>
      <c r="V459" s="1899"/>
      <c r="W459" s="1899"/>
      <c r="X459" s="1899"/>
      <c r="Y459" s="1899"/>
      <c r="Z459" s="1899"/>
      <c r="AA459" s="1899"/>
      <c r="AB459" s="1899"/>
      <c r="AC459" s="1899"/>
      <c r="AD459" s="1899"/>
      <c r="AE459" s="1899"/>
      <c r="AF459" s="1898"/>
      <c r="AG459" s="1898"/>
      <c r="AH459" s="1898"/>
      <c r="AI459" s="1898"/>
      <c r="AJ459" s="1898"/>
      <c r="AK459" s="1898"/>
      <c r="AL459" s="1898"/>
      <c r="AM459" s="1898"/>
      <c r="AN459" s="1898"/>
      <c r="AO459" s="1898"/>
      <c r="AP459" s="1898"/>
      <c r="AQ459" s="1898"/>
      <c r="AR459" s="1910"/>
      <c r="AS459" s="1910"/>
      <c r="AT459" s="1993"/>
      <c r="AU459" s="1993"/>
      <c r="AV459" s="1993"/>
      <c r="AW459" s="1993"/>
      <c r="AX459" s="1993"/>
      <c r="AY459" s="1993"/>
      <c r="AZ459" s="1993"/>
      <c r="BA459" s="1993"/>
      <c r="BB459" s="1993"/>
      <c r="BC459" s="1993"/>
      <c r="BD459" s="1993"/>
      <c r="BE459" s="1993"/>
      <c r="BF459" s="1993"/>
      <c r="BG459" s="1993"/>
      <c r="BH459" s="1993"/>
      <c r="BI459" s="1993"/>
      <c r="BJ459" s="1993"/>
      <c r="BK459" s="1993"/>
      <c r="BL459" s="1993"/>
      <c r="BM459" s="1993"/>
      <c r="BN459" s="1993"/>
      <c r="BO459" s="1993"/>
      <c r="BP459" s="1993"/>
      <c r="BQ459" s="1993"/>
      <c r="BR459" s="1993"/>
      <c r="BS459" s="1895"/>
      <c r="BT459" s="1895"/>
      <c r="BU459" s="1895"/>
      <c r="BV459" s="1889"/>
      <c r="BW459" s="1889"/>
      <c r="BX459" s="1889"/>
      <c r="BY459" s="1889"/>
      <c r="BZ459" s="1896"/>
      <c r="CA459" s="1896"/>
      <c r="CB459" s="1986"/>
      <c r="CC459" s="1987"/>
      <c r="CD459" s="1987"/>
      <c r="CE459" s="1987"/>
      <c r="CF459" s="1987"/>
      <c r="CG459" s="1987"/>
      <c r="CH459" s="1987"/>
      <c r="CI459" s="1987"/>
      <c r="CJ459" s="1987"/>
      <c r="CK459" s="1987"/>
      <c r="CL459" s="1987"/>
      <c r="CM459" s="1987"/>
      <c r="CN459" s="1987"/>
      <c r="CO459" s="1987"/>
      <c r="CP459" s="1987"/>
      <c r="CQ459" s="1987"/>
      <c r="CR459" s="1987"/>
      <c r="CS459" s="1987"/>
      <c r="CT459" s="1987"/>
      <c r="CU459" s="1988"/>
      <c r="CV459" s="2360" t="str">
        <f t="shared" si="445"/>
        <v/>
      </c>
      <c r="CW459" s="2360"/>
      <c r="CX459" s="2360"/>
      <c r="CY459" s="2360"/>
      <c r="CZ459" s="2360"/>
      <c r="DA459" s="2360"/>
      <c r="DC459" s="600" t="str">
        <f t="shared" si="446"/>
        <v/>
      </c>
      <c r="DD459" s="381"/>
      <c r="DF459" s="34"/>
      <c r="DG459" s="34"/>
      <c r="DH459" s="34"/>
      <c r="DI459" s="34"/>
      <c r="DJ459" s="858" t="s">
        <v>5637</v>
      </c>
      <c r="DK459" s="1707" t="str">
        <f t="shared" si="491"/>
        <v/>
      </c>
      <c r="DL459" s="1692" t="str">
        <f t="shared" si="492"/>
        <v/>
      </c>
      <c r="DM459" s="1691">
        <f t="shared" si="447"/>
        <v>0</v>
      </c>
      <c r="DN459" s="111">
        <f t="shared" si="448"/>
        <v>0</v>
      </c>
      <c r="DO459" s="111">
        <f t="shared" si="449"/>
        <v>0</v>
      </c>
      <c r="DP459" s="474">
        <f t="shared" si="450"/>
        <v>0</v>
      </c>
      <c r="DQ459" s="123" t="s">
        <v>842</v>
      </c>
      <c r="DR459" s="473" t="str">
        <f>IF($U459="",R457,U459)</f>
        <v>乗降ロビー等の排煙設備の作動の状況</v>
      </c>
      <c r="DS459" s="112">
        <f t="shared" si="452"/>
        <v>0</v>
      </c>
      <c r="DT459" s="118" t="str">
        <f t="shared" si="453"/>
        <v/>
      </c>
      <c r="DU459" s="452" t="str">
        <f t="shared" si="454"/>
        <v/>
      </c>
      <c r="DV459" s="453" t="str">
        <f>IF($DT459="要是正",MAX($DV$422:DV458)+1,"")</f>
        <v/>
      </c>
      <c r="DW459" s="32" t="str">
        <f t="shared" si="455"/>
        <v/>
      </c>
      <c r="DX459" s="119" t="str">
        <f t="shared" si="456"/>
        <v/>
      </c>
      <c r="DY459" s="33" t="str">
        <f t="shared" si="457"/>
        <v/>
      </c>
      <c r="DZ459" s="217" t="str">
        <f t="shared" si="458"/>
        <v/>
      </c>
      <c r="EA459" s="466" t="str">
        <f t="shared" si="459"/>
        <v/>
      </c>
      <c r="EB459" s="234" t="str">
        <f t="shared" si="460"/>
        <v/>
      </c>
      <c r="EC459" s="227" t="str">
        <f t="shared" si="461"/>
        <v>0</v>
      </c>
      <c r="ED459" s="148" t="str">
        <f t="shared" si="493"/>
        <v/>
      </c>
      <c r="EE459" s="227" t="str">
        <f t="shared" si="494"/>
        <v>0</v>
      </c>
      <c r="EF459" s="130" t="str">
        <f t="shared" si="462"/>
        <v/>
      </c>
      <c r="EG459" s="204" t="str">
        <f t="shared" si="463"/>
        <v/>
      </c>
      <c r="EH459" s="134" t="str">
        <f t="shared" si="464"/>
        <v>0</v>
      </c>
      <c r="EI459" s="148" t="str">
        <f t="shared" si="495"/>
        <v/>
      </c>
      <c r="EJ459" s="227" t="str">
        <f t="shared" si="496"/>
        <v>0</v>
      </c>
      <c r="EK459" s="451" t="str">
        <f t="shared" si="465"/>
        <v/>
      </c>
      <c r="EL459" s="452" t="e">
        <f t="shared" si="466"/>
        <v>#N/A</v>
      </c>
      <c r="EM459" s="151" t="e">
        <f t="shared" si="467"/>
        <v>#N/A</v>
      </c>
      <c r="EN459" s="453" t="e">
        <f t="shared" si="468"/>
        <v>#N/A</v>
      </c>
      <c r="FK459" s="597" t="str">
        <f t="shared" si="469"/>
        <v/>
      </c>
      <c r="FL459" s="597" t="str">
        <f t="shared" si="386"/>
        <v/>
      </c>
      <c r="FM459" s="597" t="str">
        <f t="shared" si="387"/>
        <v/>
      </c>
      <c r="FN459" s="597">
        <f t="shared" si="470"/>
        <v>0</v>
      </c>
      <c r="FO459" s="1163" t="str">
        <f t="shared" si="471"/>
        <v/>
      </c>
      <c r="FQ459" s="234" t="str">
        <f t="shared" si="472"/>
        <v/>
      </c>
      <c r="FR459" s="227" t="str">
        <f t="shared" si="473"/>
        <v>0</v>
      </c>
      <c r="FS459" s="148" t="str">
        <f t="shared" si="474"/>
        <v/>
      </c>
      <c r="FT459" s="227" t="str">
        <f t="shared" si="475"/>
        <v>0</v>
      </c>
      <c r="FU459" s="416" t="str">
        <f t="shared" si="497"/>
        <v/>
      </c>
      <c r="FW459" s="1160">
        <f t="shared" si="529"/>
        <v>0</v>
      </c>
      <c r="FX459" s="123"/>
      <c r="FY459" s="123"/>
      <c r="FZ459" s="1161"/>
      <c r="GA459" s="34"/>
      <c r="GB459" s="1149">
        <f t="shared" si="498"/>
        <v>0</v>
      </c>
      <c r="GC459" s="1149">
        <f t="shared" si="499"/>
        <v>0</v>
      </c>
      <c r="GD459" s="1149">
        <f t="shared" si="500"/>
        <v>0</v>
      </c>
      <c r="GE459" s="1149" t="str">
        <f t="shared" si="476"/>
        <v/>
      </c>
      <c r="GF459" s="1149" t="str">
        <f t="shared" si="477"/>
        <v/>
      </c>
      <c r="GG459" s="1149" t="str">
        <f t="shared" si="478"/>
        <v/>
      </c>
      <c r="GH459" s="1149" t="str">
        <f t="shared" si="479"/>
        <v/>
      </c>
      <c r="GI459" s="1149" t="str">
        <f t="shared" si="480"/>
        <v/>
      </c>
      <c r="GJ459" s="1149" t="str">
        <f t="shared" si="481"/>
        <v/>
      </c>
      <c r="GK459" s="1149" t="str">
        <f t="shared" si="482"/>
        <v/>
      </c>
      <c r="GL459" s="1149" t="str">
        <f t="shared" si="483"/>
        <v/>
      </c>
      <c r="GM459" s="1149" t="str">
        <f t="shared" si="484"/>
        <v/>
      </c>
      <c r="GN459" s="1149" t="str">
        <f t="shared" si="485"/>
        <v/>
      </c>
      <c r="GO459" s="1149" t="str">
        <f t="shared" si="486"/>
        <v/>
      </c>
      <c r="GP459" s="1149" t="str">
        <f t="shared" si="487"/>
        <v/>
      </c>
      <c r="GQ459" s="1149" t="str">
        <f t="shared" si="488"/>
        <v/>
      </c>
      <c r="GR459" s="1149" t="str">
        <f t="shared" si="489"/>
        <v/>
      </c>
      <c r="GS459" s="1149" t="str">
        <f t="shared" si="490"/>
        <v/>
      </c>
      <c r="GT459" s="1149">
        <f t="shared" si="501"/>
        <v>0</v>
      </c>
      <c r="GU459" s="1149">
        <f t="shared" si="502"/>
        <v>0</v>
      </c>
      <c r="GV459" s="1149">
        <f t="shared" si="503"/>
        <v>0</v>
      </c>
      <c r="GW459" s="1149" t="b">
        <f t="shared" si="504"/>
        <v>0</v>
      </c>
      <c r="GX459" s="1149" t="b">
        <f t="shared" si="505"/>
        <v>0</v>
      </c>
      <c r="GY459" s="1149" t="b">
        <f t="shared" si="506"/>
        <v>0</v>
      </c>
      <c r="GZ459" s="1149" t="str">
        <f t="shared" si="528"/>
        <v/>
      </c>
      <c r="HB459" s="1149" t="str">
        <f t="shared" si="507"/>
        <v/>
      </c>
      <c r="HC459" s="1149" t="str">
        <f t="shared" si="508"/>
        <v/>
      </c>
      <c r="HD459" s="1149" t="str">
        <f t="shared" si="509"/>
        <v/>
      </c>
      <c r="HE459" s="1149" t="str">
        <f t="shared" si="510"/>
        <v/>
      </c>
      <c r="HF459" s="1149" t="str">
        <f t="shared" si="511"/>
        <v/>
      </c>
      <c r="HG459" s="1149" t="str">
        <f t="shared" si="512"/>
        <v/>
      </c>
      <c r="HH459" s="1149" t="str">
        <f t="shared" si="513"/>
        <v/>
      </c>
      <c r="HI459" s="1149" t="str">
        <f t="shared" si="514"/>
        <v/>
      </c>
      <c r="HJ459" s="1149" t="str">
        <f t="shared" si="515"/>
        <v/>
      </c>
      <c r="HK459" s="1149" t="str">
        <f t="shared" si="516"/>
        <v/>
      </c>
      <c r="HL459" s="1149" t="str">
        <f t="shared" si="517"/>
        <v/>
      </c>
      <c r="HM459" s="1149" t="str">
        <f t="shared" si="518"/>
        <v/>
      </c>
      <c r="HN459" s="1149" t="str">
        <f t="shared" si="519"/>
        <v/>
      </c>
      <c r="HO459" s="1149" t="str">
        <f t="shared" si="520"/>
        <v/>
      </c>
      <c r="HP459" s="1149" t="str">
        <f t="shared" si="521"/>
        <v/>
      </c>
      <c r="HQ459" s="1149" t="str">
        <f t="shared" si="522"/>
        <v/>
      </c>
      <c r="HR459" s="1149" t="str">
        <f t="shared" si="523"/>
        <v/>
      </c>
      <c r="HT459" s="1149">
        <f>LEFT(M459,1)*10000+MID(M459,3,LEN(M459)-3)*100+COUNTIF($M$307:M459,M459)</f>
        <v>53401</v>
      </c>
      <c r="HU459" s="1149" t="str">
        <f t="shared" si="524"/>
        <v/>
      </c>
      <c r="HV459" s="1149" t="str">
        <f t="shared" si="525"/>
        <v/>
      </c>
      <c r="HW459" s="1149" t="str">
        <f t="shared" si="526"/>
        <v/>
      </c>
      <c r="HX459" s="1149" t="str">
        <f t="shared" si="527"/>
        <v/>
      </c>
    </row>
    <row r="460" spans="1:232" s="69" customFormat="1" ht="50.15" customHeight="1">
      <c r="A460" s="645"/>
      <c r="B460" s="645"/>
      <c r="C460" s="645"/>
      <c r="D460" s="645"/>
      <c r="E460" s="646"/>
      <c r="F460" s="381"/>
      <c r="G460" s="381"/>
      <c r="H460" s="381"/>
      <c r="J460" s="80"/>
      <c r="K460" s="89"/>
      <c r="L460" s="89"/>
      <c r="M460" s="2082" t="s">
        <v>1303</v>
      </c>
      <c r="N460" s="2082"/>
      <c r="O460" s="2082"/>
      <c r="P460" s="2100"/>
      <c r="Q460" s="2100"/>
      <c r="R460" s="1966"/>
      <c r="S460" s="1966"/>
      <c r="T460" s="1966"/>
      <c r="U460" s="1899" t="s">
        <v>196</v>
      </c>
      <c r="V460" s="1899"/>
      <c r="W460" s="1899"/>
      <c r="X460" s="1899"/>
      <c r="Y460" s="1899"/>
      <c r="Z460" s="1899"/>
      <c r="AA460" s="1899"/>
      <c r="AB460" s="1899"/>
      <c r="AC460" s="1899"/>
      <c r="AD460" s="1899"/>
      <c r="AE460" s="1899"/>
      <c r="AF460" s="1898"/>
      <c r="AG460" s="1898"/>
      <c r="AH460" s="1898"/>
      <c r="AI460" s="1898"/>
      <c r="AJ460" s="1898"/>
      <c r="AK460" s="1898"/>
      <c r="AL460" s="1898"/>
      <c r="AM460" s="1898"/>
      <c r="AN460" s="1898"/>
      <c r="AO460" s="1898"/>
      <c r="AP460" s="1898"/>
      <c r="AQ460" s="1898"/>
      <c r="AR460" s="1910"/>
      <c r="AS460" s="1910"/>
      <c r="AT460" s="1993"/>
      <c r="AU460" s="1993"/>
      <c r="AV460" s="1993"/>
      <c r="AW460" s="1993"/>
      <c r="AX460" s="1993"/>
      <c r="AY460" s="1993"/>
      <c r="AZ460" s="1993"/>
      <c r="BA460" s="1993"/>
      <c r="BB460" s="1993"/>
      <c r="BC460" s="1993"/>
      <c r="BD460" s="1993"/>
      <c r="BE460" s="1993"/>
      <c r="BF460" s="1993"/>
      <c r="BG460" s="1993"/>
      <c r="BH460" s="1993"/>
      <c r="BI460" s="1993"/>
      <c r="BJ460" s="1993"/>
      <c r="BK460" s="1993"/>
      <c r="BL460" s="1993"/>
      <c r="BM460" s="1993"/>
      <c r="BN460" s="1993"/>
      <c r="BO460" s="1993"/>
      <c r="BP460" s="1993"/>
      <c r="BQ460" s="1993"/>
      <c r="BR460" s="1993"/>
      <c r="BS460" s="1895"/>
      <c r="BT460" s="1895"/>
      <c r="BU460" s="1895"/>
      <c r="BV460" s="1889"/>
      <c r="BW460" s="1889"/>
      <c r="BX460" s="1889"/>
      <c r="BY460" s="1889"/>
      <c r="BZ460" s="1896"/>
      <c r="CA460" s="1896"/>
      <c r="CB460" s="1986"/>
      <c r="CC460" s="1987"/>
      <c r="CD460" s="1987"/>
      <c r="CE460" s="1987"/>
      <c r="CF460" s="1987"/>
      <c r="CG460" s="1987"/>
      <c r="CH460" s="1987"/>
      <c r="CI460" s="1987"/>
      <c r="CJ460" s="1987"/>
      <c r="CK460" s="1987"/>
      <c r="CL460" s="1987"/>
      <c r="CM460" s="1987"/>
      <c r="CN460" s="1987"/>
      <c r="CO460" s="1987"/>
      <c r="CP460" s="1987"/>
      <c r="CQ460" s="1987"/>
      <c r="CR460" s="1987"/>
      <c r="CS460" s="1987"/>
      <c r="CT460" s="1987"/>
      <c r="CU460" s="1988"/>
      <c r="CV460" s="2360" t="str">
        <f t="shared" si="445"/>
        <v/>
      </c>
      <c r="CW460" s="2360"/>
      <c r="CX460" s="2360"/>
      <c r="CY460" s="2360"/>
      <c r="CZ460" s="2360"/>
      <c r="DA460" s="2360"/>
      <c r="DC460" s="600" t="str">
        <f t="shared" si="446"/>
        <v/>
      </c>
      <c r="DD460" s="381"/>
      <c r="DF460" s="34"/>
      <c r="DG460" s="34"/>
      <c r="DH460" s="34"/>
      <c r="DI460" s="34"/>
      <c r="DJ460" s="858" t="s">
        <v>5637</v>
      </c>
      <c r="DK460" s="1707" t="str">
        <f t="shared" si="491"/>
        <v/>
      </c>
      <c r="DL460" s="1692" t="str">
        <f t="shared" si="492"/>
        <v/>
      </c>
      <c r="DM460" s="1691">
        <f t="shared" si="447"/>
        <v>0</v>
      </c>
      <c r="DN460" s="111">
        <f t="shared" si="448"/>
        <v>0</v>
      </c>
      <c r="DO460" s="111">
        <f t="shared" si="449"/>
        <v>0</v>
      </c>
      <c r="DP460" s="474">
        <f t="shared" si="450"/>
        <v>0</v>
      </c>
      <c r="DQ460" s="123" t="s">
        <v>843</v>
      </c>
      <c r="DR460" s="473" t="str">
        <f>IF($U460="",R457,U460)</f>
        <v>乗降ロビーの付室の外気に向かって開くことができる窓の状況</v>
      </c>
      <c r="DS460" s="112">
        <f t="shared" si="452"/>
        <v>0</v>
      </c>
      <c r="DT460" s="118" t="str">
        <f t="shared" si="453"/>
        <v/>
      </c>
      <c r="DU460" s="452" t="str">
        <f t="shared" si="454"/>
        <v/>
      </c>
      <c r="DV460" s="453" t="str">
        <f>IF($DT460="要是正",MAX($DV$422:DV459)+1,"")</f>
        <v/>
      </c>
      <c r="DW460" s="32" t="str">
        <f t="shared" si="455"/>
        <v/>
      </c>
      <c r="DX460" s="119" t="str">
        <f t="shared" si="456"/>
        <v/>
      </c>
      <c r="DY460" s="33" t="str">
        <f t="shared" si="457"/>
        <v/>
      </c>
      <c r="DZ460" s="217" t="str">
        <f t="shared" si="458"/>
        <v/>
      </c>
      <c r="EA460" s="466" t="str">
        <f t="shared" si="459"/>
        <v/>
      </c>
      <c r="EB460" s="234" t="str">
        <f t="shared" si="460"/>
        <v/>
      </c>
      <c r="EC460" s="227" t="str">
        <f t="shared" si="461"/>
        <v>0</v>
      </c>
      <c r="ED460" s="148" t="str">
        <f t="shared" si="493"/>
        <v/>
      </c>
      <c r="EE460" s="227" t="str">
        <f t="shared" si="494"/>
        <v>0</v>
      </c>
      <c r="EF460" s="130" t="str">
        <f t="shared" si="462"/>
        <v/>
      </c>
      <c r="EG460" s="204" t="str">
        <f t="shared" si="463"/>
        <v/>
      </c>
      <c r="EH460" s="134" t="str">
        <f t="shared" si="464"/>
        <v>0</v>
      </c>
      <c r="EI460" s="148" t="str">
        <f t="shared" si="495"/>
        <v/>
      </c>
      <c r="EJ460" s="227" t="str">
        <f t="shared" si="496"/>
        <v>0</v>
      </c>
      <c r="EK460" s="451" t="str">
        <f t="shared" si="465"/>
        <v/>
      </c>
      <c r="EL460" s="452" t="e">
        <f t="shared" si="466"/>
        <v>#N/A</v>
      </c>
      <c r="EM460" s="151" t="e">
        <f t="shared" si="467"/>
        <v>#N/A</v>
      </c>
      <c r="EN460" s="453" t="e">
        <f t="shared" si="468"/>
        <v>#N/A</v>
      </c>
      <c r="FK460" s="597" t="str">
        <f t="shared" si="469"/>
        <v/>
      </c>
      <c r="FL460" s="597" t="str">
        <f t="shared" si="386"/>
        <v/>
      </c>
      <c r="FM460" s="597" t="str">
        <f t="shared" si="387"/>
        <v/>
      </c>
      <c r="FN460" s="597">
        <f t="shared" si="470"/>
        <v>0</v>
      </c>
      <c r="FO460" s="1163" t="str">
        <f t="shared" si="471"/>
        <v/>
      </c>
      <c r="FQ460" s="234" t="str">
        <f t="shared" si="472"/>
        <v/>
      </c>
      <c r="FR460" s="227" t="str">
        <f t="shared" si="473"/>
        <v>0</v>
      </c>
      <c r="FS460" s="148" t="str">
        <f t="shared" si="474"/>
        <v/>
      </c>
      <c r="FT460" s="227" t="str">
        <f t="shared" si="475"/>
        <v>0</v>
      </c>
      <c r="FU460" s="416" t="str">
        <f t="shared" si="497"/>
        <v/>
      </c>
      <c r="FW460" s="1160">
        <f t="shared" si="529"/>
        <v>0</v>
      </c>
      <c r="FX460" s="123"/>
      <c r="FY460" s="123"/>
      <c r="FZ460" s="1161"/>
      <c r="GA460" s="34"/>
      <c r="GB460" s="1149">
        <f t="shared" si="498"/>
        <v>0</v>
      </c>
      <c r="GC460" s="1149">
        <f t="shared" si="499"/>
        <v>0</v>
      </c>
      <c r="GD460" s="1149">
        <f t="shared" si="500"/>
        <v>0</v>
      </c>
      <c r="GE460" s="1149" t="str">
        <f t="shared" si="476"/>
        <v/>
      </c>
      <c r="GF460" s="1149" t="str">
        <f t="shared" si="477"/>
        <v/>
      </c>
      <c r="GG460" s="1149" t="str">
        <f t="shared" si="478"/>
        <v/>
      </c>
      <c r="GH460" s="1149" t="str">
        <f t="shared" si="479"/>
        <v/>
      </c>
      <c r="GI460" s="1149" t="str">
        <f t="shared" si="480"/>
        <v/>
      </c>
      <c r="GJ460" s="1149" t="str">
        <f t="shared" si="481"/>
        <v/>
      </c>
      <c r="GK460" s="1149" t="str">
        <f t="shared" si="482"/>
        <v/>
      </c>
      <c r="GL460" s="1149" t="str">
        <f t="shared" si="483"/>
        <v/>
      </c>
      <c r="GM460" s="1149" t="str">
        <f t="shared" si="484"/>
        <v/>
      </c>
      <c r="GN460" s="1149" t="str">
        <f t="shared" si="485"/>
        <v/>
      </c>
      <c r="GO460" s="1149" t="str">
        <f t="shared" si="486"/>
        <v/>
      </c>
      <c r="GP460" s="1149" t="str">
        <f t="shared" si="487"/>
        <v/>
      </c>
      <c r="GQ460" s="1149" t="str">
        <f t="shared" si="488"/>
        <v/>
      </c>
      <c r="GR460" s="1149" t="str">
        <f t="shared" si="489"/>
        <v/>
      </c>
      <c r="GS460" s="1149" t="str">
        <f t="shared" si="490"/>
        <v/>
      </c>
      <c r="GT460" s="1149">
        <f t="shared" si="501"/>
        <v>0</v>
      </c>
      <c r="GU460" s="1149">
        <f t="shared" si="502"/>
        <v>0</v>
      </c>
      <c r="GV460" s="1149">
        <f t="shared" si="503"/>
        <v>0</v>
      </c>
      <c r="GW460" s="1149" t="b">
        <f t="shared" si="504"/>
        <v>0</v>
      </c>
      <c r="GX460" s="1149" t="b">
        <f t="shared" si="505"/>
        <v>0</v>
      </c>
      <c r="GY460" s="1149" t="b">
        <f t="shared" si="506"/>
        <v>0</v>
      </c>
      <c r="GZ460" s="1149" t="str">
        <f t="shared" si="528"/>
        <v/>
      </c>
      <c r="HB460" s="1149" t="str">
        <f t="shared" si="507"/>
        <v/>
      </c>
      <c r="HC460" s="1149" t="str">
        <f t="shared" si="508"/>
        <v/>
      </c>
      <c r="HD460" s="1149" t="str">
        <f t="shared" si="509"/>
        <v/>
      </c>
      <c r="HE460" s="1149" t="str">
        <f t="shared" si="510"/>
        <v/>
      </c>
      <c r="HF460" s="1149" t="str">
        <f t="shared" si="511"/>
        <v/>
      </c>
      <c r="HG460" s="1149" t="str">
        <f t="shared" si="512"/>
        <v/>
      </c>
      <c r="HH460" s="1149" t="str">
        <f t="shared" si="513"/>
        <v/>
      </c>
      <c r="HI460" s="1149" t="str">
        <f t="shared" si="514"/>
        <v/>
      </c>
      <c r="HJ460" s="1149" t="str">
        <f t="shared" si="515"/>
        <v/>
      </c>
      <c r="HK460" s="1149" t="str">
        <f t="shared" si="516"/>
        <v/>
      </c>
      <c r="HL460" s="1149" t="str">
        <f t="shared" si="517"/>
        <v/>
      </c>
      <c r="HM460" s="1149" t="str">
        <f t="shared" si="518"/>
        <v/>
      </c>
      <c r="HN460" s="1149" t="str">
        <f t="shared" si="519"/>
        <v/>
      </c>
      <c r="HO460" s="1149" t="str">
        <f t="shared" si="520"/>
        <v/>
      </c>
      <c r="HP460" s="1149" t="str">
        <f t="shared" si="521"/>
        <v/>
      </c>
      <c r="HQ460" s="1149" t="str">
        <f t="shared" si="522"/>
        <v/>
      </c>
      <c r="HR460" s="1149" t="str">
        <f t="shared" si="523"/>
        <v/>
      </c>
      <c r="HT460" s="1149">
        <f>LEFT(M460,1)*10000+MID(M460,3,LEN(M460)-3)*100+COUNTIF($M$307:M460,M460)</f>
        <v>53501</v>
      </c>
      <c r="HU460" s="1149" t="str">
        <f t="shared" si="524"/>
        <v/>
      </c>
      <c r="HV460" s="1149" t="str">
        <f t="shared" si="525"/>
        <v/>
      </c>
      <c r="HW460" s="1149" t="str">
        <f t="shared" si="526"/>
        <v/>
      </c>
      <c r="HX460" s="1149" t="str">
        <f t="shared" si="527"/>
        <v/>
      </c>
    </row>
    <row r="461" spans="1:232" s="69" customFormat="1" ht="50.15" customHeight="1">
      <c r="A461" s="645"/>
      <c r="B461" s="645"/>
      <c r="C461" s="645"/>
      <c r="D461" s="645"/>
      <c r="E461" s="646"/>
      <c r="F461" s="381"/>
      <c r="G461" s="381"/>
      <c r="H461" s="381"/>
      <c r="J461" s="80"/>
      <c r="K461" s="89"/>
      <c r="L461" s="89"/>
      <c r="M461" s="2082" t="s">
        <v>1304</v>
      </c>
      <c r="N461" s="2082"/>
      <c r="O461" s="2082"/>
      <c r="P461" s="2100"/>
      <c r="Q461" s="2100"/>
      <c r="R461" s="1966"/>
      <c r="S461" s="1966"/>
      <c r="T461" s="1966"/>
      <c r="U461" s="1899" t="s">
        <v>187</v>
      </c>
      <c r="V461" s="1899"/>
      <c r="W461" s="1899"/>
      <c r="X461" s="1899"/>
      <c r="Y461" s="1899"/>
      <c r="Z461" s="1899"/>
      <c r="AA461" s="1899"/>
      <c r="AB461" s="1899"/>
      <c r="AC461" s="1899"/>
      <c r="AD461" s="1899"/>
      <c r="AE461" s="1899"/>
      <c r="AF461" s="1898"/>
      <c r="AG461" s="1898"/>
      <c r="AH461" s="1898"/>
      <c r="AI461" s="1898"/>
      <c r="AJ461" s="1898"/>
      <c r="AK461" s="1898"/>
      <c r="AL461" s="1898"/>
      <c r="AM461" s="1898"/>
      <c r="AN461" s="1898"/>
      <c r="AO461" s="1898"/>
      <c r="AP461" s="1898"/>
      <c r="AQ461" s="1898"/>
      <c r="AR461" s="1910"/>
      <c r="AS461" s="1910"/>
      <c r="AT461" s="1993"/>
      <c r="AU461" s="1993"/>
      <c r="AV461" s="1993"/>
      <c r="AW461" s="1993"/>
      <c r="AX461" s="1993"/>
      <c r="AY461" s="1993"/>
      <c r="AZ461" s="1993"/>
      <c r="BA461" s="1993"/>
      <c r="BB461" s="1993"/>
      <c r="BC461" s="1993"/>
      <c r="BD461" s="1993"/>
      <c r="BE461" s="1993"/>
      <c r="BF461" s="1993"/>
      <c r="BG461" s="1993"/>
      <c r="BH461" s="1993"/>
      <c r="BI461" s="1993"/>
      <c r="BJ461" s="1993"/>
      <c r="BK461" s="1993"/>
      <c r="BL461" s="1993"/>
      <c r="BM461" s="1993"/>
      <c r="BN461" s="1993"/>
      <c r="BO461" s="1993"/>
      <c r="BP461" s="1993"/>
      <c r="BQ461" s="1993"/>
      <c r="BR461" s="1993"/>
      <c r="BS461" s="1895"/>
      <c r="BT461" s="1895"/>
      <c r="BU461" s="1895"/>
      <c r="BV461" s="1889"/>
      <c r="BW461" s="1889"/>
      <c r="BX461" s="1889"/>
      <c r="BY461" s="1889"/>
      <c r="BZ461" s="1896"/>
      <c r="CA461" s="1896"/>
      <c r="CB461" s="1986"/>
      <c r="CC461" s="1987"/>
      <c r="CD461" s="1987"/>
      <c r="CE461" s="1987"/>
      <c r="CF461" s="1987"/>
      <c r="CG461" s="1987"/>
      <c r="CH461" s="1987"/>
      <c r="CI461" s="1987"/>
      <c r="CJ461" s="1987"/>
      <c r="CK461" s="1987"/>
      <c r="CL461" s="1987"/>
      <c r="CM461" s="1987"/>
      <c r="CN461" s="1987"/>
      <c r="CO461" s="1987"/>
      <c r="CP461" s="1987"/>
      <c r="CQ461" s="1987"/>
      <c r="CR461" s="1987"/>
      <c r="CS461" s="1987"/>
      <c r="CT461" s="1987"/>
      <c r="CU461" s="1988"/>
      <c r="CV461" s="2360" t="str">
        <f t="shared" si="445"/>
        <v/>
      </c>
      <c r="CW461" s="2360"/>
      <c r="CX461" s="2360"/>
      <c r="CY461" s="2360"/>
      <c r="CZ461" s="2360"/>
      <c r="DA461" s="2360"/>
      <c r="DC461" s="600" t="str">
        <f t="shared" si="446"/>
        <v/>
      </c>
      <c r="DD461" s="381"/>
      <c r="DF461" s="34"/>
      <c r="DG461" s="34"/>
      <c r="DH461" s="34"/>
      <c r="DI461" s="34"/>
      <c r="DJ461" s="858" t="s">
        <v>5637</v>
      </c>
      <c r="DK461" s="1707" t="str">
        <f t="shared" si="491"/>
        <v/>
      </c>
      <c r="DL461" s="1692" t="str">
        <f t="shared" si="492"/>
        <v/>
      </c>
      <c r="DM461" s="1691">
        <f t="shared" si="447"/>
        <v>0</v>
      </c>
      <c r="DN461" s="111">
        <f t="shared" si="448"/>
        <v>0</v>
      </c>
      <c r="DO461" s="111">
        <f t="shared" si="449"/>
        <v>0</v>
      </c>
      <c r="DP461" s="474">
        <f t="shared" si="450"/>
        <v>0</v>
      </c>
      <c r="DQ461" s="123" t="s">
        <v>844</v>
      </c>
      <c r="DR461" s="473" t="str">
        <f>IF($U461="",R457,U461)</f>
        <v>物品の放置の状況</v>
      </c>
      <c r="DS461" s="112">
        <f t="shared" si="452"/>
        <v>0</v>
      </c>
      <c r="DT461" s="118" t="str">
        <f t="shared" si="453"/>
        <v/>
      </c>
      <c r="DU461" s="452" t="str">
        <f t="shared" si="454"/>
        <v/>
      </c>
      <c r="DV461" s="453" t="str">
        <f>IF($DT461="要是正",MAX($DV$422:DV460)+1,"")</f>
        <v/>
      </c>
      <c r="DW461" s="32" t="str">
        <f t="shared" si="455"/>
        <v/>
      </c>
      <c r="DX461" s="119" t="str">
        <f t="shared" si="456"/>
        <v/>
      </c>
      <c r="DY461" s="33" t="str">
        <f t="shared" si="457"/>
        <v/>
      </c>
      <c r="DZ461" s="217" t="str">
        <f t="shared" si="458"/>
        <v/>
      </c>
      <c r="EA461" s="466" t="str">
        <f t="shared" si="459"/>
        <v/>
      </c>
      <c r="EB461" s="234" t="str">
        <f t="shared" si="460"/>
        <v/>
      </c>
      <c r="EC461" s="227" t="str">
        <f t="shared" si="461"/>
        <v>0</v>
      </c>
      <c r="ED461" s="148" t="str">
        <f t="shared" si="493"/>
        <v/>
      </c>
      <c r="EE461" s="227" t="str">
        <f t="shared" si="494"/>
        <v>0</v>
      </c>
      <c r="EF461" s="130" t="str">
        <f t="shared" si="462"/>
        <v/>
      </c>
      <c r="EG461" s="204" t="str">
        <f t="shared" si="463"/>
        <v/>
      </c>
      <c r="EH461" s="134" t="str">
        <f t="shared" si="464"/>
        <v>0</v>
      </c>
      <c r="EI461" s="148" t="str">
        <f t="shared" si="495"/>
        <v/>
      </c>
      <c r="EJ461" s="227" t="str">
        <f t="shared" si="496"/>
        <v>0</v>
      </c>
      <c r="EK461" s="451" t="str">
        <f t="shared" si="465"/>
        <v/>
      </c>
      <c r="EL461" s="452" t="e">
        <f t="shared" si="466"/>
        <v>#N/A</v>
      </c>
      <c r="EM461" s="151" t="e">
        <f t="shared" si="467"/>
        <v>#N/A</v>
      </c>
      <c r="EN461" s="453" t="e">
        <f t="shared" si="468"/>
        <v>#N/A</v>
      </c>
      <c r="FK461" s="597" t="str">
        <f t="shared" si="469"/>
        <v/>
      </c>
      <c r="FL461" s="597" t="str">
        <f t="shared" si="386"/>
        <v/>
      </c>
      <c r="FM461" s="597" t="str">
        <f t="shared" si="387"/>
        <v/>
      </c>
      <c r="FN461" s="597">
        <f t="shared" si="470"/>
        <v>0</v>
      </c>
      <c r="FO461" s="1163" t="str">
        <f t="shared" si="471"/>
        <v/>
      </c>
      <c r="FQ461" s="234" t="str">
        <f t="shared" si="472"/>
        <v/>
      </c>
      <c r="FR461" s="227" t="str">
        <f t="shared" si="473"/>
        <v>0</v>
      </c>
      <c r="FS461" s="148" t="str">
        <f t="shared" si="474"/>
        <v/>
      </c>
      <c r="FT461" s="227" t="str">
        <f t="shared" si="475"/>
        <v>0</v>
      </c>
      <c r="FU461" s="416" t="str">
        <f t="shared" si="497"/>
        <v/>
      </c>
      <c r="FW461" s="1160">
        <f t="shared" si="529"/>
        <v>0</v>
      </c>
      <c r="FX461" s="123"/>
      <c r="FY461" s="123"/>
      <c r="FZ461" s="1161"/>
      <c r="GA461" s="34"/>
      <c r="GB461" s="1149">
        <f t="shared" si="498"/>
        <v>0</v>
      </c>
      <c r="GC461" s="1149">
        <f t="shared" si="499"/>
        <v>0</v>
      </c>
      <c r="GD461" s="1149">
        <f t="shared" si="500"/>
        <v>0</v>
      </c>
      <c r="GE461" s="1149" t="str">
        <f t="shared" si="476"/>
        <v/>
      </c>
      <c r="GF461" s="1149" t="str">
        <f t="shared" si="477"/>
        <v/>
      </c>
      <c r="GG461" s="1149" t="str">
        <f t="shared" si="478"/>
        <v/>
      </c>
      <c r="GH461" s="1149" t="str">
        <f t="shared" si="479"/>
        <v/>
      </c>
      <c r="GI461" s="1149" t="str">
        <f t="shared" si="480"/>
        <v/>
      </c>
      <c r="GJ461" s="1149" t="str">
        <f t="shared" si="481"/>
        <v/>
      </c>
      <c r="GK461" s="1149" t="str">
        <f t="shared" si="482"/>
        <v/>
      </c>
      <c r="GL461" s="1149" t="str">
        <f t="shared" si="483"/>
        <v/>
      </c>
      <c r="GM461" s="1149" t="str">
        <f t="shared" si="484"/>
        <v/>
      </c>
      <c r="GN461" s="1149" t="str">
        <f t="shared" si="485"/>
        <v/>
      </c>
      <c r="GO461" s="1149" t="str">
        <f t="shared" si="486"/>
        <v/>
      </c>
      <c r="GP461" s="1149" t="str">
        <f t="shared" si="487"/>
        <v/>
      </c>
      <c r="GQ461" s="1149" t="str">
        <f t="shared" si="488"/>
        <v/>
      </c>
      <c r="GR461" s="1149" t="str">
        <f t="shared" si="489"/>
        <v/>
      </c>
      <c r="GS461" s="1149" t="str">
        <f t="shared" si="490"/>
        <v/>
      </c>
      <c r="GT461" s="1149">
        <f t="shared" si="501"/>
        <v>0</v>
      </c>
      <c r="GU461" s="1149">
        <f t="shared" si="502"/>
        <v>0</v>
      </c>
      <c r="GV461" s="1149">
        <f t="shared" si="503"/>
        <v>0</v>
      </c>
      <c r="GW461" s="1149" t="b">
        <f t="shared" si="504"/>
        <v>0</v>
      </c>
      <c r="GX461" s="1149" t="b">
        <f t="shared" si="505"/>
        <v>0</v>
      </c>
      <c r="GY461" s="1149" t="b">
        <f t="shared" si="506"/>
        <v>0</v>
      </c>
      <c r="GZ461" s="1149" t="str">
        <f t="shared" si="528"/>
        <v/>
      </c>
      <c r="HB461" s="1149" t="str">
        <f t="shared" si="507"/>
        <v/>
      </c>
      <c r="HC461" s="1149" t="str">
        <f t="shared" si="508"/>
        <v/>
      </c>
      <c r="HD461" s="1149" t="str">
        <f t="shared" si="509"/>
        <v/>
      </c>
      <c r="HE461" s="1149" t="str">
        <f t="shared" si="510"/>
        <v/>
      </c>
      <c r="HF461" s="1149" t="str">
        <f t="shared" si="511"/>
        <v/>
      </c>
      <c r="HG461" s="1149" t="str">
        <f t="shared" si="512"/>
        <v/>
      </c>
      <c r="HH461" s="1149" t="str">
        <f t="shared" si="513"/>
        <v/>
      </c>
      <c r="HI461" s="1149" t="str">
        <f t="shared" si="514"/>
        <v/>
      </c>
      <c r="HJ461" s="1149" t="str">
        <f t="shared" si="515"/>
        <v/>
      </c>
      <c r="HK461" s="1149" t="str">
        <f t="shared" si="516"/>
        <v/>
      </c>
      <c r="HL461" s="1149" t="str">
        <f t="shared" si="517"/>
        <v/>
      </c>
      <c r="HM461" s="1149" t="str">
        <f t="shared" si="518"/>
        <v/>
      </c>
      <c r="HN461" s="1149" t="str">
        <f t="shared" si="519"/>
        <v/>
      </c>
      <c r="HO461" s="1149" t="str">
        <f t="shared" si="520"/>
        <v/>
      </c>
      <c r="HP461" s="1149" t="str">
        <f t="shared" si="521"/>
        <v/>
      </c>
      <c r="HQ461" s="1149" t="str">
        <f t="shared" si="522"/>
        <v/>
      </c>
      <c r="HR461" s="1149" t="str">
        <f t="shared" si="523"/>
        <v/>
      </c>
      <c r="HT461" s="1149">
        <f>LEFT(M461,1)*10000+MID(M461,3,LEN(M461)-3)*100+COUNTIF($M$307:M461,M461)</f>
        <v>53601</v>
      </c>
      <c r="HU461" s="1149" t="str">
        <f t="shared" si="524"/>
        <v/>
      </c>
      <c r="HV461" s="1149" t="str">
        <f t="shared" si="525"/>
        <v/>
      </c>
      <c r="HW461" s="1149" t="str">
        <f t="shared" si="526"/>
        <v/>
      </c>
      <c r="HX461" s="1149" t="str">
        <f t="shared" si="527"/>
        <v/>
      </c>
    </row>
    <row r="462" spans="1:232" s="69" customFormat="1" ht="50.15" customHeight="1">
      <c r="A462" s="645"/>
      <c r="B462" s="645"/>
      <c r="C462" s="645"/>
      <c r="D462" s="645"/>
      <c r="E462" s="646"/>
      <c r="F462" s="381"/>
      <c r="G462" s="381"/>
      <c r="H462" s="381"/>
      <c r="J462" s="80"/>
      <c r="K462" s="89"/>
      <c r="L462" s="89"/>
      <c r="M462" s="2082" t="s">
        <v>1305</v>
      </c>
      <c r="N462" s="2082"/>
      <c r="O462" s="2082"/>
      <c r="P462" s="2100"/>
      <c r="Q462" s="2100"/>
      <c r="R462" s="1966"/>
      <c r="S462" s="1966"/>
      <c r="T462" s="1966"/>
      <c r="U462" s="1956" t="s">
        <v>141</v>
      </c>
      <c r="V462" s="1956"/>
      <c r="W462" s="1956"/>
      <c r="X462" s="1956"/>
      <c r="Y462" s="1956"/>
      <c r="Z462" s="1956"/>
      <c r="AA462" s="1956"/>
      <c r="AB462" s="1956"/>
      <c r="AC462" s="1956"/>
      <c r="AD462" s="1956"/>
      <c r="AE462" s="1956"/>
      <c r="AF462" s="2025"/>
      <c r="AG462" s="2025"/>
      <c r="AH462" s="2025"/>
      <c r="AI462" s="2025"/>
      <c r="AJ462" s="2025"/>
      <c r="AK462" s="2025"/>
      <c r="AL462" s="2025"/>
      <c r="AM462" s="2025"/>
      <c r="AN462" s="2025"/>
      <c r="AO462" s="2025"/>
      <c r="AP462" s="2025"/>
      <c r="AQ462" s="2025"/>
      <c r="AR462" s="2026"/>
      <c r="AS462" s="2026"/>
      <c r="AT462" s="1997"/>
      <c r="AU462" s="1997"/>
      <c r="AV462" s="1997"/>
      <c r="AW462" s="1997"/>
      <c r="AX462" s="1997"/>
      <c r="AY462" s="1997"/>
      <c r="AZ462" s="1997"/>
      <c r="BA462" s="1997"/>
      <c r="BB462" s="1997"/>
      <c r="BC462" s="1997"/>
      <c r="BD462" s="1997"/>
      <c r="BE462" s="1997"/>
      <c r="BF462" s="1997"/>
      <c r="BG462" s="1997"/>
      <c r="BH462" s="1997"/>
      <c r="BI462" s="1997"/>
      <c r="BJ462" s="1997"/>
      <c r="BK462" s="1997"/>
      <c r="BL462" s="1997"/>
      <c r="BM462" s="1997"/>
      <c r="BN462" s="1997"/>
      <c r="BO462" s="1997"/>
      <c r="BP462" s="1997"/>
      <c r="BQ462" s="1997"/>
      <c r="BR462" s="1997"/>
      <c r="BS462" s="1991"/>
      <c r="BT462" s="1991"/>
      <c r="BU462" s="1991"/>
      <c r="BV462" s="1982"/>
      <c r="BW462" s="1982"/>
      <c r="BX462" s="1982"/>
      <c r="BY462" s="1982"/>
      <c r="BZ462" s="1992"/>
      <c r="CA462" s="1992"/>
      <c r="CB462" s="2000"/>
      <c r="CC462" s="2001"/>
      <c r="CD462" s="2001"/>
      <c r="CE462" s="2001"/>
      <c r="CF462" s="2001"/>
      <c r="CG462" s="2001"/>
      <c r="CH462" s="2001"/>
      <c r="CI462" s="2001"/>
      <c r="CJ462" s="2001"/>
      <c r="CK462" s="2001"/>
      <c r="CL462" s="2001"/>
      <c r="CM462" s="2001"/>
      <c r="CN462" s="2001"/>
      <c r="CO462" s="2001"/>
      <c r="CP462" s="2001"/>
      <c r="CQ462" s="2001"/>
      <c r="CR462" s="2001"/>
      <c r="CS462" s="2001"/>
      <c r="CT462" s="2001"/>
      <c r="CU462" s="2002"/>
      <c r="CV462" s="2360" t="str">
        <f t="shared" si="445"/>
        <v/>
      </c>
      <c r="CW462" s="2360"/>
      <c r="CX462" s="2360"/>
      <c r="CY462" s="2360"/>
      <c r="CZ462" s="2360"/>
      <c r="DA462" s="2360"/>
      <c r="DC462" s="600" t="str">
        <f t="shared" si="446"/>
        <v/>
      </c>
      <c r="DD462" s="381"/>
      <c r="DF462" s="34"/>
      <c r="DG462" s="34"/>
      <c r="DH462" s="34"/>
      <c r="DI462" s="34"/>
      <c r="DJ462" s="858" t="s">
        <v>5637</v>
      </c>
      <c r="DK462" s="1707" t="str">
        <f t="shared" si="491"/>
        <v/>
      </c>
      <c r="DL462" s="1692" t="str">
        <f t="shared" si="492"/>
        <v/>
      </c>
      <c r="DM462" s="1691">
        <f t="shared" si="447"/>
        <v>0</v>
      </c>
      <c r="DN462" s="111">
        <f t="shared" si="448"/>
        <v>0</v>
      </c>
      <c r="DO462" s="111">
        <f t="shared" si="449"/>
        <v>0</v>
      </c>
      <c r="DP462" s="474">
        <f t="shared" si="450"/>
        <v>0</v>
      </c>
      <c r="DQ462" s="123" t="s">
        <v>845</v>
      </c>
      <c r="DR462" s="473" t="str">
        <f>IF($U462="",R457,U462)</f>
        <v>非常用エレベーターの作動の状況</v>
      </c>
      <c r="DS462" s="112">
        <f t="shared" si="452"/>
        <v>0</v>
      </c>
      <c r="DT462" s="118" t="str">
        <f t="shared" si="453"/>
        <v/>
      </c>
      <c r="DU462" s="452" t="str">
        <f t="shared" si="454"/>
        <v/>
      </c>
      <c r="DV462" s="453" t="str">
        <f>IF($DT462="要是正",MAX($DV$422:DV461)+1,"")</f>
        <v/>
      </c>
      <c r="DW462" s="32" t="str">
        <f t="shared" si="455"/>
        <v/>
      </c>
      <c r="DX462" s="119" t="str">
        <f t="shared" si="456"/>
        <v/>
      </c>
      <c r="DY462" s="33" t="str">
        <f t="shared" si="457"/>
        <v/>
      </c>
      <c r="DZ462" s="217" t="str">
        <f t="shared" si="458"/>
        <v/>
      </c>
      <c r="EA462" s="466" t="str">
        <f t="shared" si="459"/>
        <v/>
      </c>
      <c r="EB462" s="234" t="str">
        <f t="shared" si="460"/>
        <v/>
      </c>
      <c r="EC462" s="227" t="str">
        <f t="shared" si="461"/>
        <v>0</v>
      </c>
      <c r="ED462" s="148" t="str">
        <f t="shared" si="493"/>
        <v/>
      </c>
      <c r="EE462" s="227" t="str">
        <f t="shared" si="494"/>
        <v>0</v>
      </c>
      <c r="EF462" s="130" t="str">
        <f t="shared" si="462"/>
        <v/>
      </c>
      <c r="EG462" s="204" t="str">
        <f t="shared" si="463"/>
        <v/>
      </c>
      <c r="EH462" s="134" t="str">
        <f t="shared" si="464"/>
        <v>0</v>
      </c>
      <c r="EI462" s="148" t="str">
        <f t="shared" si="495"/>
        <v/>
      </c>
      <c r="EJ462" s="227" t="str">
        <f t="shared" si="496"/>
        <v>0</v>
      </c>
      <c r="EK462" s="451" t="str">
        <f t="shared" si="465"/>
        <v/>
      </c>
      <c r="EL462" s="452" t="e">
        <f t="shared" si="466"/>
        <v>#N/A</v>
      </c>
      <c r="EM462" s="151" t="e">
        <f t="shared" si="467"/>
        <v>#N/A</v>
      </c>
      <c r="EN462" s="453" t="e">
        <f t="shared" si="468"/>
        <v>#N/A</v>
      </c>
      <c r="FK462" s="597" t="str">
        <f t="shared" si="469"/>
        <v/>
      </c>
      <c r="FL462" s="597" t="str">
        <f t="shared" si="386"/>
        <v/>
      </c>
      <c r="FM462" s="597" t="str">
        <f t="shared" si="387"/>
        <v/>
      </c>
      <c r="FN462" s="597">
        <f t="shared" si="470"/>
        <v>0</v>
      </c>
      <c r="FO462" s="1163" t="str">
        <f t="shared" si="471"/>
        <v/>
      </c>
      <c r="FQ462" s="234" t="str">
        <f t="shared" si="472"/>
        <v/>
      </c>
      <c r="FR462" s="227" t="str">
        <f t="shared" si="473"/>
        <v>0</v>
      </c>
      <c r="FS462" s="148" t="str">
        <f t="shared" si="474"/>
        <v/>
      </c>
      <c r="FT462" s="227" t="str">
        <f t="shared" si="475"/>
        <v>0</v>
      </c>
      <c r="FU462" s="416" t="str">
        <f t="shared" si="497"/>
        <v/>
      </c>
      <c r="FW462" s="1160">
        <f t="shared" si="529"/>
        <v>0</v>
      </c>
      <c r="FX462" s="123"/>
      <c r="FY462" s="123"/>
      <c r="FZ462" s="1161"/>
      <c r="GA462" s="34"/>
      <c r="GB462" s="1149">
        <f t="shared" si="498"/>
        <v>0</v>
      </c>
      <c r="GC462" s="1149">
        <f t="shared" si="499"/>
        <v>0</v>
      </c>
      <c r="GD462" s="1149">
        <f t="shared" si="500"/>
        <v>0</v>
      </c>
      <c r="GE462" s="1149" t="str">
        <f t="shared" si="476"/>
        <v/>
      </c>
      <c r="GF462" s="1149" t="str">
        <f t="shared" si="477"/>
        <v/>
      </c>
      <c r="GG462" s="1149" t="str">
        <f t="shared" si="478"/>
        <v/>
      </c>
      <c r="GH462" s="1149" t="str">
        <f t="shared" si="479"/>
        <v/>
      </c>
      <c r="GI462" s="1149" t="str">
        <f t="shared" si="480"/>
        <v/>
      </c>
      <c r="GJ462" s="1149" t="str">
        <f t="shared" si="481"/>
        <v/>
      </c>
      <c r="GK462" s="1149" t="str">
        <f t="shared" si="482"/>
        <v/>
      </c>
      <c r="GL462" s="1149" t="str">
        <f t="shared" si="483"/>
        <v/>
      </c>
      <c r="GM462" s="1149" t="str">
        <f t="shared" si="484"/>
        <v/>
      </c>
      <c r="GN462" s="1149" t="str">
        <f t="shared" si="485"/>
        <v/>
      </c>
      <c r="GO462" s="1149" t="str">
        <f t="shared" si="486"/>
        <v/>
      </c>
      <c r="GP462" s="1149" t="str">
        <f t="shared" si="487"/>
        <v/>
      </c>
      <c r="GQ462" s="1149" t="str">
        <f t="shared" si="488"/>
        <v/>
      </c>
      <c r="GR462" s="1149" t="str">
        <f t="shared" si="489"/>
        <v/>
      </c>
      <c r="GS462" s="1149" t="str">
        <f t="shared" si="490"/>
        <v/>
      </c>
      <c r="GT462" s="1149">
        <f t="shared" si="501"/>
        <v>0</v>
      </c>
      <c r="GU462" s="1149">
        <f t="shared" si="502"/>
        <v>0</v>
      </c>
      <c r="GV462" s="1149">
        <f t="shared" si="503"/>
        <v>0</v>
      </c>
      <c r="GW462" s="1149" t="b">
        <f t="shared" si="504"/>
        <v>0</v>
      </c>
      <c r="GX462" s="1149" t="b">
        <f t="shared" si="505"/>
        <v>0</v>
      </c>
      <c r="GY462" s="1149" t="b">
        <f t="shared" si="506"/>
        <v>0</v>
      </c>
      <c r="GZ462" s="1149" t="str">
        <f t="shared" si="528"/>
        <v/>
      </c>
      <c r="HB462" s="1149" t="str">
        <f t="shared" si="507"/>
        <v/>
      </c>
      <c r="HC462" s="1149" t="str">
        <f t="shared" si="508"/>
        <v/>
      </c>
      <c r="HD462" s="1149" t="str">
        <f t="shared" si="509"/>
        <v/>
      </c>
      <c r="HE462" s="1149" t="str">
        <f t="shared" si="510"/>
        <v/>
      </c>
      <c r="HF462" s="1149" t="str">
        <f t="shared" si="511"/>
        <v/>
      </c>
      <c r="HG462" s="1149" t="str">
        <f t="shared" si="512"/>
        <v/>
      </c>
      <c r="HH462" s="1149" t="str">
        <f t="shared" si="513"/>
        <v/>
      </c>
      <c r="HI462" s="1149" t="str">
        <f t="shared" si="514"/>
        <v/>
      </c>
      <c r="HJ462" s="1149" t="str">
        <f t="shared" si="515"/>
        <v/>
      </c>
      <c r="HK462" s="1149" t="str">
        <f t="shared" si="516"/>
        <v/>
      </c>
      <c r="HL462" s="1149" t="str">
        <f t="shared" si="517"/>
        <v/>
      </c>
      <c r="HM462" s="1149" t="str">
        <f t="shared" si="518"/>
        <v/>
      </c>
      <c r="HN462" s="1149" t="str">
        <f t="shared" si="519"/>
        <v/>
      </c>
      <c r="HO462" s="1149" t="str">
        <f t="shared" si="520"/>
        <v/>
      </c>
      <c r="HP462" s="1149" t="str">
        <f t="shared" si="521"/>
        <v/>
      </c>
      <c r="HQ462" s="1149" t="str">
        <f t="shared" si="522"/>
        <v/>
      </c>
      <c r="HR462" s="1149" t="str">
        <f t="shared" si="523"/>
        <v/>
      </c>
      <c r="HT462" s="1149">
        <f>LEFT(M462,1)*10000+MID(M462,3,LEN(M462)-3)*100+COUNTIF($M$307:M462,M462)</f>
        <v>53701</v>
      </c>
      <c r="HU462" s="1149" t="str">
        <f t="shared" si="524"/>
        <v/>
      </c>
      <c r="HV462" s="1149" t="str">
        <f t="shared" si="525"/>
        <v/>
      </c>
      <c r="HW462" s="1149" t="str">
        <f t="shared" si="526"/>
        <v/>
      </c>
      <c r="HX462" s="1149" t="str">
        <f t="shared" si="527"/>
        <v/>
      </c>
    </row>
    <row r="463" spans="1:232" s="69" customFormat="1" ht="50.15" customHeight="1">
      <c r="A463" s="645"/>
      <c r="B463" s="645"/>
      <c r="C463" s="645"/>
      <c r="D463" s="645"/>
      <c r="E463" s="646"/>
      <c r="F463" s="381"/>
      <c r="G463" s="381"/>
      <c r="H463" s="381"/>
      <c r="J463" s="80"/>
      <c r="K463" s="89"/>
      <c r="L463" s="89"/>
      <c r="M463" s="2082" t="s">
        <v>1306</v>
      </c>
      <c r="N463" s="2082"/>
      <c r="O463" s="2082"/>
      <c r="P463" s="2100"/>
      <c r="Q463" s="2100"/>
      <c r="R463" s="2096" t="s">
        <v>188</v>
      </c>
      <c r="S463" s="2096"/>
      <c r="T463" s="2096"/>
      <c r="U463" s="2011" t="s">
        <v>189</v>
      </c>
      <c r="V463" s="2011"/>
      <c r="W463" s="2011"/>
      <c r="X463" s="2011"/>
      <c r="Y463" s="2011"/>
      <c r="Z463" s="2011"/>
      <c r="AA463" s="2011"/>
      <c r="AB463" s="2011"/>
      <c r="AC463" s="2011"/>
      <c r="AD463" s="2011"/>
      <c r="AE463" s="2011"/>
      <c r="AF463" s="2010"/>
      <c r="AG463" s="2010"/>
      <c r="AH463" s="2010"/>
      <c r="AI463" s="2010"/>
      <c r="AJ463" s="2010"/>
      <c r="AK463" s="2010"/>
      <c r="AL463" s="2010"/>
      <c r="AM463" s="2010"/>
      <c r="AN463" s="2010"/>
      <c r="AO463" s="2010"/>
      <c r="AP463" s="2010"/>
      <c r="AQ463" s="2010"/>
      <c r="AR463" s="2017"/>
      <c r="AS463" s="2017"/>
      <c r="AT463" s="1929"/>
      <c r="AU463" s="1929"/>
      <c r="AV463" s="1929"/>
      <c r="AW463" s="1929"/>
      <c r="AX463" s="1929"/>
      <c r="AY463" s="1929"/>
      <c r="AZ463" s="1929"/>
      <c r="BA463" s="1929"/>
      <c r="BB463" s="1929"/>
      <c r="BC463" s="1929"/>
      <c r="BD463" s="1929"/>
      <c r="BE463" s="1929"/>
      <c r="BF463" s="1929"/>
      <c r="BG463" s="1929"/>
      <c r="BH463" s="1929"/>
      <c r="BI463" s="1929"/>
      <c r="BJ463" s="1929"/>
      <c r="BK463" s="1929"/>
      <c r="BL463" s="1929"/>
      <c r="BM463" s="1929"/>
      <c r="BN463" s="1929"/>
      <c r="BO463" s="1929"/>
      <c r="BP463" s="1929"/>
      <c r="BQ463" s="1929"/>
      <c r="BR463" s="1929"/>
      <c r="BS463" s="1885"/>
      <c r="BT463" s="1885"/>
      <c r="BU463" s="1885"/>
      <c r="BV463" s="1890"/>
      <c r="BW463" s="1890"/>
      <c r="BX463" s="1890"/>
      <c r="BY463" s="1890"/>
      <c r="BZ463" s="1891"/>
      <c r="CA463" s="1891"/>
      <c r="CB463" s="2541" t="str">
        <f>IF(DP272=1,"２０設備（法第12条第三項関係など）に未設置と記載あり","")</f>
        <v/>
      </c>
      <c r="CC463" s="2542"/>
      <c r="CD463" s="2542"/>
      <c r="CE463" s="2542"/>
      <c r="CF463" s="2542"/>
      <c r="CG463" s="2542"/>
      <c r="CH463" s="2542"/>
      <c r="CI463" s="2542"/>
      <c r="CJ463" s="2542"/>
      <c r="CK463" s="2542"/>
      <c r="CL463" s="2542"/>
      <c r="CM463" s="2542"/>
      <c r="CN463" s="2542"/>
      <c r="CO463" s="2542"/>
      <c r="CP463" s="2542"/>
      <c r="CQ463" s="2542"/>
      <c r="CR463" s="2542"/>
      <c r="CS463" s="2542"/>
      <c r="CT463" s="2542"/>
      <c r="CU463" s="2543"/>
      <c r="CV463" s="2360" t="str">
        <f t="shared" si="445"/>
        <v/>
      </c>
      <c r="CW463" s="2360"/>
      <c r="CX463" s="2360"/>
      <c r="CY463" s="2360"/>
      <c r="CZ463" s="2360"/>
      <c r="DA463" s="2360"/>
      <c r="DC463" s="600" t="str">
        <f t="shared" si="446"/>
        <v/>
      </c>
      <c r="DD463" s="381"/>
      <c r="DF463" s="34"/>
      <c r="DG463" s="34"/>
      <c r="DH463" s="34"/>
      <c r="DI463" s="34"/>
      <c r="DJ463" s="858" t="s">
        <v>5637</v>
      </c>
      <c r="DK463" s="1707" t="str">
        <f t="shared" si="491"/>
        <v/>
      </c>
      <c r="DL463" s="1692" t="str">
        <f t="shared" si="492"/>
        <v/>
      </c>
      <c r="DM463" s="1691">
        <f t="shared" si="447"/>
        <v>0</v>
      </c>
      <c r="DN463" s="111">
        <f t="shared" si="448"/>
        <v>0</v>
      </c>
      <c r="DO463" s="111">
        <f t="shared" si="449"/>
        <v>0</v>
      </c>
      <c r="DP463" s="474">
        <f t="shared" si="450"/>
        <v>0</v>
      </c>
      <c r="DQ463" s="123" t="s">
        <v>846</v>
      </c>
      <c r="DR463" s="473" t="str">
        <f t="shared" si="451"/>
        <v>非常用の照明装置の設置の状況</v>
      </c>
      <c r="DS463" s="112">
        <f t="shared" si="452"/>
        <v>0</v>
      </c>
      <c r="DT463" s="118" t="str">
        <f t="shared" si="453"/>
        <v/>
      </c>
      <c r="DU463" s="452" t="str">
        <f t="shared" si="454"/>
        <v/>
      </c>
      <c r="DV463" s="453" t="str">
        <f>IF($DT463="要是正",MAX($DV$422:DV462)+1,"")</f>
        <v/>
      </c>
      <c r="DW463" s="32" t="str">
        <f t="shared" si="455"/>
        <v/>
      </c>
      <c r="DX463" s="119" t="str">
        <f t="shared" si="456"/>
        <v/>
      </c>
      <c r="DY463" s="33" t="str">
        <f t="shared" si="457"/>
        <v/>
      </c>
      <c r="DZ463" s="217" t="str">
        <f t="shared" si="458"/>
        <v/>
      </c>
      <c r="EA463" s="466" t="str">
        <f t="shared" si="459"/>
        <v/>
      </c>
      <c r="EB463" s="234" t="str">
        <f t="shared" si="460"/>
        <v/>
      </c>
      <c r="EC463" s="227" t="str">
        <f t="shared" si="461"/>
        <v>0</v>
      </c>
      <c r="ED463" s="148" t="str">
        <f t="shared" si="493"/>
        <v/>
      </c>
      <c r="EE463" s="227" t="str">
        <f t="shared" si="494"/>
        <v>0</v>
      </c>
      <c r="EF463" s="130" t="str">
        <f t="shared" si="462"/>
        <v/>
      </c>
      <c r="EG463" s="204" t="str">
        <f t="shared" si="463"/>
        <v/>
      </c>
      <c r="EH463" s="134" t="str">
        <f t="shared" si="464"/>
        <v>0</v>
      </c>
      <c r="EI463" s="148" t="str">
        <f t="shared" si="495"/>
        <v/>
      </c>
      <c r="EJ463" s="227" t="str">
        <f t="shared" si="496"/>
        <v>0</v>
      </c>
      <c r="EK463" s="451" t="str">
        <f t="shared" si="465"/>
        <v/>
      </c>
      <c r="EL463" s="452" t="e">
        <f t="shared" si="466"/>
        <v>#N/A</v>
      </c>
      <c r="EM463" s="151" t="e">
        <f t="shared" si="467"/>
        <v>#N/A</v>
      </c>
      <c r="EN463" s="453" t="e">
        <f t="shared" si="468"/>
        <v>#N/A</v>
      </c>
      <c r="FK463" s="597" t="str">
        <f t="shared" si="469"/>
        <v/>
      </c>
      <c r="FL463" s="597" t="str">
        <f t="shared" si="386"/>
        <v/>
      </c>
      <c r="FM463" s="597" t="str">
        <f t="shared" si="387"/>
        <v/>
      </c>
      <c r="FN463" s="597">
        <f t="shared" si="470"/>
        <v>0</v>
      </c>
      <c r="FO463" s="1163" t="str">
        <f t="shared" si="471"/>
        <v/>
      </c>
      <c r="FQ463" s="234" t="str">
        <f t="shared" si="472"/>
        <v/>
      </c>
      <c r="FR463" s="227" t="str">
        <f t="shared" si="473"/>
        <v>0</v>
      </c>
      <c r="FS463" s="148" t="str">
        <f t="shared" si="474"/>
        <v/>
      </c>
      <c r="FT463" s="227" t="str">
        <f t="shared" si="475"/>
        <v>0</v>
      </c>
      <c r="FU463" s="416" t="str">
        <f t="shared" si="497"/>
        <v/>
      </c>
      <c r="FW463" s="1160">
        <f t="shared" si="529"/>
        <v>0</v>
      </c>
      <c r="FX463" s="123"/>
      <c r="FY463" s="123"/>
      <c r="FZ463" s="1161"/>
      <c r="GA463" s="34"/>
      <c r="GB463" s="1149">
        <f t="shared" si="498"/>
        <v>0</v>
      </c>
      <c r="GC463" s="1149">
        <f t="shared" si="499"/>
        <v>0</v>
      </c>
      <c r="GD463" s="1149">
        <f t="shared" si="500"/>
        <v>0</v>
      </c>
      <c r="GE463" s="1149" t="str">
        <f t="shared" si="476"/>
        <v/>
      </c>
      <c r="GF463" s="1149" t="str">
        <f t="shared" si="477"/>
        <v/>
      </c>
      <c r="GG463" s="1149" t="str">
        <f t="shared" si="478"/>
        <v/>
      </c>
      <c r="GH463" s="1149" t="str">
        <f t="shared" si="479"/>
        <v/>
      </c>
      <c r="GI463" s="1149" t="str">
        <f t="shared" si="480"/>
        <v/>
      </c>
      <c r="GJ463" s="1149" t="str">
        <f t="shared" si="481"/>
        <v/>
      </c>
      <c r="GK463" s="1149" t="str">
        <f t="shared" si="482"/>
        <v/>
      </c>
      <c r="GL463" s="1149" t="str">
        <f t="shared" si="483"/>
        <v/>
      </c>
      <c r="GM463" s="1149" t="str">
        <f t="shared" si="484"/>
        <v/>
      </c>
      <c r="GN463" s="1149" t="str">
        <f t="shared" si="485"/>
        <v/>
      </c>
      <c r="GO463" s="1149" t="str">
        <f t="shared" si="486"/>
        <v/>
      </c>
      <c r="GP463" s="1149" t="str">
        <f t="shared" si="487"/>
        <v/>
      </c>
      <c r="GQ463" s="1149" t="str">
        <f t="shared" si="488"/>
        <v/>
      </c>
      <c r="GR463" s="1149" t="str">
        <f t="shared" si="489"/>
        <v/>
      </c>
      <c r="GS463" s="1149" t="str">
        <f t="shared" si="490"/>
        <v/>
      </c>
      <c r="GT463" s="1149">
        <f t="shared" si="501"/>
        <v>0</v>
      </c>
      <c r="GU463" s="1149">
        <f t="shared" si="502"/>
        <v>0</v>
      </c>
      <c r="GV463" s="1149">
        <f t="shared" si="503"/>
        <v>0</v>
      </c>
      <c r="GW463" s="1149" t="b">
        <f t="shared" si="504"/>
        <v>0</v>
      </c>
      <c r="GX463" s="1149" t="b">
        <f t="shared" si="505"/>
        <v>0</v>
      </c>
      <c r="GY463" s="1149" t="b">
        <f t="shared" si="506"/>
        <v>0</v>
      </c>
      <c r="GZ463" s="1149" t="str">
        <f t="shared" si="528"/>
        <v/>
      </c>
      <c r="HB463" s="1149" t="str">
        <f t="shared" si="507"/>
        <v/>
      </c>
      <c r="HC463" s="1149" t="str">
        <f t="shared" si="508"/>
        <v/>
      </c>
      <c r="HD463" s="1149" t="str">
        <f t="shared" si="509"/>
        <v/>
      </c>
      <c r="HE463" s="1149" t="str">
        <f t="shared" si="510"/>
        <v/>
      </c>
      <c r="HF463" s="1149" t="str">
        <f t="shared" si="511"/>
        <v/>
      </c>
      <c r="HG463" s="1149" t="str">
        <f t="shared" si="512"/>
        <v/>
      </c>
      <c r="HH463" s="1149" t="str">
        <f t="shared" si="513"/>
        <v/>
      </c>
      <c r="HI463" s="1149" t="str">
        <f t="shared" si="514"/>
        <v/>
      </c>
      <c r="HJ463" s="1149" t="str">
        <f t="shared" si="515"/>
        <v/>
      </c>
      <c r="HK463" s="1149" t="str">
        <f t="shared" si="516"/>
        <v/>
      </c>
      <c r="HL463" s="1149" t="str">
        <f t="shared" si="517"/>
        <v/>
      </c>
      <c r="HM463" s="1149" t="str">
        <f t="shared" si="518"/>
        <v/>
      </c>
      <c r="HN463" s="1149" t="str">
        <f t="shared" si="519"/>
        <v/>
      </c>
      <c r="HO463" s="1149" t="str">
        <f t="shared" si="520"/>
        <v/>
      </c>
      <c r="HP463" s="1149" t="str">
        <f t="shared" si="521"/>
        <v/>
      </c>
      <c r="HQ463" s="1149" t="str">
        <f t="shared" si="522"/>
        <v/>
      </c>
      <c r="HR463" s="1149" t="str">
        <f t="shared" si="523"/>
        <v/>
      </c>
      <c r="HT463" s="1149">
        <f>LEFT(M463,1)*10000+MID(M463,3,LEN(M463)-3)*100+COUNTIF($M$307:M463,M463)</f>
        <v>53801</v>
      </c>
      <c r="HU463" s="1149" t="str">
        <f t="shared" si="524"/>
        <v/>
      </c>
      <c r="HV463" s="1149" t="str">
        <f t="shared" si="525"/>
        <v/>
      </c>
      <c r="HW463" s="1149" t="str">
        <f t="shared" si="526"/>
        <v/>
      </c>
      <c r="HX463" s="1149" t="str">
        <f t="shared" si="527"/>
        <v/>
      </c>
    </row>
    <row r="464" spans="1:232" s="69" customFormat="1" ht="50.15" customHeight="1">
      <c r="A464" s="645"/>
      <c r="B464" s="645"/>
      <c r="C464" s="645"/>
      <c r="D464" s="645"/>
      <c r="E464" s="646"/>
      <c r="F464" s="381"/>
      <c r="G464" s="381"/>
      <c r="H464" s="381"/>
      <c r="J464" s="80"/>
      <c r="K464" s="89"/>
      <c r="L464" s="89"/>
      <c r="M464" s="2082" t="s">
        <v>1307</v>
      </c>
      <c r="N464" s="2082"/>
      <c r="O464" s="2082"/>
      <c r="P464" s="2100"/>
      <c r="Q464" s="2100"/>
      <c r="R464" s="2029"/>
      <c r="S464" s="2029"/>
      <c r="T464" s="2029"/>
      <c r="U464" s="1899" t="s">
        <v>142</v>
      </c>
      <c r="V464" s="1899"/>
      <c r="W464" s="1899"/>
      <c r="X464" s="1899"/>
      <c r="Y464" s="1899"/>
      <c r="Z464" s="1899"/>
      <c r="AA464" s="1899"/>
      <c r="AB464" s="1899"/>
      <c r="AC464" s="1899"/>
      <c r="AD464" s="1899"/>
      <c r="AE464" s="1899"/>
      <c r="AF464" s="1898"/>
      <c r="AG464" s="1898"/>
      <c r="AH464" s="1898"/>
      <c r="AI464" s="1898"/>
      <c r="AJ464" s="1898"/>
      <c r="AK464" s="1898"/>
      <c r="AL464" s="1898"/>
      <c r="AM464" s="1898"/>
      <c r="AN464" s="1898"/>
      <c r="AO464" s="1898"/>
      <c r="AP464" s="1898"/>
      <c r="AQ464" s="1898"/>
      <c r="AR464" s="1910"/>
      <c r="AS464" s="1910"/>
      <c r="AT464" s="1993"/>
      <c r="AU464" s="1993"/>
      <c r="AV464" s="1993"/>
      <c r="AW464" s="1993"/>
      <c r="AX464" s="1993"/>
      <c r="AY464" s="1993"/>
      <c r="AZ464" s="1993"/>
      <c r="BA464" s="1993"/>
      <c r="BB464" s="1993"/>
      <c r="BC464" s="1993"/>
      <c r="BD464" s="1993"/>
      <c r="BE464" s="1993"/>
      <c r="BF464" s="1993"/>
      <c r="BG464" s="1993"/>
      <c r="BH464" s="1993"/>
      <c r="BI464" s="1993"/>
      <c r="BJ464" s="1993"/>
      <c r="BK464" s="1993"/>
      <c r="BL464" s="1993"/>
      <c r="BM464" s="1993"/>
      <c r="BN464" s="1993"/>
      <c r="BO464" s="1993"/>
      <c r="BP464" s="1993"/>
      <c r="BQ464" s="1993"/>
      <c r="BR464" s="1993"/>
      <c r="BS464" s="1895"/>
      <c r="BT464" s="1895"/>
      <c r="BU464" s="1895"/>
      <c r="BV464" s="1889"/>
      <c r="BW464" s="1889"/>
      <c r="BX464" s="1889"/>
      <c r="BY464" s="1889"/>
      <c r="BZ464" s="1896"/>
      <c r="CA464" s="1896"/>
      <c r="CB464" s="2538" t="str">
        <f>IF(DP272=1,"２０設備（法第12条第三項関係など）に未設置と記載あり","")</f>
        <v/>
      </c>
      <c r="CC464" s="2539"/>
      <c r="CD464" s="2539"/>
      <c r="CE464" s="2539"/>
      <c r="CF464" s="2539"/>
      <c r="CG464" s="2539"/>
      <c r="CH464" s="2539"/>
      <c r="CI464" s="2539"/>
      <c r="CJ464" s="2539"/>
      <c r="CK464" s="2539"/>
      <c r="CL464" s="2539"/>
      <c r="CM464" s="2539"/>
      <c r="CN464" s="2539"/>
      <c r="CO464" s="2539"/>
      <c r="CP464" s="2539"/>
      <c r="CQ464" s="2539"/>
      <c r="CR464" s="2539"/>
      <c r="CS464" s="2539"/>
      <c r="CT464" s="2539"/>
      <c r="CU464" s="2540"/>
      <c r="CV464" s="2360" t="str">
        <f t="shared" si="445"/>
        <v/>
      </c>
      <c r="CW464" s="2360"/>
      <c r="CX464" s="2360"/>
      <c r="CY464" s="2360"/>
      <c r="CZ464" s="2360"/>
      <c r="DA464" s="2360"/>
      <c r="DC464" s="600" t="str">
        <f t="shared" si="446"/>
        <v/>
      </c>
      <c r="DD464" s="381"/>
      <c r="DF464" s="34"/>
      <c r="DG464" s="34"/>
      <c r="DH464" s="34"/>
      <c r="DI464" s="34"/>
      <c r="DJ464" s="858" t="s">
        <v>5637</v>
      </c>
      <c r="DK464" s="1707" t="str">
        <f t="shared" si="491"/>
        <v/>
      </c>
      <c r="DL464" s="1692" t="str">
        <f t="shared" si="492"/>
        <v/>
      </c>
      <c r="DM464" s="1691">
        <f t="shared" si="447"/>
        <v>0</v>
      </c>
      <c r="DN464" s="111">
        <f t="shared" si="448"/>
        <v>0</v>
      </c>
      <c r="DO464" s="111">
        <f t="shared" si="449"/>
        <v>0</v>
      </c>
      <c r="DP464" s="474">
        <f t="shared" si="450"/>
        <v>0</v>
      </c>
      <c r="DQ464" s="123" t="s">
        <v>847</v>
      </c>
      <c r="DR464" s="473" t="str">
        <f>IF($U464="",R463,U464)</f>
        <v>非常用の照明装置の作動の状況</v>
      </c>
      <c r="DS464" s="112">
        <f t="shared" si="452"/>
        <v>0</v>
      </c>
      <c r="DT464" s="118" t="str">
        <f t="shared" si="453"/>
        <v/>
      </c>
      <c r="DU464" s="452" t="str">
        <f t="shared" si="454"/>
        <v/>
      </c>
      <c r="DV464" s="453" t="str">
        <f>IF($DT464="要是正",MAX($DV$422:DV463)+1,"")</f>
        <v/>
      </c>
      <c r="DW464" s="32" t="str">
        <f t="shared" si="455"/>
        <v/>
      </c>
      <c r="DX464" s="119" t="str">
        <f t="shared" si="456"/>
        <v/>
      </c>
      <c r="DY464" s="33" t="str">
        <f t="shared" si="457"/>
        <v/>
      </c>
      <c r="DZ464" s="217" t="str">
        <f t="shared" si="458"/>
        <v/>
      </c>
      <c r="EA464" s="466" t="str">
        <f t="shared" si="459"/>
        <v/>
      </c>
      <c r="EB464" s="234" t="str">
        <f t="shared" si="460"/>
        <v/>
      </c>
      <c r="EC464" s="227" t="str">
        <f t="shared" si="461"/>
        <v>0</v>
      </c>
      <c r="ED464" s="148" t="str">
        <f t="shared" si="493"/>
        <v/>
      </c>
      <c r="EE464" s="227" t="str">
        <f t="shared" si="494"/>
        <v>0</v>
      </c>
      <c r="EF464" s="130" t="str">
        <f t="shared" si="462"/>
        <v/>
      </c>
      <c r="EG464" s="204" t="str">
        <f t="shared" si="463"/>
        <v/>
      </c>
      <c r="EH464" s="134" t="str">
        <f t="shared" si="464"/>
        <v>0</v>
      </c>
      <c r="EI464" s="148" t="str">
        <f t="shared" si="495"/>
        <v/>
      </c>
      <c r="EJ464" s="227" t="str">
        <f t="shared" si="496"/>
        <v>0</v>
      </c>
      <c r="EK464" s="451" t="str">
        <f t="shared" si="465"/>
        <v/>
      </c>
      <c r="EL464" s="452" t="e">
        <f t="shared" si="466"/>
        <v>#N/A</v>
      </c>
      <c r="EM464" s="151" t="e">
        <f t="shared" si="467"/>
        <v>#N/A</v>
      </c>
      <c r="EN464" s="453" t="e">
        <f t="shared" si="468"/>
        <v>#N/A</v>
      </c>
      <c r="FK464" s="597" t="str">
        <f t="shared" si="469"/>
        <v/>
      </c>
      <c r="FL464" s="597" t="str">
        <f t="shared" ref="FL464:FL526" si="530">IF(OR($AF464="×要是正（既存不適格以外）",$AF464="△既存不適格"),"○","")</f>
        <v/>
      </c>
      <c r="FM464" s="597" t="str">
        <f t="shared" ref="FM464:FM526" si="531">IF($AF464="△既存不適格","○","")</f>
        <v/>
      </c>
      <c r="FN464" s="597">
        <f t="shared" si="470"/>
        <v>0</v>
      </c>
      <c r="FO464" s="1163" t="str">
        <f t="shared" si="471"/>
        <v/>
      </c>
      <c r="FQ464" s="234" t="str">
        <f t="shared" si="472"/>
        <v/>
      </c>
      <c r="FR464" s="227" t="str">
        <f t="shared" si="473"/>
        <v>0</v>
      </c>
      <c r="FS464" s="148" t="str">
        <f t="shared" si="474"/>
        <v/>
      </c>
      <c r="FT464" s="227" t="str">
        <f t="shared" si="475"/>
        <v>0</v>
      </c>
      <c r="FU464" s="416" t="str">
        <f t="shared" si="497"/>
        <v/>
      </c>
      <c r="FW464" s="1160">
        <f t="shared" si="529"/>
        <v>0</v>
      </c>
      <c r="FX464" s="123"/>
      <c r="FY464" s="123"/>
      <c r="FZ464" s="1161"/>
      <c r="GA464" s="34"/>
      <c r="GB464" s="1149">
        <f t="shared" si="498"/>
        <v>0</v>
      </c>
      <c r="GC464" s="1149">
        <f t="shared" si="499"/>
        <v>0</v>
      </c>
      <c r="GD464" s="1149">
        <f t="shared" si="500"/>
        <v>0</v>
      </c>
      <c r="GE464" s="1149" t="str">
        <f t="shared" si="476"/>
        <v/>
      </c>
      <c r="GF464" s="1149" t="str">
        <f t="shared" si="477"/>
        <v/>
      </c>
      <c r="GG464" s="1149" t="str">
        <f t="shared" si="478"/>
        <v/>
      </c>
      <c r="GH464" s="1149" t="str">
        <f t="shared" si="479"/>
        <v/>
      </c>
      <c r="GI464" s="1149" t="str">
        <f t="shared" si="480"/>
        <v/>
      </c>
      <c r="GJ464" s="1149" t="str">
        <f t="shared" si="481"/>
        <v/>
      </c>
      <c r="GK464" s="1149" t="str">
        <f t="shared" si="482"/>
        <v/>
      </c>
      <c r="GL464" s="1149" t="str">
        <f t="shared" si="483"/>
        <v/>
      </c>
      <c r="GM464" s="1149" t="str">
        <f t="shared" si="484"/>
        <v/>
      </c>
      <c r="GN464" s="1149" t="str">
        <f t="shared" si="485"/>
        <v/>
      </c>
      <c r="GO464" s="1149" t="str">
        <f t="shared" si="486"/>
        <v/>
      </c>
      <c r="GP464" s="1149" t="str">
        <f t="shared" si="487"/>
        <v/>
      </c>
      <c r="GQ464" s="1149" t="str">
        <f t="shared" si="488"/>
        <v/>
      </c>
      <c r="GR464" s="1149" t="str">
        <f t="shared" si="489"/>
        <v/>
      </c>
      <c r="GS464" s="1149" t="str">
        <f t="shared" si="490"/>
        <v/>
      </c>
      <c r="GT464" s="1149">
        <f t="shared" si="501"/>
        <v>0</v>
      </c>
      <c r="GU464" s="1149">
        <f t="shared" si="502"/>
        <v>0</v>
      </c>
      <c r="GV464" s="1149">
        <f t="shared" si="503"/>
        <v>0</v>
      </c>
      <c r="GW464" s="1149" t="b">
        <f t="shared" si="504"/>
        <v>0</v>
      </c>
      <c r="GX464" s="1149" t="b">
        <f t="shared" si="505"/>
        <v>0</v>
      </c>
      <c r="GY464" s="1149" t="b">
        <f t="shared" si="506"/>
        <v>0</v>
      </c>
      <c r="GZ464" s="1149" t="str">
        <f t="shared" si="528"/>
        <v/>
      </c>
      <c r="HB464" s="1149" t="str">
        <f t="shared" si="507"/>
        <v/>
      </c>
      <c r="HC464" s="1149" t="str">
        <f t="shared" si="508"/>
        <v/>
      </c>
      <c r="HD464" s="1149" t="str">
        <f t="shared" si="509"/>
        <v/>
      </c>
      <c r="HE464" s="1149" t="str">
        <f t="shared" si="510"/>
        <v/>
      </c>
      <c r="HF464" s="1149" t="str">
        <f t="shared" si="511"/>
        <v/>
      </c>
      <c r="HG464" s="1149" t="str">
        <f t="shared" si="512"/>
        <v/>
      </c>
      <c r="HH464" s="1149" t="str">
        <f t="shared" si="513"/>
        <v/>
      </c>
      <c r="HI464" s="1149" t="str">
        <f t="shared" si="514"/>
        <v/>
      </c>
      <c r="HJ464" s="1149" t="str">
        <f t="shared" si="515"/>
        <v/>
      </c>
      <c r="HK464" s="1149" t="str">
        <f t="shared" si="516"/>
        <v/>
      </c>
      <c r="HL464" s="1149" t="str">
        <f t="shared" si="517"/>
        <v/>
      </c>
      <c r="HM464" s="1149" t="str">
        <f t="shared" si="518"/>
        <v/>
      </c>
      <c r="HN464" s="1149" t="str">
        <f t="shared" si="519"/>
        <v/>
      </c>
      <c r="HO464" s="1149" t="str">
        <f t="shared" si="520"/>
        <v/>
      </c>
      <c r="HP464" s="1149" t="str">
        <f t="shared" si="521"/>
        <v/>
      </c>
      <c r="HQ464" s="1149" t="str">
        <f t="shared" si="522"/>
        <v/>
      </c>
      <c r="HR464" s="1149" t="str">
        <f t="shared" si="523"/>
        <v/>
      </c>
      <c r="HT464" s="1149">
        <f>LEFT(M464,1)*10000+MID(M464,3,LEN(M464)-3)*100+COUNTIF($M$307:M464,M464)</f>
        <v>53901</v>
      </c>
      <c r="HU464" s="1149" t="str">
        <f t="shared" si="524"/>
        <v/>
      </c>
      <c r="HV464" s="1149" t="str">
        <f t="shared" si="525"/>
        <v/>
      </c>
      <c r="HW464" s="1149" t="str">
        <f t="shared" si="526"/>
        <v/>
      </c>
      <c r="HX464" s="1149" t="str">
        <f t="shared" si="527"/>
        <v/>
      </c>
    </row>
    <row r="465" spans="1:232" s="69" customFormat="1" ht="50.15" customHeight="1" thickBot="1">
      <c r="A465" s="645"/>
      <c r="B465" s="645"/>
      <c r="C465" s="645"/>
      <c r="D465" s="645"/>
      <c r="E465" s="646"/>
      <c r="F465" s="381"/>
      <c r="G465" s="381"/>
      <c r="H465" s="381"/>
      <c r="J465" s="80"/>
      <c r="K465" s="89"/>
      <c r="L465" s="89"/>
      <c r="M465" s="2326" t="s">
        <v>1308</v>
      </c>
      <c r="N465" s="2326"/>
      <c r="O465" s="2326"/>
      <c r="P465" s="2100"/>
      <c r="Q465" s="2100"/>
      <c r="R465" s="2029"/>
      <c r="S465" s="2029"/>
      <c r="T465" s="2029"/>
      <c r="U465" s="2107" t="s">
        <v>143</v>
      </c>
      <c r="V465" s="2107"/>
      <c r="W465" s="2107"/>
      <c r="X465" s="2107"/>
      <c r="Y465" s="2107"/>
      <c r="Z465" s="2107"/>
      <c r="AA465" s="2107"/>
      <c r="AB465" s="2107"/>
      <c r="AC465" s="2107"/>
      <c r="AD465" s="2107"/>
      <c r="AE465" s="2107"/>
      <c r="AF465" s="2108"/>
      <c r="AG465" s="2108"/>
      <c r="AH465" s="2108"/>
      <c r="AI465" s="2108"/>
      <c r="AJ465" s="2108"/>
      <c r="AK465" s="2108"/>
      <c r="AL465" s="2108"/>
      <c r="AM465" s="2108"/>
      <c r="AN465" s="2108"/>
      <c r="AO465" s="2108"/>
      <c r="AP465" s="2108"/>
      <c r="AQ465" s="2108"/>
      <c r="AR465" s="2109"/>
      <c r="AS465" s="2109"/>
      <c r="AT465" s="2054"/>
      <c r="AU465" s="2054"/>
      <c r="AV465" s="2054"/>
      <c r="AW465" s="2054"/>
      <c r="AX465" s="2054"/>
      <c r="AY465" s="2054"/>
      <c r="AZ465" s="2054"/>
      <c r="BA465" s="2054"/>
      <c r="BB465" s="2054"/>
      <c r="BC465" s="2054"/>
      <c r="BD465" s="2054"/>
      <c r="BE465" s="2054"/>
      <c r="BF465" s="2054"/>
      <c r="BG465" s="2054"/>
      <c r="BH465" s="2054"/>
      <c r="BI465" s="2054"/>
      <c r="BJ465" s="2054"/>
      <c r="BK465" s="2054"/>
      <c r="BL465" s="2054"/>
      <c r="BM465" s="2054"/>
      <c r="BN465" s="2054"/>
      <c r="BO465" s="2054"/>
      <c r="BP465" s="2054"/>
      <c r="BQ465" s="2054"/>
      <c r="BR465" s="2054"/>
      <c r="BS465" s="1994"/>
      <c r="BT465" s="1994"/>
      <c r="BU465" s="1994"/>
      <c r="BV465" s="2094"/>
      <c r="BW465" s="2094"/>
      <c r="BX465" s="2094"/>
      <c r="BY465" s="2094"/>
      <c r="BZ465" s="2095"/>
      <c r="CA465" s="2095"/>
      <c r="CB465" s="2086" t="str">
        <f>IF(DP272=1,"２０設備（法第12条第三項関係など）に未設置と記載あり","")</f>
        <v/>
      </c>
      <c r="CC465" s="2087"/>
      <c r="CD465" s="2087"/>
      <c r="CE465" s="2087"/>
      <c r="CF465" s="2087"/>
      <c r="CG465" s="2087"/>
      <c r="CH465" s="2087"/>
      <c r="CI465" s="2087"/>
      <c r="CJ465" s="2087"/>
      <c r="CK465" s="2087"/>
      <c r="CL465" s="2087"/>
      <c r="CM465" s="2087"/>
      <c r="CN465" s="2087"/>
      <c r="CO465" s="2087"/>
      <c r="CP465" s="2087"/>
      <c r="CQ465" s="2087"/>
      <c r="CR465" s="2087"/>
      <c r="CS465" s="2087"/>
      <c r="CT465" s="2087"/>
      <c r="CU465" s="2088"/>
      <c r="CV465" s="2360" t="str">
        <f t="shared" si="445"/>
        <v/>
      </c>
      <c r="CW465" s="2360"/>
      <c r="CX465" s="2360"/>
      <c r="CY465" s="2360"/>
      <c r="CZ465" s="2360"/>
      <c r="DA465" s="2360"/>
      <c r="DC465" s="600" t="str">
        <f t="shared" si="446"/>
        <v/>
      </c>
      <c r="DD465" s="381"/>
      <c r="DF465" s="34"/>
      <c r="DG465" s="34"/>
      <c r="DH465" s="34"/>
      <c r="DI465" s="34"/>
      <c r="DJ465" s="858" t="s">
        <v>5637</v>
      </c>
      <c r="DK465" s="1707" t="str">
        <f t="shared" si="491"/>
        <v/>
      </c>
      <c r="DL465" s="1692" t="str">
        <f t="shared" si="492"/>
        <v/>
      </c>
      <c r="DM465" s="1694">
        <f t="shared" si="447"/>
        <v>0</v>
      </c>
      <c r="DN465" s="476">
        <f t="shared" si="448"/>
        <v>0</v>
      </c>
      <c r="DO465" s="476">
        <f t="shared" si="449"/>
        <v>0</v>
      </c>
      <c r="DP465" s="477">
        <f t="shared" si="450"/>
        <v>0</v>
      </c>
      <c r="DQ465" s="123" t="s">
        <v>848</v>
      </c>
      <c r="DR465" s="475" t="str">
        <f>IF($U465="",R463,U465)</f>
        <v>照明の妨げとなる物品の放置の状況</v>
      </c>
      <c r="DS465" s="221">
        <f t="shared" si="452"/>
        <v>0</v>
      </c>
      <c r="DT465" s="480" t="str">
        <f t="shared" si="453"/>
        <v/>
      </c>
      <c r="DU465" s="232" t="str">
        <f t="shared" si="454"/>
        <v/>
      </c>
      <c r="DV465" s="454" t="str">
        <f>IF($DT465="要是正",MAX($DV$422:DV464)+1,"")</f>
        <v/>
      </c>
      <c r="DW465" s="32" t="str">
        <f t="shared" si="455"/>
        <v/>
      </c>
      <c r="DX465" s="467" t="str">
        <f t="shared" si="456"/>
        <v/>
      </c>
      <c r="DY465" s="468" t="str">
        <f t="shared" si="457"/>
        <v/>
      </c>
      <c r="DZ465" s="469" t="str">
        <f t="shared" si="458"/>
        <v/>
      </c>
      <c r="EA465" s="466" t="str">
        <f t="shared" si="459"/>
        <v/>
      </c>
      <c r="EB465" s="234" t="str">
        <f t="shared" si="460"/>
        <v/>
      </c>
      <c r="EC465" s="227" t="str">
        <f t="shared" si="461"/>
        <v>0</v>
      </c>
      <c r="ED465" s="148" t="str">
        <f t="shared" si="493"/>
        <v/>
      </c>
      <c r="EE465" s="227" t="str">
        <f t="shared" si="494"/>
        <v>0</v>
      </c>
      <c r="EF465" s="130" t="str">
        <f t="shared" si="462"/>
        <v/>
      </c>
      <c r="EG465" s="204" t="str">
        <f t="shared" si="463"/>
        <v/>
      </c>
      <c r="EH465" s="134" t="str">
        <f t="shared" si="464"/>
        <v>0</v>
      </c>
      <c r="EI465" s="148" t="str">
        <f t="shared" si="495"/>
        <v/>
      </c>
      <c r="EJ465" s="227" t="str">
        <f t="shared" si="496"/>
        <v>0</v>
      </c>
      <c r="EK465" s="451" t="str">
        <f t="shared" si="465"/>
        <v/>
      </c>
      <c r="EL465" s="232" t="e">
        <f t="shared" si="466"/>
        <v>#N/A</v>
      </c>
      <c r="EM465" s="233" t="e">
        <f t="shared" si="467"/>
        <v>#N/A</v>
      </c>
      <c r="EN465" s="454" t="e">
        <f t="shared" si="468"/>
        <v>#N/A</v>
      </c>
      <c r="FK465" s="597" t="str">
        <f t="shared" si="469"/>
        <v/>
      </c>
      <c r="FL465" s="597" t="str">
        <f t="shared" si="530"/>
        <v/>
      </c>
      <c r="FM465" s="597" t="str">
        <f t="shared" si="531"/>
        <v/>
      </c>
      <c r="FN465" s="597">
        <f t="shared" si="470"/>
        <v>0</v>
      </c>
      <c r="FO465" s="1163" t="str">
        <f t="shared" si="471"/>
        <v/>
      </c>
      <c r="FQ465" s="234" t="str">
        <f t="shared" si="472"/>
        <v/>
      </c>
      <c r="FR465" s="227" t="str">
        <f t="shared" si="473"/>
        <v>0</v>
      </c>
      <c r="FS465" s="148" t="str">
        <f t="shared" si="474"/>
        <v/>
      </c>
      <c r="FT465" s="227" t="str">
        <f t="shared" si="475"/>
        <v>0</v>
      </c>
      <c r="FU465" s="416" t="str">
        <f t="shared" si="497"/>
        <v/>
      </c>
      <c r="FW465" s="1160">
        <f t="shared" si="529"/>
        <v>0</v>
      </c>
      <c r="FX465" s="123"/>
      <c r="FY465" s="123"/>
      <c r="FZ465" s="1161"/>
      <c r="GA465" s="34"/>
      <c r="GB465" s="1149">
        <f t="shared" si="498"/>
        <v>0</v>
      </c>
      <c r="GC465" s="1149">
        <f t="shared" si="499"/>
        <v>0</v>
      </c>
      <c r="GD465" s="1149">
        <f t="shared" si="500"/>
        <v>0</v>
      </c>
      <c r="GE465" s="1149" t="str">
        <f t="shared" si="476"/>
        <v/>
      </c>
      <c r="GF465" s="1149" t="str">
        <f t="shared" si="477"/>
        <v/>
      </c>
      <c r="GG465" s="1149" t="str">
        <f t="shared" si="478"/>
        <v/>
      </c>
      <c r="GH465" s="1149" t="str">
        <f t="shared" si="479"/>
        <v/>
      </c>
      <c r="GI465" s="1149" t="str">
        <f t="shared" si="480"/>
        <v/>
      </c>
      <c r="GJ465" s="1149" t="str">
        <f t="shared" si="481"/>
        <v/>
      </c>
      <c r="GK465" s="1149" t="str">
        <f t="shared" si="482"/>
        <v/>
      </c>
      <c r="GL465" s="1149" t="str">
        <f t="shared" si="483"/>
        <v/>
      </c>
      <c r="GM465" s="1149" t="str">
        <f t="shared" si="484"/>
        <v/>
      </c>
      <c r="GN465" s="1149" t="str">
        <f t="shared" si="485"/>
        <v/>
      </c>
      <c r="GO465" s="1149" t="str">
        <f t="shared" si="486"/>
        <v/>
      </c>
      <c r="GP465" s="1149" t="str">
        <f t="shared" si="487"/>
        <v/>
      </c>
      <c r="GQ465" s="1149" t="str">
        <f t="shared" si="488"/>
        <v/>
      </c>
      <c r="GR465" s="1149" t="str">
        <f t="shared" si="489"/>
        <v/>
      </c>
      <c r="GS465" s="1149" t="str">
        <f t="shared" si="490"/>
        <v/>
      </c>
      <c r="GT465" s="1149">
        <f t="shared" si="501"/>
        <v>0</v>
      </c>
      <c r="GU465" s="1149">
        <f t="shared" si="502"/>
        <v>0</v>
      </c>
      <c r="GV465" s="1149">
        <f t="shared" si="503"/>
        <v>0</v>
      </c>
      <c r="GW465" s="1149" t="b">
        <f t="shared" si="504"/>
        <v>0</v>
      </c>
      <c r="GX465" s="1149" t="b">
        <f t="shared" si="505"/>
        <v>0</v>
      </c>
      <c r="GY465" s="1149" t="b">
        <f t="shared" si="506"/>
        <v>0</v>
      </c>
      <c r="GZ465" s="1149" t="str">
        <f t="shared" si="528"/>
        <v/>
      </c>
      <c r="HB465" s="1149" t="str">
        <f t="shared" si="507"/>
        <v/>
      </c>
      <c r="HC465" s="1149" t="str">
        <f t="shared" si="508"/>
        <v/>
      </c>
      <c r="HD465" s="1149" t="str">
        <f t="shared" si="509"/>
        <v/>
      </c>
      <c r="HE465" s="1149" t="str">
        <f t="shared" si="510"/>
        <v/>
      </c>
      <c r="HF465" s="1149" t="str">
        <f t="shared" si="511"/>
        <v/>
      </c>
      <c r="HG465" s="1149" t="str">
        <f t="shared" si="512"/>
        <v/>
      </c>
      <c r="HH465" s="1149" t="str">
        <f t="shared" si="513"/>
        <v/>
      </c>
      <c r="HI465" s="1149" t="str">
        <f t="shared" si="514"/>
        <v/>
      </c>
      <c r="HJ465" s="1149" t="str">
        <f t="shared" si="515"/>
        <v/>
      </c>
      <c r="HK465" s="1149" t="str">
        <f t="shared" si="516"/>
        <v/>
      </c>
      <c r="HL465" s="1149" t="str">
        <f t="shared" si="517"/>
        <v/>
      </c>
      <c r="HM465" s="1149" t="str">
        <f t="shared" si="518"/>
        <v/>
      </c>
      <c r="HN465" s="1149" t="str">
        <f t="shared" si="519"/>
        <v/>
      </c>
      <c r="HO465" s="1149" t="str">
        <f t="shared" si="520"/>
        <v/>
      </c>
      <c r="HP465" s="1149" t="str">
        <f t="shared" si="521"/>
        <v/>
      </c>
      <c r="HQ465" s="1149" t="str">
        <f t="shared" si="522"/>
        <v/>
      </c>
      <c r="HR465" s="1149" t="str">
        <f t="shared" si="523"/>
        <v/>
      </c>
      <c r="HT465" s="1149">
        <f>LEFT(M465,1)*10000+MID(M465,3,LEN(M465)-3)*100+COUNTIF($M$307:M465,M465)</f>
        <v>54001</v>
      </c>
      <c r="HU465" s="1149" t="str">
        <f t="shared" si="524"/>
        <v/>
      </c>
      <c r="HV465" s="1149" t="str">
        <f t="shared" si="525"/>
        <v/>
      </c>
      <c r="HW465" s="1149" t="str">
        <f t="shared" si="526"/>
        <v/>
      </c>
      <c r="HX465" s="1149" t="str">
        <f t="shared" si="527"/>
        <v/>
      </c>
    </row>
    <row r="466" spans="1:232" s="69" customFormat="1" ht="50.15" hidden="1" customHeight="1" thickBot="1">
      <c r="A466" s="645"/>
      <c r="B466" s="645"/>
      <c r="C466" s="645"/>
      <c r="D466" s="645"/>
      <c r="E466" s="646"/>
      <c r="F466" s="381"/>
      <c r="G466" s="381"/>
      <c r="H466" s="381"/>
      <c r="J466" s="80"/>
      <c r="K466" s="89"/>
      <c r="L466" s="89"/>
      <c r="M466" s="2326" t="s">
        <v>2581</v>
      </c>
      <c r="N466" s="2326"/>
      <c r="O466" s="2326"/>
      <c r="P466" s="2100"/>
      <c r="Q466" s="2100"/>
      <c r="R466" s="2029"/>
      <c r="S466" s="2029"/>
      <c r="T466" s="2029"/>
      <c r="U466" s="1899"/>
      <c r="V466" s="1899"/>
      <c r="W466" s="1899"/>
      <c r="X466" s="1899"/>
      <c r="Y466" s="1899"/>
      <c r="Z466" s="1899"/>
      <c r="AA466" s="1899"/>
      <c r="AB466" s="1899"/>
      <c r="AC466" s="1899"/>
      <c r="AD466" s="1899"/>
      <c r="AE466" s="1899"/>
      <c r="AF466" s="1898"/>
      <c r="AG466" s="1898"/>
      <c r="AH466" s="1898"/>
      <c r="AI466" s="1898"/>
      <c r="AJ466" s="1898"/>
      <c r="AK466" s="1898"/>
      <c r="AL466" s="1898"/>
      <c r="AM466" s="1898"/>
      <c r="AN466" s="1898"/>
      <c r="AO466" s="1898"/>
      <c r="AP466" s="1898"/>
      <c r="AQ466" s="1898"/>
      <c r="AR466" s="1910"/>
      <c r="AS466" s="1910"/>
      <c r="AT466" s="1993"/>
      <c r="AU466" s="1993"/>
      <c r="AV466" s="1993"/>
      <c r="AW466" s="1993"/>
      <c r="AX466" s="1993"/>
      <c r="AY466" s="1993"/>
      <c r="AZ466" s="1993"/>
      <c r="BA466" s="1993"/>
      <c r="BB466" s="1993"/>
      <c r="BC466" s="1993"/>
      <c r="BD466" s="1993"/>
      <c r="BE466" s="1993"/>
      <c r="BF466" s="1993"/>
      <c r="BG466" s="1993"/>
      <c r="BH466" s="1993"/>
      <c r="BI466" s="1993"/>
      <c r="BJ466" s="1993"/>
      <c r="BK466" s="1993"/>
      <c r="BL466" s="1993"/>
      <c r="BM466" s="1993"/>
      <c r="BN466" s="1993"/>
      <c r="BO466" s="1993"/>
      <c r="BP466" s="1993"/>
      <c r="BQ466" s="1993"/>
      <c r="BR466" s="1993"/>
      <c r="BS466" s="1895"/>
      <c r="BT466" s="1895"/>
      <c r="BU466" s="1895"/>
      <c r="BV466" s="1889"/>
      <c r="BW466" s="1889"/>
      <c r="BX466" s="1889"/>
      <c r="BY466" s="1889"/>
      <c r="BZ466" s="1896"/>
      <c r="CA466" s="1896"/>
      <c r="CB466" s="2091" t="str">
        <f t="shared" ref="CB466:CB470" si="532">IF(DP273=1,"２０設備（法第12条第三項関係など）に未設置と記載あり","")</f>
        <v/>
      </c>
      <c r="CC466" s="2092"/>
      <c r="CD466" s="2092"/>
      <c r="CE466" s="2092"/>
      <c r="CF466" s="2092"/>
      <c r="CG466" s="2092"/>
      <c r="CH466" s="2092"/>
      <c r="CI466" s="2092"/>
      <c r="CJ466" s="2092"/>
      <c r="CK466" s="2092"/>
      <c r="CL466" s="2092"/>
      <c r="CM466" s="2092"/>
      <c r="CN466" s="2092"/>
      <c r="CO466" s="2092"/>
      <c r="CP466" s="2092"/>
      <c r="CQ466" s="2092"/>
      <c r="CR466" s="2092"/>
      <c r="CS466" s="2092"/>
      <c r="CT466" s="2092"/>
      <c r="CU466" s="2093"/>
      <c r="CV466" s="2360" t="str">
        <f t="shared" ref="CV466:CV470" si="533">IF(AND(DT466="要是正",DU466&lt;21),HYPERLINK("#"&amp;EL466&amp;"!"&amp;EM466&amp;":"&amp;EN466&amp;"","関連写真添付"),"")</f>
        <v/>
      </c>
      <c r="CW466" s="2360"/>
      <c r="CX466" s="2360"/>
      <c r="CY466" s="2360"/>
      <c r="CZ466" s="2360"/>
      <c r="DA466" s="2360"/>
      <c r="DC466" s="600" t="str">
        <f t="shared" ref="DC466:DC470" si="534">IF(AND(DU466&lt;&gt;"",DU466&gt;20),"「別途様式を作成、提出してください。」","")</f>
        <v/>
      </c>
      <c r="DD466" s="381"/>
      <c r="DF466" s="34"/>
      <c r="DG466" s="34"/>
      <c r="DH466" s="34"/>
      <c r="DI466" s="34"/>
      <c r="DJ466" s="858" t="s">
        <v>5637</v>
      </c>
      <c r="DK466" s="1707" t="str">
        <f t="shared" si="491"/>
        <v/>
      </c>
      <c r="DL466" s="1692" t="str">
        <f t="shared" si="492"/>
        <v/>
      </c>
      <c r="DM466" s="1694">
        <f t="shared" si="447"/>
        <v>0</v>
      </c>
      <c r="DN466" s="476">
        <f t="shared" ref="DN466:DN470" si="535">COUNTIFS(AF466,"○指摘なし")</f>
        <v>0</v>
      </c>
      <c r="DO466" s="476">
        <f t="shared" ref="DO466:DO470" si="536">COUNTIFS(AF466,"×要是正（既存不適格以外）")</f>
        <v>0</v>
      </c>
      <c r="DP466" s="477">
        <f t="shared" ref="DP466:DP470" si="537">COUNTIFS(AF466,"△既存不適格")</f>
        <v>0</v>
      </c>
      <c r="DQ466" s="123" t="s">
        <v>2596</v>
      </c>
      <c r="DR466" s="475">
        <f t="shared" ref="DR466:DR470" si="538">IF($U466="",R466,U466)</f>
        <v>0</v>
      </c>
      <c r="DS466" s="221">
        <f t="shared" ref="DS466:DS470" si="539">COUNTA(BS466:BX466)</f>
        <v>0</v>
      </c>
      <c r="DT466" s="480" t="str">
        <f t="shared" ref="DT466:DT470" si="540">IF(AF466="×要是正（既存不適格以外）","要是正","")&amp;IF(AF466="△既存不適格","既存不適格","")</f>
        <v/>
      </c>
      <c r="DU466" s="232" t="str">
        <f t="shared" si="454"/>
        <v/>
      </c>
      <c r="DV466" s="454" t="str">
        <f>IF($DT466="要是正",MAX($DV$422:DV465)+1,"")</f>
        <v/>
      </c>
      <c r="DW466" s="32" t="str">
        <f t="shared" ref="DW466:DW470" si="541">IF(OR(AF466="×要是正（既存不適格以外）",AF466="△既存不適格"),DQ466,"")</f>
        <v/>
      </c>
      <c r="DX466" s="467" t="str">
        <f t="shared" si="456"/>
        <v/>
      </c>
      <c r="DY466" s="468" t="str">
        <f t="shared" ref="DY466:DY470" si="542">IF($DT466="要是正",IF(AT466="","",DQ466 &amp;" " &amp; AT466),"")</f>
        <v/>
      </c>
      <c r="DZ466" s="469" t="str">
        <f t="shared" ref="DZ466:DZ470" si="543">IF($DT466="要是正",IF(BD466="","",BD466),"")</f>
        <v/>
      </c>
      <c r="EA466" s="466" t="str">
        <f t="shared" si="459"/>
        <v/>
      </c>
      <c r="EB466" s="234" t="str">
        <f t="shared" si="460"/>
        <v/>
      </c>
      <c r="EC466" s="227" t="str">
        <f t="shared" si="461"/>
        <v>0</v>
      </c>
      <c r="ED466" s="148" t="str">
        <f t="shared" ref="ED466:ED470" si="544">IF(DT466="要是正",IF(AND(BY466="予定",DS466=2),1,IF(BY466="改善済",2,"")),"")</f>
        <v/>
      </c>
      <c r="EE466" s="227" t="str">
        <f t="shared" ref="EE466:EE470" si="545">IF(ED466=1,EC466,"0")</f>
        <v>0</v>
      </c>
      <c r="EF466" s="130" t="str">
        <f t="shared" ref="EF466:EF470" si="546">IF(AND(DT466="要是正",AND(DS466=0,BY466="未定")),BY466,"")</f>
        <v/>
      </c>
      <c r="EG466" s="204" t="str">
        <f t="shared" si="463"/>
        <v/>
      </c>
      <c r="EH466" s="134" t="str">
        <f t="shared" si="464"/>
        <v>0</v>
      </c>
      <c r="EI466" s="148" t="str">
        <f t="shared" ref="EI466:EI470" si="547">IF(DT466="既存不適格",IF(AND(BY466="予定",DS466=2),1,IF(BY466="改善済",2,"")),"")</f>
        <v/>
      </c>
      <c r="EJ466" s="227" t="str">
        <f t="shared" ref="EJ466:EJ470" si="548">IF(EI466=1,EH466,"0")</f>
        <v>0</v>
      </c>
      <c r="EK466" s="451" t="str">
        <f t="shared" ref="EK466:EK470" si="549">IF(AND(DT466="既存不適格",AND(DS466=0,BY466="未定")),BY466,"")</f>
        <v/>
      </c>
      <c r="EL466" s="232" t="e">
        <f t="shared" ref="EL466:EL470" si="550">VLOOKUP($DU466,$EO$306:$ER$334,2,FALSE)</f>
        <v>#N/A</v>
      </c>
      <c r="EM466" s="233" t="e">
        <f t="shared" ref="EM466:EM470" si="551">VLOOKUP($DU466,$EO$306:$ER$334,3,FALSE)</f>
        <v>#N/A</v>
      </c>
      <c r="EN466" s="454" t="e">
        <f t="shared" ref="EN466:EN470" si="552">VLOOKUP($DU466,$EO$306:$ER$334,4,FALSE)</f>
        <v>#N/A</v>
      </c>
      <c r="FK466" s="597" t="str">
        <f t="shared" si="469"/>
        <v/>
      </c>
      <c r="FL466" s="597" t="str">
        <f t="shared" si="530"/>
        <v/>
      </c>
      <c r="FM466" s="597" t="str">
        <f t="shared" si="531"/>
        <v/>
      </c>
      <c r="FN466" s="597">
        <f t="shared" ref="FN466:FN470" si="553">AR466</f>
        <v>0</v>
      </c>
      <c r="FO466" s="1163" t="str">
        <f t="shared" si="471"/>
        <v/>
      </c>
      <c r="FQ466" s="234" t="str">
        <f t="shared" si="472"/>
        <v/>
      </c>
      <c r="FR466" s="227" t="str">
        <f t="shared" si="473"/>
        <v>0</v>
      </c>
      <c r="FS466" s="148" t="str">
        <f t="shared" ref="FS466:FS470" si="554">IF(OR(BY466="予定",BY466="改善済"),1,"")</f>
        <v/>
      </c>
      <c r="FT466" s="227" t="str">
        <f t="shared" ref="FT466:FT470" si="555">IF(FS466=1,FR466,"0")</f>
        <v>0</v>
      </c>
      <c r="FU466" s="416" t="str">
        <f t="shared" ref="FU466:FU470" si="556">IF(AND(FM466="要是正",AND(FL466=0,DR466="未定")),DR466,"")</f>
        <v/>
      </c>
      <c r="FW466" s="1160">
        <f t="shared" ref="FW466:FW470" si="557">IF(AF466="△既存不適格",AT466&amp;"(既存不適格)",AT466)</f>
        <v>0</v>
      </c>
      <c r="FX466" s="123"/>
      <c r="FY466" s="123"/>
      <c r="FZ466" s="1161"/>
      <c r="GA466" s="34"/>
      <c r="GB466" s="123">
        <f t="shared" si="498"/>
        <v>0</v>
      </c>
      <c r="GC466" s="123">
        <f t="shared" si="499"/>
        <v>0</v>
      </c>
      <c r="GD466" s="69">
        <f t="shared" si="500"/>
        <v>0</v>
      </c>
      <c r="GE466" s="1149" t="str">
        <f t="shared" si="476"/>
        <v/>
      </c>
      <c r="GF466" s="1149" t="str">
        <f t="shared" si="477"/>
        <v/>
      </c>
      <c r="GG466" s="1149" t="str">
        <f t="shared" si="478"/>
        <v/>
      </c>
      <c r="GH466" s="1149" t="str">
        <f t="shared" si="479"/>
        <v/>
      </c>
      <c r="GI466" s="1149" t="str">
        <f t="shared" si="480"/>
        <v/>
      </c>
      <c r="GJ466" s="1149" t="str">
        <f t="shared" si="481"/>
        <v/>
      </c>
      <c r="GK466" s="1149" t="str">
        <f t="shared" si="482"/>
        <v/>
      </c>
      <c r="GL466" s="1149" t="str">
        <f t="shared" si="483"/>
        <v/>
      </c>
      <c r="GM466" s="1149" t="str">
        <f t="shared" si="484"/>
        <v/>
      </c>
      <c r="GN466" s="1149" t="str">
        <f t="shared" si="485"/>
        <v/>
      </c>
      <c r="GO466" s="1149" t="str">
        <f t="shared" si="486"/>
        <v/>
      </c>
      <c r="GP466" s="1149" t="str">
        <f t="shared" si="487"/>
        <v/>
      </c>
      <c r="GQ466" s="1149" t="str">
        <f t="shared" si="488"/>
        <v/>
      </c>
      <c r="GR466" s="1149" t="str">
        <f t="shared" si="489"/>
        <v/>
      </c>
      <c r="GS466" s="1149" t="str">
        <f t="shared" si="490"/>
        <v/>
      </c>
      <c r="GT466" s="1149">
        <f t="shared" si="501"/>
        <v>0</v>
      </c>
      <c r="GU466" s="1149">
        <f t="shared" si="502"/>
        <v>0</v>
      </c>
      <c r="GV466" s="1149">
        <f t="shared" si="503"/>
        <v>0</v>
      </c>
      <c r="GW466" s="1149" t="b">
        <f t="shared" si="504"/>
        <v>0</v>
      </c>
      <c r="GX466" s="1149" t="b">
        <f t="shared" si="505"/>
        <v>0</v>
      </c>
      <c r="GY466" s="1149" t="b">
        <f t="shared" si="506"/>
        <v>0</v>
      </c>
      <c r="GZ466" s="1149" t="str">
        <f t="shared" si="528"/>
        <v/>
      </c>
      <c r="HB466" s="1149" t="str">
        <f t="shared" si="507"/>
        <v/>
      </c>
      <c r="HC466" s="1149" t="str">
        <f t="shared" si="508"/>
        <v/>
      </c>
      <c r="HD466" s="1149" t="str">
        <f t="shared" si="509"/>
        <v/>
      </c>
      <c r="HE466" s="1149" t="str">
        <f t="shared" si="510"/>
        <v/>
      </c>
      <c r="HF466" s="1149" t="str">
        <f t="shared" si="511"/>
        <v/>
      </c>
      <c r="HG466" s="1149" t="str">
        <f t="shared" si="512"/>
        <v/>
      </c>
      <c r="HH466" s="1149" t="str">
        <f t="shared" si="513"/>
        <v/>
      </c>
      <c r="HI466" s="1149" t="str">
        <f t="shared" si="514"/>
        <v/>
      </c>
      <c r="HJ466" s="1149" t="str">
        <f t="shared" si="515"/>
        <v/>
      </c>
      <c r="HK466" s="1149" t="str">
        <f t="shared" si="516"/>
        <v/>
      </c>
      <c r="HL466" s="1149" t="str">
        <f t="shared" si="517"/>
        <v/>
      </c>
      <c r="HM466" s="1149" t="str">
        <f t="shared" si="518"/>
        <v/>
      </c>
      <c r="HN466" s="1149" t="str">
        <f t="shared" si="519"/>
        <v/>
      </c>
      <c r="HO466" s="1149" t="str">
        <f t="shared" si="520"/>
        <v/>
      </c>
      <c r="HP466" s="1149" t="str">
        <f t="shared" si="521"/>
        <v/>
      </c>
      <c r="HQ466" s="1149" t="str">
        <f t="shared" si="522"/>
        <v/>
      </c>
      <c r="HR466" s="1149" t="str">
        <f t="shared" si="523"/>
        <v/>
      </c>
      <c r="HT466" s="1149">
        <f>LEFT(M466,1)*10000+MID(M466,3,LEN(M466)-3)*100+COUNTIF($M$307:M466,M466)</f>
        <v>54101</v>
      </c>
      <c r="HU466" s="1149" t="str">
        <f t="shared" si="524"/>
        <v/>
      </c>
      <c r="HV466" s="1149" t="str">
        <f t="shared" si="525"/>
        <v/>
      </c>
      <c r="HW466" s="1149" t="str">
        <f t="shared" si="526"/>
        <v/>
      </c>
      <c r="HX466" s="1149" t="str">
        <f t="shared" si="527"/>
        <v/>
      </c>
    </row>
    <row r="467" spans="1:232" s="69" customFormat="1" ht="50.15" hidden="1" customHeight="1" thickBot="1">
      <c r="A467" s="645"/>
      <c r="B467" s="645"/>
      <c r="C467" s="645"/>
      <c r="D467" s="645"/>
      <c r="E467" s="646"/>
      <c r="F467" s="381"/>
      <c r="G467" s="381"/>
      <c r="H467" s="381"/>
      <c r="J467" s="80"/>
      <c r="K467" s="89"/>
      <c r="L467" s="89"/>
      <c r="M467" s="2326" t="s">
        <v>2582</v>
      </c>
      <c r="N467" s="2326"/>
      <c r="O467" s="2326"/>
      <c r="P467" s="2100"/>
      <c r="Q467" s="2100"/>
      <c r="R467" s="2029"/>
      <c r="S467" s="2029"/>
      <c r="T467" s="2029"/>
      <c r="U467" s="1899"/>
      <c r="V467" s="1899"/>
      <c r="W467" s="1899"/>
      <c r="X467" s="1899"/>
      <c r="Y467" s="1899"/>
      <c r="Z467" s="1899"/>
      <c r="AA467" s="1899"/>
      <c r="AB467" s="1899"/>
      <c r="AC467" s="1899"/>
      <c r="AD467" s="1899"/>
      <c r="AE467" s="1899"/>
      <c r="AF467" s="1898"/>
      <c r="AG467" s="1898"/>
      <c r="AH467" s="1898"/>
      <c r="AI467" s="1898"/>
      <c r="AJ467" s="1898"/>
      <c r="AK467" s="1898"/>
      <c r="AL467" s="1898"/>
      <c r="AM467" s="1898"/>
      <c r="AN467" s="1898"/>
      <c r="AO467" s="1898"/>
      <c r="AP467" s="1898"/>
      <c r="AQ467" s="1898"/>
      <c r="AR467" s="1910"/>
      <c r="AS467" s="1910"/>
      <c r="AT467" s="1993"/>
      <c r="AU467" s="1993"/>
      <c r="AV467" s="1993"/>
      <c r="AW467" s="1993"/>
      <c r="AX467" s="1993"/>
      <c r="AY467" s="1993"/>
      <c r="AZ467" s="1993"/>
      <c r="BA467" s="1993"/>
      <c r="BB467" s="1993"/>
      <c r="BC467" s="1993"/>
      <c r="BD467" s="1993"/>
      <c r="BE467" s="1993"/>
      <c r="BF467" s="1993"/>
      <c r="BG467" s="1993"/>
      <c r="BH467" s="1993"/>
      <c r="BI467" s="1993"/>
      <c r="BJ467" s="1993"/>
      <c r="BK467" s="1993"/>
      <c r="BL467" s="1993"/>
      <c r="BM467" s="1993"/>
      <c r="BN467" s="1993"/>
      <c r="BO467" s="1993"/>
      <c r="BP467" s="1993"/>
      <c r="BQ467" s="1993"/>
      <c r="BR467" s="1993"/>
      <c r="BS467" s="1895"/>
      <c r="BT467" s="1895"/>
      <c r="BU467" s="1895"/>
      <c r="BV467" s="1889"/>
      <c r="BW467" s="1889"/>
      <c r="BX467" s="1889"/>
      <c r="BY467" s="1889"/>
      <c r="BZ467" s="1896"/>
      <c r="CA467" s="1896"/>
      <c r="CB467" s="2091" t="str">
        <f t="shared" si="532"/>
        <v/>
      </c>
      <c r="CC467" s="2092"/>
      <c r="CD467" s="2092"/>
      <c r="CE467" s="2092"/>
      <c r="CF467" s="2092"/>
      <c r="CG467" s="2092"/>
      <c r="CH467" s="2092"/>
      <c r="CI467" s="2092"/>
      <c r="CJ467" s="2092"/>
      <c r="CK467" s="2092"/>
      <c r="CL467" s="2092"/>
      <c r="CM467" s="2092"/>
      <c r="CN467" s="2092"/>
      <c r="CO467" s="2092"/>
      <c r="CP467" s="2092"/>
      <c r="CQ467" s="2092"/>
      <c r="CR467" s="2092"/>
      <c r="CS467" s="2092"/>
      <c r="CT467" s="2092"/>
      <c r="CU467" s="2093"/>
      <c r="CV467" s="2360" t="str">
        <f t="shared" si="533"/>
        <v/>
      </c>
      <c r="CW467" s="2360"/>
      <c r="CX467" s="2360"/>
      <c r="CY467" s="2360"/>
      <c r="CZ467" s="2360"/>
      <c r="DA467" s="2360"/>
      <c r="DC467" s="600" t="str">
        <f t="shared" si="534"/>
        <v/>
      </c>
      <c r="DD467" s="381"/>
      <c r="DF467" s="34"/>
      <c r="DG467" s="34"/>
      <c r="DH467" s="34"/>
      <c r="DI467" s="34"/>
      <c r="DJ467" s="858" t="s">
        <v>5637</v>
      </c>
      <c r="DK467" s="1707" t="str">
        <f t="shared" si="491"/>
        <v/>
      </c>
      <c r="DL467" s="1692" t="str">
        <f t="shared" si="492"/>
        <v/>
      </c>
      <c r="DM467" s="1694">
        <f t="shared" si="447"/>
        <v>0</v>
      </c>
      <c r="DN467" s="476">
        <f t="shared" si="535"/>
        <v>0</v>
      </c>
      <c r="DO467" s="476">
        <f t="shared" si="536"/>
        <v>0</v>
      </c>
      <c r="DP467" s="477">
        <f t="shared" si="537"/>
        <v>0</v>
      </c>
      <c r="DQ467" s="123" t="s">
        <v>2597</v>
      </c>
      <c r="DR467" s="475">
        <f t="shared" si="538"/>
        <v>0</v>
      </c>
      <c r="DS467" s="221">
        <f t="shared" si="539"/>
        <v>0</v>
      </c>
      <c r="DT467" s="480" t="str">
        <f t="shared" si="540"/>
        <v/>
      </c>
      <c r="DU467" s="232" t="str">
        <f t="shared" si="454"/>
        <v/>
      </c>
      <c r="DV467" s="454" t="str">
        <f>IF($DT467="要是正",MAX($DV$422:DV466)+1,"")</f>
        <v/>
      </c>
      <c r="DW467" s="32" t="str">
        <f t="shared" si="541"/>
        <v/>
      </c>
      <c r="DX467" s="467" t="str">
        <f t="shared" si="456"/>
        <v/>
      </c>
      <c r="DY467" s="468" t="str">
        <f t="shared" si="542"/>
        <v/>
      </c>
      <c r="DZ467" s="469" t="str">
        <f t="shared" si="543"/>
        <v/>
      </c>
      <c r="EA467" s="466" t="str">
        <f t="shared" si="459"/>
        <v/>
      </c>
      <c r="EB467" s="234" t="str">
        <f t="shared" si="460"/>
        <v/>
      </c>
      <c r="EC467" s="227" t="str">
        <f t="shared" si="461"/>
        <v>0</v>
      </c>
      <c r="ED467" s="148" t="str">
        <f t="shared" si="544"/>
        <v/>
      </c>
      <c r="EE467" s="227" t="str">
        <f t="shared" si="545"/>
        <v>0</v>
      </c>
      <c r="EF467" s="130" t="str">
        <f t="shared" si="546"/>
        <v/>
      </c>
      <c r="EG467" s="204" t="str">
        <f t="shared" si="463"/>
        <v/>
      </c>
      <c r="EH467" s="134" t="str">
        <f t="shared" si="464"/>
        <v>0</v>
      </c>
      <c r="EI467" s="148" t="str">
        <f t="shared" si="547"/>
        <v/>
      </c>
      <c r="EJ467" s="227" t="str">
        <f t="shared" si="548"/>
        <v>0</v>
      </c>
      <c r="EK467" s="451" t="str">
        <f t="shared" si="549"/>
        <v/>
      </c>
      <c r="EL467" s="232" t="e">
        <f t="shared" si="550"/>
        <v>#N/A</v>
      </c>
      <c r="EM467" s="233" t="e">
        <f t="shared" si="551"/>
        <v>#N/A</v>
      </c>
      <c r="EN467" s="454" t="e">
        <f t="shared" si="552"/>
        <v>#N/A</v>
      </c>
      <c r="FK467" s="597" t="str">
        <f t="shared" si="469"/>
        <v/>
      </c>
      <c r="FL467" s="597" t="str">
        <f t="shared" si="530"/>
        <v/>
      </c>
      <c r="FM467" s="597" t="str">
        <f t="shared" si="531"/>
        <v/>
      </c>
      <c r="FN467" s="597">
        <f t="shared" si="553"/>
        <v>0</v>
      </c>
      <c r="FO467" s="1163" t="str">
        <f t="shared" si="471"/>
        <v/>
      </c>
      <c r="FQ467" s="234" t="str">
        <f t="shared" si="472"/>
        <v/>
      </c>
      <c r="FR467" s="227" t="str">
        <f t="shared" si="473"/>
        <v>0</v>
      </c>
      <c r="FS467" s="148" t="str">
        <f t="shared" si="554"/>
        <v/>
      </c>
      <c r="FT467" s="227" t="str">
        <f t="shared" si="555"/>
        <v>0</v>
      </c>
      <c r="FU467" s="416" t="str">
        <f t="shared" si="556"/>
        <v/>
      </c>
      <c r="FW467" s="1160">
        <f t="shared" si="557"/>
        <v>0</v>
      </c>
      <c r="FX467" s="123"/>
      <c r="FY467" s="123"/>
      <c r="FZ467" s="1161"/>
      <c r="GA467" s="34"/>
      <c r="GB467" s="123">
        <f t="shared" si="498"/>
        <v>0</v>
      </c>
      <c r="GC467" s="123">
        <f t="shared" si="499"/>
        <v>0</v>
      </c>
      <c r="GD467" s="69">
        <f t="shared" si="500"/>
        <v>0</v>
      </c>
      <c r="GE467" s="1149" t="str">
        <f t="shared" si="476"/>
        <v/>
      </c>
      <c r="GF467" s="1149" t="str">
        <f t="shared" si="477"/>
        <v/>
      </c>
      <c r="GG467" s="1149" t="str">
        <f t="shared" si="478"/>
        <v/>
      </c>
      <c r="GH467" s="1149" t="str">
        <f t="shared" si="479"/>
        <v/>
      </c>
      <c r="GI467" s="1149" t="str">
        <f t="shared" si="480"/>
        <v/>
      </c>
      <c r="GJ467" s="1149" t="str">
        <f t="shared" si="481"/>
        <v/>
      </c>
      <c r="GK467" s="1149" t="str">
        <f t="shared" si="482"/>
        <v/>
      </c>
      <c r="GL467" s="1149" t="str">
        <f t="shared" si="483"/>
        <v/>
      </c>
      <c r="GM467" s="1149" t="str">
        <f t="shared" si="484"/>
        <v/>
      </c>
      <c r="GN467" s="1149" t="str">
        <f t="shared" si="485"/>
        <v/>
      </c>
      <c r="GO467" s="1149" t="str">
        <f t="shared" si="486"/>
        <v/>
      </c>
      <c r="GP467" s="1149" t="str">
        <f t="shared" si="487"/>
        <v/>
      </c>
      <c r="GQ467" s="1149" t="str">
        <f t="shared" si="488"/>
        <v/>
      </c>
      <c r="GR467" s="1149" t="str">
        <f t="shared" si="489"/>
        <v/>
      </c>
      <c r="GS467" s="1149" t="str">
        <f t="shared" si="490"/>
        <v/>
      </c>
      <c r="GT467" s="1149">
        <f t="shared" si="501"/>
        <v>0</v>
      </c>
      <c r="GU467" s="1149">
        <f t="shared" si="502"/>
        <v>0</v>
      </c>
      <c r="GV467" s="1149">
        <f t="shared" si="503"/>
        <v>0</v>
      </c>
      <c r="GW467" s="1149" t="b">
        <f t="shared" si="504"/>
        <v>0</v>
      </c>
      <c r="GX467" s="1149" t="b">
        <f t="shared" si="505"/>
        <v>0</v>
      </c>
      <c r="GY467" s="1149" t="b">
        <f t="shared" si="506"/>
        <v>0</v>
      </c>
      <c r="GZ467" s="1149" t="str">
        <f t="shared" si="528"/>
        <v/>
      </c>
      <c r="HB467" s="1149" t="str">
        <f t="shared" si="507"/>
        <v/>
      </c>
      <c r="HC467" s="1149" t="str">
        <f t="shared" si="508"/>
        <v/>
      </c>
      <c r="HD467" s="1149" t="str">
        <f t="shared" si="509"/>
        <v/>
      </c>
      <c r="HE467" s="1149" t="str">
        <f t="shared" si="510"/>
        <v/>
      </c>
      <c r="HF467" s="1149" t="str">
        <f t="shared" si="511"/>
        <v/>
      </c>
      <c r="HG467" s="1149" t="str">
        <f t="shared" si="512"/>
        <v/>
      </c>
      <c r="HH467" s="1149" t="str">
        <f t="shared" si="513"/>
        <v/>
      </c>
      <c r="HI467" s="1149" t="str">
        <f t="shared" si="514"/>
        <v/>
      </c>
      <c r="HJ467" s="1149" t="str">
        <f t="shared" si="515"/>
        <v/>
      </c>
      <c r="HK467" s="1149" t="str">
        <f t="shared" si="516"/>
        <v/>
      </c>
      <c r="HL467" s="1149" t="str">
        <f t="shared" si="517"/>
        <v/>
      </c>
      <c r="HM467" s="1149" t="str">
        <f t="shared" si="518"/>
        <v/>
      </c>
      <c r="HN467" s="1149" t="str">
        <f t="shared" si="519"/>
        <v/>
      </c>
      <c r="HO467" s="1149" t="str">
        <f t="shared" si="520"/>
        <v/>
      </c>
      <c r="HP467" s="1149" t="str">
        <f t="shared" si="521"/>
        <v/>
      </c>
      <c r="HQ467" s="1149" t="str">
        <f t="shared" si="522"/>
        <v/>
      </c>
      <c r="HR467" s="1149" t="str">
        <f t="shared" si="523"/>
        <v/>
      </c>
      <c r="HT467" s="1149">
        <f>LEFT(M467,1)*10000+MID(M467,3,LEN(M467)-3)*100+COUNTIF($M$307:M467,M467)</f>
        <v>54201</v>
      </c>
      <c r="HU467" s="1149" t="str">
        <f t="shared" si="524"/>
        <v/>
      </c>
      <c r="HV467" s="1149" t="str">
        <f t="shared" si="525"/>
        <v/>
      </c>
      <c r="HW467" s="1149" t="str">
        <f t="shared" si="526"/>
        <v/>
      </c>
      <c r="HX467" s="1149" t="str">
        <f t="shared" si="527"/>
        <v/>
      </c>
    </row>
    <row r="468" spans="1:232" s="69" customFormat="1" ht="50.15" hidden="1" customHeight="1" thickBot="1">
      <c r="A468" s="645"/>
      <c r="B468" s="645"/>
      <c r="C468" s="645"/>
      <c r="D468" s="645"/>
      <c r="E468" s="646"/>
      <c r="F468" s="381"/>
      <c r="G468" s="381"/>
      <c r="H468" s="381"/>
      <c r="J468" s="80"/>
      <c r="K468" s="89"/>
      <c r="L468" s="89"/>
      <c r="M468" s="2326" t="s">
        <v>2583</v>
      </c>
      <c r="N468" s="2326"/>
      <c r="O468" s="2326"/>
      <c r="P468" s="2100"/>
      <c r="Q468" s="2100"/>
      <c r="R468" s="2029"/>
      <c r="S468" s="2029"/>
      <c r="T468" s="2029"/>
      <c r="U468" s="1899"/>
      <c r="V468" s="1899"/>
      <c r="W468" s="1899"/>
      <c r="X468" s="1899"/>
      <c r="Y468" s="1899"/>
      <c r="Z468" s="1899"/>
      <c r="AA468" s="1899"/>
      <c r="AB468" s="1899"/>
      <c r="AC468" s="1899"/>
      <c r="AD468" s="1899"/>
      <c r="AE468" s="1899"/>
      <c r="AF468" s="1898"/>
      <c r="AG468" s="1898"/>
      <c r="AH468" s="1898"/>
      <c r="AI468" s="1898"/>
      <c r="AJ468" s="1898"/>
      <c r="AK468" s="1898"/>
      <c r="AL468" s="1898"/>
      <c r="AM468" s="1898"/>
      <c r="AN468" s="1898"/>
      <c r="AO468" s="1898"/>
      <c r="AP468" s="1898"/>
      <c r="AQ468" s="1898"/>
      <c r="AR468" s="1910"/>
      <c r="AS468" s="1910"/>
      <c r="AT468" s="1993"/>
      <c r="AU468" s="1993"/>
      <c r="AV468" s="1993"/>
      <c r="AW468" s="1993"/>
      <c r="AX468" s="1993"/>
      <c r="AY468" s="1993"/>
      <c r="AZ468" s="1993"/>
      <c r="BA468" s="1993"/>
      <c r="BB468" s="1993"/>
      <c r="BC468" s="1993"/>
      <c r="BD468" s="1993"/>
      <c r="BE468" s="1993"/>
      <c r="BF468" s="1993"/>
      <c r="BG468" s="1993"/>
      <c r="BH468" s="1993"/>
      <c r="BI468" s="1993"/>
      <c r="BJ468" s="1993"/>
      <c r="BK468" s="1993"/>
      <c r="BL468" s="1993"/>
      <c r="BM468" s="1993"/>
      <c r="BN468" s="1993"/>
      <c r="BO468" s="1993"/>
      <c r="BP468" s="1993"/>
      <c r="BQ468" s="1993"/>
      <c r="BR468" s="1993"/>
      <c r="BS468" s="1895"/>
      <c r="BT468" s="1895"/>
      <c r="BU468" s="1895"/>
      <c r="BV468" s="1889"/>
      <c r="BW468" s="1889"/>
      <c r="BX468" s="1889"/>
      <c r="BY468" s="1889"/>
      <c r="BZ468" s="1896"/>
      <c r="CA468" s="1896"/>
      <c r="CB468" s="2091" t="str">
        <f t="shared" si="532"/>
        <v/>
      </c>
      <c r="CC468" s="2092"/>
      <c r="CD468" s="2092"/>
      <c r="CE468" s="2092"/>
      <c r="CF468" s="2092"/>
      <c r="CG468" s="2092"/>
      <c r="CH468" s="2092"/>
      <c r="CI468" s="2092"/>
      <c r="CJ468" s="2092"/>
      <c r="CK468" s="2092"/>
      <c r="CL468" s="2092"/>
      <c r="CM468" s="2092"/>
      <c r="CN468" s="2092"/>
      <c r="CO468" s="2092"/>
      <c r="CP468" s="2092"/>
      <c r="CQ468" s="2092"/>
      <c r="CR468" s="2092"/>
      <c r="CS468" s="2092"/>
      <c r="CT468" s="2092"/>
      <c r="CU468" s="2093"/>
      <c r="CV468" s="2360" t="str">
        <f t="shared" si="533"/>
        <v/>
      </c>
      <c r="CW468" s="2360"/>
      <c r="CX468" s="2360"/>
      <c r="CY468" s="2360"/>
      <c r="CZ468" s="2360"/>
      <c r="DA468" s="2360"/>
      <c r="DC468" s="600" t="str">
        <f t="shared" si="534"/>
        <v/>
      </c>
      <c r="DD468" s="381"/>
      <c r="DF468" s="34"/>
      <c r="DG468" s="34"/>
      <c r="DH468" s="34"/>
      <c r="DI468" s="34"/>
      <c r="DJ468" s="858" t="s">
        <v>5637</v>
      </c>
      <c r="DK468" s="1707" t="str">
        <f t="shared" si="491"/>
        <v/>
      </c>
      <c r="DL468" s="1692" t="str">
        <f t="shared" si="492"/>
        <v/>
      </c>
      <c r="DM468" s="1694">
        <f t="shared" si="447"/>
        <v>0</v>
      </c>
      <c r="DN468" s="476">
        <f t="shared" si="535"/>
        <v>0</v>
      </c>
      <c r="DO468" s="476">
        <f t="shared" si="536"/>
        <v>0</v>
      </c>
      <c r="DP468" s="477">
        <f t="shared" si="537"/>
        <v>0</v>
      </c>
      <c r="DQ468" s="123" t="s">
        <v>2598</v>
      </c>
      <c r="DR468" s="475">
        <f t="shared" si="538"/>
        <v>0</v>
      </c>
      <c r="DS468" s="221">
        <f t="shared" si="539"/>
        <v>0</v>
      </c>
      <c r="DT468" s="480" t="str">
        <f t="shared" si="540"/>
        <v/>
      </c>
      <c r="DU468" s="232" t="str">
        <f t="shared" si="454"/>
        <v/>
      </c>
      <c r="DV468" s="454" t="str">
        <f>IF($DT468="要是正",MAX($DV$422:DV467)+1,"")</f>
        <v/>
      </c>
      <c r="DW468" s="32" t="str">
        <f t="shared" si="541"/>
        <v/>
      </c>
      <c r="DX468" s="467" t="str">
        <f t="shared" si="456"/>
        <v/>
      </c>
      <c r="DY468" s="468" t="str">
        <f t="shared" si="542"/>
        <v/>
      </c>
      <c r="DZ468" s="469" t="str">
        <f t="shared" si="543"/>
        <v/>
      </c>
      <c r="EA468" s="466" t="str">
        <f t="shared" si="459"/>
        <v/>
      </c>
      <c r="EB468" s="234" t="str">
        <f t="shared" si="460"/>
        <v/>
      </c>
      <c r="EC468" s="227" t="str">
        <f t="shared" si="461"/>
        <v>0</v>
      </c>
      <c r="ED468" s="148" t="str">
        <f t="shared" si="544"/>
        <v/>
      </c>
      <c r="EE468" s="227" t="str">
        <f t="shared" si="545"/>
        <v>0</v>
      </c>
      <c r="EF468" s="130" t="str">
        <f t="shared" si="546"/>
        <v/>
      </c>
      <c r="EG468" s="204" t="str">
        <f t="shared" si="463"/>
        <v/>
      </c>
      <c r="EH468" s="134" t="str">
        <f t="shared" si="464"/>
        <v>0</v>
      </c>
      <c r="EI468" s="148" t="str">
        <f t="shared" si="547"/>
        <v/>
      </c>
      <c r="EJ468" s="227" t="str">
        <f t="shared" si="548"/>
        <v>0</v>
      </c>
      <c r="EK468" s="451" t="str">
        <f t="shared" si="549"/>
        <v/>
      </c>
      <c r="EL468" s="232" t="e">
        <f t="shared" si="550"/>
        <v>#N/A</v>
      </c>
      <c r="EM468" s="233" t="e">
        <f t="shared" si="551"/>
        <v>#N/A</v>
      </c>
      <c r="EN468" s="454" t="e">
        <f t="shared" si="552"/>
        <v>#N/A</v>
      </c>
      <c r="FK468" s="597" t="str">
        <f t="shared" si="469"/>
        <v/>
      </c>
      <c r="FL468" s="597" t="str">
        <f t="shared" si="530"/>
        <v/>
      </c>
      <c r="FM468" s="597" t="str">
        <f t="shared" si="531"/>
        <v/>
      </c>
      <c r="FN468" s="597">
        <f t="shared" si="553"/>
        <v>0</v>
      </c>
      <c r="FO468" s="1163" t="str">
        <f t="shared" si="471"/>
        <v/>
      </c>
      <c r="FQ468" s="234" t="str">
        <f t="shared" si="472"/>
        <v/>
      </c>
      <c r="FR468" s="227" t="str">
        <f t="shared" si="473"/>
        <v>0</v>
      </c>
      <c r="FS468" s="148" t="str">
        <f t="shared" si="554"/>
        <v/>
      </c>
      <c r="FT468" s="227" t="str">
        <f t="shared" si="555"/>
        <v>0</v>
      </c>
      <c r="FU468" s="416" t="str">
        <f t="shared" si="556"/>
        <v/>
      </c>
      <c r="FW468" s="1160">
        <f t="shared" si="557"/>
        <v>0</v>
      </c>
      <c r="FX468" s="123"/>
      <c r="FY468" s="123"/>
      <c r="FZ468" s="1161"/>
      <c r="GA468" s="34"/>
      <c r="GB468" s="123">
        <f t="shared" si="498"/>
        <v>0</v>
      </c>
      <c r="GC468" s="123">
        <f t="shared" si="499"/>
        <v>0</v>
      </c>
      <c r="GD468" s="69">
        <f t="shared" si="500"/>
        <v>0</v>
      </c>
      <c r="GE468" s="1149" t="str">
        <f t="shared" si="476"/>
        <v/>
      </c>
      <c r="GF468" s="1149" t="str">
        <f t="shared" si="477"/>
        <v/>
      </c>
      <c r="GG468" s="1149" t="str">
        <f t="shared" si="478"/>
        <v/>
      </c>
      <c r="GH468" s="1149" t="str">
        <f t="shared" si="479"/>
        <v/>
      </c>
      <c r="GI468" s="1149" t="str">
        <f t="shared" si="480"/>
        <v/>
      </c>
      <c r="GJ468" s="1149" t="str">
        <f t="shared" si="481"/>
        <v/>
      </c>
      <c r="GK468" s="1149" t="str">
        <f t="shared" si="482"/>
        <v/>
      </c>
      <c r="GL468" s="1149" t="str">
        <f t="shared" si="483"/>
        <v/>
      </c>
      <c r="GM468" s="1149" t="str">
        <f t="shared" si="484"/>
        <v/>
      </c>
      <c r="GN468" s="1149" t="str">
        <f t="shared" si="485"/>
        <v/>
      </c>
      <c r="GO468" s="1149" t="str">
        <f t="shared" si="486"/>
        <v/>
      </c>
      <c r="GP468" s="1149" t="str">
        <f t="shared" si="487"/>
        <v/>
      </c>
      <c r="GQ468" s="1149" t="str">
        <f t="shared" si="488"/>
        <v/>
      </c>
      <c r="GR468" s="1149" t="str">
        <f t="shared" si="489"/>
        <v/>
      </c>
      <c r="GS468" s="1149" t="str">
        <f t="shared" si="490"/>
        <v/>
      </c>
      <c r="GT468" s="1149">
        <f t="shared" si="501"/>
        <v>0</v>
      </c>
      <c r="GU468" s="1149">
        <f t="shared" si="502"/>
        <v>0</v>
      </c>
      <c r="GV468" s="1149">
        <f t="shared" si="503"/>
        <v>0</v>
      </c>
      <c r="GW468" s="1149" t="b">
        <f t="shared" si="504"/>
        <v>0</v>
      </c>
      <c r="GX468" s="1149" t="b">
        <f t="shared" si="505"/>
        <v>0</v>
      </c>
      <c r="GY468" s="1149" t="b">
        <f t="shared" si="506"/>
        <v>0</v>
      </c>
      <c r="GZ468" s="1149" t="str">
        <f t="shared" si="528"/>
        <v/>
      </c>
      <c r="HB468" s="1149" t="str">
        <f t="shared" si="507"/>
        <v/>
      </c>
      <c r="HC468" s="1149" t="str">
        <f t="shared" si="508"/>
        <v/>
      </c>
      <c r="HD468" s="1149" t="str">
        <f t="shared" si="509"/>
        <v/>
      </c>
      <c r="HE468" s="1149" t="str">
        <f t="shared" si="510"/>
        <v/>
      </c>
      <c r="HF468" s="1149" t="str">
        <f t="shared" si="511"/>
        <v/>
      </c>
      <c r="HG468" s="1149" t="str">
        <f t="shared" si="512"/>
        <v/>
      </c>
      <c r="HH468" s="1149" t="str">
        <f t="shared" si="513"/>
        <v/>
      </c>
      <c r="HI468" s="1149" t="str">
        <f t="shared" si="514"/>
        <v/>
      </c>
      <c r="HJ468" s="1149" t="str">
        <f t="shared" si="515"/>
        <v/>
      </c>
      <c r="HK468" s="1149" t="str">
        <f t="shared" si="516"/>
        <v/>
      </c>
      <c r="HL468" s="1149" t="str">
        <f t="shared" si="517"/>
        <v/>
      </c>
      <c r="HM468" s="1149" t="str">
        <f t="shared" si="518"/>
        <v/>
      </c>
      <c r="HN468" s="1149" t="str">
        <f t="shared" si="519"/>
        <v/>
      </c>
      <c r="HO468" s="1149" t="str">
        <f t="shared" si="520"/>
        <v/>
      </c>
      <c r="HP468" s="1149" t="str">
        <f t="shared" si="521"/>
        <v/>
      </c>
      <c r="HQ468" s="1149" t="str">
        <f t="shared" si="522"/>
        <v/>
      </c>
      <c r="HR468" s="1149" t="str">
        <f t="shared" si="523"/>
        <v/>
      </c>
      <c r="HT468" s="1149">
        <f>LEFT(M468,1)*10000+MID(M468,3,LEN(M468)-3)*100+COUNTIF($M$307:M468,M468)</f>
        <v>54301</v>
      </c>
      <c r="HU468" s="1149" t="str">
        <f t="shared" si="524"/>
        <v/>
      </c>
      <c r="HV468" s="1149" t="str">
        <f t="shared" si="525"/>
        <v/>
      </c>
      <c r="HW468" s="1149" t="str">
        <f t="shared" si="526"/>
        <v/>
      </c>
      <c r="HX468" s="1149" t="str">
        <f t="shared" si="527"/>
        <v/>
      </c>
    </row>
    <row r="469" spans="1:232" s="69" customFormat="1" ht="50.15" hidden="1" customHeight="1" thickBot="1">
      <c r="A469" s="645"/>
      <c r="B469" s="645"/>
      <c r="C469" s="645"/>
      <c r="D469" s="645"/>
      <c r="E469" s="646"/>
      <c r="F469" s="381"/>
      <c r="G469" s="381"/>
      <c r="H469" s="381"/>
      <c r="J469" s="80"/>
      <c r="K469" s="89"/>
      <c r="L469" s="89"/>
      <c r="M469" s="2326" t="s">
        <v>2584</v>
      </c>
      <c r="N469" s="2326"/>
      <c r="O469" s="2326"/>
      <c r="P469" s="2100"/>
      <c r="Q469" s="2100"/>
      <c r="R469" s="2029"/>
      <c r="S469" s="2029"/>
      <c r="T469" s="2029"/>
      <c r="U469" s="1899"/>
      <c r="V469" s="1899"/>
      <c r="W469" s="1899"/>
      <c r="X469" s="1899"/>
      <c r="Y469" s="1899"/>
      <c r="Z469" s="1899"/>
      <c r="AA469" s="1899"/>
      <c r="AB469" s="1899"/>
      <c r="AC469" s="1899"/>
      <c r="AD469" s="1899"/>
      <c r="AE469" s="1899"/>
      <c r="AF469" s="1898"/>
      <c r="AG469" s="1898"/>
      <c r="AH469" s="1898"/>
      <c r="AI469" s="1898"/>
      <c r="AJ469" s="1898"/>
      <c r="AK469" s="1898"/>
      <c r="AL469" s="1898"/>
      <c r="AM469" s="1898"/>
      <c r="AN469" s="1898"/>
      <c r="AO469" s="1898"/>
      <c r="AP469" s="1898"/>
      <c r="AQ469" s="1898"/>
      <c r="AR469" s="1910"/>
      <c r="AS469" s="1910"/>
      <c r="AT469" s="1993"/>
      <c r="AU469" s="1993"/>
      <c r="AV469" s="1993"/>
      <c r="AW469" s="1993"/>
      <c r="AX469" s="1993"/>
      <c r="AY469" s="1993"/>
      <c r="AZ469" s="1993"/>
      <c r="BA469" s="1993"/>
      <c r="BB469" s="1993"/>
      <c r="BC469" s="1993"/>
      <c r="BD469" s="1993"/>
      <c r="BE469" s="1993"/>
      <c r="BF469" s="1993"/>
      <c r="BG469" s="1993"/>
      <c r="BH469" s="1993"/>
      <c r="BI469" s="1993"/>
      <c r="BJ469" s="1993"/>
      <c r="BK469" s="1993"/>
      <c r="BL469" s="1993"/>
      <c r="BM469" s="1993"/>
      <c r="BN469" s="1993"/>
      <c r="BO469" s="1993"/>
      <c r="BP469" s="1993"/>
      <c r="BQ469" s="1993"/>
      <c r="BR469" s="1993"/>
      <c r="BS469" s="1895"/>
      <c r="BT469" s="1895"/>
      <c r="BU469" s="1895"/>
      <c r="BV469" s="1889"/>
      <c r="BW469" s="1889"/>
      <c r="BX469" s="1889"/>
      <c r="BY469" s="1889"/>
      <c r="BZ469" s="1896"/>
      <c r="CA469" s="1896"/>
      <c r="CB469" s="2091" t="str">
        <f t="shared" si="532"/>
        <v/>
      </c>
      <c r="CC469" s="2092"/>
      <c r="CD469" s="2092"/>
      <c r="CE469" s="2092"/>
      <c r="CF469" s="2092"/>
      <c r="CG469" s="2092"/>
      <c r="CH469" s="2092"/>
      <c r="CI469" s="2092"/>
      <c r="CJ469" s="2092"/>
      <c r="CK469" s="2092"/>
      <c r="CL469" s="2092"/>
      <c r="CM469" s="2092"/>
      <c r="CN469" s="2092"/>
      <c r="CO469" s="2092"/>
      <c r="CP469" s="2092"/>
      <c r="CQ469" s="2092"/>
      <c r="CR469" s="2092"/>
      <c r="CS469" s="2092"/>
      <c r="CT469" s="2092"/>
      <c r="CU469" s="2093"/>
      <c r="CV469" s="2360" t="str">
        <f t="shared" si="533"/>
        <v/>
      </c>
      <c r="CW469" s="2360"/>
      <c r="CX469" s="2360"/>
      <c r="CY469" s="2360"/>
      <c r="CZ469" s="2360"/>
      <c r="DA469" s="2360"/>
      <c r="DC469" s="601" t="str">
        <f t="shared" si="534"/>
        <v/>
      </c>
      <c r="DD469" s="381"/>
      <c r="DF469" s="34"/>
      <c r="DG469" s="34"/>
      <c r="DH469" s="34"/>
      <c r="DI469" s="34"/>
      <c r="DJ469" s="858" t="s">
        <v>5637</v>
      </c>
      <c r="DK469" s="1707" t="str">
        <f t="shared" si="491"/>
        <v/>
      </c>
      <c r="DL469" s="1692" t="str">
        <f t="shared" si="492"/>
        <v/>
      </c>
      <c r="DM469" s="1694">
        <f t="shared" si="447"/>
        <v>0</v>
      </c>
      <c r="DN469" s="476">
        <f t="shared" si="535"/>
        <v>0</v>
      </c>
      <c r="DO469" s="476">
        <f t="shared" si="536"/>
        <v>0</v>
      </c>
      <c r="DP469" s="477">
        <f t="shared" si="537"/>
        <v>0</v>
      </c>
      <c r="DQ469" s="123" t="s">
        <v>2599</v>
      </c>
      <c r="DR469" s="475">
        <f t="shared" si="538"/>
        <v>0</v>
      </c>
      <c r="DS469" s="221">
        <f t="shared" si="539"/>
        <v>0</v>
      </c>
      <c r="DT469" s="480" t="str">
        <f t="shared" si="540"/>
        <v/>
      </c>
      <c r="DU469" s="232" t="str">
        <f t="shared" si="454"/>
        <v/>
      </c>
      <c r="DV469" s="454" t="str">
        <f>IF($DT469="要是正",MAX($DV$422:DV468)+1,"")</f>
        <v/>
      </c>
      <c r="DW469" s="32" t="str">
        <f t="shared" si="541"/>
        <v/>
      </c>
      <c r="DX469" s="467" t="str">
        <f t="shared" si="456"/>
        <v/>
      </c>
      <c r="DY469" s="468" t="str">
        <f t="shared" si="542"/>
        <v/>
      </c>
      <c r="DZ469" s="469" t="str">
        <f t="shared" si="543"/>
        <v/>
      </c>
      <c r="EA469" s="466" t="str">
        <f t="shared" si="459"/>
        <v/>
      </c>
      <c r="EB469" s="234" t="str">
        <f t="shared" si="460"/>
        <v/>
      </c>
      <c r="EC469" s="227" t="str">
        <f t="shared" si="461"/>
        <v>0</v>
      </c>
      <c r="ED469" s="148" t="str">
        <f t="shared" si="544"/>
        <v/>
      </c>
      <c r="EE469" s="227" t="str">
        <f t="shared" si="545"/>
        <v>0</v>
      </c>
      <c r="EF469" s="130" t="str">
        <f t="shared" si="546"/>
        <v/>
      </c>
      <c r="EG469" s="204" t="str">
        <f t="shared" si="463"/>
        <v/>
      </c>
      <c r="EH469" s="134" t="str">
        <f t="shared" si="464"/>
        <v>0</v>
      </c>
      <c r="EI469" s="148" t="str">
        <f t="shared" si="547"/>
        <v/>
      </c>
      <c r="EJ469" s="227" t="str">
        <f t="shared" si="548"/>
        <v>0</v>
      </c>
      <c r="EK469" s="451" t="str">
        <f t="shared" si="549"/>
        <v/>
      </c>
      <c r="EL469" s="232" t="e">
        <f t="shared" si="550"/>
        <v>#N/A</v>
      </c>
      <c r="EM469" s="233" t="e">
        <f t="shared" si="551"/>
        <v>#N/A</v>
      </c>
      <c r="EN469" s="454" t="e">
        <f t="shared" si="552"/>
        <v>#N/A</v>
      </c>
      <c r="FK469" s="597" t="str">
        <f t="shared" si="469"/>
        <v/>
      </c>
      <c r="FL469" s="597" t="str">
        <f t="shared" si="530"/>
        <v/>
      </c>
      <c r="FM469" s="597" t="str">
        <f t="shared" si="531"/>
        <v/>
      </c>
      <c r="FN469" s="597">
        <f t="shared" si="553"/>
        <v>0</v>
      </c>
      <c r="FO469" s="1163" t="str">
        <f t="shared" si="471"/>
        <v/>
      </c>
      <c r="FQ469" s="234" t="str">
        <f t="shared" si="472"/>
        <v/>
      </c>
      <c r="FR469" s="227" t="str">
        <f t="shared" si="473"/>
        <v>0</v>
      </c>
      <c r="FS469" s="148" t="str">
        <f t="shared" si="554"/>
        <v/>
      </c>
      <c r="FT469" s="227" t="str">
        <f t="shared" si="555"/>
        <v>0</v>
      </c>
      <c r="FU469" s="416" t="str">
        <f t="shared" si="556"/>
        <v/>
      </c>
      <c r="FW469" s="1160">
        <f t="shared" si="557"/>
        <v>0</v>
      </c>
      <c r="FX469" s="123"/>
      <c r="FY469" s="123"/>
      <c r="FZ469" s="1161"/>
      <c r="GA469" s="34"/>
      <c r="GB469" s="123">
        <f t="shared" si="498"/>
        <v>0</v>
      </c>
      <c r="GC469" s="123">
        <f t="shared" si="499"/>
        <v>0</v>
      </c>
      <c r="GD469" s="69">
        <f t="shared" si="500"/>
        <v>0</v>
      </c>
      <c r="GE469" s="1149" t="str">
        <f t="shared" si="476"/>
        <v/>
      </c>
      <c r="GF469" s="1149" t="str">
        <f t="shared" si="477"/>
        <v/>
      </c>
      <c r="GG469" s="1149" t="str">
        <f t="shared" si="478"/>
        <v/>
      </c>
      <c r="GH469" s="1149" t="str">
        <f t="shared" si="479"/>
        <v/>
      </c>
      <c r="GI469" s="1149" t="str">
        <f t="shared" si="480"/>
        <v/>
      </c>
      <c r="GJ469" s="1149" t="str">
        <f t="shared" si="481"/>
        <v/>
      </c>
      <c r="GK469" s="1149" t="str">
        <f t="shared" si="482"/>
        <v/>
      </c>
      <c r="GL469" s="1149" t="str">
        <f t="shared" si="483"/>
        <v/>
      </c>
      <c r="GM469" s="1149" t="str">
        <f t="shared" si="484"/>
        <v/>
      </c>
      <c r="GN469" s="1149" t="str">
        <f t="shared" si="485"/>
        <v/>
      </c>
      <c r="GO469" s="1149" t="str">
        <f t="shared" si="486"/>
        <v/>
      </c>
      <c r="GP469" s="1149" t="str">
        <f t="shared" si="487"/>
        <v/>
      </c>
      <c r="GQ469" s="1149" t="str">
        <f t="shared" si="488"/>
        <v/>
      </c>
      <c r="GR469" s="1149" t="str">
        <f t="shared" si="489"/>
        <v/>
      </c>
      <c r="GS469" s="1149" t="str">
        <f t="shared" si="490"/>
        <v/>
      </c>
      <c r="GT469" s="1149">
        <f t="shared" si="501"/>
        <v>0</v>
      </c>
      <c r="GU469" s="1149">
        <f t="shared" si="502"/>
        <v>0</v>
      </c>
      <c r="GV469" s="1149">
        <f t="shared" si="503"/>
        <v>0</v>
      </c>
      <c r="GW469" s="1149" t="b">
        <f t="shared" si="504"/>
        <v>0</v>
      </c>
      <c r="GX469" s="1149" t="b">
        <f t="shared" si="505"/>
        <v>0</v>
      </c>
      <c r="GY469" s="1149" t="b">
        <f t="shared" si="506"/>
        <v>0</v>
      </c>
      <c r="GZ469" s="1149" t="str">
        <f t="shared" si="528"/>
        <v/>
      </c>
      <c r="HB469" s="1149" t="str">
        <f t="shared" si="507"/>
        <v/>
      </c>
      <c r="HC469" s="1149" t="str">
        <f t="shared" si="508"/>
        <v/>
      </c>
      <c r="HD469" s="1149" t="str">
        <f t="shared" si="509"/>
        <v/>
      </c>
      <c r="HE469" s="1149" t="str">
        <f t="shared" si="510"/>
        <v/>
      </c>
      <c r="HF469" s="1149" t="str">
        <f t="shared" si="511"/>
        <v/>
      </c>
      <c r="HG469" s="1149" t="str">
        <f t="shared" si="512"/>
        <v/>
      </c>
      <c r="HH469" s="1149" t="str">
        <f t="shared" si="513"/>
        <v/>
      </c>
      <c r="HI469" s="1149" t="str">
        <f t="shared" si="514"/>
        <v/>
      </c>
      <c r="HJ469" s="1149" t="str">
        <f t="shared" si="515"/>
        <v/>
      </c>
      <c r="HK469" s="1149" t="str">
        <f t="shared" si="516"/>
        <v/>
      </c>
      <c r="HL469" s="1149" t="str">
        <f t="shared" si="517"/>
        <v/>
      </c>
      <c r="HM469" s="1149" t="str">
        <f t="shared" si="518"/>
        <v/>
      </c>
      <c r="HN469" s="1149" t="str">
        <f t="shared" si="519"/>
        <v/>
      </c>
      <c r="HO469" s="1149" t="str">
        <f t="shared" si="520"/>
        <v/>
      </c>
      <c r="HP469" s="1149" t="str">
        <f t="shared" si="521"/>
        <v/>
      </c>
      <c r="HQ469" s="1149" t="str">
        <f t="shared" si="522"/>
        <v/>
      </c>
      <c r="HR469" s="1149" t="str">
        <f t="shared" si="523"/>
        <v/>
      </c>
      <c r="HT469" s="1149">
        <f>LEFT(M469,1)*10000+MID(M469,3,LEN(M469)-3)*100+COUNTIF($M$307:M469,M469)</f>
        <v>54401</v>
      </c>
      <c r="HU469" s="1149" t="str">
        <f t="shared" si="524"/>
        <v/>
      </c>
      <c r="HV469" s="1149" t="str">
        <f t="shared" si="525"/>
        <v/>
      </c>
      <c r="HW469" s="1149" t="str">
        <f t="shared" si="526"/>
        <v/>
      </c>
      <c r="HX469" s="1149" t="str">
        <f t="shared" si="527"/>
        <v/>
      </c>
    </row>
    <row r="470" spans="1:232" s="69" customFormat="1" ht="50.15" hidden="1" customHeight="1" thickBot="1">
      <c r="A470" s="645"/>
      <c r="B470" s="645"/>
      <c r="C470" s="645"/>
      <c r="D470" s="645"/>
      <c r="E470" s="646"/>
      <c r="F470" s="381"/>
      <c r="G470" s="381"/>
      <c r="H470" s="381"/>
      <c r="J470" s="80"/>
      <c r="K470" s="89"/>
      <c r="L470" s="89"/>
      <c r="M470" s="2326" t="s">
        <v>2585</v>
      </c>
      <c r="N470" s="2326"/>
      <c r="O470" s="2326"/>
      <c r="P470" s="2101"/>
      <c r="Q470" s="2101"/>
      <c r="R470" s="2028"/>
      <c r="S470" s="2028"/>
      <c r="T470" s="2028"/>
      <c r="U470" s="2029"/>
      <c r="V470" s="2029"/>
      <c r="W470" s="2029"/>
      <c r="X470" s="2029"/>
      <c r="Y470" s="2029"/>
      <c r="Z470" s="2029"/>
      <c r="AA470" s="2029"/>
      <c r="AB470" s="2029"/>
      <c r="AC470" s="2029"/>
      <c r="AD470" s="2029"/>
      <c r="AE470" s="2029"/>
      <c r="AF470" s="2114"/>
      <c r="AG470" s="2114"/>
      <c r="AH470" s="2114"/>
      <c r="AI470" s="2114"/>
      <c r="AJ470" s="2114"/>
      <c r="AK470" s="2114"/>
      <c r="AL470" s="2114"/>
      <c r="AM470" s="2114"/>
      <c r="AN470" s="2114"/>
      <c r="AO470" s="2114"/>
      <c r="AP470" s="2114"/>
      <c r="AQ470" s="2114"/>
      <c r="AR470" s="2110"/>
      <c r="AS470" s="2110"/>
      <c r="AT470" s="1996"/>
      <c r="AU470" s="1996"/>
      <c r="AV470" s="1996"/>
      <c r="AW470" s="1996"/>
      <c r="AX470" s="1996"/>
      <c r="AY470" s="1996"/>
      <c r="AZ470" s="1996"/>
      <c r="BA470" s="1996"/>
      <c r="BB470" s="1996"/>
      <c r="BC470" s="1996"/>
      <c r="BD470" s="1996"/>
      <c r="BE470" s="1996"/>
      <c r="BF470" s="1996"/>
      <c r="BG470" s="1996"/>
      <c r="BH470" s="1996"/>
      <c r="BI470" s="1996"/>
      <c r="BJ470" s="1996"/>
      <c r="BK470" s="1996"/>
      <c r="BL470" s="1996"/>
      <c r="BM470" s="1996"/>
      <c r="BN470" s="1996"/>
      <c r="BO470" s="1996"/>
      <c r="BP470" s="1996"/>
      <c r="BQ470" s="1996"/>
      <c r="BR470" s="1996"/>
      <c r="BS470" s="2126"/>
      <c r="BT470" s="2126"/>
      <c r="BU470" s="2126"/>
      <c r="BV470" s="2089"/>
      <c r="BW470" s="2089"/>
      <c r="BX470" s="2089"/>
      <c r="BY470" s="2089"/>
      <c r="BZ470" s="2090"/>
      <c r="CA470" s="2090"/>
      <c r="CB470" s="2091" t="str">
        <f t="shared" si="532"/>
        <v/>
      </c>
      <c r="CC470" s="2092"/>
      <c r="CD470" s="2092"/>
      <c r="CE470" s="2092"/>
      <c r="CF470" s="2092"/>
      <c r="CG470" s="2092"/>
      <c r="CH470" s="2092"/>
      <c r="CI470" s="2092"/>
      <c r="CJ470" s="2092"/>
      <c r="CK470" s="2092"/>
      <c r="CL470" s="2092"/>
      <c r="CM470" s="2092"/>
      <c r="CN470" s="2092"/>
      <c r="CO470" s="2092"/>
      <c r="CP470" s="2092"/>
      <c r="CQ470" s="2092"/>
      <c r="CR470" s="2092"/>
      <c r="CS470" s="2092"/>
      <c r="CT470" s="2092"/>
      <c r="CU470" s="2093"/>
      <c r="CV470" s="2360" t="str">
        <f t="shared" si="533"/>
        <v/>
      </c>
      <c r="CW470" s="2360"/>
      <c r="CX470" s="2360"/>
      <c r="CY470" s="2360"/>
      <c r="CZ470" s="2360"/>
      <c r="DA470" s="2360"/>
      <c r="DC470" s="601" t="str">
        <f t="shared" si="534"/>
        <v/>
      </c>
      <c r="DD470" s="381"/>
      <c r="DF470" s="34"/>
      <c r="DG470" s="34"/>
      <c r="DH470" s="34"/>
      <c r="DI470" s="34"/>
      <c r="DJ470" s="1699" t="s">
        <v>5637</v>
      </c>
      <c r="DK470" s="1708" t="str">
        <f t="shared" si="491"/>
        <v/>
      </c>
      <c r="DL470" s="1700" t="str">
        <f t="shared" si="492"/>
        <v/>
      </c>
      <c r="DM470" s="1694">
        <f t="shared" si="447"/>
        <v>0</v>
      </c>
      <c r="DN470" s="476">
        <f t="shared" si="535"/>
        <v>0</v>
      </c>
      <c r="DO470" s="476">
        <f t="shared" si="536"/>
        <v>0</v>
      </c>
      <c r="DP470" s="477">
        <f t="shared" si="537"/>
        <v>0</v>
      </c>
      <c r="DQ470" s="123" t="s">
        <v>2600</v>
      </c>
      <c r="DR470" s="475">
        <f t="shared" si="538"/>
        <v>0</v>
      </c>
      <c r="DS470" s="221">
        <f t="shared" si="539"/>
        <v>0</v>
      </c>
      <c r="DT470" s="480" t="str">
        <f t="shared" si="540"/>
        <v/>
      </c>
      <c r="DU470" s="232" t="str">
        <f t="shared" si="454"/>
        <v/>
      </c>
      <c r="DV470" s="454" t="str">
        <f>IF($DT470="要是正",MAX($DV$422:DV469)+1,"")</f>
        <v/>
      </c>
      <c r="DW470" s="32" t="str">
        <f t="shared" si="541"/>
        <v/>
      </c>
      <c r="DX470" s="467" t="str">
        <f t="shared" si="456"/>
        <v/>
      </c>
      <c r="DY470" s="468" t="str">
        <f t="shared" si="542"/>
        <v/>
      </c>
      <c r="DZ470" s="469" t="str">
        <f t="shared" si="543"/>
        <v/>
      </c>
      <c r="EA470" s="466" t="str">
        <f t="shared" si="459"/>
        <v/>
      </c>
      <c r="EB470" s="234" t="str">
        <f t="shared" si="460"/>
        <v/>
      </c>
      <c r="EC470" s="227" t="str">
        <f t="shared" si="461"/>
        <v>0</v>
      </c>
      <c r="ED470" s="148" t="str">
        <f t="shared" si="544"/>
        <v/>
      </c>
      <c r="EE470" s="227" t="str">
        <f t="shared" si="545"/>
        <v>0</v>
      </c>
      <c r="EF470" s="130" t="str">
        <f t="shared" si="546"/>
        <v/>
      </c>
      <c r="EG470" s="204" t="str">
        <f t="shared" si="463"/>
        <v/>
      </c>
      <c r="EH470" s="134" t="str">
        <f t="shared" si="464"/>
        <v>0</v>
      </c>
      <c r="EI470" s="148" t="str">
        <f t="shared" si="547"/>
        <v/>
      </c>
      <c r="EJ470" s="227" t="str">
        <f t="shared" si="548"/>
        <v>0</v>
      </c>
      <c r="EK470" s="451" t="str">
        <f t="shared" si="549"/>
        <v/>
      </c>
      <c r="EL470" s="232" t="e">
        <f t="shared" si="550"/>
        <v>#N/A</v>
      </c>
      <c r="EM470" s="233" t="e">
        <f t="shared" si="551"/>
        <v>#N/A</v>
      </c>
      <c r="EN470" s="454" t="e">
        <f t="shared" si="552"/>
        <v>#N/A</v>
      </c>
      <c r="FK470" s="597" t="str">
        <f t="shared" si="469"/>
        <v/>
      </c>
      <c r="FL470" s="597" t="str">
        <f t="shared" si="530"/>
        <v/>
      </c>
      <c r="FM470" s="597" t="str">
        <f t="shared" si="531"/>
        <v/>
      </c>
      <c r="FN470" s="597">
        <f t="shared" si="553"/>
        <v>0</v>
      </c>
      <c r="FO470" s="1163" t="str">
        <f t="shared" si="471"/>
        <v/>
      </c>
      <c r="FQ470" s="234" t="str">
        <f t="shared" si="472"/>
        <v/>
      </c>
      <c r="FR470" s="227" t="str">
        <f t="shared" si="473"/>
        <v>0</v>
      </c>
      <c r="FS470" s="148" t="str">
        <f t="shared" si="554"/>
        <v/>
      </c>
      <c r="FT470" s="227" t="str">
        <f t="shared" si="555"/>
        <v>0</v>
      </c>
      <c r="FU470" s="416" t="str">
        <f t="shared" si="556"/>
        <v/>
      </c>
      <c r="FW470" s="1160">
        <f t="shared" si="557"/>
        <v>0</v>
      </c>
      <c r="FX470" s="123"/>
      <c r="FY470" s="123"/>
      <c r="FZ470" s="1161"/>
      <c r="GA470" s="34"/>
      <c r="GB470" s="123">
        <f t="shared" si="498"/>
        <v>0</v>
      </c>
      <c r="GC470" s="123">
        <f t="shared" si="499"/>
        <v>0</v>
      </c>
      <c r="GD470" s="69">
        <f t="shared" si="500"/>
        <v>0</v>
      </c>
      <c r="GE470" s="1149" t="str">
        <f t="shared" si="476"/>
        <v/>
      </c>
      <c r="GF470" s="1149" t="str">
        <f t="shared" si="477"/>
        <v/>
      </c>
      <c r="GG470" s="1149" t="str">
        <f t="shared" si="478"/>
        <v/>
      </c>
      <c r="GH470" s="1149" t="str">
        <f t="shared" si="479"/>
        <v/>
      </c>
      <c r="GI470" s="1149" t="str">
        <f t="shared" si="480"/>
        <v/>
      </c>
      <c r="GJ470" s="1149" t="str">
        <f t="shared" si="481"/>
        <v/>
      </c>
      <c r="GK470" s="1149" t="str">
        <f t="shared" si="482"/>
        <v/>
      </c>
      <c r="GL470" s="1149" t="str">
        <f t="shared" si="483"/>
        <v/>
      </c>
      <c r="GM470" s="1149" t="str">
        <f t="shared" si="484"/>
        <v/>
      </c>
      <c r="GN470" s="1149" t="str">
        <f t="shared" si="485"/>
        <v/>
      </c>
      <c r="GO470" s="1149" t="str">
        <f t="shared" si="486"/>
        <v/>
      </c>
      <c r="GP470" s="1149" t="str">
        <f t="shared" si="487"/>
        <v/>
      </c>
      <c r="GQ470" s="1149" t="str">
        <f t="shared" si="488"/>
        <v/>
      </c>
      <c r="GR470" s="1149" t="str">
        <f t="shared" si="489"/>
        <v/>
      </c>
      <c r="GS470" s="1149" t="str">
        <f t="shared" si="490"/>
        <v/>
      </c>
      <c r="GT470" s="1149">
        <f t="shared" si="501"/>
        <v>0</v>
      </c>
      <c r="GU470" s="1149">
        <f t="shared" si="502"/>
        <v>0</v>
      </c>
      <c r="GV470" s="1149">
        <f t="shared" si="503"/>
        <v>0</v>
      </c>
      <c r="GW470" s="1149" t="b">
        <f t="shared" si="504"/>
        <v>0</v>
      </c>
      <c r="GX470" s="1149" t="b">
        <f t="shared" si="505"/>
        <v>0</v>
      </c>
      <c r="GY470" s="1149" t="b">
        <f t="shared" si="506"/>
        <v>0</v>
      </c>
      <c r="GZ470" s="1149" t="str">
        <f t="shared" si="528"/>
        <v/>
      </c>
      <c r="HB470" s="1149" t="str">
        <f t="shared" si="507"/>
        <v/>
      </c>
      <c r="HC470" s="1149" t="str">
        <f t="shared" si="508"/>
        <v/>
      </c>
      <c r="HD470" s="1149" t="str">
        <f t="shared" si="509"/>
        <v/>
      </c>
      <c r="HE470" s="1149" t="str">
        <f t="shared" si="510"/>
        <v/>
      </c>
      <c r="HF470" s="1149" t="str">
        <f t="shared" si="511"/>
        <v/>
      </c>
      <c r="HG470" s="1149" t="str">
        <f t="shared" si="512"/>
        <v/>
      </c>
      <c r="HH470" s="1149" t="str">
        <f t="shared" si="513"/>
        <v/>
      </c>
      <c r="HI470" s="1149" t="str">
        <f t="shared" si="514"/>
        <v/>
      </c>
      <c r="HJ470" s="1149" t="str">
        <f t="shared" si="515"/>
        <v/>
      </c>
      <c r="HK470" s="1149" t="str">
        <f t="shared" si="516"/>
        <v/>
      </c>
      <c r="HL470" s="1149" t="str">
        <f t="shared" si="517"/>
        <v/>
      </c>
      <c r="HM470" s="1149" t="str">
        <f t="shared" si="518"/>
        <v/>
      </c>
      <c r="HN470" s="1149" t="str">
        <f t="shared" si="519"/>
        <v/>
      </c>
      <c r="HO470" s="1149" t="str">
        <f t="shared" si="520"/>
        <v/>
      </c>
      <c r="HP470" s="1149" t="str">
        <f t="shared" si="521"/>
        <v/>
      </c>
      <c r="HQ470" s="1149" t="str">
        <f t="shared" si="522"/>
        <v/>
      </c>
      <c r="HR470" s="1149" t="str">
        <f t="shared" si="523"/>
        <v/>
      </c>
      <c r="HT470" s="1149">
        <f>LEFT(M470,1)*10000+MID(M470,3,LEN(M470)-3)*100+COUNTIF($M$307:M470,M470)</f>
        <v>54501</v>
      </c>
      <c r="HU470" s="1149" t="str">
        <f t="shared" si="524"/>
        <v/>
      </c>
      <c r="HV470" s="1149" t="str">
        <f t="shared" si="525"/>
        <v/>
      </c>
      <c r="HW470" s="1149" t="str">
        <f t="shared" si="526"/>
        <v/>
      </c>
      <c r="HX470" s="1149" t="str">
        <f t="shared" si="527"/>
        <v/>
      </c>
    </row>
    <row r="471" spans="1:232" ht="15" customHeight="1" thickBot="1">
      <c r="A471" s="645"/>
      <c r="B471" s="645"/>
      <c r="C471" s="645"/>
      <c r="D471" s="645"/>
      <c r="E471" s="646"/>
      <c r="J471" s="282"/>
      <c r="K471" s="300"/>
      <c r="L471" s="300"/>
      <c r="M471" s="556"/>
      <c r="N471" s="556"/>
      <c r="O471" s="556"/>
      <c r="P471" s="556"/>
      <c r="Q471" s="556"/>
      <c r="R471" s="556"/>
      <c r="S471" s="556"/>
      <c r="T471" s="556"/>
      <c r="U471" s="556"/>
      <c r="V471" s="556"/>
      <c r="W471" s="556"/>
      <c r="X471" s="556"/>
      <c r="Y471" s="556"/>
      <c r="Z471" s="556"/>
      <c r="AA471" s="556"/>
      <c r="AB471" s="556"/>
      <c r="AC471" s="556"/>
      <c r="AD471" s="556"/>
      <c r="AE471" s="92"/>
      <c r="AF471" s="92"/>
      <c r="AG471" s="92"/>
      <c r="AH471" s="92"/>
      <c r="AI471" s="92"/>
      <c r="AJ471" s="92"/>
      <c r="AK471" s="92"/>
      <c r="AL471" s="92"/>
      <c r="AM471" s="92"/>
      <c r="AN471" s="92"/>
      <c r="AO471" s="92"/>
      <c r="AP471" s="92"/>
      <c r="AQ471" s="92"/>
      <c r="AR471" s="557"/>
      <c r="AS471" s="557"/>
      <c r="AT471" s="92"/>
      <c r="AU471" s="92"/>
      <c r="AV471" s="92"/>
      <c r="AW471" s="92"/>
      <c r="AX471" s="92"/>
      <c r="AY471" s="92"/>
      <c r="AZ471" s="92"/>
      <c r="BA471" s="92"/>
      <c r="BB471" s="92"/>
      <c r="BC471" s="92"/>
      <c r="BD471" s="92"/>
      <c r="BE471" s="92"/>
      <c r="BF471" s="92"/>
      <c r="BG471" s="92"/>
      <c r="BH471" s="92"/>
      <c r="BI471" s="92"/>
      <c r="BJ471" s="92"/>
      <c r="BK471" s="92"/>
      <c r="BL471" s="92"/>
      <c r="BM471" s="92"/>
      <c r="BN471" s="92"/>
      <c r="BO471" s="92"/>
      <c r="BP471" s="92"/>
      <c r="BQ471" s="92"/>
      <c r="BR471" s="92"/>
      <c r="BS471" s="557"/>
      <c r="BT471" s="557"/>
      <c r="BU471" s="745"/>
      <c r="BV471" s="745"/>
      <c r="BW471" s="745"/>
      <c r="BX471" s="745"/>
      <c r="BY471" s="748"/>
      <c r="BZ471" s="748"/>
      <c r="CA471" s="748"/>
      <c r="CB471" s="746"/>
      <c r="CC471" s="746"/>
      <c r="CD471" s="746"/>
      <c r="CE471" s="746"/>
      <c r="CF471" s="746"/>
      <c r="CG471" s="746"/>
      <c r="CH471" s="746"/>
      <c r="CI471" s="746"/>
      <c r="CJ471" s="746"/>
      <c r="CK471" s="746"/>
      <c r="CL471" s="746"/>
      <c r="CM471" s="746"/>
      <c r="CN471" s="746"/>
      <c r="CO471" s="746"/>
      <c r="CP471" s="746"/>
      <c r="CQ471" s="746"/>
      <c r="CR471" s="746"/>
      <c r="CS471" s="746"/>
      <c r="CT471" s="746"/>
      <c r="CU471" s="747"/>
      <c r="CV471" s="2360"/>
      <c r="CW471" s="2360"/>
      <c r="CX471" s="2360"/>
      <c r="CY471" s="2360"/>
      <c r="CZ471" s="2360"/>
      <c r="DA471" s="2360"/>
      <c r="DD471" s="381"/>
      <c r="DE471" s="36"/>
      <c r="DF471" s="36"/>
      <c r="DG471" s="36"/>
      <c r="DH471" s="36"/>
      <c r="DI471" s="36"/>
      <c r="DJ471" s="641"/>
      <c r="DK471" s="1709"/>
      <c r="DL471" s="1685"/>
      <c r="DM471" s="193">
        <f>SUM(DM426:DM470)</f>
        <v>0</v>
      </c>
      <c r="DN471" s="193">
        <f>SUM(DN426:DN470)</f>
        <v>0</v>
      </c>
      <c r="DO471" s="193">
        <f>SUM(DO426:DO470)</f>
        <v>0</v>
      </c>
      <c r="DP471" s="193">
        <f>SUM(DP426:DP470)</f>
        <v>0</v>
      </c>
      <c r="DU471" s="506"/>
      <c r="DX471" s="1972" t="s">
        <v>2427</v>
      </c>
      <c r="DY471" s="924" t="s">
        <v>2430</v>
      </c>
      <c r="DZ471" s="427"/>
      <c r="EA471" s="535"/>
      <c r="EB471" s="1166"/>
      <c r="EC471" s="229"/>
      <c r="ED471" s="207">
        <f>COUNTIF(ED426:ED470,"1")</f>
        <v>0</v>
      </c>
      <c r="EE471" s="206" t="str">
        <f t="array" ref="EE471">INDEX(EE426:EE470,MATCH(MIN(ABS(EE426:EE470-$DP$4)),ABS(EE426:EE470-$DP$4),0))</f>
        <v>0</v>
      </c>
      <c r="EF471" s="207">
        <f>COUNTIF(EF426:EF470,"未定")</f>
        <v>0</v>
      </c>
      <c r="EG471" s="205"/>
      <c r="EH471" s="229"/>
      <c r="EI471" s="207">
        <f>COUNTIF(EI426:EI470,"1")</f>
        <v>0</v>
      </c>
      <c r="EJ471" s="206" t="str">
        <f t="array" ref="EJ471">INDEX(EJ426:EJ470,MATCH(MIN(ABS(EJ426:EJ470-$DP$4)),ABS(EJ426:EJ470-$DP$4),0))</f>
        <v>0</v>
      </c>
      <c r="EK471" s="207">
        <f>COUNTIF(EK426:EK470,"未定")</f>
        <v>0</v>
      </c>
      <c r="FK471" s="632"/>
      <c r="FL471" s="632"/>
      <c r="FM471" s="632"/>
      <c r="FN471" s="632"/>
      <c r="FO471" s="1163"/>
      <c r="FQ471" s="1166"/>
      <c r="FR471" s="229"/>
      <c r="FS471" s="207">
        <f>COUNTIF(FS426:FS470,"1")</f>
        <v>0</v>
      </c>
      <c r="FT471" s="206" t="str">
        <f t="array" ref="FT471">INDEX(FT426:FT470,MATCH(MIN(ABS(FT426:FT470-$DP$4)),ABS(FT426:FT470-$DP$4),0))</f>
        <v>0</v>
      </c>
      <c r="FU471" s="417">
        <f>COUNTIF(FU426:FU470,"未定")</f>
        <v>0</v>
      </c>
      <c r="FV471" s="167"/>
      <c r="FW471" s="1160">
        <f t="shared" si="529"/>
        <v>0</v>
      </c>
      <c r="FX471" s="31"/>
      <c r="FY471" s="31"/>
      <c r="FZ471" s="1164"/>
      <c r="GB471" s="1149">
        <f t="shared" ref="GB471" si="558">IF(SUM(GB426:GB470)&gt;0,1,0)</f>
        <v>0</v>
      </c>
      <c r="GC471" s="1149">
        <f t="shared" ref="GC471" si="559">IF(SUM(GC426:GC470)&gt;0,1,0)</f>
        <v>0</v>
      </c>
      <c r="GD471" s="1149">
        <f>IF(SUM(GD426:GD470)&gt;0,1,0)</f>
        <v>0</v>
      </c>
      <c r="GE471" s="1151"/>
      <c r="GF471" s="1151"/>
      <c r="GG471" s="1151"/>
      <c r="GH471" s="1151"/>
      <c r="GI471" s="1151"/>
      <c r="GJ471" s="1151"/>
      <c r="GK471" s="1151"/>
      <c r="GL471" s="1151"/>
      <c r="GM471" s="1151"/>
      <c r="GN471" s="1151"/>
      <c r="GO471" s="1151"/>
      <c r="GP471" s="1151"/>
      <c r="GQ471" s="1151"/>
      <c r="GR471" s="1151"/>
      <c r="GS471" s="1151"/>
      <c r="GT471" s="1149">
        <f t="shared" ref="GT471:GU471" si="560">IF(SUM(GT426:GT470)&gt;0,1,0)</f>
        <v>0</v>
      </c>
      <c r="GU471" s="1149">
        <f t="shared" si="560"/>
        <v>0</v>
      </c>
      <c r="GV471" s="1149">
        <f>IF(SUM(GV426:GV470)&gt;0,1,0)</f>
        <v>0</v>
      </c>
      <c r="GW471" s="1149" t="b">
        <f t="shared" si="504"/>
        <v>0</v>
      </c>
      <c r="GX471" s="1149" t="b">
        <f t="shared" si="505"/>
        <v>0</v>
      </c>
      <c r="GY471" s="1149" t="b">
        <f t="shared" si="506"/>
        <v>0</v>
      </c>
      <c r="GZ471" s="1149" t="str">
        <f t="shared" si="528"/>
        <v/>
      </c>
      <c r="HB471" s="1151"/>
      <c r="HC471" s="1151"/>
      <c r="HD471" s="1151"/>
      <c r="HE471" s="1151"/>
      <c r="HF471" s="1151"/>
      <c r="HG471" s="1151"/>
      <c r="HH471" s="1151"/>
      <c r="HI471" s="1151"/>
      <c r="HJ471" s="1151"/>
      <c r="HK471" s="1151"/>
      <c r="HL471" s="1151"/>
      <c r="HM471" s="1151"/>
      <c r="HN471" s="1151"/>
      <c r="HO471" s="1151"/>
      <c r="HP471" s="1151"/>
      <c r="HQ471" s="1151"/>
      <c r="HR471" s="1151"/>
      <c r="HT471" s="1702"/>
      <c r="HU471" s="1702"/>
      <c r="HV471" s="1702"/>
      <c r="HW471" s="1702"/>
      <c r="HX471" s="1702"/>
    </row>
    <row r="472" spans="1:232" s="69" customFormat="1" ht="35.15" customHeight="1" thickBot="1">
      <c r="A472" s="645"/>
      <c r="B472" s="645"/>
      <c r="C472" s="645"/>
      <c r="D472" s="645"/>
      <c r="E472" s="646"/>
      <c r="F472" s="381"/>
      <c r="G472" s="381"/>
      <c r="H472" s="381"/>
      <c r="J472" s="80"/>
      <c r="K472" s="89"/>
      <c r="L472" s="89"/>
      <c r="M472" s="2058" t="s">
        <v>144</v>
      </c>
      <c r="N472" s="2058"/>
      <c r="O472" s="2058"/>
      <c r="P472" s="2058"/>
      <c r="Q472" s="2058"/>
      <c r="R472" s="2058"/>
      <c r="S472" s="2058"/>
      <c r="T472" s="2058"/>
      <c r="U472" s="2058"/>
      <c r="V472" s="2058"/>
      <c r="W472" s="2058"/>
      <c r="X472" s="2058"/>
      <c r="Y472" s="2058"/>
      <c r="Z472" s="2058"/>
      <c r="AA472" s="2058"/>
      <c r="AB472" s="2058"/>
      <c r="AC472" s="2058"/>
      <c r="AD472" s="2058"/>
      <c r="AE472" s="2058"/>
      <c r="AF472" s="2058"/>
      <c r="AG472" s="2058"/>
      <c r="AH472" s="2058"/>
      <c r="AI472" s="2058"/>
      <c r="AJ472" s="2058"/>
      <c r="AK472" s="2058"/>
      <c r="AL472" s="2058"/>
      <c r="AM472" s="2058"/>
      <c r="AN472" s="2058"/>
      <c r="AO472" s="2058"/>
      <c r="AP472" s="2058"/>
      <c r="AQ472" s="2058"/>
      <c r="AR472" s="2058"/>
      <c r="AS472" s="2058"/>
      <c r="AT472" s="2058"/>
      <c r="AU472" s="2058"/>
      <c r="AV472" s="2058"/>
      <c r="AW472" s="2058"/>
      <c r="AX472" s="2058"/>
      <c r="AY472" s="2058"/>
      <c r="AZ472" s="2058"/>
      <c r="BA472" s="2058"/>
      <c r="BB472" s="2058"/>
      <c r="BC472" s="2058"/>
      <c r="BD472" s="2058"/>
      <c r="BE472" s="2058"/>
      <c r="BF472" s="2058"/>
      <c r="BG472" s="2058"/>
      <c r="BH472" s="2058"/>
      <c r="BI472" s="2058"/>
      <c r="BJ472" s="2058"/>
      <c r="BK472" s="2058"/>
      <c r="BL472" s="2058"/>
      <c r="BM472" s="2058"/>
      <c r="BN472" s="2058"/>
      <c r="BO472" s="2058"/>
      <c r="BP472" s="2058"/>
      <c r="BQ472" s="2058"/>
      <c r="BR472" s="2058"/>
      <c r="BS472" s="2058"/>
      <c r="BT472" s="2058"/>
      <c r="BU472" s="2058"/>
      <c r="BV472" s="2058"/>
      <c r="BW472" s="2058"/>
      <c r="BX472" s="2058"/>
      <c r="BY472" s="2058"/>
      <c r="BZ472" s="2058"/>
      <c r="CA472" s="2058"/>
      <c r="CB472" s="2058"/>
      <c r="CC472" s="2058"/>
      <c r="CD472" s="2058"/>
      <c r="CE472" s="2058"/>
      <c r="CF472" s="2058"/>
      <c r="CG472" s="2058"/>
      <c r="CH472" s="2058"/>
      <c r="CI472" s="2058"/>
      <c r="CJ472" s="2058"/>
      <c r="CK472" s="2058"/>
      <c r="CL472" s="2058"/>
      <c r="CM472" s="2058"/>
      <c r="CN472" s="2058"/>
      <c r="CO472" s="2058"/>
      <c r="CP472" s="2058"/>
      <c r="CQ472" s="2058"/>
      <c r="CR472" s="2058"/>
      <c r="CS472" s="2058"/>
      <c r="CT472" s="2058"/>
      <c r="CU472" s="2059"/>
      <c r="CV472" s="2360" t="str">
        <f>IF(AND(DT472="要是正",DU472&lt;21),HYPERLINK("#"&amp;EL472&amp;"!"&amp;EM472&amp;":"&amp;EN472&amp;"","関連写真添付"),"")</f>
        <v/>
      </c>
      <c r="CW472" s="2360"/>
      <c r="CX472" s="2360"/>
      <c r="CY472" s="2360"/>
      <c r="CZ472" s="2360"/>
      <c r="DA472" s="2360"/>
      <c r="DC472" s="600" t="str">
        <f>IF(AND(DU472&lt;&gt;"",DU472&gt;10),"「別途様式を作成、提出してください。」","")</f>
        <v/>
      </c>
      <c r="DD472" s="381"/>
      <c r="DF472" s="34"/>
      <c r="DG472" s="34"/>
      <c r="DH472" s="34"/>
      <c r="DI472" s="34"/>
      <c r="DJ472" s="34"/>
      <c r="DK472" s="1711"/>
      <c r="DL472" s="114"/>
      <c r="DM472" s="386" t="str">
        <f>IF(AND(DN472="",DO472="",DP472="",DM489&lt;&gt;0),"レ","")</f>
        <v/>
      </c>
      <c r="DN472" s="386" t="str">
        <f>IF(AND(DO472="",DP472="",DN489&lt;&gt;0),"レ","")</f>
        <v/>
      </c>
      <c r="DO472" s="386" t="str">
        <f>IF(DO489&lt;&gt;0,"レ","")</f>
        <v/>
      </c>
      <c r="DP472" s="386" t="str">
        <f>IF(AND(DO472="",DP489&lt;&gt;0),"レ","")</f>
        <v/>
      </c>
      <c r="DQ472" s="114"/>
      <c r="DR472" s="114"/>
      <c r="DS472" s="114"/>
      <c r="DT472" s="113"/>
      <c r="DU472" s="151"/>
      <c r="DV472" s="113"/>
      <c r="DW472" s="113"/>
      <c r="DX472" s="2046"/>
      <c r="DY472" s="135" t="str">
        <f>SUBSTITUTE(TRIM(DY475&amp;"　"&amp;DY476&amp;"　"&amp;DY477&amp;"　"&amp;DY478&amp;"　"&amp;DY479&amp;"　"&amp;DY480&amp;"　"&amp;DY481&amp;"　"&amp;DY482&amp;"　"&amp;DY483&amp;"　"&amp;DY484&amp;"　"&amp;DY485&amp;"　"&amp;DY486&amp;"　"&amp;DY487&amp;"　"&amp;DY488),"　",", ")&amp;HQ528</f>
        <v/>
      </c>
      <c r="DZ472" s="2518" t="s">
        <v>2436</v>
      </c>
      <c r="EA472" s="2519"/>
      <c r="EB472" s="230" t="str">
        <f>IF(COUNTIF(ED475:ED488,1)&gt;0,"レ","")</f>
        <v/>
      </c>
      <c r="EC472" s="389"/>
      <c r="ED472" s="231" t="str">
        <f>IF(EB472="レ",YEAR(EE489)-VLOOKUP(EE489,$DS$6:$DV$9,4,TRUE),"")</f>
        <v/>
      </c>
      <c r="EE472" s="231" t="str">
        <f>IF(EB472="レ",MONTH(EE489),IF(AND(DO472="レ",EF472="レ",EF489=0),"",IF(AND(DO472="レ",EF472="レ",EF489&gt;0),"","")))</f>
        <v/>
      </c>
      <c r="EF472" s="387" t="str">
        <f>IF(EB472="",IF(OR(EF489&gt;0,DO472="レ"),"レ",""),"")</f>
        <v/>
      </c>
      <c r="EG472" s="230" t="str">
        <f>IF(AND(COUNTIF(DT475:DT488,"要是正")=0,COUNTIF(EI475:EI488,1)&gt;0),"レ","")</f>
        <v/>
      </c>
      <c r="EH472" s="389"/>
      <c r="EI472" s="231" t="str">
        <f>IF(EG472="レ",YEAR(EJ489)-VLOOKUP(EJ489,$DS$6:$DV$9,4,TRUE),"")</f>
        <v/>
      </c>
      <c r="EJ472" s="231" t="str">
        <f>IF(EG472="レ",MONTH(EJ489),IF(AND(DP472="レ",EK472="レ",EK489=0),"",IF(AND(DP472="レ",EK472="レ",EK489&gt;0),"","")))</f>
        <v/>
      </c>
      <c r="EK472" s="387" t="str">
        <f>IF(EG472="",IF(OR(EK489&gt;0,DP472="レ"),"レ",""),"")</f>
        <v/>
      </c>
      <c r="EL472" s="151" t="e">
        <f>VLOOKUP($DU472,$EO$306:$ER$334,2,FALSE)</f>
        <v>#N/A</v>
      </c>
      <c r="EM472" s="151" t="e">
        <f>VLOOKUP($DU472,$EO$306:$ER$334,3,FALSE)</f>
        <v>#N/A</v>
      </c>
      <c r="EN472" s="151" t="e">
        <f>VLOOKUP($DU472,$EO$306:$ER$334,4,FALSE)</f>
        <v>#N/A</v>
      </c>
      <c r="EO472" s="35"/>
      <c r="EP472" s="35"/>
      <c r="EQ472" s="35"/>
      <c r="ER472" s="35"/>
      <c r="ES472" s="35" t="str">
        <f>$HA$531</f>
        <v>要是正なし</v>
      </c>
      <c r="ET472" s="35"/>
      <c r="EU472" s="35"/>
      <c r="EV472" s="35"/>
      <c r="EW472" s="35"/>
      <c r="EX472" s="35"/>
      <c r="EY472" s="35"/>
      <c r="EZ472" s="35"/>
      <c r="FA472" s="35"/>
      <c r="FB472" s="35"/>
      <c r="FC472" s="35"/>
      <c r="FD472" s="35"/>
      <c r="FE472" s="35"/>
      <c r="FF472" s="35"/>
      <c r="FG472" s="35"/>
      <c r="FH472" s="35"/>
      <c r="FK472" s="632"/>
      <c r="FL472" s="632"/>
      <c r="FM472" s="632"/>
      <c r="FN472" s="632"/>
      <c r="FO472" s="1163"/>
      <c r="FQ472" s="230" t="str">
        <f>IF(COUNTIF(FS475:FS488,1)&gt;0,"レ","")</f>
        <v/>
      </c>
      <c r="FR472" s="389"/>
      <c r="FS472" s="231" t="str">
        <f>IF(FQ472="レ",TEXT(FT489,"ee"),"")</f>
        <v/>
      </c>
      <c r="FT472" s="231" t="str">
        <f>IF(FQ472="レ",MONTH(FT489),IF(AND(FH472="レ",FU472="レ",FU489=0),"",IF(AND(FH472="レ",FU472="レ",FU489&gt;0),"未定","")))</f>
        <v/>
      </c>
      <c r="FU472" s="387" t="str">
        <f>IF(FQ472="",IF(OR(FU489&gt;0,FH472="レ"),"レ",""),"")</f>
        <v/>
      </c>
      <c r="FW472" s="1160">
        <f t="shared" si="529"/>
        <v>0</v>
      </c>
      <c r="FX472" s="123"/>
      <c r="FY472" s="123"/>
      <c r="FZ472" s="1161"/>
      <c r="GA472" s="34"/>
      <c r="GB472" s="123"/>
      <c r="GC472" s="123"/>
      <c r="GE472" s="123"/>
      <c r="GF472" s="123"/>
      <c r="GG472" s="123"/>
      <c r="GH472" s="123"/>
      <c r="GI472" s="123"/>
      <c r="GJ472" s="123"/>
      <c r="GK472" s="123"/>
      <c r="GL472" s="123"/>
      <c r="GM472" s="123"/>
      <c r="GN472" s="123"/>
      <c r="GO472" s="123"/>
      <c r="GP472" s="123"/>
      <c r="GQ472" s="123"/>
      <c r="GR472" s="123"/>
      <c r="GS472" s="123"/>
      <c r="GT472" s="123"/>
      <c r="GU472" s="123"/>
      <c r="GV472" s="123"/>
      <c r="GW472" s="123"/>
      <c r="GX472" s="123"/>
      <c r="GY472" s="123"/>
      <c r="HB472" s="123"/>
      <c r="HC472" s="123"/>
      <c r="HD472" s="123"/>
      <c r="HE472" s="123"/>
      <c r="HF472" s="123"/>
      <c r="HG472" s="123"/>
      <c r="HH472" s="123"/>
      <c r="HI472" s="123"/>
      <c r="HJ472" s="123"/>
      <c r="HK472" s="123"/>
      <c r="HL472" s="123"/>
      <c r="HM472" s="123"/>
      <c r="HN472" s="123"/>
      <c r="HO472" s="123"/>
      <c r="HP472" s="123"/>
      <c r="HQ472" s="123"/>
      <c r="HR472" s="123"/>
      <c r="HT472" s="1703"/>
      <c r="HU472" s="1703"/>
      <c r="HV472" s="1703"/>
      <c r="HW472" s="1703"/>
      <c r="HX472" s="1703"/>
    </row>
    <row r="473" spans="1:232" s="69" customFormat="1" ht="36" customHeight="1" thickBot="1">
      <c r="A473" s="645"/>
      <c r="B473" s="645"/>
      <c r="C473" s="645"/>
      <c r="D473" s="645"/>
      <c r="E473" s="646"/>
      <c r="F473" s="381"/>
      <c r="G473" s="381"/>
      <c r="H473" s="381"/>
      <c r="I473" s="123"/>
      <c r="J473" s="88"/>
      <c r="K473" s="89"/>
      <c r="L473" s="89"/>
      <c r="M473" s="2006" t="s">
        <v>31</v>
      </c>
      <c r="N473" s="2006"/>
      <c r="O473" s="2006"/>
      <c r="P473" s="2006" t="s">
        <v>32</v>
      </c>
      <c r="Q473" s="2006"/>
      <c r="R473" s="2006"/>
      <c r="S473" s="2006"/>
      <c r="T473" s="2006"/>
      <c r="U473" s="2006"/>
      <c r="V473" s="2006"/>
      <c r="W473" s="2006"/>
      <c r="X473" s="2006"/>
      <c r="Y473" s="2006"/>
      <c r="Z473" s="2006"/>
      <c r="AA473" s="2006"/>
      <c r="AB473" s="2006"/>
      <c r="AC473" s="2006"/>
      <c r="AD473" s="2006"/>
      <c r="AE473" s="2006"/>
      <c r="AF473" s="2006" t="s">
        <v>33</v>
      </c>
      <c r="AG473" s="2006"/>
      <c r="AH473" s="2006"/>
      <c r="AI473" s="2006"/>
      <c r="AJ473" s="2006"/>
      <c r="AK473" s="2006"/>
      <c r="AL473" s="2006"/>
      <c r="AM473" s="2006"/>
      <c r="AN473" s="2006"/>
      <c r="AO473" s="2006"/>
      <c r="AP473" s="2006"/>
      <c r="AQ473" s="2006"/>
      <c r="AR473" s="2006" t="s">
        <v>752</v>
      </c>
      <c r="AS473" s="2006"/>
      <c r="AT473" s="2003" t="s">
        <v>156</v>
      </c>
      <c r="AU473" s="2003"/>
      <c r="AV473" s="2003"/>
      <c r="AW473" s="2003"/>
      <c r="AX473" s="2003"/>
      <c r="AY473" s="2003"/>
      <c r="AZ473" s="2003"/>
      <c r="BA473" s="2003"/>
      <c r="BB473" s="2003"/>
      <c r="BC473" s="2003"/>
      <c r="BD473" s="2003" t="s">
        <v>194</v>
      </c>
      <c r="BE473" s="2003"/>
      <c r="BF473" s="2003"/>
      <c r="BG473" s="2003"/>
      <c r="BH473" s="2003"/>
      <c r="BI473" s="2003"/>
      <c r="BJ473" s="2003"/>
      <c r="BK473" s="2003"/>
      <c r="BL473" s="2003"/>
      <c r="BM473" s="2003"/>
      <c r="BN473" s="2003"/>
      <c r="BO473" s="2003"/>
      <c r="BP473" s="2003"/>
      <c r="BQ473" s="2003"/>
      <c r="BR473" s="2003"/>
      <c r="BS473" s="2006" t="s">
        <v>387</v>
      </c>
      <c r="BT473" s="2003"/>
      <c r="BU473" s="2003"/>
      <c r="BV473" s="2003"/>
      <c r="BW473" s="2003"/>
      <c r="BX473" s="2003"/>
      <c r="BY473" s="2003"/>
      <c r="BZ473" s="2003"/>
      <c r="CA473" s="2003"/>
      <c r="CB473" s="2120" t="s">
        <v>2818</v>
      </c>
      <c r="CC473" s="2120"/>
      <c r="CD473" s="2120"/>
      <c r="CE473" s="2120"/>
      <c r="CF473" s="2120"/>
      <c r="CG473" s="2120"/>
      <c r="CH473" s="2120"/>
      <c r="CI473" s="2120"/>
      <c r="CJ473" s="2120"/>
      <c r="CK473" s="2120"/>
      <c r="CL473" s="2120"/>
      <c r="CM473" s="2120"/>
      <c r="CN473" s="2120"/>
      <c r="CO473" s="2120"/>
      <c r="CP473" s="2120"/>
      <c r="CQ473" s="2120"/>
      <c r="CR473" s="2120"/>
      <c r="CS473" s="2120"/>
      <c r="CT473" s="2120"/>
      <c r="CU473" s="2121"/>
      <c r="CV473" s="108"/>
      <c r="CW473" s="108"/>
      <c r="CX473" s="108"/>
      <c r="CY473" s="108"/>
      <c r="CZ473" s="108"/>
      <c r="DA473" s="108"/>
      <c r="DB473" s="108"/>
      <c r="DC473" s="35"/>
      <c r="DD473" s="381"/>
      <c r="DE473" s="34"/>
      <c r="DF473" s="34"/>
      <c r="DG473" s="34"/>
      <c r="DH473" s="34"/>
      <c r="DI473" s="34"/>
      <c r="DJ473" s="34"/>
      <c r="DK473" s="1711"/>
      <c r="DL473" s="114"/>
      <c r="DM473" s="166" t="s">
        <v>3358</v>
      </c>
      <c r="DN473" s="34"/>
      <c r="DO473" s="34"/>
      <c r="DP473" s="34"/>
      <c r="DQ473" s="34"/>
      <c r="DR473" s="34"/>
      <c r="DU473" s="381"/>
      <c r="DV473" s="381"/>
      <c r="DW473" s="381"/>
      <c r="DX473" s="2046"/>
      <c r="DY473" s="1972" t="s">
        <v>911</v>
      </c>
      <c r="DZ473" s="1974" t="s">
        <v>194</v>
      </c>
      <c r="EA473" s="2517" t="s">
        <v>2402</v>
      </c>
      <c r="EB473" s="1907" t="s">
        <v>24</v>
      </c>
      <c r="EC473" s="1908"/>
      <c r="ED473" s="1908"/>
      <c r="EE473" s="1908"/>
      <c r="EF473" s="1908"/>
      <c r="EG473" s="1969" t="s">
        <v>931</v>
      </c>
      <c r="EH473" s="1970"/>
      <c r="EI473" s="1970"/>
      <c r="EJ473" s="1970"/>
      <c r="EK473" s="1971"/>
      <c r="EL473" s="1882" t="s">
        <v>938</v>
      </c>
      <c r="EM473" s="1883"/>
      <c r="EN473" s="1884"/>
      <c r="EO473" s="1897"/>
      <c r="EP473" s="1897"/>
      <c r="EQ473" s="1897"/>
      <c r="ER473" s="1897"/>
      <c r="ES473" s="35"/>
      <c r="ET473" s="1897"/>
      <c r="EU473" s="1897"/>
      <c r="EV473" s="1897"/>
      <c r="EW473" s="1897"/>
      <c r="EX473" s="1897"/>
      <c r="EY473" s="1900"/>
      <c r="EZ473" s="1900"/>
      <c r="FA473" s="1900"/>
      <c r="FB473" s="1900"/>
      <c r="FC473" s="1900"/>
      <c r="FD473" s="1900"/>
      <c r="FE473" s="1900"/>
      <c r="FF473" s="1900"/>
      <c r="FG473" s="1900"/>
      <c r="FH473" s="1900"/>
      <c r="FI473" s="108"/>
      <c r="FJ473" s="108"/>
      <c r="FK473" s="1901" t="s">
        <v>1180</v>
      </c>
      <c r="FL473" s="1902"/>
      <c r="FM473" s="1902"/>
      <c r="FN473" s="1902"/>
      <c r="FO473" s="1903"/>
      <c r="FQ473" s="1907" t="s">
        <v>24</v>
      </c>
      <c r="FR473" s="1908"/>
      <c r="FS473" s="1908"/>
      <c r="FT473" s="1908"/>
      <c r="FU473" s="1909"/>
      <c r="FW473" s="1160" t="str">
        <f t="shared" si="529"/>
        <v>指摘の具体的内容等</v>
      </c>
      <c r="FX473" s="123"/>
      <c r="FY473" s="123"/>
      <c r="FZ473" s="1161"/>
      <c r="GA473" s="34"/>
      <c r="GB473" s="123"/>
      <c r="GC473" s="123"/>
      <c r="GE473" s="123"/>
      <c r="GF473" s="123"/>
      <c r="GG473" s="123"/>
      <c r="GH473" s="123"/>
      <c r="GI473" s="123"/>
      <c r="GJ473" s="123"/>
      <c r="GK473" s="123"/>
      <c r="GL473" s="123"/>
      <c r="GM473" s="123"/>
      <c r="GN473" s="123"/>
      <c r="GO473" s="123"/>
      <c r="GP473" s="123"/>
      <c r="GQ473" s="123"/>
      <c r="GR473" s="123"/>
      <c r="GS473" s="123"/>
      <c r="GT473" s="123"/>
      <c r="GU473" s="123"/>
      <c r="GV473" s="167"/>
      <c r="GW473" s="123"/>
      <c r="GX473" s="123"/>
      <c r="GY473" s="123"/>
      <c r="HB473" s="123"/>
      <c r="HC473" s="123"/>
      <c r="HD473" s="123"/>
      <c r="HE473" s="123"/>
      <c r="HF473" s="123"/>
      <c r="HG473" s="123"/>
      <c r="HH473" s="123"/>
      <c r="HI473" s="123"/>
      <c r="HJ473" s="123"/>
      <c r="HK473" s="123"/>
      <c r="HL473" s="123"/>
      <c r="HM473" s="123"/>
      <c r="HN473" s="123"/>
      <c r="HO473" s="123"/>
      <c r="HP473" s="123"/>
      <c r="HQ473" s="123"/>
      <c r="HR473" s="123"/>
      <c r="HS473" s="167"/>
      <c r="HT473" s="1703"/>
      <c r="HU473" s="1703"/>
      <c r="HV473" s="1703"/>
      <c r="HW473" s="1703"/>
      <c r="HX473" s="1703"/>
    </row>
    <row r="474" spans="1:232" s="69" customFormat="1" ht="36" customHeight="1" thickBot="1">
      <c r="A474" s="645"/>
      <c r="B474" s="645"/>
      <c r="C474" s="645"/>
      <c r="D474" s="645"/>
      <c r="E474" s="646"/>
      <c r="F474" s="381"/>
      <c r="G474" s="381"/>
      <c r="H474" s="381"/>
      <c r="I474" s="123"/>
      <c r="J474" s="88"/>
      <c r="K474" s="89"/>
      <c r="L474" s="89"/>
      <c r="M474" s="1976"/>
      <c r="N474" s="1976"/>
      <c r="O474" s="1976"/>
      <c r="P474" s="1976"/>
      <c r="Q474" s="1976"/>
      <c r="R474" s="1976"/>
      <c r="S474" s="1976"/>
      <c r="T474" s="1976"/>
      <c r="U474" s="1976"/>
      <c r="V474" s="1976"/>
      <c r="W474" s="1976"/>
      <c r="X474" s="1976"/>
      <c r="Y474" s="1976"/>
      <c r="Z474" s="1976"/>
      <c r="AA474" s="1976"/>
      <c r="AB474" s="1976"/>
      <c r="AC474" s="1976"/>
      <c r="AD474" s="1976"/>
      <c r="AE474" s="1976"/>
      <c r="AF474" s="1976"/>
      <c r="AG474" s="1976"/>
      <c r="AH474" s="1976"/>
      <c r="AI474" s="1976"/>
      <c r="AJ474" s="1976"/>
      <c r="AK474" s="1976"/>
      <c r="AL474" s="1976"/>
      <c r="AM474" s="1976"/>
      <c r="AN474" s="1976"/>
      <c r="AO474" s="1976"/>
      <c r="AP474" s="1976"/>
      <c r="AQ474" s="1976"/>
      <c r="AR474" s="1976"/>
      <c r="AS474" s="1976"/>
      <c r="AT474" s="2004"/>
      <c r="AU474" s="2004"/>
      <c r="AV474" s="2004"/>
      <c r="AW474" s="2004"/>
      <c r="AX474" s="2004"/>
      <c r="AY474" s="2004"/>
      <c r="AZ474" s="2004"/>
      <c r="BA474" s="2004"/>
      <c r="BB474" s="2004"/>
      <c r="BC474" s="2004"/>
      <c r="BD474" s="2004"/>
      <c r="BE474" s="2004"/>
      <c r="BF474" s="2004"/>
      <c r="BG474" s="2004"/>
      <c r="BH474" s="2004"/>
      <c r="BI474" s="2004"/>
      <c r="BJ474" s="2004"/>
      <c r="BK474" s="2004"/>
      <c r="BL474" s="2004"/>
      <c r="BM474" s="2004"/>
      <c r="BN474" s="2004"/>
      <c r="BO474" s="2004"/>
      <c r="BP474" s="2004"/>
      <c r="BQ474" s="2004"/>
      <c r="BR474" s="2004"/>
      <c r="BS474" s="1976" t="s">
        <v>865</v>
      </c>
      <c r="BT474" s="1976"/>
      <c r="BU474" s="1976"/>
      <c r="BV474" s="1977" t="s">
        <v>383</v>
      </c>
      <c r="BW474" s="1977"/>
      <c r="BX474" s="1977"/>
      <c r="BY474" s="1977" t="s">
        <v>1700</v>
      </c>
      <c r="BZ474" s="1978"/>
      <c r="CA474" s="1978"/>
      <c r="CB474" s="2122"/>
      <c r="CC474" s="2122"/>
      <c r="CD474" s="2122"/>
      <c r="CE474" s="2122"/>
      <c r="CF474" s="2122"/>
      <c r="CG474" s="2122"/>
      <c r="CH474" s="2122"/>
      <c r="CI474" s="2122"/>
      <c r="CJ474" s="2122"/>
      <c r="CK474" s="2122"/>
      <c r="CL474" s="2122"/>
      <c r="CM474" s="2122"/>
      <c r="CN474" s="2122"/>
      <c r="CO474" s="2122"/>
      <c r="CP474" s="2122"/>
      <c r="CQ474" s="2122"/>
      <c r="CR474" s="2122"/>
      <c r="CS474" s="2122"/>
      <c r="CT474" s="2122"/>
      <c r="CU474" s="2123"/>
      <c r="CV474" s="108"/>
      <c r="CW474" s="108"/>
      <c r="CX474" s="108"/>
      <c r="CY474" s="108"/>
      <c r="CZ474" s="108"/>
      <c r="DA474" s="108"/>
      <c r="DB474" s="108"/>
      <c r="DC474" s="35"/>
      <c r="DD474" s="381"/>
      <c r="DE474" s="34"/>
      <c r="DF474" s="34"/>
      <c r="DG474" s="34"/>
      <c r="DH474" s="34"/>
      <c r="DI474" s="34"/>
      <c r="DJ474" s="1695" t="s">
        <v>5640</v>
      </c>
      <c r="DK474" s="1706" t="s">
        <v>5639</v>
      </c>
      <c r="DL474" s="1696" t="s">
        <v>5641</v>
      </c>
      <c r="DM474" s="512" t="s">
        <v>347</v>
      </c>
      <c r="DN474" s="471" t="s">
        <v>348</v>
      </c>
      <c r="DO474" s="471" t="s">
        <v>349</v>
      </c>
      <c r="DP474" s="472" t="s">
        <v>350</v>
      </c>
      <c r="DQ474" s="192" t="s">
        <v>863</v>
      </c>
      <c r="DR474" s="470" t="s">
        <v>754</v>
      </c>
      <c r="DS474" s="514" t="s">
        <v>753</v>
      </c>
      <c r="DT474" s="479" t="s">
        <v>746</v>
      </c>
      <c r="DU474" s="481" t="s">
        <v>920</v>
      </c>
      <c r="DV474" s="522" t="s">
        <v>912</v>
      </c>
      <c r="DW474" s="547" t="s">
        <v>695</v>
      </c>
      <c r="DX474" s="2047"/>
      <c r="DY474" s="1973"/>
      <c r="DZ474" s="1975"/>
      <c r="EA474" s="2486"/>
      <c r="EB474" s="235" t="s">
        <v>950</v>
      </c>
      <c r="EC474" s="228" t="s">
        <v>949</v>
      </c>
      <c r="ED474" s="228" t="s">
        <v>943</v>
      </c>
      <c r="EE474" s="215" t="s">
        <v>944</v>
      </c>
      <c r="EF474" s="216" t="s">
        <v>945</v>
      </c>
      <c r="EG474" s="214" t="s">
        <v>941</v>
      </c>
      <c r="EH474" s="215" t="s">
        <v>942</v>
      </c>
      <c r="EI474" s="228" t="s">
        <v>943</v>
      </c>
      <c r="EJ474" s="215" t="s">
        <v>944</v>
      </c>
      <c r="EK474" s="450" t="s">
        <v>945</v>
      </c>
      <c r="EL474" s="223" t="s">
        <v>358</v>
      </c>
      <c r="EM474" s="112" t="s">
        <v>693</v>
      </c>
      <c r="EN474" s="220" t="s">
        <v>694</v>
      </c>
      <c r="EO474" s="35"/>
      <c r="EP474" s="313"/>
      <c r="EQ474" s="313"/>
      <c r="ER474" s="313"/>
      <c r="ES474" s="309"/>
      <c r="ET474" s="35"/>
      <c r="EU474" s="309"/>
      <c r="EV474" s="309"/>
      <c r="EW474" s="309"/>
      <c r="EX474" s="309"/>
      <c r="EY474" s="310"/>
      <c r="EZ474" s="310"/>
      <c r="FA474" s="310"/>
      <c r="FB474" s="310"/>
      <c r="FC474" s="310"/>
      <c r="FD474" s="310"/>
      <c r="FE474" s="310"/>
      <c r="FF474" s="310"/>
      <c r="FG474" s="310"/>
      <c r="FH474" s="310"/>
      <c r="FI474" s="108"/>
      <c r="FJ474" s="108"/>
      <c r="FK474" s="1904"/>
      <c r="FL474" s="1905"/>
      <c r="FM474" s="1905"/>
      <c r="FN474" s="1905"/>
      <c r="FO474" s="1906"/>
      <c r="FQ474" s="235" t="s">
        <v>950</v>
      </c>
      <c r="FR474" s="228" t="s">
        <v>949</v>
      </c>
      <c r="FS474" s="228" t="s">
        <v>943</v>
      </c>
      <c r="FT474" s="215" t="s">
        <v>944</v>
      </c>
      <c r="FU474" s="415" t="s">
        <v>945</v>
      </c>
      <c r="FW474" s="1160">
        <f t="shared" si="529"/>
        <v>0</v>
      </c>
      <c r="FX474" s="123"/>
      <c r="FY474" s="123"/>
      <c r="FZ474" s="1161"/>
      <c r="GA474" s="34"/>
      <c r="GB474" s="123"/>
      <c r="GC474" s="123"/>
      <c r="GE474" s="1165"/>
      <c r="GF474" s="1165"/>
      <c r="GG474" s="1165"/>
      <c r="GH474" s="1165"/>
      <c r="GI474" s="1165"/>
      <c r="GJ474" s="1165"/>
      <c r="GK474" s="1165"/>
      <c r="GL474" s="1165"/>
      <c r="GM474" s="1165"/>
      <c r="GN474" s="1165"/>
      <c r="GO474" s="1165"/>
      <c r="GP474" s="1165"/>
      <c r="GQ474" s="1165"/>
      <c r="GR474" s="1165"/>
      <c r="GS474" s="1165"/>
      <c r="GT474" s="1165"/>
      <c r="GU474" s="1165"/>
      <c r="GV474" s="1165"/>
      <c r="GW474" s="123"/>
      <c r="GX474" s="123"/>
      <c r="GY474" s="123"/>
      <c r="HB474" s="1165"/>
      <c r="HC474" s="1165"/>
      <c r="HD474" s="1165"/>
      <c r="HE474" s="1165"/>
      <c r="HF474" s="1165"/>
      <c r="HG474" s="1165"/>
      <c r="HH474" s="1165"/>
      <c r="HI474" s="1165"/>
      <c r="HJ474" s="1165"/>
      <c r="HK474" s="1165"/>
      <c r="HL474" s="1165"/>
      <c r="HM474" s="1165"/>
      <c r="HN474" s="1165"/>
      <c r="HO474" s="1165"/>
      <c r="HP474" s="1165"/>
      <c r="HQ474" s="1165"/>
      <c r="HR474" s="1165"/>
      <c r="HT474" s="1704"/>
      <c r="HU474" s="1704"/>
      <c r="HV474" s="1704"/>
      <c r="HW474" s="1704"/>
      <c r="HX474" s="1704"/>
    </row>
    <row r="475" spans="1:232" s="69" customFormat="1" ht="50.15" customHeight="1">
      <c r="A475" s="645"/>
      <c r="B475" s="645"/>
      <c r="C475" s="645"/>
      <c r="D475" s="645"/>
      <c r="E475" s="646"/>
      <c r="F475" s="381"/>
      <c r="G475" s="381"/>
      <c r="H475" s="381"/>
      <c r="J475" s="80"/>
      <c r="K475" s="89"/>
      <c r="L475" s="89"/>
      <c r="M475" s="2080" t="s">
        <v>1309</v>
      </c>
      <c r="N475" s="2080"/>
      <c r="O475" s="2080"/>
      <c r="P475" s="2016" t="s">
        <v>190</v>
      </c>
      <c r="Q475" s="2016"/>
      <c r="R475" s="1966" t="s">
        <v>145</v>
      </c>
      <c r="S475" s="1966"/>
      <c r="T475" s="1966"/>
      <c r="U475" s="2011" t="s">
        <v>146</v>
      </c>
      <c r="V475" s="2011"/>
      <c r="W475" s="2011"/>
      <c r="X475" s="2011"/>
      <c r="Y475" s="2011"/>
      <c r="Z475" s="2011"/>
      <c r="AA475" s="2011"/>
      <c r="AB475" s="2011"/>
      <c r="AC475" s="2011"/>
      <c r="AD475" s="2011"/>
      <c r="AE475" s="2011"/>
      <c r="AF475" s="2010"/>
      <c r="AG475" s="2010"/>
      <c r="AH475" s="2010"/>
      <c r="AI475" s="2010"/>
      <c r="AJ475" s="2010"/>
      <c r="AK475" s="2010"/>
      <c r="AL475" s="2010"/>
      <c r="AM475" s="2010"/>
      <c r="AN475" s="2010"/>
      <c r="AO475" s="2010"/>
      <c r="AP475" s="2010"/>
      <c r="AQ475" s="2010"/>
      <c r="AR475" s="2017"/>
      <c r="AS475" s="2017"/>
      <c r="AT475" s="1929"/>
      <c r="AU475" s="1929"/>
      <c r="AV475" s="1929"/>
      <c r="AW475" s="1929"/>
      <c r="AX475" s="1929"/>
      <c r="AY475" s="1929"/>
      <c r="AZ475" s="1929"/>
      <c r="BA475" s="1929"/>
      <c r="BB475" s="1929"/>
      <c r="BC475" s="1929"/>
      <c r="BD475" s="1929"/>
      <c r="BE475" s="1929"/>
      <c r="BF475" s="1929"/>
      <c r="BG475" s="1929"/>
      <c r="BH475" s="1929"/>
      <c r="BI475" s="1929"/>
      <c r="BJ475" s="1929"/>
      <c r="BK475" s="1929"/>
      <c r="BL475" s="1929"/>
      <c r="BM475" s="1929"/>
      <c r="BN475" s="1929"/>
      <c r="BO475" s="1929"/>
      <c r="BP475" s="1929"/>
      <c r="BQ475" s="1929"/>
      <c r="BR475" s="1929"/>
      <c r="BS475" s="1885"/>
      <c r="BT475" s="1885"/>
      <c r="BU475" s="1885"/>
      <c r="BV475" s="1890"/>
      <c r="BW475" s="1890"/>
      <c r="BX475" s="1890"/>
      <c r="BY475" s="1890"/>
      <c r="BZ475" s="1891"/>
      <c r="CA475" s="1891"/>
      <c r="CB475" s="2083"/>
      <c r="CC475" s="2084"/>
      <c r="CD475" s="2084"/>
      <c r="CE475" s="2084"/>
      <c r="CF475" s="2084"/>
      <c r="CG475" s="2084"/>
      <c r="CH475" s="2084"/>
      <c r="CI475" s="2084"/>
      <c r="CJ475" s="2084"/>
      <c r="CK475" s="2084"/>
      <c r="CL475" s="2084"/>
      <c r="CM475" s="2084"/>
      <c r="CN475" s="2084"/>
      <c r="CO475" s="2084"/>
      <c r="CP475" s="2084"/>
      <c r="CQ475" s="2084"/>
      <c r="CR475" s="2084"/>
      <c r="CS475" s="2084"/>
      <c r="CT475" s="2084"/>
      <c r="CU475" s="2085"/>
      <c r="CV475" s="2360" t="str">
        <f t="shared" ref="CV475:CV483" si="561">IF(AND(DT475="要是正",DU475&lt;21),HYPERLINK("#"&amp;EL475&amp;"!"&amp;EM475&amp;":"&amp;EN475&amp;"","関連写真添付"),"")</f>
        <v/>
      </c>
      <c r="CW475" s="2360"/>
      <c r="CX475" s="2360"/>
      <c r="CY475" s="2360"/>
      <c r="CZ475" s="2360"/>
      <c r="DA475" s="2360"/>
      <c r="DC475" s="600" t="str">
        <f t="shared" ref="DC475:DC489" si="562">IF(AND(DU475&lt;&gt;"",DU475&gt;20),"「別途様式を作成、提出してください。」","")</f>
        <v/>
      </c>
      <c r="DD475" s="381"/>
      <c r="DF475" s="34"/>
      <c r="DG475" s="34"/>
      <c r="DH475" s="34"/>
      <c r="DI475" s="34"/>
      <c r="DJ475" s="858" t="s">
        <v>5637</v>
      </c>
      <c r="DK475" s="1707" t="str">
        <f>IF(DS475=2,DATE(VLOOKUP(DJ475,$DU$6:$DV$9,2,FALSE)+BS475,BV475,1),"")</f>
        <v/>
      </c>
      <c r="DL475" s="1692" t="str">
        <f>IF(DS475=2,DJ475&amp;BS475&amp;"."&amp;BV475,"")</f>
        <v/>
      </c>
      <c r="DM475" s="1691">
        <f t="shared" ref="DM475:DM488" si="563">COUNTIFS(AF475,"―対象外")</f>
        <v>0</v>
      </c>
      <c r="DN475" s="111">
        <f t="shared" ref="DN475:DN483" si="564">COUNTIFS(AF475,"○指摘なし")</f>
        <v>0</v>
      </c>
      <c r="DO475" s="111">
        <f t="shared" ref="DO475:DO483" si="565">COUNTIFS(AF475,"×要是正（既存不適格以外）")</f>
        <v>0</v>
      </c>
      <c r="DP475" s="474">
        <f t="shared" ref="DP475:DP483" si="566">COUNTIFS(AF475,"△既存不適格")</f>
        <v>0</v>
      </c>
      <c r="DQ475" s="123" t="s">
        <v>849</v>
      </c>
      <c r="DR475" s="473" t="str">
        <f t="shared" ref="DR475:DR482" si="567">IF($U475="",R475,U475)</f>
        <v>膜体及び取付部材の劣化及び損傷の状況</v>
      </c>
      <c r="DS475" s="112">
        <f t="shared" ref="DS475:DS483" si="568">COUNTA(BS475:BX475)</f>
        <v>0</v>
      </c>
      <c r="DT475" s="118" t="str">
        <f t="shared" ref="DT475:DT483" si="569">IF(AF475="×要是正（既存不適格以外）","要是正","")&amp;IF(AF475="△既存不適格","既存不適格","")</f>
        <v/>
      </c>
      <c r="DU475" s="452" t="str">
        <f t="shared" ref="DU475:DU488" si="570">IF(HV475="","",HV475)</f>
        <v/>
      </c>
      <c r="DV475" s="151" t="str">
        <f>IF($DT475="要是正",MAX($DV$471:DV472)+1,"")</f>
        <v/>
      </c>
      <c r="DW475" s="507" t="str">
        <f t="shared" ref="DW475:DW483" si="571">IF(OR(AF475="×要是正（既存不適格以外）",AF475="△既存不適格"),DQ475,"")</f>
        <v/>
      </c>
      <c r="DX475" s="119" t="str">
        <f t="shared" ref="DX475:DX488" si="572">IF(OR($DT475="要是正",$DT475="既存不適格"),$DR475,"")</f>
        <v/>
      </c>
      <c r="DY475" s="33" t="str">
        <f t="shared" si="457"/>
        <v/>
      </c>
      <c r="DZ475" s="217" t="str">
        <f t="shared" ref="DZ475:DZ483" si="573">IF($DT475="要是正",IF(BD475="","",BD475),"")</f>
        <v/>
      </c>
      <c r="EA475" s="466" t="str">
        <f t="shared" ref="EA475:EA488" si="574">IF(BY475="未定","未定",IF(FR475="0","",IF(BY475="予定","("&amp;DL475&amp;")",IF(BY475="改善済",DL475,DL475))))</f>
        <v/>
      </c>
      <c r="EB475" s="234" t="str">
        <f t="shared" ref="EB475:EB488" si="575">IF(OR(DT475="要是正",DT475="既存不適格"),IF(OR(DS475&lt;2,BY475&lt;&gt;"予定"),"",DK475),"")</f>
        <v/>
      </c>
      <c r="EC475" s="227" t="str">
        <f t="shared" ref="EC475:EC488" si="576">IF(EB475="","0",EB475)</f>
        <v>0</v>
      </c>
      <c r="ED475" s="148" t="str">
        <f>IF(DT475="要是正",IF(AND(BY475="予定",DS475=2),1,IF(BY475="改善済",2,"")),"")</f>
        <v/>
      </c>
      <c r="EE475" s="227" t="str">
        <f t="shared" ref="EE475" si="577">IF(ED475=1,EC475,"0")</f>
        <v>0</v>
      </c>
      <c r="EF475" s="130" t="str">
        <f t="shared" ref="EF475:EF483" si="578">IF(AND(DT475="要是正",AND(DS475=0,BY475="未定")),BY475,"")</f>
        <v/>
      </c>
      <c r="EG475" s="204" t="str">
        <f t="shared" ref="EG475:EG488" si="579">IF(DT475="既存不適格",IF(OR(DS475&lt;2,BY475&lt;&gt;"予定"),"",DK475),"")</f>
        <v/>
      </c>
      <c r="EH475" s="134" t="str">
        <f t="shared" ref="EH475:EH488" si="580">IF(EG475="","0",EG475)</f>
        <v>0</v>
      </c>
      <c r="EI475" s="148" t="str">
        <f>IF(DT475="既存不適格",IF(AND(BY475="予定",DS475=2),1,IF(BY475="改善済",2,"")),"")</f>
        <v/>
      </c>
      <c r="EJ475" s="227" t="str">
        <f t="shared" ref="EJ475" si="581">IF(EI475=1,EH475,"0")</f>
        <v>0</v>
      </c>
      <c r="EK475" s="451" t="str">
        <f t="shared" ref="EK475:EK483" si="582">IF(AND(DT475="既存不適格",AND(DS475=0,BY475="未定")),BY475,"")</f>
        <v/>
      </c>
      <c r="EL475" s="452" t="e">
        <f t="shared" ref="EL475:EL483" si="583">VLOOKUP($DU475,$EO$306:$ER$334,2,FALSE)</f>
        <v>#N/A</v>
      </c>
      <c r="EM475" s="151" t="e">
        <f t="shared" ref="EM475:EM483" si="584">VLOOKUP($DU475,$EO$306:$ER$334,3,FALSE)</f>
        <v>#N/A</v>
      </c>
      <c r="EN475" s="453" t="e">
        <f t="shared" ref="EN475:EN483" si="585">VLOOKUP($DU475,$EO$306:$ER$334,4,FALSE)</f>
        <v>#N/A</v>
      </c>
      <c r="EO475" s="35"/>
      <c r="EP475" s="35"/>
      <c r="EQ475" s="35"/>
      <c r="ER475" s="35"/>
      <c r="ES475" s="35"/>
      <c r="ET475" s="35"/>
      <c r="EU475" s="35"/>
      <c r="EV475" s="35"/>
      <c r="EW475" s="35"/>
      <c r="EX475" s="35"/>
      <c r="EY475" s="35"/>
      <c r="EZ475" s="35"/>
      <c r="FA475" s="35"/>
      <c r="FB475" s="35"/>
      <c r="FC475" s="35"/>
      <c r="FD475" s="35"/>
      <c r="FE475" s="35"/>
      <c r="FF475" s="35"/>
      <c r="FG475" s="35"/>
      <c r="FH475" s="35"/>
      <c r="FK475" s="597" t="str">
        <f t="shared" ref="FK475:FK488" si="586">IF($AF475="○指摘なし","○",IF($AF475="―対象外","―",""))</f>
        <v/>
      </c>
      <c r="FL475" s="597" t="str">
        <f t="shared" si="530"/>
        <v/>
      </c>
      <c r="FM475" s="597" t="str">
        <f t="shared" si="531"/>
        <v/>
      </c>
      <c r="FN475" s="597">
        <f t="shared" ref="FN475:FN483" si="587">AR475</f>
        <v>0</v>
      </c>
      <c r="FO475" s="1163" t="str">
        <f t="shared" ref="FO475:FO488" si="588">IF($AF475="―対象外","○","")</f>
        <v/>
      </c>
      <c r="FQ475" s="234" t="str">
        <f t="shared" ref="FQ475:FQ488" si="589">IF(NOT(OR(BY475="未定",BY475="")),DK475,"")</f>
        <v/>
      </c>
      <c r="FR475" s="227" t="str">
        <f t="shared" ref="FR475:FR488" si="590">IF(FQ475="","0",FQ475)</f>
        <v>0</v>
      </c>
      <c r="FS475" s="148" t="str">
        <f t="shared" ref="FS475:FS483" si="591">IF(OR(BY475="予定",BY475="改善済"),1,"")</f>
        <v/>
      </c>
      <c r="FT475" s="227" t="str">
        <f t="shared" ref="FT475:FT483" si="592">IF(FS475=1,FR475,"0")</f>
        <v>0</v>
      </c>
      <c r="FU475" s="416" t="str">
        <f t="shared" ref="FU475:FU483" si="593">IF(AND(FM475="要是正",AND(FL475=0,DR475="未定")),DR475,"")</f>
        <v/>
      </c>
      <c r="FW475" s="1160">
        <f t="shared" si="529"/>
        <v>0</v>
      </c>
      <c r="FX475" s="123"/>
      <c r="FY475" s="123"/>
      <c r="FZ475" s="1161"/>
      <c r="GA475" s="34"/>
      <c r="GB475" s="1149">
        <f t="shared" si="498"/>
        <v>0</v>
      </c>
      <c r="GC475" s="1149">
        <f t="shared" si="499"/>
        <v>0</v>
      </c>
      <c r="GD475" s="1149">
        <f t="shared" si="500"/>
        <v>0</v>
      </c>
      <c r="GE475" s="1149" t="str">
        <f t="shared" ref="GE475:GE488" si="594">IF(GE$306=$M475,$BY$512,"")</f>
        <v/>
      </c>
      <c r="GF475" s="1149" t="str">
        <f t="shared" ref="GF475:GF488" si="595">IF(GF$306=$M475,$BY$513,"")</f>
        <v/>
      </c>
      <c r="GG475" s="1149" t="str">
        <f t="shared" ref="GG475:GG488" si="596">IF(GG$306=$M475,$BY$514,"")</f>
        <v/>
      </c>
      <c r="GH475" s="1149" t="str">
        <f t="shared" ref="GH475:GH488" si="597">IF(GH$306=$M475,$BY$515,"")</f>
        <v/>
      </c>
      <c r="GI475" s="1149" t="str">
        <f t="shared" ref="GI475:GI488" si="598">IF(GI$306=$M475,$BY$516,"")</f>
        <v/>
      </c>
      <c r="GJ475" s="1149" t="str">
        <f t="shared" ref="GJ475:GJ488" si="599">IF(GJ$306=$M475,$BY$517,"")</f>
        <v/>
      </c>
      <c r="GK475" s="1149" t="str">
        <f t="shared" ref="GK475:GK488" si="600">IF(GK$306=$M475,$BY$518,"")</f>
        <v/>
      </c>
      <c r="GL475" s="1149" t="str">
        <f t="shared" ref="GL475:GL488" si="601">IF(GL$306=$M475,$BY$519,"")</f>
        <v/>
      </c>
      <c r="GM475" s="1149" t="str">
        <f t="shared" ref="GM475:GM488" si="602">IF(GM$306=$M475,$BY$520,"")</f>
        <v/>
      </c>
      <c r="GN475" s="1149" t="str">
        <f t="shared" ref="GN475:GN488" si="603">IF(GN$306=$M475,$BY$521,"")</f>
        <v/>
      </c>
      <c r="GO475" s="1149" t="str">
        <f t="shared" ref="GO475:GO488" si="604">IF(GO$306=$M475,$BY$522,"")</f>
        <v/>
      </c>
      <c r="GP475" s="1149" t="str">
        <f t="shared" ref="GP475:GP488" si="605">IF(GP$306=$M475,$BY$523,"")</f>
        <v/>
      </c>
      <c r="GQ475" s="1149" t="str">
        <f t="shared" ref="GQ475:GQ488" si="606">IF(GQ$306=$M475,$BY$524,"")</f>
        <v/>
      </c>
      <c r="GR475" s="1149" t="str">
        <f t="shared" ref="GR475:GR488" si="607">IF(GR$306=$M475,$BY$525,"")</f>
        <v/>
      </c>
      <c r="GS475" s="1149" t="str">
        <f t="shared" ref="GS475:GS488" si="608">IF(GS$306=$M475,$BY$526,"")</f>
        <v/>
      </c>
      <c r="GT475" s="1149">
        <f t="shared" si="501"/>
        <v>0</v>
      </c>
      <c r="GU475" s="1149">
        <f t="shared" si="502"/>
        <v>0</v>
      </c>
      <c r="GV475" s="1149">
        <f t="shared" si="503"/>
        <v>0</v>
      </c>
      <c r="GW475" s="1149" t="b">
        <f t="shared" si="504"/>
        <v>0</v>
      </c>
      <c r="GX475" s="1149" t="b">
        <f t="shared" si="505"/>
        <v>0</v>
      </c>
      <c r="GY475" s="1149" t="b">
        <f t="shared" si="506"/>
        <v>0</v>
      </c>
      <c r="GZ475" s="1149" t="str">
        <f t="shared" si="528"/>
        <v/>
      </c>
      <c r="HB475" s="1149" t="str">
        <f t="shared" si="507"/>
        <v/>
      </c>
      <c r="HC475" s="1149" t="str">
        <f t="shared" si="508"/>
        <v/>
      </c>
      <c r="HD475" s="1149" t="str">
        <f t="shared" si="509"/>
        <v/>
      </c>
      <c r="HE475" s="1149" t="str">
        <f t="shared" si="510"/>
        <v/>
      </c>
      <c r="HF475" s="1149" t="str">
        <f t="shared" si="511"/>
        <v/>
      </c>
      <c r="HG475" s="1149" t="str">
        <f t="shared" si="512"/>
        <v/>
      </c>
      <c r="HH475" s="1149" t="str">
        <f t="shared" si="513"/>
        <v/>
      </c>
      <c r="HI475" s="1149" t="str">
        <f t="shared" si="514"/>
        <v/>
      </c>
      <c r="HJ475" s="1149" t="str">
        <f t="shared" si="515"/>
        <v/>
      </c>
      <c r="HK475" s="1149" t="str">
        <f t="shared" si="516"/>
        <v/>
      </c>
      <c r="HL475" s="1149" t="str">
        <f t="shared" si="517"/>
        <v/>
      </c>
      <c r="HM475" s="1149" t="str">
        <f t="shared" si="518"/>
        <v/>
      </c>
      <c r="HN475" s="1149" t="str">
        <f t="shared" si="519"/>
        <v/>
      </c>
      <c r="HO475" s="1149" t="str">
        <f t="shared" si="520"/>
        <v/>
      </c>
      <c r="HP475" s="1149" t="str">
        <f t="shared" si="521"/>
        <v/>
      </c>
      <c r="HQ475" s="1149" t="str">
        <f t="shared" si="522"/>
        <v/>
      </c>
      <c r="HR475" s="1149" t="str">
        <f t="shared" si="523"/>
        <v/>
      </c>
      <c r="HT475" s="1149">
        <f>LEFT(M475,1)*10000+MID(M475,3,LEN(M475)-3)*100+COUNTIF($M$307:M475,M475)</f>
        <v>60101</v>
      </c>
      <c r="HU475" s="1149" t="str">
        <f t="shared" si="524"/>
        <v/>
      </c>
      <c r="HV475" s="1149" t="str">
        <f t="shared" si="525"/>
        <v/>
      </c>
      <c r="HW475" s="1149" t="str">
        <f t="shared" si="526"/>
        <v/>
      </c>
      <c r="HX475" s="1149" t="str">
        <f t="shared" si="527"/>
        <v/>
      </c>
    </row>
    <row r="476" spans="1:232" s="69" customFormat="1" ht="50.15" customHeight="1">
      <c r="A476" s="645"/>
      <c r="B476" s="645"/>
      <c r="C476" s="645"/>
      <c r="D476" s="645"/>
      <c r="E476" s="646"/>
      <c r="F476" s="381"/>
      <c r="G476" s="381"/>
      <c r="H476" s="381"/>
      <c r="J476" s="80"/>
      <c r="K476" s="89"/>
      <c r="L476" s="89"/>
      <c r="M476" s="2080" t="s">
        <v>1310</v>
      </c>
      <c r="N476" s="2080"/>
      <c r="O476" s="2080"/>
      <c r="P476" s="2016"/>
      <c r="Q476" s="2016"/>
      <c r="R476" s="1966"/>
      <c r="S476" s="1966"/>
      <c r="T476" s="1966"/>
      <c r="U476" s="1956" t="s">
        <v>191</v>
      </c>
      <c r="V476" s="1956"/>
      <c r="W476" s="1956"/>
      <c r="X476" s="1956"/>
      <c r="Y476" s="1956"/>
      <c r="Z476" s="1956"/>
      <c r="AA476" s="1956"/>
      <c r="AB476" s="1956"/>
      <c r="AC476" s="1956"/>
      <c r="AD476" s="1956"/>
      <c r="AE476" s="1956"/>
      <c r="AF476" s="2025"/>
      <c r="AG476" s="2025"/>
      <c r="AH476" s="2025"/>
      <c r="AI476" s="2025"/>
      <c r="AJ476" s="2025"/>
      <c r="AK476" s="2025"/>
      <c r="AL476" s="2025"/>
      <c r="AM476" s="2025"/>
      <c r="AN476" s="2025"/>
      <c r="AO476" s="2025"/>
      <c r="AP476" s="2025"/>
      <c r="AQ476" s="2025"/>
      <c r="AR476" s="2026"/>
      <c r="AS476" s="2026"/>
      <c r="AT476" s="1997"/>
      <c r="AU476" s="1997"/>
      <c r="AV476" s="1997"/>
      <c r="AW476" s="1997"/>
      <c r="AX476" s="1997"/>
      <c r="AY476" s="1997"/>
      <c r="AZ476" s="1997"/>
      <c r="BA476" s="1997"/>
      <c r="BB476" s="1997"/>
      <c r="BC476" s="1997"/>
      <c r="BD476" s="1997"/>
      <c r="BE476" s="1997"/>
      <c r="BF476" s="1997"/>
      <c r="BG476" s="1997"/>
      <c r="BH476" s="1997"/>
      <c r="BI476" s="1997"/>
      <c r="BJ476" s="1997"/>
      <c r="BK476" s="1997"/>
      <c r="BL476" s="1997"/>
      <c r="BM476" s="1997"/>
      <c r="BN476" s="1997"/>
      <c r="BO476" s="1997"/>
      <c r="BP476" s="1997"/>
      <c r="BQ476" s="1997"/>
      <c r="BR476" s="1997"/>
      <c r="BS476" s="1991"/>
      <c r="BT476" s="1991"/>
      <c r="BU476" s="1991"/>
      <c r="BV476" s="1982"/>
      <c r="BW476" s="1982"/>
      <c r="BX476" s="1982"/>
      <c r="BY476" s="1982"/>
      <c r="BZ476" s="1992"/>
      <c r="CA476" s="1992"/>
      <c r="CB476" s="1892"/>
      <c r="CC476" s="1893"/>
      <c r="CD476" s="1893"/>
      <c r="CE476" s="1893"/>
      <c r="CF476" s="1893"/>
      <c r="CG476" s="1893"/>
      <c r="CH476" s="1893"/>
      <c r="CI476" s="1893"/>
      <c r="CJ476" s="1893"/>
      <c r="CK476" s="1893"/>
      <c r="CL476" s="1893"/>
      <c r="CM476" s="1893"/>
      <c r="CN476" s="1893"/>
      <c r="CO476" s="1893"/>
      <c r="CP476" s="1893"/>
      <c r="CQ476" s="1893"/>
      <c r="CR476" s="1893"/>
      <c r="CS476" s="1893"/>
      <c r="CT476" s="1893"/>
      <c r="CU476" s="1894"/>
      <c r="CV476" s="2360" t="str">
        <f t="shared" si="561"/>
        <v/>
      </c>
      <c r="CW476" s="2360"/>
      <c r="CX476" s="2360"/>
      <c r="CY476" s="2360"/>
      <c r="CZ476" s="2360"/>
      <c r="DA476" s="2360"/>
      <c r="DC476" s="600" t="str">
        <f t="shared" si="562"/>
        <v/>
      </c>
      <c r="DD476" s="381"/>
      <c r="DF476" s="34"/>
      <c r="DG476" s="34"/>
      <c r="DH476" s="34"/>
      <c r="DI476" s="34"/>
      <c r="DJ476" s="858" t="s">
        <v>5637</v>
      </c>
      <c r="DK476" s="1707" t="str">
        <f t="shared" ref="DK476:DK488" si="609">IF(DS476=2,DATE(VLOOKUP(DJ476,$DU$6:$DV$9,2,FALSE)+BS476,BV476,1),"")</f>
        <v/>
      </c>
      <c r="DL476" s="1692" t="str">
        <f t="shared" ref="DL476:DL488" si="610">IF(DS476=2,DJ476&amp;BS476&amp;"."&amp;BV476,"")</f>
        <v/>
      </c>
      <c r="DM476" s="1691">
        <f t="shared" si="563"/>
        <v>0</v>
      </c>
      <c r="DN476" s="111">
        <f t="shared" si="564"/>
        <v>0</v>
      </c>
      <c r="DO476" s="111">
        <f t="shared" si="565"/>
        <v>0</v>
      </c>
      <c r="DP476" s="474">
        <f t="shared" si="566"/>
        <v>0</v>
      </c>
      <c r="DQ476" s="123" t="s">
        <v>850</v>
      </c>
      <c r="DR476" s="473" t="str">
        <f>IF($U476="",R475,U476)</f>
        <v>膜張力及びケーブル張力の状況</v>
      </c>
      <c r="DS476" s="112">
        <f t="shared" si="568"/>
        <v>0</v>
      </c>
      <c r="DT476" s="118" t="str">
        <f t="shared" si="569"/>
        <v/>
      </c>
      <c r="DU476" s="452" t="str">
        <f t="shared" si="570"/>
        <v/>
      </c>
      <c r="DV476" s="151" t="str">
        <f>IF($DT476="要是正",MAX($DV$471:DV475)+1,"")</f>
        <v/>
      </c>
      <c r="DW476" s="32" t="str">
        <f t="shared" si="571"/>
        <v/>
      </c>
      <c r="DX476" s="119" t="str">
        <f t="shared" si="572"/>
        <v/>
      </c>
      <c r="DY476" s="33" t="str">
        <f t="shared" si="457"/>
        <v/>
      </c>
      <c r="DZ476" s="217" t="str">
        <f t="shared" si="573"/>
        <v/>
      </c>
      <c r="EA476" s="466" t="str">
        <f t="shared" si="574"/>
        <v/>
      </c>
      <c r="EB476" s="234" t="str">
        <f t="shared" si="575"/>
        <v/>
      </c>
      <c r="EC476" s="227" t="str">
        <f t="shared" si="576"/>
        <v>0</v>
      </c>
      <c r="ED476" s="148" t="str">
        <f t="shared" ref="ED476:ED483" si="611">IF(DT476="要是正",IF(AND(BY476="予定",DS476=2),1,IF(BY476="改善済",2,"")),"")</f>
        <v/>
      </c>
      <c r="EE476" s="227" t="str">
        <f t="shared" ref="EE476:EE483" si="612">IF(ED476=1,EC476,"0")</f>
        <v>0</v>
      </c>
      <c r="EF476" s="130" t="str">
        <f t="shared" si="578"/>
        <v/>
      </c>
      <c r="EG476" s="204" t="str">
        <f t="shared" si="579"/>
        <v/>
      </c>
      <c r="EH476" s="134" t="str">
        <f t="shared" si="580"/>
        <v>0</v>
      </c>
      <c r="EI476" s="148" t="str">
        <f t="shared" ref="EI476:EI483" si="613">IF(DT476="既存不適格",IF(AND(BY476="予定",DS476=2),1,IF(BY476="改善済",2,"")),"")</f>
        <v/>
      </c>
      <c r="EJ476" s="227" t="str">
        <f t="shared" ref="EJ476:EJ483" si="614">IF(EI476=1,EH476,"0")</f>
        <v>0</v>
      </c>
      <c r="EK476" s="451" t="str">
        <f t="shared" si="582"/>
        <v/>
      </c>
      <c r="EL476" s="452" t="e">
        <f t="shared" si="583"/>
        <v>#N/A</v>
      </c>
      <c r="EM476" s="151" t="e">
        <f t="shared" si="584"/>
        <v>#N/A</v>
      </c>
      <c r="EN476" s="453" t="e">
        <f t="shared" si="585"/>
        <v>#N/A</v>
      </c>
      <c r="EO476" s="35"/>
      <c r="EP476" s="35"/>
      <c r="EQ476" s="35"/>
      <c r="ER476" s="35"/>
      <c r="ES476" s="35"/>
      <c r="ET476" s="35"/>
      <c r="EU476" s="35"/>
      <c r="EV476" s="35"/>
      <c r="EW476" s="35"/>
      <c r="EX476" s="35"/>
      <c r="EY476" s="35"/>
      <c r="EZ476" s="35"/>
      <c r="FA476" s="35"/>
      <c r="FB476" s="35"/>
      <c r="FC476" s="35"/>
      <c r="FD476" s="35"/>
      <c r="FE476" s="35"/>
      <c r="FF476" s="35"/>
      <c r="FG476" s="35"/>
      <c r="FH476" s="35"/>
      <c r="FK476" s="597" t="str">
        <f t="shared" si="586"/>
        <v/>
      </c>
      <c r="FL476" s="597" t="str">
        <f t="shared" si="530"/>
        <v/>
      </c>
      <c r="FM476" s="597" t="str">
        <f t="shared" si="531"/>
        <v/>
      </c>
      <c r="FN476" s="597">
        <f t="shared" si="587"/>
        <v>0</v>
      </c>
      <c r="FO476" s="1163" t="str">
        <f t="shared" si="588"/>
        <v/>
      </c>
      <c r="FQ476" s="234" t="str">
        <f t="shared" si="589"/>
        <v/>
      </c>
      <c r="FR476" s="227" t="str">
        <f t="shared" si="590"/>
        <v>0</v>
      </c>
      <c r="FS476" s="148" t="str">
        <f t="shared" si="591"/>
        <v/>
      </c>
      <c r="FT476" s="227" t="str">
        <f t="shared" si="592"/>
        <v>0</v>
      </c>
      <c r="FU476" s="416" t="str">
        <f t="shared" si="593"/>
        <v/>
      </c>
      <c r="FW476" s="1160">
        <f t="shared" si="529"/>
        <v>0</v>
      </c>
      <c r="FX476" s="123"/>
      <c r="FY476" s="123"/>
      <c r="FZ476" s="1161"/>
      <c r="GA476" s="34"/>
      <c r="GB476" s="1149">
        <f t="shared" si="498"/>
        <v>0</v>
      </c>
      <c r="GC476" s="1149">
        <f t="shared" si="499"/>
        <v>0</v>
      </c>
      <c r="GD476" s="1149">
        <f t="shared" si="500"/>
        <v>0</v>
      </c>
      <c r="GE476" s="1149" t="str">
        <f t="shared" si="594"/>
        <v/>
      </c>
      <c r="GF476" s="1149" t="str">
        <f t="shared" si="595"/>
        <v/>
      </c>
      <c r="GG476" s="1149" t="str">
        <f t="shared" si="596"/>
        <v/>
      </c>
      <c r="GH476" s="1149" t="str">
        <f t="shared" si="597"/>
        <v/>
      </c>
      <c r="GI476" s="1149" t="str">
        <f t="shared" si="598"/>
        <v/>
      </c>
      <c r="GJ476" s="1149" t="str">
        <f t="shared" si="599"/>
        <v/>
      </c>
      <c r="GK476" s="1149" t="str">
        <f t="shared" si="600"/>
        <v/>
      </c>
      <c r="GL476" s="1149" t="str">
        <f t="shared" si="601"/>
        <v/>
      </c>
      <c r="GM476" s="1149" t="str">
        <f t="shared" si="602"/>
        <v/>
      </c>
      <c r="GN476" s="1149" t="str">
        <f t="shared" si="603"/>
        <v/>
      </c>
      <c r="GO476" s="1149" t="str">
        <f t="shared" si="604"/>
        <v/>
      </c>
      <c r="GP476" s="1149" t="str">
        <f t="shared" si="605"/>
        <v/>
      </c>
      <c r="GQ476" s="1149" t="str">
        <f t="shared" si="606"/>
        <v/>
      </c>
      <c r="GR476" s="1149" t="str">
        <f t="shared" si="607"/>
        <v/>
      </c>
      <c r="GS476" s="1149" t="str">
        <f t="shared" si="608"/>
        <v/>
      </c>
      <c r="GT476" s="1149">
        <f t="shared" si="501"/>
        <v>0</v>
      </c>
      <c r="GU476" s="1149">
        <f t="shared" si="502"/>
        <v>0</v>
      </c>
      <c r="GV476" s="1149">
        <f t="shared" si="503"/>
        <v>0</v>
      </c>
      <c r="GW476" s="1149" t="b">
        <f t="shared" si="504"/>
        <v>0</v>
      </c>
      <c r="GX476" s="1149" t="b">
        <f t="shared" si="505"/>
        <v>0</v>
      </c>
      <c r="GY476" s="1149" t="b">
        <f t="shared" si="506"/>
        <v>0</v>
      </c>
      <c r="GZ476" s="1149" t="str">
        <f t="shared" si="528"/>
        <v/>
      </c>
      <c r="HB476" s="1149" t="str">
        <f t="shared" si="507"/>
        <v/>
      </c>
      <c r="HC476" s="1149" t="str">
        <f t="shared" si="508"/>
        <v/>
      </c>
      <c r="HD476" s="1149" t="str">
        <f t="shared" si="509"/>
        <v/>
      </c>
      <c r="HE476" s="1149" t="str">
        <f t="shared" si="510"/>
        <v/>
      </c>
      <c r="HF476" s="1149" t="str">
        <f t="shared" si="511"/>
        <v/>
      </c>
      <c r="HG476" s="1149" t="str">
        <f t="shared" si="512"/>
        <v/>
      </c>
      <c r="HH476" s="1149" t="str">
        <f t="shared" si="513"/>
        <v/>
      </c>
      <c r="HI476" s="1149" t="str">
        <f t="shared" si="514"/>
        <v/>
      </c>
      <c r="HJ476" s="1149" t="str">
        <f t="shared" si="515"/>
        <v/>
      </c>
      <c r="HK476" s="1149" t="str">
        <f t="shared" si="516"/>
        <v/>
      </c>
      <c r="HL476" s="1149" t="str">
        <f t="shared" si="517"/>
        <v/>
      </c>
      <c r="HM476" s="1149" t="str">
        <f t="shared" si="518"/>
        <v/>
      </c>
      <c r="HN476" s="1149" t="str">
        <f t="shared" si="519"/>
        <v/>
      </c>
      <c r="HO476" s="1149" t="str">
        <f t="shared" si="520"/>
        <v/>
      </c>
      <c r="HP476" s="1149" t="str">
        <f t="shared" si="521"/>
        <v/>
      </c>
      <c r="HQ476" s="1149" t="str">
        <f t="shared" si="522"/>
        <v/>
      </c>
      <c r="HR476" s="1149" t="str">
        <f t="shared" si="523"/>
        <v/>
      </c>
      <c r="HT476" s="1149">
        <f>LEFT(M476,1)*10000+MID(M476,3,LEN(M476)-3)*100+COUNTIF($M$307:M476,M476)</f>
        <v>60201</v>
      </c>
      <c r="HU476" s="1149" t="str">
        <f t="shared" si="524"/>
        <v/>
      </c>
      <c r="HV476" s="1149" t="str">
        <f t="shared" si="525"/>
        <v/>
      </c>
      <c r="HW476" s="1149" t="str">
        <f t="shared" si="526"/>
        <v/>
      </c>
      <c r="HX476" s="1149" t="str">
        <f t="shared" si="527"/>
        <v/>
      </c>
    </row>
    <row r="477" spans="1:232" s="69" customFormat="1" ht="50.15" customHeight="1">
      <c r="A477" s="645"/>
      <c r="B477" s="645"/>
      <c r="C477" s="645"/>
      <c r="D477" s="645"/>
      <c r="E477" s="646"/>
      <c r="F477" s="381"/>
      <c r="G477" s="381"/>
      <c r="H477" s="381"/>
      <c r="J477" s="80"/>
      <c r="K477" s="89"/>
      <c r="L477" s="89"/>
      <c r="M477" s="2080" t="s">
        <v>1311</v>
      </c>
      <c r="N477" s="2080"/>
      <c r="O477" s="2080"/>
      <c r="P477" s="2016"/>
      <c r="Q477" s="2016"/>
      <c r="R477" s="1966" t="s">
        <v>192</v>
      </c>
      <c r="S477" s="1966"/>
      <c r="T477" s="1966"/>
      <c r="U477" s="2011" t="s">
        <v>147</v>
      </c>
      <c r="V477" s="2011"/>
      <c r="W477" s="2011"/>
      <c r="X477" s="2011"/>
      <c r="Y477" s="2011"/>
      <c r="Z477" s="2011"/>
      <c r="AA477" s="2011"/>
      <c r="AB477" s="2011"/>
      <c r="AC477" s="2011"/>
      <c r="AD477" s="2011"/>
      <c r="AE477" s="2011"/>
      <c r="AF477" s="2010"/>
      <c r="AG477" s="2010"/>
      <c r="AH477" s="2010"/>
      <c r="AI477" s="2010"/>
      <c r="AJ477" s="2010"/>
      <c r="AK477" s="2010"/>
      <c r="AL477" s="2010"/>
      <c r="AM477" s="2010"/>
      <c r="AN477" s="2010"/>
      <c r="AO477" s="2010"/>
      <c r="AP477" s="2010"/>
      <c r="AQ477" s="2010"/>
      <c r="AR477" s="2017"/>
      <c r="AS477" s="2017"/>
      <c r="AT477" s="1929"/>
      <c r="AU477" s="1929"/>
      <c r="AV477" s="1929"/>
      <c r="AW477" s="1929"/>
      <c r="AX477" s="1929"/>
      <c r="AY477" s="1929"/>
      <c r="AZ477" s="1929"/>
      <c r="BA477" s="1929"/>
      <c r="BB477" s="1929"/>
      <c r="BC477" s="1929"/>
      <c r="BD477" s="1929"/>
      <c r="BE477" s="1929"/>
      <c r="BF477" s="1929"/>
      <c r="BG477" s="1929"/>
      <c r="BH477" s="1929"/>
      <c r="BI477" s="1929"/>
      <c r="BJ477" s="1929"/>
      <c r="BK477" s="1929"/>
      <c r="BL477" s="1929"/>
      <c r="BM477" s="1929"/>
      <c r="BN477" s="1929"/>
      <c r="BO477" s="1929"/>
      <c r="BP477" s="1929"/>
      <c r="BQ477" s="1929"/>
      <c r="BR477" s="1929"/>
      <c r="BS477" s="1885"/>
      <c r="BT477" s="1885"/>
      <c r="BU477" s="1885"/>
      <c r="BV477" s="1890"/>
      <c r="BW477" s="1890"/>
      <c r="BX477" s="1890"/>
      <c r="BY477" s="1890"/>
      <c r="BZ477" s="1891"/>
      <c r="CA477" s="1891"/>
      <c r="CB477" s="2083"/>
      <c r="CC477" s="2084"/>
      <c r="CD477" s="2084"/>
      <c r="CE477" s="2084"/>
      <c r="CF477" s="2084"/>
      <c r="CG477" s="2084"/>
      <c r="CH477" s="2084"/>
      <c r="CI477" s="2084"/>
      <c r="CJ477" s="2084"/>
      <c r="CK477" s="2084"/>
      <c r="CL477" s="2084"/>
      <c r="CM477" s="2084"/>
      <c r="CN477" s="2084"/>
      <c r="CO477" s="2084"/>
      <c r="CP477" s="2084"/>
      <c r="CQ477" s="2084"/>
      <c r="CR477" s="2084"/>
      <c r="CS477" s="2084"/>
      <c r="CT477" s="2084"/>
      <c r="CU477" s="2085"/>
      <c r="CV477" s="2360" t="str">
        <f t="shared" si="561"/>
        <v/>
      </c>
      <c r="CW477" s="2360"/>
      <c r="CX477" s="2360"/>
      <c r="CY477" s="2360"/>
      <c r="CZ477" s="2360"/>
      <c r="DA477" s="2360"/>
      <c r="DC477" s="600" t="str">
        <f t="shared" si="562"/>
        <v/>
      </c>
      <c r="DD477" s="381"/>
      <c r="DF477" s="34"/>
      <c r="DG477" s="34"/>
      <c r="DH477" s="34"/>
      <c r="DI477" s="34"/>
      <c r="DJ477" s="858" t="s">
        <v>5637</v>
      </c>
      <c r="DK477" s="1707" t="str">
        <f t="shared" si="609"/>
        <v/>
      </c>
      <c r="DL477" s="1692" t="str">
        <f t="shared" si="610"/>
        <v/>
      </c>
      <c r="DM477" s="1691">
        <f t="shared" si="563"/>
        <v>0</v>
      </c>
      <c r="DN477" s="111">
        <f t="shared" si="564"/>
        <v>0</v>
      </c>
      <c r="DO477" s="111">
        <f t="shared" si="565"/>
        <v>0</v>
      </c>
      <c r="DP477" s="474">
        <f t="shared" si="566"/>
        <v>0</v>
      </c>
      <c r="DQ477" s="123" t="s">
        <v>851</v>
      </c>
      <c r="DR477" s="473" t="str">
        <f t="shared" si="567"/>
        <v>免震装置の劣化及び損傷の状況（免震装置が可視状態にある場合に限る。）</v>
      </c>
      <c r="DS477" s="112">
        <f t="shared" si="568"/>
        <v>0</v>
      </c>
      <c r="DT477" s="118" t="str">
        <f t="shared" si="569"/>
        <v/>
      </c>
      <c r="DU477" s="452" t="str">
        <f t="shared" si="570"/>
        <v/>
      </c>
      <c r="DV477" s="151" t="str">
        <f>IF($DT477="要是正",MAX($DV$471:DV476)+1,"")</f>
        <v/>
      </c>
      <c r="DW477" s="32" t="str">
        <f t="shared" si="571"/>
        <v/>
      </c>
      <c r="DX477" s="119" t="str">
        <f t="shared" si="572"/>
        <v/>
      </c>
      <c r="DY477" s="33" t="str">
        <f t="shared" si="457"/>
        <v/>
      </c>
      <c r="DZ477" s="217" t="str">
        <f t="shared" si="573"/>
        <v/>
      </c>
      <c r="EA477" s="466" t="str">
        <f t="shared" si="574"/>
        <v/>
      </c>
      <c r="EB477" s="234" t="str">
        <f t="shared" si="575"/>
        <v/>
      </c>
      <c r="EC477" s="227" t="str">
        <f t="shared" si="576"/>
        <v>0</v>
      </c>
      <c r="ED477" s="148" t="str">
        <f t="shared" si="611"/>
        <v/>
      </c>
      <c r="EE477" s="227" t="str">
        <f t="shared" si="612"/>
        <v>0</v>
      </c>
      <c r="EF477" s="130" t="str">
        <f t="shared" si="578"/>
        <v/>
      </c>
      <c r="EG477" s="204" t="str">
        <f t="shared" si="579"/>
        <v/>
      </c>
      <c r="EH477" s="134" t="str">
        <f t="shared" si="580"/>
        <v>0</v>
      </c>
      <c r="EI477" s="148" t="str">
        <f t="shared" si="613"/>
        <v/>
      </c>
      <c r="EJ477" s="227" t="str">
        <f t="shared" si="614"/>
        <v>0</v>
      </c>
      <c r="EK477" s="451" t="str">
        <f t="shared" si="582"/>
        <v/>
      </c>
      <c r="EL477" s="452" t="e">
        <f t="shared" si="583"/>
        <v>#N/A</v>
      </c>
      <c r="EM477" s="151" t="e">
        <f t="shared" si="584"/>
        <v>#N/A</v>
      </c>
      <c r="EN477" s="453" t="e">
        <f t="shared" si="585"/>
        <v>#N/A</v>
      </c>
      <c r="FK477" s="597" t="str">
        <f t="shared" si="586"/>
        <v/>
      </c>
      <c r="FL477" s="597" t="str">
        <f t="shared" si="530"/>
        <v/>
      </c>
      <c r="FM477" s="597" t="str">
        <f t="shared" si="531"/>
        <v/>
      </c>
      <c r="FN477" s="597">
        <f t="shared" si="587"/>
        <v>0</v>
      </c>
      <c r="FO477" s="1163" t="str">
        <f t="shared" si="588"/>
        <v/>
      </c>
      <c r="FQ477" s="234" t="str">
        <f t="shared" si="589"/>
        <v/>
      </c>
      <c r="FR477" s="227" t="str">
        <f t="shared" si="590"/>
        <v>0</v>
      </c>
      <c r="FS477" s="148" t="str">
        <f t="shared" si="591"/>
        <v/>
      </c>
      <c r="FT477" s="227" t="str">
        <f t="shared" si="592"/>
        <v>0</v>
      </c>
      <c r="FU477" s="416" t="str">
        <f t="shared" si="593"/>
        <v/>
      </c>
      <c r="FW477" s="1160">
        <f t="shared" si="529"/>
        <v>0</v>
      </c>
      <c r="FX477" s="123"/>
      <c r="FY477" s="123"/>
      <c r="FZ477" s="1161"/>
      <c r="GA477" s="34"/>
      <c r="GB477" s="1149">
        <f t="shared" si="498"/>
        <v>0</v>
      </c>
      <c r="GC477" s="1149">
        <f t="shared" si="499"/>
        <v>0</v>
      </c>
      <c r="GD477" s="1149">
        <f t="shared" si="500"/>
        <v>0</v>
      </c>
      <c r="GE477" s="1149" t="str">
        <f t="shared" si="594"/>
        <v/>
      </c>
      <c r="GF477" s="1149" t="str">
        <f t="shared" si="595"/>
        <v/>
      </c>
      <c r="GG477" s="1149" t="str">
        <f t="shared" si="596"/>
        <v/>
      </c>
      <c r="GH477" s="1149" t="str">
        <f t="shared" si="597"/>
        <v/>
      </c>
      <c r="GI477" s="1149" t="str">
        <f t="shared" si="598"/>
        <v/>
      </c>
      <c r="GJ477" s="1149" t="str">
        <f t="shared" si="599"/>
        <v/>
      </c>
      <c r="GK477" s="1149" t="str">
        <f t="shared" si="600"/>
        <v/>
      </c>
      <c r="GL477" s="1149" t="str">
        <f t="shared" si="601"/>
        <v/>
      </c>
      <c r="GM477" s="1149" t="str">
        <f t="shared" si="602"/>
        <v/>
      </c>
      <c r="GN477" s="1149" t="str">
        <f t="shared" si="603"/>
        <v/>
      </c>
      <c r="GO477" s="1149" t="str">
        <f t="shared" si="604"/>
        <v/>
      </c>
      <c r="GP477" s="1149" t="str">
        <f t="shared" si="605"/>
        <v/>
      </c>
      <c r="GQ477" s="1149" t="str">
        <f t="shared" si="606"/>
        <v/>
      </c>
      <c r="GR477" s="1149" t="str">
        <f t="shared" si="607"/>
        <v/>
      </c>
      <c r="GS477" s="1149" t="str">
        <f t="shared" si="608"/>
        <v/>
      </c>
      <c r="GT477" s="1149">
        <f t="shared" si="501"/>
        <v>0</v>
      </c>
      <c r="GU477" s="1149">
        <f t="shared" si="502"/>
        <v>0</v>
      </c>
      <c r="GV477" s="1149">
        <f t="shared" si="503"/>
        <v>0</v>
      </c>
      <c r="GW477" s="1149" t="b">
        <f t="shared" si="504"/>
        <v>0</v>
      </c>
      <c r="GX477" s="1149" t="b">
        <f t="shared" si="505"/>
        <v>0</v>
      </c>
      <c r="GY477" s="1149" t="b">
        <f t="shared" si="506"/>
        <v>0</v>
      </c>
      <c r="GZ477" s="1149" t="str">
        <f t="shared" si="528"/>
        <v/>
      </c>
      <c r="HB477" s="1149" t="str">
        <f t="shared" si="507"/>
        <v/>
      </c>
      <c r="HC477" s="1149" t="str">
        <f t="shared" si="508"/>
        <v/>
      </c>
      <c r="HD477" s="1149" t="str">
        <f t="shared" si="509"/>
        <v/>
      </c>
      <c r="HE477" s="1149" t="str">
        <f t="shared" si="510"/>
        <v/>
      </c>
      <c r="HF477" s="1149" t="str">
        <f t="shared" si="511"/>
        <v/>
      </c>
      <c r="HG477" s="1149" t="str">
        <f t="shared" si="512"/>
        <v/>
      </c>
      <c r="HH477" s="1149" t="str">
        <f t="shared" si="513"/>
        <v/>
      </c>
      <c r="HI477" s="1149" t="str">
        <f t="shared" si="514"/>
        <v/>
      </c>
      <c r="HJ477" s="1149" t="str">
        <f t="shared" si="515"/>
        <v/>
      </c>
      <c r="HK477" s="1149" t="str">
        <f t="shared" si="516"/>
        <v/>
      </c>
      <c r="HL477" s="1149" t="str">
        <f t="shared" si="517"/>
        <v/>
      </c>
      <c r="HM477" s="1149" t="str">
        <f t="shared" si="518"/>
        <v/>
      </c>
      <c r="HN477" s="1149" t="str">
        <f t="shared" si="519"/>
        <v/>
      </c>
      <c r="HO477" s="1149" t="str">
        <f t="shared" si="520"/>
        <v/>
      </c>
      <c r="HP477" s="1149" t="str">
        <f t="shared" si="521"/>
        <v/>
      </c>
      <c r="HQ477" s="1149" t="str">
        <f t="shared" si="522"/>
        <v/>
      </c>
      <c r="HR477" s="1149" t="str">
        <f t="shared" si="523"/>
        <v/>
      </c>
      <c r="HT477" s="1149">
        <f>LEFT(M477,1)*10000+MID(M477,3,LEN(M477)-3)*100+COUNTIF($M$307:M477,M477)</f>
        <v>60301</v>
      </c>
      <c r="HU477" s="1149" t="str">
        <f t="shared" si="524"/>
        <v/>
      </c>
      <c r="HV477" s="1149" t="str">
        <f t="shared" si="525"/>
        <v/>
      </c>
      <c r="HW477" s="1149" t="str">
        <f t="shared" si="526"/>
        <v/>
      </c>
      <c r="HX477" s="1149" t="str">
        <f t="shared" si="527"/>
        <v/>
      </c>
    </row>
    <row r="478" spans="1:232" s="69" customFormat="1" ht="50.15" customHeight="1">
      <c r="A478" s="645"/>
      <c r="B478" s="645"/>
      <c r="C478" s="645"/>
      <c r="D478" s="645"/>
      <c r="E478" s="646"/>
      <c r="F478" s="381"/>
      <c r="G478" s="381"/>
      <c r="H478" s="381"/>
      <c r="J478" s="80"/>
      <c r="K478" s="89"/>
      <c r="L478" s="89"/>
      <c r="M478" s="2080" t="s">
        <v>1312</v>
      </c>
      <c r="N478" s="2080"/>
      <c r="O478" s="2080"/>
      <c r="P478" s="2016"/>
      <c r="Q478" s="2016"/>
      <c r="R478" s="1966"/>
      <c r="S478" s="1966"/>
      <c r="T478" s="1966"/>
      <c r="U478" s="1956" t="s">
        <v>193</v>
      </c>
      <c r="V478" s="1956"/>
      <c r="W478" s="1956"/>
      <c r="X478" s="1956"/>
      <c r="Y478" s="1956"/>
      <c r="Z478" s="1956"/>
      <c r="AA478" s="1956"/>
      <c r="AB478" s="1956"/>
      <c r="AC478" s="1956"/>
      <c r="AD478" s="1956"/>
      <c r="AE478" s="1956"/>
      <c r="AF478" s="2025"/>
      <c r="AG478" s="2025"/>
      <c r="AH478" s="2025"/>
      <c r="AI478" s="2025"/>
      <c r="AJ478" s="2025"/>
      <c r="AK478" s="2025"/>
      <c r="AL478" s="2025"/>
      <c r="AM478" s="2025"/>
      <c r="AN478" s="2025"/>
      <c r="AO478" s="2025"/>
      <c r="AP478" s="2025"/>
      <c r="AQ478" s="2025"/>
      <c r="AR478" s="2026"/>
      <c r="AS478" s="2026"/>
      <c r="AT478" s="1997"/>
      <c r="AU478" s="1997"/>
      <c r="AV478" s="1997"/>
      <c r="AW478" s="1997"/>
      <c r="AX478" s="1997"/>
      <c r="AY478" s="1997"/>
      <c r="AZ478" s="1997"/>
      <c r="BA478" s="1997"/>
      <c r="BB478" s="1997"/>
      <c r="BC478" s="1997"/>
      <c r="BD478" s="1997"/>
      <c r="BE478" s="1997"/>
      <c r="BF478" s="1997"/>
      <c r="BG478" s="1997"/>
      <c r="BH478" s="1997"/>
      <c r="BI478" s="1997"/>
      <c r="BJ478" s="1997"/>
      <c r="BK478" s="1997"/>
      <c r="BL478" s="1997"/>
      <c r="BM478" s="1997"/>
      <c r="BN478" s="1997"/>
      <c r="BO478" s="1997"/>
      <c r="BP478" s="1997"/>
      <c r="BQ478" s="1997"/>
      <c r="BR478" s="1997"/>
      <c r="BS478" s="1991"/>
      <c r="BT478" s="1991"/>
      <c r="BU478" s="1991"/>
      <c r="BV478" s="1982"/>
      <c r="BW478" s="1982"/>
      <c r="BX478" s="1982"/>
      <c r="BY478" s="1982"/>
      <c r="BZ478" s="1992"/>
      <c r="CA478" s="1992"/>
      <c r="CB478" s="1892"/>
      <c r="CC478" s="1893"/>
      <c r="CD478" s="1893"/>
      <c r="CE478" s="1893"/>
      <c r="CF478" s="1893"/>
      <c r="CG478" s="1893"/>
      <c r="CH478" s="1893"/>
      <c r="CI478" s="1893"/>
      <c r="CJ478" s="1893"/>
      <c r="CK478" s="1893"/>
      <c r="CL478" s="1893"/>
      <c r="CM478" s="1893"/>
      <c r="CN478" s="1893"/>
      <c r="CO478" s="1893"/>
      <c r="CP478" s="1893"/>
      <c r="CQ478" s="1893"/>
      <c r="CR478" s="1893"/>
      <c r="CS478" s="1893"/>
      <c r="CT478" s="1893"/>
      <c r="CU478" s="1894"/>
      <c r="CV478" s="2360" t="str">
        <f t="shared" si="561"/>
        <v/>
      </c>
      <c r="CW478" s="2360"/>
      <c r="CX478" s="2360"/>
      <c r="CY478" s="2360"/>
      <c r="CZ478" s="2360"/>
      <c r="DA478" s="2360"/>
      <c r="DC478" s="600" t="str">
        <f t="shared" si="562"/>
        <v/>
      </c>
      <c r="DD478" s="381"/>
      <c r="DF478" s="34"/>
      <c r="DG478" s="34"/>
      <c r="DH478" s="34"/>
      <c r="DI478" s="34"/>
      <c r="DJ478" s="858" t="s">
        <v>5637</v>
      </c>
      <c r="DK478" s="1707" t="str">
        <f t="shared" si="609"/>
        <v/>
      </c>
      <c r="DL478" s="1692" t="str">
        <f t="shared" si="610"/>
        <v/>
      </c>
      <c r="DM478" s="1691">
        <f t="shared" si="563"/>
        <v>0</v>
      </c>
      <c r="DN478" s="111">
        <f t="shared" si="564"/>
        <v>0</v>
      </c>
      <c r="DO478" s="111">
        <f t="shared" si="565"/>
        <v>0</v>
      </c>
      <c r="DP478" s="474">
        <f t="shared" si="566"/>
        <v>0</v>
      </c>
      <c r="DQ478" s="123" t="s">
        <v>852</v>
      </c>
      <c r="DR478" s="473" t="str">
        <f>IF($U478="",R477,U478)</f>
        <v>上部構造の可動の状況</v>
      </c>
      <c r="DS478" s="112">
        <f t="shared" si="568"/>
        <v>0</v>
      </c>
      <c r="DT478" s="118" t="str">
        <f t="shared" si="569"/>
        <v/>
      </c>
      <c r="DU478" s="452" t="str">
        <f t="shared" si="570"/>
        <v/>
      </c>
      <c r="DV478" s="151" t="str">
        <f>IF($DT478="要是正",MAX($DV$471:DV477)+1,"")</f>
        <v/>
      </c>
      <c r="DW478" s="32" t="str">
        <f t="shared" si="571"/>
        <v/>
      </c>
      <c r="DX478" s="119" t="str">
        <f t="shared" si="572"/>
        <v/>
      </c>
      <c r="DY478" s="33" t="str">
        <f t="shared" ref="DY478:DY483" si="615">IF($DT478="要是正",IF(AT478="","",DQ478 &amp;" " &amp; AT478),"")</f>
        <v/>
      </c>
      <c r="DZ478" s="217" t="str">
        <f t="shared" si="573"/>
        <v/>
      </c>
      <c r="EA478" s="466" t="str">
        <f t="shared" si="574"/>
        <v/>
      </c>
      <c r="EB478" s="234" t="str">
        <f t="shared" si="575"/>
        <v/>
      </c>
      <c r="EC478" s="227" t="str">
        <f t="shared" si="576"/>
        <v>0</v>
      </c>
      <c r="ED478" s="148" t="str">
        <f t="shared" si="611"/>
        <v/>
      </c>
      <c r="EE478" s="227" t="str">
        <f t="shared" si="612"/>
        <v>0</v>
      </c>
      <c r="EF478" s="130" t="str">
        <f t="shared" si="578"/>
        <v/>
      </c>
      <c r="EG478" s="204" t="str">
        <f t="shared" si="579"/>
        <v/>
      </c>
      <c r="EH478" s="134" t="str">
        <f t="shared" si="580"/>
        <v>0</v>
      </c>
      <c r="EI478" s="148" t="str">
        <f t="shared" si="613"/>
        <v/>
      </c>
      <c r="EJ478" s="227" t="str">
        <f t="shared" si="614"/>
        <v>0</v>
      </c>
      <c r="EK478" s="451" t="str">
        <f t="shared" si="582"/>
        <v/>
      </c>
      <c r="EL478" s="452" t="e">
        <f t="shared" si="583"/>
        <v>#N/A</v>
      </c>
      <c r="EM478" s="151" t="e">
        <f t="shared" si="584"/>
        <v>#N/A</v>
      </c>
      <c r="EN478" s="453" t="e">
        <f t="shared" si="585"/>
        <v>#N/A</v>
      </c>
      <c r="FK478" s="597" t="str">
        <f t="shared" si="586"/>
        <v/>
      </c>
      <c r="FL478" s="597" t="str">
        <f t="shared" si="530"/>
        <v/>
      </c>
      <c r="FM478" s="597" t="str">
        <f t="shared" si="531"/>
        <v/>
      </c>
      <c r="FN478" s="597">
        <f t="shared" si="587"/>
        <v>0</v>
      </c>
      <c r="FO478" s="1163" t="str">
        <f t="shared" si="588"/>
        <v/>
      </c>
      <c r="FQ478" s="234" t="str">
        <f t="shared" si="589"/>
        <v/>
      </c>
      <c r="FR478" s="227" t="str">
        <f t="shared" si="590"/>
        <v>0</v>
      </c>
      <c r="FS478" s="148" t="str">
        <f t="shared" si="591"/>
        <v/>
      </c>
      <c r="FT478" s="227" t="str">
        <f t="shared" si="592"/>
        <v>0</v>
      </c>
      <c r="FU478" s="416" t="str">
        <f t="shared" si="593"/>
        <v/>
      </c>
      <c r="FW478" s="1160">
        <f t="shared" si="529"/>
        <v>0</v>
      </c>
      <c r="FX478" s="123"/>
      <c r="FY478" s="123"/>
      <c r="FZ478" s="1161"/>
      <c r="GA478" s="34"/>
      <c r="GB478" s="1149">
        <f t="shared" si="498"/>
        <v>0</v>
      </c>
      <c r="GC478" s="1149">
        <f t="shared" si="499"/>
        <v>0</v>
      </c>
      <c r="GD478" s="1149">
        <f t="shared" si="500"/>
        <v>0</v>
      </c>
      <c r="GE478" s="1149" t="str">
        <f t="shared" si="594"/>
        <v/>
      </c>
      <c r="GF478" s="1149" t="str">
        <f t="shared" si="595"/>
        <v/>
      </c>
      <c r="GG478" s="1149" t="str">
        <f t="shared" si="596"/>
        <v/>
      </c>
      <c r="GH478" s="1149" t="str">
        <f t="shared" si="597"/>
        <v/>
      </c>
      <c r="GI478" s="1149" t="str">
        <f t="shared" si="598"/>
        <v/>
      </c>
      <c r="GJ478" s="1149" t="str">
        <f t="shared" si="599"/>
        <v/>
      </c>
      <c r="GK478" s="1149" t="str">
        <f t="shared" si="600"/>
        <v/>
      </c>
      <c r="GL478" s="1149" t="str">
        <f t="shared" si="601"/>
        <v/>
      </c>
      <c r="GM478" s="1149" t="str">
        <f t="shared" si="602"/>
        <v/>
      </c>
      <c r="GN478" s="1149" t="str">
        <f t="shared" si="603"/>
        <v/>
      </c>
      <c r="GO478" s="1149" t="str">
        <f t="shared" si="604"/>
        <v/>
      </c>
      <c r="GP478" s="1149" t="str">
        <f t="shared" si="605"/>
        <v/>
      </c>
      <c r="GQ478" s="1149" t="str">
        <f t="shared" si="606"/>
        <v/>
      </c>
      <c r="GR478" s="1149" t="str">
        <f t="shared" si="607"/>
        <v/>
      </c>
      <c r="GS478" s="1149" t="str">
        <f t="shared" si="608"/>
        <v/>
      </c>
      <c r="GT478" s="1149">
        <f t="shared" si="501"/>
        <v>0</v>
      </c>
      <c r="GU478" s="1149">
        <f t="shared" si="502"/>
        <v>0</v>
      </c>
      <c r="GV478" s="1149">
        <f t="shared" si="503"/>
        <v>0</v>
      </c>
      <c r="GW478" s="1149" t="b">
        <f t="shared" si="504"/>
        <v>0</v>
      </c>
      <c r="GX478" s="1149" t="b">
        <f t="shared" si="505"/>
        <v>0</v>
      </c>
      <c r="GY478" s="1149" t="b">
        <f t="shared" si="506"/>
        <v>0</v>
      </c>
      <c r="GZ478" s="1149" t="str">
        <f t="shared" si="528"/>
        <v/>
      </c>
      <c r="HB478" s="1149" t="str">
        <f t="shared" si="507"/>
        <v/>
      </c>
      <c r="HC478" s="1149" t="str">
        <f t="shared" si="508"/>
        <v/>
      </c>
      <c r="HD478" s="1149" t="str">
        <f t="shared" si="509"/>
        <v/>
      </c>
      <c r="HE478" s="1149" t="str">
        <f t="shared" si="510"/>
        <v/>
      </c>
      <c r="HF478" s="1149" t="str">
        <f t="shared" si="511"/>
        <v/>
      </c>
      <c r="HG478" s="1149" t="str">
        <f t="shared" si="512"/>
        <v/>
      </c>
      <c r="HH478" s="1149" t="str">
        <f t="shared" si="513"/>
        <v/>
      </c>
      <c r="HI478" s="1149" t="str">
        <f t="shared" si="514"/>
        <v/>
      </c>
      <c r="HJ478" s="1149" t="str">
        <f t="shared" si="515"/>
        <v/>
      </c>
      <c r="HK478" s="1149" t="str">
        <f t="shared" si="516"/>
        <v/>
      </c>
      <c r="HL478" s="1149" t="str">
        <f t="shared" si="517"/>
        <v/>
      </c>
      <c r="HM478" s="1149" t="str">
        <f t="shared" si="518"/>
        <v/>
      </c>
      <c r="HN478" s="1149" t="str">
        <f t="shared" si="519"/>
        <v/>
      </c>
      <c r="HO478" s="1149" t="str">
        <f t="shared" si="520"/>
        <v/>
      </c>
      <c r="HP478" s="1149" t="str">
        <f t="shared" si="521"/>
        <v/>
      </c>
      <c r="HQ478" s="1149" t="str">
        <f t="shared" si="522"/>
        <v/>
      </c>
      <c r="HR478" s="1149" t="str">
        <f t="shared" si="523"/>
        <v/>
      </c>
      <c r="HT478" s="1149">
        <f>LEFT(M478,1)*10000+MID(M478,3,LEN(M478)-3)*100+COUNTIF($M$307:M478,M478)</f>
        <v>60401</v>
      </c>
      <c r="HU478" s="1149" t="str">
        <f t="shared" si="524"/>
        <v/>
      </c>
      <c r="HV478" s="1149" t="str">
        <f t="shared" si="525"/>
        <v/>
      </c>
      <c r="HW478" s="1149" t="str">
        <f t="shared" si="526"/>
        <v/>
      </c>
      <c r="HX478" s="1149" t="str">
        <f t="shared" si="527"/>
        <v/>
      </c>
    </row>
    <row r="479" spans="1:232" s="69" customFormat="1" ht="50.15" customHeight="1">
      <c r="A479" s="645"/>
      <c r="B479" s="645"/>
      <c r="C479" s="645"/>
      <c r="D479" s="645"/>
      <c r="E479" s="646"/>
      <c r="F479" s="381"/>
      <c r="G479" s="381"/>
      <c r="H479" s="381"/>
      <c r="J479" s="80"/>
      <c r="K479" s="89"/>
      <c r="L479" s="89"/>
      <c r="M479" s="2080" t="s">
        <v>1313</v>
      </c>
      <c r="N479" s="2080"/>
      <c r="O479" s="2080"/>
      <c r="P479" s="1966" t="s">
        <v>148</v>
      </c>
      <c r="Q479" s="1966"/>
      <c r="R479" s="1966"/>
      <c r="S479" s="1966"/>
      <c r="T479" s="1966"/>
      <c r="U479" s="1966" t="s">
        <v>149</v>
      </c>
      <c r="V479" s="1966"/>
      <c r="W479" s="1966"/>
      <c r="X479" s="1966"/>
      <c r="Y479" s="1966"/>
      <c r="Z479" s="1966"/>
      <c r="AA479" s="1966"/>
      <c r="AB479" s="1966"/>
      <c r="AC479" s="1966"/>
      <c r="AD479" s="1966"/>
      <c r="AE479" s="1966"/>
      <c r="AF479" s="1995"/>
      <c r="AG479" s="1995"/>
      <c r="AH479" s="1995"/>
      <c r="AI479" s="1995"/>
      <c r="AJ479" s="1995"/>
      <c r="AK479" s="1995"/>
      <c r="AL479" s="1995"/>
      <c r="AM479" s="1995"/>
      <c r="AN479" s="1995"/>
      <c r="AO479" s="1995"/>
      <c r="AP479" s="1995"/>
      <c r="AQ479" s="1995"/>
      <c r="AR479" s="1957"/>
      <c r="AS479" s="1957"/>
      <c r="AT479" s="1928"/>
      <c r="AU479" s="1928"/>
      <c r="AV479" s="1928"/>
      <c r="AW479" s="1928"/>
      <c r="AX479" s="1928"/>
      <c r="AY479" s="1928"/>
      <c r="AZ479" s="1928"/>
      <c r="BA479" s="1928"/>
      <c r="BB479" s="1928"/>
      <c r="BC479" s="1928"/>
      <c r="BD479" s="1928"/>
      <c r="BE479" s="1928"/>
      <c r="BF479" s="1928"/>
      <c r="BG479" s="1928"/>
      <c r="BH479" s="1928"/>
      <c r="BI479" s="1928"/>
      <c r="BJ479" s="1928"/>
      <c r="BK479" s="1928"/>
      <c r="BL479" s="1928"/>
      <c r="BM479" s="1928"/>
      <c r="BN479" s="1928"/>
      <c r="BO479" s="1928"/>
      <c r="BP479" s="1928"/>
      <c r="BQ479" s="1928"/>
      <c r="BR479" s="1928"/>
      <c r="BS479" s="1998"/>
      <c r="BT479" s="1998"/>
      <c r="BU479" s="1998"/>
      <c r="BV479" s="1989"/>
      <c r="BW479" s="1989"/>
      <c r="BX479" s="1989"/>
      <c r="BY479" s="1989"/>
      <c r="BZ479" s="1990"/>
      <c r="CA479" s="1990"/>
      <c r="CB479" s="1979"/>
      <c r="CC479" s="1980"/>
      <c r="CD479" s="1980"/>
      <c r="CE479" s="1980"/>
      <c r="CF479" s="1980"/>
      <c r="CG479" s="1980"/>
      <c r="CH479" s="1980"/>
      <c r="CI479" s="1980"/>
      <c r="CJ479" s="1980"/>
      <c r="CK479" s="1980"/>
      <c r="CL479" s="1980"/>
      <c r="CM479" s="1980"/>
      <c r="CN479" s="1980"/>
      <c r="CO479" s="1980"/>
      <c r="CP479" s="1980"/>
      <c r="CQ479" s="1980"/>
      <c r="CR479" s="1980"/>
      <c r="CS479" s="1980"/>
      <c r="CT479" s="1980"/>
      <c r="CU479" s="1981"/>
      <c r="CV479" s="2360" t="str">
        <f t="shared" si="561"/>
        <v/>
      </c>
      <c r="CW479" s="2360"/>
      <c r="CX479" s="2360"/>
      <c r="CY479" s="2360"/>
      <c r="CZ479" s="2360"/>
      <c r="DA479" s="2360"/>
      <c r="DC479" s="600" t="str">
        <f t="shared" si="562"/>
        <v/>
      </c>
      <c r="DD479" s="381"/>
      <c r="DF479" s="34"/>
      <c r="DG479" s="34"/>
      <c r="DH479" s="34"/>
      <c r="DI479" s="34"/>
      <c r="DJ479" s="858" t="s">
        <v>5637</v>
      </c>
      <c r="DK479" s="1707" t="str">
        <f t="shared" si="609"/>
        <v/>
      </c>
      <c r="DL479" s="1692" t="str">
        <f t="shared" si="610"/>
        <v/>
      </c>
      <c r="DM479" s="1691">
        <f t="shared" si="563"/>
        <v>0</v>
      </c>
      <c r="DN479" s="111">
        <f t="shared" si="564"/>
        <v>0</v>
      </c>
      <c r="DO479" s="111">
        <f t="shared" si="565"/>
        <v>0</v>
      </c>
      <c r="DP479" s="474">
        <f t="shared" si="566"/>
        <v>0</v>
      </c>
      <c r="DQ479" s="123" t="s">
        <v>853</v>
      </c>
      <c r="DR479" s="473" t="str">
        <f t="shared" si="567"/>
        <v>避雷針、避雷導線等の劣化及び損傷の状況</v>
      </c>
      <c r="DS479" s="112">
        <f t="shared" si="568"/>
        <v>0</v>
      </c>
      <c r="DT479" s="118" t="str">
        <f t="shared" si="569"/>
        <v/>
      </c>
      <c r="DU479" s="452" t="str">
        <f t="shared" si="570"/>
        <v/>
      </c>
      <c r="DV479" s="151" t="str">
        <f>IF($DT479="要是正",MAX($DV$471:DV478)+1,"")</f>
        <v/>
      </c>
      <c r="DW479" s="32" t="str">
        <f t="shared" si="571"/>
        <v/>
      </c>
      <c r="DX479" s="119" t="str">
        <f t="shared" si="572"/>
        <v/>
      </c>
      <c r="DY479" s="33" t="str">
        <f t="shared" si="615"/>
        <v/>
      </c>
      <c r="DZ479" s="217" t="str">
        <f t="shared" si="573"/>
        <v/>
      </c>
      <c r="EA479" s="466" t="str">
        <f t="shared" si="574"/>
        <v/>
      </c>
      <c r="EB479" s="234" t="str">
        <f t="shared" si="575"/>
        <v/>
      </c>
      <c r="EC479" s="227" t="str">
        <f t="shared" si="576"/>
        <v>0</v>
      </c>
      <c r="ED479" s="148" t="str">
        <f t="shared" si="611"/>
        <v/>
      </c>
      <c r="EE479" s="227" t="str">
        <f t="shared" si="612"/>
        <v>0</v>
      </c>
      <c r="EF479" s="130" t="str">
        <f t="shared" si="578"/>
        <v/>
      </c>
      <c r="EG479" s="204" t="str">
        <f t="shared" si="579"/>
        <v/>
      </c>
      <c r="EH479" s="134" t="str">
        <f t="shared" si="580"/>
        <v>0</v>
      </c>
      <c r="EI479" s="148" t="str">
        <f t="shared" si="613"/>
        <v/>
      </c>
      <c r="EJ479" s="227" t="str">
        <f t="shared" si="614"/>
        <v>0</v>
      </c>
      <c r="EK479" s="451" t="str">
        <f t="shared" si="582"/>
        <v/>
      </c>
      <c r="EL479" s="452" t="e">
        <f t="shared" si="583"/>
        <v>#N/A</v>
      </c>
      <c r="EM479" s="151" t="e">
        <f t="shared" si="584"/>
        <v>#N/A</v>
      </c>
      <c r="EN479" s="453" t="e">
        <f t="shared" si="585"/>
        <v>#N/A</v>
      </c>
      <c r="FK479" s="597" t="str">
        <f t="shared" si="586"/>
        <v/>
      </c>
      <c r="FL479" s="597" t="str">
        <f t="shared" si="530"/>
        <v/>
      </c>
      <c r="FM479" s="597" t="str">
        <f t="shared" si="531"/>
        <v/>
      </c>
      <c r="FN479" s="597">
        <f t="shared" si="587"/>
        <v>0</v>
      </c>
      <c r="FO479" s="1163" t="str">
        <f t="shared" si="588"/>
        <v/>
      </c>
      <c r="FQ479" s="234" t="str">
        <f t="shared" si="589"/>
        <v/>
      </c>
      <c r="FR479" s="227" t="str">
        <f t="shared" si="590"/>
        <v>0</v>
      </c>
      <c r="FS479" s="148" t="str">
        <f t="shared" si="591"/>
        <v/>
      </c>
      <c r="FT479" s="227" t="str">
        <f t="shared" si="592"/>
        <v>0</v>
      </c>
      <c r="FU479" s="416" t="str">
        <f t="shared" si="593"/>
        <v/>
      </c>
      <c r="FW479" s="1160">
        <f t="shared" si="529"/>
        <v>0</v>
      </c>
      <c r="FX479" s="123"/>
      <c r="FY479" s="123"/>
      <c r="FZ479" s="1161"/>
      <c r="GA479" s="34"/>
      <c r="GB479" s="1149">
        <f t="shared" si="498"/>
        <v>0</v>
      </c>
      <c r="GC479" s="1149">
        <f t="shared" si="499"/>
        <v>0</v>
      </c>
      <c r="GD479" s="1149">
        <f t="shared" si="500"/>
        <v>0</v>
      </c>
      <c r="GE479" s="1149" t="str">
        <f t="shared" si="594"/>
        <v/>
      </c>
      <c r="GF479" s="1149" t="str">
        <f t="shared" si="595"/>
        <v/>
      </c>
      <c r="GG479" s="1149" t="str">
        <f t="shared" si="596"/>
        <v/>
      </c>
      <c r="GH479" s="1149" t="str">
        <f t="shared" si="597"/>
        <v/>
      </c>
      <c r="GI479" s="1149" t="str">
        <f t="shared" si="598"/>
        <v/>
      </c>
      <c r="GJ479" s="1149" t="str">
        <f t="shared" si="599"/>
        <v/>
      </c>
      <c r="GK479" s="1149" t="str">
        <f t="shared" si="600"/>
        <v/>
      </c>
      <c r="GL479" s="1149" t="str">
        <f t="shared" si="601"/>
        <v/>
      </c>
      <c r="GM479" s="1149" t="str">
        <f t="shared" si="602"/>
        <v/>
      </c>
      <c r="GN479" s="1149" t="str">
        <f t="shared" si="603"/>
        <v/>
      </c>
      <c r="GO479" s="1149" t="str">
        <f t="shared" si="604"/>
        <v/>
      </c>
      <c r="GP479" s="1149" t="str">
        <f t="shared" si="605"/>
        <v/>
      </c>
      <c r="GQ479" s="1149" t="str">
        <f t="shared" si="606"/>
        <v/>
      </c>
      <c r="GR479" s="1149" t="str">
        <f t="shared" si="607"/>
        <v/>
      </c>
      <c r="GS479" s="1149" t="str">
        <f t="shared" si="608"/>
        <v/>
      </c>
      <c r="GT479" s="1149">
        <f t="shared" si="501"/>
        <v>0</v>
      </c>
      <c r="GU479" s="1149">
        <f t="shared" si="502"/>
        <v>0</v>
      </c>
      <c r="GV479" s="1149">
        <f t="shared" si="503"/>
        <v>0</v>
      </c>
      <c r="GW479" s="1149" t="b">
        <f t="shared" si="504"/>
        <v>0</v>
      </c>
      <c r="GX479" s="1149" t="b">
        <f t="shared" si="505"/>
        <v>0</v>
      </c>
      <c r="GY479" s="1149" t="b">
        <f t="shared" si="506"/>
        <v>0</v>
      </c>
      <c r="GZ479" s="1149" t="str">
        <f t="shared" si="528"/>
        <v/>
      </c>
      <c r="HB479" s="1149" t="str">
        <f t="shared" si="507"/>
        <v/>
      </c>
      <c r="HC479" s="1149" t="str">
        <f t="shared" si="508"/>
        <v/>
      </c>
      <c r="HD479" s="1149" t="str">
        <f t="shared" si="509"/>
        <v/>
      </c>
      <c r="HE479" s="1149" t="str">
        <f t="shared" si="510"/>
        <v/>
      </c>
      <c r="HF479" s="1149" t="str">
        <f t="shared" si="511"/>
        <v/>
      </c>
      <c r="HG479" s="1149" t="str">
        <f t="shared" si="512"/>
        <v/>
      </c>
      <c r="HH479" s="1149" t="str">
        <f t="shared" si="513"/>
        <v/>
      </c>
      <c r="HI479" s="1149" t="str">
        <f t="shared" si="514"/>
        <v/>
      </c>
      <c r="HJ479" s="1149" t="str">
        <f t="shared" si="515"/>
        <v/>
      </c>
      <c r="HK479" s="1149" t="str">
        <f t="shared" si="516"/>
        <v/>
      </c>
      <c r="HL479" s="1149" t="str">
        <f t="shared" si="517"/>
        <v/>
      </c>
      <c r="HM479" s="1149" t="str">
        <f t="shared" si="518"/>
        <v/>
      </c>
      <c r="HN479" s="1149" t="str">
        <f t="shared" si="519"/>
        <v/>
      </c>
      <c r="HO479" s="1149" t="str">
        <f t="shared" si="520"/>
        <v/>
      </c>
      <c r="HP479" s="1149" t="str">
        <f t="shared" si="521"/>
        <v/>
      </c>
      <c r="HQ479" s="1149" t="str">
        <f t="shared" si="522"/>
        <v/>
      </c>
      <c r="HR479" s="1149" t="str">
        <f t="shared" si="523"/>
        <v/>
      </c>
      <c r="HT479" s="1149">
        <f>LEFT(M479,1)*10000+MID(M479,3,LEN(M479)-3)*100+COUNTIF($M$307:M479,M479)</f>
        <v>60501</v>
      </c>
      <c r="HU479" s="1149" t="str">
        <f t="shared" si="524"/>
        <v/>
      </c>
      <c r="HV479" s="1149" t="str">
        <f t="shared" si="525"/>
        <v/>
      </c>
      <c r="HW479" s="1149" t="str">
        <f t="shared" si="526"/>
        <v/>
      </c>
      <c r="HX479" s="1149" t="str">
        <f t="shared" si="527"/>
        <v/>
      </c>
    </row>
    <row r="480" spans="1:232" s="69" customFormat="1" ht="50.15" customHeight="1">
      <c r="A480" s="645"/>
      <c r="B480" s="645"/>
      <c r="C480" s="645"/>
      <c r="D480" s="645"/>
      <c r="E480" s="646"/>
      <c r="F480" s="381"/>
      <c r="G480" s="381"/>
      <c r="H480" s="381"/>
      <c r="J480" s="80"/>
      <c r="K480" s="89"/>
      <c r="L480" s="89"/>
      <c r="M480" s="2080" t="s">
        <v>1314</v>
      </c>
      <c r="N480" s="2080"/>
      <c r="O480" s="2080"/>
      <c r="P480" s="2111" t="s">
        <v>150</v>
      </c>
      <c r="Q480" s="2111"/>
      <c r="R480" s="1966" t="s">
        <v>151</v>
      </c>
      <c r="S480" s="1966"/>
      <c r="T480" s="1966"/>
      <c r="U480" s="2011" t="s">
        <v>152</v>
      </c>
      <c r="V480" s="2011"/>
      <c r="W480" s="2011"/>
      <c r="X480" s="2011"/>
      <c r="Y480" s="2011"/>
      <c r="Z480" s="2011"/>
      <c r="AA480" s="2011"/>
      <c r="AB480" s="2011"/>
      <c r="AC480" s="2011"/>
      <c r="AD480" s="2011"/>
      <c r="AE480" s="2011"/>
      <c r="AF480" s="2010"/>
      <c r="AG480" s="2010"/>
      <c r="AH480" s="2010"/>
      <c r="AI480" s="2010"/>
      <c r="AJ480" s="2010"/>
      <c r="AK480" s="2010"/>
      <c r="AL480" s="2010"/>
      <c r="AM480" s="2010"/>
      <c r="AN480" s="2010"/>
      <c r="AO480" s="2010"/>
      <c r="AP480" s="2010"/>
      <c r="AQ480" s="2010"/>
      <c r="AR480" s="2017"/>
      <c r="AS480" s="2017"/>
      <c r="AT480" s="1929"/>
      <c r="AU480" s="1929"/>
      <c r="AV480" s="1929"/>
      <c r="AW480" s="1929"/>
      <c r="AX480" s="1929"/>
      <c r="AY480" s="1929"/>
      <c r="AZ480" s="1929"/>
      <c r="BA480" s="1929"/>
      <c r="BB480" s="1929"/>
      <c r="BC480" s="1929"/>
      <c r="BD480" s="1929"/>
      <c r="BE480" s="1929"/>
      <c r="BF480" s="1929"/>
      <c r="BG480" s="1929"/>
      <c r="BH480" s="1929"/>
      <c r="BI480" s="1929"/>
      <c r="BJ480" s="1929"/>
      <c r="BK480" s="1929"/>
      <c r="BL480" s="1929"/>
      <c r="BM480" s="1929"/>
      <c r="BN480" s="1929"/>
      <c r="BO480" s="1929"/>
      <c r="BP480" s="1929"/>
      <c r="BQ480" s="1929"/>
      <c r="BR480" s="1929"/>
      <c r="BS480" s="1885"/>
      <c r="BT480" s="1885"/>
      <c r="BU480" s="1885"/>
      <c r="BV480" s="1890"/>
      <c r="BW480" s="1890"/>
      <c r="BX480" s="1890"/>
      <c r="BY480" s="1890"/>
      <c r="BZ480" s="1891"/>
      <c r="CA480" s="1891"/>
      <c r="CB480" s="2083"/>
      <c r="CC480" s="2084"/>
      <c r="CD480" s="2084"/>
      <c r="CE480" s="2084"/>
      <c r="CF480" s="2084"/>
      <c r="CG480" s="2084"/>
      <c r="CH480" s="2084"/>
      <c r="CI480" s="2084"/>
      <c r="CJ480" s="2084"/>
      <c r="CK480" s="2084"/>
      <c r="CL480" s="2084"/>
      <c r="CM480" s="2084"/>
      <c r="CN480" s="2084"/>
      <c r="CO480" s="2084"/>
      <c r="CP480" s="2084"/>
      <c r="CQ480" s="2084"/>
      <c r="CR480" s="2084"/>
      <c r="CS480" s="2084"/>
      <c r="CT480" s="2084"/>
      <c r="CU480" s="2085"/>
      <c r="CV480" s="2360" t="str">
        <f t="shared" si="561"/>
        <v/>
      </c>
      <c r="CW480" s="2360"/>
      <c r="CX480" s="2360"/>
      <c r="CY480" s="2360"/>
      <c r="CZ480" s="2360"/>
      <c r="DA480" s="2360"/>
      <c r="DC480" s="600" t="str">
        <f t="shared" si="562"/>
        <v/>
      </c>
      <c r="DD480" s="381"/>
      <c r="DF480" s="34"/>
      <c r="DG480" s="34"/>
      <c r="DH480" s="34"/>
      <c r="DI480" s="34"/>
      <c r="DJ480" s="858" t="s">
        <v>5637</v>
      </c>
      <c r="DK480" s="1707" t="str">
        <f t="shared" si="609"/>
        <v/>
      </c>
      <c r="DL480" s="1692" t="str">
        <f t="shared" si="610"/>
        <v/>
      </c>
      <c r="DM480" s="1691">
        <f t="shared" si="563"/>
        <v>0</v>
      </c>
      <c r="DN480" s="111">
        <f t="shared" si="564"/>
        <v>0</v>
      </c>
      <c r="DO480" s="111">
        <f t="shared" si="565"/>
        <v>0</v>
      </c>
      <c r="DP480" s="474">
        <f t="shared" si="566"/>
        <v>0</v>
      </c>
      <c r="DQ480" s="123" t="s">
        <v>854</v>
      </c>
      <c r="DR480" s="473" t="str">
        <f t="shared" si="567"/>
        <v>煙突本体及び建築物との接合部の劣化及び損傷の状況</v>
      </c>
      <c r="DS480" s="112">
        <f t="shared" si="568"/>
        <v>0</v>
      </c>
      <c r="DT480" s="118" t="str">
        <f t="shared" si="569"/>
        <v/>
      </c>
      <c r="DU480" s="452" t="str">
        <f t="shared" si="570"/>
        <v/>
      </c>
      <c r="DV480" s="151" t="str">
        <f>IF($DT480="要是正",MAX($DV$471:DV479)+1,"")</f>
        <v/>
      </c>
      <c r="DW480" s="32" t="str">
        <f t="shared" si="571"/>
        <v/>
      </c>
      <c r="DX480" s="119" t="str">
        <f t="shared" si="572"/>
        <v/>
      </c>
      <c r="DY480" s="33" t="str">
        <f t="shared" si="615"/>
        <v/>
      </c>
      <c r="DZ480" s="217" t="str">
        <f t="shared" si="573"/>
        <v/>
      </c>
      <c r="EA480" s="466" t="str">
        <f t="shared" si="574"/>
        <v/>
      </c>
      <c r="EB480" s="234" t="str">
        <f t="shared" si="575"/>
        <v/>
      </c>
      <c r="EC480" s="227" t="str">
        <f t="shared" si="576"/>
        <v>0</v>
      </c>
      <c r="ED480" s="148" t="str">
        <f t="shared" si="611"/>
        <v/>
      </c>
      <c r="EE480" s="227" t="str">
        <f t="shared" si="612"/>
        <v>0</v>
      </c>
      <c r="EF480" s="130" t="str">
        <f t="shared" si="578"/>
        <v/>
      </c>
      <c r="EG480" s="204" t="str">
        <f t="shared" si="579"/>
        <v/>
      </c>
      <c r="EH480" s="134" t="str">
        <f t="shared" si="580"/>
        <v>0</v>
      </c>
      <c r="EI480" s="148" t="str">
        <f t="shared" si="613"/>
        <v/>
      </c>
      <c r="EJ480" s="227" t="str">
        <f t="shared" si="614"/>
        <v>0</v>
      </c>
      <c r="EK480" s="451" t="str">
        <f t="shared" si="582"/>
        <v/>
      </c>
      <c r="EL480" s="452" t="e">
        <f t="shared" si="583"/>
        <v>#N/A</v>
      </c>
      <c r="EM480" s="151" t="e">
        <f t="shared" si="584"/>
        <v>#N/A</v>
      </c>
      <c r="EN480" s="453" t="e">
        <f t="shared" si="585"/>
        <v>#N/A</v>
      </c>
      <c r="FK480" s="597" t="str">
        <f t="shared" si="586"/>
        <v/>
      </c>
      <c r="FL480" s="597" t="str">
        <f t="shared" si="530"/>
        <v/>
      </c>
      <c r="FM480" s="597" t="str">
        <f t="shared" si="531"/>
        <v/>
      </c>
      <c r="FN480" s="597">
        <f t="shared" si="587"/>
        <v>0</v>
      </c>
      <c r="FO480" s="1163" t="str">
        <f t="shared" si="588"/>
        <v/>
      </c>
      <c r="FQ480" s="234" t="str">
        <f t="shared" si="589"/>
        <v/>
      </c>
      <c r="FR480" s="227" t="str">
        <f t="shared" si="590"/>
        <v>0</v>
      </c>
      <c r="FS480" s="148" t="str">
        <f t="shared" si="591"/>
        <v/>
      </c>
      <c r="FT480" s="227" t="str">
        <f t="shared" si="592"/>
        <v>0</v>
      </c>
      <c r="FU480" s="416" t="str">
        <f t="shared" si="593"/>
        <v/>
      </c>
      <c r="FW480" s="1160">
        <f t="shared" si="529"/>
        <v>0</v>
      </c>
      <c r="FX480" s="123"/>
      <c r="FY480" s="123"/>
      <c r="FZ480" s="1161"/>
      <c r="GA480" s="34"/>
      <c r="GB480" s="1149">
        <f t="shared" si="498"/>
        <v>0</v>
      </c>
      <c r="GC480" s="1149">
        <f t="shared" si="499"/>
        <v>0</v>
      </c>
      <c r="GD480" s="1149">
        <f t="shared" si="500"/>
        <v>0</v>
      </c>
      <c r="GE480" s="1149" t="str">
        <f t="shared" si="594"/>
        <v/>
      </c>
      <c r="GF480" s="1149" t="str">
        <f t="shared" si="595"/>
        <v/>
      </c>
      <c r="GG480" s="1149" t="str">
        <f t="shared" si="596"/>
        <v/>
      </c>
      <c r="GH480" s="1149" t="str">
        <f t="shared" si="597"/>
        <v/>
      </c>
      <c r="GI480" s="1149" t="str">
        <f t="shared" si="598"/>
        <v/>
      </c>
      <c r="GJ480" s="1149" t="str">
        <f t="shared" si="599"/>
        <v/>
      </c>
      <c r="GK480" s="1149" t="str">
        <f t="shared" si="600"/>
        <v/>
      </c>
      <c r="GL480" s="1149" t="str">
        <f t="shared" si="601"/>
        <v/>
      </c>
      <c r="GM480" s="1149" t="str">
        <f t="shared" si="602"/>
        <v/>
      </c>
      <c r="GN480" s="1149" t="str">
        <f t="shared" si="603"/>
        <v/>
      </c>
      <c r="GO480" s="1149" t="str">
        <f t="shared" si="604"/>
        <v/>
      </c>
      <c r="GP480" s="1149" t="str">
        <f t="shared" si="605"/>
        <v/>
      </c>
      <c r="GQ480" s="1149" t="str">
        <f t="shared" si="606"/>
        <v/>
      </c>
      <c r="GR480" s="1149" t="str">
        <f t="shared" si="607"/>
        <v/>
      </c>
      <c r="GS480" s="1149" t="str">
        <f t="shared" si="608"/>
        <v/>
      </c>
      <c r="GT480" s="1149">
        <f t="shared" si="501"/>
        <v>0</v>
      </c>
      <c r="GU480" s="1149">
        <f t="shared" si="502"/>
        <v>0</v>
      </c>
      <c r="GV480" s="1149">
        <f t="shared" si="503"/>
        <v>0</v>
      </c>
      <c r="GW480" s="1149" t="b">
        <f t="shared" si="504"/>
        <v>0</v>
      </c>
      <c r="GX480" s="1149" t="b">
        <f t="shared" si="505"/>
        <v>0</v>
      </c>
      <c r="GY480" s="1149" t="b">
        <f t="shared" si="506"/>
        <v>0</v>
      </c>
      <c r="GZ480" s="1149" t="str">
        <f t="shared" si="528"/>
        <v/>
      </c>
      <c r="HB480" s="1149" t="str">
        <f t="shared" si="507"/>
        <v/>
      </c>
      <c r="HC480" s="1149" t="str">
        <f t="shared" si="508"/>
        <v/>
      </c>
      <c r="HD480" s="1149" t="str">
        <f t="shared" si="509"/>
        <v/>
      </c>
      <c r="HE480" s="1149" t="str">
        <f t="shared" si="510"/>
        <v/>
      </c>
      <c r="HF480" s="1149" t="str">
        <f t="shared" si="511"/>
        <v/>
      </c>
      <c r="HG480" s="1149" t="str">
        <f t="shared" si="512"/>
        <v/>
      </c>
      <c r="HH480" s="1149" t="str">
        <f t="shared" si="513"/>
        <v/>
      </c>
      <c r="HI480" s="1149" t="str">
        <f t="shared" si="514"/>
        <v/>
      </c>
      <c r="HJ480" s="1149" t="str">
        <f t="shared" si="515"/>
        <v/>
      </c>
      <c r="HK480" s="1149" t="str">
        <f t="shared" si="516"/>
        <v/>
      </c>
      <c r="HL480" s="1149" t="str">
        <f t="shared" si="517"/>
        <v/>
      </c>
      <c r="HM480" s="1149" t="str">
        <f t="shared" si="518"/>
        <v/>
      </c>
      <c r="HN480" s="1149" t="str">
        <f t="shared" si="519"/>
        <v/>
      </c>
      <c r="HO480" s="1149" t="str">
        <f t="shared" si="520"/>
        <v/>
      </c>
      <c r="HP480" s="1149" t="str">
        <f t="shared" si="521"/>
        <v/>
      </c>
      <c r="HQ480" s="1149" t="str">
        <f t="shared" si="522"/>
        <v/>
      </c>
      <c r="HR480" s="1149" t="str">
        <f t="shared" si="523"/>
        <v/>
      </c>
      <c r="HT480" s="1149">
        <f>LEFT(M480,1)*10000+MID(M480,3,LEN(M480)-3)*100+COUNTIF($M$307:M480,M480)</f>
        <v>60601</v>
      </c>
      <c r="HU480" s="1149" t="str">
        <f t="shared" si="524"/>
        <v/>
      </c>
      <c r="HV480" s="1149" t="str">
        <f t="shared" si="525"/>
        <v/>
      </c>
      <c r="HW480" s="1149" t="str">
        <f t="shared" si="526"/>
        <v/>
      </c>
      <c r="HX480" s="1149" t="str">
        <f t="shared" si="527"/>
        <v/>
      </c>
    </row>
    <row r="481" spans="1:232" s="69" customFormat="1" ht="50.15" customHeight="1">
      <c r="A481" s="645"/>
      <c r="B481" s="645"/>
      <c r="C481" s="645"/>
      <c r="D481" s="645"/>
      <c r="E481" s="646"/>
      <c r="F481" s="381"/>
      <c r="G481" s="381"/>
      <c r="H481" s="381"/>
      <c r="J481" s="80"/>
      <c r="K481" s="89"/>
      <c r="L481" s="89"/>
      <c r="M481" s="2080" t="s">
        <v>1315</v>
      </c>
      <c r="N481" s="2080"/>
      <c r="O481" s="2080"/>
      <c r="P481" s="2112"/>
      <c r="Q481" s="2112"/>
      <c r="R481" s="1966"/>
      <c r="S481" s="1966"/>
      <c r="T481" s="1966"/>
      <c r="U481" s="1956" t="s">
        <v>153</v>
      </c>
      <c r="V481" s="1956"/>
      <c r="W481" s="1956"/>
      <c r="X481" s="1956"/>
      <c r="Y481" s="1956"/>
      <c r="Z481" s="1956"/>
      <c r="AA481" s="1956"/>
      <c r="AB481" s="1956"/>
      <c r="AC481" s="1956"/>
      <c r="AD481" s="1956"/>
      <c r="AE481" s="1956"/>
      <c r="AF481" s="2025"/>
      <c r="AG481" s="2025"/>
      <c r="AH481" s="2025"/>
      <c r="AI481" s="2025"/>
      <c r="AJ481" s="2025"/>
      <c r="AK481" s="2025"/>
      <c r="AL481" s="2025"/>
      <c r="AM481" s="2025"/>
      <c r="AN481" s="2025"/>
      <c r="AO481" s="2025"/>
      <c r="AP481" s="2025"/>
      <c r="AQ481" s="2025"/>
      <c r="AR481" s="2026"/>
      <c r="AS481" s="2026"/>
      <c r="AT481" s="1997"/>
      <c r="AU481" s="1997"/>
      <c r="AV481" s="1997"/>
      <c r="AW481" s="1997"/>
      <c r="AX481" s="1997"/>
      <c r="AY481" s="1997"/>
      <c r="AZ481" s="1997"/>
      <c r="BA481" s="1997"/>
      <c r="BB481" s="1997"/>
      <c r="BC481" s="1997"/>
      <c r="BD481" s="1997"/>
      <c r="BE481" s="1997"/>
      <c r="BF481" s="1997"/>
      <c r="BG481" s="1997"/>
      <c r="BH481" s="1997"/>
      <c r="BI481" s="1997"/>
      <c r="BJ481" s="1997"/>
      <c r="BK481" s="1997"/>
      <c r="BL481" s="1997"/>
      <c r="BM481" s="1997"/>
      <c r="BN481" s="1997"/>
      <c r="BO481" s="1997"/>
      <c r="BP481" s="1997"/>
      <c r="BQ481" s="1997"/>
      <c r="BR481" s="1997"/>
      <c r="BS481" s="1991"/>
      <c r="BT481" s="1991"/>
      <c r="BU481" s="1991"/>
      <c r="BV481" s="1982"/>
      <c r="BW481" s="1982"/>
      <c r="BX481" s="1982"/>
      <c r="BY481" s="1982"/>
      <c r="BZ481" s="1992"/>
      <c r="CA481" s="1992"/>
      <c r="CB481" s="1892"/>
      <c r="CC481" s="1893"/>
      <c r="CD481" s="1893"/>
      <c r="CE481" s="1893"/>
      <c r="CF481" s="1893"/>
      <c r="CG481" s="1893"/>
      <c r="CH481" s="1893"/>
      <c r="CI481" s="1893"/>
      <c r="CJ481" s="1893"/>
      <c r="CK481" s="1893"/>
      <c r="CL481" s="1893"/>
      <c r="CM481" s="1893"/>
      <c r="CN481" s="1893"/>
      <c r="CO481" s="1893"/>
      <c r="CP481" s="1893"/>
      <c r="CQ481" s="1893"/>
      <c r="CR481" s="1893"/>
      <c r="CS481" s="1893"/>
      <c r="CT481" s="1893"/>
      <c r="CU481" s="1894"/>
      <c r="CV481" s="2360" t="str">
        <f t="shared" si="561"/>
        <v/>
      </c>
      <c r="CW481" s="2360"/>
      <c r="CX481" s="2360"/>
      <c r="CY481" s="2360"/>
      <c r="CZ481" s="2360"/>
      <c r="DA481" s="2360"/>
      <c r="DC481" s="600" t="str">
        <f t="shared" si="562"/>
        <v/>
      </c>
      <c r="DD481" s="381"/>
      <c r="DF481" s="34"/>
      <c r="DG481" s="34"/>
      <c r="DH481" s="34"/>
      <c r="DI481" s="34"/>
      <c r="DJ481" s="858" t="s">
        <v>5637</v>
      </c>
      <c r="DK481" s="1707" t="str">
        <f t="shared" si="609"/>
        <v/>
      </c>
      <c r="DL481" s="1692" t="str">
        <f t="shared" si="610"/>
        <v/>
      </c>
      <c r="DM481" s="1691">
        <f t="shared" si="563"/>
        <v>0</v>
      </c>
      <c r="DN481" s="111">
        <f t="shared" si="564"/>
        <v>0</v>
      </c>
      <c r="DO481" s="111">
        <f t="shared" si="565"/>
        <v>0</v>
      </c>
      <c r="DP481" s="474">
        <f t="shared" si="566"/>
        <v>0</v>
      </c>
      <c r="DQ481" s="123" t="s">
        <v>855</v>
      </c>
      <c r="DR481" s="473" t="str">
        <f>IF($U481="",R480,U481)</f>
        <v>付帯金物の劣化及び損傷の状況</v>
      </c>
      <c r="DS481" s="112">
        <f t="shared" si="568"/>
        <v>0</v>
      </c>
      <c r="DT481" s="118" t="str">
        <f t="shared" si="569"/>
        <v/>
      </c>
      <c r="DU481" s="452" t="str">
        <f t="shared" si="570"/>
        <v/>
      </c>
      <c r="DV481" s="151" t="str">
        <f>IF($DT481="要是正",MAX($DV$471:DV480)+1,"")</f>
        <v/>
      </c>
      <c r="DW481" s="32" t="str">
        <f t="shared" si="571"/>
        <v/>
      </c>
      <c r="DX481" s="119" t="str">
        <f t="shared" si="572"/>
        <v/>
      </c>
      <c r="DY481" s="33" t="str">
        <f t="shared" si="615"/>
        <v/>
      </c>
      <c r="DZ481" s="217" t="str">
        <f t="shared" si="573"/>
        <v/>
      </c>
      <c r="EA481" s="466" t="str">
        <f t="shared" si="574"/>
        <v/>
      </c>
      <c r="EB481" s="234" t="str">
        <f t="shared" si="575"/>
        <v/>
      </c>
      <c r="EC481" s="227" t="str">
        <f t="shared" si="576"/>
        <v>0</v>
      </c>
      <c r="ED481" s="148" t="str">
        <f t="shared" si="611"/>
        <v/>
      </c>
      <c r="EE481" s="227" t="str">
        <f t="shared" si="612"/>
        <v>0</v>
      </c>
      <c r="EF481" s="130" t="str">
        <f t="shared" si="578"/>
        <v/>
      </c>
      <c r="EG481" s="204" t="str">
        <f t="shared" si="579"/>
        <v/>
      </c>
      <c r="EH481" s="134" t="str">
        <f t="shared" si="580"/>
        <v>0</v>
      </c>
      <c r="EI481" s="148" t="str">
        <f t="shared" si="613"/>
        <v/>
      </c>
      <c r="EJ481" s="227" t="str">
        <f t="shared" si="614"/>
        <v>0</v>
      </c>
      <c r="EK481" s="451" t="str">
        <f t="shared" si="582"/>
        <v/>
      </c>
      <c r="EL481" s="452" t="e">
        <f t="shared" si="583"/>
        <v>#N/A</v>
      </c>
      <c r="EM481" s="151" t="e">
        <f t="shared" si="584"/>
        <v>#N/A</v>
      </c>
      <c r="EN481" s="453" t="e">
        <f t="shared" si="585"/>
        <v>#N/A</v>
      </c>
      <c r="FK481" s="597" t="str">
        <f t="shared" si="586"/>
        <v/>
      </c>
      <c r="FL481" s="597" t="str">
        <f t="shared" si="530"/>
        <v/>
      </c>
      <c r="FM481" s="597" t="str">
        <f t="shared" si="531"/>
        <v/>
      </c>
      <c r="FN481" s="597">
        <f t="shared" si="587"/>
        <v>0</v>
      </c>
      <c r="FO481" s="1163" t="str">
        <f t="shared" si="588"/>
        <v/>
      </c>
      <c r="FQ481" s="234" t="str">
        <f t="shared" si="589"/>
        <v/>
      </c>
      <c r="FR481" s="227" t="str">
        <f t="shared" si="590"/>
        <v>0</v>
      </c>
      <c r="FS481" s="148" t="str">
        <f t="shared" si="591"/>
        <v/>
      </c>
      <c r="FT481" s="227" t="str">
        <f t="shared" si="592"/>
        <v>0</v>
      </c>
      <c r="FU481" s="416" t="str">
        <f t="shared" si="593"/>
        <v/>
      </c>
      <c r="FW481" s="1160">
        <f t="shared" si="529"/>
        <v>0</v>
      </c>
      <c r="FX481" s="123"/>
      <c r="FY481" s="123"/>
      <c r="FZ481" s="1161"/>
      <c r="GA481" s="34"/>
      <c r="GB481" s="1149">
        <f t="shared" si="498"/>
        <v>0</v>
      </c>
      <c r="GC481" s="1149">
        <f t="shared" si="499"/>
        <v>0</v>
      </c>
      <c r="GD481" s="1149">
        <f t="shared" si="500"/>
        <v>0</v>
      </c>
      <c r="GE481" s="1149" t="str">
        <f t="shared" si="594"/>
        <v/>
      </c>
      <c r="GF481" s="1149" t="str">
        <f t="shared" si="595"/>
        <v/>
      </c>
      <c r="GG481" s="1149" t="str">
        <f t="shared" si="596"/>
        <v/>
      </c>
      <c r="GH481" s="1149" t="str">
        <f t="shared" si="597"/>
        <v/>
      </c>
      <c r="GI481" s="1149" t="str">
        <f t="shared" si="598"/>
        <v/>
      </c>
      <c r="GJ481" s="1149" t="str">
        <f t="shared" si="599"/>
        <v/>
      </c>
      <c r="GK481" s="1149" t="str">
        <f t="shared" si="600"/>
        <v/>
      </c>
      <c r="GL481" s="1149" t="str">
        <f t="shared" si="601"/>
        <v/>
      </c>
      <c r="GM481" s="1149" t="str">
        <f t="shared" si="602"/>
        <v/>
      </c>
      <c r="GN481" s="1149" t="str">
        <f t="shared" si="603"/>
        <v/>
      </c>
      <c r="GO481" s="1149" t="str">
        <f t="shared" si="604"/>
        <v/>
      </c>
      <c r="GP481" s="1149" t="str">
        <f t="shared" si="605"/>
        <v/>
      </c>
      <c r="GQ481" s="1149" t="str">
        <f t="shared" si="606"/>
        <v/>
      </c>
      <c r="GR481" s="1149" t="str">
        <f t="shared" si="607"/>
        <v/>
      </c>
      <c r="GS481" s="1149" t="str">
        <f t="shared" si="608"/>
        <v/>
      </c>
      <c r="GT481" s="1149">
        <f t="shared" si="501"/>
        <v>0</v>
      </c>
      <c r="GU481" s="1149">
        <f t="shared" si="502"/>
        <v>0</v>
      </c>
      <c r="GV481" s="1149">
        <f t="shared" si="503"/>
        <v>0</v>
      </c>
      <c r="GW481" s="1149" t="b">
        <f t="shared" si="504"/>
        <v>0</v>
      </c>
      <c r="GX481" s="1149" t="b">
        <f t="shared" si="505"/>
        <v>0</v>
      </c>
      <c r="GY481" s="1149" t="b">
        <f t="shared" si="506"/>
        <v>0</v>
      </c>
      <c r="GZ481" s="1149" t="str">
        <f t="shared" si="528"/>
        <v/>
      </c>
      <c r="HB481" s="1149" t="str">
        <f t="shared" si="507"/>
        <v/>
      </c>
      <c r="HC481" s="1149" t="str">
        <f t="shared" si="508"/>
        <v/>
      </c>
      <c r="HD481" s="1149" t="str">
        <f t="shared" si="509"/>
        <v/>
      </c>
      <c r="HE481" s="1149" t="str">
        <f t="shared" si="510"/>
        <v/>
      </c>
      <c r="HF481" s="1149" t="str">
        <f t="shared" si="511"/>
        <v/>
      </c>
      <c r="HG481" s="1149" t="str">
        <f t="shared" si="512"/>
        <v/>
      </c>
      <c r="HH481" s="1149" t="str">
        <f t="shared" si="513"/>
        <v/>
      </c>
      <c r="HI481" s="1149" t="str">
        <f t="shared" si="514"/>
        <v/>
      </c>
      <c r="HJ481" s="1149" t="str">
        <f t="shared" si="515"/>
        <v/>
      </c>
      <c r="HK481" s="1149" t="str">
        <f t="shared" si="516"/>
        <v/>
      </c>
      <c r="HL481" s="1149" t="str">
        <f t="shared" si="517"/>
        <v/>
      </c>
      <c r="HM481" s="1149" t="str">
        <f t="shared" si="518"/>
        <v/>
      </c>
      <c r="HN481" s="1149" t="str">
        <f t="shared" si="519"/>
        <v/>
      </c>
      <c r="HO481" s="1149" t="str">
        <f t="shared" si="520"/>
        <v/>
      </c>
      <c r="HP481" s="1149" t="str">
        <f t="shared" si="521"/>
        <v/>
      </c>
      <c r="HQ481" s="1149" t="str">
        <f t="shared" si="522"/>
        <v/>
      </c>
      <c r="HR481" s="1149" t="str">
        <f t="shared" si="523"/>
        <v/>
      </c>
      <c r="HT481" s="1149">
        <f>LEFT(M481,1)*10000+MID(M481,3,LEN(M481)-3)*100+COUNTIF($M$307:M481,M481)</f>
        <v>60701</v>
      </c>
      <c r="HU481" s="1149" t="str">
        <f t="shared" si="524"/>
        <v/>
      </c>
      <c r="HV481" s="1149" t="str">
        <f t="shared" si="525"/>
        <v/>
      </c>
      <c r="HW481" s="1149" t="str">
        <f t="shared" si="526"/>
        <v/>
      </c>
      <c r="HX481" s="1149" t="str">
        <f t="shared" si="527"/>
        <v/>
      </c>
    </row>
    <row r="482" spans="1:232" s="69" customFormat="1" ht="50.15" customHeight="1">
      <c r="A482" s="645"/>
      <c r="B482" s="645"/>
      <c r="C482" s="645"/>
      <c r="D482" s="645"/>
      <c r="E482" s="646"/>
      <c r="F482" s="381"/>
      <c r="G482" s="381"/>
      <c r="H482" s="381"/>
      <c r="J482" s="80"/>
      <c r="K482" s="89"/>
      <c r="L482" s="89"/>
      <c r="M482" s="2080" t="s">
        <v>1316</v>
      </c>
      <c r="N482" s="2080"/>
      <c r="O482" s="2080"/>
      <c r="P482" s="2112"/>
      <c r="Q482" s="2112"/>
      <c r="R482" s="2096" t="s">
        <v>195</v>
      </c>
      <c r="S482" s="2096"/>
      <c r="T482" s="2096"/>
      <c r="U482" s="2011" t="s">
        <v>154</v>
      </c>
      <c r="V482" s="2011"/>
      <c r="W482" s="2011"/>
      <c r="X482" s="2011"/>
      <c r="Y482" s="2011"/>
      <c r="Z482" s="2011"/>
      <c r="AA482" s="2011"/>
      <c r="AB482" s="2011"/>
      <c r="AC482" s="2011"/>
      <c r="AD482" s="2011"/>
      <c r="AE482" s="2011"/>
      <c r="AF482" s="2010"/>
      <c r="AG482" s="2010"/>
      <c r="AH482" s="2010"/>
      <c r="AI482" s="2010"/>
      <c r="AJ482" s="2010"/>
      <c r="AK482" s="2010"/>
      <c r="AL482" s="2010"/>
      <c r="AM482" s="2010"/>
      <c r="AN482" s="2010"/>
      <c r="AO482" s="2010"/>
      <c r="AP482" s="2010"/>
      <c r="AQ482" s="2010"/>
      <c r="AR482" s="2017"/>
      <c r="AS482" s="2017"/>
      <c r="AT482" s="1929"/>
      <c r="AU482" s="1929"/>
      <c r="AV482" s="1929"/>
      <c r="AW482" s="1929"/>
      <c r="AX482" s="1929"/>
      <c r="AY482" s="1929"/>
      <c r="AZ482" s="1929"/>
      <c r="BA482" s="1929"/>
      <c r="BB482" s="1929"/>
      <c r="BC482" s="1929"/>
      <c r="BD482" s="1929"/>
      <c r="BE482" s="1929"/>
      <c r="BF482" s="1929"/>
      <c r="BG482" s="1929"/>
      <c r="BH482" s="1929"/>
      <c r="BI482" s="1929"/>
      <c r="BJ482" s="1929"/>
      <c r="BK482" s="1929"/>
      <c r="BL482" s="1929"/>
      <c r="BM482" s="1929"/>
      <c r="BN482" s="1929"/>
      <c r="BO482" s="1929"/>
      <c r="BP482" s="1929"/>
      <c r="BQ482" s="1929"/>
      <c r="BR482" s="1929"/>
      <c r="BS482" s="1885"/>
      <c r="BT482" s="1885"/>
      <c r="BU482" s="1885"/>
      <c r="BV482" s="1890"/>
      <c r="BW482" s="1890"/>
      <c r="BX482" s="1890"/>
      <c r="BY482" s="1890"/>
      <c r="BZ482" s="1891"/>
      <c r="CA482" s="1891"/>
      <c r="CB482" s="2083"/>
      <c r="CC482" s="2084"/>
      <c r="CD482" s="2084"/>
      <c r="CE482" s="2084"/>
      <c r="CF482" s="2084"/>
      <c r="CG482" s="2084"/>
      <c r="CH482" s="2084"/>
      <c r="CI482" s="2084"/>
      <c r="CJ482" s="2084"/>
      <c r="CK482" s="2084"/>
      <c r="CL482" s="2084"/>
      <c r="CM482" s="2084"/>
      <c r="CN482" s="2084"/>
      <c r="CO482" s="2084"/>
      <c r="CP482" s="2084"/>
      <c r="CQ482" s="2084"/>
      <c r="CR482" s="2084"/>
      <c r="CS482" s="2084"/>
      <c r="CT482" s="2084"/>
      <c r="CU482" s="2085"/>
      <c r="CV482" s="2360" t="str">
        <f t="shared" si="561"/>
        <v/>
      </c>
      <c r="CW482" s="2360"/>
      <c r="CX482" s="2360"/>
      <c r="CY482" s="2360"/>
      <c r="CZ482" s="2360"/>
      <c r="DA482" s="2360"/>
      <c r="DC482" s="600" t="str">
        <f t="shared" si="562"/>
        <v/>
      </c>
      <c r="DD482" s="381"/>
      <c r="DF482" s="34"/>
      <c r="DG482" s="34"/>
      <c r="DH482" s="34"/>
      <c r="DI482" s="34"/>
      <c r="DJ482" s="858" t="s">
        <v>5637</v>
      </c>
      <c r="DK482" s="1707" t="str">
        <f t="shared" si="609"/>
        <v/>
      </c>
      <c r="DL482" s="1692" t="str">
        <f t="shared" si="610"/>
        <v/>
      </c>
      <c r="DM482" s="1691">
        <f t="shared" si="563"/>
        <v>0</v>
      </c>
      <c r="DN482" s="111">
        <f t="shared" si="564"/>
        <v>0</v>
      </c>
      <c r="DO482" s="111">
        <f t="shared" si="565"/>
        <v>0</v>
      </c>
      <c r="DP482" s="474">
        <f t="shared" si="566"/>
        <v>0</v>
      </c>
      <c r="DQ482" s="123" t="s">
        <v>856</v>
      </c>
      <c r="DR482" s="473" t="str">
        <f t="shared" si="567"/>
        <v>煙突本体の劣化及び損傷の状況</v>
      </c>
      <c r="DS482" s="112">
        <f t="shared" si="568"/>
        <v>0</v>
      </c>
      <c r="DT482" s="118" t="str">
        <f t="shared" si="569"/>
        <v/>
      </c>
      <c r="DU482" s="452" t="str">
        <f t="shared" si="570"/>
        <v/>
      </c>
      <c r="DV482" s="151" t="str">
        <f>IF($DT482="要是正",MAX($DV$471:DV481)+1,"")</f>
        <v/>
      </c>
      <c r="DW482" s="32" t="str">
        <f t="shared" si="571"/>
        <v/>
      </c>
      <c r="DX482" s="119" t="str">
        <f t="shared" si="572"/>
        <v/>
      </c>
      <c r="DY482" s="33" t="str">
        <f t="shared" si="615"/>
        <v/>
      </c>
      <c r="DZ482" s="217" t="str">
        <f t="shared" si="573"/>
        <v/>
      </c>
      <c r="EA482" s="466" t="str">
        <f t="shared" si="574"/>
        <v/>
      </c>
      <c r="EB482" s="234" t="str">
        <f t="shared" si="575"/>
        <v/>
      </c>
      <c r="EC482" s="227" t="str">
        <f t="shared" si="576"/>
        <v>0</v>
      </c>
      <c r="ED482" s="148" t="str">
        <f t="shared" si="611"/>
        <v/>
      </c>
      <c r="EE482" s="227" t="str">
        <f t="shared" si="612"/>
        <v>0</v>
      </c>
      <c r="EF482" s="130" t="str">
        <f t="shared" si="578"/>
        <v/>
      </c>
      <c r="EG482" s="204" t="str">
        <f t="shared" si="579"/>
        <v/>
      </c>
      <c r="EH482" s="134" t="str">
        <f t="shared" si="580"/>
        <v>0</v>
      </c>
      <c r="EI482" s="148" t="str">
        <f t="shared" si="613"/>
        <v/>
      </c>
      <c r="EJ482" s="227" t="str">
        <f t="shared" si="614"/>
        <v>0</v>
      </c>
      <c r="EK482" s="451" t="str">
        <f t="shared" si="582"/>
        <v/>
      </c>
      <c r="EL482" s="452" t="e">
        <f t="shared" si="583"/>
        <v>#N/A</v>
      </c>
      <c r="EM482" s="151" t="e">
        <f t="shared" si="584"/>
        <v>#N/A</v>
      </c>
      <c r="EN482" s="453" t="e">
        <f t="shared" si="585"/>
        <v>#N/A</v>
      </c>
      <c r="FK482" s="597" t="str">
        <f t="shared" si="586"/>
        <v/>
      </c>
      <c r="FL482" s="597" t="str">
        <f t="shared" si="530"/>
        <v/>
      </c>
      <c r="FM482" s="597" t="str">
        <f t="shared" si="531"/>
        <v/>
      </c>
      <c r="FN482" s="597">
        <f t="shared" si="587"/>
        <v>0</v>
      </c>
      <c r="FO482" s="1163" t="str">
        <f t="shared" si="588"/>
        <v/>
      </c>
      <c r="FQ482" s="234" t="str">
        <f t="shared" si="589"/>
        <v/>
      </c>
      <c r="FR482" s="227" t="str">
        <f t="shared" si="590"/>
        <v>0</v>
      </c>
      <c r="FS482" s="148" t="str">
        <f t="shared" si="591"/>
        <v/>
      </c>
      <c r="FT482" s="227" t="str">
        <f t="shared" si="592"/>
        <v>0</v>
      </c>
      <c r="FU482" s="416" t="str">
        <f t="shared" si="593"/>
        <v/>
      </c>
      <c r="FW482" s="1160">
        <f t="shared" si="529"/>
        <v>0</v>
      </c>
      <c r="FX482" s="123"/>
      <c r="FY482" s="123"/>
      <c r="FZ482" s="1161"/>
      <c r="GA482" s="34"/>
      <c r="GB482" s="1149">
        <f t="shared" si="498"/>
        <v>0</v>
      </c>
      <c r="GC482" s="1149">
        <f t="shared" si="499"/>
        <v>0</v>
      </c>
      <c r="GD482" s="1149">
        <f t="shared" si="500"/>
        <v>0</v>
      </c>
      <c r="GE482" s="1149" t="str">
        <f t="shared" si="594"/>
        <v/>
      </c>
      <c r="GF482" s="1149" t="str">
        <f t="shared" si="595"/>
        <v/>
      </c>
      <c r="GG482" s="1149" t="str">
        <f t="shared" si="596"/>
        <v/>
      </c>
      <c r="GH482" s="1149" t="str">
        <f t="shared" si="597"/>
        <v/>
      </c>
      <c r="GI482" s="1149" t="str">
        <f t="shared" si="598"/>
        <v/>
      </c>
      <c r="GJ482" s="1149" t="str">
        <f t="shared" si="599"/>
        <v/>
      </c>
      <c r="GK482" s="1149" t="str">
        <f t="shared" si="600"/>
        <v/>
      </c>
      <c r="GL482" s="1149" t="str">
        <f t="shared" si="601"/>
        <v/>
      </c>
      <c r="GM482" s="1149" t="str">
        <f t="shared" si="602"/>
        <v/>
      </c>
      <c r="GN482" s="1149" t="str">
        <f t="shared" si="603"/>
        <v/>
      </c>
      <c r="GO482" s="1149" t="str">
        <f t="shared" si="604"/>
        <v/>
      </c>
      <c r="GP482" s="1149" t="str">
        <f t="shared" si="605"/>
        <v/>
      </c>
      <c r="GQ482" s="1149" t="str">
        <f t="shared" si="606"/>
        <v/>
      </c>
      <c r="GR482" s="1149" t="str">
        <f t="shared" si="607"/>
        <v/>
      </c>
      <c r="GS482" s="1149" t="str">
        <f t="shared" si="608"/>
        <v/>
      </c>
      <c r="GT482" s="1149">
        <f t="shared" si="501"/>
        <v>0</v>
      </c>
      <c r="GU482" s="1149">
        <f t="shared" si="502"/>
        <v>0</v>
      </c>
      <c r="GV482" s="1149">
        <f t="shared" si="503"/>
        <v>0</v>
      </c>
      <c r="GW482" s="1149" t="b">
        <f t="shared" si="504"/>
        <v>0</v>
      </c>
      <c r="GX482" s="1149" t="b">
        <f t="shared" si="505"/>
        <v>0</v>
      </c>
      <c r="GY482" s="1149" t="b">
        <f t="shared" si="506"/>
        <v>0</v>
      </c>
      <c r="GZ482" s="1149" t="str">
        <f t="shared" si="528"/>
        <v/>
      </c>
      <c r="HB482" s="1149" t="str">
        <f t="shared" si="507"/>
        <v/>
      </c>
      <c r="HC482" s="1149" t="str">
        <f t="shared" si="508"/>
        <v/>
      </c>
      <c r="HD482" s="1149" t="str">
        <f t="shared" si="509"/>
        <v/>
      </c>
      <c r="HE482" s="1149" t="str">
        <f t="shared" si="510"/>
        <v/>
      </c>
      <c r="HF482" s="1149" t="str">
        <f t="shared" si="511"/>
        <v/>
      </c>
      <c r="HG482" s="1149" t="str">
        <f t="shared" si="512"/>
        <v/>
      </c>
      <c r="HH482" s="1149" t="str">
        <f t="shared" si="513"/>
        <v/>
      </c>
      <c r="HI482" s="1149" t="str">
        <f t="shared" si="514"/>
        <v/>
      </c>
      <c r="HJ482" s="1149" t="str">
        <f t="shared" si="515"/>
        <v/>
      </c>
      <c r="HK482" s="1149" t="str">
        <f t="shared" si="516"/>
        <v/>
      </c>
      <c r="HL482" s="1149" t="str">
        <f t="shared" si="517"/>
        <v/>
      </c>
      <c r="HM482" s="1149" t="str">
        <f t="shared" si="518"/>
        <v/>
      </c>
      <c r="HN482" s="1149" t="str">
        <f t="shared" si="519"/>
        <v/>
      </c>
      <c r="HO482" s="1149" t="str">
        <f t="shared" si="520"/>
        <v/>
      </c>
      <c r="HP482" s="1149" t="str">
        <f t="shared" si="521"/>
        <v/>
      </c>
      <c r="HQ482" s="1149" t="str">
        <f t="shared" si="522"/>
        <v/>
      </c>
      <c r="HR482" s="1149" t="str">
        <f t="shared" si="523"/>
        <v/>
      </c>
      <c r="HT482" s="1149">
        <f>LEFT(M482,1)*10000+MID(M482,3,LEN(M482)-3)*100+COUNTIF($M$307:M482,M482)</f>
        <v>60801</v>
      </c>
      <c r="HU482" s="1149" t="str">
        <f t="shared" si="524"/>
        <v/>
      </c>
      <c r="HV482" s="1149" t="str">
        <f t="shared" si="525"/>
        <v/>
      </c>
      <c r="HW482" s="1149" t="str">
        <f t="shared" si="526"/>
        <v/>
      </c>
      <c r="HX482" s="1149" t="str">
        <f t="shared" si="527"/>
        <v/>
      </c>
    </row>
    <row r="483" spans="1:232" s="69" customFormat="1" ht="50.15" customHeight="1" thickBot="1">
      <c r="A483" s="645"/>
      <c r="B483" s="645"/>
      <c r="C483" s="645"/>
      <c r="D483" s="645"/>
      <c r="E483" s="646"/>
      <c r="F483" s="381"/>
      <c r="G483" s="381"/>
      <c r="H483" s="381"/>
      <c r="J483" s="80"/>
      <c r="K483" s="89"/>
      <c r="L483" s="89"/>
      <c r="M483" s="1963" t="s">
        <v>1317</v>
      </c>
      <c r="N483" s="1963"/>
      <c r="O483" s="1963"/>
      <c r="P483" s="2112"/>
      <c r="Q483" s="2112"/>
      <c r="R483" s="2029"/>
      <c r="S483" s="2029"/>
      <c r="T483" s="2029"/>
      <c r="U483" s="2107" t="s">
        <v>153</v>
      </c>
      <c r="V483" s="2107"/>
      <c r="W483" s="2107"/>
      <c r="X483" s="2107"/>
      <c r="Y483" s="2107"/>
      <c r="Z483" s="2107"/>
      <c r="AA483" s="2107"/>
      <c r="AB483" s="2107"/>
      <c r="AC483" s="2107"/>
      <c r="AD483" s="2107"/>
      <c r="AE483" s="2107"/>
      <c r="AF483" s="2108"/>
      <c r="AG483" s="2108"/>
      <c r="AH483" s="2108"/>
      <c r="AI483" s="2108"/>
      <c r="AJ483" s="2108"/>
      <c r="AK483" s="2108"/>
      <c r="AL483" s="2108"/>
      <c r="AM483" s="2108"/>
      <c r="AN483" s="2108"/>
      <c r="AO483" s="2108"/>
      <c r="AP483" s="2108"/>
      <c r="AQ483" s="2108"/>
      <c r="AR483" s="2109"/>
      <c r="AS483" s="2109"/>
      <c r="AT483" s="2054"/>
      <c r="AU483" s="2054"/>
      <c r="AV483" s="2054"/>
      <c r="AW483" s="2054"/>
      <c r="AX483" s="2054"/>
      <c r="AY483" s="2054"/>
      <c r="AZ483" s="2054"/>
      <c r="BA483" s="2054"/>
      <c r="BB483" s="2054"/>
      <c r="BC483" s="2054"/>
      <c r="BD483" s="2054"/>
      <c r="BE483" s="2054"/>
      <c r="BF483" s="2054"/>
      <c r="BG483" s="2054"/>
      <c r="BH483" s="2054"/>
      <c r="BI483" s="2054"/>
      <c r="BJ483" s="2054"/>
      <c r="BK483" s="2054"/>
      <c r="BL483" s="2054"/>
      <c r="BM483" s="2054"/>
      <c r="BN483" s="2054"/>
      <c r="BO483" s="2054"/>
      <c r="BP483" s="2054"/>
      <c r="BQ483" s="2054"/>
      <c r="BR483" s="2054"/>
      <c r="BS483" s="1994"/>
      <c r="BT483" s="1994"/>
      <c r="BU483" s="1994"/>
      <c r="BV483" s="2094"/>
      <c r="BW483" s="2094"/>
      <c r="BX483" s="2094"/>
      <c r="BY483" s="2094"/>
      <c r="BZ483" s="2095"/>
      <c r="CA483" s="2095"/>
      <c r="CB483" s="2529"/>
      <c r="CC483" s="2530"/>
      <c r="CD483" s="2530"/>
      <c r="CE483" s="2530"/>
      <c r="CF483" s="2530"/>
      <c r="CG483" s="2530"/>
      <c r="CH483" s="2530"/>
      <c r="CI483" s="2530"/>
      <c r="CJ483" s="2530"/>
      <c r="CK483" s="2530"/>
      <c r="CL483" s="2530"/>
      <c r="CM483" s="2530"/>
      <c r="CN483" s="2530"/>
      <c r="CO483" s="2530"/>
      <c r="CP483" s="2530"/>
      <c r="CQ483" s="2530"/>
      <c r="CR483" s="2530"/>
      <c r="CS483" s="2530"/>
      <c r="CT483" s="2530"/>
      <c r="CU483" s="2531"/>
      <c r="CV483" s="2360" t="str">
        <f t="shared" si="561"/>
        <v/>
      </c>
      <c r="CW483" s="2360"/>
      <c r="CX483" s="2360"/>
      <c r="CY483" s="2360"/>
      <c r="CZ483" s="2360"/>
      <c r="DA483" s="2360"/>
      <c r="DC483" s="600" t="str">
        <f t="shared" si="562"/>
        <v/>
      </c>
      <c r="DD483" s="381"/>
      <c r="DF483" s="34"/>
      <c r="DG483" s="34"/>
      <c r="DH483" s="34"/>
      <c r="DI483" s="34"/>
      <c r="DJ483" s="858" t="s">
        <v>5637</v>
      </c>
      <c r="DK483" s="1707" t="str">
        <f t="shared" si="609"/>
        <v/>
      </c>
      <c r="DL483" s="1692" t="str">
        <f t="shared" si="610"/>
        <v/>
      </c>
      <c r="DM483" s="1694">
        <f t="shared" si="563"/>
        <v>0</v>
      </c>
      <c r="DN483" s="476">
        <f t="shared" si="564"/>
        <v>0</v>
      </c>
      <c r="DO483" s="476">
        <f t="shared" si="565"/>
        <v>0</v>
      </c>
      <c r="DP483" s="477">
        <f t="shared" si="566"/>
        <v>0</v>
      </c>
      <c r="DQ483" s="123" t="s">
        <v>857</v>
      </c>
      <c r="DR483" s="475" t="str">
        <f>IF($U483="",R482,U483)</f>
        <v>付帯金物の劣化及び損傷の状況</v>
      </c>
      <c r="DS483" s="221">
        <f t="shared" si="568"/>
        <v>0</v>
      </c>
      <c r="DT483" s="480" t="str">
        <f t="shared" si="569"/>
        <v/>
      </c>
      <c r="DU483" s="232" t="str">
        <f t="shared" si="570"/>
        <v/>
      </c>
      <c r="DV483" s="233" t="str">
        <f>IF($DT483="要是正",MAX($DV$471:DV482)+1,"")</f>
        <v/>
      </c>
      <c r="DW483" s="483" t="str">
        <f t="shared" si="571"/>
        <v/>
      </c>
      <c r="DX483" s="467" t="str">
        <f t="shared" si="572"/>
        <v/>
      </c>
      <c r="DY483" s="468" t="str">
        <f t="shared" si="615"/>
        <v/>
      </c>
      <c r="DZ483" s="469" t="str">
        <f t="shared" si="573"/>
        <v/>
      </c>
      <c r="EA483" s="466" t="str">
        <f t="shared" si="574"/>
        <v/>
      </c>
      <c r="EB483" s="234" t="str">
        <f t="shared" si="575"/>
        <v/>
      </c>
      <c r="EC483" s="227" t="str">
        <f t="shared" si="576"/>
        <v>0</v>
      </c>
      <c r="ED483" s="148" t="str">
        <f t="shared" si="611"/>
        <v/>
      </c>
      <c r="EE483" s="227" t="str">
        <f t="shared" si="612"/>
        <v>0</v>
      </c>
      <c r="EF483" s="130" t="str">
        <f t="shared" si="578"/>
        <v/>
      </c>
      <c r="EG483" s="204" t="str">
        <f t="shared" si="579"/>
        <v/>
      </c>
      <c r="EH483" s="134" t="str">
        <f t="shared" si="580"/>
        <v>0</v>
      </c>
      <c r="EI483" s="148" t="str">
        <f t="shared" si="613"/>
        <v/>
      </c>
      <c r="EJ483" s="227" t="str">
        <f t="shared" si="614"/>
        <v>0</v>
      </c>
      <c r="EK483" s="451" t="str">
        <f t="shared" si="582"/>
        <v/>
      </c>
      <c r="EL483" s="452" t="e">
        <f t="shared" si="583"/>
        <v>#N/A</v>
      </c>
      <c r="EM483" s="151" t="e">
        <f t="shared" si="584"/>
        <v>#N/A</v>
      </c>
      <c r="EN483" s="453" t="e">
        <f t="shared" si="585"/>
        <v>#N/A</v>
      </c>
      <c r="FK483" s="597" t="str">
        <f t="shared" si="586"/>
        <v/>
      </c>
      <c r="FL483" s="597" t="str">
        <f t="shared" si="530"/>
        <v/>
      </c>
      <c r="FM483" s="597" t="str">
        <f t="shared" si="531"/>
        <v/>
      </c>
      <c r="FN483" s="597">
        <f t="shared" si="587"/>
        <v>0</v>
      </c>
      <c r="FO483" s="1163" t="str">
        <f t="shared" si="588"/>
        <v/>
      </c>
      <c r="FQ483" s="234" t="str">
        <f t="shared" si="589"/>
        <v/>
      </c>
      <c r="FR483" s="227" t="str">
        <f t="shared" si="590"/>
        <v>0</v>
      </c>
      <c r="FS483" s="148" t="str">
        <f t="shared" si="591"/>
        <v/>
      </c>
      <c r="FT483" s="227" t="str">
        <f t="shared" si="592"/>
        <v>0</v>
      </c>
      <c r="FU483" s="416" t="str">
        <f t="shared" si="593"/>
        <v/>
      </c>
      <c r="FW483" s="1160">
        <f t="shared" si="529"/>
        <v>0</v>
      </c>
      <c r="FX483" s="123"/>
      <c r="FY483" s="123"/>
      <c r="FZ483" s="1161"/>
      <c r="GA483" s="34"/>
      <c r="GB483" s="1149">
        <f t="shared" si="498"/>
        <v>0</v>
      </c>
      <c r="GC483" s="1149">
        <f t="shared" si="499"/>
        <v>0</v>
      </c>
      <c r="GD483" s="1149">
        <f t="shared" si="500"/>
        <v>0</v>
      </c>
      <c r="GE483" s="1149" t="str">
        <f t="shared" si="594"/>
        <v/>
      </c>
      <c r="GF483" s="1149" t="str">
        <f t="shared" si="595"/>
        <v/>
      </c>
      <c r="GG483" s="1149" t="str">
        <f t="shared" si="596"/>
        <v/>
      </c>
      <c r="GH483" s="1149" t="str">
        <f t="shared" si="597"/>
        <v/>
      </c>
      <c r="GI483" s="1149" t="str">
        <f t="shared" si="598"/>
        <v/>
      </c>
      <c r="GJ483" s="1149" t="str">
        <f t="shared" si="599"/>
        <v/>
      </c>
      <c r="GK483" s="1149" t="str">
        <f t="shared" si="600"/>
        <v/>
      </c>
      <c r="GL483" s="1149" t="str">
        <f t="shared" si="601"/>
        <v/>
      </c>
      <c r="GM483" s="1149" t="str">
        <f t="shared" si="602"/>
        <v/>
      </c>
      <c r="GN483" s="1149" t="str">
        <f t="shared" si="603"/>
        <v/>
      </c>
      <c r="GO483" s="1149" t="str">
        <f t="shared" si="604"/>
        <v/>
      </c>
      <c r="GP483" s="1149" t="str">
        <f t="shared" si="605"/>
        <v/>
      </c>
      <c r="GQ483" s="1149" t="str">
        <f t="shared" si="606"/>
        <v/>
      </c>
      <c r="GR483" s="1149" t="str">
        <f t="shared" si="607"/>
        <v/>
      </c>
      <c r="GS483" s="1149" t="str">
        <f t="shared" si="608"/>
        <v/>
      </c>
      <c r="GT483" s="1149">
        <f t="shared" si="501"/>
        <v>0</v>
      </c>
      <c r="GU483" s="1149">
        <f t="shared" si="502"/>
        <v>0</v>
      </c>
      <c r="GV483" s="1149">
        <f t="shared" si="503"/>
        <v>0</v>
      </c>
      <c r="GW483" s="1149" t="b">
        <f t="shared" si="504"/>
        <v>0</v>
      </c>
      <c r="GX483" s="1149" t="b">
        <f t="shared" si="505"/>
        <v>0</v>
      </c>
      <c r="GY483" s="1149" t="b">
        <f t="shared" si="506"/>
        <v>0</v>
      </c>
      <c r="GZ483" s="1149" t="str">
        <f t="shared" si="528"/>
        <v/>
      </c>
      <c r="HB483" s="1149" t="str">
        <f t="shared" si="507"/>
        <v/>
      </c>
      <c r="HC483" s="1149" t="str">
        <f t="shared" si="508"/>
        <v/>
      </c>
      <c r="HD483" s="1149" t="str">
        <f t="shared" si="509"/>
        <v/>
      </c>
      <c r="HE483" s="1149" t="str">
        <f t="shared" si="510"/>
        <v/>
      </c>
      <c r="HF483" s="1149" t="str">
        <f t="shared" si="511"/>
        <v/>
      </c>
      <c r="HG483" s="1149" t="str">
        <f t="shared" si="512"/>
        <v/>
      </c>
      <c r="HH483" s="1149" t="str">
        <f t="shared" si="513"/>
        <v/>
      </c>
      <c r="HI483" s="1149" t="str">
        <f t="shared" si="514"/>
        <v/>
      </c>
      <c r="HJ483" s="1149" t="str">
        <f t="shared" si="515"/>
        <v/>
      </c>
      <c r="HK483" s="1149" t="str">
        <f t="shared" si="516"/>
        <v/>
      </c>
      <c r="HL483" s="1149" t="str">
        <f t="shared" si="517"/>
        <v/>
      </c>
      <c r="HM483" s="1149" t="str">
        <f t="shared" si="518"/>
        <v/>
      </c>
      <c r="HN483" s="1149" t="str">
        <f t="shared" si="519"/>
        <v/>
      </c>
      <c r="HO483" s="1149" t="str">
        <f t="shared" si="520"/>
        <v/>
      </c>
      <c r="HP483" s="1149" t="str">
        <f t="shared" si="521"/>
        <v/>
      </c>
      <c r="HQ483" s="1149" t="str">
        <f t="shared" si="522"/>
        <v/>
      </c>
      <c r="HR483" s="1149" t="str">
        <f t="shared" si="523"/>
        <v/>
      </c>
      <c r="HT483" s="1149">
        <f>LEFT(M483,1)*10000+MID(M483,3,LEN(M483)-3)*100+COUNTIF($M$307:M483,M483)</f>
        <v>60901</v>
      </c>
      <c r="HU483" s="1149" t="str">
        <f t="shared" si="524"/>
        <v/>
      </c>
      <c r="HV483" s="1149" t="str">
        <f t="shared" si="525"/>
        <v/>
      </c>
      <c r="HW483" s="1149" t="str">
        <f t="shared" si="526"/>
        <v/>
      </c>
      <c r="HX483" s="1149" t="str">
        <f t="shared" si="527"/>
        <v/>
      </c>
    </row>
    <row r="484" spans="1:232" s="69" customFormat="1" ht="50.15" hidden="1" customHeight="1" thickBot="1">
      <c r="A484" s="645"/>
      <c r="B484" s="645"/>
      <c r="C484" s="645"/>
      <c r="D484" s="645"/>
      <c r="E484" s="646"/>
      <c r="F484" s="381"/>
      <c r="G484" s="381"/>
      <c r="H484" s="381"/>
      <c r="J484" s="80"/>
      <c r="K484" s="89"/>
      <c r="L484" s="89"/>
      <c r="M484" s="1963" t="s">
        <v>2586</v>
      </c>
      <c r="N484" s="1963"/>
      <c r="O484" s="1963"/>
      <c r="P484" s="2112"/>
      <c r="Q484" s="2112"/>
      <c r="R484" s="2029"/>
      <c r="S484" s="2029"/>
      <c r="T484" s="2029"/>
      <c r="U484" s="1899"/>
      <c r="V484" s="1899"/>
      <c r="W484" s="1899"/>
      <c r="X484" s="1899"/>
      <c r="Y484" s="1899"/>
      <c r="Z484" s="1899"/>
      <c r="AA484" s="1899"/>
      <c r="AB484" s="1899"/>
      <c r="AC484" s="1899"/>
      <c r="AD484" s="1899"/>
      <c r="AE484" s="1899"/>
      <c r="AF484" s="1898"/>
      <c r="AG484" s="1898"/>
      <c r="AH484" s="1898"/>
      <c r="AI484" s="1898"/>
      <c r="AJ484" s="1898"/>
      <c r="AK484" s="1898"/>
      <c r="AL484" s="1898"/>
      <c r="AM484" s="1898"/>
      <c r="AN484" s="1898"/>
      <c r="AO484" s="1898"/>
      <c r="AP484" s="1898"/>
      <c r="AQ484" s="1898"/>
      <c r="AR484" s="1910"/>
      <c r="AS484" s="1910"/>
      <c r="AT484" s="1993"/>
      <c r="AU484" s="1993"/>
      <c r="AV484" s="1993"/>
      <c r="AW484" s="1993"/>
      <c r="AX484" s="1993"/>
      <c r="AY484" s="1993"/>
      <c r="AZ484" s="1993"/>
      <c r="BA484" s="1993"/>
      <c r="BB484" s="1993"/>
      <c r="BC484" s="1993"/>
      <c r="BD484" s="1993"/>
      <c r="BE484" s="1993"/>
      <c r="BF484" s="1993"/>
      <c r="BG484" s="1993"/>
      <c r="BH484" s="1993"/>
      <c r="BI484" s="1993"/>
      <c r="BJ484" s="1993"/>
      <c r="BK484" s="1993"/>
      <c r="BL484" s="1993"/>
      <c r="BM484" s="1993"/>
      <c r="BN484" s="1993"/>
      <c r="BO484" s="1993"/>
      <c r="BP484" s="1993"/>
      <c r="BQ484" s="1993"/>
      <c r="BR484" s="1993"/>
      <c r="BS484" s="1895"/>
      <c r="BT484" s="1895"/>
      <c r="BU484" s="1895"/>
      <c r="BV484" s="1889"/>
      <c r="BW484" s="1889"/>
      <c r="BX484" s="1889"/>
      <c r="BY484" s="1889"/>
      <c r="BZ484" s="1896"/>
      <c r="CA484" s="1896"/>
      <c r="CB484" s="1886"/>
      <c r="CC484" s="1887"/>
      <c r="CD484" s="1887"/>
      <c r="CE484" s="1887"/>
      <c r="CF484" s="1887"/>
      <c r="CG484" s="1887"/>
      <c r="CH484" s="1887"/>
      <c r="CI484" s="1887"/>
      <c r="CJ484" s="1887"/>
      <c r="CK484" s="1887"/>
      <c r="CL484" s="1887"/>
      <c r="CM484" s="1887"/>
      <c r="CN484" s="1887"/>
      <c r="CO484" s="1887"/>
      <c r="CP484" s="1887"/>
      <c r="CQ484" s="1887"/>
      <c r="CR484" s="1887"/>
      <c r="CS484" s="1887"/>
      <c r="CT484" s="1887"/>
      <c r="CU484" s="1888"/>
      <c r="CV484" s="2360" t="str">
        <f t="shared" ref="CV484:CV488" si="616">IF(AND(DT484="要是正",DU484&lt;21),HYPERLINK("#"&amp;EL484&amp;"!"&amp;EM484&amp;":"&amp;EN484&amp;"","関連写真添付"),"")</f>
        <v/>
      </c>
      <c r="CW484" s="2360"/>
      <c r="CX484" s="2360"/>
      <c r="CY484" s="2360"/>
      <c r="CZ484" s="2360"/>
      <c r="DA484" s="2360"/>
      <c r="DC484" s="600" t="str">
        <f t="shared" ref="DC484:DC488" si="617">IF(AND(DU484&lt;&gt;"",DU484&gt;20),"「別途様式を作成、提出してください。」","")</f>
        <v/>
      </c>
      <c r="DD484" s="381"/>
      <c r="DF484" s="34"/>
      <c r="DG484" s="34"/>
      <c r="DH484" s="34"/>
      <c r="DI484" s="34"/>
      <c r="DJ484" s="858" t="s">
        <v>5637</v>
      </c>
      <c r="DK484" s="1707" t="str">
        <f t="shared" si="609"/>
        <v/>
      </c>
      <c r="DL484" s="1692" t="str">
        <f t="shared" si="610"/>
        <v/>
      </c>
      <c r="DM484" s="1694">
        <f t="shared" si="563"/>
        <v>0</v>
      </c>
      <c r="DN484" s="476">
        <f t="shared" ref="DN484:DN488" si="618">COUNTIFS(AF484,"○指摘なし")</f>
        <v>0</v>
      </c>
      <c r="DO484" s="476">
        <f t="shared" ref="DO484:DO488" si="619">COUNTIFS(AF484,"×要是正（既存不適格以外）")</f>
        <v>0</v>
      </c>
      <c r="DP484" s="477">
        <f t="shared" ref="DP484:DP488" si="620">COUNTIFS(AF484,"△既存不適格")</f>
        <v>0</v>
      </c>
      <c r="DQ484" s="123" t="s">
        <v>2624</v>
      </c>
      <c r="DR484" s="475">
        <f t="shared" ref="DR484:DR488" si="621">IF($U484="",R484,U484)</f>
        <v>0</v>
      </c>
      <c r="DS484" s="221">
        <f t="shared" ref="DS484:DS488" si="622">COUNTA(BS484:BX484)</f>
        <v>0</v>
      </c>
      <c r="DT484" s="480" t="str">
        <f t="shared" ref="DT484:DT488" si="623">IF(AF484="×要是正（既存不適格以外）","要是正","")&amp;IF(AF484="△既存不適格","既存不適格","")</f>
        <v/>
      </c>
      <c r="DU484" s="232" t="str">
        <f t="shared" si="570"/>
        <v/>
      </c>
      <c r="DV484" s="233" t="str">
        <f>IF($DT484="要是正",MAX($DV$471:DV483)+1,"")</f>
        <v/>
      </c>
      <c r="DW484" s="483" t="str">
        <f t="shared" ref="DW484:DW488" si="624">IF(OR(AF484="×要是正（既存不適格以外）",AF484="△既存不適格"),DQ484,"")</f>
        <v/>
      </c>
      <c r="DX484" s="467" t="str">
        <f t="shared" si="572"/>
        <v/>
      </c>
      <c r="DY484" s="468" t="str">
        <f t="shared" ref="DY484:DY488" si="625">IF($DT484="要是正",IF(AT484="","",DQ484 &amp;" " &amp; AT484),"")</f>
        <v/>
      </c>
      <c r="DZ484" s="469" t="str">
        <f t="shared" ref="DZ484:DZ488" si="626">IF($DT484="要是正",IF(BD484="","",BD484),"")</f>
        <v/>
      </c>
      <c r="EA484" s="466" t="str">
        <f t="shared" si="574"/>
        <v/>
      </c>
      <c r="EB484" s="234" t="str">
        <f t="shared" si="575"/>
        <v/>
      </c>
      <c r="EC484" s="227" t="str">
        <f t="shared" si="576"/>
        <v>0</v>
      </c>
      <c r="ED484" s="148" t="str">
        <f t="shared" ref="ED484:ED488" si="627">IF(DT484="要是正",IF(AND(BY484="予定",DS484=2),1,IF(BY484="改善済",2,"")),"")</f>
        <v/>
      </c>
      <c r="EE484" s="227" t="str">
        <f t="shared" ref="EE484:EE488" si="628">IF(ED484=1,EC484,"0")</f>
        <v>0</v>
      </c>
      <c r="EF484" s="130" t="str">
        <f t="shared" ref="EF484:EF488" si="629">IF(AND(DT484="要是正",AND(DS484=0,BY484="未定")),BY484,"")</f>
        <v/>
      </c>
      <c r="EG484" s="204" t="str">
        <f t="shared" si="579"/>
        <v/>
      </c>
      <c r="EH484" s="134" t="str">
        <f t="shared" si="580"/>
        <v>0</v>
      </c>
      <c r="EI484" s="148" t="str">
        <f t="shared" ref="EI484:EI488" si="630">IF(DT484="既存不適格",IF(AND(BY484="予定",DS484=2),1,IF(BY484="改善済",2,"")),"")</f>
        <v/>
      </c>
      <c r="EJ484" s="227" t="str">
        <f t="shared" ref="EJ484:EJ488" si="631">IF(EI484=1,EH484,"0")</f>
        <v>0</v>
      </c>
      <c r="EK484" s="451" t="str">
        <f t="shared" ref="EK484:EK488" si="632">IF(AND(DT484="既存不適格",AND(DS484=0,BY484="未定")),BY484,"")</f>
        <v/>
      </c>
      <c r="EL484" s="452" t="e">
        <f t="shared" ref="EL484:EL488" si="633">VLOOKUP($DU484,$EO$306:$ER$334,2,FALSE)</f>
        <v>#N/A</v>
      </c>
      <c r="EM484" s="151" t="e">
        <f t="shared" ref="EM484:EM488" si="634">VLOOKUP($DU484,$EO$306:$ER$334,3,FALSE)</f>
        <v>#N/A</v>
      </c>
      <c r="EN484" s="453" t="e">
        <f t="shared" ref="EN484:EN488" si="635">VLOOKUP($DU484,$EO$306:$ER$334,4,FALSE)</f>
        <v>#N/A</v>
      </c>
      <c r="FK484" s="597" t="str">
        <f t="shared" si="586"/>
        <v/>
      </c>
      <c r="FL484" s="597" t="str">
        <f t="shared" si="530"/>
        <v/>
      </c>
      <c r="FM484" s="597" t="str">
        <f t="shared" si="531"/>
        <v/>
      </c>
      <c r="FN484" s="597">
        <f t="shared" ref="FN484:FN488" si="636">AR484</f>
        <v>0</v>
      </c>
      <c r="FO484" s="1163" t="str">
        <f t="shared" si="588"/>
        <v/>
      </c>
      <c r="FQ484" s="234" t="str">
        <f t="shared" si="589"/>
        <v/>
      </c>
      <c r="FR484" s="227" t="str">
        <f t="shared" si="590"/>
        <v>0</v>
      </c>
      <c r="FS484" s="148" t="str">
        <f t="shared" ref="FS484:FS488" si="637">IF(OR(BY484="予定",BY484="改善済"),1,"")</f>
        <v/>
      </c>
      <c r="FT484" s="227" t="str">
        <f t="shared" ref="FT484:FT488" si="638">IF(FS484=1,FR484,"0")</f>
        <v>0</v>
      </c>
      <c r="FU484" s="416" t="str">
        <f t="shared" ref="FU484:FU488" si="639">IF(AND(FM484="要是正",AND(FL484=0,DR484="未定")),DR484,"")</f>
        <v/>
      </c>
      <c r="FW484" s="1160">
        <f t="shared" ref="FW484:FW488" si="640">IF(AF484="△既存不適格",AT484&amp;"(既存不適格)",AT484)</f>
        <v>0</v>
      </c>
      <c r="FX484" s="123"/>
      <c r="FY484" s="123"/>
      <c r="FZ484" s="1161"/>
      <c r="GA484" s="34"/>
      <c r="GB484" s="123">
        <f t="shared" si="498"/>
        <v>0</v>
      </c>
      <c r="GC484" s="123">
        <f t="shared" si="499"/>
        <v>0</v>
      </c>
      <c r="GD484" s="69">
        <f t="shared" si="500"/>
        <v>0</v>
      </c>
      <c r="GE484" s="1149" t="str">
        <f t="shared" si="594"/>
        <v/>
      </c>
      <c r="GF484" s="1149" t="str">
        <f t="shared" si="595"/>
        <v/>
      </c>
      <c r="GG484" s="1149" t="str">
        <f t="shared" si="596"/>
        <v/>
      </c>
      <c r="GH484" s="1149" t="str">
        <f t="shared" si="597"/>
        <v/>
      </c>
      <c r="GI484" s="1149" t="str">
        <f t="shared" si="598"/>
        <v/>
      </c>
      <c r="GJ484" s="1149" t="str">
        <f t="shared" si="599"/>
        <v/>
      </c>
      <c r="GK484" s="1149" t="str">
        <f t="shared" si="600"/>
        <v/>
      </c>
      <c r="GL484" s="1149" t="str">
        <f t="shared" si="601"/>
        <v/>
      </c>
      <c r="GM484" s="1149" t="str">
        <f t="shared" si="602"/>
        <v/>
      </c>
      <c r="GN484" s="1149" t="str">
        <f t="shared" si="603"/>
        <v/>
      </c>
      <c r="GO484" s="1149" t="str">
        <f t="shared" si="604"/>
        <v/>
      </c>
      <c r="GP484" s="1149" t="str">
        <f t="shared" si="605"/>
        <v/>
      </c>
      <c r="GQ484" s="1149" t="str">
        <f t="shared" si="606"/>
        <v/>
      </c>
      <c r="GR484" s="1149" t="str">
        <f t="shared" si="607"/>
        <v/>
      </c>
      <c r="GS484" s="1149" t="str">
        <f t="shared" si="608"/>
        <v/>
      </c>
      <c r="GT484" s="1149">
        <f t="shared" si="501"/>
        <v>0</v>
      </c>
      <c r="GU484" s="1149">
        <f t="shared" si="502"/>
        <v>0</v>
      </c>
      <c r="GV484" s="1149">
        <f t="shared" si="503"/>
        <v>0</v>
      </c>
      <c r="GW484" s="1149" t="b">
        <f t="shared" si="504"/>
        <v>0</v>
      </c>
      <c r="GX484" s="1149" t="b">
        <f t="shared" si="505"/>
        <v>0</v>
      </c>
      <c r="GY484" s="1149" t="b">
        <f t="shared" si="506"/>
        <v>0</v>
      </c>
      <c r="GZ484" s="1149" t="str">
        <f t="shared" si="528"/>
        <v/>
      </c>
      <c r="HB484" s="1149" t="str">
        <f t="shared" si="507"/>
        <v/>
      </c>
      <c r="HC484" s="1149" t="str">
        <f t="shared" si="508"/>
        <v/>
      </c>
      <c r="HD484" s="1149" t="str">
        <f t="shared" si="509"/>
        <v/>
      </c>
      <c r="HE484" s="1149" t="str">
        <f t="shared" si="510"/>
        <v/>
      </c>
      <c r="HF484" s="1149" t="str">
        <f t="shared" si="511"/>
        <v/>
      </c>
      <c r="HG484" s="1149" t="str">
        <f t="shared" si="512"/>
        <v/>
      </c>
      <c r="HH484" s="1149" t="str">
        <f t="shared" si="513"/>
        <v/>
      </c>
      <c r="HI484" s="1149" t="str">
        <f t="shared" si="514"/>
        <v/>
      </c>
      <c r="HJ484" s="1149" t="str">
        <f t="shared" si="515"/>
        <v/>
      </c>
      <c r="HK484" s="1149" t="str">
        <f t="shared" si="516"/>
        <v/>
      </c>
      <c r="HL484" s="1149" t="str">
        <f t="shared" si="517"/>
        <v/>
      </c>
      <c r="HM484" s="1149" t="str">
        <f t="shared" si="518"/>
        <v/>
      </c>
      <c r="HN484" s="1149" t="str">
        <f t="shared" si="519"/>
        <v/>
      </c>
      <c r="HO484" s="1149" t="str">
        <f t="shared" si="520"/>
        <v/>
      </c>
      <c r="HP484" s="1149" t="str">
        <f t="shared" si="521"/>
        <v/>
      </c>
      <c r="HQ484" s="1149" t="str">
        <f t="shared" si="522"/>
        <v/>
      </c>
      <c r="HR484" s="1149" t="str">
        <f t="shared" si="523"/>
        <v/>
      </c>
      <c r="HT484" s="1149">
        <f>LEFT(M484,1)*10000+MID(M484,3,LEN(M484)-3)*100+COUNTIF($M$307:M484,M484)</f>
        <v>61001</v>
      </c>
      <c r="HU484" s="1149" t="str">
        <f t="shared" si="524"/>
        <v/>
      </c>
      <c r="HV484" s="1149" t="str">
        <f t="shared" si="525"/>
        <v/>
      </c>
      <c r="HW484" s="1149" t="str">
        <f t="shared" si="526"/>
        <v/>
      </c>
      <c r="HX484" s="1149" t="str">
        <f t="shared" si="527"/>
        <v/>
      </c>
    </row>
    <row r="485" spans="1:232" s="69" customFormat="1" ht="50.15" hidden="1" customHeight="1" thickBot="1">
      <c r="A485" s="645"/>
      <c r="B485" s="645"/>
      <c r="C485" s="645"/>
      <c r="D485" s="645"/>
      <c r="E485" s="646"/>
      <c r="F485" s="381"/>
      <c r="G485" s="381"/>
      <c r="H485" s="381"/>
      <c r="J485" s="80"/>
      <c r="K485" s="89"/>
      <c r="L485" s="89"/>
      <c r="M485" s="1963" t="s">
        <v>2587</v>
      </c>
      <c r="N485" s="1963"/>
      <c r="O485" s="1963"/>
      <c r="P485" s="2112"/>
      <c r="Q485" s="2112"/>
      <c r="R485" s="2029"/>
      <c r="S485" s="2029"/>
      <c r="T485" s="2029"/>
      <c r="U485" s="1899"/>
      <c r="V485" s="1899"/>
      <c r="W485" s="1899"/>
      <c r="X485" s="1899"/>
      <c r="Y485" s="1899"/>
      <c r="Z485" s="1899"/>
      <c r="AA485" s="1899"/>
      <c r="AB485" s="1899"/>
      <c r="AC485" s="1899"/>
      <c r="AD485" s="1899"/>
      <c r="AE485" s="1899"/>
      <c r="AF485" s="1898"/>
      <c r="AG485" s="1898"/>
      <c r="AH485" s="1898"/>
      <c r="AI485" s="1898"/>
      <c r="AJ485" s="1898"/>
      <c r="AK485" s="1898"/>
      <c r="AL485" s="1898"/>
      <c r="AM485" s="1898"/>
      <c r="AN485" s="1898"/>
      <c r="AO485" s="1898"/>
      <c r="AP485" s="1898"/>
      <c r="AQ485" s="1898"/>
      <c r="AR485" s="1910"/>
      <c r="AS485" s="1910"/>
      <c r="AT485" s="1993"/>
      <c r="AU485" s="1993"/>
      <c r="AV485" s="1993"/>
      <c r="AW485" s="1993"/>
      <c r="AX485" s="1993"/>
      <c r="AY485" s="1993"/>
      <c r="AZ485" s="1993"/>
      <c r="BA485" s="1993"/>
      <c r="BB485" s="1993"/>
      <c r="BC485" s="1993"/>
      <c r="BD485" s="1993"/>
      <c r="BE485" s="1993"/>
      <c r="BF485" s="1993"/>
      <c r="BG485" s="1993"/>
      <c r="BH485" s="1993"/>
      <c r="BI485" s="1993"/>
      <c r="BJ485" s="1993"/>
      <c r="BK485" s="1993"/>
      <c r="BL485" s="1993"/>
      <c r="BM485" s="1993"/>
      <c r="BN485" s="1993"/>
      <c r="BO485" s="1993"/>
      <c r="BP485" s="1993"/>
      <c r="BQ485" s="1993"/>
      <c r="BR485" s="1993"/>
      <c r="BS485" s="1895"/>
      <c r="BT485" s="1895"/>
      <c r="BU485" s="1895"/>
      <c r="BV485" s="1889"/>
      <c r="BW485" s="1889"/>
      <c r="BX485" s="1889"/>
      <c r="BY485" s="1889"/>
      <c r="BZ485" s="1896"/>
      <c r="CA485" s="1896"/>
      <c r="CB485" s="1886"/>
      <c r="CC485" s="1887"/>
      <c r="CD485" s="1887"/>
      <c r="CE485" s="1887"/>
      <c r="CF485" s="1887"/>
      <c r="CG485" s="1887"/>
      <c r="CH485" s="1887"/>
      <c r="CI485" s="1887"/>
      <c r="CJ485" s="1887"/>
      <c r="CK485" s="1887"/>
      <c r="CL485" s="1887"/>
      <c r="CM485" s="1887"/>
      <c r="CN485" s="1887"/>
      <c r="CO485" s="1887"/>
      <c r="CP485" s="1887"/>
      <c r="CQ485" s="1887"/>
      <c r="CR485" s="1887"/>
      <c r="CS485" s="1887"/>
      <c r="CT485" s="1887"/>
      <c r="CU485" s="1888"/>
      <c r="CV485" s="2360" t="str">
        <f t="shared" si="616"/>
        <v/>
      </c>
      <c r="CW485" s="2360"/>
      <c r="CX485" s="2360"/>
      <c r="CY485" s="2360"/>
      <c r="CZ485" s="2360"/>
      <c r="DA485" s="2360"/>
      <c r="DC485" s="600" t="str">
        <f t="shared" si="617"/>
        <v/>
      </c>
      <c r="DD485" s="381"/>
      <c r="DF485" s="34"/>
      <c r="DG485" s="34"/>
      <c r="DH485" s="34"/>
      <c r="DI485" s="34"/>
      <c r="DJ485" s="858" t="s">
        <v>5637</v>
      </c>
      <c r="DK485" s="1707" t="str">
        <f t="shared" si="609"/>
        <v/>
      </c>
      <c r="DL485" s="1692" t="str">
        <f t="shared" si="610"/>
        <v/>
      </c>
      <c r="DM485" s="1694">
        <f t="shared" si="563"/>
        <v>0</v>
      </c>
      <c r="DN485" s="476">
        <f t="shared" si="618"/>
        <v>0</v>
      </c>
      <c r="DO485" s="476">
        <f t="shared" si="619"/>
        <v>0</v>
      </c>
      <c r="DP485" s="477">
        <f t="shared" si="620"/>
        <v>0</v>
      </c>
      <c r="DQ485" s="123" t="s">
        <v>2625</v>
      </c>
      <c r="DR485" s="475">
        <f t="shared" si="621"/>
        <v>0</v>
      </c>
      <c r="DS485" s="221">
        <f t="shared" si="622"/>
        <v>0</v>
      </c>
      <c r="DT485" s="480" t="str">
        <f t="shared" si="623"/>
        <v/>
      </c>
      <c r="DU485" s="232" t="str">
        <f t="shared" si="570"/>
        <v/>
      </c>
      <c r="DV485" s="233" t="str">
        <f>IF($DT485="要是正",MAX($DV$471:DV484)+1,"")</f>
        <v/>
      </c>
      <c r="DW485" s="483" t="str">
        <f t="shared" si="624"/>
        <v/>
      </c>
      <c r="DX485" s="467" t="str">
        <f t="shared" si="572"/>
        <v/>
      </c>
      <c r="DY485" s="468" t="str">
        <f t="shared" si="625"/>
        <v/>
      </c>
      <c r="DZ485" s="469" t="str">
        <f t="shared" si="626"/>
        <v/>
      </c>
      <c r="EA485" s="466" t="str">
        <f t="shared" si="574"/>
        <v/>
      </c>
      <c r="EB485" s="234" t="str">
        <f t="shared" si="575"/>
        <v/>
      </c>
      <c r="EC485" s="227" t="str">
        <f t="shared" si="576"/>
        <v>0</v>
      </c>
      <c r="ED485" s="148" t="str">
        <f t="shared" si="627"/>
        <v/>
      </c>
      <c r="EE485" s="227" t="str">
        <f t="shared" si="628"/>
        <v>0</v>
      </c>
      <c r="EF485" s="130" t="str">
        <f t="shared" si="629"/>
        <v/>
      </c>
      <c r="EG485" s="204" t="str">
        <f t="shared" si="579"/>
        <v/>
      </c>
      <c r="EH485" s="134" t="str">
        <f t="shared" si="580"/>
        <v>0</v>
      </c>
      <c r="EI485" s="148" t="str">
        <f t="shared" si="630"/>
        <v/>
      </c>
      <c r="EJ485" s="227" t="str">
        <f t="shared" si="631"/>
        <v>0</v>
      </c>
      <c r="EK485" s="451" t="str">
        <f t="shared" si="632"/>
        <v/>
      </c>
      <c r="EL485" s="452" t="e">
        <f t="shared" si="633"/>
        <v>#N/A</v>
      </c>
      <c r="EM485" s="151" t="e">
        <f t="shared" si="634"/>
        <v>#N/A</v>
      </c>
      <c r="EN485" s="453" t="e">
        <f t="shared" si="635"/>
        <v>#N/A</v>
      </c>
      <c r="FK485" s="597" t="str">
        <f t="shared" si="586"/>
        <v/>
      </c>
      <c r="FL485" s="597" t="str">
        <f t="shared" si="530"/>
        <v/>
      </c>
      <c r="FM485" s="597" t="str">
        <f t="shared" si="531"/>
        <v/>
      </c>
      <c r="FN485" s="597">
        <f t="shared" si="636"/>
        <v>0</v>
      </c>
      <c r="FO485" s="1163" t="str">
        <f t="shared" si="588"/>
        <v/>
      </c>
      <c r="FQ485" s="234" t="str">
        <f t="shared" si="589"/>
        <v/>
      </c>
      <c r="FR485" s="227" t="str">
        <f t="shared" si="590"/>
        <v>0</v>
      </c>
      <c r="FS485" s="148" t="str">
        <f t="shared" si="637"/>
        <v/>
      </c>
      <c r="FT485" s="227" t="str">
        <f t="shared" si="638"/>
        <v>0</v>
      </c>
      <c r="FU485" s="416" t="str">
        <f t="shared" si="639"/>
        <v/>
      </c>
      <c r="FW485" s="1160">
        <f t="shared" si="640"/>
        <v>0</v>
      </c>
      <c r="FX485" s="123"/>
      <c r="FY485" s="123"/>
      <c r="FZ485" s="1161"/>
      <c r="GA485" s="34"/>
      <c r="GB485" s="123">
        <f t="shared" si="498"/>
        <v>0</v>
      </c>
      <c r="GC485" s="123">
        <f t="shared" si="499"/>
        <v>0</v>
      </c>
      <c r="GD485" s="69">
        <f t="shared" si="500"/>
        <v>0</v>
      </c>
      <c r="GE485" s="1149" t="str">
        <f t="shared" si="594"/>
        <v/>
      </c>
      <c r="GF485" s="1149" t="str">
        <f t="shared" si="595"/>
        <v/>
      </c>
      <c r="GG485" s="1149" t="str">
        <f t="shared" si="596"/>
        <v/>
      </c>
      <c r="GH485" s="1149" t="str">
        <f t="shared" si="597"/>
        <v/>
      </c>
      <c r="GI485" s="1149" t="str">
        <f t="shared" si="598"/>
        <v/>
      </c>
      <c r="GJ485" s="1149" t="str">
        <f t="shared" si="599"/>
        <v/>
      </c>
      <c r="GK485" s="1149" t="str">
        <f t="shared" si="600"/>
        <v/>
      </c>
      <c r="GL485" s="1149" t="str">
        <f t="shared" si="601"/>
        <v/>
      </c>
      <c r="GM485" s="1149" t="str">
        <f t="shared" si="602"/>
        <v/>
      </c>
      <c r="GN485" s="1149" t="str">
        <f t="shared" si="603"/>
        <v/>
      </c>
      <c r="GO485" s="1149" t="str">
        <f t="shared" si="604"/>
        <v/>
      </c>
      <c r="GP485" s="1149" t="str">
        <f t="shared" si="605"/>
        <v/>
      </c>
      <c r="GQ485" s="1149" t="str">
        <f t="shared" si="606"/>
        <v/>
      </c>
      <c r="GR485" s="1149" t="str">
        <f t="shared" si="607"/>
        <v/>
      </c>
      <c r="GS485" s="1149" t="str">
        <f t="shared" si="608"/>
        <v/>
      </c>
      <c r="GT485" s="1149">
        <f t="shared" si="501"/>
        <v>0</v>
      </c>
      <c r="GU485" s="1149">
        <f t="shared" si="502"/>
        <v>0</v>
      </c>
      <c r="GV485" s="1149">
        <f t="shared" si="503"/>
        <v>0</v>
      </c>
      <c r="GW485" s="1149" t="b">
        <f t="shared" si="504"/>
        <v>0</v>
      </c>
      <c r="GX485" s="1149" t="b">
        <f t="shared" si="505"/>
        <v>0</v>
      </c>
      <c r="GY485" s="1149" t="b">
        <f t="shared" si="506"/>
        <v>0</v>
      </c>
      <c r="GZ485" s="1149" t="str">
        <f t="shared" si="528"/>
        <v/>
      </c>
      <c r="HB485" s="1149" t="str">
        <f t="shared" si="507"/>
        <v/>
      </c>
      <c r="HC485" s="1149" t="str">
        <f t="shared" si="508"/>
        <v/>
      </c>
      <c r="HD485" s="1149" t="str">
        <f t="shared" si="509"/>
        <v/>
      </c>
      <c r="HE485" s="1149" t="str">
        <f t="shared" si="510"/>
        <v/>
      </c>
      <c r="HF485" s="1149" t="str">
        <f t="shared" si="511"/>
        <v/>
      </c>
      <c r="HG485" s="1149" t="str">
        <f t="shared" si="512"/>
        <v/>
      </c>
      <c r="HH485" s="1149" t="str">
        <f t="shared" si="513"/>
        <v/>
      </c>
      <c r="HI485" s="1149" t="str">
        <f t="shared" si="514"/>
        <v/>
      </c>
      <c r="HJ485" s="1149" t="str">
        <f t="shared" si="515"/>
        <v/>
      </c>
      <c r="HK485" s="1149" t="str">
        <f t="shared" si="516"/>
        <v/>
      </c>
      <c r="HL485" s="1149" t="str">
        <f t="shared" si="517"/>
        <v/>
      </c>
      <c r="HM485" s="1149" t="str">
        <f t="shared" si="518"/>
        <v/>
      </c>
      <c r="HN485" s="1149" t="str">
        <f t="shared" si="519"/>
        <v/>
      </c>
      <c r="HO485" s="1149" t="str">
        <f t="shared" si="520"/>
        <v/>
      </c>
      <c r="HP485" s="1149" t="str">
        <f t="shared" si="521"/>
        <v/>
      </c>
      <c r="HQ485" s="1149" t="str">
        <f t="shared" si="522"/>
        <v/>
      </c>
      <c r="HR485" s="1149" t="str">
        <f t="shared" si="523"/>
        <v/>
      </c>
      <c r="HT485" s="1149">
        <f>LEFT(M485,1)*10000+MID(M485,3,LEN(M485)-3)*100+COUNTIF($M$307:M485,M485)</f>
        <v>61101</v>
      </c>
      <c r="HU485" s="1149" t="str">
        <f t="shared" si="524"/>
        <v/>
      </c>
      <c r="HV485" s="1149" t="str">
        <f t="shared" si="525"/>
        <v/>
      </c>
      <c r="HW485" s="1149" t="str">
        <f t="shared" si="526"/>
        <v/>
      </c>
      <c r="HX485" s="1149" t="str">
        <f t="shared" si="527"/>
        <v/>
      </c>
    </row>
    <row r="486" spans="1:232" s="69" customFormat="1" ht="50.15" hidden="1" customHeight="1" thickBot="1">
      <c r="A486" s="645"/>
      <c r="B486" s="645"/>
      <c r="C486" s="645"/>
      <c r="D486" s="645"/>
      <c r="E486" s="646"/>
      <c r="F486" s="381"/>
      <c r="G486" s="381"/>
      <c r="H486" s="381"/>
      <c r="J486" s="80"/>
      <c r="K486" s="89"/>
      <c r="L486" s="89"/>
      <c r="M486" s="1963" t="s">
        <v>2588</v>
      </c>
      <c r="N486" s="1963"/>
      <c r="O486" s="1963"/>
      <c r="P486" s="2112"/>
      <c r="Q486" s="2112"/>
      <c r="R486" s="2029"/>
      <c r="S486" s="2029"/>
      <c r="T486" s="2029"/>
      <c r="U486" s="1899"/>
      <c r="V486" s="1899"/>
      <c r="W486" s="1899"/>
      <c r="X486" s="1899"/>
      <c r="Y486" s="1899"/>
      <c r="Z486" s="1899"/>
      <c r="AA486" s="1899"/>
      <c r="AB486" s="1899"/>
      <c r="AC486" s="1899"/>
      <c r="AD486" s="1899"/>
      <c r="AE486" s="1899"/>
      <c r="AF486" s="1898"/>
      <c r="AG486" s="1898"/>
      <c r="AH486" s="1898"/>
      <c r="AI486" s="1898"/>
      <c r="AJ486" s="1898"/>
      <c r="AK486" s="1898"/>
      <c r="AL486" s="1898"/>
      <c r="AM486" s="1898"/>
      <c r="AN486" s="1898"/>
      <c r="AO486" s="1898"/>
      <c r="AP486" s="1898"/>
      <c r="AQ486" s="1898"/>
      <c r="AR486" s="1910"/>
      <c r="AS486" s="1910"/>
      <c r="AT486" s="1993"/>
      <c r="AU486" s="1993"/>
      <c r="AV486" s="1993"/>
      <c r="AW486" s="1993"/>
      <c r="AX486" s="1993"/>
      <c r="AY486" s="1993"/>
      <c r="AZ486" s="1993"/>
      <c r="BA486" s="1993"/>
      <c r="BB486" s="1993"/>
      <c r="BC486" s="1993"/>
      <c r="BD486" s="1993"/>
      <c r="BE486" s="1993"/>
      <c r="BF486" s="1993"/>
      <c r="BG486" s="1993"/>
      <c r="BH486" s="1993"/>
      <c r="BI486" s="1993"/>
      <c r="BJ486" s="1993"/>
      <c r="BK486" s="1993"/>
      <c r="BL486" s="1993"/>
      <c r="BM486" s="1993"/>
      <c r="BN486" s="1993"/>
      <c r="BO486" s="1993"/>
      <c r="BP486" s="1993"/>
      <c r="BQ486" s="1993"/>
      <c r="BR486" s="1993"/>
      <c r="BS486" s="1895"/>
      <c r="BT486" s="1895"/>
      <c r="BU486" s="1895"/>
      <c r="BV486" s="1889"/>
      <c r="BW486" s="1889"/>
      <c r="BX486" s="1889"/>
      <c r="BY486" s="1889"/>
      <c r="BZ486" s="1896"/>
      <c r="CA486" s="1896"/>
      <c r="CB486" s="1886"/>
      <c r="CC486" s="1887"/>
      <c r="CD486" s="1887"/>
      <c r="CE486" s="1887"/>
      <c r="CF486" s="1887"/>
      <c r="CG486" s="1887"/>
      <c r="CH486" s="1887"/>
      <c r="CI486" s="1887"/>
      <c r="CJ486" s="1887"/>
      <c r="CK486" s="1887"/>
      <c r="CL486" s="1887"/>
      <c r="CM486" s="1887"/>
      <c r="CN486" s="1887"/>
      <c r="CO486" s="1887"/>
      <c r="CP486" s="1887"/>
      <c r="CQ486" s="1887"/>
      <c r="CR486" s="1887"/>
      <c r="CS486" s="1887"/>
      <c r="CT486" s="1887"/>
      <c r="CU486" s="1888"/>
      <c r="CV486" s="2360" t="str">
        <f t="shared" si="616"/>
        <v/>
      </c>
      <c r="CW486" s="2360"/>
      <c r="CX486" s="2360"/>
      <c r="CY486" s="2360"/>
      <c r="CZ486" s="2360"/>
      <c r="DA486" s="2360"/>
      <c r="DC486" s="600" t="str">
        <f t="shared" si="617"/>
        <v/>
      </c>
      <c r="DD486" s="381"/>
      <c r="DF486" s="34"/>
      <c r="DG486" s="34"/>
      <c r="DH486" s="34"/>
      <c r="DI486" s="34"/>
      <c r="DJ486" s="858" t="s">
        <v>5637</v>
      </c>
      <c r="DK486" s="1707" t="str">
        <f t="shared" si="609"/>
        <v/>
      </c>
      <c r="DL486" s="1692" t="str">
        <f t="shared" si="610"/>
        <v/>
      </c>
      <c r="DM486" s="1694">
        <f t="shared" si="563"/>
        <v>0</v>
      </c>
      <c r="DN486" s="476">
        <f t="shared" si="618"/>
        <v>0</v>
      </c>
      <c r="DO486" s="476">
        <f t="shared" si="619"/>
        <v>0</v>
      </c>
      <c r="DP486" s="477">
        <f t="shared" si="620"/>
        <v>0</v>
      </c>
      <c r="DQ486" s="123" t="s">
        <v>2626</v>
      </c>
      <c r="DR486" s="475">
        <f t="shared" si="621"/>
        <v>0</v>
      </c>
      <c r="DS486" s="221">
        <f t="shared" si="622"/>
        <v>0</v>
      </c>
      <c r="DT486" s="480" t="str">
        <f t="shared" si="623"/>
        <v/>
      </c>
      <c r="DU486" s="232" t="str">
        <f t="shared" si="570"/>
        <v/>
      </c>
      <c r="DV486" s="233" t="str">
        <f>IF($DT486="要是正",MAX($DV$471:DV485)+1,"")</f>
        <v/>
      </c>
      <c r="DW486" s="483" t="str">
        <f t="shared" si="624"/>
        <v/>
      </c>
      <c r="DX486" s="467" t="str">
        <f t="shared" si="572"/>
        <v/>
      </c>
      <c r="DY486" s="468" t="str">
        <f t="shared" si="625"/>
        <v/>
      </c>
      <c r="DZ486" s="469" t="str">
        <f t="shared" si="626"/>
        <v/>
      </c>
      <c r="EA486" s="466" t="str">
        <f t="shared" si="574"/>
        <v/>
      </c>
      <c r="EB486" s="234" t="str">
        <f t="shared" si="575"/>
        <v/>
      </c>
      <c r="EC486" s="227" t="str">
        <f t="shared" si="576"/>
        <v>0</v>
      </c>
      <c r="ED486" s="148" t="str">
        <f t="shared" si="627"/>
        <v/>
      </c>
      <c r="EE486" s="227" t="str">
        <f t="shared" si="628"/>
        <v>0</v>
      </c>
      <c r="EF486" s="130" t="str">
        <f t="shared" si="629"/>
        <v/>
      </c>
      <c r="EG486" s="204" t="str">
        <f t="shared" si="579"/>
        <v/>
      </c>
      <c r="EH486" s="134" t="str">
        <f t="shared" si="580"/>
        <v>0</v>
      </c>
      <c r="EI486" s="148" t="str">
        <f t="shared" si="630"/>
        <v/>
      </c>
      <c r="EJ486" s="227" t="str">
        <f t="shared" si="631"/>
        <v>0</v>
      </c>
      <c r="EK486" s="451" t="str">
        <f t="shared" si="632"/>
        <v/>
      </c>
      <c r="EL486" s="452" t="e">
        <f t="shared" si="633"/>
        <v>#N/A</v>
      </c>
      <c r="EM486" s="151" t="e">
        <f t="shared" si="634"/>
        <v>#N/A</v>
      </c>
      <c r="EN486" s="453" t="e">
        <f t="shared" si="635"/>
        <v>#N/A</v>
      </c>
      <c r="FK486" s="597" t="str">
        <f t="shared" si="586"/>
        <v/>
      </c>
      <c r="FL486" s="597" t="str">
        <f t="shared" si="530"/>
        <v/>
      </c>
      <c r="FM486" s="597" t="str">
        <f t="shared" si="531"/>
        <v/>
      </c>
      <c r="FN486" s="597">
        <f t="shared" si="636"/>
        <v>0</v>
      </c>
      <c r="FO486" s="1163" t="str">
        <f t="shared" si="588"/>
        <v/>
      </c>
      <c r="FQ486" s="234" t="str">
        <f t="shared" si="589"/>
        <v/>
      </c>
      <c r="FR486" s="227" t="str">
        <f t="shared" si="590"/>
        <v>0</v>
      </c>
      <c r="FS486" s="148" t="str">
        <f t="shared" si="637"/>
        <v/>
      </c>
      <c r="FT486" s="227" t="str">
        <f t="shared" si="638"/>
        <v>0</v>
      </c>
      <c r="FU486" s="416" t="str">
        <f t="shared" si="639"/>
        <v/>
      </c>
      <c r="FW486" s="1160">
        <f t="shared" si="640"/>
        <v>0</v>
      </c>
      <c r="FX486" s="123"/>
      <c r="FY486" s="123"/>
      <c r="FZ486" s="1161"/>
      <c r="GA486" s="34"/>
      <c r="GB486" s="123">
        <f t="shared" si="498"/>
        <v>0</v>
      </c>
      <c r="GC486" s="123">
        <f t="shared" si="499"/>
        <v>0</v>
      </c>
      <c r="GD486" s="69">
        <f t="shared" si="500"/>
        <v>0</v>
      </c>
      <c r="GE486" s="1149" t="str">
        <f t="shared" si="594"/>
        <v/>
      </c>
      <c r="GF486" s="1149" t="str">
        <f t="shared" si="595"/>
        <v/>
      </c>
      <c r="GG486" s="1149" t="str">
        <f t="shared" si="596"/>
        <v/>
      </c>
      <c r="GH486" s="1149" t="str">
        <f t="shared" si="597"/>
        <v/>
      </c>
      <c r="GI486" s="1149" t="str">
        <f t="shared" si="598"/>
        <v/>
      </c>
      <c r="GJ486" s="1149" t="str">
        <f t="shared" si="599"/>
        <v/>
      </c>
      <c r="GK486" s="1149" t="str">
        <f t="shared" si="600"/>
        <v/>
      </c>
      <c r="GL486" s="1149" t="str">
        <f t="shared" si="601"/>
        <v/>
      </c>
      <c r="GM486" s="1149" t="str">
        <f t="shared" si="602"/>
        <v/>
      </c>
      <c r="GN486" s="1149" t="str">
        <f t="shared" si="603"/>
        <v/>
      </c>
      <c r="GO486" s="1149" t="str">
        <f t="shared" si="604"/>
        <v/>
      </c>
      <c r="GP486" s="1149" t="str">
        <f t="shared" si="605"/>
        <v/>
      </c>
      <c r="GQ486" s="1149" t="str">
        <f t="shared" si="606"/>
        <v/>
      </c>
      <c r="GR486" s="1149" t="str">
        <f t="shared" si="607"/>
        <v/>
      </c>
      <c r="GS486" s="1149" t="str">
        <f t="shared" si="608"/>
        <v/>
      </c>
      <c r="GT486" s="1149">
        <f t="shared" si="501"/>
        <v>0</v>
      </c>
      <c r="GU486" s="1149">
        <f t="shared" si="502"/>
        <v>0</v>
      </c>
      <c r="GV486" s="1149">
        <f t="shared" si="503"/>
        <v>0</v>
      </c>
      <c r="GW486" s="1149" t="b">
        <f t="shared" si="504"/>
        <v>0</v>
      </c>
      <c r="GX486" s="1149" t="b">
        <f t="shared" si="505"/>
        <v>0</v>
      </c>
      <c r="GY486" s="1149" t="b">
        <f t="shared" si="506"/>
        <v>0</v>
      </c>
      <c r="GZ486" s="1149" t="str">
        <f t="shared" si="528"/>
        <v/>
      </c>
      <c r="HB486" s="1149" t="str">
        <f t="shared" si="507"/>
        <v/>
      </c>
      <c r="HC486" s="1149" t="str">
        <f t="shared" si="508"/>
        <v/>
      </c>
      <c r="HD486" s="1149" t="str">
        <f t="shared" si="509"/>
        <v/>
      </c>
      <c r="HE486" s="1149" t="str">
        <f t="shared" si="510"/>
        <v/>
      </c>
      <c r="HF486" s="1149" t="str">
        <f t="shared" si="511"/>
        <v/>
      </c>
      <c r="HG486" s="1149" t="str">
        <f t="shared" si="512"/>
        <v/>
      </c>
      <c r="HH486" s="1149" t="str">
        <f t="shared" si="513"/>
        <v/>
      </c>
      <c r="HI486" s="1149" t="str">
        <f t="shared" si="514"/>
        <v/>
      </c>
      <c r="HJ486" s="1149" t="str">
        <f t="shared" si="515"/>
        <v/>
      </c>
      <c r="HK486" s="1149" t="str">
        <f t="shared" si="516"/>
        <v/>
      </c>
      <c r="HL486" s="1149" t="str">
        <f t="shared" si="517"/>
        <v/>
      </c>
      <c r="HM486" s="1149" t="str">
        <f t="shared" si="518"/>
        <v/>
      </c>
      <c r="HN486" s="1149" t="str">
        <f t="shared" si="519"/>
        <v/>
      </c>
      <c r="HO486" s="1149" t="str">
        <f t="shared" si="520"/>
        <v/>
      </c>
      <c r="HP486" s="1149" t="str">
        <f t="shared" si="521"/>
        <v/>
      </c>
      <c r="HQ486" s="1149" t="str">
        <f t="shared" si="522"/>
        <v/>
      </c>
      <c r="HR486" s="1149" t="str">
        <f t="shared" si="523"/>
        <v/>
      </c>
      <c r="HT486" s="1149">
        <f>LEFT(M486,1)*10000+MID(M486,3,LEN(M486)-3)*100+COUNTIF($M$307:M486,M486)</f>
        <v>61201</v>
      </c>
      <c r="HU486" s="1149" t="str">
        <f t="shared" si="524"/>
        <v/>
      </c>
      <c r="HV486" s="1149" t="str">
        <f t="shared" si="525"/>
        <v/>
      </c>
      <c r="HW486" s="1149" t="str">
        <f t="shared" si="526"/>
        <v/>
      </c>
      <c r="HX486" s="1149" t="str">
        <f t="shared" si="527"/>
        <v/>
      </c>
    </row>
    <row r="487" spans="1:232" s="69" customFormat="1" ht="50.15" hidden="1" customHeight="1" thickBot="1">
      <c r="A487" s="645"/>
      <c r="B487" s="645"/>
      <c r="C487" s="645"/>
      <c r="D487" s="645"/>
      <c r="E487" s="646"/>
      <c r="F487" s="381"/>
      <c r="G487" s="381"/>
      <c r="H487" s="381"/>
      <c r="J487" s="80"/>
      <c r="K487" s="89"/>
      <c r="L487" s="89"/>
      <c r="M487" s="1963" t="s">
        <v>2589</v>
      </c>
      <c r="N487" s="1963"/>
      <c r="O487" s="1963"/>
      <c r="P487" s="2112"/>
      <c r="Q487" s="2112"/>
      <c r="R487" s="2029"/>
      <c r="S487" s="2029"/>
      <c r="T487" s="2029"/>
      <c r="U487" s="1899"/>
      <c r="V487" s="1899"/>
      <c r="W487" s="1899"/>
      <c r="X487" s="1899"/>
      <c r="Y487" s="1899"/>
      <c r="Z487" s="1899"/>
      <c r="AA487" s="1899"/>
      <c r="AB487" s="1899"/>
      <c r="AC487" s="1899"/>
      <c r="AD487" s="1899"/>
      <c r="AE487" s="1899"/>
      <c r="AF487" s="1898"/>
      <c r="AG487" s="1898"/>
      <c r="AH487" s="1898"/>
      <c r="AI487" s="1898"/>
      <c r="AJ487" s="1898"/>
      <c r="AK487" s="1898"/>
      <c r="AL487" s="1898"/>
      <c r="AM487" s="1898"/>
      <c r="AN487" s="1898"/>
      <c r="AO487" s="1898"/>
      <c r="AP487" s="1898"/>
      <c r="AQ487" s="1898"/>
      <c r="AR487" s="1910"/>
      <c r="AS487" s="1910"/>
      <c r="AT487" s="1993"/>
      <c r="AU487" s="1993"/>
      <c r="AV487" s="1993"/>
      <c r="AW487" s="1993"/>
      <c r="AX487" s="1993"/>
      <c r="AY487" s="1993"/>
      <c r="AZ487" s="1993"/>
      <c r="BA487" s="1993"/>
      <c r="BB487" s="1993"/>
      <c r="BC487" s="1993"/>
      <c r="BD487" s="1993"/>
      <c r="BE487" s="1993"/>
      <c r="BF487" s="1993"/>
      <c r="BG487" s="1993"/>
      <c r="BH487" s="1993"/>
      <c r="BI487" s="1993"/>
      <c r="BJ487" s="1993"/>
      <c r="BK487" s="1993"/>
      <c r="BL487" s="1993"/>
      <c r="BM487" s="1993"/>
      <c r="BN487" s="1993"/>
      <c r="BO487" s="1993"/>
      <c r="BP487" s="1993"/>
      <c r="BQ487" s="1993"/>
      <c r="BR487" s="1993"/>
      <c r="BS487" s="1895"/>
      <c r="BT487" s="1895"/>
      <c r="BU487" s="1895"/>
      <c r="BV487" s="1889"/>
      <c r="BW487" s="1889"/>
      <c r="BX487" s="1889"/>
      <c r="BY487" s="1889"/>
      <c r="BZ487" s="1896"/>
      <c r="CA487" s="1896"/>
      <c r="CB487" s="1886"/>
      <c r="CC487" s="1887"/>
      <c r="CD487" s="1887"/>
      <c r="CE487" s="1887"/>
      <c r="CF487" s="1887"/>
      <c r="CG487" s="1887"/>
      <c r="CH487" s="1887"/>
      <c r="CI487" s="1887"/>
      <c r="CJ487" s="1887"/>
      <c r="CK487" s="1887"/>
      <c r="CL487" s="1887"/>
      <c r="CM487" s="1887"/>
      <c r="CN487" s="1887"/>
      <c r="CO487" s="1887"/>
      <c r="CP487" s="1887"/>
      <c r="CQ487" s="1887"/>
      <c r="CR487" s="1887"/>
      <c r="CS487" s="1887"/>
      <c r="CT487" s="1887"/>
      <c r="CU487" s="1888"/>
      <c r="CV487" s="2360" t="str">
        <f t="shared" si="616"/>
        <v/>
      </c>
      <c r="CW487" s="2360"/>
      <c r="CX487" s="2360"/>
      <c r="CY487" s="2360"/>
      <c r="CZ487" s="2360"/>
      <c r="DA487" s="2360"/>
      <c r="DC487" s="600" t="str">
        <f t="shared" si="617"/>
        <v/>
      </c>
      <c r="DD487" s="381"/>
      <c r="DF487" s="34"/>
      <c r="DG487" s="34"/>
      <c r="DH487" s="34"/>
      <c r="DI487" s="34"/>
      <c r="DJ487" s="858" t="s">
        <v>5637</v>
      </c>
      <c r="DK487" s="1707" t="str">
        <f t="shared" si="609"/>
        <v/>
      </c>
      <c r="DL487" s="1692" t="str">
        <f t="shared" si="610"/>
        <v/>
      </c>
      <c r="DM487" s="1694">
        <f t="shared" si="563"/>
        <v>0</v>
      </c>
      <c r="DN487" s="476">
        <f t="shared" si="618"/>
        <v>0</v>
      </c>
      <c r="DO487" s="476">
        <f t="shared" si="619"/>
        <v>0</v>
      </c>
      <c r="DP487" s="477">
        <f t="shared" si="620"/>
        <v>0</v>
      </c>
      <c r="DQ487" s="123" t="s">
        <v>2627</v>
      </c>
      <c r="DR487" s="475">
        <f t="shared" si="621"/>
        <v>0</v>
      </c>
      <c r="DS487" s="221">
        <f t="shared" si="622"/>
        <v>0</v>
      </c>
      <c r="DT487" s="480" t="str">
        <f t="shared" si="623"/>
        <v/>
      </c>
      <c r="DU487" s="232" t="str">
        <f t="shared" si="570"/>
        <v/>
      </c>
      <c r="DV487" s="233" t="str">
        <f>IF($DT487="要是正",MAX($DV$471:DV486)+1,"")</f>
        <v/>
      </c>
      <c r="DW487" s="483" t="str">
        <f t="shared" si="624"/>
        <v/>
      </c>
      <c r="DX487" s="467" t="str">
        <f t="shared" si="572"/>
        <v/>
      </c>
      <c r="DY487" s="468" t="str">
        <f t="shared" si="625"/>
        <v/>
      </c>
      <c r="DZ487" s="469" t="str">
        <f t="shared" si="626"/>
        <v/>
      </c>
      <c r="EA487" s="466" t="str">
        <f t="shared" si="574"/>
        <v/>
      </c>
      <c r="EB487" s="234" t="str">
        <f t="shared" si="575"/>
        <v/>
      </c>
      <c r="EC487" s="227" t="str">
        <f t="shared" si="576"/>
        <v>0</v>
      </c>
      <c r="ED487" s="148" t="str">
        <f t="shared" si="627"/>
        <v/>
      </c>
      <c r="EE487" s="227" t="str">
        <f t="shared" si="628"/>
        <v>0</v>
      </c>
      <c r="EF487" s="130" t="str">
        <f t="shared" si="629"/>
        <v/>
      </c>
      <c r="EG487" s="204" t="str">
        <f t="shared" si="579"/>
        <v/>
      </c>
      <c r="EH487" s="134" t="str">
        <f t="shared" si="580"/>
        <v>0</v>
      </c>
      <c r="EI487" s="148" t="str">
        <f t="shared" si="630"/>
        <v/>
      </c>
      <c r="EJ487" s="227" t="str">
        <f t="shared" si="631"/>
        <v>0</v>
      </c>
      <c r="EK487" s="451" t="str">
        <f t="shared" si="632"/>
        <v/>
      </c>
      <c r="EL487" s="452" t="e">
        <f t="shared" si="633"/>
        <v>#N/A</v>
      </c>
      <c r="EM487" s="151" t="e">
        <f t="shared" si="634"/>
        <v>#N/A</v>
      </c>
      <c r="EN487" s="453" t="e">
        <f t="shared" si="635"/>
        <v>#N/A</v>
      </c>
      <c r="FK487" s="597" t="str">
        <f t="shared" si="586"/>
        <v/>
      </c>
      <c r="FL487" s="597" t="str">
        <f t="shared" si="530"/>
        <v/>
      </c>
      <c r="FM487" s="597" t="str">
        <f t="shared" si="531"/>
        <v/>
      </c>
      <c r="FN487" s="597">
        <f t="shared" si="636"/>
        <v>0</v>
      </c>
      <c r="FO487" s="1163" t="str">
        <f t="shared" si="588"/>
        <v/>
      </c>
      <c r="FQ487" s="234" t="str">
        <f t="shared" si="589"/>
        <v/>
      </c>
      <c r="FR487" s="227" t="str">
        <f t="shared" si="590"/>
        <v>0</v>
      </c>
      <c r="FS487" s="148" t="str">
        <f t="shared" si="637"/>
        <v/>
      </c>
      <c r="FT487" s="227" t="str">
        <f t="shared" si="638"/>
        <v>0</v>
      </c>
      <c r="FU487" s="416" t="str">
        <f t="shared" si="639"/>
        <v/>
      </c>
      <c r="FW487" s="1160">
        <f t="shared" si="640"/>
        <v>0</v>
      </c>
      <c r="FX487" s="123"/>
      <c r="FY487" s="123"/>
      <c r="FZ487" s="1161"/>
      <c r="GA487" s="34"/>
      <c r="GB487" s="123">
        <f t="shared" si="498"/>
        <v>0</v>
      </c>
      <c r="GC487" s="123">
        <f t="shared" si="499"/>
        <v>0</v>
      </c>
      <c r="GD487" s="69">
        <f t="shared" si="500"/>
        <v>0</v>
      </c>
      <c r="GE487" s="1149" t="str">
        <f t="shared" si="594"/>
        <v/>
      </c>
      <c r="GF487" s="1149" t="str">
        <f t="shared" si="595"/>
        <v/>
      </c>
      <c r="GG487" s="1149" t="str">
        <f t="shared" si="596"/>
        <v/>
      </c>
      <c r="GH487" s="1149" t="str">
        <f t="shared" si="597"/>
        <v/>
      </c>
      <c r="GI487" s="1149" t="str">
        <f t="shared" si="598"/>
        <v/>
      </c>
      <c r="GJ487" s="1149" t="str">
        <f t="shared" si="599"/>
        <v/>
      </c>
      <c r="GK487" s="1149" t="str">
        <f t="shared" si="600"/>
        <v/>
      </c>
      <c r="GL487" s="1149" t="str">
        <f t="shared" si="601"/>
        <v/>
      </c>
      <c r="GM487" s="1149" t="str">
        <f t="shared" si="602"/>
        <v/>
      </c>
      <c r="GN487" s="1149" t="str">
        <f t="shared" si="603"/>
        <v/>
      </c>
      <c r="GO487" s="1149" t="str">
        <f t="shared" si="604"/>
        <v/>
      </c>
      <c r="GP487" s="1149" t="str">
        <f t="shared" si="605"/>
        <v/>
      </c>
      <c r="GQ487" s="1149" t="str">
        <f t="shared" si="606"/>
        <v/>
      </c>
      <c r="GR487" s="1149" t="str">
        <f t="shared" si="607"/>
        <v/>
      </c>
      <c r="GS487" s="1149" t="str">
        <f t="shared" si="608"/>
        <v/>
      </c>
      <c r="GT487" s="1149">
        <f t="shared" si="501"/>
        <v>0</v>
      </c>
      <c r="GU487" s="1149">
        <f t="shared" si="502"/>
        <v>0</v>
      </c>
      <c r="GV487" s="1149">
        <f t="shared" si="503"/>
        <v>0</v>
      </c>
      <c r="GW487" s="1149" t="b">
        <f t="shared" si="504"/>
        <v>0</v>
      </c>
      <c r="GX487" s="1149" t="b">
        <f t="shared" si="505"/>
        <v>0</v>
      </c>
      <c r="GY487" s="1149" t="b">
        <f t="shared" si="506"/>
        <v>0</v>
      </c>
      <c r="GZ487" s="1149" t="str">
        <f t="shared" si="528"/>
        <v/>
      </c>
      <c r="HB487" s="1149" t="str">
        <f t="shared" si="507"/>
        <v/>
      </c>
      <c r="HC487" s="1149" t="str">
        <f t="shared" si="508"/>
        <v/>
      </c>
      <c r="HD487" s="1149" t="str">
        <f t="shared" si="509"/>
        <v/>
      </c>
      <c r="HE487" s="1149" t="str">
        <f t="shared" si="510"/>
        <v/>
      </c>
      <c r="HF487" s="1149" t="str">
        <f t="shared" si="511"/>
        <v/>
      </c>
      <c r="HG487" s="1149" t="str">
        <f t="shared" si="512"/>
        <v/>
      </c>
      <c r="HH487" s="1149" t="str">
        <f t="shared" si="513"/>
        <v/>
      </c>
      <c r="HI487" s="1149" t="str">
        <f t="shared" si="514"/>
        <v/>
      </c>
      <c r="HJ487" s="1149" t="str">
        <f t="shared" si="515"/>
        <v/>
      </c>
      <c r="HK487" s="1149" t="str">
        <f t="shared" si="516"/>
        <v/>
      </c>
      <c r="HL487" s="1149" t="str">
        <f t="shared" si="517"/>
        <v/>
      </c>
      <c r="HM487" s="1149" t="str">
        <f t="shared" si="518"/>
        <v/>
      </c>
      <c r="HN487" s="1149" t="str">
        <f t="shared" si="519"/>
        <v/>
      </c>
      <c r="HO487" s="1149" t="str">
        <f t="shared" si="520"/>
        <v/>
      </c>
      <c r="HP487" s="1149" t="str">
        <f t="shared" si="521"/>
        <v/>
      </c>
      <c r="HQ487" s="1149" t="str">
        <f t="shared" si="522"/>
        <v/>
      </c>
      <c r="HR487" s="1149" t="str">
        <f t="shared" si="523"/>
        <v/>
      </c>
      <c r="HT487" s="1149">
        <f>LEFT(M487,1)*10000+MID(M487,3,LEN(M487)-3)*100+COUNTIF($M$307:M487,M487)</f>
        <v>61301</v>
      </c>
      <c r="HU487" s="1149" t="str">
        <f t="shared" si="524"/>
        <v/>
      </c>
      <c r="HV487" s="1149" t="str">
        <f t="shared" si="525"/>
        <v/>
      </c>
      <c r="HW487" s="1149" t="str">
        <f t="shared" si="526"/>
        <v/>
      </c>
      <c r="HX487" s="1149" t="str">
        <f t="shared" si="527"/>
        <v/>
      </c>
    </row>
    <row r="488" spans="1:232" s="69" customFormat="1" ht="50.15" hidden="1" customHeight="1" thickBot="1">
      <c r="A488" s="645"/>
      <c r="B488" s="645"/>
      <c r="C488" s="645"/>
      <c r="D488" s="645"/>
      <c r="E488" s="646"/>
      <c r="F488" s="381"/>
      <c r="G488" s="381"/>
      <c r="H488" s="381"/>
      <c r="J488" s="80"/>
      <c r="K488" s="89"/>
      <c r="L488" s="89"/>
      <c r="M488" s="1963" t="s">
        <v>2590</v>
      </c>
      <c r="N488" s="1963"/>
      <c r="O488" s="1963"/>
      <c r="P488" s="2113"/>
      <c r="Q488" s="2113"/>
      <c r="R488" s="2028"/>
      <c r="S488" s="2028"/>
      <c r="T488" s="2028"/>
      <c r="U488" s="2029"/>
      <c r="V488" s="2029"/>
      <c r="W488" s="2029"/>
      <c r="X488" s="2029"/>
      <c r="Y488" s="2029"/>
      <c r="Z488" s="2029"/>
      <c r="AA488" s="2029"/>
      <c r="AB488" s="2029"/>
      <c r="AC488" s="2029"/>
      <c r="AD488" s="2029"/>
      <c r="AE488" s="2029"/>
      <c r="AF488" s="2114"/>
      <c r="AG488" s="2114"/>
      <c r="AH488" s="2114"/>
      <c r="AI488" s="2114"/>
      <c r="AJ488" s="2114"/>
      <c r="AK488" s="2114"/>
      <c r="AL488" s="2114"/>
      <c r="AM488" s="2114"/>
      <c r="AN488" s="2114"/>
      <c r="AO488" s="2114"/>
      <c r="AP488" s="2114"/>
      <c r="AQ488" s="2114"/>
      <c r="AR488" s="2110"/>
      <c r="AS488" s="2110"/>
      <c r="AT488" s="1996"/>
      <c r="AU488" s="1996"/>
      <c r="AV488" s="1996"/>
      <c r="AW488" s="1996"/>
      <c r="AX488" s="1996"/>
      <c r="AY488" s="1996"/>
      <c r="AZ488" s="1996"/>
      <c r="BA488" s="1996"/>
      <c r="BB488" s="1996"/>
      <c r="BC488" s="1996"/>
      <c r="BD488" s="1996"/>
      <c r="BE488" s="1996"/>
      <c r="BF488" s="1996"/>
      <c r="BG488" s="1996"/>
      <c r="BH488" s="1996"/>
      <c r="BI488" s="1996"/>
      <c r="BJ488" s="1996"/>
      <c r="BK488" s="1996"/>
      <c r="BL488" s="1996"/>
      <c r="BM488" s="1996"/>
      <c r="BN488" s="1996"/>
      <c r="BO488" s="1996"/>
      <c r="BP488" s="1996"/>
      <c r="BQ488" s="1996"/>
      <c r="BR488" s="1996"/>
      <c r="BS488" s="2126"/>
      <c r="BT488" s="2126"/>
      <c r="BU488" s="2126"/>
      <c r="BV488" s="2089"/>
      <c r="BW488" s="2089"/>
      <c r="BX488" s="2089"/>
      <c r="BY488" s="2089"/>
      <c r="BZ488" s="2090"/>
      <c r="CA488" s="2090"/>
      <c r="CB488" s="2055"/>
      <c r="CC488" s="2056"/>
      <c r="CD488" s="2056"/>
      <c r="CE488" s="2056"/>
      <c r="CF488" s="2056"/>
      <c r="CG488" s="2056"/>
      <c r="CH488" s="2056"/>
      <c r="CI488" s="2056"/>
      <c r="CJ488" s="2056"/>
      <c r="CK488" s="2056"/>
      <c r="CL488" s="2056"/>
      <c r="CM488" s="2056"/>
      <c r="CN488" s="2056"/>
      <c r="CO488" s="2056"/>
      <c r="CP488" s="2056"/>
      <c r="CQ488" s="2056"/>
      <c r="CR488" s="2056"/>
      <c r="CS488" s="2056"/>
      <c r="CT488" s="2056"/>
      <c r="CU488" s="2057"/>
      <c r="CV488" s="2360" t="str">
        <f t="shared" si="616"/>
        <v/>
      </c>
      <c r="CW488" s="2360"/>
      <c r="CX488" s="2360"/>
      <c r="CY488" s="2360"/>
      <c r="CZ488" s="2360"/>
      <c r="DA488" s="2360"/>
      <c r="DC488" s="600" t="str">
        <f t="shared" si="617"/>
        <v/>
      </c>
      <c r="DD488" s="381"/>
      <c r="DF488" s="34"/>
      <c r="DG488" s="34"/>
      <c r="DH488" s="34"/>
      <c r="DI488" s="34"/>
      <c r="DJ488" s="1699" t="s">
        <v>5637</v>
      </c>
      <c r="DK488" s="1708" t="str">
        <f t="shared" si="609"/>
        <v/>
      </c>
      <c r="DL488" s="1700" t="str">
        <f t="shared" si="610"/>
        <v/>
      </c>
      <c r="DM488" s="1694">
        <f t="shared" si="563"/>
        <v>0</v>
      </c>
      <c r="DN488" s="476">
        <f t="shared" si="618"/>
        <v>0</v>
      </c>
      <c r="DO488" s="476">
        <f t="shared" si="619"/>
        <v>0</v>
      </c>
      <c r="DP488" s="477">
        <f t="shared" si="620"/>
        <v>0</v>
      </c>
      <c r="DQ488" s="123" t="s">
        <v>2628</v>
      </c>
      <c r="DR488" s="475">
        <f t="shared" si="621"/>
        <v>0</v>
      </c>
      <c r="DS488" s="221">
        <f t="shared" si="622"/>
        <v>0</v>
      </c>
      <c r="DT488" s="480" t="str">
        <f t="shared" si="623"/>
        <v/>
      </c>
      <c r="DU488" s="232" t="str">
        <f t="shared" si="570"/>
        <v/>
      </c>
      <c r="DV488" s="233" t="str">
        <f>IF($DT488="要是正",MAX($DV$471:DV487)+1,"")</f>
        <v/>
      </c>
      <c r="DW488" s="483" t="str">
        <f t="shared" si="624"/>
        <v/>
      </c>
      <c r="DX488" s="467" t="str">
        <f t="shared" si="572"/>
        <v/>
      </c>
      <c r="DY488" s="468" t="str">
        <f t="shared" si="625"/>
        <v/>
      </c>
      <c r="DZ488" s="469" t="str">
        <f t="shared" si="626"/>
        <v/>
      </c>
      <c r="EA488" s="466" t="str">
        <f t="shared" si="574"/>
        <v/>
      </c>
      <c r="EB488" s="234" t="str">
        <f t="shared" si="575"/>
        <v/>
      </c>
      <c r="EC488" s="227" t="str">
        <f t="shared" si="576"/>
        <v>0</v>
      </c>
      <c r="ED488" s="148" t="str">
        <f t="shared" si="627"/>
        <v/>
      </c>
      <c r="EE488" s="227" t="str">
        <f t="shared" si="628"/>
        <v>0</v>
      </c>
      <c r="EF488" s="130" t="str">
        <f t="shared" si="629"/>
        <v/>
      </c>
      <c r="EG488" s="204" t="str">
        <f t="shared" si="579"/>
        <v/>
      </c>
      <c r="EH488" s="134" t="str">
        <f t="shared" si="580"/>
        <v>0</v>
      </c>
      <c r="EI488" s="148" t="str">
        <f t="shared" si="630"/>
        <v/>
      </c>
      <c r="EJ488" s="227" t="str">
        <f t="shared" si="631"/>
        <v>0</v>
      </c>
      <c r="EK488" s="451" t="str">
        <f t="shared" si="632"/>
        <v/>
      </c>
      <c r="EL488" s="452" t="e">
        <f t="shared" si="633"/>
        <v>#N/A</v>
      </c>
      <c r="EM488" s="151" t="e">
        <f t="shared" si="634"/>
        <v>#N/A</v>
      </c>
      <c r="EN488" s="453" t="e">
        <f t="shared" si="635"/>
        <v>#N/A</v>
      </c>
      <c r="FK488" s="597" t="str">
        <f t="shared" si="586"/>
        <v/>
      </c>
      <c r="FL488" s="597" t="str">
        <f t="shared" si="530"/>
        <v/>
      </c>
      <c r="FM488" s="597" t="str">
        <f t="shared" si="531"/>
        <v/>
      </c>
      <c r="FN488" s="597">
        <f t="shared" si="636"/>
        <v>0</v>
      </c>
      <c r="FO488" s="1163" t="str">
        <f t="shared" si="588"/>
        <v/>
      </c>
      <c r="FQ488" s="234" t="str">
        <f t="shared" si="589"/>
        <v/>
      </c>
      <c r="FR488" s="227" t="str">
        <f t="shared" si="590"/>
        <v>0</v>
      </c>
      <c r="FS488" s="148" t="str">
        <f t="shared" si="637"/>
        <v/>
      </c>
      <c r="FT488" s="227" t="str">
        <f t="shared" si="638"/>
        <v>0</v>
      </c>
      <c r="FU488" s="416" t="str">
        <f t="shared" si="639"/>
        <v/>
      </c>
      <c r="FW488" s="1160">
        <f t="shared" si="640"/>
        <v>0</v>
      </c>
      <c r="FX488" s="123"/>
      <c r="FY488" s="123"/>
      <c r="FZ488" s="1161"/>
      <c r="GA488" s="34"/>
      <c r="GB488" s="123">
        <f t="shared" si="498"/>
        <v>0</v>
      </c>
      <c r="GC488" s="123">
        <f t="shared" si="499"/>
        <v>0</v>
      </c>
      <c r="GD488" s="69">
        <f t="shared" si="500"/>
        <v>0</v>
      </c>
      <c r="GE488" s="1149" t="str">
        <f t="shared" si="594"/>
        <v/>
      </c>
      <c r="GF488" s="1149" t="str">
        <f t="shared" si="595"/>
        <v/>
      </c>
      <c r="GG488" s="1149" t="str">
        <f t="shared" si="596"/>
        <v/>
      </c>
      <c r="GH488" s="1149" t="str">
        <f t="shared" si="597"/>
        <v/>
      </c>
      <c r="GI488" s="1149" t="str">
        <f t="shared" si="598"/>
        <v/>
      </c>
      <c r="GJ488" s="1149" t="str">
        <f t="shared" si="599"/>
        <v/>
      </c>
      <c r="GK488" s="1149" t="str">
        <f t="shared" si="600"/>
        <v/>
      </c>
      <c r="GL488" s="1149" t="str">
        <f t="shared" si="601"/>
        <v/>
      </c>
      <c r="GM488" s="1149" t="str">
        <f t="shared" si="602"/>
        <v/>
      </c>
      <c r="GN488" s="1149" t="str">
        <f t="shared" si="603"/>
        <v/>
      </c>
      <c r="GO488" s="1149" t="str">
        <f t="shared" si="604"/>
        <v/>
      </c>
      <c r="GP488" s="1149" t="str">
        <f t="shared" si="605"/>
        <v/>
      </c>
      <c r="GQ488" s="1149" t="str">
        <f t="shared" si="606"/>
        <v/>
      </c>
      <c r="GR488" s="1149" t="str">
        <f t="shared" si="607"/>
        <v/>
      </c>
      <c r="GS488" s="1149" t="str">
        <f t="shared" si="608"/>
        <v/>
      </c>
      <c r="GT488" s="1149">
        <f t="shared" si="501"/>
        <v>0</v>
      </c>
      <c r="GU488" s="1149">
        <f t="shared" si="502"/>
        <v>0</v>
      </c>
      <c r="GV488" s="1149">
        <f t="shared" si="503"/>
        <v>0</v>
      </c>
      <c r="GW488" s="1149" t="b">
        <f t="shared" si="504"/>
        <v>0</v>
      </c>
      <c r="GX488" s="1149" t="b">
        <f t="shared" si="505"/>
        <v>0</v>
      </c>
      <c r="GY488" s="1149" t="b">
        <f t="shared" si="506"/>
        <v>0</v>
      </c>
      <c r="GZ488" s="1149" t="str">
        <f t="shared" si="528"/>
        <v/>
      </c>
      <c r="HB488" s="1149" t="str">
        <f t="shared" si="507"/>
        <v/>
      </c>
      <c r="HC488" s="1149" t="str">
        <f t="shared" si="508"/>
        <v/>
      </c>
      <c r="HD488" s="1149" t="str">
        <f t="shared" si="509"/>
        <v/>
      </c>
      <c r="HE488" s="1149" t="str">
        <f t="shared" si="510"/>
        <v/>
      </c>
      <c r="HF488" s="1149" t="str">
        <f t="shared" si="511"/>
        <v/>
      </c>
      <c r="HG488" s="1149" t="str">
        <f t="shared" si="512"/>
        <v/>
      </c>
      <c r="HH488" s="1149" t="str">
        <f t="shared" si="513"/>
        <v/>
      </c>
      <c r="HI488" s="1149" t="str">
        <f t="shared" si="514"/>
        <v/>
      </c>
      <c r="HJ488" s="1149" t="str">
        <f t="shared" si="515"/>
        <v/>
      </c>
      <c r="HK488" s="1149" t="str">
        <f t="shared" si="516"/>
        <v/>
      </c>
      <c r="HL488" s="1149" t="str">
        <f t="shared" si="517"/>
        <v/>
      </c>
      <c r="HM488" s="1149" t="str">
        <f t="shared" si="518"/>
        <v/>
      </c>
      <c r="HN488" s="1149" t="str">
        <f t="shared" si="519"/>
        <v/>
      </c>
      <c r="HO488" s="1149" t="str">
        <f t="shared" si="520"/>
        <v/>
      </c>
      <c r="HP488" s="1149" t="str">
        <f t="shared" si="521"/>
        <v/>
      </c>
      <c r="HQ488" s="1149" t="str">
        <f t="shared" si="522"/>
        <v/>
      </c>
      <c r="HR488" s="1149" t="str">
        <f t="shared" si="523"/>
        <v/>
      </c>
      <c r="HT488" s="1149">
        <f>LEFT(M488,1)*10000+MID(M488,3,LEN(M488)-3)*100+COUNTIF($M$307:M488,M488)</f>
        <v>61401</v>
      </c>
      <c r="HU488" s="1149" t="str">
        <f t="shared" si="524"/>
        <v/>
      </c>
      <c r="HV488" s="1149" t="str">
        <f t="shared" si="525"/>
        <v/>
      </c>
      <c r="HW488" s="1149" t="str">
        <f t="shared" si="526"/>
        <v/>
      </c>
      <c r="HX488" s="1149" t="str">
        <f t="shared" si="527"/>
        <v/>
      </c>
    </row>
    <row r="489" spans="1:232" ht="15" customHeight="1" thickBot="1">
      <c r="A489" s="645"/>
      <c r="B489" s="645"/>
      <c r="C489" s="645"/>
      <c r="D489" s="645"/>
      <c r="E489" s="646"/>
      <c r="J489" s="282"/>
      <c r="K489" s="300"/>
      <c r="L489" s="300"/>
      <c r="M489" s="556"/>
      <c r="N489" s="556"/>
      <c r="O489" s="556"/>
      <c r="P489" s="556"/>
      <c r="Q489" s="556"/>
      <c r="R489" s="556"/>
      <c r="S489" s="556"/>
      <c r="T489" s="556"/>
      <c r="U489" s="556"/>
      <c r="V489" s="556"/>
      <c r="W489" s="556"/>
      <c r="X489" s="556"/>
      <c r="Y489" s="556"/>
      <c r="Z489" s="556"/>
      <c r="AA489" s="556"/>
      <c r="AB489" s="556"/>
      <c r="AC489" s="556"/>
      <c r="AD489" s="556"/>
      <c r="AE489" s="92"/>
      <c r="AF489" s="92"/>
      <c r="AG489" s="92"/>
      <c r="AH489" s="92"/>
      <c r="AI489" s="92"/>
      <c r="AJ489" s="92"/>
      <c r="AK489" s="92"/>
      <c r="AL489" s="92"/>
      <c r="AM489" s="92"/>
      <c r="AN489" s="92"/>
      <c r="AO489" s="92"/>
      <c r="AP489" s="92"/>
      <c r="AQ489" s="92"/>
      <c r="AR489" s="557"/>
      <c r="AS489" s="557"/>
      <c r="AT489" s="92"/>
      <c r="AU489" s="92"/>
      <c r="AV489" s="92"/>
      <c r="AW489" s="92"/>
      <c r="AX489" s="92"/>
      <c r="AY489" s="92"/>
      <c r="AZ489" s="92"/>
      <c r="BA489" s="92"/>
      <c r="BB489" s="92"/>
      <c r="BC489" s="92"/>
      <c r="BD489" s="92"/>
      <c r="BE489" s="92"/>
      <c r="BF489" s="92"/>
      <c r="BG489" s="92"/>
      <c r="BH489" s="92"/>
      <c r="BI489" s="92"/>
      <c r="BJ489" s="92"/>
      <c r="BK489" s="92"/>
      <c r="BL489" s="92"/>
      <c r="BM489" s="92"/>
      <c r="BN489" s="92"/>
      <c r="BO489" s="92"/>
      <c r="BP489" s="92"/>
      <c r="BQ489" s="92"/>
      <c r="BR489" s="92"/>
      <c r="BS489" s="557"/>
      <c r="BT489" s="557"/>
      <c r="BU489" s="745"/>
      <c r="BV489" s="745"/>
      <c r="BW489" s="745"/>
      <c r="BX489" s="745"/>
      <c r="BY489" s="748"/>
      <c r="BZ489" s="748"/>
      <c r="CA489" s="748"/>
      <c r="CB489" s="746"/>
      <c r="CC489" s="746"/>
      <c r="CD489" s="746"/>
      <c r="CE489" s="746"/>
      <c r="CF489" s="746"/>
      <c r="CG489" s="746"/>
      <c r="CH489" s="746"/>
      <c r="CI489" s="746"/>
      <c r="CJ489" s="746"/>
      <c r="CK489" s="746"/>
      <c r="CL489" s="746"/>
      <c r="CM489" s="746"/>
      <c r="CN489" s="746"/>
      <c r="CO489" s="746"/>
      <c r="CP489" s="746"/>
      <c r="CQ489" s="746"/>
      <c r="CR489" s="746"/>
      <c r="CS489" s="746"/>
      <c r="CT489" s="746"/>
      <c r="CU489" s="747"/>
      <c r="CV489" s="2360"/>
      <c r="CW489" s="2360"/>
      <c r="CX489" s="2360"/>
      <c r="CY489" s="2360"/>
      <c r="CZ489" s="2360"/>
      <c r="DA489" s="2360"/>
      <c r="DC489" s="600" t="str">
        <f t="shared" si="562"/>
        <v/>
      </c>
      <c r="DD489" s="381"/>
      <c r="DE489" s="36"/>
      <c r="DF489" s="36"/>
      <c r="DG489" s="36"/>
      <c r="DH489" s="36"/>
      <c r="DI489" s="36"/>
      <c r="DJ489" s="641"/>
      <c r="DK489" s="1709"/>
      <c r="DL489" s="1685"/>
      <c r="DM489" s="193">
        <f>SUM(DM475:DM488)</f>
        <v>0</v>
      </c>
      <c r="DN489" s="193">
        <f>SUM(DN475:DN488)</f>
        <v>0</v>
      </c>
      <c r="DO489" s="193">
        <f>SUM(DO475:DO488)</f>
        <v>0</v>
      </c>
      <c r="DP489" s="193">
        <f>SUM(DP475:DP488)</f>
        <v>0</v>
      </c>
      <c r="DU489" s="506"/>
      <c r="DX489" s="2522" t="s">
        <v>2427</v>
      </c>
      <c r="DY489" s="555" t="s">
        <v>2430</v>
      </c>
      <c r="DZ489" s="166"/>
      <c r="EA489" s="166"/>
      <c r="EB489" s="1166"/>
      <c r="EC489" s="229"/>
      <c r="ED489" s="207">
        <f>COUNTIF(ED475:ED488,"1")</f>
        <v>0</v>
      </c>
      <c r="EE489" s="206" t="str">
        <f t="array" ref="EE489">INDEX(EE475:EE488,MATCH(MIN(ABS(EE475:EE488-$DP$4)),ABS(EE475:EE488-$DP$4),0))</f>
        <v>0</v>
      </c>
      <c r="EF489" s="207">
        <f>COUNTIF(EF475:EF488,"未定")</f>
        <v>0</v>
      </c>
      <c r="EG489" s="205"/>
      <c r="EH489" s="229"/>
      <c r="EI489" s="207">
        <f>COUNTIF(EI475:EI488,"1")</f>
        <v>0</v>
      </c>
      <c r="EJ489" s="206" t="str">
        <f t="array" ref="EJ489">INDEX(EJ475:EJ488,MATCH(MIN(ABS(EJ475:EJ488-$DP$4)),ABS(EJ475:EJ488-$DP$4),0))</f>
        <v>0</v>
      </c>
      <c r="EK489" s="519">
        <f>COUNTIF(EK475:EK488,"未定")</f>
        <v>0</v>
      </c>
      <c r="EL489" s="1167"/>
      <c r="EM489" s="31"/>
      <c r="EN489" s="1168"/>
      <c r="FK489" s="632"/>
      <c r="FL489" s="632"/>
      <c r="FM489" s="632"/>
      <c r="FN489" s="632"/>
      <c r="FO489" s="1163"/>
      <c r="FQ489" s="1166"/>
      <c r="FR489" s="229"/>
      <c r="FS489" s="207">
        <f>COUNTIF(FS475:FS488,"1")</f>
        <v>0</v>
      </c>
      <c r="FT489" s="206" t="str">
        <f t="array" ref="FT489">INDEX(FT475:FT488,MATCH(MIN(ABS(FT475:FT488-$DP$4)),ABS(FT475:FT488-$DP$4),0))</f>
        <v>0</v>
      </c>
      <c r="FU489" s="417">
        <f>COUNTIF(FU475:FU488,"未定")</f>
        <v>0</v>
      </c>
      <c r="FV489" s="167"/>
      <c r="FW489" s="1160">
        <f t="shared" si="529"/>
        <v>0</v>
      </c>
      <c r="FX489" s="31"/>
      <c r="FY489" s="31"/>
      <c r="FZ489" s="1164"/>
      <c r="GB489" s="1149">
        <f t="shared" ref="GB489" si="641">IF(SUM(GB475:GB488)&gt;0,1,0)</f>
        <v>0</v>
      </c>
      <c r="GC489" s="1149">
        <f t="shared" ref="GC489" si="642">IF(SUM(GC475:GC488)&gt;0,1,0)</f>
        <v>0</v>
      </c>
      <c r="GD489" s="1149">
        <f>IF(SUM(GD475:GD488)&gt;0,1,0)</f>
        <v>0</v>
      </c>
      <c r="GE489" s="1151"/>
      <c r="GF489" s="1151"/>
      <c r="GG489" s="1151"/>
      <c r="GH489" s="1151"/>
      <c r="GI489" s="1151"/>
      <c r="GJ489" s="1151"/>
      <c r="GK489" s="1151"/>
      <c r="GL489" s="1151"/>
      <c r="GM489" s="1151"/>
      <c r="GN489" s="1151"/>
      <c r="GO489" s="1151"/>
      <c r="GP489" s="1151"/>
      <c r="GQ489" s="1151"/>
      <c r="GR489" s="1151"/>
      <c r="GS489" s="1151"/>
      <c r="GT489" s="1149">
        <f t="shared" ref="GT489:GU489" si="643">IF(SUM(GT475:GT488)&gt;0,1,0)</f>
        <v>0</v>
      </c>
      <c r="GU489" s="1149">
        <f t="shared" si="643"/>
        <v>0</v>
      </c>
      <c r="GV489" s="1149">
        <f>IF(SUM(GV475:GV488)&gt;0,1,0)</f>
        <v>0</v>
      </c>
      <c r="GW489" s="1149" t="b">
        <f t="shared" si="504"/>
        <v>0</v>
      </c>
      <c r="GX489" s="1149" t="b">
        <f t="shared" si="505"/>
        <v>0</v>
      </c>
      <c r="GY489" s="1149" t="b">
        <f t="shared" si="506"/>
        <v>0</v>
      </c>
      <c r="GZ489" s="1149" t="str">
        <f t="shared" si="528"/>
        <v/>
      </c>
      <c r="HB489" s="1151"/>
      <c r="HC489" s="1151"/>
      <c r="HD489" s="1151"/>
      <c r="HE489" s="1151"/>
      <c r="HF489" s="1151"/>
      <c r="HG489" s="1151"/>
      <c r="HH489" s="1151"/>
      <c r="HI489" s="1151"/>
      <c r="HJ489" s="1151"/>
      <c r="HK489" s="1151"/>
      <c r="HL489" s="1151"/>
      <c r="HM489" s="1151"/>
      <c r="HN489" s="1151"/>
      <c r="HO489" s="1151"/>
      <c r="HP489" s="1151"/>
      <c r="HQ489" s="1151"/>
      <c r="HR489" s="1151"/>
      <c r="HT489" s="1702"/>
      <c r="HU489" s="1702"/>
      <c r="HV489" s="1702"/>
      <c r="HW489" s="1702"/>
      <c r="HX489" s="1702"/>
    </row>
    <row r="490" spans="1:232" s="69" customFormat="1" ht="35.15" customHeight="1" thickBot="1">
      <c r="A490" s="645"/>
      <c r="B490" s="645"/>
      <c r="C490" s="645"/>
      <c r="D490" s="645"/>
      <c r="E490" s="646"/>
      <c r="F490" s="381"/>
      <c r="G490" s="381"/>
      <c r="H490" s="381"/>
      <c r="J490" s="80"/>
      <c r="K490" s="89"/>
      <c r="L490" s="89"/>
      <c r="M490" s="2058" t="s">
        <v>155</v>
      </c>
      <c r="N490" s="2058"/>
      <c r="O490" s="2058"/>
      <c r="P490" s="2058"/>
      <c r="Q490" s="2058"/>
      <c r="R490" s="2058"/>
      <c r="S490" s="2058"/>
      <c r="T490" s="2058"/>
      <c r="U490" s="2058"/>
      <c r="V490" s="2058"/>
      <c r="W490" s="2058"/>
      <c r="X490" s="2058"/>
      <c r="Y490" s="2058"/>
      <c r="Z490" s="2058"/>
      <c r="AA490" s="2058"/>
      <c r="AB490" s="2058"/>
      <c r="AC490" s="2058"/>
      <c r="AD490" s="2058"/>
      <c r="AE490" s="2058"/>
      <c r="AF490" s="2058"/>
      <c r="AG490" s="2058"/>
      <c r="AH490" s="2058"/>
      <c r="AI490" s="2058"/>
      <c r="AJ490" s="2058"/>
      <c r="AK490" s="2058"/>
      <c r="AL490" s="2058"/>
      <c r="AM490" s="2058"/>
      <c r="AN490" s="2058"/>
      <c r="AO490" s="2058"/>
      <c r="AP490" s="2058"/>
      <c r="AQ490" s="2058"/>
      <c r="AR490" s="2058"/>
      <c r="AS490" s="2058"/>
      <c r="AT490" s="2058"/>
      <c r="AU490" s="2058"/>
      <c r="AV490" s="2058"/>
      <c r="AW490" s="2058"/>
      <c r="AX490" s="2058"/>
      <c r="AY490" s="2058"/>
      <c r="AZ490" s="2058"/>
      <c r="BA490" s="2058"/>
      <c r="BB490" s="2058"/>
      <c r="BC490" s="2058"/>
      <c r="BD490" s="2058"/>
      <c r="BE490" s="2058"/>
      <c r="BF490" s="2058"/>
      <c r="BG490" s="2058"/>
      <c r="BH490" s="2058"/>
      <c r="BI490" s="2058"/>
      <c r="BJ490" s="2058"/>
      <c r="BK490" s="2058"/>
      <c r="BL490" s="2058"/>
      <c r="BM490" s="2058"/>
      <c r="BN490" s="2058"/>
      <c r="BO490" s="2058"/>
      <c r="BP490" s="2058"/>
      <c r="BQ490" s="2058"/>
      <c r="BR490" s="2058"/>
      <c r="BS490" s="2058"/>
      <c r="BT490" s="2058"/>
      <c r="BU490" s="2058"/>
      <c r="BV490" s="2058"/>
      <c r="BW490" s="2058"/>
      <c r="BX490" s="2058"/>
      <c r="BY490" s="2058"/>
      <c r="BZ490" s="2058"/>
      <c r="CA490" s="2058"/>
      <c r="CB490" s="2058"/>
      <c r="CC490" s="2058"/>
      <c r="CD490" s="2058"/>
      <c r="CE490" s="2058"/>
      <c r="CF490" s="2058"/>
      <c r="CG490" s="2058"/>
      <c r="CH490" s="2058"/>
      <c r="CI490" s="2058"/>
      <c r="CJ490" s="2058"/>
      <c r="CK490" s="2058"/>
      <c r="CL490" s="2058"/>
      <c r="CM490" s="2058"/>
      <c r="CN490" s="2058"/>
      <c r="CO490" s="2058"/>
      <c r="CP490" s="2058"/>
      <c r="CQ490" s="2058"/>
      <c r="CR490" s="2058"/>
      <c r="CS490" s="2058"/>
      <c r="CT490" s="2058"/>
      <c r="CU490" s="2059"/>
      <c r="CV490" s="2360" t="str">
        <f>IF(AND(DT490="要是正",DU490&lt;21),HYPERLINK("#"&amp;EL490&amp;"!"&amp;EM490&amp;":"&amp;EN490&amp;"","関連写真添付"),"")</f>
        <v/>
      </c>
      <c r="CW490" s="2360"/>
      <c r="CX490" s="2360"/>
      <c r="CY490" s="2360"/>
      <c r="CZ490" s="2360"/>
      <c r="DA490" s="2360"/>
      <c r="DC490" s="600"/>
      <c r="DD490" s="381"/>
      <c r="DF490" s="34"/>
      <c r="DG490" s="34"/>
      <c r="DH490" s="34"/>
      <c r="DI490" s="34"/>
      <c r="DJ490" s="34"/>
      <c r="DK490" s="1711"/>
      <c r="DL490" s="114"/>
      <c r="DM490" s="386" t="str">
        <f>IF(AND(DN490="",DO490="",DP490="",DM508&lt;&gt;0),"レ","")</f>
        <v/>
      </c>
      <c r="DN490" s="386" t="str">
        <f>IF(AND(DO490="",DP490="",DN508&lt;&gt;0),"レ","")</f>
        <v/>
      </c>
      <c r="DO490" s="386" t="str">
        <f>IF(DO508&lt;&gt;0,"レ","")</f>
        <v/>
      </c>
      <c r="DP490" s="386" t="str">
        <f>IF(AND(DO490="",DP508&lt;&gt;0),"レ","")</f>
        <v/>
      </c>
      <c r="DQ490" s="114"/>
      <c r="DR490" s="114"/>
      <c r="DS490" s="114"/>
      <c r="DT490" s="113"/>
      <c r="DU490" s="151"/>
      <c r="DV490" s="113"/>
      <c r="DW490" s="113"/>
      <c r="DX490" s="2046"/>
      <c r="DY490" s="135" t="str">
        <f>SUBSTITUTE(TRIM(DY493&amp;"　"&amp;DY494&amp;"　"&amp;DY495&amp;"　"&amp;DY496&amp;"　"&amp;DY497&amp;"　"&amp;DY498&amp;"　"&amp;DY499&amp;"　"&amp;DY500&amp;"　"&amp;DY501&amp;"　"&amp;DY502&amp;"　"&amp;DY503&amp;"　"&amp;DY504&amp;"　"&amp;DY505&amp;"　"&amp;DY506&amp;"　"&amp;DY507),"　",", ")&amp;HR528</f>
        <v/>
      </c>
      <c r="DZ490" s="2518" t="s">
        <v>2436</v>
      </c>
      <c r="EA490" s="2519"/>
      <c r="EB490" s="230" t="str">
        <f>IF(COUNTIF(ED493:ED507,1)&gt;0,"レ","")</f>
        <v/>
      </c>
      <c r="EC490" s="389"/>
      <c r="ED490" s="231" t="str">
        <f>IF(EB490="レ",YEAR(EE508)-VLOOKUP(EE508,$DS$6:$DV$9,4,TRUE),"")</f>
        <v/>
      </c>
      <c r="EE490" s="231" t="str">
        <f>IF(EB490="レ",MONTH(EE508),IF(AND(DO490="レ",EF490="レ",EF508=0),"",IF(AND(DO490="レ",EF490="レ",EF508&gt;0),"","")))</f>
        <v/>
      </c>
      <c r="EF490" s="387" t="str">
        <f>IF(EB490="",IF(OR(EF508&gt;0,DO490="レ"),"レ",""),"")</f>
        <v/>
      </c>
      <c r="EG490" s="538" t="str">
        <f>IF(AND(COUNTIF(DT493:DT507,"要是正")=0,COUNTIF(EI493:EI507,1)&gt;0),"レ","")</f>
        <v/>
      </c>
      <c r="EH490" s="539"/>
      <c r="EI490" s="540" t="str">
        <f>IF(EG490="レ",YEAR(EJ508)-VLOOKUP(EJ508,$DS$6:$DV$9,4,TRUE),"")</f>
        <v/>
      </c>
      <c r="EJ490" s="540" t="str">
        <f>IF(EG490="レ",MONTH(EJ508),IF(AND(DP490="レ",EK490="レ",EK508=0),"",IF(AND(DP490="レ",EK490="レ",EK508&gt;0),"","")))</f>
        <v/>
      </c>
      <c r="EK490" s="541" t="str">
        <f>IF(EG490="",IF(OR(EK508&gt;0,DP490="レ"),"レ",""),"")</f>
        <v/>
      </c>
      <c r="EL490" s="452"/>
      <c r="EM490" s="151"/>
      <c r="EN490" s="453"/>
      <c r="EO490" s="35"/>
      <c r="EP490" s="35"/>
      <c r="EQ490" s="35"/>
      <c r="ER490" s="35"/>
      <c r="ES490" s="35" t="str">
        <f>$HB$531</f>
        <v>要是正なし</v>
      </c>
      <c r="ET490" s="35"/>
      <c r="EU490" s="35"/>
      <c r="EV490" s="35"/>
      <c r="EW490" s="35"/>
      <c r="EX490" s="35"/>
      <c r="EY490" s="35"/>
      <c r="EZ490" s="35"/>
      <c r="FA490" s="35"/>
      <c r="FB490" s="35"/>
      <c r="FC490" s="35"/>
      <c r="FD490" s="35"/>
      <c r="FE490" s="35"/>
      <c r="FF490" s="35"/>
      <c r="FG490" s="35"/>
      <c r="FH490" s="35"/>
      <c r="FI490" s="35"/>
      <c r="FK490" s="632"/>
      <c r="FL490" s="632"/>
      <c r="FM490" s="632"/>
      <c r="FN490" s="632"/>
      <c r="FO490" s="1163"/>
      <c r="FQ490" s="230" t="str">
        <f>IF(COUNTIF(FS493:FS507,1)&gt;0,"レ","")</f>
        <v/>
      </c>
      <c r="FR490" s="389"/>
      <c r="FS490" s="231" t="str">
        <f>IF(FQ490="レ",TEXT(FT508,"ee"),"")</f>
        <v/>
      </c>
      <c r="FT490" s="231" t="str">
        <f>IF(FQ490="レ",MONTH(FT508),IF(AND(FH490="レ",FU490="レ",FU508=0),"",IF(AND(FH490="レ",FU490="レ",FU508&gt;0),"未定","")))</f>
        <v/>
      </c>
      <c r="FU490" s="387" t="str">
        <f>IF(FQ490="",IF(OR(FU508&gt;0,FH490="レ"),"レ",""),"")</f>
        <v/>
      </c>
      <c r="FW490" s="1160">
        <f t="shared" si="529"/>
        <v>0</v>
      </c>
      <c r="FX490" s="123"/>
      <c r="FY490" s="123"/>
      <c r="FZ490" s="1161"/>
      <c r="GA490" s="34"/>
      <c r="GB490" s="123"/>
      <c r="GC490" s="123"/>
      <c r="GE490" s="123"/>
      <c r="GF490" s="123"/>
      <c r="GG490" s="123"/>
      <c r="GH490" s="123"/>
      <c r="GI490" s="123"/>
      <c r="GJ490" s="123"/>
      <c r="GK490" s="123"/>
      <c r="GL490" s="123"/>
      <c r="GM490" s="123"/>
      <c r="GN490" s="123"/>
      <c r="GO490" s="123"/>
      <c r="GP490" s="123"/>
      <c r="GQ490" s="123"/>
      <c r="GR490" s="123"/>
      <c r="GS490" s="123"/>
      <c r="GT490" s="123"/>
      <c r="GU490" s="123"/>
      <c r="GV490" s="123"/>
      <c r="GW490" s="123"/>
      <c r="GX490" s="123"/>
      <c r="GY490" s="123"/>
      <c r="HB490" s="123"/>
      <c r="HC490" s="123"/>
      <c r="HD490" s="123"/>
      <c r="HE490" s="123"/>
      <c r="HF490" s="123"/>
      <c r="HG490" s="123"/>
      <c r="HH490" s="123"/>
      <c r="HI490" s="123"/>
      <c r="HJ490" s="123"/>
      <c r="HK490" s="123"/>
      <c r="HL490" s="123"/>
      <c r="HM490" s="123"/>
      <c r="HN490" s="123"/>
      <c r="HO490" s="123"/>
      <c r="HP490" s="123"/>
      <c r="HQ490" s="123"/>
      <c r="HR490" s="123"/>
      <c r="HT490" s="1703"/>
      <c r="HU490" s="1703"/>
      <c r="HV490" s="1703"/>
      <c r="HW490" s="1703"/>
      <c r="HX490" s="1703"/>
    </row>
    <row r="491" spans="1:232" s="69" customFormat="1" ht="36" customHeight="1" thickBot="1">
      <c r="A491" s="645"/>
      <c r="B491" s="645"/>
      <c r="C491" s="645"/>
      <c r="D491" s="645"/>
      <c r="E491" s="646"/>
      <c r="F491" s="381"/>
      <c r="G491" s="381"/>
      <c r="H491" s="381"/>
      <c r="I491" s="123"/>
      <c r="J491" s="88"/>
      <c r="K491" s="89"/>
      <c r="L491" s="89"/>
      <c r="M491" s="2006" t="s">
        <v>31</v>
      </c>
      <c r="N491" s="2006"/>
      <c r="O491" s="2006"/>
      <c r="P491" s="2006" t="s">
        <v>32</v>
      </c>
      <c r="Q491" s="2006"/>
      <c r="R491" s="2006"/>
      <c r="S491" s="2006"/>
      <c r="T491" s="2006"/>
      <c r="U491" s="2006"/>
      <c r="V491" s="2006"/>
      <c r="W491" s="2006"/>
      <c r="X491" s="2006"/>
      <c r="Y491" s="2006"/>
      <c r="Z491" s="2006"/>
      <c r="AA491" s="2006"/>
      <c r="AB491" s="2006"/>
      <c r="AC491" s="2006"/>
      <c r="AD491" s="2006"/>
      <c r="AE491" s="2006"/>
      <c r="AF491" s="2006" t="s">
        <v>33</v>
      </c>
      <c r="AG491" s="2006"/>
      <c r="AH491" s="2006"/>
      <c r="AI491" s="2006"/>
      <c r="AJ491" s="2006"/>
      <c r="AK491" s="2006"/>
      <c r="AL491" s="2006"/>
      <c r="AM491" s="2006"/>
      <c r="AN491" s="2006"/>
      <c r="AO491" s="2006"/>
      <c r="AP491" s="2006"/>
      <c r="AQ491" s="2006"/>
      <c r="AR491" s="2006" t="s">
        <v>752</v>
      </c>
      <c r="AS491" s="2006"/>
      <c r="AT491" s="2003" t="s">
        <v>156</v>
      </c>
      <c r="AU491" s="2003"/>
      <c r="AV491" s="2003"/>
      <c r="AW491" s="2003"/>
      <c r="AX491" s="2003"/>
      <c r="AY491" s="2003"/>
      <c r="AZ491" s="2003"/>
      <c r="BA491" s="2003"/>
      <c r="BB491" s="2003"/>
      <c r="BC491" s="2003"/>
      <c r="BD491" s="2003" t="s">
        <v>194</v>
      </c>
      <c r="BE491" s="2003"/>
      <c r="BF491" s="2003"/>
      <c r="BG491" s="2003"/>
      <c r="BH491" s="2003"/>
      <c r="BI491" s="2003"/>
      <c r="BJ491" s="2003"/>
      <c r="BK491" s="2003"/>
      <c r="BL491" s="2003"/>
      <c r="BM491" s="2003"/>
      <c r="BN491" s="2003"/>
      <c r="BO491" s="2003"/>
      <c r="BP491" s="2003"/>
      <c r="BQ491" s="2003"/>
      <c r="BR491" s="2003"/>
      <c r="BS491" s="2006" t="s">
        <v>387</v>
      </c>
      <c r="BT491" s="2003"/>
      <c r="BU491" s="2003"/>
      <c r="BV491" s="2003"/>
      <c r="BW491" s="2003"/>
      <c r="BX491" s="2003"/>
      <c r="BY491" s="2003"/>
      <c r="BZ491" s="2003"/>
      <c r="CA491" s="2003"/>
      <c r="CB491" s="2120" t="s">
        <v>2818</v>
      </c>
      <c r="CC491" s="2120"/>
      <c r="CD491" s="2120"/>
      <c r="CE491" s="2120"/>
      <c r="CF491" s="2120"/>
      <c r="CG491" s="2120"/>
      <c r="CH491" s="2120"/>
      <c r="CI491" s="2120"/>
      <c r="CJ491" s="2120"/>
      <c r="CK491" s="2120"/>
      <c r="CL491" s="2120"/>
      <c r="CM491" s="2120"/>
      <c r="CN491" s="2120"/>
      <c r="CO491" s="2120"/>
      <c r="CP491" s="2120"/>
      <c r="CQ491" s="2120"/>
      <c r="CR491" s="2120"/>
      <c r="CS491" s="2120"/>
      <c r="CT491" s="2120"/>
      <c r="CU491" s="2121"/>
      <c r="CV491" s="108"/>
      <c r="CW491" s="108"/>
      <c r="CX491" s="108"/>
      <c r="CY491" s="108"/>
      <c r="CZ491" s="108"/>
      <c r="DA491" s="108"/>
      <c r="DB491" s="108"/>
      <c r="DC491" s="35"/>
      <c r="DD491" s="381"/>
      <c r="DE491" s="34"/>
      <c r="DF491" s="34"/>
      <c r="DG491" s="34"/>
      <c r="DH491" s="34"/>
      <c r="DI491" s="34"/>
      <c r="DJ491" s="34"/>
      <c r="DK491" s="1711"/>
      <c r="DL491" s="114"/>
      <c r="DM491" s="166" t="s">
        <v>3359</v>
      </c>
      <c r="DN491" s="34"/>
      <c r="DO491" s="34"/>
      <c r="DP491" s="34"/>
      <c r="DQ491" s="34"/>
      <c r="DR491" s="34"/>
      <c r="DU491" s="381"/>
      <c r="DV491" s="381"/>
      <c r="DW491" s="381"/>
      <c r="DX491" s="2046"/>
      <c r="DY491" s="1972" t="s">
        <v>911</v>
      </c>
      <c r="DZ491" s="1974" t="s">
        <v>194</v>
      </c>
      <c r="EA491" s="2517" t="s">
        <v>2402</v>
      </c>
      <c r="EB491" s="1907" t="s">
        <v>24</v>
      </c>
      <c r="EC491" s="1908"/>
      <c r="ED491" s="1908"/>
      <c r="EE491" s="1908"/>
      <c r="EF491" s="1908"/>
      <c r="EG491" s="1879" t="s">
        <v>931</v>
      </c>
      <c r="EH491" s="1880"/>
      <c r="EI491" s="1880"/>
      <c r="EJ491" s="1880"/>
      <c r="EK491" s="1881"/>
      <c r="EL491" s="1882" t="s">
        <v>938</v>
      </c>
      <c r="EM491" s="1883"/>
      <c r="EN491" s="1884"/>
      <c r="EO491" s="1897"/>
      <c r="EP491" s="1897"/>
      <c r="EQ491" s="1897"/>
      <c r="ER491" s="1897"/>
      <c r="ES491" s="35"/>
      <c r="ET491" s="1897"/>
      <c r="EU491" s="1897"/>
      <c r="EV491" s="1897"/>
      <c r="EW491" s="1897"/>
      <c r="EX491" s="1897"/>
      <c r="EY491" s="1900"/>
      <c r="EZ491" s="1900"/>
      <c r="FA491" s="1900"/>
      <c r="FB491" s="1900"/>
      <c r="FC491" s="1900"/>
      <c r="FD491" s="1900"/>
      <c r="FE491" s="1900"/>
      <c r="FF491" s="1900"/>
      <c r="FG491" s="1900"/>
      <c r="FH491" s="1900"/>
      <c r="FI491" s="120"/>
      <c r="FJ491" s="108"/>
      <c r="FK491" s="1901" t="s">
        <v>1180</v>
      </c>
      <c r="FL491" s="1902"/>
      <c r="FM491" s="1902"/>
      <c r="FN491" s="1902"/>
      <c r="FO491" s="1903"/>
      <c r="FQ491" s="1907" t="s">
        <v>24</v>
      </c>
      <c r="FR491" s="1908"/>
      <c r="FS491" s="1908"/>
      <c r="FT491" s="1908"/>
      <c r="FU491" s="1909"/>
      <c r="FW491" s="1160" t="str">
        <f t="shared" si="529"/>
        <v>指摘の具体的内容等</v>
      </c>
      <c r="FX491" s="123"/>
      <c r="FY491" s="123"/>
      <c r="FZ491" s="1161"/>
      <c r="GA491" s="34"/>
      <c r="GB491" s="123"/>
      <c r="GC491" s="123"/>
      <c r="GE491" s="123"/>
      <c r="GF491" s="123"/>
      <c r="GG491" s="123"/>
      <c r="GH491" s="123"/>
      <c r="GI491" s="123"/>
      <c r="GJ491" s="123"/>
      <c r="GK491" s="123"/>
      <c r="GL491" s="123"/>
      <c r="GM491" s="123"/>
      <c r="GN491" s="123"/>
      <c r="GO491" s="123"/>
      <c r="GP491" s="123"/>
      <c r="GQ491" s="123"/>
      <c r="GR491" s="123"/>
      <c r="GS491" s="123"/>
      <c r="GT491" s="123"/>
      <c r="GU491" s="123"/>
      <c r="GV491" s="167"/>
      <c r="GW491" s="123"/>
      <c r="GX491" s="123"/>
      <c r="GY491" s="123"/>
      <c r="HB491" s="123"/>
      <c r="HC491" s="123"/>
      <c r="HD491" s="123"/>
      <c r="HE491" s="123"/>
      <c r="HF491" s="123"/>
      <c r="HG491" s="123"/>
      <c r="HH491" s="123"/>
      <c r="HI491" s="123"/>
      <c r="HJ491" s="123"/>
      <c r="HK491" s="123"/>
      <c r="HL491" s="123"/>
      <c r="HM491" s="123"/>
      <c r="HN491" s="123"/>
      <c r="HO491" s="123"/>
      <c r="HP491" s="123"/>
      <c r="HQ491" s="123"/>
      <c r="HR491" s="123"/>
      <c r="HS491" s="167"/>
      <c r="HT491" s="1703"/>
      <c r="HU491" s="1703"/>
      <c r="HV491" s="1703"/>
      <c r="HW491" s="1703"/>
      <c r="HX491" s="1703"/>
    </row>
    <row r="492" spans="1:232" s="69" customFormat="1" ht="36" customHeight="1" thickBot="1">
      <c r="A492" s="645"/>
      <c r="B492" s="645"/>
      <c r="C492" s="645"/>
      <c r="D492" s="645"/>
      <c r="E492" s="646"/>
      <c r="F492" s="381"/>
      <c r="G492" s="381"/>
      <c r="H492" s="381"/>
      <c r="I492" s="123"/>
      <c r="J492" s="88"/>
      <c r="K492" s="89"/>
      <c r="L492" s="89"/>
      <c r="M492" s="1976"/>
      <c r="N492" s="1976"/>
      <c r="O492" s="1976"/>
      <c r="P492" s="1976"/>
      <c r="Q492" s="1976"/>
      <c r="R492" s="1976"/>
      <c r="S492" s="1976"/>
      <c r="T492" s="1976"/>
      <c r="U492" s="1976"/>
      <c r="V492" s="1976"/>
      <c r="W492" s="1976"/>
      <c r="X492" s="1976"/>
      <c r="Y492" s="1976"/>
      <c r="Z492" s="1976"/>
      <c r="AA492" s="1976"/>
      <c r="AB492" s="1976"/>
      <c r="AC492" s="1976"/>
      <c r="AD492" s="1976"/>
      <c r="AE492" s="1976"/>
      <c r="AF492" s="1976"/>
      <c r="AG492" s="1976"/>
      <c r="AH492" s="1976"/>
      <c r="AI492" s="1976"/>
      <c r="AJ492" s="1976"/>
      <c r="AK492" s="1976"/>
      <c r="AL492" s="1976"/>
      <c r="AM492" s="1976"/>
      <c r="AN492" s="1976"/>
      <c r="AO492" s="1976"/>
      <c r="AP492" s="1976"/>
      <c r="AQ492" s="1976"/>
      <c r="AR492" s="1976"/>
      <c r="AS492" s="1976"/>
      <c r="AT492" s="2004"/>
      <c r="AU492" s="2004"/>
      <c r="AV492" s="2004"/>
      <c r="AW492" s="2004"/>
      <c r="AX492" s="2004"/>
      <c r="AY492" s="2004"/>
      <c r="AZ492" s="2004"/>
      <c r="BA492" s="2004"/>
      <c r="BB492" s="2004"/>
      <c r="BC492" s="2004"/>
      <c r="BD492" s="2004"/>
      <c r="BE492" s="2004"/>
      <c r="BF492" s="2004"/>
      <c r="BG492" s="2004"/>
      <c r="BH492" s="2004"/>
      <c r="BI492" s="2004"/>
      <c r="BJ492" s="2004"/>
      <c r="BK492" s="2004"/>
      <c r="BL492" s="2004"/>
      <c r="BM492" s="2004"/>
      <c r="BN492" s="2004"/>
      <c r="BO492" s="2004"/>
      <c r="BP492" s="2004"/>
      <c r="BQ492" s="2004"/>
      <c r="BR492" s="2004"/>
      <c r="BS492" s="1976" t="s">
        <v>865</v>
      </c>
      <c r="BT492" s="1976"/>
      <c r="BU492" s="1976"/>
      <c r="BV492" s="1977" t="s">
        <v>383</v>
      </c>
      <c r="BW492" s="1977"/>
      <c r="BX492" s="1977"/>
      <c r="BY492" s="1977" t="s">
        <v>1700</v>
      </c>
      <c r="BZ492" s="1978"/>
      <c r="CA492" s="1978"/>
      <c r="CB492" s="2122"/>
      <c r="CC492" s="2122"/>
      <c r="CD492" s="2122"/>
      <c r="CE492" s="2122"/>
      <c r="CF492" s="2122"/>
      <c r="CG492" s="2122"/>
      <c r="CH492" s="2122"/>
      <c r="CI492" s="2122"/>
      <c r="CJ492" s="2122"/>
      <c r="CK492" s="2122"/>
      <c r="CL492" s="2122"/>
      <c r="CM492" s="2122"/>
      <c r="CN492" s="2122"/>
      <c r="CO492" s="2122"/>
      <c r="CP492" s="2122"/>
      <c r="CQ492" s="2122"/>
      <c r="CR492" s="2122"/>
      <c r="CS492" s="2122"/>
      <c r="CT492" s="2122"/>
      <c r="CU492" s="2123"/>
      <c r="CV492" s="108"/>
      <c r="CW492" s="108"/>
      <c r="CX492" s="108"/>
      <c r="CY492" s="108"/>
      <c r="CZ492" s="108"/>
      <c r="DA492" s="108"/>
      <c r="DB492" s="108"/>
      <c r="DC492" s="35"/>
      <c r="DD492" s="381"/>
      <c r="DE492" s="34"/>
      <c r="DF492" s="34"/>
      <c r="DG492" s="34"/>
      <c r="DH492" s="34"/>
      <c r="DI492" s="34"/>
      <c r="DJ492" s="1695" t="s">
        <v>5640</v>
      </c>
      <c r="DK492" s="1706" t="s">
        <v>5639</v>
      </c>
      <c r="DL492" s="1696" t="s">
        <v>5641</v>
      </c>
      <c r="DM492" s="512" t="s">
        <v>347</v>
      </c>
      <c r="DN492" s="471" t="s">
        <v>348</v>
      </c>
      <c r="DO492" s="471" t="s">
        <v>349</v>
      </c>
      <c r="DP492" s="472" t="s">
        <v>350</v>
      </c>
      <c r="DQ492" s="192" t="s">
        <v>863</v>
      </c>
      <c r="DR492" s="470" t="s">
        <v>754</v>
      </c>
      <c r="DS492" s="514" t="s">
        <v>753</v>
      </c>
      <c r="DT492" s="479" t="s">
        <v>746</v>
      </c>
      <c r="DU492" s="481" t="s">
        <v>920</v>
      </c>
      <c r="DV492" s="522" t="s">
        <v>912</v>
      </c>
      <c r="DW492" s="547" t="s">
        <v>695</v>
      </c>
      <c r="DX492" s="2047"/>
      <c r="DY492" s="1973"/>
      <c r="DZ492" s="1975"/>
      <c r="EA492" s="2486"/>
      <c r="EB492" s="235" t="s">
        <v>950</v>
      </c>
      <c r="EC492" s="228" t="s">
        <v>949</v>
      </c>
      <c r="ED492" s="228" t="s">
        <v>943</v>
      </c>
      <c r="EE492" s="215" t="s">
        <v>944</v>
      </c>
      <c r="EF492" s="216" t="s">
        <v>945</v>
      </c>
      <c r="EG492" s="214" t="s">
        <v>941</v>
      </c>
      <c r="EH492" s="215" t="s">
        <v>942</v>
      </c>
      <c r="EI492" s="228" t="s">
        <v>943</v>
      </c>
      <c r="EJ492" s="215" t="s">
        <v>944</v>
      </c>
      <c r="EK492" s="415" t="s">
        <v>945</v>
      </c>
      <c r="EL492" s="223" t="s">
        <v>358</v>
      </c>
      <c r="EM492" s="112" t="s">
        <v>693</v>
      </c>
      <c r="EN492" s="220" t="s">
        <v>694</v>
      </c>
      <c r="EO492" s="35"/>
      <c r="EP492" s="313"/>
      <c r="EQ492" s="313"/>
      <c r="ER492" s="313"/>
      <c r="ES492" s="309"/>
      <c r="ET492" s="35"/>
      <c r="EU492" s="309"/>
      <c r="EV492" s="309"/>
      <c r="EW492" s="309"/>
      <c r="EX492" s="309"/>
      <c r="EY492" s="310"/>
      <c r="EZ492" s="310"/>
      <c r="FA492" s="310"/>
      <c r="FB492" s="310"/>
      <c r="FC492" s="310"/>
      <c r="FD492" s="310"/>
      <c r="FE492" s="310"/>
      <c r="FF492" s="310"/>
      <c r="FG492" s="310"/>
      <c r="FH492" s="310"/>
      <c r="FI492" s="120"/>
      <c r="FJ492" s="108"/>
      <c r="FK492" s="1904"/>
      <c r="FL492" s="1905"/>
      <c r="FM492" s="1905"/>
      <c r="FN492" s="1905"/>
      <c r="FO492" s="1906"/>
      <c r="FQ492" s="235" t="s">
        <v>950</v>
      </c>
      <c r="FR492" s="228" t="s">
        <v>949</v>
      </c>
      <c r="FS492" s="228" t="s">
        <v>943</v>
      </c>
      <c r="FT492" s="215" t="s">
        <v>944</v>
      </c>
      <c r="FU492" s="415" t="s">
        <v>945</v>
      </c>
      <c r="FW492" s="1160">
        <f t="shared" si="529"/>
        <v>0</v>
      </c>
      <c r="FX492" s="123"/>
      <c r="FY492" s="123"/>
      <c r="FZ492" s="1161"/>
      <c r="GA492" s="34"/>
      <c r="GB492" s="123"/>
      <c r="GC492" s="123"/>
      <c r="GE492" s="1165"/>
      <c r="GF492" s="1165"/>
      <c r="GG492" s="1165"/>
      <c r="GH492" s="1165"/>
      <c r="GI492" s="1165"/>
      <c r="GJ492" s="1165"/>
      <c r="GK492" s="1165"/>
      <c r="GL492" s="1165"/>
      <c r="GM492" s="1165"/>
      <c r="GN492" s="1165"/>
      <c r="GO492" s="1165"/>
      <c r="GP492" s="1165"/>
      <c r="GQ492" s="1165"/>
      <c r="GR492" s="1165"/>
      <c r="GS492" s="1165"/>
      <c r="GT492" s="1165"/>
      <c r="GU492" s="1165"/>
      <c r="GV492" s="1165"/>
      <c r="GW492" s="123"/>
      <c r="GX492" s="123"/>
      <c r="GY492" s="123"/>
      <c r="HB492" s="1165"/>
      <c r="HC492" s="1165"/>
      <c r="HD492" s="1165"/>
      <c r="HE492" s="1165"/>
      <c r="HF492" s="1165"/>
      <c r="HG492" s="1165"/>
      <c r="HH492" s="1165"/>
      <c r="HI492" s="1165"/>
      <c r="HJ492" s="1165"/>
      <c r="HK492" s="1165"/>
      <c r="HL492" s="1165"/>
      <c r="HM492" s="1165"/>
      <c r="HN492" s="1165"/>
      <c r="HO492" s="1165"/>
      <c r="HP492" s="1165"/>
      <c r="HQ492" s="1165"/>
      <c r="HR492" s="1165"/>
      <c r="HT492" s="1704"/>
      <c r="HU492" s="1704"/>
      <c r="HV492" s="1704"/>
      <c r="HW492" s="1704"/>
      <c r="HX492" s="1704"/>
    </row>
    <row r="493" spans="1:232" s="69" customFormat="1" ht="50.15" customHeight="1">
      <c r="A493" s="645"/>
      <c r="B493" s="645"/>
      <c r="C493" s="645"/>
      <c r="D493" s="645"/>
      <c r="E493" s="646"/>
      <c r="F493" s="381"/>
      <c r="G493" s="381"/>
      <c r="H493" s="381"/>
      <c r="J493" s="80"/>
      <c r="K493" s="89"/>
      <c r="L493" s="89"/>
      <c r="M493" s="2080" t="s">
        <v>1318</v>
      </c>
      <c r="N493" s="2080"/>
      <c r="O493" s="2080"/>
      <c r="P493" s="2544" t="s">
        <v>2669</v>
      </c>
      <c r="Q493" s="2544"/>
      <c r="R493" s="2544"/>
      <c r="S493" s="2544"/>
      <c r="T493" s="2544"/>
      <c r="U493" s="2011" t="s">
        <v>2670</v>
      </c>
      <c r="V493" s="2011"/>
      <c r="W493" s="2011"/>
      <c r="X493" s="2011"/>
      <c r="Y493" s="2011"/>
      <c r="Z493" s="2011"/>
      <c r="AA493" s="2011"/>
      <c r="AB493" s="2011"/>
      <c r="AC493" s="2011"/>
      <c r="AD493" s="2011"/>
      <c r="AE493" s="2011"/>
      <c r="AF493" s="2010"/>
      <c r="AG493" s="2010"/>
      <c r="AH493" s="2010"/>
      <c r="AI493" s="2010"/>
      <c r="AJ493" s="2010"/>
      <c r="AK493" s="2010"/>
      <c r="AL493" s="2010"/>
      <c r="AM493" s="2010"/>
      <c r="AN493" s="2010"/>
      <c r="AO493" s="2010"/>
      <c r="AP493" s="2010"/>
      <c r="AQ493" s="2010"/>
      <c r="AR493" s="2017"/>
      <c r="AS493" s="2017"/>
      <c r="AT493" s="1929"/>
      <c r="AU493" s="1929"/>
      <c r="AV493" s="1929"/>
      <c r="AW493" s="1929"/>
      <c r="AX493" s="1929"/>
      <c r="AY493" s="1929"/>
      <c r="AZ493" s="1929"/>
      <c r="BA493" s="1929"/>
      <c r="BB493" s="1929"/>
      <c r="BC493" s="1929"/>
      <c r="BD493" s="1929"/>
      <c r="BE493" s="1929"/>
      <c r="BF493" s="1929"/>
      <c r="BG493" s="1929"/>
      <c r="BH493" s="1929"/>
      <c r="BI493" s="1929"/>
      <c r="BJ493" s="1929"/>
      <c r="BK493" s="1929"/>
      <c r="BL493" s="1929"/>
      <c r="BM493" s="1929"/>
      <c r="BN493" s="1929"/>
      <c r="BO493" s="1929"/>
      <c r="BP493" s="1929"/>
      <c r="BQ493" s="1929"/>
      <c r="BR493" s="1929"/>
      <c r="BS493" s="1885"/>
      <c r="BT493" s="1885"/>
      <c r="BU493" s="1885"/>
      <c r="BV493" s="1890"/>
      <c r="BW493" s="1890"/>
      <c r="BX493" s="1890"/>
      <c r="BY493" s="1890"/>
      <c r="BZ493" s="1891"/>
      <c r="CA493" s="1891"/>
      <c r="CB493" s="2141"/>
      <c r="CC493" s="2142"/>
      <c r="CD493" s="2142"/>
      <c r="CE493" s="2142"/>
      <c r="CF493" s="2142"/>
      <c r="CG493" s="2142"/>
      <c r="CH493" s="2142"/>
      <c r="CI493" s="2142"/>
      <c r="CJ493" s="2142"/>
      <c r="CK493" s="2142"/>
      <c r="CL493" s="2142"/>
      <c r="CM493" s="2142"/>
      <c r="CN493" s="2142"/>
      <c r="CO493" s="2142"/>
      <c r="CP493" s="2142"/>
      <c r="CQ493" s="2142"/>
      <c r="CR493" s="2142"/>
      <c r="CS493" s="2142"/>
      <c r="CT493" s="2142"/>
      <c r="CU493" s="2143"/>
      <c r="CV493" s="2360" t="str">
        <f t="shared" ref="CV493:CV502" si="644">IF(AND(DT493="要是正",DU493&lt;21),HYPERLINK("#"&amp;EL493&amp;"!"&amp;EM493&amp;":"&amp;EN493&amp;"","関連写真添付"),"")</f>
        <v/>
      </c>
      <c r="CW493" s="2360"/>
      <c r="CX493" s="2360"/>
      <c r="CY493" s="2360"/>
      <c r="CZ493" s="2360"/>
      <c r="DA493" s="2360"/>
      <c r="DC493" s="600" t="str">
        <f t="shared" ref="DC493:DC502" si="645">IF(AND(DU493&lt;&gt;"",DU493&gt;20),"「別途様式を作成、提出してください。」","")</f>
        <v/>
      </c>
      <c r="DD493" s="381"/>
      <c r="DF493" s="34"/>
      <c r="DG493" s="34"/>
      <c r="DH493" s="34"/>
      <c r="DI493" s="34"/>
      <c r="DJ493" s="858" t="s">
        <v>5637</v>
      </c>
      <c r="DK493" s="1707" t="str">
        <f>IF(DS493=2,DATE(VLOOKUP(DJ493,$DU$6:$DV$9,2,FALSE)+BS493,BV493,1),"")</f>
        <v/>
      </c>
      <c r="DL493" s="1692" t="str">
        <f>IF(DS493=2,DJ493&amp;BS493&amp;"."&amp;BV493,"")</f>
        <v/>
      </c>
      <c r="DM493" s="1691">
        <f t="shared" ref="DM493:DM507" si="646">COUNTIFS(AF493,"―対象外")</f>
        <v>0</v>
      </c>
      <c r="DN493" s="111">
        <f>COUNTIFS(AF493,"○指摘なし")</f>
        <v>0</v>
      </c>
      <c r="DO493" s="111">
        <f>COUNTIFS(AF493,"×要是正（既存不適格以外）")</f>
        <v>0</v>
      </c>
      <c r="DP493" s="474">
        <f>COUNTIFS(AF493,"△既存不適格")</f>
        <v>0</v>
      </c>
      <c r="DQ493" s="123" t="s">
        <v>858</v>
      </c>
      <c r="DR493" s="473" t="str">
        <f>IF($U493="",R493,U493)</f>
        <v>昭和48年建設省告示第2563号第１第一号ロに規定する基準への適合の状況</v>
      </c>
      <c r="DS493" s="112">
        <f>COUNTA(BS493:BX493)</f>
        <v>0</v>
      </c>
      <c r="DT493" s="118" t="str">
        <f>IF(AF493="×要是正（既存不適格以外）","要是正","")&amp;IF(AF493="△既存不適格","既存不適格","")</f>
        <v/>
      </c>
      <c r="DU493" s="151" t="str">
        <f t="shared" ref="DU493:DU507" si="647">IF(HV493="","",HV493)</f>
        <v/>
      </c>
      <c r="DV493" s="151" t="str">
        <f>IF($DT493="要是正",MAX($DV$489:DV490)+1,"")</f>
        <v/>
      </c>
      <c r="DW493" s="32" t="str">
        <f>IF(OR(AF493="×要是正（既存不適格以外）",AF493="△既存不適格"),DQ493,"")</f>
        <v/>
      </c>
      <c r="DX493" s="119" t="str">
        <f t="shared" ref="DX493:DX507" si="648">IF(OR($DT493="要是正",$DT493="既存不適格"),$DR493,"")</f>
        <v/>
      </c>
      <c r="DY493" s="33" t="str">
        <f>IF($DT493="要是正",IF(AT493="","",DQ493 &amp;" " &amp; AT493),"")</f>
        <v/>
      </c>
      <c r="DZ493" s="139" t="str">
        <f>IF($DT493="要是正",IF(BD493="","",BD493),"")</f>
        <v/>
      </c>
      <c r="EA493" s="396" t="str">
        <f t="shared" ref="EA493:EA507" si="649">IF(BY493="未定","未定",IF(FR493="0","",IF(BY493="予定","("&amp;DL493&amp;")",IF(BY493="改善済",DL493,DL493))))</f>
        <v/>
      </c>
      <c r="EB493" s="234" t="str">
        <f t="shared" ref="EB493:EB507" si="650">IF(OR(DT493="要是正",DT493="既存不適格"),IF(OR(DS493&lt;2,BY493&lt;&gt;"予定"),"",DK493),"")</f>
        <v/>
      </c>
      <c r="EC493" s="227" t="str">
        <f t="shared" ref="EC493:EC507" si="651">IF(EB493="","0",EB493)</f>
        <v>0</v>
      </c>
      <c r="ED493" s="148" t="str">
        <f>IF(DT493="要是正",IF(AND(BY493="予定",DS493=2),1,IF(BY493="改善済",2,"")),"")</f>
        <v/>
      </c>
      <c r="EE493" s="227" t="str">
        <f t="shared" ref="EE493" si="652">IF(ED493=1,EC493,"0")</f>
        <v>0</v>
      </c>
      <c r="EF493" s="130" t="str">
        <f t="shared" ref="EF493:EF502" si="653">IF(AND(DT493="要是正",AND(DS493=0,BY493="未定")),BY493,"")</f>
        <v/>
      </c>
      <c r="EG493" s="204" t="str">
        <f t="shared" ref="EG493:EG507" si="654">IF(DT493="既存不適格",IF(OR(DS493&lt;2,BY493&lt;&gt;"予定"),"",DK493),"")</f>
        <v/>
      </c>
      <c r="EH493" s="134" t="str">
        <f t="shared" ref="EH493:EH507" si="655">IF(EG493="","0",EG493)</f>
        <v>0</v>
      </c>
      <c r="EI493" s="148" t="str">
        <f>IF(DT493="既存不適格",IF(AND(BY493="予定",DS493=2),1,IF(BY493="改善済",2,"")),"")</f>
        <v/>
      </c>
      <c r="EJ493" s="227" t="str">
        <f t="shared" ref="EJ493" si="656">IF(EI493=1,EH493,"0")</f>
        <v>0</v>
      </c>
      <c r="EK493" s="416" t="str">
        <f t="shared" ref="EK493:EK502" si="657">IF(AND(DT493="既存不適格",AND(DS493=0,BY493="未定")),BY493,"")</f>
        <v/>
      </c>
      <c r="EL493" s="452" t="e">
        <f t="shared" ref="EL493:EL502" si="658">VLOOKUP($DU493,$EO$306:$ER$334,2,FALSE)</f>
        <v>#N/A</v>
      </c>
      <c r="EM493" s="151" t="e">
        <f t="shared" ref="EM493:EM502" si="659">VLOOKUP($DU493,$EO$306:$ER$334,3,FALSE)</f>
        <v>#N/A</v>
      </c>
      <c r="EN493" s="453" t="e">
        <f t="shared" ref="EN493:EN502" si="660">VLOOKUP($DU493,$EO$306:$ER$334,4,FALSE)</f>
        <v>#N/A</v>
      </c>
      <c r="EO493" s="35"/>
      <c r="EP493" s="35"/>
      <c r="EQ493" s="35"/>
      <c r="ER493" s="35"/>
      <c r="ES493" s="35"/>
      <c r="ET493" s="35"/>
      <c r="EU493" s="35"/>
      <c r="EV493" s="35"/>
      <c r="EW493" s="35"/>
      <c r="EX493" s="35"/>
      <c r="EY493" s="35"/>
      <c r="EZ493" s="35"/>
      <c r="FA493" s="35"/>
      <c r="FB493" s="35"/>
      <c r="FC493" s="35"/>
      <c r="FD493" s="35"/>
      <c r="FE493" s="35"/>
      <c r="FF493" s="35"/>
      <c r="FG493" s="35"/>
      <c r="FH493" s="35"/>
      <c r="FI493" s="35"/>
      <c r="FK493" s="597" t="str">
        <f t="shared" ref="FK493:FK507" si="661">IF($AF493="○指摘なし","○",IF($AF493="―対象外","―",""))</f>
        <v/>
      </c>
      <c r="FL493" s="597" t="str">
        <f t="shared" si="530"/>
        <v/>
      </c>
      <c r="FM493" s="597" t="str">
        <f t="shared" si="531"/>
        <v/>
      </c>
      <c r="FN493" s="597">
        <f t="shared" ref="FN493:FN502" si="662">AR493</f>
        <v>0</v>
      </c>
      <c r="FO493" s="1163" t="str">
        <f>IF($AF493="―対象外","○","")</f>
        <v/>
      </c>
      <c r="FQ493" s="234" t="str">
        <f t="shared" ref="FQ493:FQ507" si="663">IF(NOT(OR(BY493="未定",BY493="")),DK493,"")</f>
        <v/>
      </c>
      <c r="FR493" s="227" t="str">
        <f t="shared" ref="FR493:FR507" si="664">IF(FQ493="","0",FQ493)</f>
        <v>0</v>
      </c>
      <c r="FS493" s="148" t="str">
        <f t="shared" ref="FS493:FS502" si="665">IF(OR(BY493="予定",BY493="改善済"),1,"")</f>
        <v/>
      </c>
      <c r="FT493" s="227" t="str">
        <f t="shared" ref="FT493:FT502" si="666">IF(FS493=1,FR493,"0")</f>
        <v>0</v>
      </c>
      <c r="FU493" s="416" t="str">
        <f t="shared" ref="FU493:FU502" si="667">IF(AND(FM493="要是正",AND(FL493=0,DR493="未定")),DR493,"")</f>
        <v/>
      </c>
      <c r="FW493" s="1160">
        <f t="shared" si="529"/>
        <v>0</v>
      </c>
      <c r="FX493" s="123"/>
      <c r="FY493" s="123"/>
      <c r="FZ493" s="1161"/>
      <c r="GA493" s="34"/>
      <c r="GB493" s="1149">
        <f t="shared" si="498"/>
        <v>0</v>
      </c>
      <c r="GC493" s="1149">
        <f t="shared" si="499"/>
        <v>0</v>
      </c>
      <c r="GD493" s="1149">
        <f t="shared" si="500"/>
        <v>0</v>
      </c>
      <c r="GE493" s="1149" t="str">
        <f>IF(GE$306=$M493,$BY$512,"")</f>
        <v/>
      </c>
      <c r="GF493" s="1149" t="str">
        <f>IF(GF$306=$M493,$BY$513,"")</f>
        <v/>
      </c>
      <c r="GG493" s="1149" t="str">
        <f>IF(GG$306=$M493,$BY$514,"")</f>
        <v/>
      </c>
      <c r="GH493" s="1149" t="str">
        <f>IF(GH$306=$M493,$BY$515,"")</f>
        <v/>
      </c>
      <c r="GI493" s="1149" t="str">
        <f>IF(GI$306=$M493,$BY$516,"")</f>
        <v/>
      </c>
      <c r="GJ493" s="1149" t="str">
        <f>IF(GJ$306=$M493,$BY$517,"")</f>
        <v/>
      </c>
      <c r="GK493" s="1149" t="str">
        <f>IF(GK$306=$M493,$BY$518,"")</f>
        <v/>
      </c>
      <c r="GL493" s="1149" t="str">
        <f>IF(GL$306=$M493,$BY$519,"")</f>
        <v/>
      </c>
      <c r="GM493" s="1149" t="str">
        <f>IF(GM$306=$M493,$BY$520,"")</f>
        <v/>
      </c>
      <c r="GN493" s="1149" t="str">
        <f>IF(GN$306=$M493,$BY$521,"")</f>
        <v/>
      </c>
      <c r="GO493" s="1149" t="str">
        <f>IF(GO$306=$M493,$BY$522,"")</f>
        <v/>
      </c>
      <c r="GP493" s="1149" t="str">
        <f>IF(GP$306=$M493,$BY$523,"")</f>
        <v/>
      </c>
      <c r="GQ493" s="1149" t="str">
        <f>IF(GQ$306=$M493,$BY$524,"")</f>
        <v/>
      </c>
      <c r="GR493" s="1149" t="str">
        <f>IF(GR$306=$M493,$BY$525,"")</f>
        <v/>
      </c>
      <c r="GS493" s="1149" t="str">
        <f>IF(GS$306=$M493,$BY$526,"")</f>
        <v/>
      </c>
      <c r="GT493" s="1149">
        <f t="shared" si="501"/>
        <v>0</v>
      </c>
      <c r="GU493" s="1149">
        <f t="shared" si="502"/>
        <v>0</v>
      </c>
      <c r="GV493" s="1149">
        <f t="shared" si="503"/>
        <v>0</v>
      </c>
      <c r="GW493" s="1149" t="b">
        <f t="shared" si="504"/>
        <v>0</v>
      </c>
      <c r="GX493" s="1149" t="b">
        <f t="shared" si="505"/>
        <v>0</v>
      </c>
      <c r="GY493" s="1149" t="b">
        <f t="shared" si="506"/>
        <v>0</v>
      </c>
      <c r="GZ493" s="1149" t="str">
        <f t="shared" si="528"/>
        <v/>
      </c>
      <c r="HB493" s="1149" t="str">
        <f t="shared" si="507"/>
        <v/>
      </c>
      <c r="HC493" s="1149" t="str">
        <f t="shared" si="508"/>
        <v/>
      </c>
      <c r="HD493" s="1149" t="str">
        <f t="shared" si="509"/>
        <v/>
      </c>
      <c r="HE493" s="1149" t="str">
        <f t="shared" si="510"/>
        <v/>
      </c>
      <c r="HF493" s="1149" t="str">
        <f t="shared" si="511"/>
        <v/>
      </c>
      <c r="HG493" s="1149" t="str">
        <f t="shared" si="512"/>
        <v/>
      </c>
      <c r="HH493" s="1149" t="str">
        <f t="shared" si="513"/>
        <v/>
      </c>
      <c r="HI493" s="1149" t="str">
        <f t="shared" si="514"/>
        <v/>
      </c>
      <c r="HJ493" s="1149" t="str">
        <f t="shared" si="515"/>
        <v/>
      </c>
      <c r="HK493" s="1149" t="str">
        <f t="shared" si="516"/>
        <v/>
      </c>
      <c r="HL493" s="1149" t="str">
        <f t="shared" si="517"/>
        <v/>
      </c>
      <c r="HM493" s="1149" t="str">
        <f t="shared" si="518"/>
        <v/>
      </c>
      <c r="HN493" s="1149" t="str">
        <f t="shared" si="519"/>
        <v/>
      </c>
      <c r="HO493" s="1149" t="str">
        <f t="shared" si="520"/>
        <v/>
      </c>
      <c r="HP493" s="1149" t="str">
        <f t="shared" si="521"/>
        <v/>
      </c>
      <c r="HQ493" s="1149" t="str">
        <f t="shared" si="522"/>
        <v/>
      </c>
      <c r="HR493" s="1149" t="str">
        <f t="shared" si="523"/>
        <v/>
      </c>
      <c r="HT493" s="1149">
        <f>LEFT(M493,1)*10000+MID(M493,3,LEN(M493)-3)*100+COUNTIF($M$307:M493,M493)</f>
        <v>70101</v>
      </c>
      <c r="HU493" s="1149" t="str">
        <f t="shared" si="524"/>
        <v/>
      </c>
      <c r="HV493" s="1149" t="str">
        <f t="shared" si="525"/>
        <v/>
      </c>
      <c r="HW493" s="1149" t="str">
        <f t="shared" si="526"/>
        <v/>
      </c>
      <c r="HX493" s="1149" t="str">
        <f t="shared" si="527"/>
        <v/>
      </c>
    </row>
    <row r="494" spans="1:232" s="69" customFormat="1" ht="99" customHeight="1">
      <c r="A494" s="645"/>
      <c r="B494" s="645"/>
      <c r="C494" s="645"/>
      <c r="D494" s="645"/>
      <c r="E494" s="646"/>
      <c r="F494" s="381"/>
      <c r="G494" s="381"/>
      <c r="H494" s="381"/>
      <c r="J494" s="80"/>
      <c r="K494" s="89"/>
      <c r="L494" s="89"/>
      <c r="M494" s="2080" t="s">
        <v>1319</v>
      </c>
      <c r="N494" s="2080"/>
      <c r="O494" s="2080"/>
      <c r="P494" s="2545"/>
      <c r="Q494" s="2545"/>
      <c r="R494" s="2545"/>
      <c r="S494" s="2545"/>
      <c r="T494" s="2545"/>
      <c r="U494" s="1899" t="s">
        <v>2671</v>
      </c>
      <c r="V494" s="1899"/>
      <c r="W494" s="1899"/>
      <c r="X494" s="1899"/>
      <c r="Y494" s="1899"/>
      <c r="Z494" s="1899"/>
      <c r="AA494" s="1899"/>
      <c r="AB494" s="1899"/>
      <c r="AC494" s="1899"/>
      <c r="AD494" s="1899"/>
      <c r="AE494" s="1899"/>
      <c r="AF494" s="1898"/>
      <c r="AG494" s="1898"/>
      <c r="AH494" s="1898"/>
      <c r="AI494" s="1898"/>
      <c r="AJ494" s="1898"/>
      <c r="AK494" s="1898"/>
      <c r="AL494" s="1898"/>
      <c r="AM494" s="1898"/>
      <c r="AN494" s="1898"/>
      <c r="AO494" s="1898"/>
      <c r="AP494" s="1898"/>
      <c r="AQ494" s="1898"/>
      <c r="AR494" s="2130"/>
      <c r="AS494" s="1910"/>
      <c r="AT494" s="1993"/>
      <c r="AU494" s="1993"/>
      <c r="AV494" s="1993"/>
      <c r="AW494" s="1993"/>
      <c r="AX494" s="1993"/>
      <c r="AY494" s="1993"/>
      <c r="AZ494" s="1993"/>
      <c r="BA494" s="1993"/>
      <c r="BB494" s="1993"/>
      <c r="BC494" s="1993"/>
      <c r="BD494" s="1993"/>
      <c r="BE494" s="1993"/>
      <c r="BF494" s="1993"/>
      <c r="BG494" s="1993"/>
      <c r="BH494" s="1993"/>
      <c r="BI494" s="1993"/>
      <c r="BJ494" s="1993"/>
      <c r="BK494" s="1993"/>
      <c r="BL494" s="1993"/>
      <c r="BM494" s="1993"/>
      <c r="BN494" s="1993"/>
      <c r="BO494" s="1993"/>
      <c r="BP494" s="1993"/>
      <c r="BQ494" s="1993"/>
      <c r="BR494" s="1993"/>
      <c r="BS494" s="1895"/>
      <c r="BT494" s="1895"/>
      <c r="BU494" s="1895"/>
      <c r="BV494" s="1889"/>
      <c r="BW494" s="1889"/>
      <c r="BX494" s="1889"/>
      <c r="BY494" s="1889"/>
      <c r="BZ494" s="1896"/>
      <c r="CA494" s="1896"/>
      <c r="CB494" s="2048" t="s">
        <v>3327</v>
      </c>
      <c r="CC494" s="2049"/>
      <c r="CD494" s="2049"/>
      <c r="CE494" s="2049"/>
      <c r="CF494" s="2049"/>
      <c r="CG494" s="2049"/>
      <c r="CH494" s="2049"/>
      <c r="CI494" s="2049"/>
      <c r="CJ494" s="2049"/>
      <c r="CK494" s="2049"/>
      <c r="CL494" s="2049"/>
      <c r="CM494" s="2049"/>
      <c r="CN494" s="2049"/>
      <c r="CO494" s="2049"/>
      <c r="CP494" s="2049"/>
      <c r="CQ494" s="2049"/>
      <c r="CR494" s="2049"/>
      <c r="CS494" s="2049"/>
      <c r="CT494" s="2049"/>
      <c r="CU494" s="2050"/>
      <c r="CV494" s="2360" t="str">
        <f t="shared" si="644"/>
        <v/>
      </c>
      <c r="CW494" s="2360"/>
      <c r="CX494" s="2360"/>
      <c r="CY494" s="2360"/>
      <c r="CZ494" s="2360"/>
      <c r="DA494" s="2360"/>
      <c r="DC494" s="600" t="str">
        <f t="shared" si="645"/>
        <v/>
      </c>
      <c r="DD494" s="381"/>
      <c r="DF494" s="34"/>
      <c r="DG494" s="34"/>
      <c r="DH494" s="34"/>
      <c r="DI494" s="34"/>
      <c r="DJ494" s="858" t="s">
        <v>5637</v>
      </c>
      <c r="DK494" s="1707" t="str">
        <f t="shared" ref="DK494:DK507" si="668">IF(DS494=2,DATE(VLOOKUP(DJ494,$DU$6:$DV$9,2,FALSE)+BS494,BV494,1),"")</f>
        <v/>
      </c>
      <c r="DL494" s="1692" t="str">
        <f t="shared" ref="DL494:DL507" si="669">IF(DS494=2,DJ494&amp;BS494&amp;"."&amp;BV494,"")</f>
        <v/>
      </c>
      <c r="DM494" s="1691">
        <f t="shared" si="646"/>
        <v>0</v>
      </c>
      <c r="DN494" s="111">
        <f>COUNTIFS(AF494,"○指摘なし")</f>
        <v>0</v>
      </c>
      <c r="DO494" s="111">
        <f>COUNTIFS(AF494,"×要是正（既存不適格以外）")</f>
        <v>0</v>
      </c>
      <c r="DP494" s="474">
        <f>COUNTIFS(AF494,"△既存不適格")</f>
        <v>0</v>
      </c>
      <c r="DQ494" s="123" t="s">
        <v>859</v>
      </c>
      <c r="DR494" s="473" t="str">
        <f>IF($U494="",R494,U494)</f>
        <v>常時閉鎖又は作動をした状態にあるもの以外の防火設備（以下「随閉防火設備」という。）における煙又は熱を感知し自動的に閉鎖又は動作の状況</v>
      </c>
      <c r="DS494" s="112">
        <f>COUNTA(BS494:BX494)</f>
        <v>0</v>
      </c>
      <c r="DT494" s="118" t="str">
        <f>IF(AF494="×要是正（既存不適格以外）","要是正","")&amp;IF(AF494="△既存不適格","既存不適格","")</f>
        <v/>
      </c>
      <c r="DU494" s="151" t="str">
        <f t="shared" si="647"/>
        <v/>
      </c>
      <c r="DV494" s="151" t="str">
        <f>IF($DT494="要是正",MAX($DV$489:DV493)+1,"")</f>
        <v/>
      </c>
      <c r="DW494" s="32" t="str">
        <f>IF(OR(AF494="×要是正（既存不適格以外）",AF494="△既存不適格"),DQ494,"")</f>
        <v/>
      </c>
      <c r="DX494" s="119" t="str">
        <f t="shared" si="648"/>
        <v/>
      </c>
      <c r="DY494" s="33" t="str">
        <f t="shared" ref="DY494:DY502" si="670">IF($DT494="要是正",IF(AT494="","",DQ494 &amp;" " &amp; AT494),"")</f>
        <v/>
      </c>
      <c r="DZ494" s="139" t="str">
        <f>IF($DT494="要是正",IF(BD494="","",BD494),"")</f>
        <v/>
      </c>
      <c r="EA494" s="396" t="str">
        <f t="shared" si="649"/>
        <v/>
      </c>
      <c r="EB494" s="234" t="str">
        <f t="shared" si="650"/>
        <v/>
      </c>
      <c r="EC494" s="227" t="str">
        <f t="shared" si="651"/>
        <v>0</v>
      </c>
      <c r="ED494" s="148" t="str">
        <f t="shared" ref="ED494:ED502" si="671">IF(DT494="要是正",IF(AND(BY494="予定",DS494=2),1,IF(BY494="改善済",2,"")),"")</f>
        <v/>
      </c>
      <c r="EE494" s="227" t="str">
        <f t="shared" ref="EE494:EE502" si="672">IF(ED494=1,EC494,"0")</f>
        <v>0</v>
      </c>
      <c r="EF494" s="130" t="str">
        <f t="shared" si="653"/>
        <v/>
      </c>
      <c r="EG494" s="204" t="str">
        <f t="shared" si="654"/>
        <v/>
      </c>
      <c r="EH494" s="134" t="str">
        <f t="shared" si="655"/>
        <v>0</v>
      </c>
      <c r="EI494" s="148" t="str">
        <f t="shared" ref="EI494:EI502" si="673">IF(DT494="既存不適格",IF(AND(BY494="予定",DS494=2),1,IF(BY494="改善済",2,"")),"")</f>
        <v/>
      </c>
      <c r="EJ494" s="227" t="str">
        <f t="shared" ref="EJ494:EJ502" si="674">IF(EI494=1,EH494,"0")</f>
        <v>0</v>
      </c>
      <c r="EK494" s="416" t="str">
        <f t="shared" si="657"/>
        <v/>
      </c>
      <c r="EL494" s="452" t="e">
        <f t="shared" si="658"/>
        <v>#N/A</v>
      </c>
      <c r="EM494" s="151" t="e">
        <f t="shared" si="659"/>
        <v>#N/A</v>
      </c>
      <c r="EN494" s="453" t="e">
        <f t="shared" si="660"/>
        <v>#N/A</v>
      </c>
      <c r="FK494" s="597" t="str">
        <f t="shared" si="661"/>
        <v/>
      </c>
      <c r="FL494" s="597" t="str">
        <f t="shared" si="530"/>
        <v/>
      </c>
      <c r="FM494" s="597" t="str">
        <f t="shared" si="531"/>
        <v/>
      </c>
      <c r="FN494" s="597">
        <f t="shared" si="662"/>
        <v>0</v>
      </c>
      <c r="FO494" s="1163" t="str">
        <f>IF($AF494="―対象外","○","")</f>
        <v/>
      </c>
      <c r="FQ494" s="234" t="str">
        <f t="shared" si="663"/>
        <v/>
      </c>
      <c r="FR494" s="227" t="str">
        <f t="shared" si="664"/>
        <v>0</v>
      </c>
      <c r="FS494" s="148" t="str">
        <f t="shared" si="665"/>
        <v/>
      </c>
      <c r="FT494" s="227" t="str">
        <f t="shared" si="666"/>
        <v>0</v>
      </c>
      <c r="FU494" s="416" t="str">
        <f t="shared" si="667"/>
        <v/>
      </c>
      <c r="FW494" s="1160">
        <f t="shared" si="529"/>
        <v>0</v>
      </c>
      <c r="FX494" s="123"/>
      <c r="FY494" s="123"/>
      <c r="FZ494" s="1161"/>
      <c r="GA494" s="34"/>
      <c r="GB494" s="1149">
        <f t="shared" si="498"/>
        <v>0</v>
      </c>
      <c r="GC494" s="1149">
        <f t="shared" si="499"/>
        <v>0</v>
      </c>
      <c r="GD494" s="1149">
        <f t="shared" si="500"/>
        <v>0</v>
      </c>
      <c r="GE494" s="1149" t="str">
        <f>IF(GE$306=$M494,$BY$512,"")</f>
        <v/>
      </c>
      <c r="GF494" s="1149" t="str">
        <f>IF(GF$306=$M494,$BY$513,"")</f>
        <v/>
      </c>
      <c r="GG494" s="1149" t="str">
        <f>IF(GG$306=$M494,$BY$514,"")</f>
        <v/>
      </c>
      <c r="GH494" s="1149" t="str">
        <f>IF(GH$306=$M494,$BY$515,"")</f>
        <v/>
      </c>
      <c r="GI494" s="1149" t="str">
        <f>IF(GI$306=$M494,$BY$516,"")</f>
        <v/>
      </c>
      <c r="GJ494" s="1149" t="str">
        <f>IF(GJ$306=$M494,$BY$517,"")</f>
        <v/>
      </c>
      <c r="GK494" s="1149" t="str">
        <f>IF(GK$306=$M494,$BY$518,"")</f>
        <v/>
      </c>
      <c r="GL494" s="1149" t="str">
        <f>IF(GL$306=$M494,$BY$519,"")</f>
        <v/>
      </c>
      <c r="GM494" s="1149" t="str">
        <f>IF(GM$306=$M494,$BY$520,"")</f>
        <v/>
      </c>
      <c r="GN494" s="1149" t="str">
        <f>IF(GN$306=$M494,$BY$521,"")</f>
        <v/>
      </c>
      <c r="GO494" s="1149" t="str">
        <f>IF(GO$306=$M494,$BY$522,"")</f>
        <v/>
      </c>
      <c r="GP494" s="1149" t="str">
        <f>IF(GP$306=$M494,$BY$523,"")</f>
        <v/>
      </c>
      <c r="GQ494" s="1149" t="str">
        <f>IF(GQ$306=$M494,$BY$524,"")</f>
        <v/>
      </c>
      <c r="GR494" s="1149" t="str">
        <f>IF(GR$306=$M494,$BY$525,"")</f>
        <v/>
      </c>
      <c r="GS494" s="1149" t="str">
        <f>IF(GS$306=$M494,$BY$526,"")</f>
        <v/>
      </c>
      <c r="GT494" s="1149">
        <f t="shared" si="501"/>
        <v>0</v>
      </c>
      <c r="GU494" s="1149">
        <f t="shared" si="502"/>
        <v>0</v>
      </c>
      <c r="GV494" s="1149">
        <f t="shared" si="503"/>
        <v>0</v>
      </c>
      <c r="GW494" s="1149" t="b">
        <f t="shared" si="504"/>
        <v>0</v>
      </c>
      <c r="GX494" s="1149" t="b">
        <f t="shared" si="505"/>
        <v>0</v>
      </c>
      <c r="GY494" s="1149" t="b">
        <f t="shared" si="506"/>
        <v>0</v>
      </c>
      <c r="GZ494" s="1149" t="str">
        <f t="shared" si="528"/>
        <v/>
      </c>
      <c r="HB494" s="1149" t="str">
        <f t="shared" si="507"/>
        <v/>
      </c>
      <c r="HC494" s="1149" t="str">
        <f t="shared" si="508"/>
        <v/>
      </c>
      <c r="HD494" s="1149" t="str">
        <f t="shared" si="509"/>
        <v/>
      </c>
      <c r="HE494" s="1149" t="str">
        <f t="shared" si="510"/>
        <v/>
      </c>
      <c r="HF494" s="1149" t="str">
        <f t="shared" si="511"/>
        <v/>
      </c>
      <c r="HG494" s="1149" t="str">
        <f t="shared" si="512"/>
        <v/>
      </c>
      <c r="HH494" s="1149" t="str">
        <f t="shared" si="513"/>
        <v/>
      </c>
      <c r="HI494" s="1149" t="str">
        <f t="shared" si="514"/>
        <v/>
      </c>
      <c r="HJ494" s="1149" t="str">
        <f t="shared" si="515"/>
        <v/>
      </c>
      <c r="HK494" s="1149" t="str">
        <f t="shared" si="516"/>
        <v/>
      </c>
      <c r="HL494" s="1149" t="str">
        <f t="shared" si="517"/>
        <v/>
      </c>
      <c r="HM494" s="1149" t="str">
        <f t="shared" si="518"/>
        <v/>
      </c>
      <c r="HN494" s="1149" t="str">
        <f t="shared" si="519"/>
        <v/>
      </c>
      <c r="HO494" s="1149" t="str">
        <f t="shared" si="520"/>
        <v/>
      </c>
      <c r="HP494" s="1149" t="str">
        <f t="shared" si="521"/>
        <v/>
      </c>
      <c r="HQ494" s="1149" t="str">
        <f t="shared" si="522"/>
        <v/>
      </c>
      <c r="HR494" s="1149" t="str">
        <f t="shared" si="523"/>
        <v/>
      </c>
      <c r="HT494" s="1149">
        <f>LEFT(M494,1)*10000+MID(M494,3,LEN(M494)-3)*100+COUNTIF($M$307:M494,M494)</f>
        <v>70201</v>
      </c>
      <c r="HU494" s="1149" t="str">
        <f t="shared" si="524"/>
        <v/>
      </c>
      <c r="HV494" s="1149" t="str">
        <f t="shared" si="525"/>
        <v/>
      </c>
      <c r="HW494" s="1149" t="str">
        <f t="shared" si="526"/>
        <v/>
      </c>
      <c r="HX494" s="1149" t="str">
        <f t="shared" si="527"/>
        <v/>
      </c>
    </row>
    <row r="495" spans="1:232" s="69" customFormat="1" ht="50.15" customHeight="1">
      <c r="A495" s="645"/>
      <c r="B495" s="645"/>
      <c r="C495" s="645"/>
      <c r="D495" s="645"/>
      <c r="E495" s="646"/>
      <c r="F495" s="381"/>
      <c r="G495" s="381"/>
      <c r="H495" s="381"/>
      <c r="J495" s="80"/>
      <c r="K495" s="89"/>
      <c r="L495" s="89"/>
      <c r="M495" s="2080" t="s">
        <v>1320</v>
      </c>
      <c r="N495" s="2080"/>
      <c r="O495" s="2080"/>
      <c r="P495" s="2545"/>
      <c r="Q495" s="2545"/>
      <c r="R495" s="2545"/>
      <c r="S495" s="2545"/>
      <c r="T495" s="2545"/>
      <c r="U495" s="1899" t="s">
        <v>2672</v>
      </c>
      <c r="V495" s="1899"/>
      <c r="W495" s="1899"/>
      <c r="X495" s="1899"/>
      <c r="Y495" s="1899"/>
      <c r="Z495" s="1899"/>
      <c r="AA495" s="1899"/>
      <c r="AB495" s="1899"/>
      <c r="AC495" s="1899"/>
      <c r="AD495" s="1899"/>
      <c r="AE495" s="1899"/>
      <c r="AF495" s="1898"/>
      <c r="AG495" s="1898"/>
      <c r="AH495" s="1898"/>
      <c r="AI495" s="1898"/>
      <c r="AJ495" s="1898"/>
      <c r="AK495" s="1898"/>
      <c r="AL495" s="1898"/>
      <c r="AM495" s="1898"/>
      <c r="AN495" s="1898"/>
      <c r="AO495" s="1898"/>
      <c r="AP495" s="1898"/>
      <c r="AQ495" s="1898"/>
      <c r="AR495" s="2130"/>
      <c r="AS495" s="1910"/>
      <c r="AT495" s="1993"/>
      <c r="AU495" s="1993"/>
      <c r="AV495" s="1993"/>
      <c r="AW495" s="1993"/>
      <c r="AX495" s="1993"/>
      <c r="AY495" s="1993"/>
      <c r="AZ495" s="1993"/>
      <c r="BA495" s="1993"/>
      <c r="BB495" s="1993"/>
      <c r="BC495" s="1993"/>
      <c r="BD495" s="1993"/>
      <c r="BE495" s="1993"/>
      <c r="BF495" s="1993"/>
      <c r="BG495" s="1993"/>
      <c r="BH495" s="1993"/>
      <c r="BI495" s="1993"/>
      <c r="BJ495" s="1993"/>
      <c r="BK495" s="1993"/>
      <c r="BL495" s="1993"/>
      <c r="BM495" s="1993"/>
      <c r="BN495" s="1993"/>
      <c r="BO495" s="1993"/>
      <c r="BP495" s="1993"/>
      <c r="BQ495" s="1993"/>
      <c r="BR495" s="1993"/>
      <c r="BS495" s="1895"/>
      <c r="BT495" s="1895"/>
      <c r="BU495" s="1895"/>
      <c r="BV495" s="1889"/>
      <c r="BW495" s="1889"/>
      <c r="BX495" s="1889"/>
      <c r="BY495" s="1889"/>
      <c r="BZ495" s="1896"/>
      <c r="CA495" s="1896"/>
      <c r="CB495" s="2051" t="str">
        <f>IF(AB275="無","２０設備（法第12条第三項関係など）に 随閉防火設備なし と記載あり",IF(AB277="対象","２０設備（法第12条第三項関係など）に 防火設備の定期報告対象 と記載あり",""))</f>
        <v/>
      </c>
      <c r="CC495" s="2052"/>
      <c r="CD495" s="2052"/>
      <c r="CE495" s="2052"/>
      <c r="CF495" s="2052"/>
      <c r="CG495" s="2052"/>
      <c r="CH495" s="2052"/>
      <c r="CI495" s="2052"/>
      <c r="CJ495" s="2052"/>
      <c r="CK495" s="2052"/>
      <c r="CL495" s="2052"/>
      <c r="CM495" s="2052"/>
      <c r="CN495" s="2052"/>
      <c r="CO495" s="2052"/>
      <c r="CP495" s="2052"/>
      <c r="CQ495" s="2052"/>
      <c r="CR495" s="2052"/>
      <c r="CS495" s="2052"/>
      <c r="CT495" s="2052"/>
      <c r="CU495" s="2053"/>
      <c r="CV495" s="2360" t="str">
        <f t="shared" si="644"/>
        <v/>
      </c>
      <c r="CW495" s="2360"/>
      <c r="CX495" s="2360"/>
      <c r="CY495" s="2360"/>
      <c r="CZ495" s="2360"/>
      <c r="DA495" s="2360"/>
      <c r="DC495" s="600" t="str">
        <f t="shared" si="645"/>
        <v/>
      </c>
      <c r="DD495" s="381"/>
      <c r="DF495" s="34"/>
      <c r="DG495" s="34"/>
      <c r="DH495" s="34"/>
      <c r="DI495" s="34"/>
      <c r="DJ495" s="858" t="s">
        <v>5637</v>
      </c>
      <c r="DK495" s="1707" t="str">
        <f t="shared" si="668"/>
        <v/>
      </c>
      <c r="DL495" s="1692" t="str">
        <f t="shared" si="669"/>
        <v/>
      </c>
      <c r="DM495" s="1691">
        <f t="shared" si="646"/>
        <v>0</v>
      </c>
      <c r="DN495" s="111">
        <f>COUNTIFS(AF495,"○指摘なし")</f>
        <v>0</v>
      </c>
      <c r="DO495" s="111">
        <f>COUNTIFS(AF495,"×要是正（既存不適格以外）")</f>
        <v>0</v>
      </c>
      <c r="DP495" s="474">
        <f>COUNTIFS(AF495,"△既存不適格")</f>
        <v>0</v>
      </c>
      <c r="DQ495" s="123" t="s">
        <v>860</v>
      </c>
      <c r="DR495" s="473" t="str">
        <f>IF($U495="",R495,U495)</f>
        <v>随閉防火設備の本体と枠の劣化及び損傷の状況</v>
      </c>
      <c r="DS495" s="112">
        <f>COUNTA(BS495:BX495)</f>
        <v>0</v>
      </c>
      <c r="DT495" s="118" t="str">
        <f>IF(AF495="×要是正（既存不適格以外）","要是正","")&amp;IF(AF495="△既存不適格","既存不適格","")</f>
        <v/>
      </c>
      <c r="DU495" s="151" t="str">
        <f t="shared" si="647"/>
        <v/>
      </c>
      <c r="DV495" s="151" t="str">
        <f>IF($DT495="要是正",MAX($DV$489:DV494)+1,"")</f>
        <v/>
      </c>
      <c r="DW495" s="32" t="str">
        <f>IF(OR(AF495="×要是正（既存不適格以外）",AF495="△既存不適格"),DQ495,"")</f>
        <v/>
      </c>
      <c r="DX495" s="119" t="str">
        <f t="shared" si="648"/>
        <v/>
      </c>
      <c r="DY495" s="33" t="str">
        <f t="shared" si="670"/>
        <v/>
      </c>
      <c r="DZ495" s="139" t="str">
        <f>IF($DT495="要是正",IF(BD495="","",BD495),"")</f>
        <v/>
      </c>
      <c r="EA495" s="396" t="str">
        <f t="shared" si="649"/>
        <v/>
      </c>
      <c r="EB495" s="234" t="str">
        <f t="shared" si="650"/>
        <v/>
      </c>
      <c r="EC495" s="227" t="str">
        <f t="shared" si="651"/>
        <v>0</v>
      </c>
      <c r="ED495" s="148" t="str">
        <f t="shared" si="671"/>
        <v/>
      </c>
      <c r="EE495" s="227" t="str">
        <f t="shared" si="672"/>
        <v>0</v>
      </c>
      <c r="EF495" s="130" t="str">
        <f t="shared" si="653"/>
        <v/>
      </c>
      <c r="EG495" s="204" t="str">
        <f t="shared" si="654"/>
        <v/>
      </c>
      <c r="EH495" s="134" t="str">
        <f t="shared" si="655"/>
        <v>0</v>
      </c>
      <c r="EI495" s="148" t="str">
        <f t="shared" si="673"/>
        <v/>
      </c>
      <c r="EJ495" s="227" t="str">
        <f t="shared" si="674"/>
        <v>0</v>
      </c>
      <c r="EK495" s="416" t="str">
        <f t="shared" si="657"/>
        <v/>
      </c>
      <c r="EL495" s="452" t="e">
        <f t="shared" si="658"/>
        <v>#N/A</v>
      </c>
      <c r="EM495" s="151" t="e">
        <f t="shared" si="659"/>
        <v>#N/A</v>
      </c>
      <c r="EN495" s="453" t="e">
        <f t="shared" si="660"/>
        <v>#N/A</v>
      </c>
      <c r="FK495" s="597" t="str">
        <f t="shared" si="661"/>
        <v/>
      </c>
      <c r="FL495" s="597" t="str">
        <f t="shared" si="530"/>
        <v/>
      </c>
      <c r="FM495" s="597" t="str">
        <f t="shared" si="531"/>
        <v/>
      </c>
      <c r="FN495" s="597">
        <f t="shared" si="662"/>
        <v>0</v>
      </c>
      <c r="FO495" s="1163" t="str">
        <f>IF($AF495="―対象外","○","")</f>
        <v/>
      </c>
      <c r="FQ495" s="234" t="str">
        <f t="shared" si="663"/>
        <v/>
      </c>
      <c r="FR495" s="227" t="str">
        <f t="shared" si="664"/>
        <v>0</v>
      </c>
      <c r="FS495" s="148" t="str">
        <f t="shared" si="665"/>
        <v/>
      </c>
      <c r="FT495" s="227" t="str">
        <f t="shared" si="666"/>
        <v>0</v>
      </c>
      <c r="FU495" s="416" t="str">
        <f t="shared" si="667"/>
        <v/>
      </c>
      <c r="FW495" s="1160">
        <f t="shared" si="529"/>
        <v>0</v>
      </c>
      <c r="FX495" s="123"/>
      <c r="FY495" s="123"/>
      <c r="FZ495" s="1161"/>
      <c r="GA495" s="34"/>
      <c r="GB495" s="1149">
        <f t="shared" si="498"/>
        <v>0</v>
      </c>
      <c r="GC495" s="1149">
        <f t="shared" si="499"/>
        <v>0</v>
      </c>
      <c r="GD495" s="1149">
        <f t="shared" si="500"/>
        <v>0</v>
      </c>
      <c r="GE495" s="1149" t="str">
        <f>IF(GE$306=$M495,$BY$512,"")</f>
        <v/>
      </c>
      <c r="GF495" s="1149" t="str">
        <f>IF(GF$306=$M495,$BY$513,"")</f>
        <v/>
      </c>
      <c r="GG495" s="1149" t="str">
        <f>IF(GG$306=$M495,$BY$514,"")</f>
        <v/>
      </c>
      <c r="GH495" s="1149" t="str">
        <f>IF(GH$306=$M495,$BY$515,"")</f>
        <v/>
      </c>
      <c r="GI495" s="1149" t="str">
        <f>IF(GI$306=$M495,$BY$516,"")</f>
        <v/>
      </c>
      <c r="GJ495" s="1149" t="str">
        <f>IF(GJ$306=$M495,$BY$517,"")</f>
        <v/>
      </c>
      <c r="GK495" s="1149" t="str">
        <f>IF(GK$306=$M495,$BY$518,"")</f>
        <v/>
      </c>
      <c r="GL495" s="1149" t="str">
        <f>IF(GL$306=$M495,$BY$519,"")</f>
        <v/>
      </c>
      <c r="GM495" s="1149" t="str">
        <f>IF(GM$306=$M495,$BY$520,"")</f>
        <v/>
      </c>
      <c r="GN495" s="1149" t="str">
        <f>IF(GN$306=$M495,$BY$521,"")</f>
        <v/>
      </c>
      <c r="GO495" s="1149" t="str">
        <f>IF(GO$306=$M495,$BY$522,"")</f>
        <v/>
      </c>
      <c r="GP495" s="1149" t="str">
        <f>IF(GP$306=$M495,$BY$523,"")</f>
        <v/>
      </c>
      <c r="GQ495" s="1149" t="str">
        <f>IF(GQ$306=$M495,$BY$524,"")</f>
        <v/>
      </c>
      <c r="GR495" s="1149" t="str">
        <f>IF(GR$306=$M495,$BY$525,"")</f>
        <v/>
      </c>
      <c r="GS495" s="1149" t="str">
        <f>IF(GS$306=$M495,$BY$526,"")</f>
        <v/>
      </c>
      <c r="GT495" s="1149">
        <f t="shared" si="501"/>
        <v>0</v>
      </c>
      <c r="GU495" s="1149">
        <f t="shared" si="502"/>
        <v>0</v>
      </c>
      <c r="GV495" s="1149">
        <f t="shared" si="503"/>
        <v>0</v>
      </c>
      <c r="GW495" s="1149" t="b">
        <f t="shared" si="504"/>
        <v>0</v>
      </c>
      <c r="GX495" s="1149" t="b">
        <f t="shared" si="505"/>
        <v>0</v>
      </c>
      <c r="GY495" s="1149" t="b">
        <f t="shared" si="506"/>
        <v>0</v>
      </c>
      <c r="GZ495" s="1149" t="str">
        <f t="shared" si="528"/>
        <v/>
      </c>
      <c r="HB495" s="1149" t="str">
        <f t="shared" si="507"/>
        <v/>
      </c>
      <c r="HC495" s="1149" t="str">
        <f t="shared" si="508"/>
        <v/>
      </c>
      <c r="HD495" s="1149" t="str">
        <f t="shared" si="509"/>
        <v/>
      </c>
      <c r="HE495" s="1149" t="str">
        <f t="shared" si="510"/>
        <v/>
      </c>
      <c r="HF495" s="1149" t="str">
        <f t="shared" si="511"/>
        <v/>
      </c>
      <c r="HG495" s="1149" t="str">
        <f t="shared" si="512"/>
        <v/>
      </c>
      <c r="HH495" s="1149" t="str">
        <f t="shared" si="513"/>
        <v/>
      </c>
      <c r="HI495" s="1149" t="str">
        <f t="shared" si="514"/>
        <v/>
      </c>
      <c r="HJ495" s="1149" t="str">
        <f t="shared" si="515"/>
        <v/>
      </c>
      <c r="HK495" s="1149" t="str">
        <f t="shared" si="516"/>
        <v/>
      </c>
      <c r="HL495" s="1149" t="str">
        <f t="shared" si="517"/>
        <v/>
      </c>
      <c r="HM495" s="1149" t="str">
        <f t="shared" si="518"/>
        <v/>
      </c>
      <c r="HN495" s="1149" t="str">
        <f t="shared" si="519"/>
        <v/>
      </c>
      <c r="HO495" s="1149" t="str">
        <f t="shared" si="520"/>
        <v/>
      </c>
      <c r="HP495" s="1149" t="str">
        <f t="shared" si="521"/>
        <v/>
      </c>
      <c r="HQ495" s="1149" t="str">
        <f t="shared" si="522"/>
        <v/>
      </c>
      <c r="HR495" s="1149" t="str">
        <f t="shared" si="523"/>
        <v/>
      </c>
      <c r="HT495" s="1149">
        <f>LEFT(M495,1)*10000+MID(M495,3,LEN(M495)-3)*100+COUNTIF($M$307:M495,M495)</f>
        <v>70301</v>
      </c>
      <c r="HU495" s="1149" t="str">
        <f t="shared" si="524"/>
        <v/>
      </c>
      <c r="HV495" s="1149" t="str">
        <f t="shared" si="525"/>
        <v/>
      </c>
      <c r="HW495" s="1149" t="str">
        <f t="shared" si="526"/>
        <v/>
      </c>
      <c r="HX495" s="1149" t="str">
        <f t="shared" si="527"/>
        <v/>
      </c>
    </row>
    <row r="496" spans="1:232" s="69" customFormat="1" ht="50.15" customHeight="1">
      <c r="A496" s="645"/>
      <c r="B496" s="645"/>
      <c r="C496" s="645"/>
      <c r="D496" s="645"/>
      <c r="E496" s="646"/>
      <c r="F496" s="381"/>
      <c r="G496" s="381"/>
      <c r="H496" s="381"/>
      <c r="J496" s="80"/>
      <c r="K496" s="89"/>
      <c r="L496" s="89"/>
      <c r="M496" s="2080" t="s">
        <v>1321</v>
      </c>
      <c r="N496" s="2080"/>
      <c r="O496" s="2080"/>
      <c r="P496" s="2545"/>
      <c r="Q496" s="2545"/>
      <c r="R496" s="2545"/>
      <c r="S496" s="2545"/>
      <c r="T496" s="2545"/>
      <c r="U496" s="1899" t="s">
        <v>2673</v>
      </c>
      <c r="V496" s="1899"/>
      <c r="W496" s="1899"/>
      <c r="X496" s="1899"/>
      <c r="Y496" s="1899"/>
      <c r="Z496" s="1899"/>
      <c r="AA496" s="1899"/>
      <c r="AB496" s="1899"/>
      <c r="AC496" s="1899"/>
      <c r="AD496" s="1899"/>
      <c r="AE496" s="1899"/>
      <c r="AF496" s="1898"/>
      <c r="AG496" s="1898"/>
      <c r="AH496" s="1898"/>
      <c r="AI496" s="1898"/>
      <c r="AJ496" s="1898"/>
      <c r="AK496" s="1898"/>
      <c r="AL496" s="1898"/>
      <c r="AM496" s="1898"/>
      <c r="AN496" s="1898"/>
      <c r="AO496" s="1898"/>
      <c r="AP496" s="1898"/>
      <c r="AQ496" s="1898"/>
      <c r="AR496" s="2130"/>
      <c r="AS496" s="1910"/>
      <c r="AT496" s="1993"/>
      <c r="AU496" s="1993"/>
      <c r="AV496" s="1993"/>
      <c r="AW496" s="1993"/>
      <c r="AX496" s="1993"/>
      <c r="AY496" s="1993"/>
      <c r="AZ496" s="1993"/>
      <c r="BA496" s="1993"/>
      <c r="BB496" s="1993"/>
      <c r="BC496" s="1993"/>
      <c r="BD496" s="1993"/>
      <c r="BE496" s="1993"/>
      <c r="BF496" s="1993"/>
      <c r="BG496" s="1993"/>
      <c r="BH496" s="1993"/>
      <c r="BI496" s="1993"/>
      <c r="BJ496" s="1993"/>
      <c r="BK496" s="1993"/>
      <c r="BL496" s="1993"/>
      <c r="BM496" s="1993"/>
      <c r="BN496" s="1993"/>
      <c r="BO496" s="1993"/>
      <c r="BP496" s="1993"/>
      <c r="BQ496" s="1993"/>
      <c r="BR496" s="1993"/>
      <c r="BS496" s="1895"/>
      <c r="BT496" s="1895"/>
      <c r="BU496" s="1895"/>
      <c r="BV496" s="1889"/>
      <c r="BW496" s="1889"/>
      <c r="BX496" s="1889"/>
      <c r="BY496" s="1889"/>
      <c r="BZ496" s="1896"/>
      <c r="CA496" s="1896"/>
      <c r="CB496" s="2131" t="str">
        <f>IF(AB275="無","→7(1)～(5)は「―対象外」を選択してください。",IF(AB277="対象","→7(1)～(5)は「―対象外」を選択してください（防火設備の定期検査報告で報告してください）。",""))</f>
        <v/>
      </c>
      <c r="CC496" s="2132"/>
      <c r="CD496" s="2132"/>
      <c r="CE496" s="2132"/>
      <c r="CF496" s="2132"/>
      <c r="CG496" s="2132"/>
      <c r="CH496" s="2132"/>
      <c r="CI496" s="2132"/>
      <c r="CJ496" s="2132"/>
      <c r="CK496" s="2132"/>
      <c r="CL496" s="2132"/>
      <c r="CM496" s="2132"/>
      <c r="CN496" s="2132"/>
      <c r="CO496" s="2132"/>
      <c r="CP496" s="2132"/>
      <c r="CQ496" s="2132"/>
      <c r="CR496" s="2132"/>
      <c r="CS496" s="2132"/>
      <c r="CT496" s="2132"/>
      <c r="CU496" s="2133"/>
      <c r="CV496" s="2360" t="str">
        <f t="shared" si="644"/>
        <v/>
      </c>
      <c r="CW496" s="2360"/>
      <c r="CX496" s="2360"/>
      <c r="CY496" s="2360"/>
      <c r="CZ496" s="2360"/>
      <c r="DA496" s="2360"/>
      <c r="DC496" s="600" t="str">
        <f t="shared" si="645"/>
        <v/>
      </c>
      <c r="DD496" s="381"/>
      <c r="DF496" s="34"/>
      <c r="DG496" s="34"/>
      <c r="DH496" s="34"/>
      <c r="DI496" s="34"/>
      <c r="DJ496" s="858" t="s">
        <v>5637</v>
      </c>
      <c r="DK496" s="1707" t="str">
        <f t="shared" si="668"/>
        <v/>
      </c>
      <c r="DL496" s="1692" t="str">
        <f t="shared" si="669"/>
        <v/>
      </c>
      <c r="DM496" s="1691">
        <f t="shared" si="646"/>
        <v>0</v>
      </c>
      <c r="DN496" s="111">
        <f>COUNTIFS(AF496,"○指摘なし")</f>
        <v>0</v>
      </c>
      <c r="DO496" s="111">
        <f>COUNTIFS(AF496,"×要是正（既存不適格以外）")</f>
        <v>0</v>
      </c>
      <c r="DP496" s="474">
        <f>COUNTIFS(AF496,"△既存不適格")</f>
        <v>0</v>
      </c>
      <c r="DQ496" s="123" t="s">
        <v>861</v>
      </c>
      <c r="DR496" s="473" t="str">
        <f>IF($U496="",R496,U496)</f>
        <v>随閉防火設備の閉鎖又は作動の状況</v>
      </c>
      <c r="DS496" s="112">
        <f>COUNTA(BS496:BX496)</f>
        <v>0</v>
      </c>
      <c r="DT496" s="118" t="str">
        <f>IF(AF496="×要是正（既存不適格以外）","要是正","")&amp;IF(AF496="△既存不適格","既存不適格","")</f>
        <v/>
      </c>
      <c r="DU496" s="151" t="str">
        <f t="shared" si="647"/>
        <v/>
      </c>
      <c r="DV496" s="151" t="str">
        <f>IF($DT496="要是正",MAX($DV$489:DV495)+1,"")</f>
        <v/>
      </c>
      <c r="DW496" s="32" t="str">
        <f>IF(OR(AF496="×要是正（既存不適格以外）",AF496="△既存不適格"),DQ496,"")</f>
        <v/>
      </c>
      <c r="DX496" s="119" t="str">
        <f t="shared" si="648"/>
        <v/>
      </c>
      <c r="DY496" s="33" t="str">
        <f t="shared" si="670"/>
        <v/>
      </c>
      <c r="DZ496" s="139" t="str">
        <f>IF($DT496="要是正",IF(BD496="","",BD496),"")</f>
        <v/>
      </c>
      <c r="EA496" s="396" t="str">
        <f t="shared" si="649"/>
        <v/>
      </c>
      <c r="EB496" s="234" t="str">
        <f t="shared" si="650"/>
        <v/>
      </c>
      <c r="EC496" s="227" t="str">
        <f t="shared" si="651"/>
        <v>0</v>
      </c>
      <c r="ED496" s="148" t="str">
        <f t="shared" si="671"/>
        <v/>
      </c>
      <c r="EE496" s="227" t="str">
        <f t="shared" si="672"/>
        <v>0</v>
      </c>
      <c r="EF496" s="130" t="str">
        <f t="shared" si="653"/>
        <v/>
      </c>
      <c r="EG496" s="204" t="str">
        <f t="shared" si="654"/>
        <v/>
      </c>
      <c r="EH496" s="134" t="str">
        <f t="shared" si="655"/>
        <v>0</v>
      </c>
      <c r="EI496" s="148" t="str">
        <f t="shared" si="673"/>
        <v/>
      </c>
      <c r="EJ496" s="227" t="str">
        <f t="shared" si="674"/>
        <v>0</v>
      </c>
      <c r="EK496" s="416" t="str">
        <f t="shared" si="657"/>
        <v/>
      </c>
      <c r="EL496" s="452" t="e">
        <f t="shared" si="658"/>
        <v>#N/A</v>
      </c>
      <c r="EM496" s="151" t="e">
        <f t="shared" si="659"/>
        <v>#N/A</v>
      </c>
      <c r="EN496" s="453" t="e">
        <f t="shared" si="660"/>
        <v>#N/A</v>
      </c>
      <c r="FK496" s="597" t="str">
        <f t="shared" si="661"/>
        <v/>
      </c>
      <c r="FL496" s="597" t="str">
        <f t="shared" si="530"/>
        <v/>
      </c>
      <c r="FM496" s="597" t="str">
        <f t="shared" si="531"/>
        <v/>
      </c>
      <c r="FN496" s="597">
        <f t="shared" si="662"/>
        <v>0</v>
      </c>
      <c r="FO496" s="1163" t="str">
        <f>IF($AF496="―対象外","○","")</f>
        <v/>
      </c>
      <c r="FQ496" s="234" t="str">
        <f t="shared" si="663"/>
        <v/>
      </c>
      <c r="FR496" s="227" t="str">
        <f t="shared" si="664"/>
        <v>0</v>
      </c>
      <c r="FS496" s="148" t="str">
        <f t="shared" si="665"/>
        <v/>
      </c>
      <c r="FT496" s="227" t="str">
        <f t="shared" si="666"/>
        <v>0</v>
      </c>
      <c r="FU496" s="416" t="str">
        <f t="shared" si="667"/>
        <v/>
      </c>
      <c r="FW496" s="1160">
        <f t="shared" si="529"/>
        <v>0</v>
      </c>
      <c r="FX496" s="123"/>
      <c r="FY496" s="123"/>
      <c r="FZ496" s="1161"/>
      <c r="GA496" s="34"/>
      <c r="GB496" s="1149">
        <f t="shared" si="498"/>
        <v>0</v>
      </c>
      <c r="GC496" s="1149">
        <f t="shared" si="499"/>
        <v>0</v>
      </c>
      <c r="GD496" s="1149">
        <f t="shared" si="500"/>
        <v>0</v>
      </c>
      <c r="GE496" s="1149" t="str">
        <f>IF(GE$306=$M496,$BY$512,"")</f>
        <v/>
      </c>
      <c r="GF496" s="1149" t="str">
        <f>IF(GF$306=$M496,$BY$513,"")</f>
        <v/>
      </c>
      <c r="GG496" s="1149" t="str">
        <f>IF(GG$306=$M496,$BY$514,"")</f>
        <v/>
      </c>
      <c r="GH496" s="1149" t="str">
        <f>IF(GH$306=$M496,$BY$515,"")</f>
        <v/>
      </c>
      <c r="GI496" s="1149" t="str">
        <f>IF(GI$306=$M496,$BY$516,"")</f>
        <v/>
      </c>
      <c r="GJ496" s="1149" t="str">
        <f>IF(GJ$306=$M496,$BY$517,"")</f>
        <v/>
      </c>
      <c r="GK496" s="1149" t="str">
        <f>IF(GK$306=$M496,$BY$518,"")</f>
        <v/>
      </c>
      <c r="GL496" s="1149" t="str">
        <f>IF(GL$306=$M496,$BY$519,"")</f>
        <v/>
      </c>
      <c r="GM496" s="1149" t="str">
        <f>IF(GM$306=$M496,$BY$520,"")</f>
        <v/>
      </c>
      <c r="GN496" s="1149" t="str">
        <f>IF(GN$306=$M496,$BY$521,"")</f>
        <v/>
      </c>
      <c r="GO496" s="1149" t="str">
        <f>IF(GO$306=$M496,$BY$522,"")</f>
        <v/>
      </c>
      <c r="GP496" s="1149" t="str">
        <f>IF(GP$306=$M496,$BY$523,"")</f>
        <v/>
      </c>
      <c r="GQ496" s="1149" t="str">
        <f>IF(GQ$306=$M496,$BY$524,"")</f>
        <v/>
      </c>
      <c r="GR496" s="1149" t="str">
        <f>IF(GR$306=$M496,$BY$525,"")</f>
        <v/>
      </c>
      <c r="GS496" s="1149" t="str">
        <f>IF(GS$306=$M496,$BY$526,"")</f>
        <v/>
      </c>
      <c r="GT496" s="1149">
        <f t="shared" si="501"/>
        <v>0</v>
      </c>
      <c r="GU496" s="1149">
        <f t="shared" si="502"/>
        <v>0</v>
      </c>
      <c r="GV496" s="1149">
        <f t="shared" si="503"/>
        <v>0</v>
      </c>
      <c r="GW496" s="1149" t="b">
        <f t="shared" si="504"/>
        <v>0</v>
      </c>
      <c r="GX496" s="1149" t="b">
        <f t="shared" si="505"/>
        <v>0</v>
      </c>
      <c r="GY496" s="1149" t="b">
        <f t="shared" si="506"/>
        <v>0</v>
      </c>
      <c r="GZ496" s="1149" t="str">
        <f t="shared" si="528"/>
        <v/>
      </c>
      <c r="HB496" s="1149" t="str">
        <f t="shared" si="507"/>
        <v/>
      </c>
      <c r="HC496" s="1149" t="str">
        <f t="shared" si="508"/>
        <v/>
      </c>
      <c r="HD496" s="1149" t="str">
        <f t="shared" si="509"/>
        <v/>
      </c>
      <c r="HE496" s="1149" t="str">
        <f t="shared" si="510"/>
        <v/>
      </c>
      <c r="HF496" s="1149" t="str">
        <f t="shared" si="511"/>
        <v/>
      </c>
      <c r="HG496" s="1149" t="str">
        <f t="shared" si="512"/>
        <v/>
      </c>
      <c r="HH496" s="1149" t="str">
        <f t="shared" si="513"/>
        <v/>
      </c>
      <c r="HI496" s="1149" t="str">
        <f t="shared" si="514"/>
        <v/>
      </c>
      <c r="HJ496" s="1149" t="str">
        <f t="shared" si="515"/>
        <v/>
      </c>
      <c r="HK496" s="1149" t="str">
        <f t="shared" si="516"/>
        <v/>
      </c>
      <c r="HL496" s="1149" t="str">
        <f t="shared" si="517"/>
        <v/>
      </c>
      <c r="HM496" s="1149" t="str">
        <f t="shared" si="518"/>
        <v/>
      </c>
      <c r="HN496" s="1149" t="str">
        <f t="shared" si="519"/>
        <v/>
      </c>
      <c r="HO496" s="1149" t="str">
        <f t="shared" si="520"/>
        <v/>
      </c>
      <c r="HP496" s="1149" t="str">
        <f t="shared" si="521"/>
        <v/>
      </c>
      <c r="HQ496" s="1149" t="str">
        <f t="shared" si="522"/>
        <v/>
      </c>
      <c r="HR496" s="1149" t="str">
        <f t="shared" si="523"/>
        <v/>
      </c>
      <c r="HT496" s="1149">
        <f>LEFT(M496,1)*10000+MID(M496,3,LEN(M496)-3)*100+COUNTIF($M$307:M496,M496)</f>
        <v>70401</v>
      </c>
      <c r="HU496" s="1149" t="str">
        <f t="shared" si="524"/>
        <v/>
      </c>
      <c r="HV496" s="1149" t="str">
        <f t="shared" si="525"/>
        <v/>
      </c>
      <c r="HW496" s="1149" t="str">
        <f t="shared" si="526"/>
        <v/>
      </c>
      <c r="HX496" s="1149" t="str">
        <f t="shared" si="527"/>
        <v/>
      </c>
    </row>
    <row r="497" spans="1:232" s="69" customFormat="1" ht="50.15" customHeight="1" thickBot="1">
      <c r="A497" s="645"/>
      <c r="B497" s="645"/>
      <c r="C497" s="645"/>
      <c r="D497" s="645"/>
      <c r="E497" s="646"/>
      <c r="F497" s="381"/>
      <c r="G497" s="381"/>
      <c r="H497" s="381"/>
      <c r="J497" s="80"/>
      <c r="K497" s="89"/>
      <c r="L497" s="89"/>
      <c r="M497" s="1963" t="s">
        <v>1322</v>
      </c>
      <c r="N497" s="1963"/>
      <c r="O497" s="1963"/>
      <c r="P497" s="2545"/>
      <c r="Q497" s="2545"/>
      <c r="R497" s="2545"/>
      <c r="S497" s="2545"/>
      <c r="T497" s="2545"/>
      <c r="U497" s="1956" t="s">
        <v>2674</v>
      </c>
      <c r="V497" s="1956"/>
      <c r="W497" s="1956"/>
      <c r="X497" s="1956"/>
      <c r="Y497" s="1956"/>
      <c r="Z497" s="1956"/>
      <c r="AA497" s="1956"/>
      <c r="AB497" s="1956"/>
      <c r="AC497" s="1956"/>
      <c r="AD497" s="1956"/>
      <c r="AE497" s="1956"/>
      <c r="AF497" s="2025"/>
      <c r="AG497" s="2025"/>
      <c r="AH497" s="2025"/>
      <c r="AI497" s="2025"/>
      <c r="AJ497" s="2025"/>
      <c r="AK497" s="2025"/>
      <c r="AL497" s="2025"/>
      <c r="AM497" s="2025"/>
      <c r="AN497" s="2025"/>
      <c r="AO497" s="2025"/>
      <c r="AP497" s="2025"/>
      <c r="AQ497" s="2025"/>
      <c r="AR497" s="2119"/>
      <c r="AS497" s="2026"/>
      <c r="AT497" s="1997"/>
      <c r="AU497" s="1997"/>
      <c r="AV497" s="1997"/>
      <c r="AW497" s="1997"/>
      <c r="AX497" s="1997"/>
      <c r="AY497" s="1997"/>
      <c r="AZ497" s="1997"/>
      <c r="BA497" s="1997"/>
      <c r="BB497" s="1997"/>
      <c r="BC497" s="1997"/>
      <c r="BD497" s="1997"/>
      <c r="BE497" s="1997"/>
      <c r="BF497" s="1997"/>
      <c r="BG497" s="1997"/>
      <c r="BH497" s="1997"/>
      <c r="BI497" s="1997"/>
      <c r="BJ497" s="1997"/>
      <c r="BK497" s="1997"/>
      <c r="BL497" s="1997"/>
      <c r="BM497" s="1997"/>
      <c r="BN497" s="1997"/>
      <c r="BO497" s="1997"/>
      <c r="BP497" s="1997"/>
      <c r="BQ497" s="1997"/>
      <c r="BR497" s="1997"/>
      <c r="BS497" s="1991"/>
      <c r="BT497" s="1991"/>
      <c r="BU497" s="1991"/>
      <c r="BV497" s="1982"/>
      <c r="BW497" s="1982"/>
      <c r="BX497" s="1982"/>
      <c r="BY497" s="1982"/>
      <c r="BZ497" s="1992"/>
      <c r="CA497" s="1992"/>
      <c r="CB497" s="2115"/>
      <c r="CC497" s="2116"/>
      <c r="CD497" s="2116"/>
      <c r="CE497" s="2116"/>
      <c r="CF497" s="2116"/>
      <c r="CG497" s="2116"/>
      <c r="CH497" s="2116"/>
      <c r="CI497" s="2116"/>
      <c r="CJ497" s="2116"/>
      <c r="CK497" s="2116"/>
      <c r="CL497" s="2116"/>
      <c r="CM497" s="2116"/>
      <c r="CN497" s="2116"/>
      <c r="CO497" s="2116"/>
      <c r="CP497" s="2116"/>
      <c r="CQ497" s="2116"/>
      <c r="CR497" s="2116"/>
      <c r="CS497" s="2116"/>
      <c r="CT497" s="2116"/>
      <c r="CU497" s="2117"/>
      <c r="CV497" s="2360" t="str">
        <f t="shared" si="644"/>
        <v/>
      </c>
      <c r="CW497" s="2360"/>
      <c r="CX497" s="2360"/>
      <c r="CY497" s="2360"/>
      <c r="CZ497" s="2360"/>
      <c r="DA497" s="2360"/>
      <c r="DC497" s="600" t="str">
        <f t="shared" si="645"/>
        <v/>
      </c>
      <c r="DD497" s="381"/>
      <c r="DF497" s="34"/>
      <c r="DG497" s="34"/>
      <c r="DH497" s="34"/>
      <c r="DI497" s="34"/>
      <c r="DJ497" s="858" t="s">
        <v>5637</v>
      </c>
      <c r="DK497" s="1707" t="str">
        <f t="shared" si="668"/>
        <v/>
      </c>
      <c r="DL497" s="1692" t="str">
        <f t="shared" si="669"/>
        <v/>
      </c>
      <c r="DM497" s="1691">
        <f t="shared" si="646"/>
        <v>0</v>
      </c>
      <c r="DN497" s="111">
        <f>COUNTIFS(AF497,"○指摘なし")</f>
        <v>0</v>
      </c>
      <c r="DO497" s="111">
        <f>COUNTIFS(AF497,"×要是正（既存不適格以外）")</f>
        <v>0</v>
      </c>
      <c r="DP497" s="474">
        <f>COUNTIFS(AF497,"△既存不適格")</f>
        <v>0</v>
      </c>
      <c r="DQ497" s="123" t="s">
        <v>862</v>
      </c>
      <c r="DR497" s="473" t="str">
        <f>IF($U497="",R497,U497)</f>
        <v>随閉防火設備の閉鎖又は作動の障害となる物品の放置の状況</v>
      </c>
      <c r="DS497" s="112">
        <f>COUNTA(BS497:BX497)</f>
        <v>0</v>
      </c>
      <c r="DT497" s="118" t="str">
        <f>IF(AF497="×要是正（既存不適格以外）","要是正","")&amp;IF(AF497="△既存不適格","既存不適格","")</f>
        <v/>
      </c>
      <c r="DU497" s="151" t="str">
        <f t="shared" si="647"/>
        <v/>
      </c>
      <c r="DV497" s="151" t="str">
        <f>IF($DT497="要是正",MAX($DV$489:DV496)+1,"")</f>
        <v/>
      </c>
      <c r="DW497" s="32" t="str">
        <f>IF(OR(AF497="×要是正（既存不適格以外）",AF497="△既存不適格"),DQ497,"")</f>
        <v/>
      </c>
      <c r="DX497" s="119" t="str">
        <f t="shared" si="648"/>
        <v/>
      </c>
      <c r="DY497" s="33" t="str">
        <f t="shared" si="670"/>
        <v/>
      </c>
      <c r="DZ497" s="139" t="str">
        <f>IF($DT497="要是正",IF(BD497="","",BD497),"")</f>
        <v/>
      </c>
      <c r="EA497" s="396" t="str">
        <f t="shared" si="649"/>
        <v/>
      </c>
      <c r="EB497" s="234" t="str">
        <f t="shared" si="650"/>
        <v/>
      </c>
      <c r="EC497" s="227" t="str">
        <f t="shared" si="651"/>
        <v>0</v>
      </c>
      <c r="ED497" s="148" t="str">
        <f t="shared" si="671"/>
        <v/>
      </c>
      <c r="EE497" s="227" t="str">
        <f t="shared" si="672"/>
        <v>0</v>
      </c>
      <c r="EF497" s="130" t="str">
        <f t="shared" si="653"/>
        <v/>
      </c>
      <c r="EG497" s="204" t="str">
        <f t="shared" si="654"/>
        <v/>
      </c>
      <c r="EH497" s="134" t="str">
        <f t="shared" si="655"/>
        <v>0</v>
      </c>
      <c r="EI497" s="148" t="str">
        <f t="shared" si="673"/>
        <v/>
      </c>
      <c r="EJ497" s="227" t="str">
        <f t="shared" si="674"/>
        <v>0</v>
      </c>
      <c r="EK497" s="416" t="str">
        <f t="shared" si="657"/>
        <v/>
      </c>
      <c r="EL497" s="452" t="e">
        <f t="shared" si="658"/>
        <v>#N/A</v>
      </c>
      <c r="EM497" s="151" t="e">
        <f t="shared" si="659"/>
        <v>#N/A</v>
      </c>
      <c r="EN497" s="453" t="e">
        <f t="shared" si="660"/>
        <v>#N/A</v>
      </c>
      <c r="FK497" s="597" t="str">
        <f t="shared" si="661"/>
        <v/>
      </c>
      <c r="FL497" s="597" t="str">
        <f t="shared" si="530"/>
        <v/>
      </c>
      <c r="FM497" s="597" t="str">
        <f t="shared" si="531"/>
        <v/>
      </c>
      <c r="FN497" s="597">
        <f t="shared" si="662"/>
        <v>0</v>
      </c>
      <c r="FO497" s="1163" t="str">
        <f>IF($AF497="―対象外","○","")</f>
        <v/>
      </c>
      <c r="FQ497" s="234" t="str">
        <f t="shared" si="663"/>
        <v/>
      </c>
      <c r="FR497" s="227" t="str">
        <f t="shared" si="664"/>
        <v>0</v>
      </c>
      <c r="FS497" s="148" t="str">
        <f t="shared" si="665"/>
        <v/>
      </c>
      <c r="FT497" s="227" t="str">
        <f t="shared" si="666"/>
        <v>0</v>
      </c>
      <c r="FU497" s="416" t="str">
        <f t="shared" si="667"/>
        <v/>
      </c>
      <c r="FW497" s="1160">
        <f t="shared" ref="FW497:FW527" si="675">IF(AF497="△既存不適格",AT497&amp;"(既存不適格)",AT497)</f>
        <v>0</v>
      </c>
      <c r="FX497" s="123"/>
      <c r="FY497" s="123"/>
      <c r="FZ497" s="1161"/>
      <c r="GA497" s="34"/>
      <c r="GB497" s="1149">
        <f t="shared" si="498"/>
        <v>0</v>
      </c>
      <c r="GC497" s="1149">
        <f t="shared" si="499"/>
        <v>0</v>
      </c>
      <c r="GD497" s="1149">
        <f t="shared" si="500"/>
        <v>0</v>
      </c>
      <c r="GE497" s="1149" t="str">
        <f>IF(GE$306=$M497,$BY$512,"")</f>
        <v/>
      </c>
      <c r="GF497" s="1149" t="str">
        <f>IF(GF$306=$M497,$BY$513,"")</f>
        <v/>
      </c>
      <c r="GG497" s="1149" t="str">
        <f>IF(GG$306=$M497,$BY$514,"")</f>
        <v/>
      </c>
      <c r="GH497" s="1149" t="str">
        <f>IF(GH$306=$M497,$BY$515,"")</f>
        <v/>
      </c>
      <c r="GI497" s="1149" t="str">
        <f>IF(GI$306=$M497,$BY$516,"")</f>
        <v/>
      </c>
      <c r="GJ497" s="1149" t="str">
        <f>IF(GJ$306=$M497,$BY$517,"")</f>
        <v/>
      </c>
      <c r="GK497" s="1149" t="str">
        <f>IF(GK$306=$M497,$BY$518,"")</f>
        <v/>
      </c>
      <c r="GL497" s="1149" t="str">
        <f>IF(GL$306=$M497,$BY$519,"")</f>
        <v/>
      </c>
      <c r="GM497" s="1149" t="str">
        <f>IF(GM$306=$M497,$BY$520,"")</f>
        <v/>
      </c>
      <c r="GN497" s="1149" t="str">
        <f>IF(GN$306=$M497,$BY$521,"")</f>
        <v/>
      </c>
      <c r="GO497" s="1149" t="str">
        <f>IF(GO$306=$M497,$BY$522,"")</f>
        <v/>
      </c>
      <c r="GP497" s="1149" t="str">
        <f>IF(GP$306=$M497,$BY$523,"")</f>
        <v/>
      </c>
      <c r="GQ497" s="1149" t="str">
        <f>IF(GQ$306=$M497,$BY$524,"")</f>
        <v/>
      </c>
      <c r="GR497" s="1149" t="str">
        <f>IF(GR$306=$M497,$BY$525,"")</f>
        <v/>
      </c>
      <c r="GS497" s="1149" t="str">
        <f>IF(GS$306=$M497,$BY$526,"")</f>
        <v/>
      </c>
      <c r="GT497" s="1149">
        <f t="shared" si="501"/>
        <v>0</v>
      </c>
      <c r="GU497" s="1149">
        <f t="shared" si="502"/>
        <v>0</v>
      </c>
      <c r="GV497" s="1149">
        <f t="shared" si="503"/>
        <v>0</v>
      </c>
      <c r="GW497" s="1149" t="b">
        <f t="shared" si="504"/>
        <v>0</v>
      </c>
      <c r="GX497" s="1149" t="b">
        <f t="shared" si="505"/>
        <v>0</v>
      </c>
      <c r="GY497" s="1149" t="b">
        <f t="shared" si="506"/>
        <v>0</v>
      </c>
      <c r="GZ497" s="1149" t="str">
        <f t="shared" si="528"/>
        <v/>
      </c>
      <c r="HB497" s="1149" t="str">
        <f t="shared" si="507"/>
        <v/>
      </c>
      <c r="HC497" s="1149" t="str">
        <f t="shared" si="508"/>
        <v/>
      </c>
      <c r="HD497" s="1149" t="str">
        <f t="shared" si="509"/>
        <v/>
      </c>
      <c r="HE497" s="1149" t="str">
        <f t="shared" si="510"/>
        <v/>
      </c>
      <c r="HF497" s="1149" t="str">
        <f t="shared" si="511"/>
        <v/>
      </c>
      <c r="HG497" s="1149" t="str">
        <f t="shared" si="512"/>
        <v/>
      </c>
      <c r="HH497" s="1149" t="str">
        <f t="shared" si="513"/>
        <v/>
      </c>
      <c r="HI497" s="1149" t="str">
        <f t="shared" si="514"/>
        <v/>
      </c>
      <c r="HJ497" s="1149" t="str">
        <f t="shared" si="515"/>
        <v/>
      </c>
      <c r="HK497" s="1149" t="str">
        <f t="shared" si="516"/>
        <v/>
      </c>
      <c r="HL497" s="1149" t="str">
        <f t="shared" si="517"/>
        <v/>
      </c>
      <c r="HM497" s="1149" t="str">
        <f t="shared" si="518"/>
        <v/>
      </c>
      <c r="HN497" s="1149" t="str">
        <f t="shared" si="519"/>
        <v/>
      </c>
      <c r="HO497" s="1149" t="str">
        <f t="shared" si="520"/>
        <v/>
      </c>
      <c r="HP497" s="1149" t="str">
        <f t="shared" si="521"/>
        <v/>
      </c>
      <c r="HQ497" s="1149" t="str">
        <f t="shared" si="522"/>
        <v/>
      </c>
      <c r="HR497" s="1149" t="str">
        <f t="shared" si="523"/>
        <v/>
      </c>
      <c r="HT497" s="1149">
        <f>LEFT(M497,1)*10000+MID(M497,3,LEN(M497)-3)*100+COUNTIF($M$307:M497,M497)</f>
        <v>70501</v>
      </c>
      <c r="HU497" s="1149" t="str">
        <f t="shared" si="524"/>
        <v/>
      </c>
      <c r="HV497" s="1149" t="str">
        <f t="shared" si="525"/>
        <v/>
      </c>
      <c r="HW497" s="1149" t="str">
        <f t="shared" si="526"/>
        <v/>
      </c>
      <c r="HX497" s="1149" t="str">
        <f t="shared" si="527"/>
        <v/>
      </c>
    </row>
    <row r="498" spans="1:232" s="69" customFormat="1" ht="50.15" hidden="1" customHeight="1">
      <c r="A498" s="645"/>
      <c r="B498" s="645"/>
      <c r="C498" s="645"/>
      <c r="D498" s="645"/>
      <c r="E498" s="646"/>
      <c r="F498" s="381"/>
      <c r="G498" s="381"/>
      <c r="H498" s="381"/>
      <c r="J498" s="80"/>
      <c r="K498" s="89"/>
      <c r="L498" s="89"/>
      <c r="M498" s="1963" t="s">
        <v>1381</v>
      </c>
      <c r="N498" s="1963"/>
      <c r="O498" s="1963"/>
      <c r="P498" s="2545"/>
      <c r="Q498" s="2545"/>
      <c r="R498" s="2545"/>
      <c r="S498" s="2545"/>
      <c r="T498" s="2545"/>
      <c r="U498" s="1966"/>
      <c r="V498" s="2331"/>
      <c r="W498" s="2331"/>
      <c r="X498" s="2331"/>
      <c r="Y498" s="2331"/>
      <c r="Z498" s="2331"/>
      <c r="AA498" s="2331"/>
      <c r="AB498" s="2331"/>
      <c r="AC498" s="2331"/>
      <c r="AD498" s="2331"/>
      <c r="AE498" s="2331"/>
      <c r="AF498" s="2014"/>
      <c r="AG498" s="2043"/>
      <c r="AH498" s="2043"/>
      <c r="AI498" s="2043"/>
      <c r="AJ498" s="2043"/>
      <c r="AK498" s="2043"/>
      <c r="AL498" s="2043"/>
      <c r="AM498" s="2043"/>
      <c r="AN498" s="2043"/>
      <c r="AO498" s="2043"/>
      <c r="AP498" s="2043"/>
      <c r="AQ498" s="2044"/>
      <c r="AR498" s="2136"/>
      <c r="AS498" s="2136"/>
      <c r="AT498" s="2045"/>
      <c r="AU498" s="2045"/>
      <c r="AV498" s="2045"/>
      <c r="AW498" s="2045"/>
      <c r="AX498" s="2045"/>
      <c r="AY498" s="2045"/>
      <c r="AZ498" s="2045"/>
      <c r="BA498" s="2045"/>
      <c r="BB498" s="2045"/>
      <c r="BC498" s="2045"/>
      <c r="BD498" s="2045"/>
      <c r="BE498" s="2045"/>
      <c r="BF498" s="2045"/>
      <c r="BG498" s="2045"/>
      <c r="BH498" s="2045"/>
      <c r="BI498" s="2045"/>
      <c r="BJ498" s="2045"/>
      <c r="BK498" s="2045"/>
      <c r="BL498" s="2045"/>
      <c r="BM498" s="2045"/>
      <c r="BN498" s="2045"/>
      <c r="BO498" s="2045"/>
      <c r="BP498" s="2045"/>
      <c r="BQ498" s="2045"/>
      <c r="BR498" s="2045"/>
      <c r="BS498" s="2118"/>
      <c r="BT498" s="2118"/>
      <c r="BU498" s="2118"/>
      <c r="BV498" s="2124"/>
      <c r="BW498" s="2124"/>
      <c r="BX498" s="2124"/>
      <c r="BY498" s="2124"/>
      <c r="BZ498" s="2125"/>
      <c r="CA498" s="2125"/>
      <c r="CB498" s="2127"/>
      <c r="CC498" s="2128"/>
      <c r="CD498" s="2128"/>
      <c r="CE498" s="2128"/>
      <c r="CF498" s="2128"/>
      <c r="CG498" s="2128"/>
      <c r="CH498" s="2128"/>
      <c r="CI498" s="2128"/>
      <c r="CJ498" s="2128"/>
      <c r="CK498" s="2128"/>
      <c r="CL498" s="2128"/>
      <c r="CM498" s="2128"/>
      <c r="CN498" s="2128"/>
      <c r="CO498" s="2128"/>
      <c r="CP498" s="2128"/>
      <c r="CQ498" s="2128"/>
      <c r="CR498" s="2128"/>
      <c r="CS498" s="2128"/>
      <c r="CT498" s="2128"/>
      <c r="CU498" s="2129"/>
      <c r="CV498" s="2360" t="str">
        <f t="shared" si="644"/>
        <v/>
      </c>
      <c r="CW498" s="2360"/>
      <c r="CX498" s="2360"/>
      <c r="CY498" s="2360"/>
      <c r="CZ498" s="2360"/>
      <c r="DA498" s="2360"/>
      <c r="DC498" s="600" t="str">
        <f t="shared" si="645"/>
        <v/>
      </c>
      <c r="DD498" s="381"/>
      <c r="DF498" s="34"/>
      <c r="DG498" s="34"/>
      <c r="DH498" s="34"/>
      <c r="DI498" s="34"/>
      <c r="DJ498" s="858" t="s">
        <v>5637</v>
      </c>
      <c r="DK498" s="1707" t="str">
        <f t="shared" si="668"/>
        <v/>
      </c>
      <c r="DL498" s="1692" t="str">
        <f t="shared" si="669"/>
        <v/>
      </c>
      <c r="DM498" s="1691">
        <f t="shared" si="646"/>
        <v>0</v>
      </c>
      <c r="DN498" s="111">
        <f t="shared" ref="DN498:DN502" si="676">COUNTIFS(AF498,"○指摘なし")</f>
        <v>0</v>
      </c>
      <c r="DO498" s="111">
        <f t="shared" ref="DO498:DO502" si="677">COUNTIFS(AF498,"×要是正（既存不適格以外）")</f>
        <v>0</v>
      </c>
      <c r="DP498" s="474">
        <f t="shared" ref="DP498:DP502" si="678">COUNTIFS(AF498,"△既存不適格")</f>
        <v>0</v>
      </c>
      <c r="DQ498" s="123" t="s">
        <v>1381</v>
      </c>
      <c r="DR498" s="473">
        <f t="shared" ref="DR498:DR502" si="679">IF($U498="",R498,U498)</f>
        <v>0</v>
      </c>
      <c r="DS498" s="112">
        <f t="shared" ref="DS498:DS502" si="680">COUNTA(BS498:BX498)</f>
        <v>0</v>
      </c>
      <c r="DT498" s="118" t="str">
        <f t="shared" ref="DT498:DT502" si="681">IF(AF498="×要是正（既存不適格以外）","要是正","")&amp;IF(AF498="△既存不適格","既存不適格","")</f>
        <v/>
      </c>
      <c r="DU498" s="151" t="str">
        <f t="shared" si="647"/>
        <v/>
      </c>
      <c r="DV498" s="151" t="str">
        <f>IF($DT498="要是正",MAX($DV$489:DV497)+1,"")</f>
        <v/>
      </c>
      <c r="DW498" s="32" t="str">
        <f t="shared" ref="DW498:DW502" si="682">IF(OR(AF498="×要是正（既存不適格以外）",AF498="△既存不適格"),DQ498,"")</f>
        <v/>
      </c>
      <c r="DX498" s="119" t="str">
        <f t="shared" si="648"/>
        <v/>
      </c>
      <c r="DY498" s="33" t="str">
        <f t="shared" si="670"/>
        <v/>
      </c>
      <c r="DZ498" s="139" t="str">
        <f t="shared" ref="DZ498:DZ502" si="683">IF($DT498="要是正",IF(BD498="","",BD498),"")</f>
        <v/>
      </c>
      <c r="EA498" s="396" t="str">
        <f t="shared" si="649"/>
        <v/>
      </c>
      <c r="EB498" s="234" t="str">
        <f t="shared" si="650"/>
        <v/>
      </c>
      <c r="EC498" s="227" t="str">
        <f t="shared" si="651"/>
        <v>0</v>
      </c>
      <c r="ED498" s="148" t="str">
        <f t="shared" si="671"/>
        <v/>
      </c>
      <c r="EE498" s="227" t="str">
        <f t="shared" si="672"/>
        <v>0</v>
      </c>
      <c r="EF498" s="130" t="str">
        <f t="shared" si="653"/>
        <v/>
      </c>
      <c r="EG498" s="204" t="str">
        <f t="shared" si="654"/>
        <v/>
      </c>
      <c r="EH498" s="134" t="str">
        <f t="shared" si="655"/>
        <v>0</v>
      </c>
      <c r="EI498" s="148" t="str">
        <f t="shared" si="673"/>
        <v/>
      </c>
      <c r="EJ498" s="227" t="str">
        <f t="shared" si="674"/>
        <v>0</v>
      </c>
      <c r="EK498" s="416" t="str">
        <f t="shared" si="657"/>
        <v/>
      </c>
      <c r="EL498" s="452" t="e">
        <f t="shared" si="658"/>
        <v>#N/A</v>
      </c>
      <c r="EM498" s="151" t="e">
        <f t="shared" si="659"/>
        <v>#N/A</v>
      </c>
      <c r="EN498" s="453" t="e">
        <f t="shared" si="660"/>
        <v>#N/A</v>
      </c>
      <c r="FK498" s="597" t="str">
        <f t="shared" si="661"/>
        <v/>
      </c>
      <c r="FL498" s="597" t="str">
        <f t="shared" si="530"/>
        <v/>
      </c>
      <c r="FM498" s="597" t="str">
        <f t="shared" si="531"/>
        <v/>
      </c>
      <c r="FN498" s="597">
        <f t="shared" si="662"/>
        <v>0</v>
      </c>
      <c r="FO498" s="1163"/>
      <c r="FQ498" s="234" t="str">
        <f t="shared" si="663"/>
        <v/>
      </c>
      <c r="FR498" s="227" t="str">
        <f t="shared" si="664"/>
        <v>0</v>
      </c>
      <c r="FS498" s="148" t="str">
        <f t="shared" si="665"/>
        <v/>
      </c>
      <c r="FT498" s="227" t="str">
        <f t="shared" si="666"/>
        <v>0</v>
      </c>
      <c r="FU498" s="416" t="str">
        <f t="shared" si="667"/>
        <v/>
      </c>
      <c r="FW498" s="1160">
        <f t="shared" si="675"/>
        <v>0</v>
      </c>
      <c r="FX498" s="123"/>
      <c r="FY498" s="123"/>
      <c r="FZ498" s="1161"/>
      <c r="GA498" s="34"/>
      <c r="GB498" s="1149">
        <f t="shared" ref="GB498:GB507" si="684">IF(BY498="予定",1,0)</f>
        <v>0</v>
      </c>
      <c r="GC498" s="1149">
        <f t="shared" ref="GC498:GC507" si="685">IF(BY498="改善済",1,0)</f>
        <v>0</v>
      </c>
      <c r="GD498" s="1149">
        <f t="shared" ref="GD498:GD507" si="686">IF(BY498="未定",1,0)</f>
        <v>0</v>
      </c>
      <c r="GE498" s="1149" t="str">
        <f t="shared" ref="GE498:GE507" si="687">IF(GE$306=$M498,$BY$512,"")</f>
        <v/>
      </c>
      <c r="GF498" s="1149" t="str">
        <f t="shared" ref="GF498:GF507" si="688">IF(GF$306=$M498,$BY$513,"")</f>
        <v/>
      </c>
      <c r="GG498" s="1149" t="str">
        <f t="shared" ref="GG498:GG507" si="689">IF(GG$306=$M498,$BY$514,"")</f>
        <v/>
      </c>
      <c r="GH498" s="1149" t="str">
        <f t="shared" ref="GH498:GH507" si="690">IF(GH$306=$M498,$BY$515,"")</f>
        <v/>
      </c>
      <c r="GI498" s="1149" t="str">
        <f t="shared" ref="GI498:GI507" si="691">IF(GI$306=$M498,$BY$516,"")</f>
        <v/>
      </c>
      <c r="GJ498" s="1149" t="str">
        <f t="shared" ref="GJ498:GJ507" si="692">IF(GJ$306=$M498,$BY$517,"")</f>
        <v/>
      </c>
      <c r="GK498" s="1149" t="str">
        <f t="shared" ref="GK498:GK507" si="693">IF(GK$306=$M498,$BY$518,"")</f>
        <v/>
      </c>
      <c r="GL498" s="1149" t="str">
        <f t="shared" ref="GL498:GL507" si="694">IF(GL$306=$M498,$BY$519,"")</f>
        <v/>
      </c>
      <c r="GM498" s="1149" t="str">
        <f t="shared" ref="GM498:GM507" si="695">IF(GM$306=$M498,$BY$520,"")</f>
        <v/>
      </c>
      <c r="GN498" s="1149" t="str">
        <f t="shared" ref="GN498:GN507" si="696">IF(GN$306=$M498,$BY$521,"")</f>
        <v/>
      </c>
      <c r="GO498" s="1149" t="str">
        <f t="shared" ref="GO498:GO507" si="697">IF(GO$306=$M498,$BY$522,"")</f>
        <v/>
      </c>
      <c r="GP498" s="1149" t="str">
        <f t="shared" ref="GP498:GP507" si="698">IF(GP$306=$M498,$BY$523,"")</f>
        <v/>
      </c>
      <c r="GQ498" s="1149" t="str">
        <f t="shared" ref="GQ498:GQ507" si="699">IF(GQ$306=$M498,$BY$524,"")</f>
        <v/>
      </c>
      <c r="GR498" s="1149" t="str">
        <f t="shared" ref="GR498:GR507" si="700">IF(GR$306=$M498,$BY$525,"")</f>
        <v/>
      </c>
      <c r="GS498" s="1149" t="str">
        <f t="shared" ref="GS498:GS507" si="701">IF(GS$306=$M498,$BY$526,"")</f>
        <v/>
      </c>
      <c r="GT498" s="1149">
        <f t="shared" ref="GT498:GT507" si="702">IF(COUNTIF(GE498:GS498,"予定")&gt;0,1,0)</f>
        <v>0</v>
      </c>
      <c r="GU498" s="1149">
        <f t="shared" ref="GU498:GU507" si="703">IF(COUNTIF(GE498:GS498,"改善済")&gt;0,1,0)</f>
        <v>0</v>
      </c>
      <c r="GV498" s="1149">
        <f t="shared" ref="GV498:GV507" si="704">IF(COUNTIF(GE498:GS498,"未定")&gt;0,1,0)</f>
        <v>0</v>
      </c>
      <c r="GW498" s="1149" t="b">
        <f t="shared" ref="GW498:GW507" si="705">(GB498+GT498)&gt;0</f>
        <v>0</v>
      </c>
      <c r="GX498" s="1149" t="b">
        <f t="shared" ref="GX498:GX507" si="706">(GC498+GU498)&gt;0</f>
        <v>0</v>
      </c>
      <c r="GY498" s="1149" t="b">
        <f t="shared" ref="GY498:GY507" si="707">(GD498+GV498)&gt;0</f>
        <v>0</v>
      </c>
      <c r="GZ498" s="1149" t="str">
        <f t="shared" si="528"/>
        <v/>
      </c>
      <c r="HB498" s="1149" t="str">
        <f t="shared" si="507"/>
        <v/>
      </c>
      <c r="HC498" s="1149" t="str">
        <f t="shared" si="508"/>
        <v/>
      </c>
      <c r="HD498" s="1149" t="str">
        <f t="shared" si="509"/>
        <v/>
      </c>
      <c r="HE498" s="1149" t="str">
        <f t="shared" si="510"/>
        <v/>
      </c>
      <c r="HF498" s="1149" t="str">
        <f t="shared" si="511"/>
        <v/>
      </c>
      <c r="HG498" s="1149" t="str">
        <f t="shared" si="512"/>
        <v/>
      </c>
      <c r="HH498" s="1149" t="str">
        <f t="shared" si="513"/>
        <v/>
      </c>
      <c r="HI498" s="1149" t="str">
        <f t="shared" si="514"/>
        <v/>
      </c>
      <c r="HJ498" s="1149" t="str">
        <f t="shared" si="515"/>
        <v/>
      </c>
      <c r="HK498" s="1149" t="str">
        <f t="shared" si="516"/>
        <v/>
      </c>
      <c r="HL498" s="1149" t="str">
        <f t="shared" si="517"/>
        <v/>
      </c>
      <c r="HM498" s="1149" t="str">
        <f t="shared" si="518"/>
        <v/>
      </c>
      <c r="HN498" s="1149" t="str">
        <f t="shared" si="519"/>
        <v/>
      </c>
      <c r="HO498" s="1149" t="str">
        <f t="shared" si="520"/>
        <v/>
      </c>
      <c r="HP498" s="1149" t="str">
        <f t="shared" si="521"/>
        <v/>
      </c>
      <c r="HQ498" s="1149" t="str">
        <f t="shared" si="522"/>
        <v/>
      </c>
      <c r="HR498" s="1149" t="str">
        <f t="shared" si="523"/>
        <v/>
      </c>
      <c r="HT498" s="1149">
        <f>LEFT(M498,1)*10000+MID(M498,3,LEN(M498)-3)*100+COUNTIF($M$307:M498,M498)</f>
        <v>70601</v>
      </c>
      <c r="HU498" s="1149" t="str">
        <f t="shared" si="524"/>
        <v/>
      </c>
      <c r="HV498" s="1149" t="str">
        <f t="shared" si="525"/>
        <v/>
      </c>
      <c r="HW498" s="1149" t="str">
        <f t="shared" si="526"/>
        <v/>
      </c>
      <c r="HX498" s="1149" t="str">
        <f t="shared" si="527"/>
        <v/>
      </c>
    </row>
    <row r="499" spans="1:232" s="69" customFormat="1" ht="50.15" hidden="1" customHeight="1">
      <c r="A499" s="645"/>
      <c r="B499" s="645"/>
      <c r="C499" s="645"/>
      <c r="D499" s="645"/>
      <c r="E499" s="646"/>
      <c r="F499" s="381"/>
      <c r="G499" s="381"/>
      <c r="H499" s="381"/>
      <c r="J499" s="80"/>
      <c r="K499" s="89"/>
      <c r="L499" s="89"/>
      <c r="M499" s="1963" t="s">
        <v>1382</v>
      </c>
      <c r="N499" s="1963"/>
      <c r="O499" s="1963"/>
      <c r="P499" s="2545"/>
      <c r="Q499" s="2545"/>
      <c r="R499" s="2545"/>
      <c r="S499" s="2545"/>
      <c r="T499" s="2545"/>
      <c r="U499" s="1966"/>
      <c r="V499" s="2331"/>
      <c r="W499" s="2331"/>
      <c r="X499" s="2331"/>
      <c r="Y499" s="2331"/>
      <c r="Z499" s="2331"/>
      <c r="AA499" s="2331"/>
      <c r="AB499" s="2331"/>
      <c r="AC499" s="2331"/>
      <c r="AD499" s="2331"/>
      <c r="AE499" s="2331"/>
      <c r="AF499" s="2014"/>
      <c r="AG499" s="2043"/>
      <c r="AH499" s="2043"/>
      <c r="AI499" s="2043"/>
      <c r="AJ499" s="2043"/>
      <c r="AK499" s="2043"/>
      <c r="AL499" s="2043"/>
      <c r="AM499" s="2043"/>
      <c r="AN499" s="2043"/>
      <c r="AO499" s="2043"/>
      <c r="AP499" s="2043"/>
      <c r="AQ499" s="2044"/>
      <c r="AR499" s="2136"/>
      <c r="AS499" s="2136"/>
      <c r="AT499" s="2045"/>
      <c r="AU499" s="2045"/>
      <c r="AV499" s="2045"/>
      <c r="AW499" s="2045"/>
      <c r="AX499" s="2045"/>
      <c r="AY499" s="2045"/>
      <c r="AZ499" s="2045"/>
      <c r="BA499" s="2045"/>
      <c r="BB499" s="2045"/>
      <c r="BC499" s="2045"/>
      <c r="BD499" s="2045"/>
      <c r="BE499" s="2045"/>
      <c r="BF499" s="2045"/>
      <c r="BG499" s="2045"/>
      <c r="BH499" s="2045"/>
      <c r="BI499" s="2045"/>
      <c r="BJ499" s="2045"/>
      <c r="BK499" s="2045"/>
      <c r="BL499" s="2045"/>
      <c r="BM499" s="2045"/>
      <c r="BN499" s="2045"/>
      <c r="BO499" s="2045"/>
      <c r="BP499" s="2045"/>
      <c r="BQ499" s="2045"/>
      <c r="BR499" s="2045"/>
      <c r="BS499" s="2118"/>
      <c r="BT499" s="2118"/>
      <c r="BU499" s="2118"/>
      <c r="BV499" s="2124"/>
      <c r="BW499" s="2124"/>
      <c r="BX499" s="2124"/>
      <c r="BY499" s="2124"/>
      <c r="BZ499" s="2125"/>
      <c r="CA499" s="2125"/>
      <c r="CB499" s="2127"/>
      <c r="CC499" s="2128"/>
      <c r="CD499" s="2128"/>
      <c r="CE499" s="2128"/>
      <c r="CF499" s="2128"/>
      <c r="CG499" s="2128"/>
      <c r="CH499" s="2128"/>
      <c r="CI499" s="2128"/>
      <c r="CJ499" s="2128"/>
      <c r="CK499" s="2128"/>
      <c r="CL499" s="2128"/>
      <c r="CM499" s="2128"/>
      <c r="CN499" s="2128"/>
      <c r="CO499" s="2128"/>
      <c r="CP499" s="2128"/>
      <c r="CQ499" s="2128"/>
      <c r="CR499" s="2128"/>
      <c r="CS499" s="2128"/>
      <c r="CT499" s="2128"/>
      <c r="CU499" s="2129"/>
      <c r="CV499" s="2360" t="str">
        <f t="shared" si="644"/>
        <v/>
      </c>
      <c r="CW499" s="2360"/>
      <c r="CX499" s="2360"/>
      <c r="CY499" s="2360"/>
      <c r="CZ499" s="2360"/>
      <c r="DA499" s="2360"/>
      <c r="DC499" s="600" t="str">
        <f t="shared" si="645"/>
        <v/>
      </c>
      <c r="DD499" s="381"/>
      <c r="DF499" s="34"/>
      <c r="DG499" s="34"/>
      <c r="DH499" s="34"/>
      <c r="DI499" s="34"/>
      <c r="DJ499" s="858" t="s">
        <v>5637</v>
      </c>
      <c r="DK499" s="1707" t="str">
        <f t="shared" si="668"/>
        <v/>
      </c>
      <c r="DL499" s="1692" t="str">
        <f t="shared" si="669"/>
        <v/>
      </c>
      <c r="DM499" s="1691">
        <f t="shared" si="646"/>
        <v>0</v>
      </c>
      <c r="DN499" s="111">
        <f t="shared" si="676"/>
        <v>0</v>
      </c>
      <c r="DO499" s="111">
        <f t="shared" si="677"/>
        <v>0</v>
      </c>
      <c r="DP499" s="474">
        <f t="shared" si="678"/>
        <v>0</v>
      </c>
      <c r="DQ499" s="123" t="s">
        <v>1382</v>
      </c>
      <c r="DR499" s="473">
        <f t="shared" si="679"/>
        <v>0</v>
      </c>
      <c r="DS499" s="112">
        <f t="shared" si="680"/>
        <v>0</v>
      </c>
      <c r="DT499" s="118" t="str">
        <f t="shared" si="681"/>
        <v/>
      </c>
      <c r="DU499" s="151" t="str">
        <f t="shared" si="647"/>
        <v/>
      </c>
      <c r="DV499" s="151" t="str">
        <f>IF($DT499="要是正",MAX($DV$489:DV498)+1,"")</f>
        <v/>
      </c>
      <c r="DW499" s="32" t="str">
        <f t="shared" si="682"/>
        <v/>
      </c>
      <c r="DX499" s="119" t="str">
        <f t="shared" si="648"/>
        <v/>
      </c>
      <c r="DY499" s="33" t="str">
        <f t="shared" si="670"/>
        <v/>
      </c>
      <c r="DZ499" s="139" t="str">
        <f t="shared" si="683"/>
        <v/>
      </c>
      <c r="EA499" s="396" t="str">
        <f t="shared" si="649"/>
        <v/>
      </c>
      <c r="EB499" s="234" t="str">
        <f t="shared" si="650"/>
        <v/>
      </c>
      <c r="EC499" s="227" t="str">
        <f t="shared" si="651"/>
        <v>0</v>
      </c>
      <c r="ED499" s="148" t="str">
        <f t="shared" si="671"/>
        <v/>
      </c>
      <c r="EE499" s="227" t="str">
        <f t="shared" si="672"/>
        <v>0</v>
      </c>
      <c r="EF499" s="130" t="str">
        <f t="shared" si="653"/>
        <v/>
      </c>
      <c r="EG499" s="204" t="str">
        <f t="shared" si="654"/>
        <v/>
      </c>
      <c r="EH499" s="134" t="str">
        <f t="shared" si="655"/>
        <v>0</v>
      </c>
      <c r="EI499" s="148" t="str">
        <f t="shared" si="673"/>
        <v/>
      </c>
      <c r="EJ499" s="227" t="str">
        <f t="shared" si="674"/>
        <v>0</v>
      </c>
      <c r="EK499" s="416" t="str">
        <f t="shared" si="657"/>
        <v/>
      </c>
      <c r="EL499" s="452" t="e">
        <f t="shared" si="658"/>
        <v>#N/A</v>
      </c>
      <c r="EM499" s="151" t="e">
        <f t="shared" si="659"/>
        <v>#N/A</v>
      </c>
      <c r="EN499" s="453" t="e">
        <f t="shared" si="660"/>
        <v>#N/A</v>
      </c>
      <c r="FK499" s="597" t="str">
        <f t="shared" si="661"/>
        <v/>
      </c>
      <c r="FL499" s="597" t="str">
        <f t="shared" si="530"/>
        <v/>
      </c>
      <c r="FM499" s="597" t="str">
        <f t="shared" si="531"/>
        <v/>
      </c>
      <c r="FN499" s="597">
        <f t="shared" si="662"/>
        <v>0</v>
      </c>
      <c r="FO499" s="1163"/>
      <c r="FQ499" s="234" t="str">
        <f t="shared" si="663"/>
        <v/>
      </c>
      <c r="FR499" s="227" t="str">
        <f t="shared" si="664"/>
        <v>0</v>
      </c>
      <c r="FS499" s="148" t="str">
        <f t="shared" si="665"/>
        <v/>
      </c>
      <c r="FT499" s="227" t="str">
        <f t="shared" si="666"/>
        <v>0</v>
      </c>
      <c r="FU499" s="416" t="str">
        <f t="shared" si="667"/>
        <v/>
      </c>
      <c r="FW499" s="1160">
        <f t="shared" si="675"/>
        <v>0</v>
      </c>
      <c r="FX499" s="123"/>
      <c r="FY499" s="123"/>
      <c r="FZ499" s="1161"/>
      <c r="GA499" s="34"/>
      <c r="GB499" s="1149">
        <f t="shared" si="684"/>
        <v>0</v>
      </c>
      <c r="GC499" s="1149">
        <f t="shared" si="685"/>
        <v>0</v>
      </c>
      <c r="GD499" s="1149">
        <f t="shared" si="686"/>
        <v>0</v>
      </c>
      <c r="GE499" s="1149" t="str">
        <f t="shared" si="687"/>
        <v/>
      </c>
      <c r="GF499" s="1149" t="str">
        <f t="shared" si="688"/>
        <v/>
      </c>
      <c r="GG499" s="1149" t="str">
        <f t="shared" si="689"/>
        <v/>
      </c>
      <c r="GH499" s="1149" t="str">
        <f t="shared" si="690"/>
        <v/>
      </c>
      <c r="GI499" s="1149" t="str">
        <f t="shared" si="691"/>
        <v/>
      </c>
      <c r="GJ499" s="1149" t="str">
        <f t="shared" si="692"/>
        <v/>
      </c>
      <c r="GK499" s="1149" t="str">
        <f t="shared" si="693"/>
        <v/>
      </c>
      <c r="GL499" s="1149" t="str">
        <f t="shared" si="694"/>
        <v/>
      </c>
      <c r="GM499" s="1149" t="str">
        <f t="shared" si="695"/>
        <v/>
      </c>
      <c r="GN499" s="1149" t="str">
        <f t="shared" si="696"/>
        <v/>
      </c>
      <c r="GO499" s="1149" t="str">
        <f t="shared" si="697"/>
        <v/>
      </c>
      <c r="GP499" s="1149" t="str">
        <f t="shared" si="698"/>
        <v/>
      </c>
      <c r="GQ499" s="1149" t="str">
        <f t="shared" si="699"/>
        <v/>
      </c>
      <c r="GR499" s="1149" t="str">
        <f t="shared" si="700"/>
        <v/>
      </c>
      <c r="GS499" s="1149" t="str">
        <f t="shared" si="701"/>
        <v/>
      </c>
      <c r="GT499" s="1149">
        <f t="shared" si="702"/>
        <v>0</v>
      </c>
      <c r="GU499" s="1149">
        <f t="shared" si="703"/>
        <v>0</v>
      </c>
      <c r="GV499" s="1149">
        <f t="shared" si="704"/>
        <v>0</v>
      </c>
      <c r="GW499" s="1149" t="b">
        <f t="shared" si="705"/>
        <v>0</v>
      </c>
      <c r="GX499" s="1149" t="b">
        <f t="shared" si="706"/>
        <v>0</v>
      </c>
      <c r="GY499" s="1149" t="b">
        <f t="shared" si="707"/>
        <v>0</v>
      </c>
      <c r="GZ499" s="1149" t="str">
        <f t="shared" si="528"/>
        <v/>
      </c>
      <c r="HB499" s="1149" t="str">
        <f t="shared" si="507"/>
        <v/>
      </c>
      <c r="HC499" s="1149" t="str">
        <f t="shared" si="508"/>
        <v/>
      </c>
      <c r="HD499" s="1149" t="str">
        <f t="shared" si="509"/>
        <v/>
      </c>
      <c r="HE499" s="1149" t="str">
        <f t="shared" si="510"/>
        <v/>
      </c>
      <c r="HF499" s="1149" t="str">
        <f t="shared" si="511"/>
        <v/>
      </c>
      <c r="HG499" s="1149" t="str">
        <f t="shared" si="512"/>
        <v/>
      </c>
      <c r="HH499" s="1149" t="str">
        <f t="shared" si="513"/>
        <v/>
      </c>
      <c r="HI499" s="1149" t="str">
        <f t="shared" si="514"/>
        <v/>
      </c>
      <c r="HJ499" s="1149" t="str">
        <f t="shared" si="515"/>
        <v/>
      </c>
      <c r="HK499" s="1149" t="str">
        <f t="shared" si="516"/>
        <v/>
      </c>
      <c r="HL499" s="1149" t="str">
        <f t="shared" si="517"/>
        <v/>
      </c>
      <c r="HM499" s="1149" t="str">
        <f t="shared" si="518"/>
        <v/>
      </c>
      <c r="HN499" s="1149" t="str">
        <f t="shared" si="519"/>
        <v/>
      </c>
      <c r="HO499" s="1149" t="str">
        <f t="shared" si="520"/>
        <v/>
      </c>
      <c r="HP499" s="1149" t="str">
        <f t="shared" si="521"/>
        <v/>
      </c>
      <c r="HQ499" s="1149" t="str">
        <f t="shared" si="522"/>
        <v/>
      </c>
      <c r="HR499" s="1149" t="str">
        <f t="shared" si="523"/>
        <v/>
      </c>
      <c r="HT499" s="1149">
        <f>LEFT(M499,1)*10000+MID(M499,3,LEN(M499)-3)*100+COUNTIF($M$307:M499,M499)</f>
        <v>70701</v>
      </c>
      <c r="HU499" s="1149" t="str">
        <f t="shared" si="524"/>
        <v/>
      </c>
      <c r="HV499" s="1149" t="str">
        <f t="shared" si="525"/>
        <v/>
      </c>
      <c r="HW499" s="1149" t="str">
        <f t="shared" si="526"/>
        <v/>
      </c>
      <c r="HX499" s="1149" t="str">
        <f t="shared" si="527"/>
        <v/>
      </c>
    </row>
    <row r="500" spans="1:232" s="69" customFormat="1" ht="50.15" hidden="1" customHeight="1">
      <c r="A500" s="645"/>
      <c r="B500" s="645"/>
      <c r="C500" s="645"/>
      <c r="D500" s="645"/>
      <c r="E500" s="646"/>
      <c r="F500" s="381"/>
      <c r="G500" s="381"/>
      <c r="H500" s="381"/>
      <c r="J500" s="80"/>
      <c r="K500" s="89"/>
      <c r="L500" s="89"/>
      <c r="M500" s="1963" t="s">
        <v>1383</v>
      </c>
      <c r="N500" s="1963"/>
      <c r="O500" s="1963"/>
      <c r="P500" s="2545"/>
      <c r="Q500" s="2545"/>
      <c r="R500" s="2545"/>
      <c r="S500" s="2545"/>
      <c r="T500" s="2545"/>
      <c r="U500" s="1966"/>
      <c r="V500" s="2331"/>
      <c r="W500" s="2331"/>
      <c r="X500" s="2331"/>
      <c r="Y500" s="2331"/>
      <c r="Z500" s="2331"/>
      <c r="AA500" s="2331"/>
      <c r="AB500" s="2331"/>
      <c r="AC500" s="2331"/>
      <c r="AD500" s="2331"/>
      <c r="AE500" s="2331"/>
      <c r="AF500" s="2014"/>
      <c r="AG500" s="2043"/>
      <c r="AH500" s="2043"/>
      <c r="AI500" s="2043"/>
      <c r="AJ500" s="2043"/>
      <c r="AK500" s="2043"/>
      <c r="AL500" s="2043"/>
      <c r="AM500" s="2043"/>
      <c r="AN500" s="2043"/>
      <c r="AO500" s="2043"/>
      <c r="AP500" s="2043"/>
      <c r="AQ500" s="2044"/>
      <c r="AR500" s="2136"/>
      <c r="AS500" s="2136"/>
      <c r="AT500" s="2045"/>
      <c r="AU500" s="2045"/>
      <c r="AV500" s="2045"/>
      <c r="AW500" s="2045"/>
      <c r="AX500" s="2045"/>
      <c r="AY500" s="2045"/>
      <c r="AZ500" s="2045"/>
      <c r="BA500" s="2045"/>
      <c r="BB500" s="2045"/>
      <c r="BC500" s="2045"/>
      <c r="BD500" s="2045"/>
      <c r="BE500" s="2045"/>
      <c r="BF500" s="2045"/>
      <c r="BG500" s="2045"/>
      <c r="BH500" s="2045"/>
      <c r="BI500" s="2045"/>
      <c r="BJ500" s="2045"/>
      <c r="BK500" s="2045"/>
      <c r="BL500" s="2045"/>
      <c r="BM500" s="2045"/>
      <c r="BN500" s="2045"/>
      <c r="BO500" s="2045"/>
      <c r="BP500" s="2045"/>
      <c r="BQ500" s="2045"/>
      <c r="BR500" s="2045"/>
      <c r="BS500" s="2118"/>
      <c r="BT500" s="2118"/>
      <c r="BU500" s="2118"/>
      <c r="BV500" s="2124"/>
      <c r="BW500" s="2124"/>
      <c r="BX500" s="2124"/>
      <c r="BY500" s="2124"/>
      <c r="BZ500" s="2125"/>
      <c r="CA500" s="2125"/>
      <c r="CB500" s="2127"/>
      <c r="CC500" s="2128"/>
      <c r="CD500" s="2128"/>
      <c r="CE500" s="2128"/>
      <c r="CF500" s="2128"/>
      <c r="CG500" s="2128"/>
      <c r="CH500" s="2128"/>
      <c r="CI500" s="2128"/>
      <c r="CJ500" s="2128"/>
      <c r="CK500" s="2128"/>
      <c r="CL500" s="2128"/>
      <c r="CM500" s="2128"/>
      <c r="CN500" s="2128"/>
      <c r="CO500" s="2128"/>
      <c r="CP500" s="2128"/>
      <c r="CQ500" s="2128"/>
      <c r="CR500" s="2128"/>
      <c r="CS500" s="2128"/>
      <c r="CT500" s="2128"/>
      <c r="CU500" s="2129"/>
      <c r="CV500" s="2360" t="str">
        <f t="shared" si="644"/>
        <v/>
      </c>
      <c r="CW500" s="2360"/>
      <c r="CX500" s="2360"/>
      <c r="CY500" s="2360"/>
      <c r="CZ500" s="2360"/>
      <c r="DA500" s="2360"/>
      <c r="DC500" s="600" t="str">
        <f t="shared" si="645"/>
        <v/>
      </c>
      <c r="DD500" s="381"/>
      <c r="DF500" s="34"/>
      <c r="DG500" s="34"/>
      <c r="DH500" s="34"/>
      <c r="DI500" s="34"/>
      <c r="DJ500" s="858" t="s">
        <v>5637</v>
      </c>
      <c r="DK500" s="1707" t="str">
        <f t="shared" si="668"/>
        <v/>
      </c>
      <c r="DL500" s="1692" t="str">
        <f t="shared" si="669"/>
        <v/>
      </c>
      <c r="DM500" s="1691">
        <f t="shared" si="646"/>
        <v>0</v>
      </c>
      <c r="DN500" s="111">
        <f t="shared" si="676"/>
        <v>0</v>
      </c>
      <c r="DO500" s="111">
        <f t="shared" si="677"/>
        <v>0</v>
      </c>
      <c r="DP500" s="474">
        <f t="shared" si="678"/>
        <v>0</v>
      </c>
      <c r="DQ500" s="123" t="s">
        <v>1383</v>
      </c>
      <c r="DR500" s="473">
        <f t="shared" si="679"/>
        <v>0</v>
      </c>
      <c r="DS500" s="112">
        <f t="shared" si="680"/>
        <v>0</v>
      </c>
      <c r="DT500" s="118" t="str">
        <f t="shared" si="681"/>
        <v/>
      </c>
      <c r="DU500" s="151" t="str">
        <f t="shared" si="647"/>
        <v/>
      </c>
      <c r="DV500" s="151" t="str">
        <f>IF($DT500="要是正",MAX($DV$489:DV499)+1,"")</f>
        <v/>
      </c>
      <c r="DW500" s="32" t="str">
        <f t="shared" si="682"/>
        <v/>
      </c>
      <c r="DX500" s="119" t="str">
        <f t="shared" si="648"/>
        <v/>
      </c>
      <c r="DY500" s="33" t="str">
        <f t="shared" si="670"/>
        <v/>
      </c>
      <c r="DZ500" s="139" t="str">
        <f t="shared" si="683"/>
        <v/>
      </c>
      <c r="EA500" s="396" t="str">
        <f t="shared" si="649"/>
        <v/>
      </c>
      <c r="EB500" s="234" t="str">
        <f t="shared" si="650"/>
        <v/>
      </c>
      <c r="EC500" s="227" t="str">
        <f t="shared" si="651"/>
        <v>0</v>
      </c>
      <c r="ED500" s="148" t="str">
        <f t="shared" si="671"/>
        <v/>
      </c>
      <c r="EE500" s="227" t="str">
        <f t="shared" si="672"/>
        <v>0</v>
      </c>
      <c r="EF500" s="130" t="str">
        <f t="shared" si="653"/>
        <v/>
      </c>
      <c r="EG500" s="204" t="str">
        <f t="shared" si="654"/>
        <v/>
      </c>
      <c r="EH500" s="134" t="str">
        <f t="shared" si="655"/>
        <v>0</v>
      </c>
      <c r="EI500" s="148" t="str">
        <f t="shared" si="673"/>
        <v/>
      </c>
      <c r="EJ500" s="227" t="str">
        <f t="shared" si="674"/>
        <v>0</v>
      </c>
      <c r="EK500" s="416" t="str">
        <f t="shared" si="657"/>
        <v/>
      </c>
      <c r="EL500" s="452" t="e">
        <f t="shared" si="658"/>
        <v>#N/A</v>
      </c>
      <c r="EM500" s="151" t="e">
        <f t="shared" si="659"/>
        <v>#N/A</v>
      </c>
      <c r="EN500" s="453" t="e">
        <f t="shared" si="660"/>
        <v>#N/A</v>
      </c>
      <c r="FK500" s="597" t="str">
        <f t="shared" si="661"/>
        <v/>
      </c>
      <c r="FL500" s="597" t="str">
        <f t="shared" si="530"/>
        <v/>
      </c>
      <c r="FM500" s="597" t="str">
        <f t="shared" si="531"/>
        <v/>
      </c>
      <c r="FN500" s="597">
        <f t="shared" si="662"/>
        <v>0</v>
      </c>
      <c r="FO500" s="1163"/>
      <c r="FQ500" s="234" t="str">
        <f t="shared" si="663"/>
        <v/>
      </c>
      <c r="FR500" s="227" t="str">
        <f t="shared" si="664"/>
        <v>0</v>
      </c>
      <c r="FS500" s="148" t="str">
        <f t="shared" si="665"/>
        <v/>
      </c>
      <c r="FT500" s="227" t="str">
        <f t="shared" si="666"/>
        <v>0</v>
      </c>
      <c r="FU500" s="416" t="str">
        <f t="shared" si="667"/>
        <v/>
      </c>
      <c r="FW500" s="1160">
        <f t="shared" si="675"/>
        <v>0</v>
      </c>
      <c r="FX500" s="123"/>
      <c r="FY500" s="123"/>
      <c r="FZ500" s="1161"/>
      <c r="GA500" s="34"/>
      <c r="GB500" s="1149">
        <f t="shared" si="684"/>
        <v>0</v>
      </c>
      <c r="GC500" s="1149">
        <f t="shared" si="685"/>
        <v>0</v>
      </c>
      <c r="GD500" s="1149">
        <f t="shared" si="686"/>
        <v>0</v>
      </c>
      <c r="GE500" s="1149" t="str">
        <f t="shared" si="687"/>
        <v/>
      </c>
      <c r="GF500" s="1149" t="str">
        <f t="shared" si="688"/>
        <v/>
      </c>
      <c r="GG500" s="1149" t="str">
        <f t="shared" si="689"/>
        <v/>
      </c>
      <c r="GH500" s="1149" t="str">
        <f t="shared" si="690"/>
        <v/>
      </c>
      <c r="GI500" s="1149" t="str">
        <f t="shared" si="691"/>
        <v/>
      </c>
      <c r="GJ500" s="1149" t="str">
        <f t="shared" si="692"/>
        <v/>
      </c>
      <c r="GK500" s="1149" t="str">
        <f t="shared" si="693"/>
        <v/>
      </c>
      <c r="GL500" s="1149" t="str">
        <f t="shared" si="694"/>
        <v/>
      </c>
      <c r="GM500" s="1149" t="str">
        <f t="shared" si="695"/>
        <v/>
      </c>
      <c r="GN500" s="1149" t="str">
        <f t="shared" si="696"/>
        <v/>
      </c>
      <c r="GO500" s="1149" t="str">
        <f t="shared" si="697"/>
        <v/>
      </c>
      <c r="GP500" s="1149" t="str">
        <f t="shared" si="698"/>
        <v/>
      </c>
      <c r="GQ500" s="1149" t="str">
        <f t="shared" si="699"/>
        <v/>
      </c>
      <c r="GR500" s="1149" t="str">
        <f t="shared" si="700"/>
        <v/>
      </c>
      <c r="GS500" s="1149" t="str">
        <f t="shared" si="701"/>
        <v/>
      </c>
      <c r="GT500" s="1149">
        <f t="shared" si="702"/>
        <v>0</v>
      </c>
      <c r="GU500" s="1149">
        <f t="shared" si="703"/>
        <v>0</v>
      </c>
      <c r="GV500" s="1149">
        <f t="shared" si="704"/>
        <v>0</v>
      </c>
      <c r="GW500" s="1149" t="b">
        <f t="shared" si="705"/>
        <v>0</v>
      </c>
      <c r="GX500" s="1149" t="b">
        <f t="shared" si="706"/>
        <v>0</v>
      </c>
      <c r="GY500" s="1149" t="b">
        <f t="shared" si="707"/>
        <v>0</v>
      </c>
      <c r="GZ500" s="1149" t="str">
        <f t="shared" si="528"/>
        <v/>
      </c>
      <c r="HB500" s="1149" t="str">
        <f t="shared" ref="HB500:HB507" si="708">IF(FW500=0,"",FW500&amp;", ")</f>
        <v/>
      </c>
      <c r="HC500" s="1149" t="str">
        <f t="shared" ref="HC500:HC507" si="709">IF(HC$306=$M500,$FW$512&amp;", ","")</f>
        <v/>
      </c>
      <c r="HD500" s="1149" t="str">
        <f t="shared" ref="HD500:HD507" si="710">IF(HD$306=$M500,$FW$513&amp;", ","")</f>
        <v/>
      </c>
      <c r="HE500" s="1149" t="str">
        <f t="shared" ref="HE500:HE507" si="711">IF(HE$306=$M500,$FW$514&amp;", ","")</f>
        <v/>
      </c>
      <c r="HF500" s="1149" t="str">
        <f t="shared" ref="HF500:HF507" si="712">IF(HF$306=$M500,$FW$515&amp;", ","")</f>
        <v/>
      </c>
      <c r="HG500" s="1149" t="str">
        <f t="shared" ref="HG500:HG507" si="713">IF(HG$306=$M500,$FW$516&amp;", ","")</f>
        <v/>
      </c>
      <c r="HH500" s="1149" t="str">
        <f t="shared" ref="HH500:HH507" si="714">IF(HH$306=$M500,$FW$517&amp;", ","")</f>
        <v/>
      </c>
      <c r="HI500" s="1149" t="str">
        <f t="shared" ref="HI500:HI507" si="715">IF(HI$306=$M500,$FW$518&amp;", ","")</f>
        <v/>
      </c>
      <c r="HJ500" s="1149" t="str">
        <f t="shared" ref="HJ500:HJ507" si="716">IF(HJ$306=$M500,$FW$519&amp;", ","")</f>
        <v/>
      </c>
      <c r="HK500" s="1149" t="str">
        <f t="shared" ref="HK500:HK507" si="717">IF(HK$306=$M500,$FW$520&amp;", ","")</f>
        <v/>
      </c>
      <c r="HL500" s="1149" t="str">
        <f t="shared" ref="HL500:HL507" si="718">IF(HL$306=$M500,$FW$521&amp;", ","")</f>
        <v/>
      </c>
      <c r="HM500" s="1149" t="str">
        <f t="shared" ref="HM500:HM507" si="719">IF(HM$306=$M500,$FW$522&amp;", ","")</f>
        <v/>
      </c>
      <c r="HN500" s="1149" t="str">
        <f t="shared" ref="HN500:HN507" si="720">IF(HN$306=$M500,$FW$523&amp;", ","")</f>
        <v/>
      </c>
      <c r="HO500" s="1149" t="str">
        <f t="shared" ref="HO500:HO507" si="721">IF(HO$306=$M500,$FW$524&amp;", ","")</f>
        <v/>
      </c>
      <c r="HP500" s="1149" t="str">
        <f t="shared" ref="HP500:HP507" si="722">IF(HP$306=$M500,$FW$525&amp;", ","")</f>
        <v/>
      </c>
      <c r="HQ500" s="1149" t="str">
        <f t="shared" ref="HQ500:HQ507" si="723">IF(HQ$306=$M500,$FW$526&amp;", ","")</f>
        <v/>
      </c>
      <c r="HR500" s="1149" t="str">
        <f t="shared" ref="HR500:HR507" si="724">CONCATENATE(HB500,HC500,HD500,HE500,HF500,HG500,HH500,HI500,HJ500,HK500,HL500,HM500,HN500,HO500,HP500,HQ500)</f>
        <v/>
      </c>
      <c r="HT500" s="1149">
        <f>LEFT(M500,1)*10000+MID(M500,3,LEN(M500)-3)*100+COUNTIF($M$307:M500,M500)</f>
        <v>70801</v>
      </c>
      <c r="HU500" s="1149" t="str">
        <f t="shared" ref="HU500:HU526" si="725">IF($DT500="要是正",$HT500,"")</f>
        <v/>
      </c>
      <c r="HV500" s="1149" t="str">
        <f t="shared" ref="HV500:HV526" si="726">IF(HU500="","",RANK(HU500,HU$307:HU$526,1))</f>
        <v/>
      </c>
      <c r="HW500" s="1149" t="str">
        <f t="shared" ref="HW500:HW526" si="727">IF(OR($DT500="要是正",$DT500="既存不適格"),$HT500,"")</f>
        <v/>
      </c>
      <c r="HX500" s="1149" t="str">
        <f t="shared" ref="HX500:HX526" si="728">IF(HW500="","",RANK(HW500,HW$307:HW$526,1))</f>
        <v/>
      </c>
    </row>
    <row r="501" spans="1:232" s="69" customFormat="1" ht="50.15" hidden="1" customHeight="1">
      <c r="A501" s="645"/>
      <c r="B501" s="645"/>
      <c r="C501" s="645"/>
      <c r="D501" s="645"/>
      <c r="E501" s="646"/>
      <c r="F501" s="381"/>
      <c r="G501" s="381"/>
      <c r="H501" s="381"/>
      <c r="J501" s="80"/>
      <c r="K501" s="89"/>
      <c r="L501" s="89"/>
      <c r="M501" s="1963" t="s">
        <v>1384</v>
      </c>
      <c r="N501" s="1963"/>
      <c r="O501" s="1963"/>
      <c r="P501" s="2545"/>
      <c r="Q501" s="2545"/>
      <c r="R501" s="2545"/>
      <c r="S501" s="2545"/>
      <c r="T501" s="2545"/>
      <c r="U501" s="1966"/>
      <c r="V501" s="2331"/>
      <c r="W501" s="2331"/>
      <c r="X501" s="2331"/>
      <c r="Y501" s="2331"/>
      <c r="Z501" s="2331"/>
      <c r="AA501" s="2331"/>
      <c r="AB501" s="2331"/>
      <c r="AC501" s="2331"/>
      <c r="AD501" s="2331"/>
      <c r="AE501" s="2331"/>
      <c r="AF501" s="2014"/>
      <c r="AG501" s="2043"/>
      <c r="AH501" s="2043"/>
      <c r="AI501" s="2043"/>
      <c r="AJ501" s="2043"/>
      <c r="AK501" s="2043"/>
      <c r="AL501" s="2043"/>
      <c r="AM501" s="2043"/>
      <c r="AN501" s="2043"/>
      <c r="AO501" s="2043"/>
      <c r="AP501" s="2043"/>
      <c r="AQ501" s="2044"/>
      <c r="AR501" s="2136"/>
      <c r="AS501" s="2136"/>
      <c r="AT501" s="2045"/>
      <c r="AU501" s="2045"/>
      <c r="AV501" s="2045"/>
      <c r="AW501" s="2045"/>
      <c r="AX501" s="2045"/>
      <c r="AY501" s="2045"/>
      <c r="AZ501" s="2045"/>
      <c r="BA501" s="2045"/>
      <c r="BB501" s="2045"/>
      <c r="BC501" s="2045"/>
      <c r="BD501" s="2045"/>
      <c r="BE501" s="2045"/>
      <c r="BF501" s="2045"/>
      <c r="BG501" s="2045"/>
      <c r="BH501" s="2045"/>
      <c r="BI501" s="2045"/>
      <c r="BJ501" s="2045"/>
      <c r="BK501" s="2045"/>
      <c r="BL501" s="2045"/>
      <c r="BM501" s="2045"/>
      <c r="BN501" s="2045"/>
      <c r="BO501" s="2045"/>
      <c r="BP501" s="2045"/>
      <c r="BQ501" s="2045"/>
      <c r="BR501" s="2045"/>
      <c r="BS501" s="2118"/>
      <c r="BT501" s="2118"/>
      <c r="BU501" s="2118"/>
      <c r="BV501" s="2124"/>
      <c r="BW501" s="2124"/>
      <c r="BX501" s="2124"/>
      <c r="BY501" s="2124"/>
      <c r="BZ501" s="2125"/>
      <c r="CA501" s="2125"/>
      <c r="CB501" s="2127"/>
      <c r="CC501" s="2128"/>
      <c r="CD501" s="2128"/>
      <c r="CE501" s="2128"/>
      <c r="CF501" s="2128"/>
      <c r="CG501" s="2128"/>
      <c r="CH501" s="2128"/>
      <c r="CI501" s="2128"/>
      <c r="CJ501" s="2128"/>
      <c r="CK501" s="2128"/>
      <c r="CL501" s="2128"/>
      <c r="CM501" s="2128"/>
      <c r="CN501" s="2128"/>
      <c r="CO501" s="2128"/>
      <c r="CP501" s="2128"/>
      <c r="CQ501" s="2128"/>
      <c r="CR501" s="2128"/>
      <c r="CS501" s="2128"/>
      <c r="CT501" s="2128"/>
      <c r="CU501" s="2129"/>
      <c r="CV501" s="2360" t="str">
        <f t="shared" si="644"/>
        <v/>
      </c>
      <c r="CW501" s="2360"/>
      <c r="CX501" s="2360"/>
      <c r="CY501" s="2360"/>
      <c r="CZ501" s="2360"/>
      <c r="DA501" s="2360"/>
      <c r="DC501" s="600" t="str">
        <f t="shared" si="645"/>
        <v/>
      </c>
      <c r="DD501" s="381"/>
      <c r="DF501" s="34"/>
      <c r="DG501" s="34"/>
      <c r="DH501" s="34"/>
      <c r="DI501" s="34"/>
      <c r="DJ501" s="858" t="s">
        <v>5637</v>
      </c>
      <c r="DK501" s="1707" t="str">
        <f t="shared" si="668"/>
        <v/>
      </c>
      <c r="DL501" s="1692" t="str">
        <f t="shared" si="669"/>
        <v/>
      </c>
      <c r="DM501" s="1691">
        <f t="shared" si="646"/>
        <v>0</v>
      </c>
      <c r="DN501" s="111">
        <f t="shared" si="676"/>
        <v>0</v>
      </c>
      <c r="DO501" s="111">
        <f t="shared" si="677"/>
        <v>0</v>
      </c>
      <c r="DP501" s="474">
        <f t="shared" si="678"/>
        <v>0</v>
      </c>
      <c r="DQ501" s="123" t="s">
        <v>1384</v>
      </c>
      <c r="DR501" s="473">
        <f t="shared" si="679"/>
        <v>0</v>
      </c>
      <c r="DS501" s="112">
        <f t="shared" si="680"/>
        <v>0</v>
      </c>
      <c r="DT501" s="118" t="str">
        <f t="shared" si="681"/>
        <v/>
      </c>
      <c r="DU501" s="151" t="str">
        <f t="shared" si="647"/>
        <v/>
      </c>
      <c r="DV501" s="151" t="str">
        <f>IF($DT501="要是正",MAX($DV$489:DV500)+1,"")</f>
        <v/>
      </c>
      <c r="DW501" s="32" t="str">
        <f t="shared" si="682"/>
        <v/>
      </c>
      <c r="DX501" s="119" t="str">
        <f t="shared" si="648"/>
        <v/>
      </c>
      <c r="DY501" s="33" t="str">
        <f t="shared" si="670"/>
        <v/>
      </c>
      <c r="DZ501" s="139" t="str">
        <f t="shared" si="683"/>
        <v/>
      </c>
      <c r="EA501" s="396" t="str">
        <f t="shared" si="649"/>
        <v/>
      </c>
      <c r="EB501" s="234" t="str">
        <f t="shared" si="650"/>
        <v/>
      </c>
      <c r="EC501" s="227" t="str">
        <f t="shared" si="651"/>
        <v>0</v>
      </c>
      <c r="ED501" s="148" t="str">
        <f t="shared" si="671"/>
        <v/>
      </c>
      <c r="EE501" s="227" t="str">
        <f t="shared" si="672"/>
        <v>0</v>
      </c>
      <c r="EF501" s="130" t="str">
        <f t="shared" si="653"/>
        <v/>
      </c>
      <c r="EG501" s="204" t="str">
        <f t="shared" si="654"/>
        <v/>
      </c>
      <c r="EH501" s="134" t="str">
        <f t="shared" si="655"/>
        <v>0</v>
      </c>
      <c r="EI501" s="148" t="str">
        <f t="shared" si="673"/>
        <v/>
      </c>
      <c r="EJ501" s="227" t="str">
        <f t="shared" si="674"/>
        <v>0</v>
      </c>
      <c r="EK501" s="416" t="str">
        <f t="shared" si="657"/>
        <v/>
      </c>
      <c r="EL501" s="452" t="e">
        <f t="shared" si="658"/>
        <v>#N/A</v>
      </c>
      <c r="EM501" s="151" t="e">
        <f t="shared" si="659"/>
        <v>#N/A</v>
      </c>
      <c r="EN501" s="453" t="e">
        <f t="shared" si="660"/>
        <v>#N/A</v>
      </c>
      <c r="FK501" s="597" t="str">
        <f t="shared" si="661"/>
        <v/>
      </c>
      <c r="FL501" s="597" t="str">
        <f t="shared" si="530"/>
        <v/>
      </c>
      <c r="FM501" s="597" t="str">
        <f t="shared" si="531"/>
        <v/>
      </c>
      <c r="FN501" s="597">
        <f t="shared" si="662"/>
        <v>0</v>
      </c>
      <c r="FO501" s="1163"/>
      <c r="FQ501" s="234" t="str">
        <f t="shared" si="663"/>
        <v/>
      </c>
      <c r="FR501" s="227" t="str">
        <f t="shared" si="664"/>
        <v>0</v>
      </c>
      <c r="FS501" s="148" t="str">
        <f t="shared" si="665"/>
        <v/>
      </c>
      <c r="FT501" s="227" t="str">
        <f t="shared" si="666"/>
        <v>0</v>
      </c>
      <c r="FU501" s="416" t="str">
        <f t="shared" si="667"/>
        <v/>
      </c>
      <c r="FW501" s="1160">
        <f t="shared" si="675"/>
        <v>0</v>
      </c>
      <c r="FX501" s="123"/>
      <c r="FY501" s="123"/>
      <c r="FZ501" s="1161"/>
      <c r="GA501" s="34"/>
      <c r="GB501" s="1149">
        <f t="shared" si="684"/>
        <v>0</v>
      </c>
      <c r="GC501" s="1149">
        <f t="shared" si="685"/>
        <v>0</v>
      </c>
      <c r="GD501" s="1149">
        <f t="shared" si="686"/>
        <v>0</v>
      </c>
      <c r="GE501" s="1149" t="str">
        <f t="shared" si="687"/>
        <v/>
      </c>
      <c r="GF501" s="1149" t="str">
        <f t="shared" si="688"/>
        <v/>
      </c>
      <c r="GG501" s="1149" t="str">
        <f t="shared" si="689"/>
        <v/>
      </c>
      <c r="GH501" s="1149" t="str">
        <f t="shared" si="690"/>
        <v/>
      </c>
      <c r="GI501" s="1149" t="str">
        <f t="shared" si="691"/>
        <v/>
      </c>
      <c r="GJ501" s="1149" t="str">
        <f t="shared" si="692"/>
        <v/>
      </c>
      <c r="GK501" s="1149" t="str">
        <f t="shared" si="693"/>
        <v/>
      </c>
      <c r="GL501" s="1149" t="str">
        <f t="shared" si="694"/>
        <v/>
      </c>
      <c r="GM501" s="1149" t="str">
        <f t="shared" si="695"/>
        <v/>
      </c>
      <c r="GN501" s="1149" t="str">
        <f t="shared" si="696"/>
        <v/>
      </c>
      <c r="GO501" s="1149" t="str">
        <f t="shared" si="697"/>
        <v/>
      </c>
      <c r="GP501" s="1149" t="str">
        <f t="shared" si="698"/>
        <v/>
      </c>
      <c r="GQ501" s="1149" t="str">
        <f t="shared" si="699"/>
        <v/>
      </c>
      <c r="GR501" s="1149" t="str">
        <f t="shared" si="700"/>
        <v/>
      </c>
      <c r="GS501" s="1149" t="str">
        <f t="shared" si="701"/>
        <v/>
      </c>
      <c r="GT501" s="1149">
        <f t="shared" si="702"/>
        <v>0</v>
      </c>
      <c r="GU501" s="1149">
        <f t="shared" si="703"/>
        <v>0</v>
      </c>
      <c r="GV501" s="1149">
        <f t="shared" si="704"/>
        <v>0</v>
      </c>
      <c r="GW501" s="1149" t="b">
        <f t="shared" si="705"/>
        <v>0</v>
      </c>
      <c r="GX501" s="1149" t="b">
        <f t="shared" si="706"/>
        <v>0</v>
      </c>
      <c r="GY501" s="1149" t="b">
        <f t="shared" si="707"/>
        <v>0</v>
      </c>
      <c r="GZ501" s="1149" t="str">
        <f t="shared" si="528"/>
        <v/>
      </c>
      <c r="HB501" s="1149" t="str">
        <f t="shared" si="708"/>
        <v/>
      </c>
      <c r="HC501" s="1149" t="str">
        <f t="shared" si="709"/>
        <v/>
      </c>
      <c r="HD501" s="1149" t="str">
        <f t="shared" si="710"/>
        <v/>
      </c>
      <c r="HE501" s="1149" t="str">
        <f t="shared" si="711"/>
        <v/>
      </c>
      <c r="HF501" s="1149" t="str">
        <f t="shared" si="712"/>
        <v/>
      </c>
      <c r="HG501" s="1149" t="str">
        <f t="shared" si="713"/>
        <v/>
      </c>
      <c r="HH501" s="1149" t="str">
        <f t="shared" si="714"/>
        <v/>
      </c>
      <c r="HI501" s="1149" t="str">
        <f t="shared" si="715"/>
        <v/>
      </c>
      <c r="HJ501" s="1149" t="str">
        <f t="shared" si="716"/>
        <v/>
      </c>
      <c r="HK501" s="1149" t="str">
        <f t="shared" si="717"/>
        <v/>
      </c>
      <c r="HL501" s="1149" t="str">
        <f t="shared" si="718"/>
        <v/>
      </c>
      <c r="HM501" s="1149" t="str">
        <f t="shared" si="719"/>
        <v/>
      </c>
      <c r="HN501" s="1149" t="str">
        <f t="shared" si="720"/>
        <v/>
      </c>
      <c r="HO501" s="1149" t="str">
        <f t="shared" si="721"/>
        <v/>
      </c>
      <c r="HP501" s="1149" t="str">
        <f t="shared" si="722"/>
        <v/>
      </c>
      <c r="HQ501" s="1149" t="str">
        <f t="shared" si="723"/>
        <v/>
      </c>
      <c r="HR501" s="1149" t="str">
        <f t="shared" si="724"/>
        <v/>
      </c>
      <c r="HT501" s="1149">
        <f>LEFT(M501,1)*10000+MID(M501,3,LEN(M501)-3)*100+COUNTIF($M$307:M501,M501)</f>
        <v>70901</v>
      </c>
      <c r="HU501" s="1149" t="str">
        <f t="shared" si="725"/>
        <v/>
      </c>
      <c r="HV501" s="1149" t="str">
        <f t="shared" si="726"/>
        <v/>
      </c>
      <c r="HW501" s="1149" t="str">
        <f t="shared" si="727"/>
        <v/>
      </c>
      <c r="HX501" s="1149" t="str">
        <f t="shared" si="728"/>
        <v/>
      </c>
    </row>
    <row r="502" spans="1:232" s="69" customFormat="1" ht="50.15" hidden="1" customHeight="1" thickBot="1">
      <c r="A502" s="645"/>
      <c r="B502" s="645"/>
      <c r="C502" s="645"/>
      <c r="D502" s="645"/>
      <c r="E502" s="646"/>
      <c r="F502" s="381"/>
      <c r="G502" s="381"/>
      <c r="H502" s="381"/>
      <c r="J502" s="80"/>
      <c r="K502" s="89"/>
      <c r="L502" s="89"/>
      <c r="M502" s="1963" t="s">
        <v>1385</v>
      </c>
      <c r="N502" s="1963"/>
      <c r="O502" s="1963"/>
      <c r="P502" s="2545"/>
      <c r="Q502" s="2545"/>
      <c r="R502" s="2545"/>
      <c r="S502" s="2545"/>
      <c r="T502" s="2545"/>
      <c r="U502" s="2096"/>
      <c r="V502" s="2333"/>
      <c r="W502" s="2333"/>
      <c r="X502" s="2333"/>
      <c r="Y502" s="2333"/>
      <c r="Z502" s="2333"/>
      <c r="AA502" s="2333"/>
      <c r="AB502" s="2333"/>
      <c r="AC502" s="2333"/>
      <c r="AD502" s="2333"/>
      <c r="AE502" s="2333"/>
      <c r="AF502" s="2341"/>
      <c r="AG502" s="2342"/>
      <c r="AH502" s="2342"/>
      <c r="AI502" s="2342"/>
      <c r="AJ502" s="2342"/>
      <c r="AK502" s="2342"/>
      <c r="AL502" s="2342"/>
      <c r="AM502" s="2342"/>
      <c r="AN502" s="2342"/>
      <c r="AO502" s="2342"/>
      <c r="AP502" s="2342"/>
      <c r="AQ502" s="2343"/>
      <c r="AR502" s="2137"/>
      <c r="AS502" s="2137"/>
      <c r="AT502" s="2045"/>
      <c r="AU502" s="2045"/>
      <c r="AV502" s="2045"/>
      <c r="AW502" s="2045"/>
      <c r="AX502" s="2045"/>
      <c r="AY502" s="2045"/>
      <c r="AZ502" s="2045"/>
      <c r="BA502" s="2045"/>
      <c r="BB502" s="2045"/>
      <c r="BC502" s="2045"/>
      <c r="BD502" s="2045"/>
      <c r="BE502" s="2045"/>
      <c r="BF502" s="2045"/>
      <c r="BG502" s="2045"/>
      <c r="BH502" s="2045"/>
      <c r="BI502" s="2045"/>
      <c r="BJ502" s="2045"/>
      <c r="BK502" s="2045"/>
      <c r="BL502" s="2045"/>
      <c r="BM502" s="2045"/>
      <c r="BN502" s="2045"/>
      <c r="BO502" s="2045"/>
      <c r="BP502" s="2045"/>
      <c r="BQ502" s="2045"/>
      <c r="BR502" s="2045"/>
      <c r="BS502" s="2118"/>
      <c r="BT502" s="2118"/>
      <c r="BU502" s="2118"/>
      <c r="BV502" s="2124"/>
      <c r="BW502" s="2124"/>
      <c r="BX502" s="2124"/>
      <c r="BY502" s="2124"/>
      <c r="BZ502" s="2125"/>
      <c r="CA502" s="2125"/>
      <c r="CB502" s="2127"/>
      <c r="CC502" s="2128"/>
      <c r="CD502" s="2128"/>
      <c r="CE502" s="2128"/>
      <c r="CF502" s="2128"/>
      <c r="CG502" s="2128"/>
      <c r="CH502" s="2128"/>
      <c r="CI502" s="2128"/>
      <c r="CJ502" s="2128"/>
      <c r="CK502" s="2128"/>
      <c r="CL502" s="2128"/>
      <c r="CM502" s="2128"/>
      <c r="CN502" s="2128"/>
      <c r="CO502" s="2128"/>
      <c r="CP502" s="2128"/>
      <c r="CQ502" s="2128"/>
      <c r="CR502" s="2128"/>
      <c r="CS502" s="2128"/>
      <c r="CT502" s="2128"/>
      <c r="CU502" s="2129"/>
      <c r="CV502" s="2360" t="str">
        <f t="shared" si="644"/>
        <v/>
      </c>
      <c r="CW502" s="2360"/>
      <c r="CX502" s="2360"/>
      <c r="CY502" s="2360"/>
      <c r="CZ502" s="2360"/>
      <c r="DA502" s="2360"/>
      <c r="DC502" s="600" t="str">
        <f t="shared" si="645"/>
        <v/>
      </c>
      <c r="DD502" s="381"/>
      <c r="DF502" s="34"/>
      <c r="DG502" s="34"/>
      <c r="DH502" s="34"/>
      <c r="DI502" s="34"/>
      <c r="DJ502" s="858" t="s">
        <v>5637</v>
      </c>
      <c r="DK502" s="1707" t="str">
        <f t="shared" si="668"/>
        <v/>
      </c>
      <c r="DL502" s="1692" t="str">
        <f t="shared" si="669"/>
        <v/>
      </c>
      <c r="DM502" s="1694">
        <f t="shared" si="646"/>
        <v>0</v>
      </c>
      <c r="DN502" s="476">
        <f t="shared" si="676"/>
        <v>0</v>
      </c>
      <c r="DO502" s="476">
        <f t="shared" si="677"/>
        <v>0</v>
      </c>
      <c r="DP502" s="477">
        <f t="shared" si="678"/>
        <v>0</v>
      </c>
      <c r="DQ502" s="123" t="s">
        <v>1385</v>
      </c>
      <c r="DR502" s="475">
        <f t="shared" si="679"/>
        <v>0</v>
      </c>
      <c r="DS502" s="221">
        <f t="shared" si="680"/>
        <v>0</v>
      </c>
      <c r="DT502" s="480" t="str">
        <f t="shared" si="681"/>
        <v/>
      </c>
      <c r="DU502" s="151" t="str">
        <f t="shared" si="647"/>
        <v/>
      </c>
      <c r="DV502" s="151" t="str">
        <f>IF($DT502="要是正",MAX($DV$489:DV501)+1,"")</f>
        <v/>
      </c>
      <c r="DW502" s="32" t="str">
        <f t="shared" si="682"/>
        <v/>
      </c>
      <c r="DX502" s="532" t="str">
        <f t="shared" si="648"/>
        <v/>
      </c>
      <c r="DY502" s="533" t="str">
        <f t="shared" si="670"/>
        <v/>
      </c>
      <c r="DZ502" s="551" t="str">
        <f t="shared" si="683"/>
        <v/>
      </c>
      <c r="EA502" s="396" t="str">
        <f t="shared" si="649"/>
        <v/>
      </c>
      <c r="EB502" s="234" t="str">
        <f t="shared" si="650"/>
        <v/>
      </c>
      <c r="EC502" s="227" t="str">
        <f t="shared" si="651"/>
        <v>0</v>
      </c>
      <c r="ED502" s="148" t="str">
        <f t="shared" si="671"/>
        <v/>
      </c>
      <c r="EE502" s="227" t="str">
        <f t="shared" si="672"/>
        <v>0</v>
      </c>
      <c r="EF502" s="130" t="str">
        <f t="shared" si="653"/>
        <v/>
      </c>
      <c r="EG502" s="457" t="str">
        <f t="shared" si="654"/>
        <v/>
      </c>
      <c r="EH502" s="458" t="str">
        <f t="shared" si="655"/>
        <v>0</v>
      </c>
      <c r="EI502" s="459" t="str">
        <f t="shared" si="673"/>
        <v/>
      </c>
      <c r="EJ502" s="460" t="str">
        <f t="shared" si="674"/>
        <v>0</v>
      </c>
      <c r="EK502" s="461" t="str">
        <f t="shared" si="657"/>
        <v/>
      </c>
      <c r="EL502" s="232" t="e">
        <f t="shared" si="658"/>
        <v>#N/A</v>
      </c>
      <c r="EM502" s="233" t="e">
        <f t="shared" si="659"/>
        <v>#N/A</v>
      </c>
      <c r="EN502" s="454" t="e">
        <f t="shared" si="660"/>
        <v>#N/A</v>
      </c>
      <c r="FK502" s="597" t="str">
        <f t="shared" si="661"/>
        <v/>
      </c>
      <c r="FL502" s="597" t="str">
        <f t="shared" si="530"/>
        <v/>
      </c>
      <c r="FM502" s="597" t="str">
        <f t="shared" si="531"/>
        <v/>
      </c>
      <c r="FN502" s="597">
        <f t="shared" si="662"/>
        <v>0</v>
      </c>
      <c r="FO502" s="1163"/>
      <c r="FQ502" s="234" t="str">
        <f t="shared" si="663"/>
        <v/>
      </c>
      <c r="FR502" s="227" t="str">
        <f t="shared" si="664"/>
        <v>0</v>
      </c>
      <c r="FS502" s="148" t="str">
        <f t="shared" si="665"/>
        <v/>
      </c>
      <c r="FT502" s="227" t="str">
        <f t="shared" si="666"/>
        <v>0</v>
      </c>
      <c r="FU502" s="416" t="str">
        <f t="shared" si="667"/>
        <v/>
      </c>
      <c r="FW502" s="1160">
        <f t="shared" si="675"/>
        <v>0</v>
      </c>
      <c r="FX502" s="123"/>
      <c r="FY502" s="123"/>
      <c r="FZ502" s="1161"/>
      <c r="GA502" s="34"/>
      <c r="GB502" s="1149">
        <f t="shared" si="684"/>
        <v>0</v>
      </c>
      <c r="GC502" s="1149">
        <f t="shared" si="685"/>
        <v>0</v>
      </c>
      <c r="GD502" s="1149">
        <f t="shared" si="686"/>
        <v>0</v>
      </c>
      <c r="GE502" s="1149" t="str">
        <f t="shared" si="687"/>
        <v/>
      </c>
      <c r="GF502" s="1149" t="str">
        <f t="shared" si="688"/>
        <v/>
      </c>
      <c r="GG502" s="1149" t="str">
        <f t="shared" si="689"/>
        <v/>
      </c>
      <c r="GH502" s="1149" t="str">
        <f t="shared" si="690"/>
        <v/>
      </c>
      <c r="GI502" s="1149" t="str">
        <f t="shared" si="691"/>
        <v/>
      </c>
      <c r="GJ502" s="1149" t="str">
        <f t="shared" si="692"/>
        <v/>
      </c>
      <c r="GK502" s="1149" t="str">
        <f t="shared" si="693"/>
        <v/>
      </c>
      <c r="GL502" s="1149" t="str">
        <f t="shared" si="694"/>
        <v/>
      </c>
      <c r="GM502" s="1149" t="str">
        <f t="shared" si="695"/>
        <v/>
      </c>
      <c r="GN502" s="1149" t="str">
        <f t="shared" si="696"/>
        <v/>
      </c>
      <c r="GO502" s="1149" t="str">
        <f t="shared" si="697"/>
        <v/>
      </c>
      <c r="GP502" s="1149" t="str">
        <f t="shared" si="698"/>
        <v/>
      </c>
      <c r="GQ502" s="1149" t="str">
        <f t="shared" si="699"/>
        <v/>
      </c>
      <c r="GR502" s="1149" t="str">
        <f t="shared" si="700"/>
        <v/>
      </c>
      <c r="GS502" s="1149" t="str">
        <f t="shared" si="701"/>
        <v/>
      </c>
      <c r="GT502" s="1149">
        <f t="shared" si="702"/>
        <v>0</v>
      </c>
      <c r="GU502" s="1149">
        <f t="shared" si="703"/>
        <v>0</v>
      </c>
      <c r="GV502" s="1149">
        <f t="shared" si="704"/>
        <v>0</v>
      </c>
      <c r="GW502" s="1149" t="b">
        <f t="shared" si="705"/>
        <v>0</v>
      </c>
      <c r="GX502" s="1149" t="b">
        <f t="shared" si="706"/>
        <v>0</v>
      </c>
      <c r="GY502" s="1149" t="b">
        <f t="shared" si="707"/>
        <v>0</v>
      </c>
      <c r="GZ502" s="1149" t="str">
        <f t="shared" si="528"/>
        <v/>
      </c>
      <c r="HB502" s="1149" t="str">
        <f t="shared" si="708"/>
        <v/>
      </c>
      <c r="HC502" s="1149" t="str">
        <f t="shared" si="709"/>
        <v/>
      </c>
      <c r="HD502" s="1149" t="str">
        <f t="shared" si="710"/>
        <v/>
      </c>
      <c r="HE502" s="1149" t="str">
        <f t="shared" si="711"/>
        <v/>
      </c>
      <c r="HF502" s="1149" t="str">
        <f t="shared" si="712"/>
        <v/>
      </c>
      <c r="HG502" s="1149" t="str">
        <f t="shared" si="713"/>
        <v/>
      </c>
      <c r="HH502" s="1149" t="str">
        <f t="shared" si="714"/>
        <v/>
      </c>
      <c r="HI502" s="1149" t="str">
        <f t="shared" si="715"/>
        <v/>
      </c>
      <c r="HJ502" s="1149" t="str">
        <f t="shared" si="716"/>
        <v/>
      </c>
      <c r="HK502" s="1149" t="str">
        <f t="shared" si="717"/>
        <v/>
      </c>
      <c r="HL502" s="1149" t="str">
        <f t="shared" si="718"/>
        <v/>
      </c>
      <c r="HM502" s="1149" t="str">
        <f t="shared" si="719"/>
        <v/>
      </c>
      <c r="HN502" s="1149" t="str">
        <f t="shared" si="720"/>
        <v/>
      </c>
      <c r="HO502" s="1149" t="str">
        <f t="shared" si="721"/>
        <v/>
      </c>
      <c r="HP502" s="1149" t="str">
        <f t="shared" si="722"/>
        <v/>
      </c>
      <c r="HQ502" s="1149" t="str">
        <f t="shared" si="723"/>
        <v/>
      </c>
      <c r="HR502" s="1149" t="str">
        <f t="shared" si="724"/>
        <v/>
      </c>
      <c r="HT502" s="1149">
        <f>LEFT(M502,1)*10000+MID(M502,3,LEN(M502)-3)*100+COUNTIF($M$307:M502,M502)</f>
        <v>71001</v>
      </c>
      <c r="HU502" s="1149" t="str">
        <f t="shared" si="725"/>
        <v/>
      </c>
      <c r="HV502" s="1149" t="str">
        <f t="shared" si="726"/>
        <v/>
      </c>
      <c r="HW502" s="1149" t="str">
        <f t="shared" si="727"/>
        <v/>
      </c>
      <c r="HX502" s="1149" t="str">
        <f t="shared" si="728"/>
        <v/>
      </c>
    </row>
    <row r="503" spans="1:232" s="69" customFormat="1" ht="50.15" hidden="1" customHeight="1" thickBot="1">
      <c r="A503" s="645"/>
      <c r="B503" s="645"/>
      <c r="C503" s="645"/>
      <c r="D503" s="645"/>
      <c r="E503" s="646"/>
      <c r="F503" s="381"/>
      <c r="G503" s="381"/>
      <c r="H503" s="381"/>
      <c r="J503" s="80"/>
      <c r="K503" s="89"/>
      <c r="L503" s="89"/>
      <c r="M503" s="1963" t="s">
        <v>2591</v>
      </c>
      <c r="N503" s="1963"/>
      <c r="O503" s="1963"/>
      <c r="P503" s="2545"/>
      <c r="Q503" s="2545"/>
      <c r="R503" s="2545"/>
      <c r="S503" s="2545"/>
      <c r="T503" s="2545"/>
      <c r="U503" s="1966"/>
      <c r="V503" s="2331"/>
      <c r="W503" s="2331"/>
      <c r="X503" s="2331"/>
      <c r="Y503" s="2331"/>
      <c r="Z503" s="2331"/>
      <c r="AA503" s="2331"/>
      <c r="AB503" s="2331"/>
      <c r="AC503" s="2331"/>
      <c r="AD503" s="2331"/>
      <c r="AE503" s="2331"/>
      <c r="AF503" s="2014"/>
      <c r="AG503" s="2043"/>
      <c r="AH503" s="2043"/>
      <c r="AI503" s="2043"/>
      <c r="AJ503" s="2043"/>
      <c r="AK503" s="2043"/>
      <c r="AL503" s="2043"/>
      <c r="AM503" s="2043"/>
      <c r="AN503" s="2043"/>
      <c r="AO503" s="2043"/>
      <c r="AP503" s="2043"/>
      <c r="AQ503" s="2044"/>
      <c r="AR503" s="2136"/>
      <c r="AS503" s="2136"/>
      <c r="AT503" s="1928"/>
      <c r="AU503" s="1928"/>
      <c r="AV503" s="1928"/>
      <c r="AW503" s="1928"/>
      <c r="AX503" s="1928"/>
      <c r="AY503" s="1928"/>
      <c r="AZ503" s="1928"/>
      <c r="BA503" s="1928"/>
      <c r="BB503" s="1928"/>
      <c r="BC503" s="1928"/>
      <c r="BD503" s="1928"/>
      <c r="BE503" s="1928"/>
      <c r="BF503" s="1928"/>
      <c r="BG503" s="1928"/>
      <c r="BH503" s="1928"/>
      <c r="BI503" s="1928"/>
      <c r="BJ503" s="1928"/>
      <c r="BK503" s="1928"/>
      <c r="BL503" s="1928"/>
      <c r="BM503" s="1928"/>
      <c r="BN503" s="1928"/>
      <c r="BO503" s="1928"/>
      <c r="BP503" s="1928"/>
      <c r="BQ503" s="1928"/>
      <c r="BR503" s="1928"/>
      <c r="BS503" s="1998"/>
      <c r="BT503" s="1998"/>
      <c r="BU503" s="1998"/>
      <c r="BV503" s="1989"/>
      <c r="BW503" s="1989"/>
      <c r="BX503" s="1989"/>
      <c r="BY503" s="1989"/>
      <c r="BZ503" s="1990"/>
      <c r="CA503" s="1990"/>
      <c r="CB503" s="2338"/>
      <c r="CC503" s="2339"/>
      <c r="CD503" s="2339"/>
      <c r="CE503" s="2339"/>
      <c r="CF503" s="2339"/>
      <c r="CG503" s="2339"/>
      <c r="CH503" s="2339"/>
      <c r="CI503" s="2339"/>
      <c r="CJ503" s="2339"/>
      <c r="CK503" s="2339"/>
      <c r="CL503" s="2339"/>
      <c r="CM503" s="2339"/>
      <c r="CN503" s="2339"/>
      <c r="CO503" s="2339"/>
      <c r="CP503" s="2339"/>
      <c r="CQ503" s="2339"/>
      <c r="CR503" s="2339"/>
      <c r="CS503" s="2339"/>
      <c r="CT503" s="2339"/>
      <c r="CU503" s="2340"/>
      <c r="CV503" s="2360" t="str">
        <f t="shared" ref="CV503:CV507" si="729">IF(AND(DT503="要是正",DU503&lt;21),HYPERLINK("#"&amp;EL503&amp;"!"&amp;EM503&amp;":"&amp;EN503&amp;"","関連写真添付"),"")</f>
        <v/>
      </c>
      <c r="CW503" s="2360"/>
      <c r="CX503" s="2360"/>
      <c r="CY503" s="2360"/>
      <c r="CZ503" s="2360"/>
      <c r="DA503" s="2360"/>
      <c r="DC503" s="600" t="str">
        <f t="shared" ref="DC503:DC507" si="730">IF(AND(DU503&lt;&gt;"",DU503&gt;20),"「別途様式を作成、提出してください。」","")</f>
        <v/>
      </c>
      <c r="DD503" s="381"/>
      <c r="DF503" s="34"/>
      <c r="DG503" s="34"/>
      <c r="DH503" s="34"/>
      <c r="DI503" s="34"/>
      <c r="DJ503" s="858" t="s">
        <v>5637</v>
      </c>
      <c r="DK503" s="1707" t="str">
        <f t="shared" si="668"/>
        <v/>
      </c>
      <c r="DL503" s="1692" t="str">
        <f t="shared" si="669"/>
        <v/>
      </c>
      <c r="DM503" s="1694">
        <f t="shared" si="646"/>
        <v>0</v>
      </c>
      <c r="DN503" s="476">
        <f t="shared" ref="DN503:DN507" si="731">COUNTIFS(AF503,"○指摘なし")</f>
        <v>0</v>
      </c>
      <c r="DO503" s="476">
        <f t="shared" ref="DO503:DO507" si="732">COUNTIFS(AF503,"×要是正（既存不適格以外）")</f>
        <v>0</v>
      </c>
      <c r="DP503" s="477">
        <f t="shared" ref="DP503:DP507" si="733">COUNTIFS(AF503,"△既存不適格")</f>
        <v>0</v>
      </c>
      <c r="DQ503" s="123" t="s">
        <v>2637</v>
      </c>
      <c r="DR503" s="475">
        <f t="shared" ref="DR503:DR507" si="734">IF($U503="",R503,U503)</f>
        <v>0</v>
      </c>
      <c r="DS503" s="221">
        <f t="shared" ref="DS503:DS507" si="735">COUNTA(BS503:BX503)</f>
        <v>0</v>
      </c>
      <c r="DT503" s="480" t="str">
        <f t="shared" ref="DT503:DT507" si="736">IF(AF503="×要是正（既存不適格以外）","要是正","")&amp;IF(AF503="△既存不適格","既存不適格","")</f>
        <v/>
      </c>
      <c r="DU503" s="151" t="str">
        <f t="shared" si="647"/>
        <v/>
      </c>
      <c r="DV503" s="151" t="str">
        <f>IF($DT503="要是正",MAX($DV$489:DV502)+1,"")</f>
        <v/>
      </c>
      <c r="DW503" s="32" t="str">
        <f t="shared" ref="DW503:DW507" si="737">IF(OR(AF503="×要是正（既存不適格以外）",AF503="△既存不適格"),DQ503,"")</f>
        <v/>
      </c>
      <c r="DX503" s="532" t="str">
        <f t="shared" si="648"/>
        <v/>
      </c>
      <c r="DY503" s="533" t="str">
        <f t="shared" ref="DY503:DY507" si="738">IF($DT503="要是正",IF(AT503="","",DQ503 &amp;" " &amp; AT503),"")</f>
        <v/>
      </c>
      <c r="DZ503" s="551" t="str">
        <f t="shared" ref="DZ503:DZ507" si="739">IF($DT503="要是正",IF(BD503="","",BD503),"")</f>
        <v/>
      </c>
      <c r="EA503" s="396" t="str">
        <f t="shared" si="649"/>
        <v/>
      </c>
      <c r="EB503" s="234" t="str">
        <f t="shared" si="650"/>
        <v/>
      </c>
      <c r="EC503" s="227" t="str">
        <f t="shared" si="651"/>
        <v>0</v>
      </c>
      <c r="ED503" s="148" t="str">
        <f t="shared" ref="ED503:ED507" si="740">IF(DT503="要是正",IF(AND(BY503="予定",DS503=2),1,IF(BY503="改善済",2,"")),"")</f>
        <v/>
      </c>
      <c r="EE503" s="227" t="str">
        <f t="shared" ref="EE503:EE507" si="741">IF(ED503=1,EC503,"0")</f>
        <v>0</v>
      </c>
      <c r="EF503" s="130" t="str">
        <f t="shared" ref="EF503:EF507" si="742">IF(AND(DT503="要是正",AND(DS503=0,BY503="未定")),BY503,"")</f>
        <v/>
      </c>
      <c r="EG503" s="457" t="str">
        <f t="shared" si="654"/>
        <v/>
      </c>
      <c r="EH503" s="458" t="str">
        <f t="shared" si="655"/>
        <v>0</v>
      </c>
      <c r="EI503" s="459" t="str">
        <f t="shared" ref="EI503:EI507" si="743">IF(DT503="既存不適格",IF(AND(BY503="予定",DS503=2),1,IF(BY503="改善済",2,"")),"")</f>
        <v/>
      </c>
      <c r="EJ503" s="460" t="str">
        <f t="shared" ref="EJ503:EJ507" si="744">IF(EI503=1,EH503,"0")</f>
        <v>0</v>
      </c>
      <c r="EK503" s="461" t="str">
        <f t="shared" ref="EK503:EK507" si="745">IF(AND(DT503="既存不適格",AND(DS503=0,BY503="未定")),BY503,"")</f>
        <v/>
      </c>
      <c r="EL503" s="232" t="e">
        <f t="shared" ref="EL503:EL507" si="746">VLOOKUP($DU503,$EO$306:$ER$334,2,FALSE)</f>
        <v>#N/A</v>
      </c>
      <c r="EM503" s="233" t="e">
        <f t="shared" ref="EM503:EM507" si="747">VLOOKUP($DU503,$EO$306:$ER$334,3,FALSE)</f>
        <v>#N/A</v>
      </c>
      <c r="EN503" s="454" t="e">
        <f t="shared" ref="EN503:EN507" si="748">VLOOKUP($DU503,$EO$306:$ER$334,4,FALSE)</f>
        <v>#N/A</v>
      </c>
      <c r="FK503" s="597" t="str">
        <f t="shared" si="661"/>
        <v/>
      </c>
      <c r="FL503" s="597" t="str">
        <f t="shared" si="530"/>
        <v/>
      </c>
      <c r="FM503" s="597" t="str">
        <f t="shared" si="531"/>
        <v/>
      </c>
      <c r="FN503" s="597">
        <f t="shared" ref="FN503:FN507" si="749">AR503</f>
        <v>0</v>
      </c>
      <c r="FO503" s="1163"/>
      <c r="FQ503" s="234" t="str">
        <f t="shared" si="663"/>
        <v/>
      </c>
      <c r="FR503" s="227" t="str">
        <f t="shared" si="664"/>
        <v>0</v>
      </c>
      <c r="FS503" s="148" t="str">
        <f t="shared" ref="FS503:FS507" si="750">IF(OR(BY503="予定",BY503="改善済"),1,"")</f>
        <v/>
      </c>
      <c r="FT503" s="227" t="str">
        <f t="shared" ref="FT503:FT507" si="751">IF(FS503=1,FR503,"0")</f>
        <v>0</v>
      </c>
      <c r="FU503" s="416" t="str">
        <f t="shared" ref="FU503:FU507" si="752">IF(AND(FM503="要是正",AND(FL503=0,DR503="未定")),DR503,"")</f>
        <v/>
      </c>
      <c r="FW503" s="1160">
        <f t="shared" ref="FW503:FW507" si="753">IF(AF503="△既存不適格",AT503&amp;"(既存不適格)",AT503)</f>
        <v>0</v>
      </c>
      <c r="FX503" s="123"/>
      <c r="FY503" s="123"/>
      <c r="FZ503" s="1161"/>
      <c r="GA503" s="34"/>
      <c r="GB503" s="1149">
        <f t="shared" si="684"/>
        <v>0</v>
      </c>
      <c r="GC503" s="1149">
        <f t="shared" si="685"/>
        <v>0</v>
      </c>
      <c r="GD503" s="1149">
        <f t="shared" si="686"/>
        <v>0</v>
      </c>
      <c r="GE503" s="1149" t="str">
        <f t="shared" si="687"/>
        <v/>
      </c>
      <c r="GF503" s="1149" t="str">
        <f t="shared" si="688"/>
        <v/>
      </c>
      <c r="GG503" s="1149" t="str">
        <f t="shared" si="689"/>
        <v/>
      </c>
      <c r="GH503" s="1149" t="str">
        <f t="shared" si="690"/>
        <v/>
      </c>
      <c r="GI503" s="1149" t="str">
        <f t="shared" si="691"/>
        <v/>
      </c>
      <c r="GJ503" s="1149" t="str">
        <f t="shared" si="692"/>
        <v/>
      </c>
      <c r="GK503" s="1149" t="str">
        <f t="shared" si="693"/>
        <v/>
      </c>
      <c r="GL503" s="1149" t="str">
        <f t="shared" si="694"/>
        <v/>
      </c>
      <c r="GM503" s="1149" t="str">
        <f t="shared" si="695"/>
        <v/>
      </c>
      <c r="GN503" s="1149" t="str">
        <f t="shared" si="696"/>
        <v/>
      </c>
      <c r="GO503" s="1149" t="str">
        <f t="shared" si="697"/>
        <v/>
      </c>
      <c r="GP503" s="1149" t="str">
        <f t="shared" si="698"/>
        <v/>
      </c>
      <c r="GQ503" s="1149" t="str">
        <f t="shared" si="699"/>
        <v/>
      </c>
      <c r="GR503" s="1149" t="str">
        <f t="shared" si="700"/>
        <v/>
      </c>
      <c r="GS503" s="1149" t="str">
        <f t="shared" si="701"/>
        <v/>
      </c>
      <c r="GT503" s="1149">
        <f t="shared" si="702"/>
        <v>0</v>
      </c>
      <c r="GU503" s="1149">
        <f t="shared" si="703"/>
        <v>0</v>
      </c>
      <c r="GV503" s="1149">
        <f t="shared" si="704"/>
        <v>0</v>
      </c>
      <c r="GW503" s="1149" t="b">
        <f t="shared" si="705"/>
        <v>0</v>
      </c>
      <c r="GX503" s="1149" t="b">
        <f t="shared" si="706"/>
        <v>0</v>
      </c>
      <c r="GY503" s="1149" t="b">
        <f t="shared" si="707"/>
        <v>0</v>
      </c>
      <c r="GZ503" s="1149" t="str">
        <f t="shared" si="528"/>
        <v/>
      </c>
      <c r="HB503" s="1149" t="str">
        <f t="shared" si="708"/>
        <v/>
      </c>
      <c r="HC503" s="1149" t="str">
        <f t="shared" si="709"/>
        <v/>
      </c>
      <c r="HD503" s="1149" t="str">
        <f t="shared" si="710"/>
        <v/>
      </c>
      <c r="HE503" s="1149" t="str">
        <f t="shared" si="711"/>
        <v/>
      </c>
      <c r="HF503" s="1149" t="str">
        <f t="shared" si="712"/>
        <v/>
      </c>
      <c r="HG503" s="1149" t="str">
        <f t="shared" si="713"/>
        <v/>
      </c>
      <c r="HH503" s="1149" t="str">
        <f t="shared" si="714"/>
        <v/>
      </c>
      <c r="HI503" s="1149" t="str">
        <f t="shared" si="715"/>
        <v/>
      </c>
      <c r="HJ503" s="1149" t="str">
        <f t="shared" si="716"/>
        <v/>
      </c>
      <c r="HK503" s="1149" t="str">
        <f t="shared" si="717"/>
        <v/>
      </c>
      <c r="HL503" s="1149" t="str">
        <f t="shared" si="718"/>
        <v/>
      </c>
      <c r="HM503" s="1149" t="str">
        <f t="shared" si="719"/>
        <v/>
      </c>
      <c r="HN503" s="1149" t="str">
        <f t="shared" si="720"/>
        <v/>
      </c>
      <c r="HO503" s="1149" t="str">
        <f t="shared" si="721"/>
        <v/>
      </c>
      <c r="HP503" s="1149" t="str">
        <f t="shared" si="722"/>
        <v/>
      </c>
      <c r="HQ503" s="1149" t="str">
        <f t="shared" si="723"/>
        <v/>
      </c>
      <c r="HR503" s="1149" t="str">
        <f t="shared" si="724"/>
        <v/>
      </c>
      <c r="HT503" s="1149">
        <f>LEFT(M503,1)*10000+MID(M503,3,LEN(M503)-3)*100+COUNTIF($M$307:M503,M503)</f>
        <v>71101</v>
      </c>
      <c r="HU503" s="1149" t="str">
        <f t="shared" si="725"/>
        <v/>
      </c>
      <c r="HV503" s="1149" t="str">
        <f t="shared" si="726"/>
        <v/>
      </c>
      <c r="HW503" s="1149" t="str">
        <f t="shared" si="727"/>
        <v/>
      </c>
      <c r="HX503" s="1149" t="str">
        <f t="shared" si="728"/>
        <v/>
      </c>
    </row>
    <row r="504" spans="1:232" s="69" customFormat="1" ht="50.15" hidden="1" customHeight="1" thickBot="1">
      <c r="A504" s="645"/>
      <c r="B504" s="645"/>
      <c r="C504" s="645"/>
      <c r="D504" s="645"/>
      <c r="E504" s="646"/>
      <c r="F504" s="381"/>
      <c r="G504" s="381"/>
      <c r="H504" s="381"/>
      <c r="J504" s="80"/>
      <c r="K504" s="89"/>
      <c r="L504" s="89"/>
      <c r="M504" s="1963" t="s">
        <v>2592</v>
      </c>
      <c r="N504" s="1963"/>
      <c r="O504" s="1963"/>
      <c r="P504" s="2545"/>
      <c r="Q504" s="2545"/>
      <c r="R504" s="2545"/>
      <c r="S504" s="2545"/>
      <c r="T504" s="2545"/>
      <c r="U504" s="1966"/>
      <c r="V504" s="2331"/>
      <c r="W504" s="2331"/>
      <c r="X504" s="2331"/>
      <c r="Y504" s="2331"/>
      <c r="Z504" s="2331"/>
      <c r="AA504" s="2331"/>
      <c r="AB504" s="2331"/>
      <c r="AC504" s="2331"/>
      <c r="AD504" s="2331"/>
      <c r="AE504" s="2331"/>
      <c r="AF504" s="2014"/>
      <c r="AG504" s="2043"/>
      <c r="AH504" s="2043"/>
      <c r="AI504" s="2043"/>
      <c r="AJ504" s="2043"/>
      <c r="AK504" s="2043"/>
      <c r="AL504" s="2043"/>
      <c r="AM504" s="2043"/>
      <c r="AN504" s="2043"/>
      <c r="AO504" s="2043"/>
      <c r="AP504" s="2043"/>
      <c r="AQ504" s="2044"/>
      <c r="AR504" s="2136"/>
      <c r="AS504" s="2136"/>
      <c r="AT504" s="1928"/>
      <c r="AU504" s="1928"/>
      <c r="AV504" s="1928"/>
      <c r="AW504" s="1928"/>
      <c r="AX504" s="1928"/>
      <c r="AY504" s="1928"/>
      <c r="AZ504" s="1928"/>
      <c r="BA504" s="1928"/>
      <c r="BB504" s="1928"/>
      <c r="BC504" s="1928"/>
      <c r="BD504" s="1928"/>
      <c r="BE504" s="1928"/>
      <c r="BF504" s="1928"/>
      <c r="BG504" s="1928"/>
      <c r="BH504" s="1928"/>
      <c r="BI504" s="1928"/>
      <c r="BJ504" s="1928"/>
      <c r="BK504" s="1928"/>
      <c r="BL504" s="1928"/>
      <c r="BM504" s="1928"/>
      <c r="BN504" s="1928"/>
      <c r="BO504" s="1928"/>
      <c r="BP504" s="1928"/>
      <c r="BQ504" s="1928"/>
      <c r="BR504" s="1928"/>
      <c r="BS504" s="1998"/>
      <c r="BT504" s="1998"/>
      <c r="BU504" s="1998"/>
      <c r="BV504" s="1989"/>
      <c r="BW504" s="1989"/>
      <c r="BX504" s="1989"/>
      <c r="BY504" s="1989"/>
      <c r="BZ504" s="1990"/>
      <c r="CA504" s="1990"/>
      <c r="CB504" s="2338"/>
      <c r="CC504" s="2339"/>
      <c r="CD504" s="2339"/>
      <c r="CE504" s="2339"/>
      <c r="CF504" s="2339"/>
      <c r="CG504" s="2339"/>
      <c r="CH504" s="2339"/>
      <c r="CI504" s="2339"/>
      <c r="CJ504" s="2339"/>
      <c r="CK504" s="2339"/>
      <c r="CL504" s="2339"/>
      <c r="CM504" s="2339"/>
      <c r="CN504" s="2339"/>
      <c r="CO504" s="2339"/>
      <c r="CP504" s="2339"/>
      <c r="CQ504" s="2339"/>
      <c r="CR504" s="2339"/>
      <c r="CS504" s="2339"/>
      <c r="CT504" s="2339"/>
      <c r="CU504" s="2340"/>
      <c r="CV504" s="2360" t="str">
        <f t="shared" si="729"/>
        <v/>
      </c>
      <c r="CW504" s="2360"/>
      <c r="CX504" s="2360"/>
      <c r="CY504" s="2360"/>
      <c r="CZ504" s="2360"/>
      <c r="DA504" s="2360"/>
      <c r="DC504" s="600" t="str">
        <f t="shared" si="730"/>
        <v/>
      </c>
      <c r="DD504" s="381"/>
      <c r="DF504" s="34"/>
      <c r="DG504" s="34"/>
      <c r="DH504" s="34"/>
      <c r="DI504" s="34"/>
      <c r="DJ504" s="858" t="s">
        <v>5637</v>
      </c>
      <c r="DK504" s="1707" t="str">
        <f t="shared" si="668"/>
        <v/>
      </c>
      <c r="DL504" s="1692" t="str">
        <f t="shared" si="669"/>
        <v/>
      </c>
      <c r="DM504" s="1694">
        <f t="shared" si="646"/>
        <v>0</v>
      </c>
      <c r="DN504" s="476">
        <f t="shared" si="731"/>
        <v>0</v>
      </c>
      <c r="DO504" s="476">
        <f t="shared" si="732"/>
        <v>0</v>
      </c>
      <c r="DP504" s="477">
        <f t="shared" si="733"/>
        <v>0</v>
      </c>
      <c r="DQ504" s="123" t="s">
        <v>2638</v>
      </c>
      <c r="DR504" s="475">
        <f t="shared" si="734"/>
        <v>0</v>
      </c>
      <c r="DS504" s="221">
        <f t="shared" si="735"/>
        <v>0</v>
      </c>
      <c r="DT504" s="480" t="str">
        <f t="shared" si="736"/>
        <v/>
      </c>
      <c r="DU504" s="151" t="str">
        <f t="shared" si="647"/>
        <v/>
      </c>
      <c r="DV504" s="151" t="str">
        <f>IF($DT504="要是正",MAX($DV$489:DV503)+1,"")</f>
        <v/>
      </c>
      <c r="DW504" s="32" t="str">
        <f t="shared" si="737"/>
        <v/>
      </c>
      <c r="DX504" s="532" t="str">
        <f t="shared" si="648"/>
        <v/>
      </c>
      <c r="DY504" s="533" t="str">
        <f t="shared" si="738"/>
        <v/>
      </c>
      <c r="DZ504" s="551" t="str">
        <f t="shared" si="739"/>
        <v/>
      </c>
      <c r="EA504" s="396" t="str">
        <f t="shared" si="649"/>
        <v/>
      </c>
      <c r="EB504" s="234" t="str">
        <f t="shared" si="650"/>
        <v/>
      </c>
      <c r="EC504" s="227" t="str">
        <f t="shared" si="651"/>
        <v>0</v>
      </c>
      <c r="ED504" s="148" t="str">
        <f t="shared" si="740"/>
        <v/>
      </c>
      <c r="EE504" s="227" t="str">
        <f t="shared" si="741"/>
        <v>0</v>
      </c>
      <c r="EF504" s="130" t="str">
        <f t="shared" si="742"/>
        <v/>
      </c>
      <c r="EG504" s="457" t="str">
        <f t="shared" si="654"/>
        <v/>
      </c>
      <c r="EH504" s="458" t="str">
        <f t="shared" si="655"/>
        <v>0</v>
      </c>
      <c r="EI504" s="459" t="str">
        <f t="shared" si="743"/>
        <v/>
      </c>
      <c r="EJ504" s="460" t="str">
        <f t="shared" si="744"/>
        <v>0</v>
      </c>
      <c r="EK504" s="461" t="str">
        <f t="shared" si="745"/>
        <v/>
      </c>
      <c r="EL504" s="232" t="e">
        <f t="shared" si="746"/>
        <v>#N/A</v>
      </c>
      <c r="EM504" s="233" t="e">
        <f t="shared" si="747"/>
        <v>#N/A</v>
      </c>
      <c r="EN504" s="454" t="e">
        <f t="shared" si="748"/>
        <v>#N/A</v>
      </c>
      <c r="FK504" s="597" t="str">
        <f t="shared" si="661"/>
        <v/>
      </c>
      <c r="FL504" s="597" t="str">
        <f t="shared" si="530"/>
        <v/>
      </c>
      <c r="FM504" s="597" t="str">
        <f t="shared" si="531"/>
        <v/>
      </c>
      <c r="FN504" s="597">
        <f t="shared" si="749"/>
        <v>0</v>
      </c>
      <c r="FO504" s="1163"/>
      <c r="FQ504" s="234" t="str">
        <f t="shared" si="663"/>
        <v/>
      </c>
      <c r="FR504" s="227" t="str">
        <f t="shared" si="664"/>
        <v>0</v>
      </c>
      <c r="FS504" s="148" t="str">
        <f t="shared" si="750"/>
        <v/>
      </c>
      <c r="FT504" s="227" t="str">
        <f t="shared" si="751"/>
        <v>0</v>
      </c>
      <c r="FU504" s="416" t="str">
        <f t="shared" si="752"/>
        <v/>
      </c>
      <c r="FW504" s="1160">
        <f t="shared" si="753"/>
        <v>0</v>
      </c>
      <c r="FX504" s="123"/>
      <c r="FY504" s="123"/>
      <c r="FZ504" s="1161"/>
      <c r="GA504" s="34"/>
      <c r="GB504" s="1149">
        <f t="shared" si="684"/>
        <v>0</v>
      </c>
      <c r="GC504" s="1149">
        <f t="shared" si="685"/>
        <v>0</v>
      </c>
      <c r="GD504" s="1149">
        <f t="shared" si="686"/>
        <v>0</v>
      </c>
      <c r="GE504" s="1149" t="str">
        <f t="shared" si="687"/>
        <v/>
      </c>
      <c r="GF504" s="1149" t="str">
        <f t="shared" si="688"/>
        <v/>
      </c>
      <c r="GG504" s="1149" t="str">
        <f t="shared" si="689"/>
        <v/>
      </c>
      <c r="GH504" s="1149" t="str">
        <f t="shared" si="690"/>
        <v/>
      </c>
      <c r="GI504" s="1149" t="str">
        <f t="shared" si="691"/>
        <v/>
      </c>
      <c r="GJ504" s="1149" t="str">
        <f t="shared" si="692"/>
        <v/>
      </c>
      <c r="GK504" s="1149" t="str">
        <f t="shared" si="693"/>
        <v/>
      </c>
      <c r="GL504" s="1149" t="str">
        <f t="shared" si="694"/>
        <v/>
      </c>
      <c r="GM504" s="1149" t="str">
        <f t="shared" si="695"/>
        <v/>
      </c>
      <c r="GN504" s="1149" t="str">
        <f t="shared" si="696"/>
        <v/>
      </c>
      <c r="GO504" s="1149" t="str">
        <f t="shared" si="697"/>
        <v/>
      </c>
      <c r="GP504" s="1149" t="str">
        <f t="shared" si="698"/>
        <v/>
      </c>
      <c r="GQ504" s="1149" t="str">
        <f t="shared" si="699"/>
        <v/>
      </c>
      <c r="GR504" s="1149" t="str">
        <f t="shared" si="700"/>
        <v/>
      </c>
      <c r="GS504" s="1149" t="str">
        <f t="shared" si="701"/>
        <v/>
      </c>
      <c r="GT504" s="1149">
        <f t="shared" si="702"/>
        <v>0</v>
      </c>
      <c r="GU504" s="1149">
        <f t="shared" si="703"/>
        <v>0</v>
      </c>
      <c r="GV504" s="1149">
        <f t="shared" si="704"/>
        <v>0</v>
      </c>
      <c r="GW504" s="1149" t="b">
        <f t="shared" si="705"/>
        <v>0</v>
      </c>
      <c r="GX504" s="1149" t="b">
        <f t="shared" si="706"/>
        <v>0</v>
      </c>
      <c r="GY504" s="1149" t="b">
        <f t="shared" si="707"/>
        <v>0</v>
      </c>
      <c r="GZ504" s="1149" t="str">
        <f t="shared" si="528"/>
        <v/>
      </c>
      <c r="HB504" s="1149" t="str">
        <f t="shared" si="708"/>
        <v/>
      </c>
      <c r="HC504" s="1149" t="str">
        <f t="shared" si="709"/>
        <v/>
      </c>
      <c r="HD504" s="1149" t="str">
        <f t="shared" si="710"/>
        <v/>
      </c>
      <c r="HE504" s="1149" t="str">
        <f t="shared" si="711"/>
        <v/>
      </c>
      <c r="HF504" s="1149" t="str">
        <f t="shared" si="712"/>
        <v/>
      </c>
      <c r="HG504" s="1149" t="str">
        <f t="shared" si="713"/>
        <v/>
      </c>
      <c r="HH504" s="1149" t="str">
        <f t="shared" si="714"/>
        <v/>
      </c>
      <c r="HI504" s="1149" t="str">
        <f t="shared" si="715"/>
        <v/>
      </c>
      <c r="HJ504" s="1149" t="str">
        <f t="shared" si="716"/>
        <v/>
      </c>
      <c r="HK504" s="1149" t="str">
        <f t="shared" si="717"/>
        <v/>
      </c>
      <c r="HL504" s="1149" t="str">
        <f t="shared" si="718"/>
        <v/>
      </c>
      <c r="HM504" s="1149" t="str">
        <f t="shared" si="719"/>
        <v/>
      </c>
      <c r="HN504" s="1149" t="str">
        <f t="shared" si="720"/>
        <v/>
      </c>
      <c r="HO504" s="1149" t="str">
        <f t="shared" si="721"/>
        <v/>
      </c>
      <c r="HP504" s="1149" t="str">
        <f t="shared" si="722"/>
        <v/>
      </c>
      <c r="HQ504" s="1149" t="str">
        <f t="shared" si="723"/>
        <v/>
      </c>
      <c r="HR504" s="1149" t="str">
        <f t="shared" si="724"/>
        <v/>
      </c>
      <c r="HT504" s="1149">
        <f>LEFT(M504,1)*10000+MID(M504,3,LEN(M504)-3)*100+COUNTIF($M$307:M504,M504)</f>
        <v>71201</v>
      </c>
      <c r="HU504" s="1149" t="str">
        <f t="shared" si="725"/>
        <v/>
      </c>
      <c r="HV504" s="1149" t="str">
        <f t="shared" si="726"/>
        <v/>
      </c>
      <c r="HW504" s="1149" t="str">
        <f t="shared" si="727"/>
        <v/>
      </c>
      <c r="HX504" s="1149" t="str">
        <f t="shared" si="728"/>
        <v/>
      </c>
    </row>
    <row r="505" spans="1:232" s="69" customFormat="1" ht="50.15" hidden="1" customHeight="1" thickBot="1">
      <c r="A505" s="645"/>
      <c r="B505" s="645"/>
      <c r="C505" s="645"/>
      <c r="D505" s="645"/>
      <c r="E505" s="646"/>
      <c r="F505" s="381"/>
      <c r="G505" s="381"/>
      <c r="H505" s="381"/>
      <c r="J505" s="80"/>
      <c r="K505" s="89"/>
      <c r="L505" s="89"/>
      <c r="M505" s="1963" t="s">
        <v>2593</v>
      </c>
      <c r="N505" s="1963"/>
      <c r="O505" s="1963"/>
      <c r="P505" s="2545"/>
      <c r="Q505" s="2545"/>
      <c r="R505" s="2545"/>
      <c r="S505" s="2545"/>
      <c r="T505" s="2545"/>
      <c r="U505" s="1966"/>
      <c r="V505" s="2331"/>
      <c r="W505" s="2331"/>
      <c r="X505" s="2331"/>
      <c r="Y505" s="2331"/>
      <c r="Z505" s="2331"/>
      <c r="AA505" s="2331"/>
      <c r="AB505" s="2331"/>
      <c r="AC505" s="2331"/>
      <c r="AD505" s="2331"/>
      <c r="AE505" s="2331"/>
      <c r="AF505" s="2014"/>
      <c r="AG505" s="2043"/>
      <c r="AH505" s="2043"/>
      <c r="AI505" s="2043"/>
      <c r="AJ505" s="2043"/>
      <c r="AK505" s="2043"/>
      <c r="AL505" s="2043"/>
      <c r="AM505" s="2043"/>
      <c r="AN505" s="2043"/>
      <c r="AO505" s="2043"/>
      <c r="AP505" s="2043"/>
      <c r="AQ505" s="2044"/>
      <c r="AR505" s="2136"/>
      <c r="AS505" s="2136"/>
      <c r="AT505" s="1928"/>
      <c r="AU505" s="1928"/>
      <c r="AV505" s="1928"/>
      <c r="AW505" s="1928"/>
      <c r="AX505" s="1928"/>
      <c r="AY505" s="1928"/>
      <c r="AZ505" s="1928"/>
      <c r="BA505" s="1928"/>
      <c r="BB505" s="1928"/>
      <c r="BC505" s="1928"/>
      <c r="BD505" s="1928"/>
      <c r="BE505" s="1928"/>
      <c r="BF505" s="1928"/>
      <c r="BG505" s="1928"/>
      <c r="BH505" s="1928"/>
      <c r="BI505" s="1928"/>
      <c r="BJ505" s="1928"/>
      <c r="BK505" s="1928"/>
      <c r="BL505" s="1928"/>
      <c r="BM505" s="1928"/>
      <c r="BN505" s="1928"/>
      <c r="BO505" s="1928"/>
      <c r="BP505" s="1928"/>
      <c r="BQ505" s="1928"/>
      <c r="BR505" s="1928"/>
      <c r="BS505" s="1998"/>
      <c r="BT505" s="1998"/>
      <c r="BU505" s="1998"/>
      <c r="BV505" s="1989"/>
      <c r="BW505" s="1989"/>
      <c r="BX505" s="1989"/>
      <c r="BY505" s="1989"/>
      <c r="BZ505" s="1990"/>
      <c r="CA505" s="1990"/>
      <c r="CB505" s="2338"/>
      <c r="CC505" s="2339"/>
      <c r="CD505" s="2339"/>
      <c r="CE505" s="2339"/>
      <c r="CF505" s="2339"/>
      <c r="CG505" s="2339"/>
      <c r="CH505" s="2339"/>
      <c r="CI505" s="2339"/>
      <c r="CJ505" s="2339"/>
      <c r="CK505" s="2339"/>
      <c r="CL505" s="2339"/>
      <c r="CM505" s="2339"/>
      <c r="CN505" s="2339"/>
      <c r="CO505" s="2339"/>
      <c r="CP505" s="2339"/>
      <c r="CQ505" s="2339"/>
      <c r="CR505" s="2339"/>
      <c r="CS505" s="2339"/>
      <c r="CT505" s="2339"/>
      <c r="CU505" s="2340"/>
      <c r="CV505" s="2360" t="str">
        <f t="shared" si="729"/>
        <v/>
      </c>
      <c r="CW505" s="2360"/>
      <c r="CX505" s="2360"/>
      <c r="CY505" s="2360"/>
      <c r="CZ505" s="2360"/>
      <c r="DA505" s="2360"/>
      <c r="DC505" s="600" t="str">
        <f t="shared" si="730"/>
        <v/>
      </c>
      <c r="DD505" s="381"/>
      <c r="DF505" s="34"/>
      <c r="DG505" s="34"/>
      <c r="DH505" s="34"/>
      <c r="DI505" s="34"/>
      <c r="DJ505" s="858" t="s">
        <v>5637</v>
      </c>
      <c r="DK505" s="1707" t="str">
        <f t="shared" si="668"/>
        <v/>
      </c>
      <c r="DL505" s="1692" t="str">
        <f t="shared" si="669"/>
        <v/>
      </c>
      <c r="DM505" s="1694">
        <f t="shared" si="646"/>
        <v>0</v>
      </c>
      <c r="DN505" s="476">
        <f t="shared" si="731"/>
        <v>0</v>
      </c>
      <c r="DO505" s="476">
        <f t="shared" si="732"/>
        <v>0</v>
      </c>
      <c r="DP505" s="477">
        <f t="shared" si="733"/>
        <v>0</v>
      </c>
      <c r="DQ505" s="123" t="s">
        <v>2639</v>
      </c>
      <c r="DR505" s="475">
        <f t="shared" si="734"/>
        <v>0</v>
      </c>
      <c r="DS505" s="221">
        <f t="shared" si="735"/>
        <v>0</v>
      </c>
      <c r="DT505" s="480" t="str">
        <f t="shared" si="736"/>
        <v/>
      </c>
      <c r="DU505" s="151" t="str">
        <f t="shared" si="647"/>
        <v/>
      </c>
      <c r="DV505" s="151" t="str">
        <f>IF($DT505="要是正",MAX($DV$489:DV504)+1,"")</f>
        <v/>
      </c>
      <c r="DW505" s="32" t="str">
        <f t="shared" si="737"/>
        <v/>
      </c>
      <c r="DX505" s="532" t="str">
        <f t="shared" si="648"/>
        <v/>
      </c>
      <c r="DY505" s="533" t="str">
        <f t="shared" si="738"/>
        <v/>
      </c>
      <c r="DZ505" s="551" t="str">
        <f t="shared" si="739"/>
        <v/>
      </c>
      <c r="EA505" s="396" t="str">
        <f t="shared" si="649"/>
        <v/>
      </c>
      <c r="EB505" s="234" t="str">
        <f t="shared" si="650"/>
        <v/>
      </c>
      <c r="EC505" s="227" t="str">
        <f t="shared" si="651"/>
        <v>0</v>
      </c>
      <c r="ED505" s="148" t="str">
        <f t="shared" si="740"/>
        <v/>
      </c>
      <c r="EE505" s="227" t="str">
        <f t="shared" si="741"/>
        <v>0</v>
      </c>
      <c r="EF505" s="130" t="str">
        <f t="shared" si="742"/>
        <v/>
      </c>
      <c r="EG505" s="457" t="str">
        <f t="shared" si="654"/>
        <v/>
      </c>
      <c r="EH505" s="458" t="str">
        <f t="shared" si="655"/>
        <v>0</v>
      </c>
      <c r="EI505" s="459" t="str">
        <f t="shared" si="743"/>
        <v/>
      </c>
      <c r="EJ505" s="460" t="str">
        <f t="shared" si="744"/>
        <v>0</v>
      </c>
      <c r="EK505" s="461" t="str">
        <f t="shared" si="745"/>
        <v/>
      </c>
      <c r="EL505" s="232" t="e">
        <f t="shared" si="746"/>
        <v>#N/A</v>
      </c>
      <c r="EM505" s="233" t="e">
        <f t="shared" si="747"/>
        <v>#N/A</v>
      </c>
      <c r="EN505" s="454" t="e">
        <f t="shared" si="748"/>
        <v>#N/A</v>
      </c>
      <c r="FK505" s="597" t="str">
        <f t="shared" si="661"/>
        <v/>
      </c>
      <c r="FL505" s="597" t="str">
        <f t="shared" si="530"/>
        <v/>
      </c>
      <c r="FM505" s="597" t="str">
        <f t="shared" si="531"/>
        <v/>
      </c>
      <c r="FN505" s="597">
        <f t="shared" si="749"/>
        <v>0</v>
      </c>
      <c r="FO505" s="1163"/>
      <c r="FQ505" s="234" t="str">
        <f t="shared" si="663"/>
        <v/>
      </c>
      <c r="FR505" s="227" t="str">
        <f t="shared" si="664"/>
        <v>0</v>
      </c>
      <c r="FS505" s="148" t="str">
        <f t="shared" si="750"/>
        <v/>
      </c>
      <c r="FT505" s="227" t="str">
        <f t="shared" si="751"/>
        <v>0</v>
      </c>
      <c r="FU505" s="416" t="str">
        <f t="shared" si="752"/>
        <v/>
      </c>
      <c r="FW505" s="1160">
        <f t="shared" si="753"/>
        <v>0</v>
      </c>
      <c r="FX505" s="123"/>
      <c r="FY505" s="123"/>
      <c r="FZ505" s="1161"/>
      <c r="GA505" s="34"/>
      <c r="GB505" s="1149">
        <f t="shared" si="684"/>
        <v>0</v>
      </c>
      <c r="GC505" s="1149">
        <f t="shared" si="685"/>
        <v>0</v>
      </c>
      <c r="GD505" s="1149">
        <f t="shared" si="686"/>
        <v>0</v>
      </c>
      <c r="GE505" s="1149" t="str">
        <f t="shared" si="687"/>
        <v/>
      </c>
      <c r="GF505" s="1149" t="str">
        <f t="shared" si="688"/>
        <v/>
      </c>
      <c r="GG505" s="1149" t="str">
        <f t="shared" si="689"/>
        <v/>
      </c>
      <c r="GH505" s="1149" t="str">
        <f t="shared" si="690"/>
        <v/>
      </c>
      <c r="GI505" s="1149" t="str">
        <f t="shared" si="691"/>
        <v/>
      </c>
      <c r="GJ505" s="1149" t="str">
        <f t="shared" si="692"/>
        <v/>
      </c>
      <c r="GK505" s="1149" t="str">
        <f t="shared" si="693"/>
        <v/>
      </c>
      <c r="GL505" s="1149" t="str">
        <f t="shared" si="694"/>
        <v/>
      </c>
      <c r="GM505" s="1149" t="str">
        <f t="shared" si="695"/>
        <v/>
      </c>
      <c r="GN505" s="1149" t="str">
        <f t="shared" si="696"/>
        <v/>
      </c>
      <c r="GO505" s="1149" t="str">
        <f t="shared" si="697"/>
        <v/>
      </c>
      <c r="GP505" s="1149" t="str">
        <f t="shared" si="698"/>
        <v/>
      </c>
      <c r="GQ505" s="1149" t="str">
        <f t="shared" si="699"/>
        <v/>
      </c>
      <c r="GR505" s="1149" t="str">
        <f t="shared" si="700"/>
        <v/>
      </c>
      <c r="GS505" s="1149" t="str">
        <f t="shared" si="701"/>
        <v/>
      </c>
      <c r="GT505" s="1149">
        <f t="shared" si="702"/>
        <v>0</v>
      </c>
      <c r="GU505" s="1149">
        <f t="shared" si="703"/>
        <v>0</v>
      </c>
      <c r="GV505" s="1149">
        <f t="shared" si="704"/>
        <v>0</v>
      </c>
      <c r="GW505" s="1149" t="b">
        <f t="shared" si="705"/>
        <v>0</v>
      </c>
      <c r="GX505" s="1149" t="b">
        <f t="shared" si="706"/>
        <v>0</v>
      </c>
      <c r="GY505" s="1149" t="b">
        <f t="shared" si="707"/>
        <v>0</v>
      </c>
      <c r="GZ505" s="1149" t="str">
        <f t="shared" si="528"/>
        <v/>
      </c>
      <c r="HB505" s="1149" t="str">
        <f t="shared" si="708"/>
        <v/>
      </c>
      <c r="HC505" s="1149" t="str">
        <f t="shared" si="709"/>
        <v/>
      </c>
      <c r="HD505" s="1149" t="str">
        <f t="shared" si="710"/>
        <v/>
      </c>
      <c r="HE505" s="1149" t="str">
        <f t="shared" si="711"/>
        <v/>
      </c>
      <c r="HF505" s="1149" t="str">
        <f t="shared" si="712"/>
        <v/>
      </c>
      <c r="HG505" s="1149" t="str">
        <f t="shared" si="713"/>
        <v/>
      </c>
      <c r="HH505" s="1149" t="str">
        <f t="shared" si="714"/>
        <v/>
      </c>
      <c r="HI505" s="1149" t="str">
        <f t="shared" si="715"/>
        <v/>
      </c>
      <c r="HJ505" s="1149" t="str">
        <f t="shared" si="716"/>
        <v/>
      </c>
      <c r="HK505" s="1149" t="str">
        <f t="shared" si="717"/>
        <v/>
      </c>
      <c r="HL505" s="1149" t="str">
        <f t="shared" si="718"/>
        <v/>
      </c>
      <c r="HM505" s="1149" t="str">
        <f t="shared" si="719"/>
        <v/>
      </c>
      <c r="HN505" s="1149" t="str">
        <f t="shared" si="720"/>
        <v/>
      </c>
      <c r="HO505" s="1149" t="str">
        <f t="shared" si="721"/>
        <v/>
      </c>
      <c r="HP505" s="1149" t="str">
        <f t="shared" si="722"/>
        <v/>
      </c>
      <c r="HQ505" s="1149" t="str">
        <f t="shared" si="723"/>
        <v/>
      </c>
      <c r="HR505" s="1149" t="str">
        <f t="shared" si="724"/>
        <v/>
      </c>
      <c r="HT505" s="1149">
        <f>LEFT(M505,1)*10000+MID(M505,3,LEN(M505)-3)*100+COUNTIF($M$307:M505,M505)</f>
        <v>71301</v>
      </c>
      <c r="HU505" s="1149" t="str">
        <f t="shared" si="725"/>
        <v/>
      </c>
      <c r="HV505" s="1149" t="str">
        <f t="shared" si="726"/>
        <v/>
      </c>
      <c r="HW505" s="1149" t="str">
        <f t="shared" si="727"/>
        <v/>
      </c>
      <c r="HX505" s="1149" t="str">
        <f t="shared" si="728"/>
        <v/>
      </c>
    </row>
    <row r="506" spans="1:232" s="69" customFormat="1" ht="50.15" hidden="1" customHeight="1" thickBot="1">
      <c r="A506" s="645"/>
      <c r="B506" s="645"/>
      <c r="C506" s="645"/>
      <c r="D506" s="645"/>
      <c r="E506" s="646"/>
      <c r="F506" s="381"/>
      <c r="G506" s="381"/>
      <c r="H506" s="381"/>
      <c r="J506" s="80"/>
      <c r="K506" s="89"/>
      <c r="L506" s="89"/>
      <c r="M506" s="1963" t="s">
        <v>2594</v>
      </c>
      <c r="N506" s="1963"/>
      <c r="O506" s="1963"/>
      <c r="P506" s="2545"/>
      <c r="Q506" s="2545"/>
      <c r="R506" s="2545"/>
      <c r="S506" s="2545"/>
      <c r="T506" s="2545"/>
      <c r="U506" s="1966"/>
      <c r="V506" s="2331"/>
      <c r="W506" s="2331"/>
      <c r="X506" s="2331"/>
      <c r="Y506" s="2331"/>
      <c r="Z506" s="2331"/>
      <c r="AA506" s="2331"/>
      <c r="AB506" s="2331"/>
      <c r="AC506" s="2331"/>
      <c r="AD506" s="2331"/>
      <c r="AE506" s="2331"/>
      <c r="AF506" s="2014"/>
      <c r="AG506" s="2043"/>
      <c r="AH506" s="2043"/>
      <c r="AI506" s="2043"/>
      <c r="AJ506" s="2043"/>
      <c r="AK506" s="2043"/>
      <c r="AL506" s="2043"/>
      <c r="AM506" s="2043"/>
      <c r="AN506" s="2043"/>
      <c r="AO506" s="2043"/>
      <c r="AP506" s="2043"/>
      <c r="AQ506" s="2044"/>
      <c r="AR506" s="2136"/>
      <c r="AS506" s="2136"/>
      <c r="AT506" s="1928"/>
      <c r="AU506" s="1928"/>
      <c r="AV506" s="1928"/>
      <c r="AW506" s="1928"/>
      <c r="AX506" s="1928"/>
      <c r="AY506" s="1928"/>
      <c r="AZ506" s="1928"/>
      <c r="BA506" s="1928"/>
      <c r="BB506" s="1928"/>
      <c r="BC506" s="1928"/>
      <c r="BD506" s="1928"/>
      <c r="BE506" s="1928"/>
      <c r="BF506" s="1928"/>
      <c r="BG506" s="1928"/>
      <c r="BH506" s="1928"/>
      <c r="BI506" s="1928"/>
      <c r="BJ506" s="1928"/>
      <c r="BK506" s="1928"/>
      <c r="BL506" s="1928"/>
      <c r="BM506" s="1928"/>
      <c r="BN506" s="1928"/>
      <c r="BO506" s="1928"/>
      <c r="BP506" s="1928"/>
      <c r="BQ506" s="1928"/>
      <c r="BR506" s="1928"/>
      <c r="BS506" s="1998"/>
      <c r="BT506" s="1998"/>
      <c r="BU506" s="1998"/>
      <c r="BV506" s="1989"/>
      <c r="BW506" s="1989"/>
      <c r="BX506" s="1989"/>
      <c r="BY506" s="1989"/>
      <c r="BZ506" s="1990"/>
      <c r="CA506" s="1990"/>
      <c r="CB506" s="2338"/>
      <c r="CC506" s="2339"/>
      <c r="CD506" s="2339"/>
      <c r="CE506" s="2339"/>
      <c r="CF506" s="2339"/>
      <c r="CG506" s="2339"/>
      <c r="CH506" s="2339"/>
      <c r="CI506" s="2339"/>
      <c r="CJ506" s="2339"/>
      <c r="CK506" s="2339"/>
      <c r="CL506" s="2339"/>
      <c r="CM506" s="2339"/>
      <c r="CN506" s="2339"/>
      <c r="CO506" s="2339"/>
      <c r="CP506" s="2339"/>
      <c r="CQ506" s="2339"/>
      <c r="CR506" s="2339"/>
      <c r="CS506" s="2339"/>
      <c r="CT506" s="2339"/>
      <c r="CU506" s="2340"/>
      <c r="CV506" s="2360" t="str">
        <f t="shared" si="729"/>
        <v/>
      </c>
      <c r="CW506" s="2360"/>
      <c r="CX506" s="2360"/>
      <c r="CY506" s="2360"/>
      <c r="CZ506" s="2360"/>
      <c r="DA506" s="2360"/>
      <c r="DC506" s="600" t="str">
        <f t="shared" si="730"/>
        <v/>
      </c>
      <c r="DD506" s="381"/>
      <c r="DF506" s="34"/>
      <c r="DG506" s="34"/>
      <c r="DH506" s="34"/>
      <c r="DI506" s="34"/>
      <c r="DJ506" s="858" t="s">
        <v>5637</v>
      </c>
      <c r="DK506" s="1707" t="str">
        <f t="shared" si="668"/>
        <v/>
      </c>
      <c r="DL506" s="1692" t="str">
        <f t="shared" si="669"/>
        <v/>
      </c>
      <c r="DM506" s="1694">
        <f t="shared" si="646"/>
        <v>0</v>
      </c>
      <c r="DN506" s="476">
        <f t="shared" si="731"/>
        <v>0</v>
      </c>
      <c r="DO506" s="476">
        <f t="shared" si="732"/>
        <v>0</v>
      </c>
      <c r="DP506" s="477">
        <f t="shared" si="733"/>
        <v>0</v>
      </c>
      <c r="DQ506" s="123" t="s">
        <v>2640</v>
      </c>
      <c r="DR506" s="475">
        <f t="shared" si="734"/>
        <v>0</v>
      </c>
      <c r="DS506" s="221">
        <f t="shared" si="735"/>
        <v>0</v>
      </c>
      <c r="DT506" s="480" t="str">
        <f t="shared" si="736"/>
        <v/>
      </c>
      <c r="DU506" s="151" t="str">
        <f t="shared" si="647"/>
        <v/>
      </c>
      <c r="DV506" s="151" t="str">
        <f>IF($DT506="要是正",MAX($DV$489:DV505)+1,"")</f>
        <v/>
      </c>
      <c r="DW506" s="32" t="str">
        <f t="shared" si="737"/>
        <v/>
      </c>
      <c r="DX506" s="532" t="str">
        <f t="shared" si="648"/>
        <v/>
      </c>
      <c r="DY506" s="533" t="str">
        <f t="shared" si="738"/>
        <v/>
      </c>
      <c r="DZ506" s="551" t="str">
        <f t="shared" si="739"/>
        <v/>
      </c>
      <c r="EA506" s="396" t="str">
        <f t="shared" si="649"/>
        <v/>
      </c>
      <c r="EB506" s="234" t="str">
        <f t="shared" si="650"/>
        <v/>
      </c>
      <c r="EC506" s="227" t="str">
        <f t="shared" si="651"/>
        <v>0</v>
      </c>
      <c r="ED506" s="148" t="str">
        <f t="shared" si="740"/>
        <v/>
      </c>
      <c r="EE506" s="227" t="str">
        <f t="shared" si="741"/>
        <v>0</v>
      </c>
      <c r="EF506" s="130" t="str">
        <f t="shared" si="742"/>
        <v/>
      </c>
      <c r="EG506" s="457" t="str">
        <f t="shared" si="654"/>
        <v/>
      </c>
      <c r="EH506" s="458" t="str">
        <f t="shared" si="655"/>
        <v>0</v>
      </c>
      <c r="EI506" s="459" t="str">
        <f t="shared" si="743"/>
        <v/>
      </c>
      <c r="EJ506" s="460" t="str">
        <f t="shared" si="744"/>
        <v>0</v>
      </c>
      <c r="EK506" s="461" t="str">
        <f t="shared" si="745"/>
        <v/>
      </c>
      <c r="EL506" s="232" t="e">
        <f t="shared" si="746"/>
        <v>#N/A</v>
      </c>
      <c r="EM506" s="233" t="e">
        <f t="shared" si="747"/>
        <v>#N/A</v>
      </c>
      <c r="EN506" s="454" t="e">
        <f t="shared" si="748"/>
        <v>#N/A</v>
      </c>
      <c r="FK506" s="597" t="str">
        <f t="shared" si="661"/>
        <v/>
      </c>
      <c r="FL506" s="597" t="str">
        <f t="shared" si="530"/>
        <v/>
      </c>
      <c r="FM506" s="597" t="str">
        <f t="shared" si="531"/>
        <v/>
      </c>
      <c r="FN506" s="597">
        <f t="shared" si="749"/>
        <v>0</v>
      </c>
      <c r="FO506" s="1163"/>
      <c r="FQ506" s="234" t="str">
        <f t="shared" si="663"/>
        <v/>
      </c>
      <c r="FR506" s="227" t="str">
        <f t="shared" si="664"/>
        <v>0</v>
      </c>
      <c r="FS506" s="148" t="str">
        <f t="shared" si="750"/>
        <v/>
      </c>
      <c r="FT506" s="227" t="str">
        <f t="shared" si="751"/>
        <v>0</v>
      </c>
      <c r="FU506" s="416" t="str">
        <f t="shared" si="752"/>
        <v/>
      </c>
      <c r="FW506" s="1160">
        <f t="shared" si="753"/>
        <v>0</v>
      </c>
      <c r="FX506" s="123"/>
      <c r="FY506" s="123"/>
      <c r="FZ506" s="1161"/>
      <c r="GA506" s="34"/>
      <c r="GB506" s="1149">
        <f t="shared" si="684"/>
        <v>0</v>
      </c>
      <c r="GC506" s="1149">
        <f t="shared" si="685"/>
        <v>0</v>
      </c>
      <c r="GD506" s="1149">
        <f t="shared" si="686"/>
        <v>0</v>
      </c>
      <c r="GE506" s="1149" t="str">
        <f t="shared" si="687"/>
        <v/>
      </c>
      <c r="GF506" s="1149" t="str">
        <f t="shared" si="688"/>
        <v/>
      </c>
      <c r="GG506" s="1149" t="str">
        <f t="shared" si="689"/>
        <v/>
      </c>
      <c r="GH506" s="1149" t="str">
        <f t="shared" si="690"/>
        <v/>
      </c>
      <c r="GI506" s="1149" t="str">
        <f t="shared" si="691"/>
        <v/>
      </c>
      <c r="GJ506" s="1149" t="str">
        <f t="shared" si="692"/>
        <v/>
      </c>
      <c r="GK506" s="1149" t="str">
        <f t="shared" si="693"/>
        <v/>
      </c>
      <c r="GL506" s="1149" t="str">
        <f t="shared" si="694"/>
        <v/>
      </c>
      <c r="GM506" s="1149" t="str">
        <f t="shared" si="695"/>
        <v/>
      </c>
      <c r="GN506" s="1149" t="str">
        <f t="shared" si="696"/>
        <v/>
      </c>
      <c r="GO506" s="1149" t="str">
        <f t="shared" si="697"/>
        <v/>
      </c>
      <c r="GP506" s="1149" t="str">
        <f t="shared" si="698"/>
        <v/>
      </c>
      <c r="GQ506" s="1149" t="str">
        <f t="shared" si="699"/>
        <v/>
      </c>
      <c r="GR506" s="1149" t="str">
        <f t="shared" si="700"/>
        <v/>
      </c>
      <c r="GS506" s="1149" t="str">
        <f t="shared" si="701"/>
        <v/>
      </c>
      <c r="GT506" s="1149">
        <f t="shared" si="702"/>
        <v>0</v>
      </c>
      <c r="GU506" s="1149">
        <f t="shared" si="703"/>
        <v>0</v>
      </c>
      <c r="GV506" s="1149">
        <f t="shared" si="704"/>
        <v>0</v>
      </c>
      <c r="GW506" s="1149" t="b">
        <f t="shared" si="705"/>
        <v>0</v>
      </c>
      <c r="GX506" s="1149" t="b">
        <f t="shared" si="706"/>
        <v>0</v>
      </c>
      <c r="GY506" s="1149" t="b">
        <f t="shared" si="707"/>
        <v>0</v>
      </c>
      <c r="GZ506" s="1149" t="str">
        <f t="shared" si="528"/>
        <v/>
      </c>
      <c r="HB506" s="1149" t="str">
        <f t="shared" si="708"/>
        <v/>
      </c>
      <c r="HC506" s="1149" t="str">
        <f t="shared" si="709"/>
        <v/>
      </c>
      <c r="HD506" s="1149" t="str">
        <f t="shared" si="710"/>
        <v/>
      </c>
      <c r="HE506" s="1149" t="str">
        <f t="shared" si="711"/>
        <v/>
      </c>
      <c r="HF506" s="1149" t="str">
        <f t="shared" si="712"/>
        <v/>
      </c>
      <c r="HG506" s="1149" t="str">
        <f t="shared" si="713"/>
        <v/>
      </c>
      <c r="HH506" s="1149" t="str">
        <f t="shared" si="714"/>
        <v/>
      </c>
      <c r="HI506" s="1149" t="str">
        <f t="shared" si="715"/>
        <v/>
      </c>
      <c r="HJ506" s="1149" t="str">
        <f t="shared" si="716"/>
        <v/>
      </c>
      <c r="HK506" s="1149" t="str">
        <f t="shared" si="717"/>
        <v/>
      </c>
      <c r="HL506" s="1149" t="str">
        <f t="shared" si="718"/>
        <v/>
      </c>
      <c r="HM506" s="1149" t="str">
        <f t="shared" si="719"/>
        <v/>
      </c>
      <c r="HN506" s="1149" t="str">
        <f t="shared" si="720"/>
        <v/>
      </c>
      <c r="HO506" s="1149" t="str">
        <f t="shared" si="721"/>
        <v/>
      </c>
      <c r="HP506" s="1149" t="str">
        <f t="shared" si="722"/>
        <v/>
      </c>
      <c r="HQ506" s="1149" t="str">
        <f t="shared" si="723"/>
        <v/>
      </c>
      <c r="HR506" s="1149" t="str">
        <f t="shared" si="724"/>
        <v/>
      </c>
      <c r="HT506" s="1149">
        <f>LEFT(M506,1)*10000+MID(M506,3,LEN(M506)-3)*100+COUNTIF($M$307:M506,M506)</f>
        <v>71401</v>
      </c>
      <c r="HU506" s="1149" t="str">
        <f t="shared" si="725"/>
        <v/>
      </c>
      <c r="HV506" s="1149" t="str">
        <f t="shared" si="726"/>
        <v/>
      </c>
      <c r="HW506" s="1149" t="str">
        <f t="shared" si="727"/>
        <v/>
      </c>
      <c r="HX506" s="1149" t="str">
        <f t="shared" si="728"/>
        <v/>
      </c>
    </row>
    <row r="507" spans="1:232" s="69" customFormat="1" ht="50.15" hidden="1" customHeight="1" thickBot="1">
      <c r="A507" s="645"/>
      <c r="B507" s="645"/>
      <c r="C507" s="645"/>
      <c r="D507" s="645"/>
      <c r="E507" s="646"/>
      <c r="F507" s="381"/>
      <c r="G507" s="381"/>
      <c r="H507" s="381"/>
      <c r="J507" s="80"/>
      <c r="K507" s="89"/>
      <c r="L507" s="89"/>
      <c r="M507" s="1963" t="s">
        <v>2595</v>
      </c>
      <c r="N507" s="1963"/>
      <c r="O507" s="1963"/>
      <c r="P507" s="2546"/>
      <c r="Q507" s="2546"/>
      <c r="R507" s="2546"/>
      <c r="S507" s="2546"/>
      <c r="T507" s="2546"/>
      <c r="U507" s="2028"/>
      <c r="V507" s="2334"/>
      <c r="W507" s="2334"/>
      <c r="X507" s="2334"/>
      <c r="Y507" s="2334"/>
      <c r="Z507" s="2334"/>
      <c r="AA507" s="2334"/>
      <c r="AB507" s="2334"/>
      <c r="AC507" s="2334"/>
      <c r="AD507" s="2334"/>
      <c r="AE507" s="2334"/>
      <c r="AF507" s="2344"/>
      <c r="AG507" s="2345"/>
      <c r="AH507" s="2345"/>
      <c r="AI507" s="2345"/>
      <c r="AJ507" s="2345"/>
      <c r="AK507" s="2345"/>
      <c r="AL507" s="2345"/>
      <c r="AM507" s="2345"/>
      <c r="AN507" s="2345"/>
      <c r="AO507" s="2345"/>
      <c r="AP507" s="2345"/>
      <c r="AQ507" s="2346"/>
      <c r="AR507" s="2178"/>
      <c r="AS507" s="2178"/>
      <c r="AT507" s="1996"/>
      <c r="AU507" s="1996"/>
      <c r="AV507" s="1996"/>
      <c r="AW507" s="1996"/>
      <c r="AX507" s="1996"/>
      <c r="AY507" s="1996"/>
      <c r="AZ507" s="1996"/>
      <c r="BA507" s="1996"/>
      <c r="BB507" s="1996"/>
      <c r="BC507" s="1996"/>
      <c r="BD507" s="1996"/>
      <c r="BE507" s="1996"/>
      <c r="BF507" s="1996"/>
      <c r="BG507" s="1996"/>
      <c r="BH507" s="1996"/>
      <c r="BI507" s="1996"/>
      <c r="BJ507" s="1996"/>
      <c r="BK507" s="1996"/>
      <c r="BL507" s="1996"/>
      <c r="BM507" s="1996"/>
      <c r="BN507" s="1996"/>
      <c r="BO507" s="1996"/>
      <c r="BP507" s="1996"/>
      <c r="BQ507" s="1996"/>
      <c r="BR507" s="1996"/>
      <c r="BS507" s="2126"/>
      <c r="BT507" s="2126"/>
      <c r="BU507" s="2126"/>
      <c r="BV507" s="2089"/>
      <c r="BW507" s="2089"/>
      <c r="BX507" s="2089"/>
      <c r="BY507" s="2089"/>
      <c r="BZ507" s="2090"/>
      <c r="CA507" s="2090"/>
      <c r="CB507" s="2055"/>
      <c r="CC507" s="2056"/>
      <c r="CD507" s="2056"/>
      <c r="CE507" s="2056"/>
      <c r="CF507" s="2056"/>
      <c r="CG507" s="2056"/>
      <c r="CH507" s="2056"/>
      <c r="CI507" s="2056"/>
      <c r="CJ507" s="2056"/>
      <c r="CK507" s="2056"/>
      <c r="CL507" s="2056"/>
      <c r="CM507" s="2056"/>
      <c r="CN507" s="2056"/>
      <c r="CO507" s="2056"/>
      <c r="CP507" s="2056"/>
      <c r="CQ507" s="2056"/>
      <c r="CR507" s="2056"/>
      <c r="CS507" s="2056"/>
      <c r="CT507" s="2056"/>
      <c r="CU507" s="2057"/>
      <c r="CV507" s="2360" t="str">
        <f t="shared" si="729"/>
        <v/>
      </c>
      <c r="CW507" s="2360"/>
      <c r="CX507" s="2360"/>
      <c r="CY507" s="2360"/>
      <c r="CZ507" s="2360"/>
      <c r="DA507" s="2360"/>
      <c r="DC507" s="600" t="str">
        <f t="shared" si="730"/>
        <v/>
      </c>
      <c r="DD507" s="381"/>
      <c r="DF507" s="34"/>
      <c r="DG507" s="34"/>
      <c r="DH507" s="34"/>
      <c r="DI507" s="34"/>
      <c r="DJ507" s="1699" t="s">
        <v>5637</v>
      </c>
      <c r="DK507" s="1708" t="str">
        <f t="shared" si="668"/>
        <v/>
      </c>
      <c r="DL507" s="1700" t="str">
        <f t="shared" si="669"/>
        <v/>
      </c>
      <c r="DM507" s="1694">
        <f t="shared" si="646"/>
        <v>0</v>
      </c>
      <c r="DN507" s="476">
        <f t="shared" si="731"/>
        <v>0</v>
      </c>
      <c r="DO507" s="476">
        <f t="shared" si="732"/>
        <v>0</v>
      </c>
      <c r="DP507" s="477">
        <f t="shared" si="733"/>
        <v>0</v>
      </c>
      <c r="DQ507" s="123" t="s">
        <v>2641</v>
      </c>
      <c r="DR507" s="475">
        <f t="shared" si="734"/>
        <v>0</v>
      </c>
      <c r="DS507" s="221">
        <f t="shared" si="735"/>
        <v>0</v>
      </c>
      <c r="DT507" s="480" t="str">
        <f t="shared" si="736"/>
        <v/>
      </c>
      <c r="DU507" s="151" t="str">
        <f t="shared" si="647"/>
        <v/>
      </c>
      <c r="DV507" s="151" t="str">
        <f>IF($DT507="要是正",MAX($DV$489:DV506)+1,"")</f>
        <v/>
      </c>
      <c r="DW507" s="32" t="str">
        <f t="shared" si="737"/>
        <v/>
      </c>
      <c r="DX507" s="532" t="str">
        <f t="shared" si="648"/>
        <v/>
      </c>
      <c r="DY507" s="533" t="str">
        <f t="shared" si="738"/>
        <v/>
      </c>
      <c r="DZ507" s="551" t="str">
        <f t="shared" si="739"/>
        <v/>
      </c>
      <c r="EA507" s="396" t="str">
        <f t="shared" si="649"/>
        <v/>
      </c>
      <c r="EB507" s="234" t="str">
        <f t="shared" si="650"/>
        <v/>
      </c>
      <c r="EC507" s="227" t="str">
        <f t="shared" si="651"/>
        <v>0</v>
      </c>
      <c r="ED507" s="148" t="str">
        <f t="shared" si="740"/>
        <v/>
      </c>
      <c r="EE507" s="227" t="str">
        <f t="shared" si="741"/>
        <v>0</v>
      </c>
      <c r="EF507" s="130" t="str">
        <f t="shared" si="742"/>
        <v/>
      </c>
      <c r="EG507" s="457" t="str">
        <f t="shared" si="654"/>
        <v/>
      </c>
      <c r="EH507" s="458" t="str">
        <f t="shared" si="655"/>
        <v>0</v>
      </c>
      <c r="EI507" s="459" t="str">
        <f t="shared" si="743"/>
        <v/>
      </c>
      <c r="EJ507" s="460" t="str">
        <f t="shared" si="744"/>
        <v>0</v>
      </c>
      <c r="EK507" s="461" t="str">
        <f t="shared" si="745"/>
        <v/>
      </c>
      <c r="EL507" s="232" t="e">
        <f t="shared" si="746"/>
        <v>#N/A</v>
      </c>
      <c r="EM507" s="233" t="e">
        <f t="shared" si="747"/>
        <v>#N/A</v>
      </c>
      <c r="EN507" s="454" t="e">
        <f t="shared" si="748"/>
        <v>#N/A</v>
      </c>
      <c r="FK507" s="597" t="str">
        <f t="shared" si="661"/>
        <v/>
      </c>
      <c r="FL507" s="597" t="str">
        <f t="shared" si="530"/>
        <v/>
      </c>
      <c r="FM507" s="597" t="str">
        <f t="shared" si="531"/>
        <v/>
      </c>
      <c r="FN507" s="597">
        <f t="shared" si="749"/>
        <v>0</v>
      </c>
      <c r="FO507" s="1163"/>
      <c r="FQ507" s="234" t="str">
        <f t="shared" si="663"/>
        <v/>
      </c>
      <c r="FR507" s="227" t="str">
        <f t="shared" si="664"/>
        <v>0</v>
      </c>
      <c r="FS507" s="148" t="str">
        <f t="shared" si="750"/>
        <v/>
      </c>
      <c r="FT507" s="227" t="str">
        <f t="shared" si="751"/>
        <v>0</v>
      </c>
      <c r="FU507" s="416" t="str">
        <f t="shared" si="752"/>
        <v/>
      </c>
      <c r="FW507" s="1160">
        <f t="shared" si="753"/>
        <v>0</v>
      </c>
      <c r="FX507" s="123"/>
      <c r="FY507" s="123"/>
      <c r="FZ507" s="1161"/>
      <c r="GA507" s="34"/>
      <c r="GB507" s="1149">
        <f t="shared" si="684"/>
        <v>0</v>
      </c>
      <c r="GC507" s="1149">
        <f t="shared" si="685"/>
        <v>0</v>
      </c>
      <c r="GD507" s="1149">
        <f t="shared" si="686"/>
        <v>0</v>
      </c>
      <c r="GE507" s="1149" t="str">
        <f t="shared" si="687"/>
        <v/>
      </c>
      <c r="GF507" s="1149" t="str">
        <f t="shared" si="688"/>
        <v/>
      </c>
      <c r="GG507" s="1149" t="str">
        <f t="shared" si="689"/>
        <v/>
      </c>
      <c r="GH507" s="1149" t="str">
        <f t="shared" si="690"/>
        <v/>
      </c>
      <c r="GI507" s="1149" t="str">
        <f t="shared" si="691"/>
        <v/>
      </c>
      <c r="GJ507" s="1149" t="str">
        <f t="shared" si="692"/>
        <v/>
      </c>
      <c r="GK507" s="1149" t="str">
        <f t="shared" si="693"/>
        <v/>
      </c>
      <c r="GL507" s="1149" t="str">
        <f t="shared" si="694"/>
        <v/>
      </c>
      <c r="GM507" s="1149" t="str">
        <f t="shared" si="695"/>
        <v/>
      </c>
      <c r="GN507" s="1149" t="str">
        <f t="shared" si="696"/>
        <v/>
      </c>
      <c r="GO507" s="1149" t="str">
        <f t="shared" si="697"/>
        <v/>
      </c>
      <c r="GP507" s="1149" t="str">
        <f t="shared" si="698"/>
        <v/>
      </c>
      <c r="GQ507" s="1149" t="str">
        <f t="shared" si="699"/>
        <v/>
      </c>
      <c r="GR507" s="1149" t="str">
        <f t="shared" si="700"/>
        <v/>
      </c>
      <c r="GS507" s="1149" t="str">
        <f t="shared" si="701"/>
        <v/>
      </c>
      <c r="GT507" s="1149">
        <f t="shared" si="702"/>
        <v>0</v>
      </c>
      <c r="GU507" s="1149">
        <f t="shared" si="703"/>
        <v>0</v>
      </c>
      <c r="GV507" s="1149">
        <f t="shared" si="704"/>
        <v>0</v>
      </c>
      <c r="GW507" s="1149" t="b">
        <f t="shared" si="705"/>
        <v>0</v>
      </c>
      <c r="GX507" s="1149" t="b">
        <f t="shared" si="706"/>
        <v>0</v>
      </c>
      <c r="GY507" s="1149" t="b">
        <f t="shared" si="707"/>
        <v>0</v>
      </c>
      <c r="GZ507" s="1149" t="str">
        <f t="shared" si="528"/>
        <v/>
      </c>
      <c r="HB507" s="1149" t="str">
        <f t="shared" si="708"/>
        <v/>
      </c>
      <c r="HC507" s="1149" t="str">
        <f t="shared" si="709"/>
        <v/>
      </c>
      <c r="HD507" s="1149" t="str">
        <f t="shared" si="710"/>
        <v/>
      </c>
      <c r="HE507" s="1149" t="str">
        <f t="shared" si="711"/>
        <v/>
      </c>
      <c r="HF507" s="1149" t="str">
        <f t="shared" si="712"/>
        <v/>
      </c>
      <c r="HG507" s="1149" t="str">
        <f t="shared" si="713"/>
        <v/>
      </c>
      <c r="HH507" s="1149" t="str">
        <f t="shared" si="714"/>
        <v/>
      </c>
      <c r="HI507" s="1149" t="str">
        <f t="shared" si="715"/>
        <v/>
      </c>
      <c r="HJ507" s="1149" t="str">
        <f t="shared" si="716"/>
        <v/>
      </c>
      <c r="HK507" s="1149" t="str">
        <f t="shared" si="717"/>
        <v/>
      </c>
      <c r="HL507" s="1149" t="str">
        <f t="shared" si="718"/>
        <v/>
      </c>
      <c r="HM507" s="1149" t="str">
        <f t="shared" si="719"/>
        <v/>
      </c>
      <c r="HN507" s="1149" t="str">
        <f t="shared" si="720"/>
        <v/>
      </c>
      <c r="HO507" s="1149" t="str">
        <f t="shared" si="721"/>
        <v/>
      </c>
      <c r="HP507" s="1149" t="str">
        <f t="shared" si="722"/>
        <v/>
      </c>
      <c r="HQ507" s="1149" t="str">
        <f t="shared" si="723"/>
        <v/>
      </c>
      <c r="HR507" s="1149" t="str">
        <f t="shared" si="724"/>
        <v/>
      </c>
      <c r="HT507" s="1149">
        <f>LEFT(M507,1)*10000+MID(M507,3,LEN(M507)-3)*100+COUNTIF($M$307:M507,M507)</f>
        <v>71501</v>
      </c>
      <c r="HU507" s="1149" t="str">
        <f t="shared" si="725"/>
        <v/>
      </c>
      <c r="HV507" s="1149" t="str">
        <f t="shared" si="726"/>
        <v/>
      </c>
      <c r="HW507" s="1149" t="str">
        <f t="shared" si="727"/>
        <v/>
      </c>
      <c r="HX507" s="1149" t="str">
        <f t="shared" si="728"/>
        <v/>
      </c>
    </row>
    <row r="508" spans="1:232" ht="15" customHeight="1" thickBot="1">
      <c r="A508" s="645"/>
      <c r="B508" s="645"/>
      <c r="C508" s="645"/>
      <c r="D508" s="645"/>
      <c r="E508" s="646"/>
      <c r="J508" s="282"/>
      <c r="K508" s="300"/>
      <c r="L508" s="300"/>
      <c r="M508" s="556"/>
      <c r="N508" s="556"/>
      <c r="O508" s="556"/>
      <c r="P508" s="556"/>
      <c r="Q508" s="556"/>
      <c r="R508" s="556"/>
      <c r="S508" s="556"/>
      <c r="T508" s="556"/>
      <c r="U508" s="556"/>
      <c r="V508" s="556"/>
      <c r="W508" s="556"/>
      <c r="X508" s="556"/>
      <c r="Y508" s="556"/>
      <c r="Z508" s="556"/>
      <c r="AA508" s="556"/>
      <c r="AB508" s="556"/>
      <c r="AC508" s="556"/>
      <c r="AD508" s="556"/>
      <c r="AE508" s="92"/>
      <c r="AF508" s="92"/>
      <c r="AG508" s="92"/>
      <c r="AH508" s="92"/>
      <c r="AI508" s="92"/>
      <c r="AJ508" s="92"/>
      <c r="AK508" s="92"/>
      <c r="AL508" s="92"/>
      <c r="AM508" s="92"/>
      <c r="AN508" s="92"/>
      <c r="AO508" s="92"/>
      <c r="AP508" s="92"/>
      <c r="AQ508" s="92"/>
      <c r="AR508" s="557"/>
      <c r="AS508" s="557"/>
      <c r="AT508" s="92"/>
      <c r="AU508" s="92"/>
      <c r="AV508" s="92"/>
      <c r="AW508" s="92"/>
      <c r="AX508" s="92"/>
      <c r="AY508" s="92"/>
      <c r="AZ508" s="92"/>
      <c r="BA508" s="92"/>
      <c r="BB508" s="92"/>
      <c r="BC508" s="92"/>
      <c r="BD508" s="92"/>
      <c r="BE508" s="92"/>
      <c r="BF508" s="92"/>
      <c r="BG508" s="92"/>
      <c r="BH508" s="92"/>
      <c r="BI508" s="92"/>
      <c r="BJ508" s="92"/>
      <c r="BK508" s="92"/>
      <c r="BL508" s="92"/>
      <c r="BM508" s="92"/>
      <c r="BN508" s="92"/>
      <c r="BO508" s="92"/>
      <c r="BP508" s="92"/>
      <c r="BQ508" s="92"/>
      <c r="BR508" s="92"/>
      <c r="BS508" s="557"/>
      <c r="BT508" s="557"/>
      <c r="BU508" s="745"/>
      <c r="BV508" s="745"/>
      <c r="BW508" s="745"/>
      <c r="BX508" s="745"/>
      <c r="BY508" s="748"/>
      <c r="BZ508" s="748"/>
      <c r="CA508" s="748"/>
      <c r="CB508" s="746"/>
      <c r="CC508" s="746"/>
      <c r="CD508" s="746"/>
      <c r="CE508" s="746"/>
      <c r="CF508" s="746"/>
      <c r="CG508" s="746"/>
      <c r="CH508" s="746"/>
      <c r="CI508" s="746"/>
      <c r="CJ508" s="746"/>
      <c r="CK508" s="746"/>
      <c r="CL508" s="746"/>
      <c r="CM508" s="746"/>
      <c r="CN508" s="746"/>
      <c r="CO508" s="746"/>
      <c r="CP508" s="746"/>
      <c r="CQ508" s="746"/>
      <c r="CR508" s="746"/>
      <c r="CS508" s="746"/>
      <c r="CT508" s="746"/>
      <c r="CU508" s="747"/>
      <c r="CV508" s="2360"/>
      <c r="CW508" s="2360"/>
      <c r="CX508" s="2360"/>
      <c r="CY508" s="2360"/>
      <c r="CZ508" s="2360"/>
      <c r="DA508" s="2360"/>
      <c r="DC508" s="600"/>
      <c r="DD508" s="381"/>
      <c r="DE508" s="36"/>
      <c r="DF508" s="36"/>
      <c r="DG508" s="36"/>
      <c r="DH508" s="36"/>
      <c r="DI508" s="36"/>
      <c r="DJ508" s="641"/>
      <c r="DK508" s="1709"/>
      <c r="DL508" s="1685"/>
      <c r="DM508" s="193">
        <f>SUM(DM493:DM507)</f>
        <v>0</v>
      </c>
      <c r="DN508" s="193">
        <f>SUM(DN493:DN507)</f>
        <v>0</v>
      </c>
      <c r="DO508" s="193">
        <f>SUM(DO493:DO507)</f>
        <v>0</v>
      </c>
      <c r="DP508" s="193">
        <f>SUM(DP493:DP507)</f>
        <v>0</v>
      </c>
      <c r="DX508" s="1972" t="s">
        <v>2427</v>
      </c>
      <c r="DY508" s="924" t="s">
        <v>2430</v>
      </c>
      <c r="DZ508" s="552"/>
      <c r="EA508" s="553"/>
      <c r="EC508" s="229"/>
      <c r="ED508" s="207">
        <f>COUNTIF(ED493:ED507,"1")</f>
        <v>0</v>
      </c>
      <c r="EE508" s="206" t="str">
        <f t="array" ref="EE508">INDEX(EE493:EE507,MATCH(MIN(ABS(EE493:EE507-$DP$4)),ABS(EE493:EE507-$DP$4),0))</f>
        <v>0</v>
      </c>
      <c r="EF508" s="207">
        <f>COUNTIF(EF493:EF507,"未定")</f>
        <v>0</v>
      </c>
      <c r="EG508" s="205"/>
      <c r="EH508" s="229"/>
      <c r="EI508" s="207">
        <f>COUNTIF(EI493:EI507,"1")</f>
        <v>0</v>
      </c>
      <c r="EJ508" s="206" t="str">
        <f t="array" ref="EJ508">INDEX(EJ493:EJ507,MATCH(MIN(ABS(EJ493:EJ507-$DP$4)),ABS(EJ493:EJ507-$DP$4),0))</f>
        <v>0</v>
      </c>
      <c r="EK508" s="207">
        <f>COUNTIF(EK493:EK507,"未定")</f>
        <v>0</v>
      </c>
      <c r="FK508" s="632"/>
      <c r="FL508" s="632"/>
      <c r="FM508" s="632"/>
      <c r="FN508" s="632"/>
      <c r="FO508" s="1163"/>
      <c r="FQ508" s="31"/>
      <c r="FR508" s="229"/>
      <c r="FS508" s="207">
        <f>COUNTIF(FS493:FS507,"1")</f>
        <v>0</v>
      </c>
      <c r="FT508" s="206" t="str">
        <f t="array" ref="FT508">INDEX(FT493:FT507,MATCH(MIN(ABS(FT493:FT507-$DP$4)),ABS(FT493:FT507-$DP$4),0))</f>
        <v>0</v>
      </c>
      <c r="FU508" s="417">
        <f>COUNTIF(FU493:FU507,"未定")</f>
        <v>0</v>
      </c>
      <c r="FV508" s="167"/>
      <c r="FW508" s="1160">
        <f t="shared" si="675"/>
        <v>0</v>
      </c>
      <c r="FX508" s="31"/>
      <c r="FY508" s="31"/>
      <c r="FZ508" s="1164"/>
      <c r="GB508" s="1149">
        <f t="shared" ref="GB508" si="754">IF(SUM(GB493:GB507)&gt;0,1,0)</f>
        <v>0</v>
      </c>
      <c r="GC508" s="1149">
        <f t="shared" ref="GC508" si="755">IF(SUM(GC493:GC507)&gt;0,1,0)</f>
        <v>0</v>
      </c>
      <c r="GD508" s="1149">
        <f>IF(SUM(GD493:GD507)&gt;0,1,0)</f>
        <v>0</v>
      </c>
      <c r="GE508" s="1151"/>
      <c r="GF508" s="1151"/>
      <c r="GG508" s="1151"/>
      <c r="GH508" s="1151"/>
      <c r="GI508" s="1151"/>
      <c r="GJ508" s="1151"/>
      <c r="GK508" s="1151"/>
      <c r="GL508" s="1151"/>
      <c r="GM508" s="1151"/>
      <c r="GN508" s="1151"/>
      <c r="GO508" s="1151"/>
      <c r="GP508" s="1151"/>
      <c r="GQ508" s="1151"/>
      <c r="GR508" s="1151"/>
      <c r="GS508" s="1151"/>
      <c r="GT508" s="1149">
        <f t="shared" ref="GT508:GU508" si="756">IF(SUM(GT493:GT507)&gt;0,1,0)</f>
        <v>0</v>
      </c>
      <c r="GU508" s="1149">
        <f t="shared" si="756"/>
        <v>0</v>
      </c>
      <c r="GV508" s="1149">
        <f>IF(SUM(GV493:GV507)&gt;0,1,0)</f>
        <v>0</v>
      </c>
      <c r="GW508" s="1149" t="b">
        <f t="shared" ref="GW508" si="757">(GB508+GT508)&gt;0</f>
        <v>0</v>
      </c>
      <c r="GX508" s="1149" t="b">
        <f t="shared" ref="GX508" si="758">(GC508+GU508)&gt;0</f>
        <v>0</v>
      </c>
      <c r="GY508" s="1149" t="b">
        <f t="shared" ref="GY508" si="759">(GD508+GV508)&gt;0</f>
        <v>0</v>
      </c>
      <c r="GZ508" s="1149" t="str">
        <f t="shared" si="528"/>
        <v/>
      </c>
      <c r="HB508" s="1151"/>
      <c r="HC508" s="1151"/>
      <c r="HD508" s="1151"/>
      <c r="HE508" s="1151"/>
      <c r="HF508" s="1151"/>
      <c r="HG508" s="1151"/>
      <c r="HH508" s="1151"/>
      <c r="HI508" s="1151"/>
      <c r="HJ508" s="1151"/>
      <c r="HK508" s="1151"/>
      <c r="HL508" s="1151"/>
      <c r="HM508" s="1151"/>
      <c r="HN508" s="1151"/>
      <c r="HO508" s="1151"/>
      <c r="HP508" s="1151"/>
      <c r="HQ508" s="1151"/>
      <c r="HR508" s="1151"/>
      <c r="HT508" s="1702"/>
      <c r="HU508" s="1702"/>
      <c r="HV508" s="1702"/>
      <c r="HW508" s="1702"/>
      <c r="HX508" s="1702"/>
    </row>
    <row r="509" spans="1:232" s="69" customFormat="1" ht="34.5" customHeight="1" thickBot="1">
      <c r="A509" s="645"/>
      <c r="B509" s="645"/>
      <c r="C509" s="645"/>
      <c r="D509" s="645"/>
      <c r="E509" s="646"/>
      <c r="F509" s="381"/>
      <c r="G509" s="381"/>
      <c r="H509" s="381"/>
      <c r="I509" s="123"/>
      <c r="J509" s="88"/>
      <c r="K509" s="89"/>
      <c r="L509" s="89"/>
      <c r="M509" s="2327" t="s">
        <v>2835</v>
      </c>
      <c r="N509" s="2327"/>
      <c r="O509" s="2327"/>
      <c r="P509" s="2327"/>
      <c r="Q509" s="2327"/>
      <c r="R509" s="2327"/>
      <c r="S509" s="2327"/>
      <c r="T509" s="2327"/>
      <c r="U509" s="2327"/>
      <c r="V509" s="2327"/>
      <c r="W509" s="2327"/>
      <c r="X509" s="2327"/>
      <c r="Y509" s="2327"/>
      <c r="Z509" s="2327"/>
      <c r="AA509" s="2327"/>
      <c r="AB509" s="2327"/>
      <c r="AC509" s="2327"/>
      <c r="AD509" s="2327"/>
      <c r="AE509" s="2327"/>
      <c r="AF509" s="2327"/>
      <c r="AG509" s="2327"/>
      <c r="AH509" s="2327"/>
      <c r="AI509" s="2327"/>
      <c r="AJ509" s="2327"/>
      <c r="AK509" s="2327"/>
      <c r="AL509" s="2327"/>
      <c r="AM509" s="2327"/>
      <c r="AN509" s="2327"/>
      <c r="AO509" s="2327"/>
      <c r="AP509" s="2327"/>
      <c r="AQ509" s="2327"/>
      <c r="AR509" s="2327"/>
      <c r="AS509" s="2327"/>
      <c r="AT509" s="2327"/>
      <c r="AU509" s="2327"/>
      <c r="AV509" s="2327"/>
      <c r="AW509" s="2327"/>
      <c r="AX509" s="2327"/>
      <c r="AY509" s="2327"/>
      <c r="AZ509" s="2327"/>
      <c r="BA509" s="2327"/>
      <c r="BB509" s="2327"/>
      <c r="BC509" s="2327"/>
      <c r="BD509" s="2327"/>
      <c r="BE509" s="2327"/>
      <c r="BF509" s="2327"/>
      <c r="BG509" s="2327"/>
      <c r="BH509" s="2327"/>
      <c r="BI509" s="2327"/>
      <c r="BJ509" s="2327"/>
      <c r="BK509" s="2327"/>
      <c r="BL509" s="2327"/>
      <c r="BM509" s="2327"/>
      <c r="BN509" s="2327"/>
      <c r="BO509" s="2327"/>
      <c r="BP509" s="2327"/>
      <c r="BQ509" s="2327"/>
      <c r="BR509" s="2327"/>
      <c r="BS509" s="2327"/>
      <c r="BT509" s="2327"/>
      <c r="BU509" s="2327"/>
      <c r="BV509" s="2327"/>
      <c r="BW509" s="2327"/>
      <c r="BX509" s="2327"/>
      <c r="BY509" s="2327"/>
      <c r="BZ509" s="2327"/>
      <c r="CA509" s="2327"/>
      <c r="CB509" s="2327"/>
      <c r="CC509" s="2327"/>
      <c r="CD509" s="2327"/>
      <c r="CE509" s="2327"/>
      <c r="CF509" s="2327"/>
      <c r="CG509" s="2327"/>
      <c r="CH509" s="2327"/>
      <c r="CI509" s="2327"/>
      <c r="CJ509" s="2327"/>
      <c r="CK509" s="2327"/>
      <c r="CL509" s="2327"/>
      <c r="CM509" s="2327"/>
      <c r="CN509" s="2327"/>
      <c r="CO509" s="2327"/>
      <c r="CP509" s="2327"/>
      <c r="CQ509" s="2327"/>
      <c r="CR509" s="2327"/>
      <c r="CS509" s="2327"/>
      <c r="CT509" s="2327"/>
      <c r="CU509" s="2328"/>
      <c r="CV509" s="2360"/>
      <c r="CW509" s="2360"/>
      <c r="CX509" s="2360"/>
      <c r="CY509" s="2360"/>
      <c r="CZ509" s="2360"/>
      <c r="DA509" s="2360"/>
      <c r="DB509" s="108"/>
      <c r="DC509" s="600"/>
      <c r="DD509" s="381"/>
      <c r="DE509" s="34"/>
      <c r="DF509" s="34"/>
      <c r="DG509" s="34"/>
      <c r="DH509" s="34"/>
      <c r="DI509" s="34"/>
      <c r="DJ509" s="34"/>
      <c r="DK509" s="1711"/>
      <c r="DL509" s="114"/>
      <c r="DM509" s="386" t="str">
        <f>IF(AND(DN509="",DO509="",DP509="",DM527&lt;&gt;0),"レ","")</f>
        <v/>
      </c>
      <c r="DN509" s="386" t="str">
        <f>IF(AND(DO509="",DP509="",DN527&lt;&gt;0),"レ","")</f>
        <v/>
      </c>
      <c r="DO509" s="386" t="str">
        <f>IF(DO527&lt;&gt;0,"レ","")</f>
        <v/>
      </c>
      <c r="DP509" s="386" t="str">
        <f>IF(AND(DO509="",DP527&lt;&gt;0),"レ","")</f>
        <v/>
      </c>
      <c r="DQ509" s="114"/>
      <c r="DR509" s="170"/>
      <c r="DS509" s="170"/>
      <c r="DT509" s="170"/>
      <c r="DU509" s="114"/>
      <c r="DV509" s="114"/>
      <c r="DW509" s="385" t="s">
        <v>2400</v>
      </c>
      <c r="DX509" s="2046"/>
      <c r="DY509" s="135" t="str">
        <f>SUBSTITUTE(TRIM(DY512&amp;"　"&amp;DY513&amp;"　"&amp;DY514&amp;"　"&amp;DY515&amp;"　"&amp;DY516&amp;"　"&amp;DY517&amp;"　"&amp;DY518&amp;"　"&amp;DY519&amp;"　"&amp;DY520&amp;"　"&amp;DY521&amp;"　"&amp;DY522&amp;"　"&amp;DY523&amp;"　"&amp;DY524&amp;"　"&amp;DY525&amp;"　"&amp;DY526),"　",",")</f>
        <v/>
      </c>
      <c r="DZ509" s="2518" t="s">
        <v>2436</v>
      </c>
      <c r="EA509" s="2519"/>
      <c r="EB509" s="530" t="str">
        <f>IF(COUNTIF(ED512:ED526,1)&gt;0,"レ","")</f>
        <v/>
      </c>
      <c r="EC509" s="539"/>
      <c r="ED509" s="540" t="str">
        <f>IF(EB509="レ",YEAR(EE527)-VLOOKUP(EE527,$DS$6:$DV$9,4,TRUE),"")</f>
        <v/>
      </c>
      <c r="EE509" s="540" t="str">
        <f>IF(EB509="レ",MONTH(EE527),IF(AND(DO509="レ",EF509="レ",EF527=0),"",IF(AND(DO509="レ",EF509="レ",EF527&gt;0),"","")))</f>
        <v/>
      </c>
      <c r="EF509" s="545" t="str">
        <f>IF(EB509="",IF(OR(EF527&gt;0,DO509="レ"),"レ",""),"")</f>
        <v/>
      </c>
      <c r="EG509" s="538" t="str">
        <f>IF(AND(COUNTIF(DT512:DT526,"要是正")=0,COUNTIF(EI512:EI526,1)&gt;0),"レ","")</f>
        <v/>
      </c>
      <c r="EH509" s="539"/>
      <c r="EI509" s="540" t="str">
        <f>IF(EG509="レ",YEAR(EJ527)-VLOOKUP(EJ527,$DS$6:$DV$9,4,TRUE),"")</f>
        <v/>
      </c>
      <c r="EJ509" s="540" t="str">
        <f>IF(EG509="レ",MONTH(EJ527),IF(AND(DP509="レ",EK509="レ",EK527=0),"",IF(AND(DP509="レ",EK509="レ",EK527&gt;0),"","")))</f>
        <v/>
      </c>
      <c r="EK509" s="545" t="str">
        <f>IF(EG509="",IF(OR(EK527&gt;0,DP509="レ"),"レ",""),"")</f>
        <v/>
      </c>
      <c r="EO509" s="35"/>
      <c r="EP509" s="35"/>
      <c r="EQ509" s="35"/>
      <c r="ER509" s="35"/>
      <c r="ES509" s="35"/>
      <c r="ET509" s="35"/>
      <c r="EU509" s="35"/>
      <c r="EV509" s="35"/>
      <c r="EW509" s="35"/>
      <c r="EX509" s="35"/>
      <c r="EY509" s="35"/>
      <c r="EZ509" s="35"/>
      <c r="FA509" s="35"/>
      <c r="FB509" s="35"/>
      <c r="FC509" s="35"/>
      <c r="FD509" s="35"/>
      <c r="FE509" s="35"/>
      <c r="FF509" s="35"/>
      <c r="FG509" s="35"/>
      <c r="FH509" s="35"/>
      <c r="FI509" s="35"/>
      <c r="FK509" s="632"/>
      <c r="FL509" s="632"/>
      <c r="FM509" s="632"/>
      <c r="FN509" s="632"/>
      <c r="FO509" s="1163"/>
      <c r="FQ509" s="230" t="str">
        <f>IF(COUNTIF(FS512:FS526,1)&gt;0,"レ","")</f>
        <v/>
      </c>
      <c r="FR509" s="389"/>
      <c r="FS509" s="231" t="str">
        <f>IF(FQ509="レ",TEXT(FT527,"ee"),"")</f>
        <v/>
      </c>
      <c r="FT509" s="231" t="str">
        <f>IF(FQ509="レ",MONTH(FT527),IF(AND(FH509="レ",FU509="レ",FU527=0),"",IF(AND(FH509="レ",FU509="レ",FU527&gt;0),"未定","")))</f>
        <v/>
      </c>
      <c r="FU509" s="387" t="str">
        <f>IF(FQ509="",IF(OR(FU527&gt;0,FH509="レ"),"レ",""),"")</f>
        <v/>
      </c>
      <c r="FW509" s="1160">
        <f t="shared" si="675"/>
        <v>0</v>
      </c>
      <c r="FX509" s="123"/>
      <c r="FY509" s="123"/>
      <c r="FZ509" s="1161"/>
      <c r="GA509" s="34"/>
      <c r="GB509" s="69" t="s">
        <v>3081</v>
      </c>
      <c r="GL509" s="1170" t="s">
        <v>3086</v>
      </c>
      <c r="HF509" s="1170" t="s">
        <v>3083</v>
      </c>
      <c r="HK509" s="1170" t="s">
        <v>3084</v>
      </c>
      <c r="HL509" s="1170"/>
      <c r="HS509" s="123"/>
      <c r="HT509" s="1703"/>
      <c r="HU509" s="1703"/>
      <c r="HV509" s="1703"/>
      <c r="HW509" s="1703"/>
      <c r="HX509" s="1703"/>
    </row>
    <row r="510" spans="1:232" s="69" customFormat="1" ht="36" customHeight="1" thickBot="1">
      <c r="A510" s="645"/>
      <c r="B510" s="645"/>
      <c r="C510" s="645"/>
      <c r="D510" s="645"/>
      <c r="E510" s="646"/>
      <c r="F510" s="381"/>
      <c r="G510" s="381"/>
      <c r="H510" s="381"/>
      <c r="I510" s="123"/>
      <c r="J510" s="88"/>
      <c r="K510" s="89"/>
      <c r="L510" s="89"/>
      <c r="M510" s="2006" t="s">
        <v>31</v>
      </c>
      <c r="N510" s="2006"/>
      <c r="O510" s="2006"/>
      <c r="P510" s="2006" t="s">
        <v>32</v>
      </c>
      <c r="Q510" s="2006"/>
      <c r="R510" s="2006"/>
      <c r="S510" s="2006"/>
      <c r="T510" s="2006"/>
      <c r="U510" s="2006"/>
      <c r="V510" s="2006"/>
      <c r="W510" s="2006"/>
      <c r="X510" s="2006"/>
      <c r="Y510" s="2006"/>
      <c r="Z510" s="2006"/>
      <c r="AA510" s="2006"/>
      <c r="AB510" s="2006"/>
      <c r="AC510" s="2006"/>
      <c r="AD510" s="2006"/>
      <c r="AE510" s="2006"/>
      <c r="AF510" s="2006" t="s">
        <v>33</v>
      </c>
      <c r="AG510" s="2006"/>
      <c r="AH510" s="2006"/>
      <c r="AI510" s="2006"/>
      <c r="AJ510" s="2006"/>
      <c r="AK510" s="2006"/>
      <c r="AL510" s="2006"/>
      <c r="AM510" s="2006"/>
      <c r="AN510" s="2006"/>
      <c r="AO510" s="2006"/>
      <c r="AP510" s="2006"/>
      <c r="AQ510" s="2006"/>
      <c r="AR510" s="2006" t="s">
        <v>752</v>
      </c>
      <c r="AS510" s="2006"/>
      <c r="AT510" s="2003" t="s">
        <v>156</v>
      </c>
      <c r="AU510" s="2003"/>
      <c r="AV510" s="2003"/>
      <c r="AW510" s="2003"/>
      <c r="AX510" s="2003"/>
      <c r="AY510" s="2003"/>
      <c r="AZ510" s="2003"/>
      <c r="BA510" s="2003"/>
      <c r="BB510" s="2003"/>
      <c r="BC510" s="2003"/>
      <c r="BD510" s="2003" t="s">
        <v>194</v>
      </c>
      <c r="BE510" s="2003"/>
      <c r="BF510" s="2003"/>
      <c r="BG510" s="2003"/>
      <c r="BH510" s="2003"/>
      <c r="BI510" s="2003"/>
      <c r="BJ510" s="2003"/>
      <c r="BK510" s="2003"/>
      <c r="BL510" s="2003"/>
      <c r="BM510" s="2003"/>
      <c r="BN510" s="2003"/>
      <c r="BO510" s="2003"/>
      <c r="BP510" s="2003"/>
      <c r="BQ510" s="2003"/>
      <c r="BR510" s="2003"/>
      <c r="BS510" s="2006" t="s">
        <v>387</v>
      </c>
      <c r="BT510" s="2003"/>
      <c r="BU510" s="2003"/>
      <c r="BV510" s="2003"/>
      <c r="BW510" s="2003"/>
      <c r="BX510" s="2003"/>
      <c r="BY510" s="2003"/>
      <c r="BZ510" s="2003"/>
      <c r="CA510" s="2003"/>
      <c r="CB510" s="2120" t="s">
        <v>2818</v>
      </c>
      <c r="CC510" s="2120"/>
      <c r="CD510" s="2120"/>
      <c r="CE510" s="2120"/>
      <c r="CF510" s="2120"/>
      <c r="CG510" s="2120"/>
      <c r="CH510" s="2120"/>
      <c r="CI510" s="2120"/>
      <c r="CJ510" s="2120"/>
      <c r="CK510" s="2120"/>
      <c r="CL510" s="2120"/>
      <c r="CM510" s="2120"/>
      <c r="CN510" s="2120"/>
      <c r="CO510" s="2120"/>
      <c r="CP510" s="2120"/>
      <c r="CQ510" s="2120"/>
      <c r="CR510" s="2120"/>
      <c r="CS510" s="2120"/>
      <c r="CT510" s="2120"/>
      <c r="CU510" s="2121"/>
      <c r="CV510" s="108"/>
      <c r="CW510" s="108"/>
      <c r="CX510" s="108"/>
      <c r="CY510" s="108"/>
      <c r="CZ510" s="108"/>
      <c r="DA510" s="108"/>
      <c r="DB510" s="108"/>
      <c r="DC510" s="35"/>
      <c r="DD510" s="381"/>
      <c r="DE510" s="34"/>
      <c r="DF510" s="34"/>
      <c r="DG510" s="34"/>
      <c r="DH510" s="34"/>
      <c r="DI510" s="34"/>
      <c r="DJ510" s="34"/>
      <c r="DK510" s="1711"/>
      <c r="DL510" s="114"/>
      <c r="DM510" s="166" t="s">
        <v>3360</v>
      </c>
      <c r="DN510" s="34"/>
      <c r="DO510" s="34"/>
      <c r="DP510" s="34"/>
      <c r="DQ510" s="34"/>
      <c r="DR510" s="34"/>
      <c r="DU510" s="381"/>
      <c r="DV510" s="381"/>
      <c r="DW510" s="381"/>
      <c r="DX510" s="2046"/>
      <c r="DY510" s="1972" t="s">
        <v>911</v>
      </c>
      <c r="DZ510" s="1974" t="s">
        <v>194</v>
      </c>
      <c r="EA510" s="2517" t="s">
        <v>2402</v>
      </c>
      <c r="EB510" s="1877" t="s">
        <v>24</v>
      </c>
      <c r="EC510" s="1877"/>
      <c r="ED510" s="1877"/>
      <c r="EE510" s="1877"/>
      <c r="EF510" s="1878"/>
      <c r="EG510" s="1879" t="s">
        <v>931</v>
      </c>
      <c r="EH510" s="1880"/>
      <c r="EI510" s="1880"/>
      <c r="EJ510" s="1880"/>
      <c r="EK510" s="1881"/>
      <c r="EL510" s="1882" t="s">
        <v>938</v>
      </c>
      <c r="EM510" s="1883"/>
      <c r="EN510" s="1884"/>
      <c r="EO510" s="1897"/>
      <c r="EP510" s="1897"/>
      <c r="EQ510" s="1897"/>
      <c r="ER510" s="1897"/>
      <c r="FB510" s="1171"/>
      <c r="FC510" s="1171"/>
      <c r="FD510" s="1171"/>
      <c r="FE510" s="1171"/>
      <c r="FF510" s="1171"/>
      <c r="FG510" s="1171"/>
      <c r="FH510" s="1171"/>
      <c r="FI510" s="1171"/>
      <c r="FJ510" s="108"/>
      <c r="FK510" s="1901" t="s">
        <v>1180</v>
      </c>
      <c r="FL510" s="1902"/>
      <c r="FM510" s="1902"/>
      <c r="FN510" s="1902"/>
      <c r="FO510" s="1903"/>
      <c r="FQ510" s="1907" t="s">
        <v>24</v>
      </c>
      <c r="FR510" s="1908"/>
      <c r="FS510" s="1908"/>
      <c r="FT510" s="1908"/>
      <c r="FU510" s="1909"/>
      <c r="FW510" s="1160" t="str">
        <f t="shared" si="675"/>
        <v>指摘の具体的内容等</v>
      </c>
      <c r="FX510" s="123"/>
      <c r="FY510" s="123"/>
      <c r="FZ510" s="1161"/>
      <c r="GA510" s="34"/>
      <c r="GB510" s="1172" t="s">
        <v>2703</v>
      </c>
      <c r="GC510" s="1173"/>
      <c r="GD510" s="1173"/>
      <c r="GE510" s="1173"/>
      <c r="GF510" s="1173"/>
      <c r="GG510" s="1173"/>
      <c r="GH510" s="1174"/>
      <c r="GI510" s="1174"/>
      <c r="GJ510" s="1175" t="s">
        <v>3080</v>
      </c>
      <c r="GL510" s="1176"/>
      <c r="GM510" s="1173" t="s">
        <v>2706</v>
      </c>
      <c r="GN510" s="1173"/>
      <c r="GO510" s="1173"/>
      <c r="GP510" s="1173"/>
      <c r="GQ510" s="1173"/>
      <c r="GR510" s="1174"/>
      <c r="GS510" s="1174"/>
      <c r="GT510" s="1174"/>
      <c r="GU510" s="1177"/>
      <c r="GV510" s="1178" t="s">
        <v>2707</v>
      </c>
      <c r="GW510" s="1174"/>
      <c r="GX510" s="1174"/>
      <c r="GY510" s="1174"/>
      <c r="GZ510" s="1174"/>
      <c r="HA510" s="1174"/>
      <c r="HB510" s="1174"/>
      <c r="HC510" s="1179"/>
      <c r="HD510" s="1180"/>
      <c r="HE510" s="167"/>
      <c r="HF510" s="1172" t="s">
        <v>1182</v>
      </c>
      <c r="HG510" s="1181"/>
      <c r="HH510" s="1181"/>
      <c r="HI510" s="1182"/>
      <c r="HK510" s="1183"/>
      <c r="HL510" s="1184" t="s">
        <v>3066</v>
      </c>
      <c r="HM510" s="1181"/>
      <c r="HN510" s="1181"/>
      <c r="HO510" s="1181"/>
      <c r="HP510" s="1181"/>
      <c r="HQ510" s="1181"/>
      <c r="HR510" s="1182"/>
      <c r="HS510" s="1185"/>
      <c r="HT510" s="1703"/>
      <c r="HU510" s="1703"/>
      <c r="HV510" s="1703"/>
      <c r="HW510" s="1703"/>
      <c r="HX510" s="1703"/>
    </row>
    <row r="511" spans="1:232" s="69" customFormat="1" ht="36" customHeight="1" thickBot="1">
      <c r="A511" s="645"/>
      <c r="B511" s="645"/>
      <c r="C511" s="645"/>
      <c r="D511" s="645"/>
      <c r="E511" s="646"/>
      <c r="F511" s="381"/>
      <c r="G511" s="381"/>
      <c r="H511" s="381"/>
      <c r="I511" s="123"/>
      <c r="J511" s="88"/>
      <c r="K511" s="89"/>
      <c r="L511" s="89"/>
      <c r="M511" s="1976"/>
      <c r="N511" s="1976"/>
      <c r="O511" s="1976"/>
      <c r="P511" s="1976"/>
      <c r="Q511" s="1976"/>
      <c r="R511" s="1976"/>
      <c r="S511" s="1976"/>
      <c r="T511" s="1976"/>
      <c r="U511" s="1976"/>
      <c r="V511" s="1976"/>
      <c r="W511" s="1976"/>
      <c r="X511" s="1976"/>
      <c r="Y511" s="1976"/>
      <c r="Z511" s="1976"/>
      <c r="AA511" s="1976"/>
      <c r="AB511" s="1976"/>
      <c r="AC511" s="1976"/>
      <c r="AD511" s="1976"/>
      <c r="AE511" s="1976"/>
      <c r="AF511" s="1976"/>
      <c r="AG511" s="1976"/>
      <c r="AH511" s="1976"/>
      <c r="AI511" s="1976"/>
      <c r="AJ511" s="1976"/>
      <c r="AK511" s="1976"/>
      <c r="AL511" s="1976"/>
      <c r="AM511" s="1976"/>
      <c r="AN511" s="1976"/>
      <c r="AO511" s="1976"/>
      <c r="AP511" s="1976"/>
      <c r="AQ511" s="1976"/>
      <c r="AR511" s="1976"/>
      <c r="AS511" s="1976"/>
      <c r="AT511" s="2004"/>
      <c r="AU511" s="2004"/>
      <c r="AV511" s="2004"/>
      <c r="AW511" s="2004"/>
      <c r="AX511" s="2004"/>
      <c r="AY511" s="2004"/>
      <c r="AZ511" s="2004"/>
      <c r="BA511" s="2004"/>
      <c r="BB511" s="2004"/>
      <c r="BC511" s="2004"/>
      <c r="BD511" s="2004"/>
      <c r="BE511" s="2004"/>
      <c r="BF511" s="2004"/>
      <c r="BG511" s="2004"/>
      <c r="BH511" s="2004"/>
      <c r="BI511" s="2004"/>
      <c r="BJ511" s="2004"/>
      <c r="BK511" s="2004"/>
      <c r="BL511" s="2004"/>
      <c r="BM511" s="2004"/>
      <c r="BN511" s="2004"/>
      <c r="BO511" s="2004"/>
      <c r="BP511" s="2004"/>
      <c r="BQ511" s="2004"/>
      <c r="BR511" s="2004"/>
      <c r="BS511" s="1976" t="s">
        <v>865</v>
      </c>
      <c r="BT511" s="1976"/>
      <c r="BU511" s="1976"/>
      <c r="BV511" s="1977" t="s">
        <v>383</v>
      </c>
      <c r="BW511" s="1977"/>
      <c r="BX511" s="1977"/>
      <c r="BY511" s="1977" t="s">
        <v>1700</v>
      </c>
      <c r="BZ511" s="1978"/>
      <c r="CA511" s="1978"/>
      <c r="CB511" s="2122"/>
      <c r="CC511" s="2122"/>
      <c r="CD511" s="2122"/>
      <c r="CE511" s="2122"/>
      <c r="CF511" s="2122"/>
      <c r="CG511" s="2122"/>
      <c r="CH511" s="2122"/>
      <c r="CI511" s="2122"/>
      <c r="CJ511" s="2122"/>
      <c r="CK511" s="2122"/>
      <c r="CL511" s="2122"/>
      <c r="CM511" s="2122"/>
      <c r="CN511" s="2122"/>
      <c r="CO511" s="2122"/>
      <c r="CP511" s="2122"/>
      <c r="CQ511" s="2122"/>
      <c r="CR511" s="2122"/>
      <c r="CS511" s="2122"/>
      <c r="CT511" s="2122"/>
      <c r="CU511" s="2123"/>
      <c r="CV511" s="108"/>
      <c r="CW511" s="108"/>
      <c r="CX511" s="108"/>
      <c r="CY511" s="108"/>
      <c r="CZ511" s="108"/>
      <c r="DA511" s="108"/>
      <c r="DB511" s="108"/>
      <c r="DC511" s="35"/>
      <c r="DD511" s="381"/>
      <c r="DE511" s="34"/>
      <c r="DF511" s="34"/>
      <c r="DG511" s="34"/>
      <c r="DH511" s="34"/>
      <c r="DI511" s="34"/>
      <c r="DJ511" s="1695" t="s">
        <v>5640</v>
      </c>
      <c r="DK511" s="1706" t="s">
        <v>5639</v>
      </c>
      <c r="DL511" s="1696" t="s">
        <v>5641</v>
      </c>
      <c r="DM511" s="512" t="s">
        <v>347</v>
      </c>
      <c r="DN511" s="471" t="s">
        <v>348</v>
      </c>
      <c r="DO511" s="471" t="s">
        <v>349</v>
      </c>
      <c r="DP511" s="472" t="s">
        <v>350</v>
      </c>
      <c r="DQ511" s="192" t="s">
        <v>863</v>
      </c>
      <c r="DR511" s="470" t="s">
        <v>754</v>
      </c>
      <c r="DS511" s="514" t="s">
        <v>753</v>
      </c>
      <c r="DT511" s="479" t="s">
        <v>746</v>
      </c>
      <c r="DU511" s="481" t="s">
        <v>920</v>
      </c>
      <c r="DV511" s="522" t="s">
        <v>912</v>
      </c>
      <c r="DW511" s="547" t="s">
        <v>695</v>
      </c>
      <c r="DX511" s="2047"/>
      <c r="DY511" s="1973"/>
      <c r="DZ511" s="1975"/>
      <c r="EA511" s="2486"/>
      <c r="EB511" s="548" t="s">
        <v>950</v>
      </c>
      <c r="EC511" s="228" t="s">
        <v>949</v>
      </c>
      <c r="ED511" s="228" t="s">
        <v>943</v>
      </c>
      <c r="EE511" s="215" t="s">
        <v>944</v>
      </c>
      <c r="EF511" s="415" t="s">
        <v>945</v>
      </c>
      <c r="EG511" s="214" t="s">
        <v>941</v>
      </c>
      <c r="EH511" s="215" t="s">
        <v>942</v>
      </c>
      <c r="EI511" s="228" t="s">
        <v>943</v>
      </c>
      <c r="EJ511" s="215" t="s">
        <v>944</v>
      </c>
      <c r="EK511" s="415" t="s">
        <v>945</v>
      </c>
      <c r="EL511" s="223" t="s">
        <v>358</v>
      </c>
      <c r="EM511" s="112" t="s">
        <v>693</v>
      </c>
      <c r="EN511" s="220" t="s">
        <v>694</v>
      </c>
      <c r="EO511" s="35"/>
      <c r="EP511" s="313"/>
      <c r="EQ511" s="313"/>
      <c r="ER511" s="313"/>
      <c r="FB511" s="1171"/>
      <c r="FC511" s="1171"/>
      <c r="FD511" s="1171"/>
      <c r="FE511" s="1171"/>
      <c r="FF511" s="1171"/>
      <c r="FG511" s="1171"/>
      <c r="FH511" s="1171"/>
      <c r="FI511" s="1171"/>
      <c r="FJ511" s="108"/>
      <c r="FK511" s="1904"/>
      <c r="FL511" s="1905"/>
      <c r="FM511" s="1905"/>
      <c r="FN511" s="1905"/>
      <c r="FO511" s="1906"/>
      <c r="FQ511" s="235" t="s">
        <v>950</v>
      </c>
      <c r="FR511" s="228" t="s">
        <v>949</v>
      </c>
      <c r="FS511" s="228" t="s">
        <v>943</v>
      </c>
      <c r="FT511" s="215" t="s">
        <v>944</v>
      </c>
      <c r="FU511" s="415" t="s">
        <v>945</v>
      </c>
      <c r="FW511" s="1160">
        <f t="shared" si="675"/>
        <v>0</v>
      </c>
      <c r="FX511" s="123"/>
      <c r="FY511" s="123"/>
      <c r="FZ511" s="1161"/>
      <c r="GA511" s="34"/>
      <c r="GB511" s="475" t="s">
        <v>2704</v>
      </c>
      <c r="GC511" s="476">
        <v>1</v>
      </c>
      <c r="GD511" s="476">
        <v>2</v>
      </c>
      <c r="GE511" s="476">
        <v>3</v>
      </c>
      <c r="GF511" s="476">
        <v>4</v>
      </c>
      <c r="GG511" s="476">
        <v>5</v>
      </c>
      <c r="GH511" s="476">
        <v>6</v>
      </c>
      <c r="GI511" s="476">
        <v>7</v>
      </c>
      <c r="GJ511" s="222" t="s">
        <v>2705</v>
      </c>
      <c r="GL511" s="1186"/>
      <c r="GM511" s="476">
        <v>1</v>
      </c>
      <c r="GN511" s="476">
        <v>2</v>
      </c>
      <c r="GO511" s="476">
        <v>3</v>
      </c>
      <c r="GP511" s="476">
        <v>4</v>
      </c>
      <c r="GQ511" s="476">
        <v>5</v>
      </c>
      <c r="GR511" s="476">
        <v>6</v>
      </c>
      <c r="GS511" s="476">
        <v>7</v>
      </c>
      <c r="GT511" s="1187" t="s">
        <v>2708</v>
      </c>
      <c r="GU511" s="1188" t="s">
        <v>3078</v>
      </c>
      <c r="GV511" s="475">
        <v>1</v>
      </c>
      <c r="GW511" s="476">
        <v>2</v>
      </c>
      <c r="GX511" s="476">
        <v>3</v>
      </c>
      <c r="GY511" s="476">
        <v>4</v>
      </c>
      <c r="GZ511" s="476">
        <v>5</v>
      </c>
      <c r="HA511" s="476">
        <v>6</v>
      </c>
      <c r="HB511" s="476">
        <v>7</v>
      </c>
      <c r="HC511" s="476" t="s">
        <v>2708</v>
      </c>
      <c r="HD511" s="1188" t="s">
        <v>3079</v>
      </c>
      <c r="HE511" s="167"/>
      <c r="HF511" s="1189">
        <v>4</v>
      </c>
      <c r="HG511" s="1190"/>
      <c r="HH511" s="1191"/>
      <c r="HI511" s="1192" t="s">
        <v>3074</v>
      </c>
      <c r="HJ511" s="110"/>
      <c r="HK511" s="1193"/>
      <c r="HL511" s="1194">
        <v>1</v>
      </c>
      <c r="HM511" s="1194">
        <v>2</v>
      </c>
      <c r="HN511" s="1194">
        <v>3</v>
      </c>
      <c r="HO511" s="1194">
        <v>4</v>
      </c>
      <c r="HP511" s="1194">
        <v>5</v>
      </c>
      <c r="HQ511" s="1194">
        <v>6</v>
      </c>
      <c r="HR511" s="1195">
        <v>7</v>
      </c>
      <c r="HS511" s="1191"/>
      <c r="HT511" s="1704"/>
      <c r="HU511" s="1704"/>
      <c r="HV511" s="1704"/>
      <c r="HW511" s="1704"/>
      <c r="HX511" s="1704"/>
    </row>
    <row r="512" spans="1:232" s="69" customFormat="1" ht="50.15" customHeight="1">
      <c r="A512" s="645"/>
      <c r="B512" s="645"/>
      <c r="C512" s="645"/>
      <c r="D512" s="645"/>
      <c r="E512" s="646"/>
      <c r="F512" s="381"/>
      <c r="G512" s="381"/>
      <c r="H512" s="381"/>
      <c r="I512" s="123"/>
      <c r="J512" s="88"/>
      <c r="K512" s="89"/>
      <c r="L512" s="89"/>
      <c r="M512" s="2317"/>
      <c r="N512" s="2318"/>
      <c r="O512" s="2319"/>
      <c r="P512" s="2314" t="str">
        <f>IFERROR(VLOOKUP(M512,$DQ$307:$DR$507,2,FALSE),"")</f>
        <v/>
      </c>
      <c r="Q512" s="2315"/>
      <c r="R512" s="2315"/>
      <c r="S512" s="2315"/>
      <c r="T512" s="2315"/>
      <c r="U512" s="2315"/>
      <c r="V512" s="2315"/>
      <c r="W512" s="2315"/>
      <c r="X512" s="2315"/>
      <c r="Y512" s="2315"/>
      <c r="Z512" s="2315"/>
      <c r="AA512" s="2315"/>
      <c r="AB512" s="2315"/>
      <c r="AC512" s="2315"/>
      <c r="AD512" s="2315"/>
      <c r="AE512" s="2316"/>
      <c r="AF512" s="2134"/>
      <c r="AG512" s="2135"/>
      <c r="AH512" s="2135"/>
      <c r="AI512" s="2135"/>
      <c r="AJ512" s="2135"/>
      <c r="AK512" s="2135"/>
      <c r="AL512" s="2135"/>
      <c r="AM512" s="2135"/>
      <c r="AN512" s="2135"/>
      <c r="AO512" s="2135"/>
      <c r="AP512" s="2135"/>
      <c r="AQ512" s="2135"/>
      <c r="AR512" s="1957"/>
      <c r="AS512" s="1957"/>
      <c r="AT512" s="2138"/>
      <c r="AU512" s="2139"/>
      <c r="AV512" s="2139"/>
      <c r="AW512" s="2139"/>
      <c r="AX512" s="2139"/>
      <c r="AY512" s="2139"/>
      <c r="AZ512" s="2139"/>
      <c r="BA512" s="2139"/>
      <c r="BB512" s="2139"/>
      <c r="BC512" s="2139"/>
      <c r="BD512" s="2138"/>
      <c r="BE512" s="2139"/>
      <c r="BF512" s="2139"/>
      <c r="BG512" s="2139"/>
      <c r="BH512" s="2139"/>
      <c r="BI512" s="2139"/>
      <c r="BJ512" s="2139"/>
      <c r="BK512" s="2139"/>
      <c r="BL512" s="2139"/>
      <c r="BM512" s="2139"/>
      <c r="BN512" s="2139"/>
      <c r="BO512" s="2139"/>
      <c r="BP512" s="2139"/>
      <c r="BQ512" s="2139"/>
      <c r="BR512" s="2139"/>
      <c r="BS512" s="1957"/>
      <c r="BT512" s="2140"/>
      <c r="BU512" s="2140"/>
      <c r="BV512" s="1990"/>
      <c r="BW512" s="1990"/>
      <c r="BX512" s="1990"/>
      <c r="BY512" s="1990"/>
      <c r="BZ512" s="1990"/>
      <c r="CA512" s="1990"/>
      <c r="CB512" s="2547" t="s">
        <v>3082</v>
      </c>
      <c r="CC512" s="2548"/>
      <c r="CD512" s="2548"/>
      <c r="CE512" s="2548"/>
      <c r="CF512" s="2548"/>
      <c r="CG512" s="2548"/>
      <c r="CH512" s="2548"/>
      <c r="CI512" s="2548"/>
      <c r="CJ512" s="2548"/>
      <c r="CK512" s="2548"/>
      <c r="CL512" s="2548"/>
      <c r="CM512" s="2548"/>
      <c r="CN512" s="2548"/>
      <c r="CO512" s="2548"/>
      <c r="CP512" s="2548"/>
      <c r="CQ512" s="2548"/>
      <c r="CR512" s="2548"/>
      <c r="CS512" s="2548"/>
      <c r="CT512" s="2548"/>
      <c r="CU512" s="2549"/>
      <c r="CV512" s="2360" t="str">
        <f t="shared" ref="CV512:CV520" si="760">IF(AND(DT512="要是正",DU512&lt;21),HYPERLINK("#"&amp;EL512&amp;"!"&amp;EM512&amp;":"&amp;EN512&amp;"","関連写真添付"),"")</f>
        <v/>
      </c>
      <c r="CW512" s="2360"/>
      <c r="CX512" s="2360"/>
      <c r="CY512" s="2360"/>
      <c r="CZ512" s="2360"/>
      <c r="DA512" s="2360"/>
      <c r="DB512" s="120"/>
      <c r="DC512" s="600" t="str">
        <f t="shared" ref="DC512:DC521" si="761">IF(AND(DU512&lt;&gt;"",DU512&gt;20),"「別途様式を作成、提出してください。」","")</f>
        <v/>
      </c>
      <c r="DD512" s="381"/>
      <c r="DE512" s="34"/>
      <c r="DF512" s="34"/>
      <c r="DG512" s="34"/>
      <c r="DH512" s="34"/>
      <c r="DI512" s="34"/>
      <c r="DJ512" s="858" t="s">
        <v>5637</v>
      </c>
      <c r="DK512" s="1707" t="str">
        <f>IF(DS512=2,DATE(VLOOKUP(DJ512,$DU$6:$DV$9,2,FALSE)+BS512,BV512,1),"")</f>
        <v/>
      </c>
      <c r="DL512" s="1692" t="str">
        <f>IF(DS512=2,DJ512&amp;BS512&amp;"."&amp;BV512,"")</f>
        <v/>
      </c>
      <c r="DM512" s="1691">
        <f>COUNTIFS(AF512,"―対象外")</f>
        <v>0</v>
      </c>
      <c r="DN512" s="111">
        <f>COUNTIFS(AF512,"○指摘なし")</f>
        <v>0</v>
      </c>
      <c r="DO512" s="111">
        <f>COUNTIFS(AF512,"×要是正（既存不適格以外）")</f>
        <v>0</v>
      </c>
      <c r="DP512" s="474">
        <f>COUNTIFS(AF512,"△既存不適格")</f>
        <v>0</v>
      </c>
      <c r="DQ512" s="123">
        <f t="shared" ref="DQ512:DQ521" si="762">M512</f>
        <v>0</v>
      </c>
      <c r="DR512" s="473" t="str">
        <f t="shared" ref="DR512:DR521" si="763">P512</f>
        <v/>
      </c>
      <c r="DS512" s="112">
        <f t="shared" ref="DS512:DS521" si="764">COUNTA(BS512:BX512)</f>
        <v>0</v>
      </c>
      <c r="DT512" s="118" t="str">
        <f>IF(AF512="×要是正（既存不適格以外）","要是正","")&amp;IF(AF512="△既存不適格","既存不適格","")</f>
        <v/>
      </c>
      <c r="DU512" s="151" t="str">
        <f t="shared" ref="DU512:DU526" si="765">IF(HV512="","",HV512)</f>
        <v/>
      </c>
      <c r="DV512" s="151" t="str">
        <f>IF($DT512="要是正",MAX($DV$508:DV509)+1,"")</f>
        <v/>
      </c>
      <c r="DW512" s="32" t="str">
        <f>IF(OR(AF512="×要是正（既存不適格以外）",AF512="△既存不適格"),DQ512,"")</f>
        <v/>
      </c>
      <c r="DX512" s="119" t="str">
        <f>IF(OR($DT512="要是正",$DT512="既存不適格"),$DR512,"")</f>
        <v/>
      </c>
      <c r="DY512" s="33" t="str">
        <f>IF($DT512="要是正",IF(AT512="","",DQ512 &amp;" " &amp; AT512),"")</f>
        <v/>
      </c>
      <c r="DZ512" s="139" t="str">
        <f t="shared" ref="DZ512:DZ521" si="766">IF($DT512="要是正",IF(BD512="","",BD512),"")</f>
        <v/>
      </c>
      <c r="EA512" s="466" t="str">
        <f t="shared" ref="EA512:EA526" si="767">IF(BY512="未定","未定",IF(FR512="0","",IF(BY512="予定","("&amp;DL512&amp;")",IF(BY512="改善済",DL512,DL512))))</f>
        <v/>
      </c>
      <c r="EB512" s="549" t="str">
        <f t="shared" ref="EB512:EB526" si="768">IF(OR(DT512="要是正",DT512="既存不適格"),IF(OR(DS512&lt;2,BY512&lt;&gt;"予定"),"",DK512),"")</f>
        <v/>
      </c>
      <c r="EC512" s="227" t="str">
        <f t="shared" ref="EC512:EC526" si="769">IF(EB512="","0",EB512)</f>
        <v>0</v>
      </c>
      <c r="ED512" s="148" t="str">
        <f>IF(DT512="要是正",IF(AND(BY512="予定",DS512=2),1,IF(BY512="改善済",2,"")),"")</f>
        <v/>
      </c>
      <c r="EE512" s="227" t="str">
        <f t="shared" ref="EE512" si="770">IF(ED512=1,EC512,"0")</f>
        <v>0</v>
      </c>
      <c r="EF512" s="416" t="str">
        <f t="shared" ref="EF512:EF521" si="771">IF(AND(DT512="要是正",AND(DS512=0,BY512="未定")),BY512,"")</f>
        <v/>
      </c>
      <c r="EG512" s="204" t="str">
        <f t="shared" ref="EG512:EG526" si="772">IF(DT512="既存不適格",IF(OR(DS512&lt;2,BY512&lt;&gt;"予定"),"",DK512),"")</f>
        <v/>
      </c>
      <c r="EH512" s="134" t="str">
        <f t="shared" ref="EH512:EH526" si="773">IF(EG512="","0",EG512)</f>
        <v>0</v>
      </c>
      <c r="EI512" s="148" t="str">
        <f>IF(DT512="既存不適格",IF(AND(BY512="予定",DS512=2),1,IF(BY512="改善済",2,"")),"")</f>
        <v/>
      </c>
      <c r="EJ512" s="227" t="str">
        <f t="shared" ref="EJ512" si="774">IF(EI512=1,EH512,"0")</f>
        <v>0</v>
      </c>
      <c r="EK512" s="416" t="str">
        <f t="shared" ref="EK512:EK521" si="775">IF(AND(DT512="既存不適格",AND(DS512=0,BY512="未定")),BY512,"")</f>
        <v/>
      </c>
      <c r="EL512" s="452" t="e">
        <f t="shared" ref="EL512:EL521" si="776">VLOOKUP($DU512,$EO$306:$ER$334,2,FALSE)</f>
        <v>#N/A</v>
      </c>
      <c r="EM512" s="151" t="e">
        <f t="shared" ref="EM512:EM521" si="777">VLOOKUP($DU512,$EO$306:$ER$334,3,FALSE)</f>
        <v>#N/A</v>
      </c>
      <c r="EN512" s="453" t="e">
        <f t="shared" ref="EN512:EN521" si="778">VLOOKUP($DU512,$EO$306:$ER$334,4,FALSE)</f>
        <v>#N/A</v>
      </c>
      <c r="EO512" s="35"/>
      <c r="EP512" s="35"/>
      <c r="EQ512" s="35"/>
      <c r="ER512" s="35"/>
      <c r="FB512" s="1171"/>
      <c r="FC512" s="1171"/>
      <c r="FD512" s="1171"/>
      <c r="FE512" s="1171"/>
      <c r="FF512" s="1171"/>
      <c r="FG512" s="1171"/>
      <c r="FH512" s="1171"/>
      <c r="FI512" s="1171"/>
      <c r="FK512" s="597" t="str">
        <f>IF($AF512="○指摘なし","○",IF($AF512="―対象外","―",""))</f>
        <v/>
      </c>
      <c r="FL512" s="597" t="str">
        <f>IF(OR($AF512="×要是正（既存不適格以外）",$AF512="△既存不適格"),"○","")</f>
        <v/>
      </c>
      <c r="FM512" s="597" t="str">
        <f>IF($AF512="△既存不適格","○","")</f>
        <v/>
      </c>
      <c r="FN512" s="597">
        <f t="shared" ref="FN512:FN521" si="779">AR512</f>
        <v>0</v>
      </c>
      <c r="FO512" s="1163" t="str">
        <f>IF($AF512="―対象外","○","")</f>
        <v/>
      </c>
      <c r="FQ512" s="234" t="str">
        <f t="shared" ref="FQ512:FQ526" si="780">IF(NOT(OR(BY512="未定",BY512="")),DK512,"")</f>
        <v/>
      </c>
      <c r="FR512" s="227" t="str">
        <f t="shared" ref="FR512:FR526" si="781">IF(FQ512="","0",FQ512)</f>
        <v>0</v>
      </c>
      <c r="FS512" s="148" t="str">
        <f t="shared" ref="FS512:FS521" si="782">IF(OR(BY512="予定",BY512="改善済"),1,"")</f>
        <v/>
      </c>
      <c r="FT512" s="227" t="str">
        <f t="shared" ref="FT512:FT521" si="783">IF(FS512=1,FR512,"0")</f>
        <v>0</v>
      </c>
      <c r="FU512" s="416" t="str">
        <f t="shared" ref="FU512:FU521" si="784">IF(AND(FM512="要是正",AND(FL512=0,DR512="未定")),DR512,"")</f>
        <v/>
      </c>
      <c r="FW512" s="1160">
        <f>IF(AF512="△既存不適格",AT512&amp;"(既存不適格)",AT512)</f>
        <v>0</v>
      </c>
      <c r="FX512" s="123"/>
      <c r="FY512" s="123"/>
      <c r="FZ512" s="1161"/>
      <c r="GA512" s="34"/>
      <c r="GB512" s="1196" t="b">
        <f t="shared" ref="GB512:GB526" si="785">M512=""</f>
        <v>1</v>
      </c>
      <c r="GC512" s="1197" t="b">
        <f t="shared" ref="GC512:GI526" si="786">IF($GJ512,FALSE(),VALUE(LEFT($DQ512,1))=GC$511)</f>
        <v>0</v>
      </c>
      <c r="GD512" s="1197" t="b">
        <f t="shared" si="786"/>
        <v>0</v>
      </c>
      <c r="GE512" s="1197" t="b">
        <f t="shared" si="786"/>
        <v>0</v>
      </c>
      <c r="GF512" s="1197" t="b">
        <f t="shared" si="786"/>
        <v>0</v>
      </c>
      <c r="GG512" s="1197" t="b">
        <f t="shared" si="786"/>
        <v>0</v>
      </c>
      <c r="GH512" s="1197" t="b">
        <f t="shared" si="786"/>
        <v>0</v>
      </c>
      <c r="GI512" s="1197" t="b">
        <f t="shared" si="786"/>
        <v>0</v>
      </c>
      <c r="GJ512" s="1198" t="b">
        <f>IF(GB512,FALSE(),COUNTIF(プルダウン選択肢!$A$92:$A$228,$DQ512)&lt;&gt;1)</f>
        <v>0</v>
      </c>
      <c r="GL512" s="1199"/>
      <c r="GM512" s="1197">
        <f t="shared" ref="GM512:GM526" si="787">IF(GC512,$DO512,0)</f>
        <v>0</v>
      </c>
      <c r="GN512" s="1197">
        <f t="shared" ref="GN512:GN526" si="788">IF(GD512,$DO512,0)</f>
        <v>0</v>
      </c>
      <c r="GO512" s="1197">
        <f t="shared" ref="GO512:GO526" si="789">IF(GE512,$DO512,0)</f>
        <v>0</v>
      </c>
      <c r="GP512" s="1197">
        <f t="shared" ref="GP512:GP526" si="790">IF(GF512,$DO512,0)</f>
        <v>0</v>
      </c>
      <c r="GQ512" s="1197">
        <f t="shared" ref="GQ512:GQ526" si="791">IF(GG512,$DO512,0)</f>
        <v>0</v>
      </c>
      <c r="GR512" s="1197">
        <f t="shared" ref="GR512:GR526" si="792">IF(GH512,$DO512,0)</f>
        <v>0</v>
      </c>
      <c r="GS512" s="1197">
        <f t="shared" ref="GS512:GS526" si="793">IF(GI512,$DO512,0)</f>
        <v>0</v>
      </c>
      <c r="GT512" s="1200">
        <f t="shared" ref="GT512:GT526" si="794">IF(GJ512,$DO512,0)</f>
        <v>0</v>
      </c>
      <c r="GU512" s="1201"/>
      <c r="GV512" s="1196" t="str">
        <f t="shared" ref="GV512:GV526" si="795">IF(GC512,$ED512,"")</f>
        <v/>
      </c>
      <c r="GW512" s="1197" t="str">
        <f t="shared" ref="GW512:GW526" si="796">IF(GD512,$ED512,"")</f>
        <v/>
      </c>
      <c r="GX512" s="1197" t="str">
        <f t="shared" ref="GX512:GX526" si="797">IF(GE512,$ED512,"")</f>
        <v/>
      </c>
      <c r="GY512" s="1197" t="str">
        <f t="shared" ref="GY512:GY526" si="798">IF(GF512,$ED512,"")</f>
        <v/>
      </c>
      <c r="GZ512" s="1197" t="str">
        <f t="shared" ref="GZ512:GZ526" si="799">IF(GG512,$ED512,"")</f>
        <v/>
      </c>
      <c r="HA512" s="1197" t="str">
        <f t="shared" ref="HA512:HA526" si="800">IF(GH512,$ED512,"")</f>
        <v/>
      </c>
      <c r="HB512" s="1197" t="str">
        <f t="shared" ref="HB512:HB526" si="801">IF(GI512,$ED512,"")</f>
        <v/>
      </c>
      <c r="HC512" s="1197" t="str">
        <f t="shared" ref="HC512:HC526" si="802">IF(GJ512,$ED512,"")</f>
        <v/>
      </c>
      <c r="HD512" s="1201"/>
      <c r="HE512" s="167"/>
      <c r="HF512" s="1202" t="str">
        <f>IF(GF512,IF(DT512="既存不適格",IF(AT512="","",DQ512 &amp;" " &amp; AT512),""),"")</f>
        <v/>
      </c>
      <c r="HG512" s="1203" t="s">
        <v>3067</v>
      </c>
      <c r="HH512" s="1204" t="str">
        <f>INDEX($M$370:$M$421,MATCH(HG512,$U$370:$U$421,0))</f>
        <v>4(44)</v>
      </c>
      <c r="HI512" s="1205" t="str">
        <f>IF(HF512&lt;&gt;"",IF(ISERROR(MATCH(DQ512,$HH$512:$HH$515,0)),"",", "&amp;HF512&amp;"（既存不適格）"),"")</f>
        <v/>
      </c>
      <c r="HK512" s="1206"/>
      <c r="HL512" s="1207" t="str">
        <f t="shared" ref="HL512:HL526" si="803">IF(GM512=1,", "&amp;$DY512,"")</f>
        <v/>
      </c>
      <c r="HM512" s="1207" t="str">
        <f t="shared" ref="HM512:HM526" si="804">IF(GN512=1,", "&amp;$DY512,"")</f>
        <v/>
      </c>
      <c r="HN512" s="1207" t="str">
        <f t="shared" ref="HN512:HN526" si="805">IF(GO512=1,", "&amp;$DY512,"")</f>
        <v/>
      </c>
      <c r="HO512" s="1207" t="str">
        <f t="shared" ref="HO512:HO526" si="806">IF(GP512=1,", "&amp;$DY512,"")</f>
        <v/>
      </c>
      <c r="HP512" s="1207" t="str">
        <f t="shared" ref="HP512:HP526" si="807">IF(GQ512=1,", "&amp;$DY512,"")</f>
        <v/>
      </c>
      <c r="HQ512" s="1207" t="str">
        <f t="shared" ref="HQ512:HQ526" si="808">IF(GR512=1,", "&amp;$DY512,"")</f>
        <v/>
      </c>
      <c r="HR512" s="1204" t="str">
        <f t="shared" ref="HR512:HR526" si="809">IF(GS512=1,", "&amp;$DY512,"")</f>
        <v/>
      </c>
      <c r="HS512" s="1185"/>
      <c r="HT512" s="1149" t="e">
        <f>LEFT(M512,1)*10000+MID(M512,3,LEN(M512)-3)*100+COUNTIF($M$307:M512,M512)</f>
        <v>#VALUE!</v>
      </c>
      <c r="HU512" s="1149" t="str">
        <f t="shared" si="725"/>
        <v/>
      </c>
      <c r="HV512" s="1149" t="str">
        <f t="shared" si="726"/>
        <v/>
      </c>
      <c r="HW512" s="1149" t="str">
        <f t="shared" si="727"/>
        <v/>
      </c>
      <c r="HX512" s="1149" t="str">
        <f t="shared" si="728"/>
        <v/>
      </c>
    </row>
    <row r="513" spans="1:232" s="69" customFormat="1" ht="50.15" customHeight="1">
      <c r="A513" s="645"/>
      <c r="B513" s="645"/>
      <c r="C513" s="645"/>
      <c r="D513" s="645"/>
      <c r="E513" s="646"/>
      <c r="F513" s="381"/>
      <c r="G513" s="381"/>
      <c r="H513" s="381"/>
      <c r="I513" s="123"/>
      <c r="J513" s="88"/>
      <c r="K513" s="89"/>
      <c r="L513" s="89"/>
      <c r="M513" s="2317"/>
      <c r="N513" s="2318"/>
      <c r="O513" s="2319"/>
      <c r="P513" s="2314" t="str">
        <f t="shared" ref="P513:P525" si="810">IFERROR(VLOOKUP(M513,$DQ$307:$DR$507,2,FALSE),"")</f>
        <v/>
      </c>
      <c r="Q513" s="2315"/>
      <c r="R513" s="2315"/>
      <c r="S513" s="2315"/>
      <c r="T513" s="2315"/>
      <c r="U513" s="2315"/>
      <c r="V513" s="2315"/>
      <c r="W513" s="2315"/>
      <c r="X513" s="2315"/>
      <c r="Y513" s="2315"/>
      <c r="Z513" s="2315"/>
      <c r="AA513" s="2315"/>
      <c r="AB513" s="2315"/>
      <c r="AC513" s="2315"/>
      <c r="AD513" s="2315"/>
      <c r="AE513" s="2316"/>
      <c r="AF513" s="2335"/>
      <c r="AG513" s="2336"/>
      <c r="AH513" s="2336"/>
      <c r="AI513" s="2336"/>
      <c r="AJ513" s="2336"/>
      <c r="AK513" s="2336"/>
      <c r="AL513" s="2336"/>
      <c r="AM513" s="2336"/>
      <c r="AN513" s="2336"/>
      <c r="AO513" s="2336"/>
      <c r="AP513" s="2336"/>
      <c r="AQ513" s="2337"/>
      <c r="AR513" s="1957"/>
      <c r="AS513" s="1957"/>
      <c r="AT513" s="2138"/>
      <c r="AU513" s="2139"/>
      <c r="AV513" s="2139"/>
      <c r="AW513" s="2139"/>
      <c r="AX513" s="2139"/>
      <c r="AY513" s="2139"/>
      <c r="AZ513" s="2139"/>
      <c r="BA513" s="2139"/>
      <c r="BB513" s="2139"/>
      <c r="BC513" s="2139"/>
      <c r="BD513" s="2138"/>
      <c r="BE513" s="2139"/>
      <c r="BF513" s="2139"/>
      <c r="BG513" s="2139"/>
      <c r="BH513" s="2139"/>
      <c r="BI513" s="2139"/>
      <c r="BJ513" s="2139"/>
      <c r="BK513" s="2139"/>
      <c r="BL513" s="2139"/>
      <c r="BM513" s="2139"/>
      <c r="BN513" s="2139"/>
      <c r="BO513" s="2139"/>
      <c r="BP513" s="2139"/>
      <c r="BQ513" s="2139"/>
      <c r="BR513" s="2139"/>
      <c r="BS513" s="1957"/>
      <c r="BT513" s="2140"/>
      <c r="BU513" s="2140"/>
      <c r="BV513" s="1990"/>
      <c r="BW513" s="1990"/>
      <c r="BX513" s="1990"/>
      <c r="BY513" s="1990"/>
      <c r="BZ513" s="1990"/>
      <c r="CA513" s="1990"/>
      <c r="CB513" s="2550"/>
      <c r="CC513" s="2551"/>
      <c r="CD513" s="2551"/>
      <c r="CE513" s="2551"/>
      <c r="CF513" s="2551"/>
      <c r="CG513" s="2551"/>
      <c r="CH513" s="2551"/>
      <c r="CI513" s="2551"/>
      <c r="CJ513" s="2551"/>
      <c r="CK513" s="2551"/>
      <c r="CL513" s="2551"/>
      <c r="CM513" s="2551"/>
      <c r="CN513" s="2551"/>
      <c r="CO513" s="2551"/>
      <c r="CP513" s="2551"/>
      <c r="CQ513" s="2551"/>
      <c r="CR513" s="2551"/>
      <c r="CS513" s="2551"/>
      <c r="CT513" s="2551"/>
      <c r="CU513" s="2552"/>
      <c r="CV513" s="2360" t="str">
        <f t="shared" si="760"/>
        <v/>
      </c>
      <c r="CW513" s="2360"/>
      <c r="CX513" s="2360"/>
      <c r="CY513" s="2360"/>
      <c r="CZ513" s="2360"/>
      <c r="DA513" s="2360"/>
      <c r="DB513" s="120"/>
      <c r="DC513" s="600" t="str">
        <f t="shared" si="761"/>
        <v/>
      </c>
      <c r="DD513" s="381"/>
      <c r="DE513" s="34"/>
      <c r="DF513" s="34"/>
      <c r="DG513" s="34"/>
      <c r="DH513" s="34"/>
      <c r="DI513" s="34"/>
      <c r="DJ513" s="858" t="s">
        <v>5637</v>
      </c>
      <c r="DK513" s="1707" t="str">
        <f t="shared" ref="DK513:DK526" si="811">IF(DS513=2,DATE(VLOOKUP(DJ513,$DU$6:$DV$9,2,FALSE)+BS513,BV513,1),"")</f>
        <v/>
      </c>
      <c r="DL513" s="1692" t="str">
        <f t="shared" ref="DL513:DL526" si="812">IF(DS513=2,DJ513&amp;BS513&amp;"."&amp;BV513,"")</f>
        <v/>
      </c>
      <c r="DM513" s="1691">
        <f>COUNTIFS(AF513,"―対象外")</f>
        <v>0</v>
      </c>
      <c r="DN513" s="111">
        <f>COUNTIFS(AF513,"○指摘なし")</f>
        <v>0</v>
      </c>
      <c r="DO513" s="111">
        <f>COUNTIFS(AF513,"×要是正（既存不適格以外）")</f>
        <v>0</v>
      </c>
      <c r="DP513" s="474">
        <f>COUNTIFS(AF513,"△既存不適格")</f>
        <v>0</v>
      </c>
      <c r="DQ513" s="123">
        <f t="shared" si="762"/>
        <v>0</v>
      </c>
      <c r="DR513" s="473" t="str">
        <f t="shared" si="763"/>
        <v/>
      </c>
      <c r="DS513" s="112">
        <f t="shared" si="764"/>
        <v>0</v>
      </c>
      <c r="DT513" s="118" t="str">
        <f>IF(AF513="×要是正（既存不適格以外）","要是正","")&amp;IF(AF513="△既存不適格","既存不適格","")</f>
        <v/>
      </c>
      <c r="DU513" s="151" t="str">
        <f t="shared" si="765"/>
        <v/>
      </c>
      <c r="DV513" s="151" t="str">
        <f>IF($DT513="要是正",MAX($DV$508:DV512)+1,"")</f>
        <v/>
      </c>
      <c r="DW513" s="32" t="str">
        <f>IF(OR(AF513="×要是正（既存不適格以外）",AF513="△既存不適格"),DQ513,"")</f>
        <v/>
      </c>
      <c r="DX513" s="119" t="str">
        <f t="shared" ref="DX513:DX526" si="813">IF(OR($DT513="要是正",$DT513="既存不適格"),$DR513,"")</f>
        <v/>
      </c>
      <c r="DY513" s="33" t="str">
        <f t="shared" ref="DY513:DY521" si="814">IF($DT513="要是正",IF(AT513="","",DQ513 &amp;" " &amp; AT513),"")</f>
        <v/>
      </c>
      <c r="DZ513" s="139" t="str">
        <f t="shared" si="766"/>
        <v/>
      </c>
      <c r="EA513" s="466" t="str">
        <f t="shared" si="767"/>
        <v/>
      </c>
      <c r="EB513" s="549" t="str">
        <f t="shared" si="768"/>
        <v/>
      </c>
      <c r="EC513" s="227" t="str">
        <f t="shared" si="769"/>
        <v>0</v>
      </c>
      <c r="ED513" s="148" t="str">
        <f t="shared" ref="ED513:ED521" si="815">IF(DT513="要是正",IF(AND(BY513="予定",DS513=2),1,IF(BY513="改善済",2,"")),"")</f>
        <v/>
      </c>
      <c r="EE513" s="227" t="str">
        <f t="shared" ref="EE513:EE521" si="816">IF(ED513=1,EC513,"0")</f>
        <v>0</v>
      </c>
      <c r="EF513" s="416" t="str">
        <f t="shared" si="771"/>
        <v/>
      </c>
      <c r="EG513" s="204" t="str">
        <f t="shared" si="772"/>
        <v/>
      </c>
      <c r="EH513" s="134" t="str">
        <f t="shared" si="773"/>
        <v>0</v>
      </c>
      <c r="EI513" s="148" t="str">
        <f t="shared" ref="EI513:EI521" si="817">IF(DT513="既存不適格",IF(AND(BY513="予定",DS513=2),1,IF(BY513="改善済",2,"")),"")</f>
        <v/>
      </c>
      <c r="EJ513" s="227" t="str">
        <f t="shared" ref="EJ513:EJ521" si="818">IF(EI513=1,EH513,"0")</f>
        <v>0</v>
      </c>
      <c r="EK513" s="416" t="str">
        <f t="shared" si="775"/>
        <v/>
      </c>
      <c r="EL513" s="452" t="e">
        <f t="shared" si="776"/>
        <v>#N/A</v>
      </c>
      <c r="EM513" s="151" t="e">
        <f t="shared" si="777"/>
        <v>#N/A</v>
      </c>
      <c r="EN513" s="453" t="e">
        <f t="shared" si="778"/>
        <v>#N/A</v>
      </c>
      <c r="FB513" s="1171"/>
      <c r="FC513" s="1171"/>
      <c r="FD513" s="1171"/>
      <c r="FE513" s="1171"/>
      <c r="FF513" s="1171"/>
      <c r="FG513" s="1171"/>
      <c r="FH513" s="1171"/>
      <c r="FI513" s="1171"/>
      <c r="FK513" s="597" t="str">
        <f>IF($AF513="○指摘なし","○","")</f>
        <v/>
      </c>
      <c r="FL513" s="597" t="str">
        <f>IF(OR($AF513="×要是正（既存不適格以外）",$AF513="△既存不適格"),"○","")</f>
        <v/>
      </c>
      <c r="FM513" s="597" t="str">
        <f>IF($AF513="△既存不適格","○","")</f>
        <v/>
      </c>
      <c r="FN513" s="597">
        <f t="shared" si="779"/>
        <v>0</v>
      </c>
      <c r="FO513" s="1163" t="str">
        <f>IF($AF513="―対象外","○","")</f>
        <v/>
      </c>
      <c r="FQ513" s="234" t="str">
        <f t="shared" si="780"/>
        <v/>
      </c>
      <c r="FR513" s="227" t="str">
        <f t="shared" si="781"/>
        <v>0</v>
      </c>
      <c r="FS513" s="148" t="str">
        <f t="shared" si="782"/>
        <v/>
      </c>
      <c r="FT513" s="227" t="str">
        <f t="shared" si="783"/>
        <v>0</v>
      </c>
      <c r="FU513" s="416" t="str">
        <f t="shared" si="784"/>
        <v/>
      </c>
      <c r="FW513" s="1160">
        <f>IF(AF513="△既存不適格",AT513&amp;"(既存不適格)",AT513)</f>
        <v>0</v>
      </c>
      <c r="FX513" s="123"/>
      <c r="FY513" s="123"/>
      <c r="FZ513" s="1161"/>
      <c r="GA513" s="34"/>
      <c r="GB513" s="1208" t="b">
        <f t="shared" si="785"/>
        <v>1</v>
      </c>
      <c r="GC513" s="1209" t="b">
        <f t="shared" si="786"/>
        <v>0</v>
      </c>
      <c r="GD513" s="1209" t="b">
        <f t="shared" si="786"/>
        <v>0</v>
      </c>
      <c r="GE513" s="1209" t="b">
        <f t="shared" si="786"/>
        <v>0</v>
      </c>
      <c r="GF513" s="1209" t="b">
        <f t="shared" si="786"/>
        <v>0</v>
      </c>
      <c r="GG513" s="1209" t="b">
        <f t="shared" si="786"/>
        <v>0</v>
      </c>
      <c r="GH513" s="1209" t="b">
        <f t="shared" si="786"/>
        <v>0</v>
      </c>
      <c r="GI513" s="1209" t="b">
        <f t="shared" si="786"/>
        <v>0</v>
      </c>
      <c r="GJ513" s="1210" t="b">
        <f>IF(GB513,FALSE(),COUNTIF(プルダウン選択肢!$A$92:$A$228,$DQ513)&lt;&gt;1)</f>
        <v>0</v>
      </c>
      <c r="GL513" s="1199"/>
      <c r="GM513" s="1209">
        <f t="shared" si="787"/>
        <v>0</v>
      </c>
      <c r="GN513" s="1209">
        <f t="shared" si="788"/>
        <v>0</v>
      </c>
      <c r="GO513" s="1209">
        <f t="shared" si="789"/>
        <v>0</v>
      </c>
      <c r="GP513" s="1209">
        <f t="shared" si="790"/>
        <v>0</v>
      </c>
      <c r="GQ513" s="1209">
        <f t="shared" si="791"/>
        <v>0</v>
      </c>
      <c r="GR513" s="1209">
        <f t="shared" si="792"/>
        <v>0</v>
      </c>
      <c r="GS513" s="1209">
        <f t="shared" si="793"/>
        <v>0</v>
      </c>
      <c r="GT513" s="1211">
        <f t="shared" si="794"/>
        <v>0</v>
      </c>
      <c r="GU513" s="1212"/>
      <c r="GV513" s="1208" t="str">
        <f t="shared" si="795"/>
        <v/>
      </c>
      <c r="GW513" s="1209" t="str">
        <f t="shared" si="796"/>
        <v/>
      </c>
      <c r="GX513" s="1209" t="str">
        <f t="shared" si="797"/>
        <v/>
      </c>
      <c r="GY513" s="1209" t="str">
        <f t="shared" si="798"/>
        <v/>
      </c>
      <c r="GZ513" s="1209" t="str">
        <f t="shared" si="799"/>
        <v/>
      </c>
      <c r="HA513" s="1209" t="str">
        <f t="shared" si="800"/>
        <v/>
      </c>
      <c r="HB513" s="1209" t="str">
        <f t="shared" si="801"/>
        <v/>
      </c>
      <c r="HC513" s="1209" t="str">
        <f t="shared" si="802"/>
        <v/>
      </c>
      <c r="HD513" s="1212"/>
      <c r="HE513" s="167"/>
      <c r="HF513" s="1202" t="str">
        <f t="shared" ref="HF513:HF526" si="819">IF(GF513,IF(DT513="既存不適格",IF(AT513="","",DQ513 &amp;" " &amp; AT513),""),"")</f>
        <v/>
      </c>
      <c r="HG513" s="1213" t="s">
        <v>3068</v>
      </c>
      <c r="HH513" s="1214" t="str">
        <f>INDEX($M$370:$M$421,MATCH(HG513,$U$370:$U$421,0))</f>
        <v>4(45)</v>
      </c>
      <c r="HI513" s="1205" t="str">
        <f t="shared" ref="HI513:HI526" si="820">IF(HF513&lt;&gt;"",IF(ISERROR(MATCH(DQ513,$HH$512:$HH$515,0)),"",", "&amp;HF513&amp;"（既存不適格）"),"")</f>
        <v/>
      </c>
      <c r="HK513" s="1206"/>
      <c r="HL513" s="1215" t="str">
        <f t="shared" si="803"/>
        <v/>
      </c>
      <c r="HM513" s="1215" t="str">
        <f t="shared" si="804"/>
        <v/>
      </c>
      <c r="HN513" s="1215" t="str">
        <f t="shared" si="805"/>
        <v/>
      </c>
      <c r="HO513" s="1215" t="str">
        <f t="shared" si="806"/>
        <v/>
      </c>
      <c r="HP513" s="1215" t="str">
        <f t="shared" si="807"/>
        <v/>
      </c>
      <c r="HQ513" s="1215" t="str">
        <f t="shared" si="808"/>
        <v/>
      </c>
      <c r="HR513" s="1214" t="str">
        <f t="shared" si="809"/>
        <v/>
      </c>
      <c r="HS513" s="1185"/>
      <c r="HT513" s="1149" t="e">
        <f>LEFT(M513,1)*10000+MID(M513,3,LEN(M513)-3)*100+COUNTIF($M$307:M513,M513)</f>
        <v>#VALUE!</v>
      </c>
      <c r="HU513" s="1149" t="str">
        <f t="shared" si="725"/>
        <v/>
      </c>
      <c r="HV513" s="1149" t="str">
        <f t="shared" si="726"/>
        <v/>
      </c>
      <c r="HW513" s="1149" t="str">
        <f t="shared" si="727"/>
        <v/>
      </c>
      <c r="HX513" s="1149" t="str">
        <f t="shared" si="728"/>
        <v/>
      </c>
    </row>
    <row r="514" spans="1:232" s="69" customFormat="1" ht="50.15" customHeight="1">
      <c r="A514" s="645"/>
      <c r="B514" s="645"/>
      <c r="C514" s="645"/>
      <c r="D514" s="645"/>
      <c r="E514" s="646"/>
      <c r="F514" s="381"/>
      <c r="G514" s="381"/>
      <c r="H514" s="381"/>
      <c r="I514" s="123"/>
      <c r="J514" s="88"/>
      <c r="K514" s="89"/>
      <c r="L514" s="89"/>
      <c r="M514" s="2317"/>
      <c r="N514" s="2318"/>
      <c r="O514" s="2319"/>
      <c r="P514" s="2314" t="str">
        <f t="shared" si="810"/>
        <v/>
      </c>
      <c r="Q514" s="2315"/>
      <c r="R514" s="2315"/>
      <c r="S514" s="2315"/>
      <c r="T514" s="2315"/>
      <c r="U514" s="2315"/>
      <c r="V514" s="2315"/>
      <c r="W514" s="2315"/>
      <c r="X514" s="2315"/>
      <c r="Y514" s="2315"/>
      <c r="Z514" s="2315"/>
      <c r="AA514" s="2315"/>
      <c r="AB514" s="2315"/>
      <c r="AC514" s="2315"/>
      <c r="AD514" s="2315"/>
      <c r="AE514" s="2316"/>
      <c r="AF514" s="2134"/>
      <c r="AG514" s="2135"/>
      <c r="AH514" s="2135"/>
      <c r="AI514" s="2135"/>
      <c r="AJ514" s="2135"/>
      <c r="AK514" s="2135"/>
      <c r="AL514" s="2135"/>
      <c r="AM514" s="2135"/>
      <c r="AN514" s="2135"/>
      <c r="AO514" s="2135"/>
      <c r="AP514" s="2135"/>
      <c r="AQ514" s="2135"/>
      <c r="AR514" s="1957"/>
      <c r="AS514" s="1957"/>
      <c r="AT514" s="2138"/>
      <c r="AU514" s="2139"/>
      <c r="AV514" s="2139"/>
      <c r="AW514" s="2139"/>
      <c r="AX514" s="2139"/>
      <c r="AY514" s="2139"/>
      <c r="AZ514" s="2139"/>
      <c r="BA514" s="2139"/>
      <c r="BB514" s="2139"/>
      <c r="BC514" s="2139"/>
      <c r="BD514" s="2138"/>
      <c r="BE514" s="2139"/>
      <c r="BF514" s="2139"/>
      <c r="BG514" s="2139"/>
      <c r="BH514" s="2139"/>
      <c r="BI514" s="2139"/>
      <c r="BJ514" s="2139"/>
      <c r="BK514" s="2139"/>
      <c r="BL514" s="2139"/>
      <c r="BM514" s="2139"/>
      <c r="BN514" s="2139"/>
      <c r="BO514" s="2139"/>
      <c r="BP514" s="2139"/>
      <c r="BQ514" s="2139"/>
      <c r="BR514" s="2139"/>
      <c r="BS514" s="1957"/>
      <c r="BT514" s="2140"/>
      <c r="BU514" s="2140"/>
      <c r="BV514" s="1990"/>
      <c r="BW514" s="1990"/>
      <c r="BX514" s="1990"/>
      <c r="BY514" s="1990"/>
      <c r="BZ514" s="1990"/>
      <c r="CA514" s="1990"/>
      <c r="CB514" s="2048"/>
      <c r="CC514" s="1922"/>
      <c r="CD514" s="1922"/>
      <c r="CE514" s="1922"/>
      <c r="CF514" s="1922"/>
      <c r="CG514" s="1922"/>
      <c r="CH514" s="1922"/>
      <c r="CI514" s="1922"/>
      <c r="CJ514" s="1922"/>
      <c r="CK514" s="1922"/>
      <c r="CL514" s="1922"/>
      <c r="CM514" s="1922"/>
      <c r="CN514" s="1922"/>
      <c r="CO514" s="1922"/>
      <c r="CP514" s="1922"/>
      <c r="CQ514" s="1922"/>
      <c r="CR514" s="1922"/>
      <c r="CS514" s="1922"/>
      <c r="CT514" s="1922"/>
      <c r="CU514" s="2332"/>
      <c r="CV514" s="2360" t="str">
        <f t="shared" si="760"/>
        <v/>
      </c>
      <c r="CW514" s="2360"/>
      <c r="CX514" s="2360"/>
      <c r="CY514" s="2360"/>
      <c r="CZ514" s="2360"/>
      <c r="DA514" s="2360"/>
      <c r="DB514" s="120"/>
      <c r="DC514" s="600" t="str">
        <f t="shared" si="761"/>
        <v/>
      </c>
      <c r="DD514" s="381"/>
      <c r="DE514" s="34"/>
      <c r="DF514" s="34"/>
      <c r="DG514" s="34"/>
      <c r="DH514" s="34"/>
      <c r="DI514" s="34"/>
      <c r="DJ514" s="858" t="s">
        <v>5637</v>
      </c>
      <c r="DK514" s="1707" t="str">
        <f t="shared" si="811"/>
        <v/>
      </c>
      <c r="DL514" s="1692" t="str">
        <f t="shared" si="812"/>
        <v/>
      </c>
      <c r="DM514" s="1691">
        <f t="shared" ref="DM514:DM526" si="821">COUNTIFS(AF514,"―対象外")</f>
        <v>0</v>
      </c>
      <c r="DN514" s="111">
        <f t="shared" ref="DN514:DN521" si="822">COUNTIFS(AF514,"○指摘なし")</f>
        <v>0</v>
      </c>
      <c r="DO514" s="111">
        <f t="shared" ref="DO514:DO521" si="823">COUNTIFS(AF514,"×要是正（既存不適格以外）")</f>
        <v>0</v>
      </c>
      <c r="DP514" s="474">
        <f t="shared" ref="DP514:DP521" si="824">COUNTIFS(AF514,"△既存不適格")</f>
        <v>0</v>
      </c>
      <c r="DQ514" s="123">
        <f t="shared" si="762"/>
        <v>0</v>
      </c>
      <c r="DR514" s="473" t="str">
        <f t="shared" si="763"/>
        <v/>
      </c>
      <c r="DS514" s="112">
        <f t="shared" si="764"/>
        <v>0</v>
      </c>
      <c r="DT514" s="118" t="str">
        <f t="shared" ref="DT514:DT521" si="825">IF(AF514="×要是正（既存不適格以外）","要是正","")&amp;IF(AF514="△既存不適格","既存不適格","")</f>
        <v/>
      </c>
      <c r="DU514" s="151" t="str">
        <f t="shared" si="765"/>
        <v/>
      </c>
      <c r="DV514" s="151" t="str">
        <f>IF($DT514="要是正",MAX($DV$508:DV513)+1,"")</f>
        <v/>
      </c>
      <c r="DW514" s="32" t="str">
        <f t="shared" ref="DW514:DW521" si="826">IF(OR(AF514="×要是正（既存不適格以外）",AF514="△既存不適格"),DQ514,"")</f>
        <v/>
      </c>
      <c r="DX514" s="119" t="str">
        <f t="shared" si="813"/>
        <v/>
      </c>
      <c r="DY514" s="33" t="str">
        <f t="shared" si="814"/>
        <v/>
      </c>
      <c r="DZ514" s="139" t="str">
        <f t="shared" si="766"/>
        <v/>
      </c>
      <c r="EA514" s="466" t="str">
        <f t="shared" si="767"/>
        <v/>
      </c>
      <c r="EB514" s="549" t="str">
        <f t="shared" si="768"/>
        <v/>
      </c>
      <c r="EC514" s="227" t="str">
        <f t="shared" si="769"/>
        <v>0</v>
      </c>
      <c r="ED514" s="148" t="str">
        <f t="shared" si="815"/>
        <v/>
      </c>
      <c r="EE514" s="227" t="str">
        <f t="shared" si="816"/>
        <v>0</v>
      </c>
      <c r="EF514" s="416" t="str">
        <f t="shared" si="771"/>
        <v/>
      </c>
      <c r="EG514" s="204" t="str">
        <f t="shared" si="772"/>
        <v/>
      </c>
      <c r="EH514" s="134" t="str">
        <f t="shared" si="773"/>
        <v>0</v>
      </c>
      <c r="EI514" s="148" t="str">
        <f t="shared" si="817"/>
        <v/>
      </c>
      <c r="EJ514" s="227" t="str">
        <f t="shared" si="818"/>
        <v>0</v>
      </c>
      <c r="EK514" s="416" t="str">
        <f t="shared" si="775"/>
        <v/>
      </c>
      <c r="EL514" s="452" t="e">
        <f t="shared" si="776"/>
        <v>#N/A</v>
      </c>
      <c r="EM514" s="151" t="e">
        <f t="shared" si="777"/>
        <v>#N/A</v>
      </c>
      <c r="EN514" s="453" t="e">
        <f t="shared" si="778"/>
        <v>#N/A</v>
      </c>
      <c r="FB514" s="1171"/>
      <c r="FC514" s="1171"/>
      <c r="FD514" s="1171"/>
      <c r="FE514" s="1171"/>
      <c r="FF514" s="1171"/>
      <c r="FG514" s="1171"/>
      <c r="FH514" s="1171"/>
      <c r="FI514" s="1171"/>
      <c r="FK514" s="597" t="str">
        <f t="shared" ref="FK514:FK526" si="827">IF($AF514="○指摘なし","○","")</f>
        <v/>
      </c>
      <c r="FL514" s="597" t="str">
        <f t="shared" si="530"/>
        <v/>
      </c>
      <c r="FM514" s="597" t="str">
        <f t="shared" si="531"/>
        <v/>
      </c>
      <c r="FN514" s="597">
        <f t="shared" si="779"/>
        <v>0</v>
      </c>
      <c r="FO514" s="1163" t="str">
        <f t="shared" ref="FO514:FO526" si="828">IF($AF514="―対象外","○","")</f>
        <v/>
      </c>
      <c r="FQ514" s="234" t="str">
        <f t="shared" si="780"/>
        <v/>
      </c>
      <c r="FR514" s="227" t="str">
        <f t="shared" si="781"/>
        <v>0</v>
      </c>
      <c r="FS514" s="148" t="str">
        <f t="shared" si="782"/>
        <v/>
      </c>
      <c r="FT514" s="227" t="str">
        <f t="shared" si="783"/>
        <v>0</v>
      </c>
      <c r="FU514" s="416" t="str">
        <f t="shared" si="784"/>
        <v/>
      </c>
      <c r="FW514" s="1160">
        <f t="shared" si="675"/>
        <v>0</v>
      </c>
      <c r="FX514" s="123"/>
      <c r="FY514" s="123"/>
      <c r="FZ514" s="1161"/>
      <c r="GA514" s="34"/>
      <c r="GB514" s="1208" t="b">
        <f t="shared" si="785"/>
        <v>1</v>
      </c>
      <c r="GC514" s="1209" t="b">
        <f t="shared" si="786"/>
        <v>0</v>
      </c>
      <c r="GD514" s="1209" t="b">
        <f t="shared" si="786"/>
        <v>0</v>
      </c>
      <c r="GE514" s="1209" t="b">
        <f t="shared" si="786"/>
        <v>0</v>
      </c>
      <c r="GF514" s="1209" t="b">
        <f t="shared" si="786"/>
        <v>0</v>
      </c>
      <c r="GG514" s="1209" t="b">
        <f t="shared" si="786"/>
        <v>0</v>
      </c>
      <c r="GH514" s="1209" t="b">
        <f t="shared" si="786"/>
        <v>0</v>
      </c>
      <c r="GI514" s="1209" t="b">
        <f t="shared" si="786"/>
        <v>0</v>
      </c>
      <c r="GJ514" s="1210" t="b">
        <f>IF(GB514,FALSE(),COUNTIF(プルダウン選択肢!$A$92:$A$228,$DQ514)&lt;&gt;1)</f>
        <v>0</v>
      </c>
      <c r="GL514" s="1199"/>
      <c r="GM514" s="1209">
        <f t="shared" si="787"/>
        <v>0</v>
      </c>
      <c r="GN514" s="1209">
        <f t="shared" si="788"/>
        <v>0</v>
      </c>
      <c r="GO514" s="1209">
        <f t="shared" si="789"/>
        <v>0</v>
      </c>
      <c r="GP514" s="1209">
        <f t="shared" si="790"/>
        <v>0</v>
      </c>
      <c r="GQ514" s="1209">
        <f t="shared" si="791"/>
        <v>0</v>
      </c>
      <c r="GR514" s="1209">
        <f t="shared" si="792"/>
        <v>0</v>
      </c>
      <c r="GS514" s="1209">
        <f t="shared" si="793"/>
        <v>0</v>
      </c>
      <c r="GT514" s="1211">
        <f t="shared" si="794"/>
        <v>0</v>
      </c>
      <c r="GU514" s="1212"/>
      <c r="GV514" s="1208" t="str">
        <f t="shared" si="795"/>
        <v/>
      </c>
      <c r="GW514" s="1209" t="str">
        <f t="shared" si="796"/>
        <v/>
      </c>
      <c r="GX514" s="1209" t="str">
        <f t="shared" si="797"/>
        <v/>
      </c>
      <c r="GY514" s="1209" t="str">
        <f t="shared" si="798"/>
        <v/>
      </c>
      <c r="GZ514" s="1209" t="str">
        <f t="shared" si="799"/>
        <v/>
      </c>
      <c r="HA514" s="1209" t="str">
        <f t="shared" si="800"/>
        <v/>
      </c>
      <c r="HB514" s="1209" t="str">
        <f t="shared" si="801"/>
        <v/>
      </c>
      <c r="HC514" s="1209" t="str">
        <f t="shared" si="802"/>
        <v/>
      </c>
      <c r="HD514" s="1212"/>
      <c r="HE514" s="167"/>
      <c r="HF514" s="1202" t="str">
        <f t="shared" si="819"/>
        <v/>
      </c>
      <c r="HG514" s="1213" t="s">
        <v>3069</v>
      </c>
      <c r="HH514" s="1214" t="str">
        <f>INDEX($M$370:$M$421,MATCH(HG514,$U$370:$U$421,0))</f>
        <v>4(46)</v>
      </c>
      <c r="HI514" s="1205" t="str">
        <f t="shared" si="820"/>
        <v/>
      </c>
      <c r="HK514" s="1206"/>
      <c r="HL514" s="1215" t="str">
        <f t="shared" si="803"/>
        <v/>
      </c>
      <c r="HM514" s="1215" t="str">
        <f t="shared" si="804"/>
        <v/>
      </c>
      <c r="HN514" s="1215" t="str">
        <f t="shared" si="805"/>
        <v/>
      </c>
      <c r="HO514" s="1215" t="str">
        <f t="shared" si="806"/>
        <v/>
      </c>
      <c r="HP514" s="1215" t="str">
        <f t="shared" si="807"/>
        <v/>
      </c>
      <c r="HQ514" s="1215" t="str">
        <f t="shared" si="808"/>
        <v/>
      </c>
      <c r="HR514" s="1214" t="str">
        <f t="shared" si="809"/>
        <v/>
      </c>
      <c r="HS514" s="1185"/>
      <c r="HT514" s="1149" t="e">
        <f>LEFT(M514,1)*10000+MID(M514,3,LEN(M514)-3)*100+COUNTIF($M$307:M514,M514)</f>
        <v>#VALUE!</v>
      </c>
      <c r="HU514" s="1149" t="str">
        <f t="shared" si="725"/>
        <v/>
      </c>
      <c r="HV514" s="1149" t="str">
        <f t="shared" si="726"/>
        <v/>
      </c>
      <c r="HW514" s="1149" t="str">
        <f t="shared" si="727"/>
        <v/>
      </c>
      <c r="HX514" s="1149" t="str">
        <f t="shared" si="728"/>
        <v/>
      </c>
    </row>
    <row r="515" spans="1:232" s="69" customFormat="1" ht="50.15" customHeight="1" thickBot="1">
      <c r="A515" s="645"/>
      <c r="B515" s="645"/>
      <c r="C515" s="645"/>
      <c r="D515" s="645"/>
      <c r="E515" s="646"/>
      <c r="F515" s="381"/>
      <c r="G515" s="381"/>
      <c r="H515" s="381"/>
      <c r="I515" s="123"/>
      <c r="J515" s="88"/>
      <c r="K515" s="89"/>
      <c r="L515" s="89"/>
      <c r="M515" s="2317"/>
      <c r="N515" s="2318"/>
      <c r="O515" s="2319"/>
      <c r="P515" s="2314" t="str">
        <f t="shared" si="810"/>
        <v/>
      </c>
      <c r="Q515" s="2315"/>
      <c r="R515" s="2315"/>
      <c r="S515" s="2315"/>
      <c r="T515" s="2315"/>
      <c r="U515" s="2315"/>
      <c r="V515" s="2315"/>
      <c r="W515" s="2315"/>
      <c r="X515" s="2315"/>
      <c r="Y515" s="2315"/>
      <c r="Z515" s="2315"/>
      <c r="AA515" s="2315"/>
      <c r="AB515" s="2315"/>
      <c r="AC515" s="2315"/>
      <c r="AD515" s="2315"/>
      <c r="AE515" s="2316"/>
      <c r="AF515" s="2134"/>
      <c r="AG515" s="2135"/>
      <c r="AH515" s="2135"/>
      <c r="AI515" s="2135"/>
      <c r="AJ515" s="2135"/>
      <c r="AK515" s="2135"/>
      <c r="AL515" s="2135"/>
      <c r="AM515" s="2135"/>
      <c r="AN515" s="2135"/>
      <c r="AO515" s="2135"/>
      <c r="AP515" s="2135"/>
      <c r="AQ515" s="2135"/>
      <c r="AR515" s="1957"/>
      <c r="AS515" s="1957"/>
      <c r="AT515" s="2138"/>
      <c r="AU515" s="2139"/>
      <c r="AV515" s="2139"/>
      <c r="AW515" s="2139"/>
      <c r="AX515" s="2139"/>
      <c r="AY515" s="2139"/>
      <c r="AZ515" s="2139"/>
      <c r="BA515" s="2139"/>
      <c r="BB515" s="2139"/>
      <c r="BC515" s="2139"/>
      <c r="BD515" s="2138"/>
      <c r="BE515" s="2139"/>
      <c r="BF515" s="2139"/>
      <c r="BG515" s="2139"/>
      <c r="BH515" s="2139"/>
      <c r="BI515" s="2139"/>
      <c r="BJ515" s="2139"/>
      <c r="BK515" s="2139"/>
      <c r="BL515" s="2139"/>
      <c r="BM515" s="2139"/>
      <c r="BN515" s="2139"/>
      <c r="BO515" s="2139"/>
      <c r="BP515" s="2139"/>
      <c r="BQ515" s="2139"/>
      <c r="BR515" s="2139"/>
      <c r="BS515" s="1957"/>
      <c r="BT515" s="2140"/>
      <c r="BU515" s="2140"/>
      <c r="BV515" s="1990"/>
      <c r="BW515" s="1990"/>
      <c r="BX515" s="1990"/>
      <c r="BY515" s="1990"/>
      <c r="BZ515" s="1990"/>
      <c r="CA515" s="1990"/>
      <c r="CB515" s="2048"/>
      <c r="CC515" s="1922"/>
      <c r="CD515" s="1922"/>
      <c r="CE515" s="1922"/>
      <c r="CF515" s="1922"/>
      <c r="CG515" s="1922"/>
      <c r="CH515" s="1922"/>
      <c r="CI515" s="1922"/>
      <c r="CJ515" s="1922"/>
      <c r="CK515" s="1922"/>
      <c r="CL515" s="1922"/>
      <c r="CM515" s="1922"/>
      <c r="CN515" s="1922"/>
      <c r="CO515" s="1922"/>
      <c r="CP515" s="1922"/>
      <c r="CQ515" s="1922"/>
      <c r="CR515" s="1922"/>
      <c r="CS515" s="1922"/>
      <c r="CT515" s="1922"/>
      <c r="CU515" s="2332"/>
      <c r="CV515" s="2360" t="str">
        <f t="shared" si="760"/>
        <v/>
      </c>
      <c r="CW515" s="2360"/>
      <c r="CX515" s="2360"/>
      <c r="CY515" s="2360"/>
      <c r="CZ515" s="2360"/>
      <c r="DA515" s="2360"/>
      <c r="DB515" s="120"/>
      <c r="DC515" s="600" t="str">
        <f t="shared" si="761"/>
        <v/>
      </c>
      <c r="DD515" s="381"/>
      <c r="DE515" s="34"/>
      <c r="DF515" s="34"/>
      <c r="DG515" s="34"/>
      <c r="DH515" s="34"/>
      <c r="DI515" s="34"/>
      <c r="DJ515" s="858" t="s">
        <v>5637</v>
      </c>
      <c r="DK515" s="1707" t="str">
        <f t="shared" si="811"/>
        <v/>
      </c>
      <c r="DL515" s="1692" t="str">
        <f t="shared" si="812"/>
        <v/>
      </c>
      <c r="DM515" s="1691">
        <f t="shared" si="821"/>
        <v>0</v>
      </c>
      <c r="DN515" s="111">
        <f t="shared" si="822"/>
        <v>0</v>
      </c>
      <c r="DO515" s="111">
        <f t="shared" si="823"/>
        <v>0</v>
      </c>
      <c r="DP515" s="474">
        <f t="shared" si="824"/>
        <v>0</v>
      </c>
      <c r="DQ515" s="123">
        <f t="shared" si="762"/>
        <v>0</v>
      </c>
      <c r="DR515" s="473" t="str">
        <f t="shared" si="763"/>
        <v/>
      </c>
      <c r="DS515" s="112">
        <f t="shared" si="764"/>
        <v>0</v>
      </c>
      <c r="DT515" s="118" t="str">
        <f t="shared" si="825"/>
        <v/>
      </c>
      <c r="DU515" s="151" t="str">
        <f t="shared" si="765"/>
        <v/>
      </c>
      <c r="DV515" s="151" t="str">
        <f>IF($DT515="要是正",MAX($DV$508:DV514)+1,"")</f>
        <v/>
      </c>
      <c r="DW515" s="32" t="str">
        <f t="shared" si="826"/>
        <v/>
      </c>
      <c r="DX515" s="119" t="str">
        <f t="shared" si="813"/>
        <v/>
      </c>
      <c r="DY515" s="33" t="str">
        <f t="shared" si="814"/>
        <v/>
      </c>
      <c r="DZ515" s="139" t="str">
        <f t="shared" si="766"/>
        <v/>
      </c>
      <c r="EA515" s="466" t="str">
        <f t="shared" si="767"/>
        <v/>
      </c>
      <c r="EB515" s="549" t="str">
        <f t="shared" si="768"/>
        <v/>
      </c>
      <c r="EC515" s="227" t="str">
        <f t="shared" si="769"/>
        <v>0</v>
      </c>
      <c r="ED515" s="148" t="str">
        <f t="shared" si="815"/>
        <v/>
      </c>
      <c r="EE515" s="227" t="str">
        <f t="shared" si="816"/>
        <v>0</v>
      </c>
      <c r="EF515" s="416" t="str">
        <f t="shared" si="771"/>
        <v/>
      </c>
      <c r="EG515" s="204" t="str">
        <f t="shared" si="772"/>
        <v/>
      </c>
      <c r="EH515" s="134" t="str">
        <f t="shared" si="773"/>
        <v>0</v>
      </c>
      <c r="EI515" s="148" t="str">
        <f t="shared" si="817"/>
        <v/>
      </c>
      <c r="EJ515" s="227" t="str">
        <f t="shared" si="818"/>
        <v>0</v>
      </c>
      <c r="EK515" s="416" t="str">
        <f t="shared" si="775"/>
        <v/>
      </c>
      <c r="EL515" s="452" t="e">
        <f t="shared" si="776"/>
        <v>#N/A</v>
      </c>
      <c r="EM515" s="151" t="e">
        <f t="shared" si="777"/>
        <v>#N/A</v>
      </c>
      <c r="EN515" s="453" t="e">
        <f t="shared" si="778"/>
        <v>#N/A</v>
      </c>
      <c r="FB515" s="1171"/>
      <c r="FC515" s="1171"/>
      <c r="FD515" s="1171"/>
      <c r="FE515" s="1171"/>
      <c r="FF515" s="1171"/>
      <c r="FG515" s="1171"/>
      <c r="FH515" s="1171"/>
      <c r="FI515" s="1171"/>
      <c r="FK515" s="597" t="str">
        <f t="shared" si="827"/>
        <v/>
      </c>
      <c r="FL515" s="597" t="str">
        <f t="shared" si="530"/>
        <v/>
      </c>
      <c r="FM515" s="597" t="str">
        <f t="shared" si="531"/>
        <v/>
      </c>
      <c r="FN515" s="597">
        <f t="shared" si="779"/>
        <v>0</v>
      </c>
      <c r="FO515" s="1163" t="str">
        <f t="shared" si="828"/>
        <v/>
      </c>
      <c r="FQ515" s="234" t="str">
        <f t="shared" si="780"/>
        <v/>
      </c>
      <c r="FR515" s="227" t="str">
        <f t="shared" si="781"/>
        <v>0</v>
      </c>
      <c r="FS515" s="148" t="str">
        <f t="shared" si="782"/>
        <v/>
      </c>
      <c r="FT515" s="227" t="str">
        <f t="shared" si="783"/>
        <v>0</v>
      </c>
      <c r="FU515" s="416" t="str">
        <f t="shared" si="784"/>
        <v/>
      </c>
      <c r="FW515" s="1160">
        <f t="shared" si="675"/>
        <v>0</v>
      </c>
      <c r="FX515" s="123"/>
      <c r="FY515" s="123"/>
      <c r="FZ515" s="1161"/>
      <c r="GA515" s="34"/>
      <c r="GB515" s="1208" t="b">
        <f t="shared" si="785"/>
        <v>1</v>
      </c>
      <c r="GC515" s="1209" t="b">
        <f t="shared" si="786"/>
        <v>0</v>
      </c>
      <c r="GD515" s="1209" t="b">
        <f t="shared" si="786"/>
        <v>0</v>
      </c>
      <c r="GE515" s="1209" t="b">
        <f t="shared" si="786"/>
        <v>0</v>
      </c>
      <c r="GF515" s="1209" t="b">
        <f t="shared" si="786"/>
        <v>0</v>
      </c>
      <c r="GG515" s="1209" t="b">
        <f t="shared" si="786"/>
        <v>0</v>
      </c>
      <c r="GH515" s="1209" t="b">
        <f t="shared" si="786"/>
        <v>0</v>
      </c>
      <c r="GI515" s="1209" t="b">
        <f t="shared" si="786"/>
        <v>0</v>
      </c>
      <c r="GJ515" s="1210" t="b">
        <f>IF(GB515,FALSE(),COUNTIF(プルダウン選択肢!$A$92:$A$228,$DQ515)&lt;&gt;1)</f>
        <v>0</v>
      </c>
      <c r="GL515" s="1199"/>
      <c r="GM515" s="1209">
        <f t="shared" si="787"/>
        <v>0</v>
      </c>
      <c r="GN515" s="1209">
        <f t="shared" si="788"/>
        <v>0</v>
      </c>
      <c r="GO515" s="1209">
        <f t="shared" si="789"/>
        <v>0</v>
      </c>
      <c r="GP515" s="1209">
        <f t="shared" si="790"/>
        <v>0</v>
      </c>
      <c r="GQ515" s="1209">
        <f t="shared" si="791"/>
        <v>0</v>
      </c>
      <c r="GR515" s="1209">
        <f t="shared" si="792"/>
        <v>0</v>
      </c>
      <c r="GS515" s="1209">
        <f t="shared" si="793"/>
        <v>0</v>
      </c>
      <c r="GT515" s="1211">
        <f t="shared" si="794"/>
        <v>0</v>
      </c>
      <c r="GU515" s="1212"/>
      <c r="GV515" s="1208" t="str">
        <f t="shared" si="795"/>
        <v/>
      </c>
      <c r="GW515" s="1209" t="str">
        <f t="shared" si="796"/>
        <v/>
      </c>
      <c r="GX515" s="1209" t="str">
        <f t="shared" si="797"/>
        <v/>
      </c>
      <c r="GY515" s="1209" t="str">
        <f t="shared" si="798"/>
        <v/>
      </c>
      <c r="GZ515" s="1209" t="str">
        <f t="shared" si="799"/>
        <v/>
      </c>
      <c r="HA515" s="1209" t="str">
        <f t="shared" si="800"/>
        <v/>
      </c>
      <c r="HB515" s="1209" t="str">
        <f t="shared" si="801"/>
        <v/>
      </c>
      <c r="HC515" s="1209" t="str">
        <f t="shared" si="802"/>
        <v/>
      </c>
      <c r="HD515" s="1212"/>
      <c r="HE515" s="167"/>
      <c r="HF515" s="1202" t="str">
        <f t="shared" si="819"/>
        <v/>
      </c>
      <c r="HG515" s="1216" t="s">
        <v>3070</v>
      </c>
      <c r="HH515" s="1217" t="str">
        <f>INDEX($M$370:$M$421,MATCH(HG515,$U$370:$U$421,0))</f>
        <v>4(47)</v>
      </c>
      <c r="HI515" s="1205" t="str">
        <f t="shared" si="820"/>
        <v/>
      </c>
      <c r="HK515" s="1206"/>
      <c r="HL515" s="1215" t="str">
        <f t="shared" si="803"/>
        <v/>
      </c>
      <c r="HM515" s="1215" t="str">
        <f t="shared" si="804"/>
        <v/>
      </c>
      <c r="HN515" s="1215" t="str">
        <f t="shared" si="805"/>
        <v/>
      </c>
      <c r="HO515" s="1215" t="str">
        <f t="shared" si="806"/>
        <v/>
      </c>
      <c r="HP515" s="1215" t="str">
        <f t="shared" si="807"/>
        <v/>
      </c>
      <c r="HQ515" s="1215" t="str">
        <f t="shared" si="808"/>
        <v/>
      </c>
      <c r="HR515" s="1214" t="str">
        <f t="shared" si="809"/>
        <v/>
      </c>
      <c r="HS515" s="1185"/>
      <c r="HT515" s="1149" t="e">
        <f>LEFT(M515,1)*10000+MID(M515,3,LEN(M515)-3)*100+COUNTIF($M$307:M515,M515)</f>
        <v>#VALUE!</v>
      </c>
      <c r="HU515" s="1149" t="str">
        <f t="shared" si="725"/>
        <v/>
      </c>
      <c r="HV515" s="1149" t="str">
        <f t="shared" si="726"/>
        <v/>
      </c>
      <c r="HW515" s="1149" t="str">
        <f t="shared" si="727"/>
        <v/>
      </c>
      <c r="HX515" s="1149" t="str">
        <f t="shared" si="728"/>
        <v/>
      </c>
    </row>
    <row r="516" spans="1:232" s="69" customFormat="1" ht="50.15" customHeight="1">
      <c r="A516" s="645"/>
      <c r="B516" s="645"/>
      <c r="C516" s="645"/>
      <c r="D516" s="645"/>
      <c r="E516" s="646"/>
      <c r="F516" s="381"/>
      <c r="G516" s="381"/>
      <c r="H516" s="381"/>
      <c r="I516" s="123"/>
      <c r="J516" s="88"/>
      <c r="K516" s="89"/>
      <c r="L516" s="89"/>
      <c r="M516" s="2317"/>
      <c r="N516" s="2318"/>
      <c r="O516" s="2319"/>
      <c r="P516" s="2314" t="str">
        <f t="shared" si="810"/>
        <v/>
      </c>
      <c r="Q516" s="2315"/>
      <c r="R516" s="2315"/>
      <c r="S516" s="2315"/>
      <c r="T516" s="2315"/>
      <c r="U516" s="2315"/>
      <c r="V516" s="2315"/>
      <c r="W516" s="2315"/>
      <c r="X516" s="2315"/>
      <c r="Y516" s="2315"/>
      <c r="Z516" s="2315"/>
      <c r="AA516" s="2315"/>
      <c r="AB516" s="2315"/>
      <c r="AC516" s="2315"/>
      <c r="AD516" s="2315"/>
      <c r="AE516" s="2316"/>
      <c r="AF516" s="2134"/>
      <c r="AG516" s="2135"/>
      <c r="AH516" s="2135"/>
      <c r="AI516" s="2135"/>
      <c r="AJ516" s="2135"/>
      <c r="AK516" s="2135"/>
      <c r="AL516" s="2135"/>
      <c r="AM516" s="2135"/>
      <c r="AN516" s="2135"/>
      <c r="AO516" s="2135"/>
      <c r="AP516" s="2135"/>
      <c r="AQ516" s="2135"/>
      <c r="AR516" s="1957"/>
      <c r="AS516" s="1957"/>
      <c r="AT516" s="2138"/>
      <c r="AU516" s="2139"/>
      <c r="AV516" s="2139"/>
      <c r="AW516" s="2139"/>
      <c r="AX516" s="2139"/>
      <c r="AY516" s="2139"/>
      <c r="AZ516" s="2139"/>
      <c r="BA516" s="2139"/>
      <c r="BB516" s="2139"/>
      <c r="BC516" s="2139"/>
      <c r="BD516" s="2138"/>
      <c r="BE516" s="2139"/>
      <c r="BF516" s="2139"/>
      <c r="BG516" s="2139"/>
      <c r="BH516" s="2139"/>
      <c r="BI516" s="2139"/>
      <c r="BJ516" s="2139"/>
      <c r="BK516" s="2139"/>
      <c r="BL516" s="2139"/>
      <c r="BM516" s="2139"/>
      <c r="BN516" s="2139"/>
      <c r="BO516" s="2139"/>
      <c r="BP516" s="2139"/>
      <c r="BQ516" s="2139"/>
      <c r="BR516" s="2139"/>
      <c r="BS516" s="1957"/>
      <c r="BT516" s="2140"/>
      <c r="BU516" s="2140"/>
      <c r="BV516" s="1990"/>
      <c r="BW516" s="1990"/>
      <c r="BX516" s="1990"/>
      <c r="BY516" s="1990"/>
      <c r="BZ516" s="1990"/>
      <c r="CA516" s="1990"/>
      <c r="CB516" s="2048"/>
      <c r="CC516" s="1922"/>
      <c r="CD516" s="1922"/>
      <c r="CE516" s="1922"/>
      <c r="CF516" s="1922"/>
      <c r="CG516" s="1922"/>
      <c r="CH516" s="1922"/>
      <c r="CI516" s="1922"/>
      <c r="CJ516" s="1922"/>
      <c r="CK516" s="1922"/>
      <c r="CL516" s="1922"/>
      <c r="CM516" s="1922"/>
      <c r="CN516" s="1922"/>
      <c r="CO516" s="1922"/>
      <c r="CP516" s="1922"/>
      <c r="CQ516" s="1922"/>
      <c r="CR516" s="1922"/>
      <c r="CS516" s="1922"/>
      <c r="CT516" s="1922"/>
      <c r="CU516" s="2332"/>
      <c r="CV516" s="2360" t="str">
        <f t="shared" si="760"/>
        <v/>
      </c>
      <c r="CW516" s="2360"/>
      <c r="CX516" s="2360"/>
      <c r="CY516" s="2360"/>
      <c r="CZ516" s="2360"/>
      <c r="DA516" s="2360"/>
      <c r="DB516" s="120"/>
      <c r="DC516" s="600" t="str">
        <f t="shared" si="761"/>
        <v/>
      </c>
      <c r="DD516" s="381"/>
      <c r="DE516" s="34"/>
      <c r="DF516" s="34"/>
      <c r="DG516" s="34"/>
      <c r="DH516" s="34"/>
      <c r="DI516" s="34"/>
      <c r="DJ516" s="858" t="s">
        <v>5637</v>
      </c>
      <c r="DK516" s="1707" t="str">
        <f t="shared" si="811"/>
        <v/>
      </c>
      <c r="DL516" s="1692" t="str">
        <f t="shared" si="812"/>
        <v/>
      </c>
      <c r="DM516" s="1691">
        <f t="shared" si="821"/>
        <v>0</v>
      </c>
      <c r="DN516" s="111">
        <f t="shared" si="822"/>
        <v>0</v>
      </c>
      <c r="DO516" s="111">
        <f t="shared" si="823"/>
        <v>0</v>
      </c>
      <c r="DP516" s="474">
        <f t="shared" si="824"/>
        <v>0</v>
      </c>
      <c r="DQ516" s="123">
        <f t="shared" si="762"/>
        <v>0</v>
      </c>
      <c r="DR516" s="473" t="str">
        <f t="shared" si="763"/>
        <v/>
      </c>
      <c r="DS516" s="112">
        <f t="shared" si="764"/>
        <v>0</v>
      </c>
      <c r="DT516" s="118" t="str">
        <f t="shared" si="825"/>
        <v/>
      </c>
      <c r="DU516" s="151" t="str">
        <f t="shared" si="765"/>
        <v/>
      </c>
      <c r="DV516" s="151" t="str">
        <f>IF($DT516="要是正",MAX($DV$508:DV515)+1,"")</f>
        <v/>
      </c>
      <c r="DW516" s="32" t="str">
        <f t="shared" si="826"/>
        <v/>
      </c>
      <c r="DX516" s="119" t="str">
        <f t="shared" si="813"/>
        <v/>
      </c>
      <c r="DY516" s="33" t="str">
        <f t="shared" si="814"/>
        <v/>
      </c>
      <c r="DZ516" s="139" t="str">
        <f t="shared" si="766"/>
        <v/>
      </c>
      <c r="EA516" s="466" t="str">
        <f t="shared" si="767"/>
        <v/>
      </c>
      <c r="EB516" s="549" t="str">
        <f t="shared" si="768"/>
        <v/>
      </c>
      <c r="EC516" s="227" t="str">
        <f t="shared" si="769"/>
        <v>0</v>
      </c>
      <c r="ED516" s="148" t="str">
        <f t="shared" si="815"/>
        <v/>
      </c>
      <c r="EE516" s="227" t="str">
        <f t="shared" si="816"/>
        <v>0</v>
      </c>
      <c r="EF516" s="416" t="str">
        <f t="shared" si="771"/>
        <v/>
      </c>
      <c r="EG516" s="204" t="str">
        <f t="shared" si="772"/>
        <v/>
      </c>
      <c r="EH516" s="134" t="str">
        <f t="shared" si="773"/>
        <v>0</v>
      </c>
      <c r="EI516" s="148" t="str">
        <f t="shared" si="817"/>
        <v/>
      </c>
      <c r="EJ516" s="227" t="str">
        <f t="shared" si="818"/>
        <v>0</v>
      </c>
      <c r="EK516" s="416" t="str">
        <f t="shared" si="775"/>
        <v/>
      </c>
      <c r="EL516" s="452" t="e">
        <f t="shared" si="776"/>
        <v>#N/A</v>
      </c>
      <c r="EM516" s="151" t="e">
        <f t="shared" si="777"/>
        <v>#N/A</v>
      </c>
      <c r="EN516" s="453" t="e">
        <f t="shared" si="778"/>
        <v>#N/A</v>
      </c>
      <c r="FB516" s="1171"/>
      <c r="FC516" s="1171"/>
      <c r="FD516" s="1171"/>
      <c r="FE516" s="1171"/>
      <c r="FF516" s="1171"/>
      <c r="FG516" s="1171"/>
      <c r="FH516" s="1171"/>
      <c r="FI516" s="1171"/>
      <c r="FK516" s="597" t="str">
        <f t="shared" si="827"/>
        <v/>
      </c>
      <c r="FL516" s="597" t="str">
        <f t="shared" si="530"/>
        <v/>
      </c>
      <c r="FM516" s="597" t="str">
        <f t="shared" si="531"/>
        <v/>
      </c>
      <c r="FN516" s="597">
        <f t="shared" si="779"/>
        <v>0</v>
      </c>
      <c r="FO516" s="1163" t="str">
        <f t="shared" si="828"/>
        <v/>
      </c>
      <c r="FQ516" s="234" t="str">
        <f t="shared" si="780"/>
        <v/>
      </c>
      <c r="FR516" s="227" t="str">
        <f t="shared" si="781"/>
        <v>0</v>
      </c>
      <c r="FS516" s="148" t="str">
        <f t="shared" si="782"/>
        <v/>
      </c>
      <c r="FT516" s="227" t="str">
        <f t="shared" si="783"/>
        <v>0</v>
      </c>
      <c r="FU516" s="416" t="str">
        <f t="shared" si="784"/>
        <v/>
      </c>
      <c r="FW516" s="1160">
        <f t="shared" si="675"/>
        <v>0</v>
      </c>
      <c r="FX516" s="123"/>
      <c r="FY516" s="123"/>
      <c r="FZ516" s="1161"/>
      <c r="GA516" s="34"/>
      <c r="GB516" s="1208" t="b">
        <f t="shared" si="785"/>
        <v>1</v>
      </c>
      <c r="GC516" s="1209" t="b">
        <f t="shared" si="786"/>
        <v>0</v>
      </c>
      <c r="GD516" s="1209" t="b">
        <f t="shared" si="786"/>
        <v>0</v>
      </c>
      <c r="GE516" s="1209" t="b">
        <f t="shared" si="786"/>
        <v>0</v>
      </c>
      <c r="GF516" s="1209" t="b">
        <f t="shared" si="786"/>
        <v>0</v>
      </c>
      <c r="GG516" s="1209" t="b">
        <f t="shared" si="786"/>
        <v>0</v>
      </c>
      <c r="GH516" s="1209" t="b">
        <f t="shared" si="786"/>
        <v>0</v>
      </c>
      <c r="GI516" s="1209" t="b">
        <f t="shared" si="786"/>
        <v>0</v>
      </c>
      <c r="GJ516" s="1210" t="b">
        <f>IF(GB516,FALSE(),COUNTIF(プルダウン選択肢!$A$92:$A$228,$DQ516)&lt;&gt;1)</f>
        <v>0</v>
      </c>
      <c r="GL516" s="1199"/>
      <c r="GM516" s="1209">
        <f t="shared" si="787"/>
        <v>0</v>
      </c>
      <c r="GN516" s="1209">
        <f t="shared" si="788"/>
        <v>0</v>
      </c>
      <c r="GO516" s="1209">
        <f t="shared" si="789"/>
        <v>0</v>
      </c>
      <c r="GP516" s="1209">
        <f t="shared" si="790"/>
        <v>0</v>
      </c>
      <c r="GQ516" s="1209">
        <f t="shared" si="791"/>
        <v>0</v>
      </c>
      <c r="GR516" s="1209">
        <f t="shared" si="792"/>
        <v>0</v>
      </c>
      <c r="GS516" s="1209">
        <f t="shared" si="793"/>
        <v>0</v>
      </c>
      <c r="GT516" s="1211">
        <f t="shared" si="794"/>
        <v>0</v>
      </c>
      <c r="GU516" s="1212"/>
      <c r="GV516" s="1208" t="str">
        <f t="shared" si="795"/>
        <v/>
      </c>
      <c r="GW516" s="1209" t="str">
        <f t="shared" si="796"/>
        <v/>
      </c>
      <c r="GX516" s="1209" t="str">
        <f t="shared" si="797"/>
        <v/>
      </c>
      <c r="GY516" s="1209" t="str">
        <f t="shared" si="798"/>
        <v/>
      </c>
      <c r="GZ516" s="1209" t="str">
        <f t="shared" si="799"/>
        <v/>
      </c>
      <c r="HA516" s="1209" t="str">
        <f t="shared" si="800"/>
        <v/>
      </c>
      <c r="HB516" s="1209" t="str">
        <f t="shared" si="801"/>
        <v/>
      </c>
      <c r="HC516" s="1209" t="str">
        <f t="shared" si="802"/>
        <v/>
      </c>
      <c r="HD516" s="1212"/>
      <c r="HE516" s="167"/>
      <c r="HF516" s="1218" t="str">
        <f t="shared" si="819"/>
        <v/>
      </c>
      <c r="HG516" s="123"/>
      <c r="HH516" s="1185"/>
      <c r="HI516" s="1214" t="str">
        <f t="shared" si="820"/>
        <v/>
      </c>
      <c r="HK516" s="1206"/>
      <c r="HL516" s="1215" t="str">
        <f t="shared" si="803"/>
        <v/>
      </c>
      <c r="HM516" s="1215" t="str">
        <f t="shared" si="804"/>
        <v/>
      </c>
      <c r="HN516" s="1215" t="str">
        <f t="shared" si="805"/>
        <v/>
      </c>
      <c r="HO516" s="1215" t="str">
        <f t="shared" si="806"/>
        <v/>
      </c>
      <c r="HP516" s="1215" t="str">
        <f t="shared" si="807"/>
        <v/>
      </c>
      <c r="HQ516" s="1215" t="str">
        <f t="shared" si="808"/>
        <v/>
      </c>
      <c r="HR516" s="1214" t="str">
        <f t="shared" si="809"/>
        <v/>
      </c>
      <c r="HS516" s="1185"/>
      <c r="HT516" s="1149" t="e">
        <f>LEFT(M516,1)*10000+MID(M516,3,LEN(M516)-3)*100+COUNTIF($M$307:M516,M516)</f>
        <v>#VALUE!</v>
      </c>
      <c r="HU516" s="1149" t="str">
        <f t="shared" si="725"/>
        <v/>
      </c>
      <c r="HV516" s="1149" t="str">
        <f t="shared" si="726"/>
        <v/>
      </c>
      <c r="HW516" s="1149" t="str">
        <f t="shared" si="727"/>
        <v/>
      </c>
      <c r="HX516" s="1149" t="str">
        <f t="shared" si="728"/>
        <v/>
      </c>
    </row>
    <row r="517" spans="1:232" s="69" customFormat="1" ht="50.15" customHeight="1">
      <c r="A517" s="645"/>
      <c r="B517" s="645"/>
      <c r="C517" s="645"/>
      <c r="D517" s="645"/>
      <c r="E517" s="646"/>
      <c r="F517" s="381"/>
      <c r="G517" s="381"/>
      <c r="H517" s="381"/>
      <c r="I517" s="123"/>
      <c r="J517" s="88"/>
      <c r="K517" s="89"/>
      <c r="L517" s="89"/>
      <c r="M517" s="2317"/>
      <c r="N517" s="2318"/>
      <c r="O517" s="2319"/>
      <c r="P517" s="2314" t="str">
        <f t="shared" si="810"/>
        <v/>
      </c>
      <c r="Q517" s="2315"/>
      <c r="R517" s="2315"/>
      <c r="S517" s="2315"/>
      <c r="T517" s="2315"/>
      <c r="U517" s="2315"/>
      <c r="V517" s="2315"/>
      <c r="W517" s="2315"/>
      <c r="X517" s="2315"/>
      <c r="Y517" s="2315"/>
      <c r="Z517" s="2315"/>
      <c r="AA517" s="2315"/>
      <c r="AB517" s="2315"/>
      <c r="AC517" s="2315"/>
      <c r="AD517" s="2315"/>
      <c r="AE517" s="2316"/>
      <c r="AF517" s="2134"/>
      <c r="AG517" s="2135"/>
      <c r="AH517" s="2135"/>
      <c r="AI517" s="2135"/>
      <c r="AJ517" s="2135"/>
      <c r="AK517" s="2135"/>
      <c r="AL517" s="2135"/>
      <c r="AM517" s="2135"/>
      <c r="AN517" s="2135"/>
      <c r="AO517" s="2135"/>
      <c r="AP517" s="2135"/>
      <c r="AQ517" s="2135"/>
      <c r="AR517" s="1957"/>
      <c r="AS517" s="1957"/>
      <c r="AT517" s="2138"/>
      <c r="AU517" s="2139"/>
      <c r="AV517" s="2139"/>
      <c r="AW517" s="2139"/>
      <c r="AX517" s="2139"/>
      <c r="AY517" s="2139"/>
      <c r="AZ517" s="2139"/>
      <c r="BA517" s="2139"/>
      <c r="BB517" s="2139"/>
      <c r="BC517" s="2139"/>
      <c r="BD517" s="2138"/>
      <c r="BE517" s="2139"/>
      <c r="BF517" s="2139"/>
      <c r="BG517" s="2139"/>
      <c r="BH517" s="2139"/>
      <c r="BI517" s="2139"/>
      <c r="BJ517" s="2139"/>
      <c r="BK517" s="2139"/>
      <c r="BL517" s="2139"/>
      <c r="BM517" s="2139"/>
      <c r="BN517" s="2139"/>
      <c r="BO517" s="2139"/>
      <c r="BP517" s="2139"/>
      <c r="BQ517" s="2139"/>
      <c r="BR517" s="2139"/>
      <c r="BS517" s="1957"/>
      <c r="BT517" s="2140"/>
      <c r="BU517" s="2140"/>
      <c r="BV517" s="1990"/>
      <c r="BW517" s="1990"/>
      <c r="BX517" s="1990"/>
      <c r="BY517" s="1990"/>
      <c r="BZ517" s="1990"/>
      <c r="CA517" s="1990"/>
      <c r="CB517" s="2048"/>
      <c r="CC517" s="1922"/>
      <c r="CD517" s="1922"/>
      <c r="CE517" s="1922"/>
      <c r="CF517" s="1922"/>
      <c r="CG517" s="1922"/>
      <c r="CH517" s="1922"/>
      <c r="CI517" s="1922"/>
      <c r="CJ517" s="1922"/>
      <c r="CK517" s="1922"/>
      <c r="CL517" s="1922"/>
      <c r="CM517" s="1922"/>
      <c r="CN517" s="1922"/>
      <c r="CO517" s="1922"/>
      <c r="CP517" s="1922"/>
      <c r="CQ517" s="1922"/>
      <c r="CR517" s="1922"/>
      <c r="CS517" s="1922"/>
      <c r="CT517" s="1922"/>
      <c r="CU517" s="2332"/>
      <c r="CV517" s="2360" t="str">
        <f t="shared" si="760"/>
        <v/>
      </c>
      <c r="CW517" s="2360"/>
      <c r="CX517" s="2360"/>
      <c r="CY517" s="2360"/>
      <c r="CZ517" s="2360"/>
      <c r="DA517" s="2360"/>
      <c r="DB517" s="120"/>
      <c r="DC517" s="600" t="str">
        <f t="shared" si="761"/>
        <v/>
      </c>
      <c r="DD517" s="381"/>
      <c r="DE517" s="34"/>
      <c r="DF517" s="34"/>
      <c r="DG517" s="34"/>
      <c r="DH517" s="34"/>
      <c r="DI517" s="34"/>
      <c r="DJ517" s="858" t="s">
        <v>5637</v>
      </c>
      <c r="DK517" s="1707" t="str">
        <f t="shared" si="811"/>
        <v/>
      </c>
      <c r="DL517" s="1692" t="str">
        <f t="shared" si="812"/>
        <v/>
      </c>
      <c r="DM517" s="1691">
        <f t="shared" si="821"/>
        <v>0</v>
      </c>
      <c r="DN517" s="111">
        <f t="shared" si="822"/>
        <v>0</v>
      </c>
      <c r="DO517" s="111">
        <f t="shared" si="823"/>
        <v>0</v>
      </c>
      <c r="DP517" s="474">
        <f t="shared" si="824"/>
        <v>0</v>
      </c>
      <c r="DQ517" s="123">
        <f t="shared" si="762"/>
        <v>0</v>
      </c>
      <c r="DR517" s="473" t="str">
        <f t="shared" si="763"/>
        <v/>
      </c>
      <c r="DS517" s="112">
        <f t="shared" si="764"/>
        <v>0</v>
      </c>
      <c r="DT517" s="118" t="str">
        <f t="shared" si="825"/>
        <v/>
      </c>
      <c r="DU517" s="151" t="str">
        <f t="shared" si="765"/>
        <v/>
      </c>
      <c r="DV517" s="151" t="str">
        <f>IF($DT517="要是正",MAX($DV$508:DV516)+1,"")</f>
        <v/>
      </c>
      <c r="DW517" s="32" t="str">
        <f t="shared" si="826"/>
        <v/>
      </c>
      <c r="DX517" s="119" t="str">
        <f t="shared" si="813"/>
        <v/>
      </c>
      <c r="DY517" s="33" t="str">
        <f t="shared" si="814"/>
        <v/>
      </c>
      <c r="DZ517" s="139" t="str">
        <f t="shared" si="766"/>
        <v/>
      </c>
      <c r="EA517" s="466" t="str">
        <f t="shared" si="767"/>
        <v/>
      </c>
      <c r="EB517" s="549" t="str">
        <f t="shared" si="768"/>
        <v/>
      </c>
      <c r="EC517" s="227" t="str">
        <f t="shared" si="769"/>
        <v>0</v>
      </c>
      <c r="ED517" s="148" t="str">
        <f t="shared" si="815"/>
        <v/>
      </c>
      <c r="EE517" s="227" t="str">
        <f t="shared" si="816"/>
        <v>0</v>
      </c>
      <c r="EF517" s="416" t="str">
        <f t="shared" si="771"/>
        <v/>
      </c>
      <c r="EG517" s="204" t="str">
        <f t="shared" si="772"/>
        <v/>
      </c>
      <c r="EH517" s="134" t="str">
        <f t="shared" si="773"/>
        <v>0</v>
      </c>
      <c r="EI517" s="148" t="str">
        <f t="shared" si="817"/>
        <v/>
      </c>
      <c r="EJ517" s="227" t="str">
        <f t="shared" si="818"/>
        <v>0</v>
      </c>
      <c r="EK517" s="416" t="str">
        <f t="shared" si="775"/>
        <v/>
      </c>
      <c r="EL517" s="452" t="e">
        <f t="shared" si="776"/>
        <v>#N/A</v>
      </c>
      <c r="EM517" s="151" t="e">
        <f t="shared" si="777"/>
        <v>#N/A</v>
      </c>
      <c r="EN517" s="453" t="e">
        <f t="shared" si="778"/>
        <v>#N/A</v>
      </c>
      <c r="FB517" s="1171"/>
      <c r="FC517" s="1171"/>
      <c r="FD517" s="1171"/>
      <c r="FE517" s="1171"/>
      <c r="FF517" s="1171"/>
      <c r="FG517" s="1171"/>
      <c r="FH517" s="1171"/>
      <c r="FI517" s="1171"/>
      <c r="FK517" s="597" t="str">
        <f t="shared" si="827"/>
        <v/>
      </c>
      <c r="FL517" s="597" t="str">
        <f t="shared" si="530"/>
        <v/>
      </c>
      <c r="FM517" s="597" t="str">
        <f t="shared" si="531"/>
        <v/>
      </c>
      <c r="FN517" s="597">
        <f t="shared" si="779"/>
        <v>0</v>
      </c>
      <c r="FO517" s="1163" t="str">
        <f t="shared" si="828"/>
        <v/>
      </c>
      <c r="FQ517" s="234" t="str">
        <f t="shared" si="780"/>
        <v/>
      </c>
      <c r="FR517" s="227" t="str">
        <f t="shared" si="781"/>
        <v>0</v>
      </c>
      <c r="FS517" s="148" t="str">
        <f t="shared" si="782"/>
        <v/>
      </c>
      <c r="FT517" s="227" t="str">
        <f t="shared" si="783"/>
        <v>0</v>
      </c>
      <c r="FU517" s="416" t="str">
        <f t="shared" si="784"/>
        <v/>
      </c>
      <c r="FW517" s="1160">
        <f t="shared" si="675"/>
        <v>0</v>
      </c>
      <c r="FX517" s="123"/>
      <c r="FY517" s="123"/>
      <c r="FZ517" s="1161"/>
      <c r="GA517" s="34"/>
      <c r="GB517" s="1208" t="b">
        <f t="shared" si="785"/>
        <v>1</v>
      </c>
      <c r="GC517" s="1209" t="b">
        <f t="shared" si="786"/>
        <v>0</v>
      </c>
      <c r="GD517" s="1209" t="b">
        <f t="shared" si="786"/>
        <v>0</v>
      </c>
      <c r="GE517" s="1209" t="b">
        <f t="shared" si="786"/>
        <v>0</v>
      </c>
      <c r="GF517" s="1209" t="b">
        <f t="shared" si="786"/>
        <v>0</v>
      </c>
      <c r="GG517" s="1209" t="b">
        <f t="shared" si="786"/>
        <v>0</v>
      </c>
      <c r="GH517" s="1209" t="b">
        <f t="shared" si="786"/>
        <v>0</v>
      </c>
      <c r="GI517" s="1209" t="b">
        <f t="shared" si="786"/>
        <v>0</v>
      </c>
      <c r="GJ517" s="1210" t="b">
        <f>IF(GB517,FALSE(),COUNTIF(プルダウン選択肢!$A$92:$A$228,$DQ517)&lt;&gt;1)</f>
        <v>0</v>
      </c>
      <c r="GL517" s="1199"/>
      <c r="GM517" s="1209">
        <f t="shared" si="787"/>
        <v>0</v>
      </c>
      <c r="GN517" s="1209">
        <f t="shared" si="788"/>
        <v>0</v>
      </c>
      <c r="GO517" s="1209">
        <f t="shared" si="789"/>
        <v>0</v>
      </c>
      <c r="GP517" s="1209">
        <f t="shared" si="790"/>
        <v>0</v>
      </c>
      <c r="GQ517" s="1209">
        <f t="shared" si="791"/>
        <v>0</v>
      </c>
      <c r="GR517" s="1209">
        <f t="shared" si="792"/>
        <v>0</v>
      </c>
      <c r="GS517" s="1209">
        <f t="shared" si="793"/>
        <v>0</v>
      </c>
      <c r="GT517" s="1211">
        <f t="shared" si="794"/>
        <v>0</v>
      </c>
      <c r="GU517" s="1212"/>
      <c r="GV517" s="1208" t="str">
        <f t="shared" si="795"/>
        <v/>
      </c>
      <c r="GW517" s="1209" t="str">
        <f t="shared" si="796"/>
        <v/>
      </c>
      <c r="GX517" s="1209" t="str">
        <f t="shared" si="797"/>
        <v/>
      </c>
      <c r="GY517" s="1209" t="str">
        <f t="shared" si="798"/>
        <v/>
      </c>
      <c r="GZ517" s="1209" t="str">
        <f t="shared" si="799"/>
        <v/>
      </c>
      <c r="HA517" s="1209" t="str">
        <f t="shared" si="800"/>
        <v/>
      </c>
      <c r="HB517" s="1209" t="str">
        <f t="shared" si="801"/>
        <v/>
      </c>
      <c r="HC517" s="1209" t="str">
        <f t="shared" si="802"/>
        <v/>
      </c>
      <c r="HD517" s="1212"/>
      <c r="HE517" s="167"/>
      <c r="HF517" s="1218" t="str">
        <f t="shared" si="819"/>
        <v/>
      </c>
      <c r="HG517" s="123"/>
      <c r="HH517" s="1185"/>
      <c r="HI517" s="1214" t="str">
        <f t="shared" si="820"/>
        <v/>
      </c>
      <c r="HK517" s="1206"/>
      <c r="HL517" s="1215" t="str">
        <f t="shared" si="803"/>
        <v/>
      </c>
      <c r="HM517" s="1215" t="str">
        <f t="shared" si="804"/>
        <v/>
      </c>
      <c r="HN517" s="1215" t="str">
        <f t="shared" si="805"/>
        <v/>
      </c>
      <c r="HO517" s="1215" t="str">
        <f t="shared" si="806"/>
        <v/>
      </c>
      <c r="HP517" s="1215" t="str">
        <f t="shared" si="807"/>
        <v/>
      </c>
      <c r="HQ517" s="1215" t="str">
        <f t="shared" si="808"/>
        <v/>
      </c>
      <c r="HR517" s="1214" t="str">
        <f t="shared" si="809"/>
        <v/>
      </c>
      <c r="HS517" s="1185"/>
      <c r="HT517" s="1149" t="e">
        <f>LEFT(M517,1)*10000+MID(M517,3,LEN(M517)-3)*100+COUNTIF($M$307:M517,M517)</f>
        <v>#VALUE!</v>
      </c>
      <c r="HU517" s="1149" t="str">
        <f t="shared" si="725"/>
        <v/>
      </c>
      <c r="HV517" s="1149" t="str">
        <f t="shared" si="726"/>
        <v/>
      </c>
      <c r="HW517" s="1149" t="str">
        <f t="shared" si="727"/>
        <v/>
      </c>
      <c r="HX517" s="1149" t="str">
        <f t="shared" si="728"/>
        <v/>
      </c>
    </row>
    <row r="518" spans="1:232" s="69" customFormat="1" ht="50.15" customHeight="1">
      <c r="A518" s="645"/>
      <c r="B518" s="645"/>
      <c r="C518" s="645"/>
      <c r="D518" s="645"/>
      <c r="E518" s="646"/>
      <c r="F518" s="381"/>
      <c r="G518" s="381"/>
      <c r="H518" s="381"/>
      <c r="I518" s="123"/>
      <c r="J518" s="88"/>
      <c r="K518" s="89"/>
      <c r="L518" s="89"/>
      <c r="M518" s="2317"/>
      <c r="N518" s="2318"/>
      <c r="O518" s="2319"/>
      <c r="P518" s="2314" t="str">
        <f t="shared" si="810"/>
        <v/>
      </c>
      <c r="Q518" s="2315"/>
      <c r="R518" s="2315"/>
      <c r="S518" s="2315"/>
      <c r="T518" s="2315"/>
      <c r="U518" s="2315"/>
      <c r="V518" s="2315"/>
      <c r="W518" s="2315"/>
      <c r="X518" s="2315"/>
      <c r="Y518" s="2315"/>
      <c r="Z518" s="2315"/>
      <c r="AA518" s="2315"/>
      <c r="AB518" s="2315"/>
      <c r="AC518" s="2315"/>
      <c r="AD518" s="2315"/>
      <c r="AE518" s="2316"/>
      <c r="AF518" s="2134"/>
      <c r="AG518" s="2135"/>
      <c r="AH518" s="2135"/>
      <c r="AI518" s="2135"/>
      <c r="AJ518" s="2135"/>
      <c r="AK518" s="2135"/>
      <c r="AL518" s="2135"/>
      <c r="AM518" s="2135"/>
      <c r="AN518" s="2135"/>
      <c r="AO518" s="2135"/>
      <c r="AP518" s="2135"/>
      <c r="AQ518" s="2135"/>
      <c r="AR518" s="1957"/>
      <c r="AS518" s="1957"/>
      <c r="AT518" s="2138"/>
      <c r="AU518" s="2139"/>
      <c r="AV518" s="2139"/>
      <c r="AW518" s="2139"/>
      <c r="AX518" s="2139"/>
      <c r="AY518" s="2139"/>
      <c r="AZ518" s="2139"/>
      <c r="BA518" s="2139"/>
      <c r="BB518" s="2139"/>
      <c r="BC518" s="2139"/>
      <c r="BD518" s="2138"/>
      <c r="BE518" s="2139"/>
      <c r="BF518" s="2139"/>
      <c r="BG518" s="2139"/>
      <c r="BH518" s="2139"/>
      <c r="BI518" s="2139"/>
      <c r="BJ518" s="2139"/>
      <c r="BK518" s="2139"/>
      <c r="BL518" s="2139"/>
      <c r="BM518" s="2139"/>
      <c r="BN518" s="2139"/>
      <c r="BO518" s="2139"/>
      <c r="BP518" s="2139"/>
      <c r="BQ518" s="2139"/>
      <c r="BR518" s="2139"/>
      <c r="BS518" s="1957"/>
      <c r="BT518" s="2140"/>
      <c r="BU518" s="2140"/>
      <c r="BV518" s="1990"/>
      <c r="BW518" s="1990"/>
      <c r="BX518" s="1990"/>
      <c r="BY518" s="1990"/>
      <c r="BZ518" s="1990"/>
      <c r="CA518" s="1990"/>
      <c r="CB518" s="2048"/>
      <c r="CC518" s="1922"/>
      <c r="CD518" s="1922"/>
      <c r="CE518" s="1922"/>
      <c r="CF518" s="1922"/>
      <c r="CG518" s="1922"/>
      <c r="CH518" s="1922"/>
      <c r="CI518" s="1922"/>
      <c r="CJ518" s="1922"/>
      <c r="CK518" s="1922"/>
      <c r="CL518" s="1922"/>
      <c r="CM518" s="1922"/>
      <c r="CN518" s="1922"/>
      <c r="CO518" s="1922"/>
      <c r="CP518" s="1922"/>
      <c r="CQ518" s="1922"/>
      <c r="CR518" s="1922"/>
      <c r="CS518" s="1922"/>
      <c r="CT518" s="1922"/>
      <c r="CU518" s="2332"/>
      <c r="CV518" s="2360" t="str">
        <f t="shared" si="760"/>
        <v/>
      </c>
      <c r="CW518" s="2360"/>
      <c r="CX518" s="2360"/>
      <c r="CY518" s="2360"/>
      <c r="CZ518" s="2360"/>
      <c r="DA518" s="2360"/>
      <c r="DB518" s="120"/>
      <c r="DC518" s="600" t="str">
        <f t="shared" si="761"/>
        <v/>
      </c>
      <c r="DD518" s="381"/>
      <c r="DE518" s="34"/>
      <c r="DF518" s="34"/>
      <c r="DG518" s="34"/>
      <c r="DH518" s="34"/>
      <c r="DI518" s="34"/>
      <c r="DJ518" s="858" t="s">
        <v>5637</v>
      </c>
      <c r="DK518" s="1707" t="str">
        <f t="shared" si="811"/>
        <v/>
      </c>
      <c r="DL518" s="1692" t="str">
        <f t="shared" si="812"/>
        <v/>
      </c>
      <c r="DM518" s="1691">
        <f t="shared" si="821"/>
        <v>0</v>
      </c>
      <c r="DN518" s="111">
        <f t="shared" si="822"/>
        <v>0</v>
      </c>
      <c r="DO518" s="111">
        <f t="shared" si="823"/>
        <v>0</v>
      </c>
      <c r="DP518" s="474">
        <f t="shared" si="824"/>
        <v>0</v>
      </c>
      <c r="DQ518" s="123">
        <f t="shared" si="762"/>
        <v>0</v>
      </c>
      <c r="DR518" s="473" t="str">
        <f t="shared" si="763"/>
        <v/>
      </c>
      <c r="DS518" s="112">
        <f t="shared" si="764"/>
        <v>0</v>
      </c>
      <c r="DT518" s="118" t="str">
        <f t="shared" si="825"/>
        <v/>
      </c>
      <c r="DU518" s="151" t="str">
        <f t="shared" si="765"/>
        <v/>
      </c>
      <c r="DV518" s="151" t="str">
        <f>IF($DT518="要是正",MAX($DV$508:DV517)+1,"")</f>
        <v/>
      </c>
      <c r="DW518" s="32" t="str">
        <f t="shared" si="826"/>
        <v/>
      </c>
      <c r="DX518" s="119" t="str">
        <f t="shared" si="813"/>
        <v/>
      </c>
      <c r="DY518" s="33" t="str">
        <f t="shared" si="814"/>
        <v/>
      </c>
      <c r="DZ518" s="139" t="str">
        <f t="shared" si="766"/>
        <v/>
      </c>
      <c r="EA518" s="466" t="str">
        <f t="shared" si="767"/>
        <v/>
      </c>
      <c r="EB518" s="549" t="str">
        <f t="shared" si="768"/>
        <v/>
      </c>
      <c r="EC518" s="227" t="str">
        <f t="shared" si="769"/>
        <v>0</v>
      </c>
      <c r="ED518" s="148" t="str">
        <f t="shared" si="815"/>
        <v/>
      </c>
      <c r="EE518" s="227" t="str">
        <f t="shared" si="816"/>
        <v>0</v>
      </c>
      <c r="EF518" s="416" t="str">
        <f t="shared" si="771"/>
        <v/>
      </c>
      <c r="EG518" s="204" t="str">
        <f t="shared" si="772"/>
        <v/>
      </c>
      <c r="EH518" s="134" t="str">
        <f t="shared" si="773"/>
        <v>0</v>
      </c>
      <c r="EI518" s="148" t="str">
        <f t="shared" si="817"/>
        <v/>
      </c>
      <c r="EJ518" s="227" t="str">
        <f t="shared" si="818"/>
        <v>0</v>
      </c>
      <c r="EK518" s="416" t="str">
        <f t="shared" si="775"/>
        <v/>
      </c>
      <c r="EL518" s="452" t="e">
        <f t="shared" si="776"/>
        <v>#N/A</v>
      </c>
      <c r="EM518" s="151" t="e">
        <f t="shared" si="777"/>
        <v>#N/A</v>
      </c>
      <c r="EN518" s="453" t="e">
        <f t="shared" si="778"/>
        <v>#N/A</v>
      </c>
      <c r="FB518" s="1171"/>
      <c r="FC518" s="1171"/>
      <c r="FD518" s="1171"/>
      <c r="FE518" s="1171"/>
      <c r="FF518" s="1171"/>
      <c r="FG518" s="1171"/>
      <c r="FH518" s="1171"/>
      <c r="FI518" s="1171"/>
      <c r="FK518" s="597" t="str">
        <f t="shared" si="827"/>
        <v/>
      </c>
      <c r="FL518" s="597" t="str">
        <f t="shared" si="530"/>
        <v/>
      </c>
      <c r="FM518" s="597" t="str">
        <f t="shared" si="531"/>
        <v/>
      </c>
      <c r="FN518" s="597">
        <f t="shared" si="779"/>
        <v>0</v>
      </c>
      <c r="FO518" s="1163" t="str">
        <f t="shared" si="828"/>
        <v/>
      </c>
      <c r="FQ518" s="234" t="str">
        <f t="shared" si="780"/>
        <v/>
      </c>
      <c r="FR518" s="227" t="str">
        <f t="shared" si="781"/>
        <v>0</v>
      </c>
      <c r="FS518" s="148" t="str">
        <f t="shared" si="782"/>
        <v/>
      </c>
      <c r="FT518" s="227" t="str">
        <f t="shared" si="783"/>
        <v>0</v>
      </c>
      <c r="FU518" s="416" t="str">
        <f t="shared" si="784"/>
        <v/>
      </c>
      <c r="FW518" s="1160">
        <f t="shared" si="675"/>
        <v>0</v>
      </c>
      <c r="FX518" s="123"/>
      <c r="FY518" s="123"/>
      <c r="FZ518" s="1161"/>
      <c r="GA518" s="34"/>
      <c r="GB518" s="1208" t="b">
        <f t="shared" si="785"/>
        <v>1</v>
      </c>
      <c r="GC518" s="1209" t="b">
        <f t="shared" si="786"/>
        <v>0</v>
      </c>
      <c r="GD518" s="1209" t="b">
        <f t="shared" si="786"/>
        <v>0</v>
      </c>
      <c r="GE518" s="1209" t="b">
        <f t="shared" si="786"/>
        <v>0</v>
      </c>
      <c r="GF518" s="1209" t="b">
        <f t="shared" si="786"/>
        <v>0</v>
      </c>
      <c r="GG518" s="1209" t="b">
        <f t="shared" si="786"/>
        <v>0</v>
      </c>
      <c r="GH518" s="1209" t="b">
        <f t="shared" si="786"/>
        <v>0</v>
      </c>
      <c r="GI518" s="1209" t="b">
        <f t="shared" si="786"/>
        <v>0</v>
      </c>
      <c r="GJ518" s="1210" t="b">
        <f>IF(GB518,FALSE(),COUNTIF(プルダウン選択肢!$A$92:$A$228,$DQ518)&lt;&gt;1)</f>
        <v>0</v>
      </c>
      <c r="GL518" s="1199"/>
      <c r="GM518" s="1209">
        <f t="shared" si="787"/>
        <v>0</v>
      </c>
      <c r="GN518" s="1209">
        <f t="shared" si="788"/>
        <v>0</v>
      </c>
      <c r="GO518" s="1209">
        <f t="shared" si="789"/>
        <v>0</v>
      </c>
      <c r="GP518" s="1209">
        <f t="shared" si="790"/>
        <v>0</v>
      </c>
      <c r="GQ518" s="1209">
        <f t="shared" si="791"/>
        <v>0</v>
      </c>
      <c r="GR518" s="1209">
        <f t="shared" si="792"/>
        <v>0</v>
      </c>
      <c r="GS518" s="1209">
        <f t="shared" si="793"/>
        <v>0</v>
      </c>
      <c r="GT518" s="1211">
        <f t="shared" si="794"/>
        <v>0</v>
      </c>
      <c r="GU518" s="1212"/>
      <c r="GV518" s="1208" t="str">
        <f t="shared" si="795"/>
        <v/>
      </c>
      <c r="GW518" s="1209" t="str">
        <f t="shared" si="796"/>
        <v/>
      </c>
      <c r="GX518" s="1209" t="str">
        <f t="shared" si="797"/>
        <v/>
      </c>
      <c r="GY518" s="1209" t="str">
        <f t="shared" si="798"/>
        <v/>
      </c>
      <c r="GZ518" s="1209" t="str">
        <f t="shared" si="799"/>
        <v/>
      </c>
      <c r="HA518" s="1209" t="str">
        <f t="shared" si="800"/>
        <v/>
      </c>
      <c r="HB518" s="1209" t="str">
        <f t="shared" si="801"/>
        <v/>
      </c>
      <c r="HC518" s="1209" t="str">
        <f t="shared" si="802"/>
        <v/>
      </c>
      <c r="HD518" s="1212"/>
      <c r="HE518" s="167"/>
      <c r="HF518" s="1218" t="str">
        <f t="shared" si="819"/>
        <v/>
      </c>
      <c r="HG518" s="123"/>
      <c r="HH518" s="1185"/>
      <c r="HI518" s="1214" t="str">
        <f t="shared" si="820"/>
        <v/>
      </c>
      <c r="HK518" s="1206"/>
      <c r="HL518" s="1215" t="str">
        <f t="shared" si="803"/>
        <v/>
      </c>
      <c r="HM518" s="1215" t="str">
        <f t="shared" si="804"/>
        <v/>
      </c>
      <c r="HN518" s="1215" t="str">
        <f t="shared" si="805"/>
        <v/>
      </c>
      <c r="HO518" s="1215" t="str">
        <f t="shared" si="806"/>
        <v/>
      </c>
      <c r="HP518" s="1215" t="str">
        <f t="shared" si="807"/>
        <v/>
      </c>
      <c r="HQ518" s="1215" t="str">
        <f t="shared" si="808"/>
        <v/>
      </c>
      <c r="HR518" s="1214" t="str">
        <f t="shared" si="809"/>
        <v/>
      </c>
      <c r="HS518" s="1185"/>
      <c r="HT518" s="1149" t="e">
        <f>LEFT(M518,1)*10000+MID(M518,3,LEN(M518)-3)*100+COUNTIF($M$307:M518,M518)</f>
        <v>#VALUE!</v>
      </c>
      <c r="HU518" s="1149" t="str">
        <f t="shared" si="725"/>
        <v/>
      </c>
      <c r="HV518" s="1149" t="str">
        <f t="shared" si="726"/>
        <v/>
      </c>
      <c r="HW518" s="1149" t="str">
        <f t="shared" si="727"/>
        <v/>
      </c>
      <c r="HX518" s="1149" t="str">
        <f t="shared" si="728"/>
        <v/>
      </c>
    </row>
    <row r="519" spans="1:232" s="69" customFormat="1" ht="50.15" customHeight="1">
      <c r="A519" s="645"/>
      <c r="B519" s="645"/>
      <c r="C519" s="645"/>
      <c r="D519" s="645"/>
      <c r="E519" s="646"/>
      <c r="F519" s="381"/>
      <c r="G519" s="381"/>
      <c r="H519" s="381"/>
      <c r="I519" s="123"/>
      <c r="J519" s="88"/>
      <c r="K519" s="89"/>
      <c r="L519" s="89"/>
      <c r="M519" s="2317"/>
      <c r="N519" s="2318"/>
      <c r="O519" s="2319"/>
      <c r="P519" s="2314" t="str">
        <f t="shared" si="810"/>
        <v/>
      </c>
      <c r="Q519" s="2315"/>
      <c r="R519" s="2315"/>
      <c r="S519" s="2315"/>
      <c r="T519" s="2315"/>
      <c r="U519" s="2315"/>
      <c r="V519" s="2315"/>
      <c r="W519" s="2315"/>
      <c r="X519" s="2315"/>
      <c r="Y519" s="2315"/>
      <c r="Z519" s="2315"/>
      <c r="AA519" s="2315"/>
      <c r="AB519" s="2315"/>
      <c r="AC519" s="2315"/>
      <c r="AD519" s="2315"/>
      <c r="AE519" s="2316"/>
      <c r="AF519" s="2134"/>
      <c r="AG519" s="2135"/>
      <c r="AH519" s="2135"/>
      <c r="AI519" s="2135"/>
      <c r="AJ519" s="2135"/>
      <c r="AK519" s="2135"/>
      <c r="AL519" s="2135"/>
      <c r="AM519" s="2135"/>
      <c r="AN519" s="2135"/>
      <c r="AO519" s="2135"/>
      <c r="AP519" s="2135"/>
      <c r="AQ519" s="2135"/>
      <c r="AR519" s="1957"/>
      <c r="AS519" s="1957"/>
      <c r="AT519" s="2138"/>
      <c r="AU519" s="2139"/>
      <c r="AV519" s="2139"/>
      <c r="AW519" s="2139"/>
      <c r="AX519" s="2139"/>
      <c r="AY519" s="2139"/>
      <c r="AZ519" s="2139"/>
      <c r="BA519" s="2139"/>
      <c r="BB519" s="2139"/>
      <c r="BC519" s="2139"/>
      <c r="BD519" s="2138"/>
      <c r="BE519" s="2139"/>
      <c r="BF519" s="2139"/>
      <c r="BG519" s="2139"/>
      <c r="BH519" s="2139"/>
      <c r="BI519" s="2139"/>
      <c r="BJ519" s="2139"/>
      <c r="BK519" s="2139"/>
      <c r="BL519" s="2139"/>
      <c r="BM519" s="2139"/>
      <c r="BN519" s="2139"/>
      <c r="BO519" s="2139"/>
      <c r="BP519" s="2139"/>
      <c r="BQ519" s="2139"/>
      <c r="BR519" s="2139"/>
      <c r="BS519" s="1957"/>
      <c r="BT519" s="2140"/>
      <c r="BU519" s="2140"/>
      <c r="BV519" s="1990"/>
      <c r="BW519" s="1990"/>
      <c r="BX519" s="1990"/>
      <c r="BY519" s="1990"/>
      <c r="BZ519" s="1990"/>
      <c r="CA519" s="1990"/>
      <c r="CB519" s="2048"/>
      <c r="CC519" s="1922"/>
      <c r="CD519" s="1922"/>
      <c r="CE519" s="1922"/>
      <c r="CF519" s="1922"/>
      <c r="CG519" s="1922"/>
      <c r="CH519" s="1922"/>
      <c r="CI519" s="1922"/>
      <c r="CJ519" s="1922"/>
      <c r="CK519" s="1922"/>
      <c r="CL519" s="1922"/>
      <c r="CM519" s="1922"/>
      <c r="CN519" s="1922"/>
      <c r="CO519" s="1922"/>
      <c r="CP519" s="1922"/>
      <c r="CQ519" s="1922"/>
      <c r="CR519" s="1922"/>
      <c r="CS519" s="1922"/>
      <c r="CT519" s="1922"/>
      <c r="CU519" s="2332"/>
      <c r="CV519" s="2360" t="str">
        <f t="shared" si="760"/>
        <v/>
      </c>
      <c r="CW519" s="2360"/>
      <c r="CX519" s="2360"/>
      <c r="CY519" s="2360"/>
      <c r="CZ519" s="2360"/>
      <c r="DA519" s="2360"/>
      <c r="DB519" s="120"/>
      <c r="DC519" s="600" t="str">
        <f t="shared" si="761"/>
        <v/>
      </c>
      <c r="DD519" s="381"/>
      <c r="DE519" s="34"/>
      <c r="DF519" s="34"/>
      <c r="DG519" s="34"/>
      <c r="DH519" s="34"/>
      <c r="DI519" s="34"/>
      <c r="DJ519" s="858" t="s">
        <v>5637</v>
      </c>
      <c r="DK519" s="1707" t="str">
        <f t="shared" si="811"/>
        <v/>
      </c>
      <c r="DL519" s="1692" t="str">
        <f t="shared" si="812"/>
        <v/>
      </c>
      <c r="DM519" s="1691">
        <f t="shared" si="821"/>
        <v>0</v>
      </c>
      <c r="DN519" s="111">
        <f t="shared" si="822"/>
        <v>0</v>
      </c>
      <c r="DO519" s="111">
        <f t="shared" si="823"/>
        <v>0</v>
      </c>
      <c r="DP519" s="474">
        <f t="shared" si="824"/>
        <v>0</v>
      </c>
      <c r="DQ519" s="123">
        <f t="shared" si="762"/>
        <v>0</v>
      </c>
      <c r="DR519" s="473" t="str">
        <f t="shared" si="763"/>
        <v/>
      </c>
      <c r="DS519" s="112">
        <f t="shared" si="764"/>
        <v>0</v>
      </c>
      <c r="DT519" s="118" t="str">
        <f t="shared" si="825"/>
        <v/>
      </c>
      <c r="DU519" s="151" t="str">
        <f t="shared" si="765"/>
        <v/>
      </c>
      <c r="DV519" s="151" t="str">
        <f>IF($DT519="要是正",MAX($DV$508:DV518)+1,"")</f>
        <v/>
      </c>
      <c r="DW519" s="32" t="str">
        <f t="shared" si="826"/>
        <v/>
      </c>
      <c r="DX519" s="119" t="str">
        <f t="shared" si="813"/>
        <v/>
      </c>
      <c r="DY519" s="33" t="str">
        <f t="shared" si="814"/>
        <v/>
      </c>
      <c r="DZ519" s="139" t="str">
        <f t="shared" si="766"/>
        <v/>
      </c>
      <c r="EA519" s="466" t="str">
        <f t="shared" si="767"/>
        <v/>
      </c>
      <c r="EB519" s="549" t="str">
        <f t="shared" si="768"/>
        <v/>
      </c>
      <c r="EC519" s="227" t="str">
        <f t="shared" si="769"/>
        <v>0</v>
      </c>
      <c r="ED519" s="148" t="str">
        <f t="shared" si="815"/>
        <v/>
      </c>
      <c r="EE519" s="227" t="str">
        <f t="shared" si="816"/>
        <v>0</v>
      </c>
      <c r="EF519" s="416" t="str">
        <f t="shared" si="771"/>
        <v/>
      </c>
      <c r="EG519" s="204" t="str">
        <f t="shared" si="772"/>
        <v/>
      </c>
      <c r="EH519" s="134" t="str">
        <f t="shared" si="773"/>
        <v>0</v>
      </c>
      <c r="EI519" s="148" t="str">
        <f t="shared" si="817"/>
        <v/>
      </c>
      <c r="EJ519" s="227" t="str">
        <f t="shared" si="818"/>
        <v>0</v>
      </c>
      <c r="EK519" s="416" t="str">
        <f t="shared" si="775"/>
        <v/>
      </c>
      <c r="EL519" s="452" t="e">
        <f t="shared" si="776"/>
        <v>#N/A</v>
      </c>
      <c r="EM519" s="151" t="e">
        <f t="shared" si="777"/>
        <v>#N/A</v>
      </c>
      <c r="EN519" s="453" t="e">
        <f t="shared" si="778"/>
        <v>#N/A</v>
      </c>
      <c r="FB519" s="1171"/>
      <c r="FC519" s="1171"/>
      <c r="FD519" s="1171"/>
      <c r="FE519" s="1171"/>
      <c r="FF519" s="1171"/>
      <c r="FG519" s="1171"/>
      <c r="FH519" s="1171"/>
      <c r="FI519" s="1171"/>
      <c r="FK519" s="597" t="str">
        <f t="shared" si="827"/>
        <v/>
      </c>
      <c r="FL519" s="597" t="str">
        <f t="shared" si="530"/>
        <v/>
      </c>
      <c r="FM519" s="597" t="str">
        <f t="shared" si="531"/>
        <v/>
      </c>
      <c r="FN519" s="597">
        <f t="shared" si="779"/>
        <v>0</v>
      </c>
      <c r="FO519" s="1163" t="str">
        <f t="shared" si="828"/>
        <v/>
      </c>
      <c r="FQ519" s="234" t="str">
        <f t="shared" si="780"/>
        <v/>
      </c>
      <c r="FR519" s="227" t="str">
        <f t="shared" si="781"/>
        <v>0</v>
      </c>
      <c r="FS519" s="148" t="str">
        <f t="shared" si="782"/>
        <v/>
      </c>
      <c r="FT519" s="227" t="str">
        <f t="shared" si="783"/>
        <v>0</v>
      </c>
      <c r="FU519" s="416" t="str">
        <f t="shared" si="784"/>
        <v/>
      </c>
      <c r="FW519" s="1160">
        <f t="shared" si="675"/>
        <v>0</v>
      </c>
      <c r="FX519" s="123"/>
      <c r="FY519" s="123"/>
      <c r="FZ519" s="1161"/>
      <c r="GA519" s="34"/>
      <c r="GB519" s="1208" t="b">
        <f t="shared" si="785"/>
        <v>1</v>
      </c>
      <c r="GC519" s="1209" t="b">
        <f t="shared" si="786"/>
        <v>0</v>
      </c>
      <c r="GD519" s="1209" t="b">
        <f t="shared" si="786"/>
        <v>0</v>
      </c>
      <c r="GE519" s="1209" t="b">
        <f t="shared" si="786"/>
        <v>0</v>
      </c>
      <c r="GF519" s="1209" t="b">
        <f t="shared" si="786"/>
        <v>0</v>
      </c>
      <c r="GG519" s="1209" t="b">
        <f t="shared" si="786"/>
        <v>0</v>
      </c>
      <c r="GH519" s="1209" t="b">
        <f t="shared" si="786"/>
        <v>0</v>
      </c>
      <c r="GI519" s="1209" t="b">
        <f t="shared" si="786"/>
        <v>0</v>
      </c>
      <c r="GJ519" s="1210" t="b">
        <f>IF(GB519,FALSE(),COUNTIF(プルダウン選択肢!$A$92:$A$228,$DQ519)&lt;&gt;1)</f>
        <v>0</v>
      </c>
      <c r="GL519" s="1199"/>
      <c r="GM519" s="1209">
        <f t="shared" si="787"/>
        <v>0</v>
      </c>
      <c r="GN519" s="1209">
        <f t="shared" si="788"/>
        <v>0</v>
      </c>
      <c r="GO519" s="1209">
        <f t="shared" si="789"/>
        <v>0</v>
      </c>
      <c r="GP519" s="1209">
        <f t="shared" si="790"/>
        <v>0</v>
      </c>
      <c r="GQ519" s="1209">
        <f t="shared" si="791"/>
        <v>0</v>
      </c>
      <c r="GR519" s="1209">
        <f t="shared" si="792"/>
        <v>0</v>
      </c>
      <c r="GS519" s="1209">
        <f t="shared" si="793"/>
        <v>0</v>
      </c>
      <c r="GT519" s="1211">
        <f t="shared" si="794"/>
        <v>0</v>
      </c>
      <c r="GU519" s="1212"/>
      <c r="GV519" s="1208" t="str">
        <f t="shared" si="795"/>
        <v/>
      </c>
      <c r="GW519" s="1209" t="str">
        <f t="shared" si="796"/>
        <v/>
      </c>
      <c r="GX519" s="1209" t="str">
        <f t="shared" si="797"/>
        <v/>
      </c>
      <c r="GY519" s="1209" t="str">
        <f t="shared" si="798"/>
        <v/>
      </c>
      <c r="GZ519" s="1209" t="str">
        <f t="shared" si="799"/>
        <v/>
      </c>
      <c r="HA519" s="1209" t="str">
        <f t="shared" si="800"/>
        <v/>
      </c>
      <c r="HB519" s="1209" t="str">
        <f t="shared" si="801"/>
        <v/>
      </c>
      <c r="HC519" s="1209" t="str">
        <f t="shared" si="802"/>
        <v/>
      </c>
      <c r="HD519" s="1212"/>
      <c r="HE519" s="167"/>
      <c r="HF519" s="1218" t="str">
        <f t="shared" si="819"/>
        <v/>
      </c>
      <c r="HG519" s="123"/>
      <c r="HH519" s="1185"/>
      <c r="HI519" s="1214" t="str">
        <f t="shared" si="820"/>
        <v/>
      </c>
      <c r="HK519" s="1206"/>
      <c r="HL519" s="1215" t="str">
        <f t="shared" si="803"/>
        <v/>
      </c>
      <c r="HM519" s="1215" t="str">
        <f t="shared" si="804"/>
        <v/>
      </c>
      <c r="HN519" s="1215" t="str">
        <f t="shared" si="805"/>
        <v/>
      </c>
      <c r="HO519" s="1215" t="str">
        <f t="shared" si="806"/>
        <v/>
      </c>
      <c r="HP519" s="1215" t="str">
        <f t="shared" si="807"/>
        <v/>
      </c>
      <c r="HQ519" s="1215" t="str">
        <f t="shared" si="808"/>
        <v/>
      </c>
      <c r="HR519" s="1214" t="str">
        <f t="shared" si="809"/>
        <v/>
      </c>
      <c r="HS519" s="1185"/>
      <c r="HT519" s="1149" t="e">
        <f>LEFT(M519,1)*10000+MID(M519,3,LEN(M519)-3)*100+COUNTIF($M$307:M519,M519)</f>
        <v>#VALUE!</v>
      </c>
      <c r="HU519" s="1149" t="str">
        <f t="shared" si="725"/>
        <v/>
      </c>
      <c r="HV519" s="1149" t="str">
        <f t="shared" si="726"/>
        <v/>
      </c>
      <c r="HW519" s="1149" t="str">
        <f t="shared" si="727"/>
        <v/>
      </c>
      <c r="HX519" s="1149" t="str">
        <f t="shared" si="728"/>
        <v/>
      </c>
    </row>
    <row r="520" spans="1:232" s="69" customFormat="1" ht="50.15" customHeight="1">
      <c r="A520" s="645"/>
      <c r="B520" s="645"/>
      <c r="C520" s="645"/>
      <c r="D520" s="645"/>
      <c r="E520" s="646"/>
      <c r="F520" s="381"/>
      <c r="G520" s="381"/>
      <c r="H520" s="381"/>
      <c r="I520" s="123"/>
      <c r="J520" s="88"/>
      <c r="K520" s="89"/>
      <c r="L520" s="89"/>
      <c r="M520" s="2317"/>
      <c r="N520" s="2318"/>
      <c r="O520" s="2319"/>
      <c r="P520" s="2314" t="str">
        <f t="shared" si="810"/>
        <v/>
      </c>
      <c r="Q520" s="2315"/>
      <c r="R520" s="2315"/>
      <c r="S520" s="2315"/>
      <c r="T520" s="2315"/>
      <c r="U520" s="2315"/>
      <c r="V520" s="2315"/>
      <c r="W520" s="2315"/>
      <c r="X520" s="2315"/>
      <c r="Y520" s="2315"/>
      <c r="Z520" s="2315"/>
      <c r="AA520" s="2315"/>
      <c r="AB520" s="2315"/>
      <c r="AC520" s="2315"/>
      <c r="AD520" s="2315"/>
      <c r="AE520" s="2316"/>
      <c r="AF520" s="2134"/>
      <c r="AG520" s="2135"/>
      <c r="AH520" s="2135"/>
      <c r="AI520" s="2135"/>
      <c r="AJ520" s="2135"/>
      <c r="AK520" s="2135"/>
      <c r="AL520" s="2135"/>
      <c r="AM520" s="2135"/>
      <c r="AN520" s="2135"/>
      <c r="AO520" s="2135"/>
      <c r="AP520" s="2135"/>
      <c r="AQ520" s="2135"/>
      <c r="AR520" s="1957"/>
      <c r="AS520" s="1957"/>
      <c r="AT520" s="2138"/>
      <c r="AU520" s="2139"/>
      <c r="AV520" s="2139"/>
      <c r="AW520" s="2139"/>
      <c r="AX520" s="2139"/>
      <c r="AY520" s="2139"/>
      <c r="AZ520" s="2139"/>
      <c r="BA520" s="2139"/>
      <c r="BB520" s="2139"/>
      <c r="BC520" s="2139"/>
      <c r="BD520" s="2138"/>
      <c r="BE520" s="2139"/>
      <c r="BF520" s="2139"/>
      <c r="BG520" s="2139"/>
      <c r="BH520" s="2139"/>
      <c r="BI520" s="2139"/>
      <c r="BJ520" s="2139"/>
      <c r="BK520" s="2139"/>
      <c r="BL520" s="2139"/>
      <c r="BM520" s="2139"/>
      <c r="BN520" s="2139"/>
      <c r="BO520" s="2139"/>
      <c r="BP520" s="2139"/>
      <c r="BQ520" s="2139"/>
      <c r="BR520" s="2139"/>
      <c r="BS520" s="1957"/>
      <c r="BT520" s="2140"/>
      <c r="BU520" s="2140"/>
      <c r="BV520" s="1990"/>
      <c r="BW520" s="1990"/>
      <c r="BX520" s="1990"/>
      <c r="BY520" s="1990"/>
      <c r="BZ520" s="1990"/>
      <c r="CA520" s="1990"/>
      <c r="CB520" s="2048"/>
      <c r="CC520" s="1922"/>
      <c r="CD520" s="1922"/>
      <c r="CE520" s="1922"/>
      <c r="CF520" s="1922"/>
      <c r="CG520" s="1922"/>
      <c r="CH520" s="1922"/>
      <c r="CI520" s="1922"/>
      <c r="CJ520" s="1922"/>
      <c r="CK520" s="1922"/>
      <c r="CL520" s="1922"/>
      <c r="CM520" s="1922"/>
      <c r="CN520" s="1922"/>
      <c r="CO520" s="1922"/>
      <c r="CP520" s="1922"/>
      <c r="CQ520" s="1922"/>
      <c r="CR520" s="1922"/>
      <c r="CS520" s="1922"/>
      <c r="CT520" s="1922"/>
      <c r="CU520" s="2332"/>
      <c r="CV520" s="2360" t="str">
        <f t="shared" si="760"/>
        <v/>
      </c>
      <c r="CW520" s="2360"/>
      <c r="CX520" s="2360"/>
      <c r="CY520" s="2360"/>
      <c r="CZ520" s="2360"/>
      <c r="DA520" s="2360"/>
      <c r="DB520" s="120"/>
      <c r="DC520" s="600" t="str">
        <f t="shared" si="761"/>
        <v/>
      </c>
      <c r="DD520" s="381"/>
      <c r="DE520" s="34"/>
      <c r="DF520" s="34"/>
      <c r="DG520" s="34"/>
      <c r="DH520" s="34"/>
      <c r="DI520" s="34"/>
      <c r="DJ520" s="858" t="s">
        <v>5637</v>
      </c>
      <c r="DK520" s="1707" t="str">
        <f t="shared" si="811"/>
        <v/>
      </c>
      <c r="DL520" s="1692" t="str">
        <f t="shared" si="812"/>
        <v/>
      </c>
      <c r="DM520" s="1691">
        <f t="shared" si="821"/>
        <v>0</v>
      </c>
      <c r="DN520" s="111">
        <f t="shared" si="822"/>
        <v>0</v>
      </c>
      <c r="DO520" s="111">
        <f t="shared" si="823"/>
        <v>0</v>
      </c>
      <c r="DP520" s="474">
        <f t="shared" si="824"/>
        <v>0</v>
      </c>
      <c r="DQ520" s="123">
        <f t="shared" si="762"/>
        <v>0</v>
      </c>
      <c r="DR520" s="473" t="str">
        <f t="shared" si="763"/>
        <v/>
      </c>
      <c r="DS520" s="112">
        <f t="shared" si="764"/>
        <v>0</v>
      </c>
      <c r="DT520" s="118" t="str">
        <f t="shared" si="825"/>
        <v/>
      </c>
      <c r="DU520" s="151" t="str">
        <f t="shared" si="765"/>
        <v/>
      </c>
      <c r="DV520" s="151" t="str">
        <f>IF($DT520="要是正",MAX($DV$508:DV519)+1,"")</f>
        <v/>
      </c>
      <c r="DW520" s="32" t="str">
        <f t="shared" si="826"/>
        <v/>
      </c>
      <c r="DX520" s="119" t="str">
        <f t="shared" si="813"/>
        <v/>
      </c>
      <c r="DY520" s="33" t="str">
        <f t="shared" si="814"/>
        <v/>
      </c>
      <c r="DZ520" s="139" t="str">
        <f t="shared" si="766"/>
        <v/>
      </c>
      <c r="EA520" s="466" t="str">
        <f t="shared" si="767"/>
        <v/>
      </c>
      <c r="EB520" s="549" t="str">
        <f t="shared" si="768"/>
        <v/>
      </c>
      <c r="EC520" s="227" t="str">
        <f t="shared" si="769"/>
        <v>0</v>
      </c>
      <c r="ED520" s="148" t="str">
        <f t="shared" si="815"/>
        <v/>
      </c>
      <c r="EE520" s="227" t="str">
        <f t="shared" si="816"/>
        <v>0</v>
      </c>
      <c r="EF520" s="416" t="str">
        <f t="shared" si="771"/>
        <v/>
      </c>
      <c r="EG520" s="204" t="str">
        <f t="shared" si="772"/>
        <v/>
      </c>
      <c r="EH520" s="134" t="str">
        <f t="shared" si="773"/>
        <v>0</v>
      </c>
      <c r="EI520" s="148" t="str">
        <f t="shared" si="817"/>
        <v/>
      </c>
      <c r="EJ520" s="227" t="str">
        <f t="shared" si="818"/>
        <v>0</v>
      </c>
      <c r="EK520" s="416" t="str">
        <f t="shared" si="775"/>
        <v/>
      </c>
      <c r="EL520" s="452" t="e">
        <f t="shared" si="776"/>
        <v>#N/A</v>
      </c>
      <c r="EM520" s="151" t="e">
        <f t="shared" si="777"/>
        <v>#N/A</v>
      </c>
      <c r="EN520" s="453" t="e">
        <f t="shared" si="778"/>
        <v>#N/A</v>
      </c>
      <c r="FB520" s="1171"/>
      <c r="FC520" s="1171"/>
      <c r="FD520" s="1171"/>
      <c r="FE520" s="1171"/>
      <c r="FF520" s="1171"/>
      <c r="FG520" s="1171"/>
      <c r="FH520" s="1171"/>
      <c r="FI520" s="1171"/>
      <c r="FK520" s="597" t="str">
        <f t="shared" si="827"/>
        <v/>
      </c>
      <c r="FL520" s="597" t="str">
        <f t="shared" si="530"/>
        <v/>
      </c>
      <c r="FM520" s="597" t="str">
        <f t="shared" si="531"/>
        <v/>
      </c>
      <c r="FN520" s="597">
        <f t="shared" si="779"/>
        <v>0</v>
      </c>
      <c r="FO520" s="1163" t="str">
        <f t="shared" si="828"/>
        <v/>
      </c>
      <c r="FQ520" s="234" t="str">
        <f t="shared" si="780"/>
        <v/>
      </c>
      <c r="FR520" s="227" t="str">
        <f t="shared" si="781"/>
        <v>0</v>
      </c>
      <c r="FS520" s="148" t="str">
        <f t="shared" si="782"/>
        <v/>
      </c>
      <c r="FT520" s="227" t="str">
        <f t="shared" si="783"/>
        <v>0</v>
      </c>
      <c r="FU520" s="416" t="str">
        <f t="shared" si="784"/>
        <v/>
      </c>
      <c r="FW520" s="1160">
        <f t="shared" si="675"/>
        <v>0</v>
      </c>
      <c r="FX520" s="123"/>
      <c r="FY520" s="123"/>
      <c r="FZ520" s="1161"/>
      <c r="GA520" s="34"/>
      <c r="GB520" s="1208" t="b">
        <f t="shared" si="785"/>
        <v>1</v>
      </c>
      <c r="GC520" s="1209" t="b">
        <f t="shared" si="786"/>
        <v>0</v>
      </c>
      <c r="GD520" s="1209" t="b">
        <f t="shared" si="786"/>
        <v>0</v>
      </c>
      <c r="GE520" s="1209" t="b">
        <f t="shared" si="786"/>
        <v>0</v>
      </c>
      <c r="GF520" s="1209" t="b">
        <f t="shared" si="786"/>
        <v>0</v>
      </c>
      <c r="GG520" s="1209" t="b">
        <f t="shared" si="786"/>
        <v>0</v>
      </c>
      <c r="GH520" s="1209" t="b">
        <f t="shared" si="786"/>
        <v>0</v>
      </c>
      <c r="GI520" s="1209" t="b">
        <f t="shared" si="786"/>
        <v>0</v>
      </c>
      <c r="GJ520" s="1210" t="b">
        <f>IF(GB520,FALSE(),COUNTIF(プルダウン選択肢!$A$92:$A$228,$DQ520)&lt;&gt;1)</f>
        <v>0</v>
      </c>
      <c r="GL520" s="1199"/>
      <c r="GM520" s="1209">
        <f t="shared" si="787"/>
        <v>0</v>
      </c>
      <c r="GN520" s="1209">
        <f t="shared" si="788"/>
        <v>0</v>
      </c>
      <c r="GO520" s="1209">
        <f t="shared" si="789"/>
        <v>0</v>
      </c>
      <c r="GP520" s="1209">
        <f t="shared" si="790"/>
        <v>0</v>
      </c>
      <c r="GQ520" s="1209">
        <f t="shared" si="791"/>
        <v>0</v>
      </c>
      <c r="GR520" s="1209">
        <f t="shared" si="792"/>
        <v>0</v>
      </c>
      <c r="GS520" s="1209">
        <f t="shared" si="793"/>
        <v>0</v>
      </c>
      <c r="GT520" s="1211">
        <f t="shared" si="794"/>
        <v>0</v>
      </c>
      <c r="GU520" s="1212"/>
      <c r="GV520" s="1208" t="str">
        <f t="shared" si="795"/>
        <v/>
      </c>
      <c r="GW520" s="1209" t="str">
        <f t="shared" si="796"/>
        <v/>
      </c>
      <c r="GX520" s="1209" t="str">
        <f t="shared" si="797"/>
        <v/>
      </c>
      <c r="GY520" s="1209" t="str">
        <f t="shared" si="798"/>
        <v/>
      </c>
      <c r="GZ520" s="1209" t="str">
        <f t="shared" si="799"/>
        <v/>
      </c>
      <c r="HA520" s="1209" t="str">
        <f t="shared" si="800"/>
        <v/>
      </c>
      <c r="HB520" s="1209" t="str">
        <f t="shared" si="801"/>
        <v/>
      </c>
      <c r="HC520" s="1209" t="str">
        <f t="shared" si="802"/>
        <v/>
      </c>
      <c r="HD520" s="1212"/>
      <c r="HE520" s="167"/>
      <c r="HF520" s="1218" t="str">
        <f t="shared" si="819"/>
        <v/>
      </c>
      <c r="HG520" s="123"/>
      <c r="HH520" s="1185"/>
      <c r="HI520" s="1214" t="str">
        <f t="shared" si="820"/>
        <v/>
      </c>
      <c r="HK520" s="1206"/>
      <c r="HL520" s="1215" t="str">
        <f t="shared" si="803"/>
        <v/>
      </c>
      <c r="HM520" s="1215" t="str">
        <f t="shared" si="804"/>
        <v/>
      </c>
      <c r="HN520" s="1215" t="str">
        <f t="shared" si="805"/>
        <v/>
      </c>
      <c r="HO520" s="1215" t="str">
        <f t="shared" si="806"/>
        <v/>
      </c>
      <c r="HP520" s="1215" t="str">
        <f t="shared" si="807"/>
        <v/>
      </c>
      <c r="HQ520" s="1215" t="str">
        <f t="shared" si="808"/>
        <v/>
      </c>
      <c r="HR520" s="1214" t="str">
        <f t="shared" si="809"/>
        <v/>
      </c>
      <c r="HS520" s="1185"/>
      <c r="HT520" s="1149" t="e">
        <f>LEFT(M520,1)*10000+MID(M520,3,LEN(M520)-3)*100+COUNTIF($M$307:M520,M520)</f>
        <v>#VALUE!</v>
      </c>
      <c r="HU520" s="1149" t="str">
        <f t="shared" si="725"/>
        <v/>
      </c>
      <c r="HV520" s="1149" t="str">
        <f t="shared" si="726"/>
        <v/>
      </c>
      <c r="HW520" s="1149" t="str">
        <f t="shared" si="727"/>
        <v/>
      </c>
      <c r="HX520" s="1149" t="str">
        <f t="shared" si="728"/>
        <v/>
      </c>
    </row>
    <row r="521" spans="1:232" s="69" customFormat="1" ht="50.15" customHeight="1" thickBot="1">
      <c r="A521" s="645"/>
      <c r="B521" s="645"/>
      <c r="C521" s="645"/>
      <c r="D521" s="645"/>
      <c r="E521" s="646"/>
      <c r="F521" s="381"/>
      <c r="G521" s="381"/>
      <c r="H521" s="381"/>
      <c r="I521" s="123"/>
      <c r="J521" s="88"/>
      <c r="K521" s="89"/>
      <c r="L521" s="89"/>
      <c r="M521" s="2317"/>
      <c r="N521" s="2318"/>
      <c r="O521" s="2319"/>
      <c r="P521" s="2314" t="str">
        <f t="shared" si="810"/>
        <v/>
      </c>
      <c r="Q521" s="2315"/>
      <c r="R521" s="2315"/>
      <c r="S521" s="2315"/>
      <c r="T521" s="2315"/>
      <c r="U521" s="2315"/>
      <c r="V521" s="2315"/>
      <c r="W521" s="2315"/>
      <c r="X521" s="2315"/>
      <c r="Y521" s="2315"/>
      <c r="Z521" s="2315"/>
      <c r="AA521" s="2315"/>
      <c r="AB521" s="2315"/>
      <c r="AC521" s="2315"/>
      <c r="AD521" s="2315"/>
      <c r="AE521" s="2316"/>
      <c r="AF521" s="2134"/>
      <c r="AG521" s="2135"/>
      <c r="AH521" s="2135"/>
      <c r="AI521" s="2135"/>
      <c r="AJ521" s="2135"/>
      <c r="AK521" s="2135"/>
      <c r="AL521" s="2135"/>
      <c r="AM521" s="2135"/>
      <c r="AN521" s="2135"/>
      <c r="AO521" s="2135"/>
      <c r="AP521" s="2135"/>
      <c r="AQ521" s="2135"/>
      <c r="AR521" s="1957"/>
      <c r="AS521" s="1957"/>
      <c r="AT521" s="2138"/>
      <c r="AU521" s="2139"/>
      <c r="AV521" s="2139"/>
      <c r="AW521" s="2139"/>
      <c r="AX521" s="2139"/>
      <c r="AY521" s="2139"/>
      <c r="AZ521" s="2139"/>
      <c r="BA521" s="2139"/>
      <c r="BB521" s="2139"/>
      <c r="BC521" s="2139"/>
      <c r="BD521" s="2138"/>
      <c r="BE521" s="2139"/>
      <c r="BF521" s="2139"/>
      <c r="BG521" s="2139"/>
      <c r="BH521" s="2139"/>
      <c r="BI521" s="2139"/>
      <c r="BJ521" s="2139"/>
      <c r="BK521" s="2139"/>
      <c r="BL521" s="2139"/>
      <c r="BM521" s="2139"/>
      <c r="BN521" s="2139"/>
      <c r="BO521" s="2139"/>
      <c r="BP521" s="2139"/>
      <c r="BQ521" s="2139"/>
      <c r="BR521" s="2139"/>
      <c r="BS521" s="1957"/>
      <c r="BT521" s="2140"/>
      <c r="BU521" s="2140"/>
      <c r="BV521" s="1990"/>
      <c r="BW521" s="1990"/>
      <c r="BX521" s="1990"/>
      <c r="BY521" s="1990"/>
      <c r="BZ521" s="1990"/>
      <c r="CA521" s="1990"/>
      <c r="CB521" s="2048"/>
      <c r="CC521" s="1922"/>
      <c r="CD521" s="1922"/>
      <c r="CE521" s="1922"/>
      <c r="CF521" s="1922"/>
      <c r="CG521" s="1922"/>
      <c r="CH521" s="1922"/>
      <c r="CI521" s="1922"/>
      <c r="CJ521" s="1922"/>
      <c r="CK521" s="1922"/>
      <c r="CL521" s="1922"/>
      <c r="CM521" s="1922"/>
      <c r="CN521" s="1922"/>
      <c r="CO521" s="1922"/>
      <c r="CP521" s="1922"/>
      <c r="CQ521" s="1922"/>
      <c r="CR521" s="1922"/>
      <c r="CS521" s="1922"/>
      <c r="CT521" s="1922"/>
      <c r="CU521" s="2332"/>
      <c r="CV521" s="2360" t="s">
        <v>2636</v>
      </c>
      <c r="CW521" s="2360"/>
      <c r="CX521" s="2360"/>
      <c r="CY521" s="2360"/>
      <c r="CZ521" s="2360"/>
      <c r="DA521" s="2360"/>
      <c r="DB521" s="120"/>
      <c r="DC521" s="600" t="str">
        <f t="shared" si="761"/>
        <v/>
      </c>
      <c r="DD521" s="381"/>
      <c r="DE521" s="34"/>
      <c r="DF521" s="34"/>
      <c r="DG521" s="34"/>
      <c r="DH521" s="34"/>
      <c r="DI521" s="34"/>
      <c r="DJ521" s="858" t="s">
        <v>5637</v>
      </c>
      <c r="DK521" s="1707" t="str">
        <f t="shared" si="811"/>
        <v/>
      </c>
      <c r="DL521" s="1692" t="str">
        <f t="shared" si="812"/>
        <v/>
      </c>
      <c r="DM521" s="1694">
        <f t="shared" si="821"/>
        <v>0</v>
      </c>
      <c r="DN521" s="476">
        <f t="shared" si="822"/>
        <v>0</v>
      </c>
      <c r="DO521" s="476">
        <f t="shared" si="823"/>
        <v>0</v>
      </c>
      <c r="DP521" s="477">
        <f t="shared" si="824"/>
        <v>0</v>
      </c>
      <c r="DQ521" s="123">
        <f t="shared" si="762"/>
        <v>0</v>
      </c>
      <c r="DR521" s="475" t="str">
        <f t="shared" si="763"/>
        <v/>
      </c>
      <c r="DS521" s="221">
        <f t="shared" si="764"/>
        <v>0</v>
      </c>
      <c r="DT521" s="480" t="str">
        <f t="shared" si="825"/>
        <v/>
      </c>
      <c r="DU521" s="232" t="str">
        <f t="shared" si="765"/>
        <v/>
      </c>
      <c r="DV521" s="233" t="str">
        <f>IF($DT521="要是正",MAX($DV$508:DV520)+1,"")</f>
        <v/>
      </c>
      <c r="DW521" s="483" t="str">
        <f t="shared" si="826"/>
        <v/>
      </c>
      <c r="DX521" s="467" t="str">
        <f t="shared" si="813"/>
        <v/>
      </c>
      <c r="DY521" s="468" t="str">
        <f t="shared" si="814"/>
        <v/>
      </c>
      <c r="DZ521" s="554" t="str">
        <f t="shared" si="766"/>
        <v/>
      </c>
      <c r="EA521" s="466" t="str">
        <f t="shared" si="767"/>
        <v/>
      </c>
      <c r="EB521" s="550" t="str">
        <f t="shared" si="768"/>
        <v/>
      </c>
      <c r="EC521" s="460" t="str">
        <f t="shared" si="769"/>
        <v>0</v>
      </c>
      <c r="ED521" s="459" t="str">
        <f t="shared" si="815"/>
        <v/>
      </c>
      <c r="EE521" s="460" t="str">
        <f t="shared" si="816"/>
        <v>0</v>
      </c>
      <c r="EF521" s="461" t="str">
        <f t="shared" si="771"/>
        <v/>
      </c>
      <c r="EG521" s="457" t="str">
        <f t="shared" si="772"/>
        <v/>
      </c>
      <c r="EH521" s="458" t="str">
        <f t="shared" si="773"/>
        <v>0</v>
      </c>
      <c r="EI521" s="459" t="str">
        <f t="shared" si="817"/>
        <v/>
      </c>
      <c r="EJ521" s="460" t="str">
        <f t="shared" si="818"/>
        <v>0</v>
      </c>
      <c r="EK521" s="461" t="str">
        <f t="shared" si="775"/>
        <v/>
      </c>
      <c r="EL521" s="232" t="e">
        <f t="shared" si="776"/>
        <v>#N/A</v>
      </c>
      <c r="EM521" s="233" t="e">
        <f t="shared" si="777"/>
        <v>#N/A</v>
      </c>
      <c r="EN521" s="454" t="e">
        <f t="shared" si="778"/>
        <v>#N/A</v>
      </c>
      <c r="FB521" s="1171"/>
      <c r="FC521" s="1171"/>
      <c r="FD521" s="1171"/>
      <c r="FE521" s="1171"/>
      <c r="FF521" s="1171"/>
      <c r="FG521" s="1171"/>
      <c r="FH521" s="1171"/>
      <c r="FI521" s="1171"/>
      <c r="FK521" s="597" t="str">
        <f t="shared" si="827"/>
        <v/>
      </c>
      <c r="FL521" s="597" t="str">
        <f t="shared" si="530"/>
        <v/>
      </c>
      <c r="FM521" s="597" t="str">
        <f t="shared" si="531"/>
        <v/>
      </c>
      <c r="FN521" s="597">
        <f t="shared" si="779"/>
        <v>0</v>
      </c>
      <c r="FO521" s="1163" t="str">
        <f t="shared" si="828"/>
        <v/>
      </c>
      <c r="FQ521" s="234" t="str">
        <f t="shared" si="780"/>
        <v/>
      </c>
      <c r="FR521" s="227" t="str">
        <f t="shared" si="781"/>
        <v>0</v>
      </c>
      <c r="FS521" s="148" t="str">
        <f t="shared" si="782"/>
        <v/>
      </c>
      <c r="FT521" s="227" t="str">
        <f t="shared" si="783"/>
        <v>0</v>
      </c>
      <c r="FU521" s="416" t="str">
        <f t="shared" si="784"/>
        <v/>
      </c>
      <c r="FW521" s="1160">
        <f t="shared" si="675"/>
        <v>0</v>
      </c>
      <c r="FX521" s="123"/>
      <c r="FY521" s="123"/>
      <c r="FZ521" s="1161"/>
      <c r="GA521" s="34"/>
      <c r="GB521" s="1208" t="b">
        <f t="shared" si="785"/>
        <v>1</v>
      </c>
      <c r="GC521" s="1209" t="b">
        <f t="shared" si="786"/>
        <v>0</v>
      </c>
      <c r="GD521" s="1209" t="b">
        <f t="shared" si="786"/>
        <v>0</v>
      </c>
      <c r="GE521" s="1209" t="b">
        <f t="shared" si="786"/>
        <v>0</v>
      </c>
      <c r="GF521" s="1209" t="b">
        <f t="shared" si="786"/>
        <v>0</v>
      </c>
      <c r="GG521" s="1209" t="b">
        <f t="shared" si="786"/>
        <v>0</v>
      </c>
      <c r="GH521" s="1209" t="b">
        <f t="shared" si="786"/>
        <v>0</v>
      </c>
      <c r="GI521" s="1209" t="b">
        <f t="shared" si="786"/>
        <v>0</v>
      </c>
      <c r="GJ521" s="1210" t="b">
        <f>IF(GB521,FALSE(),COUNTIF(プルダウン選択肢!$A$92:$A$228,$DQ521)&lt;&gt;1)</f>
        <v>0</v>
      </c>
      <c r="GL521" s="1199"/>
      <c r="GM521" s="1209">
        <f t="shared" si="787"/>
        <v>0</v>
      </c>
      <c r="GN521" s="1209">
        <f t="shared" si="788"/>
        <v>0</v>
      </c>
      <c r="GO521" s="1209">
        <f t="shared" si="789"/>
        <v>0</v>
      </c>
      <c r="GP521" s="1209">
        <f t="shared" si="790"/>
        <v>0</v>
      </c>
      <c r="GQ521" s="1209">
        <f t="shared" si="791"/>
        <v>0</v>
      </c>
      <c r="GR521" s="1209">
        <f t="shared" si="792"/>
        <v>0</v>
      </c>
      <c r="GS521" s="1209">
        <f t="shared" si="793"/>
        <v>0</v>
      </c>
      <c r="GT521" s="1211">
        <f t="shared" si="794"/>
        <v>0</v>
      </c>
      <c r="GU521" s="1212"/>
      <c r="GV521" s="1208" t="str">
        <f t="shared" si="795"/>
        <v/>
      </c>
      <c r="GW521" s="1209" t="str">
        <f t="shared" si="796"/>
        <v/>
      </c>
      <c r="GX521" s="1209" t="str">
        <f t="shared" si="797"/>
        <v/>
      </c>
      <c r="GY521" s="1209" t="str">
        <f t="shared" si="798"/>
        <v/>
      </c>
      <c r="GZ521" s="1209" t="str">
        <f t="shared" si="799"/>
        <v/>
      </c>
      <c r="HA521" s="1209" t="str">
        <f t="shared" si="800"/>
        <v/>
      </c>
      <c r="HB521" s="1209" t="str">
        <f t="shared" si="801"/>
        <v/>
      </c>
      <c r="HC521" s="1209" t="str">
        <f t="shared" si="802"/>
        <v/>
      </c>
      <c r="HD521" s="1212"/>
      <c r="HE521" s="167"/>
      <c r="HF521" s="1218" t="str">
        <f t="shared" si="819"/>
        <v/>
      </c>
      <c r="HG521" s="123"/>
      <c r="HH521" s="1185"/>
      <c r="HI521" s="1214" t="str">
        <f t="shared" si="820"/>
        <v/>
      </c>
      <c r="HK521" s="1206"/>
      <c r="HL521" s="1215" t="str">
        <f t="shared" si="803"/>
        <v/>
      </c>
      <c r="HM521" s="1215" t="str">
        <f t="shared" si="804"/>
        <v/>
      </c>
      <c r="HN521" s="1215" t="str">
        <f t="shared" si="805"/>
        <v/>
      </c>
      <c r="HO521" s="1215" t="str">
        <f t="shared" si="806"/>
        <v/>
      </c>
      <c r="HP521" s="1215" t="str">
        <f t="shared" si="807"/>
        <v/>
      </c>
      <c r="HQ521" s="1215" t="str">
        <f t="shared" si="808"/>
        <v/>
      </c>
      <c r="HR521" s="1214" t="str">
        <f t="shared" si="809"/>
        <v/>
      </c>
      <c r="HS521" s="1185"/>
      <c r="HT521" s="1149" t="e">
        <f>LEFT(M521,1)*10000+MID(M521,3,LEN(M521)-3)*100+COUNTIF($M$307:M521,M521)</f>
        <v>#VALUE!</v>
      </c>
      <c r="HU521" s="1149" t="str">
        <f t="shared" si="725"/>
        <v/>
      </c>
      <c r="HV521" s="1149" t="str">
        <f t="shared" si="726"/>
        <v/>
      </c>
      <c r="HW521" s="1149" t="str">
        <f t="shared" si="727"/>
        <v/>
      </c>
      <c r="HX521" s="1149" t="str">
        <f t="shared" si="728"/>
        <v/>
      </c>
    </row>
    <row r="522" spans="1:232" s="69" customFormat="1" ht="50.15" customHeight="1" thickBot="1">
      <c r="A522" s="645"/>
      <c r="B522" s="645"/>
      <c r="C522" s="645"/>
      <c r="D522" s="645"/>
      <c r="E522" s="646"/>
      <c r="F522" s="381"/>
      <c r="G522" s="381"/>
      <c r="H522" s="381"/>
      <c r="I522" s="123"/>
      <c r="J522" s="88"/>
      <c r="K522" s="89"/>
      <c r="L522" s="89"/>
      <c r="M522" s="2317"/>
      <c r="N522" s="2318"/>
      <c r="O522" s="2319"/>
      <c r="P522" s="2314" t="str">
        <f t="shared" si="810"/>
        <v/>
      </c>
      <c r="Q522" s="2315"/>
      <c r="R522" s="2315"/>
      <c r="S522" s="2315"/>
      <c r="T522" s="2315"/>
      <c r="U522" s="2315"/>
      <c r="V522" s="2315"/>
      <c r="W522" s="2315"/>
      <c r="X522" s="2315"/>
      <c r="Y522" s="2315"/>
      <c r="Z522" s="2315"/>
      <c r="AA522" s="2315"/>
      <c r="AB522" s="2315"/>
      <c r="AC522" s="2315"/>
      <c r="AD522" s="2315"/>
      <c r="AE522" s="2316"/>
      <c r="AF522" s="2134"/>
      <c r="AG522" s="2135"/>
      <c r="AH522" s="2135"/>
      <c r="AI522" s="2135"/>
      <c r="AJ522" s="2135"/>
      <c r="AK522" s="2135"/>
      <c r="AL522" s="2135"/>
      <c r="AM522" s="2135"/>
      <c r="AN522" s="2135"/>
      <c r="AO522" s="2135"/>
      <c r="AP522" s="2135"/>
      <c r="AQ522" s="2135"/>
      <c r="AR522" s="1957"/>
      <c r="AS522" s="1957"/>
      <c r="AT522" s="2138"/>
      <c r="AU522" s="2139"/>
      <c r="AV522" s="2139"/>
      <c r="AW522" s="2139"/>
      <c r="AX522" s="2139"/>
      <c r="AY522" s="2139"/>
      <c r="AZ522" s="2139"/>
      <c r="BA522" s="2139"/>
      <c r="BB522" s="2139"/>
      <c r="BC522" s="2139"/>
      <c r="BD522" s="2138"/>
      <c r="BE522" s="2139"/>
      <c r="BF522" s="2139"/>
      <c r="BG522" s="2139"/>
      <c r="BH522" s="2139"/>
      <c r="BI522" s="2139"/>
      <c r="BJ522" s="2139"/>
      <c r="BK522" s="2139"/>
      <c r="BL522" s="2139"/>
      <c r="BM522" s="2139"/>
      <c r="BN522" s="2139"/>
      <c r="BO522" s="2139"/>
      <c r="BP522" s="2139"/>
      <c r="BQ522" s="2139"/>
      <c r="BR522" s="2139"/>
      <c r="BS522" s="1957"/>
      <c r="BT522" s="2140"/>
      <c r="BU522" s="2140"/>
      <c r="BV522" s="1990"/>
      <c r="BW522" s="1990"/>
      <c r="BX522" s="1990"/>
      <c r="BY522" s="1990"/>
      <c r="BZ522" s="1990"/>
      <c r="CA522" s="1990"/>
      <c r="CB522" s="2048"/>
      <c r="CC522" s="1922"/>
      <c r="CD522" s="1922"/>
      <c r="CE522" s="1922"/>
      <c r="CF522" s="1922"/>
      <c r="CG522" s="1922"/>
      <c r="CH522" s="1922"/>
      <c r="CI522" s="1922"/>
      <c r="CJ522" s="1922"/>
      <c r="CK522" s="1922"/>
      <c r="CL522" s="1922"/>
      <c r="CM522" s="1922"/>
      <c r="CN522" s="1922"/>
      <c r="CO522" s="1922"/>
      <c r="CP522" s="1922"/>
      <c r="CQ522" s="1922"/>
      <c r="CR522" s="1922"/>
      <c r="CS522" s="1922"/>
      <c r="CT522" s="1922"/>
      <c r="CU522" s="2332"/>
      <c r="CV522" s="2360" t="str">
        <f t="shared" ref="CV522:CV526" si="829">IF(AND(DT522="要是正",DU522&lt;21),HYPERLINK("#"&amp;EL522&amp;"!"&amp;EM522&amp;":"&amp;EN522&amp;"","関連写真添付"),"")</f>
        <v/>
      </c>
      <c r="CW522" s="2360"/>
      <c r="CX522" s="2360"/>
      <c r="CY522" s="2360"/>
      <c r="CZ522" s="2360"/>
      <c r="DA522" s="2360"/>
      <c r="DB522" s="120"/>
      <c r="DC522" s="600" t="str">
        <f t="shared" ref="DC522:DC526" si="830">IF(AND(DU522&lt;&gt;"",DU522&gt;20),"「別途様式を作成、提出してください。」","")</f>
        <v/>
      </c>
      <c r="DD522" s="381"/>
      <c r="DE522" s="34"/>
      <c r="DF522" s="34"/>
      <c r="DG522" s="34"/>
      <c r="DH522" s="34"/>
      <c r="DI522" s="34"/>
      <c r="DJ522" s="858" t="s">
        <v>5637</v>
      </c>
      <c r="DK522" s="1707" t="str">
        <f t="shared" si="811"/>
        <v/>
      </c>
      <c r="DL522" s="1692" t="str">
        <f t="shared" si="812"/>
        <v/>
      </c>
      <c r="DM522" s="1694">
        <f t="shared" si="821"/>
        <v>0</v>
      </c>
      <c r="DN522" s="476">
        <f t="shared" ref="DN522:DN526" si="831">COUNTIFS(AF522,"○指摘なし")</f>
        <v>0</v>
      </c>
      <c r="DO522" s="476">
        <f t="shared" ref="DO522:DO526" si="832">COUNTIFS(AF522,"×要是正（既存不適格以外）")</f>
        <v>0</v>
      </c>
      <c r="DP522" s="477">
        <f t="shared" ref="DP522:DP526" si="833">COUNTIFS(AF522,"△既存不適格")</f>
        <v>0</v>
      </c>
      <c r="DQ522" s="123">
        <f t="shared" ref="DQ522:DQ526" si="834">M522</f>
        <v>0</v>
      </c>
      <c r="DR522" s="475" t="str">
        <f t="shared" ref="DR522:DR526" si="835">P522</f>
        <v/>
      </c>
      <c r="DS522" s="221">
        <f t="shared" ref="DS522:DS526" si="836">COUNTA(BS522:BX522)</f>
        <v>0</v>
      </c>
      <c r="DT522" s="480" t="str">
        <f t="shared" ref="DT522:DT526" si="837">IF(AF522="×要是正（既存不適格以外）","要是正","")&amp;IF(AF522="△既存不適格","既存不適格","")</f>
        <v/>
      </c>
      <c r="DU522" s="232" t="str">
        <f t="shared" si="765"/>
        <v/>
      </c>
      <c r="DV522" s="233" t="str">
        <f>IF($DT522="要是正",MAX($DV$508:DV521)+1,"")</f>
        <v/>
      </c>
      <c r="DW522" s="483" t="str">
        <f t="shared" ref="DW522:DW526" si="838">IF(OR(AF522="×要是正（既存不適格以外）",AF522="△既存不適格"),DQ522,"")</f>
        <v/>
      </c>
      <c r="DX522" s="467" t="str">
        <f t="shared" si="813"/>
        <v/>
      </c>
      <c r="DY522" s="468" t="str">
        <f t="shared" ref="DY522:DY526" si="839">IF($DT522="要是正",IF(AT522="","",DQ522 &amp;" " &amp; AT522),"")</f>
        <v/>
      </c>
      <c r="DZ522" s="554" t="str">
        <f t="shared" ref="DZ522:DZ526" si="840">IF($DT522="要是正",IF(BD522="","",BD522),"")</f>
        <v/>
      </c>
      <c r="EA522" s="466" t="str">
        <f t="shared" si="767"/>
        <v/>
      </c>
      <c r="EB522" s="550" t="str">
        <f t="shared" si="768"/>
        <v/>
      </c>
      <c r="EC522" s="460" t="str">
        <f t="shared" si="769"/>
        <v>0</v>
      </c>
      <c r="ED522" s="459" t="str">
        <f t="shared" ref="ED522:ED526" si="841">IF(DT522="要是正",IF(AND(BY522="予定",DS522=2),1,IF(BY522="改善済",2,"")),"")</f>
        <v/>
      </c>
      <c r="EE522" s="460" t="str">
        <f t="shared" ref="EE522:EE526" si="842">IF(ED522=1,EC522,"0")</f>
        <v>0</v>
      </c>
      <c r="EF522" s="461" t="str">
        <f t="shared" ref="EF522:EF526" si="843">IF(AND(DT522="要是正",AND(DS522=0,BY522="未定")),BY522,"")</f>
        <v/>
      </c>
      <c r="EG522" s="457" t="str">
        <f t="shared" si="772"/>
        <v/>
      </c>
      <c r="EH522" s="458" t="str">
        <f t="shared" si="773"/>
        <v>0</v>
      </c>
      <c r="EI522" s="459" t="str">
        <f t="shared" ref="EI522:EI526" si="844">IF(DT522="既存不適格",IF(AND(BY522="予定",DS522=2),1,IF(BY522="改善済",2,"")),"")</f>
        <v/>
      </c>
      <c r="EJ522" s="460" t="str">
        <f t="shared" ref="EJ522:EJ526" si="845">IF(EI522=1,EH522,"0")</f>
        <v>0</v>
      </c>
      <c r="EK522" s="461" t="str">
        <f t="shared" ref="EK522:EK526" si="846">IF(AND(DT522="既存不適格",AND(DS522=0,BY522="未定")),BY522,"")</f>
        <v/>
      </c>
      <c r="EL522" s="232" t="e">
        <f t="shared" ref="EL522:EL526" si="847">VLOOKUP($DU522,$EO$306:$ER$334,2,FALSE)</f>
        <v>#N/A</v>
      </c>
      <c r="EM522" s="233" t="e">
        <f t="shared" ref="EM522:EM526" si="848">VLOOKUP($DU522,$EO$306:$ER$334,3,FALSE)</f>
        <v>#N/A</v>
      </c>
      <c r="EN522" s="454" t="e">
        <f t="shared" ref="EN522:EN526" si="849">VLOOKUP($DU522,$EO$306:$ER$334,4,FALSE)</f>
        <v>#N/A</v>
      </c>
      <c r="FB522" s="1171"/>
      <c r="FC522" s="1171"/>
      <c r="FD522" s="1171"/>
      <c r="FE522" s="1171"/>
      <c r="FF522" s="1171"/>
      <c r="FG522" s="1171"/>
      <c r="FH522" s="1171"/>
      <c r="FI522" s="1171"/>
      <c r="FK522" s="597" t="str">
        <f t="shared" si="827"/>
        <v/>
      </c>
      <c r="FL522" s="597" t="str">
        <f t="shared" si="530"/>
        <v/>
      </c>
      <c r="FM522" s="597" t="str">
        <f t="shared" si="531"/>
        <v/>
      </c>
      <c r="FN522" s="597">
        <f t="shared" ref="FN522:FN526" si="850">AR522</f>
        <v>0</v>
      </c>
      <c r="FO522" s="1163" t="str">
        <f t="shared" si="828"/>
        <v/>
      </c>
      <c r="FQ522" s="234" t="str">
        <f t="shared" si="780"/>
        <v/>
      </c>
      <c r="FR522" s="227" t="str">
        <f t="shared" si="781"/>
        <v>0</v>
      </c>
      <c r="FS522" s="148" t="str">
        <f t="shared" ref="FS522:FS526" si="851">IF(OR(BY522="予定",BY522="改善済"),1,"")</f>
        <v/>
      </c>
      <c r="FT522" s="227" t="str">
        <f t="shared" ref="FT522:FT526" si="852">IF(FS522=1,FR522,"0")</f>
        <v>0</v>
      </c>
      <c r="FU522" s="416" t="str">
        <f t="shared" ref="FU522:FU526" si="853">IF(AND(FM522="要是正",AND(FL522=0,DR522="未定")),DR522,"")</f>
        <v/>
      </c>
      <c r="FW522" s="1160">
        <f t="shared" ref="FW522:FW526" si="854">IF(AF522="△既存不適格",AT522&amp;"(既存不適格)",AT522)</f>
        <v>0</v>
      </c>
      <c r="FX522" s="123"/>
      <c r="FY522" s="123"/>
      <c r="FZ522" s="1161"/>
      <c r="GA522" s="34"/>
      <c r="GB522" s="1208" t="b">
        <f t="shared" si="785"/>
        <v>1</v>
      </c>
      <c r="GC522" s="1209" t="b">
        <f t="shared" si="786"/>
        <v>0</v>
      </c>
      <c r="GD522" s="1209" t="b">
        <f t="shared" si="786"/>
        <v>0</v>
      </c>
      <c r="GE522" s="1209" t="b">
        <f t="shared" si="786"/>
        <v>0</v>
      </c>
      <c r="GF522" s="1209" t="b">
        <f t="shared" si="786"/>
        <v>0</v>
      </c>
      <c r="GG522" s="1209" t="b">
        <f t="shared" si="786"/>
        <v>0</v>
      </c>
      <c r="GH522" s="1209" t="b">
        <f t="shared" si="786"/>
        <v>0</v>
      </c>
      <c r="GI522" s="1209" t="b">
        <f t="shared" si="786"/>
        <v>0</v>
      </c>
      <c r="GJ522" s="1210" t="b">
        <f>IF(GB522,FALSE(),COUNTIF(プルダウン選択肢!$A$92:$A$228,$DQ522)&lt;&gt;1)</f>
        <v>0</v>
      </c>
      <c r="GL522" s="1199"/>
      <c r="GM522" s="1209">
        <f t="shared" si="787"/>
        <v>0</v>
      </c>
      <c r="GN522" s="1209">
        <f t="shared" si="788"/>
        <v>0</v>
      </c>
      <c r="GO522" s="1209">
        <f t="shared" si="789"/>
        <v>0</v>
      </c>
      <c r="GP522" s="1209">
        <f t="shared" si="790"/>
        <v>0</v>
      </c>
      <c r="GQ522" s="1209">
        <f t="shared" si="791"/>
        <v>0</v>
      </c>
      <c r="GR522" s="1209">
        <f t="shared" si="792"/>
        <v>0</v>
      </c>
      <c r="GS522" s="1209">
        <f t="shared" si="793"/>
        <v>0</v>
      </c>
      <c r="GT522" s="1211">
        <f t="shared" si="794"/>
        <v>0</v>
      </c>
      <c r="GU522" s="1212"/>
      <c r="GV522" s="1208" t="str">
        <f t="shared" si="795"/>
        <v/>
      </c>
      <c r="GW522" s="1209" t="str">
        <f t="shared" si="796"/>
        <v/>
      </c>
      <c r="GX522" s="1209" t="str">
        <f t="shared" si="797"/>
        <v/>
      </c>
      <c r="GY522" s="1209" t="str">
        <f t="shared" si="798"/>
        <v/>
      </c>
      <c r="GZ522" s="1209" t="str">
        <f t="shared" si="799"/>
        <v/>
      </c>
      <c r="HA522" s="1209" t="str">
        <f t="shared" si="800"/>
        <v/>
      </c>
      <c r="HB522" s="1209" t="str">
        <f t="shared" si="801"/>
        <v/>
      </c>
      <c r="HC522" s="1209" t="str">
        <f t="shared" si="802"/>
        <v/>
      </c>
      <c r="HD522" s="1212"/>
      <c r="HE522" s="167"/>
      <c r="HF522" s="1218" t="str">
        <f t="shared" si="819"/>
        <v/>
      </c>
      <c r="HG522" s="123"/>
      <c r="HH522" s="1185"/>
      <c r="HI522" s="1214" t="str">
        <f t="shared" si="820"/>
        <v/>
      </c>
      <c r="HK522" s="1206"/>
      <c r="HL522" s="1215" t="str">
        <f t="shared" si="803"/>
        <v/>
      </c>
      <c r="HM522" s="1215" t="str">
        <f t="shared" si="804"/>
        <v/>
      </c>
      <c r="HN522" s="1215" t="str">
        <f t="shared" si="805"/>
        <v/>
      </c>
      <c r="HO522" s="1215" t="str">
        <f t="shared" si="806"/>
        <v/>
      </c>
      <c r="HP522" s="1215" t="str">
        <f t="shared" si="807"/>
        <v/>
      </c>
      <c r="HQ522" s="1215" t="str">
        <f t="shared" si="808"/>
        <v/>
      </c>
      <c r="HR522" s="1214" t="str">
        <f t="shared" si="809"/>
        <v/>
      </c>
      <c r="HS522" s="1185"/>
      <c r="HT522" s="1149" t="e">
        <f>LEFT(M522,1)*10000+MID(M522,3,LEN(M522)-3)*100+COUNTIF($M$307:M522,M522)</f>
        <v>#VALUE!</v>
      </c>
      <c r="HU522" s="1149" t="str">
        <f t="shared" si="725"/>
        <v/>
      </c>
      <c r="HV522" s="1149" t="str">
        <f t="shared" si="726"/>
        <v/>
      </c>
      <c r="HW522" s="1149" t="str">
        <f t="shared" si="727"/>
        <v/>
      </c>
      <c r="HX522" s="1149" t="str">
        <f t="shared" si="728"/>
        <v/>
      </c>
    </row>
    <row r="523" spans="1:232" s="69" customFormat="1" ht="50.15" customHeight="1" thickBot="1">
      <c r="A523" s="645"/>
      <c r="B523" s="645"/>
      <c r="C523" s="645"/>
      <c r="D523" s="645"/>
      <c r="E523" s="646"/>
      <c r="F523" s="381"/>
      <c r="G523" s="381"/>
      <c r="H523" s="381"/>
      <c r="I523" s="123"/>
      <c r="J523" s="88"/>
      <c r="K523" s="89"/>
      <c r="L523" s="89"/>
      <c r="M523" s="2317"/>
      <c r="N523" s="2318"/>
      <c r="O523" s="2319"/>
      <c r="P523" s="2314" t="str">
        <f t="shared" si="810"/>
        <v/>
      </c>
      <c r="Q523" s="2315"/>
      <c r="R523" s="2315"/>
      <c r="S523" s="2315"/>
      <c r="T523" s="2315"/>
      <c r="U523" s="2315"/>
      <c r="V523" s="2315"/>
      <c r="W523" s="2315"/>
      <c r="X523" s="2315"/>
      <c r="Y523" s="2315"/>
      <c r="Z523" s="2315"/>
      <c r="AA523" s="2315"/>
      <c r="AB523" s="2315"/>
      <c r="AC523" s="2315"/>
      <c r="AD523" s="2315"/>
      <c r="AE523" s="2316"/>
      <c r="AF523" s="2134"/>
      <c r="AG523" s="2135"/>
      <c r="AH523" s="2135"/>
      <c r="AI523" s="2135"/>
      <c r="AJ523" s="2135"/>
      <c r="AK523" s="2135"/>
      <c r="AL523" s="2135"/>
      <c r="AM523" s="2135"/>
      <c r="AN523" s="2135"/>
      <c r="AO523" s="2135"/>
      <c r="AP523" s="2135"/>
      <c r="AQ523" s="2135"/>
      <c r="AR523" s="1957"/>
      <c r="AS523" s="1957"/>
      <c r="AT523" s="2138"/>
      <c r="AU523" s="2139"/>
      <c r="AV523" s="2139"/>
      <c r="AW523" s="2139"/>
      <c r="AX523" s="2139"/>
      <c r="AY523" s="2139"/>
      <c r="AZ523" s="2139"/>
      <c r="BA523" s="2139"/>
      <c r="BB523" s="2139"/>
      <c r="BC523" s="2139"/>
      <c r="BD523" s="2138"/>
      <c r="BE523" s="2139"/>
      <c r="BF523" s="2139"/>
      <c r="BG523" s="2139"/>
      <c r="BH523" s="2139"/>
      <c r="BI523" s="2139"/>
      <c r="BJ523" s="2139"/>
      <c r="BK523" s="2139"/>
      <c r="BL523" s="2139"/>
      <c r="BM523" s="2139"/>
      <c r="BN523" s="2139"/>
      <c r="BO523" s="2139"/>
      <c r="BP523" s="2139"/>
      <c r="BQ523" s="2139"/>
      <c r="BR523" s="2139"/>
      <c r="BS523" s="1957"/>
      <c r="BT523" s="2140"/>
      <c r="BU523" s="2140"/>
      <c r="BV523" s="1990"/>
      <c r="BW523" s="1990"/>
      <c r="BX523" s="1990"/>
      <c r="BY523" s="1990"/>
      <c r="BZ523" s="1990"/>
      <c r="CA523" s="1990"/>
      <c r="CB523" s="2048"/>
      <c r="CC523" s="1922"/>
      <c r="CD523" s="1922"/>
      <c r="CE523" s="1922"/>
      <c r="CF523" s="1922"/>
      <c r="CG523" s="1922"/>
      <c r="CH523" s="1922"/>
      <c r="CI523" s="1922"/>
      <c r="CJ523" s="1922"/>
      <c r="CK523" s="1922"/>
      <c r="CL523" s="1922"/>
      <c r="CM523" s="1922"/>
      <c r="CN523" s="1922"/>
      <c r="CO523" s="1922"/>
      <c r="CP523" s="1922"/>
      <c r="CQ523" s="1922"/>
      <c r="CR523" s="1922"/>
      <c r="CS523" s="1922"/>
      <c r="CT523" s="1922"/>
      <c r="CU523" s="2332"/>
      <c r="CV523" s="2360" t="str">
        <f t="shared" si="829"/>
        <v/>
      </c>
      <c r="CW523" s="2360"/>
      <c r="CX523" s="2360"/>
      <c r="CY523" s="2360"/>
      <c r="CZ523" s="2360"/>
      <c r="DA523" s="2360"/>
      <c r="DB523" s="120"/>
      <c r="DC523" s="600" t="str">
        <f t="shared" si="830"/>
        <v/>
      </c>
      <c r="DD523" s="381"/>
      <c r="DE523" s="34"/>
      <c r="DF523" s="34"/>
      <c r="DG523" s="34"/>
      <c r="DH523" s="34"/>
      <c r="DI523" s="34"/>
      <c r="DJ523" s="858" t="s">
        <v>5637</v>
      </c>
      <c r="DK523" s="1707" t="str">
        <f t="shared" si="811"/>
        <v/>
      </c>
      <c r="DL523" s="1692" t="str">
        <f t="shared" si="812"/>
        <v/>
      </c>
      <c r="DM523" s="1694">
        <f t="shared" si="821"/>
        <v>0</v>
      </c>
      <c r="DN523" s="476">
        <f t="shared" si="831"/>
        <v>0</v>
      </c>
      <c r="DO523" s="476">
        <f t="shared" si="832"/>
        <v>0</v>
      </c>
      <c r="DP523" s="477">
        <f t="shared" si="833"/>
        <v>0</v>
      </c>
      <c r="DQ523" s="123">
        <f t="shared" si="834"/>
        <v>0</v>
      </c>
      <c r="DR523" s="475" t="str">
        <f t="shared" si="835"/>
        <v/>
      </c>
      <c r="DS523" s="221">
        <f t="shared" si="836"/>
        <v>0</v>
      </c>
      <c r="DT523" s="480" t="str">
        <f t="shared" si="837"/>
        <v/>
      </c>
      <c r="DU523" s="232" t="str">
        <f t="shared" si="765"/>
        <v/>
      </c>
      <c r="DV523" s="233" t="str">
        <f>IF($DT523="要是正",MAX($DV$508:DV522)+1,"")</f>
        <v/>
      </c>
      <c r="DW523" s="483" t="str">
        <f t="shared" si="838"/>
        <v/>
      </c>
      <c r="DX523" s="467" t="str">
        <f t="shared" si="813"/>
        <v/>
      </c>
      <c r="DY523" s="468" t="str">
        <f t="shared" si="839"/>
        <v/>
      </c>
      <c r="DZ523" s="554" t="str">
        <f t="shared" si="840"/>
        <v/>
      </c>
      <c r="EA523" s="466" t="str">
        <f t="shared" si="767"/>
        <v/>
      </c>
      <c r="EB523" s="550" t="str">
        <f t="shared" si="768"/>
        <v/>
      </c>
      <c r="EC523" s="460" t="str">
        <f t="shared" si="769"/>
        <v>0</v>
      </c>
      <c r="ED523" s="459" t="str">
        <f t="shared" si="841"/>
        <v/>
      </c>
      <c r="EE523" s="460" t="str">
        <f t="shared" si="842"/>
        <v>0</v>
      </c>
      <c r="EF523" s="461" t="str">
        <f t="shared" si="843"/>
        <v/>
      </c>
      <c r="EG523" s="457" t="str">
        <f t="shared" si="772"/>
        <v/>
      </c>
      <c r="EH523" s="458" t="str">
        <f t="shared" si="773"/>
        <v>0</v>
      </c>
      <c r="EI523" s="459" t="str">
        <f t="shared" si="844"/>
        <v/>
      </c>
      <c r="EJ523" s="460" t="str">
        <f t="shared" si="845"/>
        <v>0</v>
      </c>
      <c r="EK523" s="461" t="str">
        <f t="shared" si="846"/>
        <v/>
      </c>
      <c r="EL523" s="232" t="e">
        <f t="shared" si="847"/>
        <v>#N/A</v>
      </c>
      <c r="EM523" s="233" t="e">
        <f t="shared" si="848"/>
        <v>#N/A</v>
      </c>
      <c r="EN523" s="454" t="e">
        <f t="shared" si="849"/>
        <v>#N/A</v>
      </c>
      <c r="FB523" s="1171"/>
      <c r="FC523" s="1171"/>
      <c r="FD523" s="1171"/>
      <c r="FE523" s="1171"/>
      <c r="FF523" s="1171"/>
      <c r="FG523" s="1171"/>
      <c r="FH523" s="1171"/>
      <c r="FI523" s="1171"/>
      <c r="FK523" s="597" t="str">
        <f t="shared" si="827"/>
        <v/>
      </c>
      <c r="FL523" s="597" t="str">
        <f t="shared" si="530"/>
        <v/>
      </c>
      <c r="FM523" s="597" t="str">
        <f t="shared" si="531"/>
        <v/>
      </c>
      <c r="FN523" s="597">
        <f t="shared" si="850"/>
        <v>0</v>
      </c>
      <c r="FO523" s="1163" t="str">
        <f t="shared" si="828"/>
        <v/>
      </c>
      <c r="FQ523" s="234" t="str">
        <f t="shared" si="780"/>
        <v/>
      </c>
      <c r="FR523" s="227" t="str">
        <f t="shared" si="781"/>
        <v>0</v>
      </c>
      <c r="FS523" s="148" t="str">
        <f t="shared" si="851"/>
        <v/>
      </c>
      <c r="FT523" s="227" t="str">
        <f t="shared" si="852"/>
        <v>0</v>
      </c>
      <c r="FU523" s="416" t="str">
        <f t="shared" si="853"/>
        <v/>
      </c>
      <c r="FW523" s="1160">
        <f t="shared" si="854"/>
        <v>0</v>
      </c>
      <c r="FX523" s="123"/>
      <c r="FY523" s="123"/>
      <c r="FZ523" s="1161"/>
      <c r="GA523" s="34"/>
      <c r="GB523" s="1208" t="b">
        <f t="shared" si="785"/>
        <v>1</v>
      </c>
      <c r="GC523" s="1209" t="b">
        <f t="shared" si="786"/>
        <v>0</v>
      </c>
      <c r="GD523" s="1209" t="b">
        <f t="shared" si="786"/>
        <v>0</v>
      </c>
      <c r="GE523" s="1209" t="b">
        <f t="shared" si="786"/>
        <v>0</v>
      </c>
      <c r="GF523" s="1209" t="b">
        <f t="shared" si="786"/>
        <v>0</v>
      </c>
      <c r="GG523" s="1209" t="b">
        <f t="shared" si="786"/>
        <v>0</v>
      </c>
      <c r="GH523" s="1209" t="b">
        <f t="shared" si="786"/>
        <v>0</v>
      </c>
      <c r="GI523" s="1209" t="b">
        <f t="shared" si="786"/>
        <v>0</v>
      </c>
      <c r="GJ523" s="1210" t="b">
        <f>IF(GB523,FALSE(),COUNTIF(プルダウン選択肢!$A$92:$A$228,$DQ523)&lt;&gt;1)</f>
        <v>0</v>
      </c>
      <c r="GL523" s="1199"/>
      <c r="GM523" s="1209">
        <f t="shared" si="787"/>
        <v>0</v>
      </c>
      <c r="GN523" s="1209">
        <f t="shared" si="788"/>
        <v>0</v>
      </c>
      <c r="GO523" s="1209">
        <f t="shared" si="789"/>
        <v>0</v>
      </c>
      <c r="GP523" s="1209">
        <f t="shared" si="790"/>
        <v>0</v>
      </c>
      <c r="GQ523" s="1209">
        <f t="shared" si="791"/>
        <v>0</v>
      </c>
      <c r="GR523" s="1209">
        <f t="shared" si="792"/>
        <v>0</v>
      </c>
      <c r="GS523" s="1209">
        <f t="shared" si="793"/>
        <v>0</v>
      </c>
      <c r="GT523" s="1211">
        <f t="shared" si="794"/>
        <v>0</v>
      </c>
      <c r="GU523" s="1212"/>
      <c r="GV523" s="1208" t="str">
        <f t="shared" si="795"/>
        <v/>
      </c>
      <c r="GW523" s="1209" t="str">
        <f t="shared" si="796"/>
        <v/>
      </c>
      <c r="GX523" s="1209" t="str">
        <f t="shared" si="797"/>
        <v/>
      </c>
      <c r="GY523" s="1209" t="str">
        <f t="shared" si="798"/>
        <v/>
      </c>
      <c r="GZ523" s="1209" t="str">
        <f t="shared" si="799"/>
        <v/>
      </c>
      <c r="HA523" s="1209" t="str">
        <f t="shared" si="800"/>
        <v/>
      </c>
      <c r="HB523" s="1209" t="str">
        <f t="shared" si="801"/>
        <v/>
      </c>
      <c r="HC523" s="1209" t="str">
        <f t="shared" si="802"/>
        <v/>
      </c>
      <c r="HD523" s="1212"/>
      <c r="HE523" s="167"/>
      <c r="HF523" s="1218" t="str">
        <f t="shared" si="819"/>
        <v/>
      </c>
      <c r="HG523" s="123"/>
      <c r="HH523" s="1185"/>
      <c r="HI523" s="1214" t="str">
        <f t="shared" si="820"/>
        <v/>
      </c>
      <c r="HK523" s="1206"/>
      <c r="HL523" s="1215" t="str">
        <f t="shared" si="803"/>
        <v/>
      </c>
      <c r="HM523" s="1215" t="str">
        <f t="shared" si="804"/>
        <v/>
      </c>
      <c r="HN523" s="1215" t="str">
        <f t="shared" si="805"/>
        <v/>
      </c>
      <c r="HO523" s="1215" t="str">
        <f t="shared" si="806"/>
        <v/>
      </c>
      <c r="HP523" s="1215" t="str">
        <f t="shared" si="807"/>
        <v/>
      </c>
      <c r="HQ523" s="1215" t="str">
        <f t="shared" si="808"/>
        <v/>
      </c>
      <c r="HR523" s="1214" t="str">
        <f t="shared" si="809"/>
        <v/>
      </c>
      <c r="HS523" s="1185"/>
      <c r="HT523" s="1149" t="e">
        <f>LEFT(M523,1)*10000+MID(M523,3,LEN(M523)-3)*100+COUNTIF($M$307:M523,M523)</f>
        <v>#VALUE!</v>
      </c>
      <c r="HU523" s="1149" t="str">
        <f t="shared" si="725"/>
        <v/>
      </c>
      <c r="HV523" s="1149" t="str">
        <f t="shared" si="726"/>
        <v/>
      </c>
      <c r="HW523" s="1149" t="str">
        <f t="shared" si="727"/>
        <v/>
      </c>
      <c r="HX523" s="1149" t="str">
        <f t="shared" si="728"/>
        <v/>
      </c>
    </row>
    <row r="524" spans="1:232" s="69" customFormat="1" ht="50.15" customHeight="1" thickBot="1">
      <c r="A524" s="645"/>
      <c r="B524" s="645"/>
      <c r="C524" s="645"/>
      <c r="D524" s="645"/>
      <c r="E524" s="646"/>
      <c r="F524" s="381"/>
      <c r="G524" s="381"/>
      <c r="H524" s="381"/>
      <c r="I524" s="123"/>
      <c r="J524" s="88"/>
      <c r="K524" s="89"/>
      <c r="L524" s="89"/>
      <c r="M524" s="2317"/>
      <c r="N524" s="2318"/>
      <c r="O524" s="2319"/>
      <c r="P524" s="2314" t="str">
        <f t="shared" si="810"/>
        <v/>
      </c>
      <c r="Q524" s="2315"/>
      <c r="R524" s="2315"/>
      <c r="S524" s="2315"/>
      <c r="T524" s="2315"/>
      <c r="U524" s="2315"/>
      <c r="V524" s="2315"/>
      <c r="W524" s="2315"/>
      <c r="X524" s="2315"/>
      <c r="Y524" s="2315"/>
      <c r="Z524" s="2315"/>
      <c r="AA524" s="2315"/>
      <c r="AB524" s="2315"/>
      <c r="AC524" s="2315"/>
      <c r="AD524" s="2315"/>
      <c r="AE524" s="2316"/>
      <c r="AF524" s="2134"/>
      <c r="AG524" s="2135"/>
      <c r="AH524" s="2135"/>
      <c r="AI524" s="2135"/>
      <c r="AJ524" s="2135"/>
      <c r="AK524" s="2135"/>
      <c r="AL524" s="2135"/>
      <c r="AM524" s="2135"/>
      <c r="AN524" s="2135"/>
      <c r="AO524" s="2135"/>
      <c r="AP524" s="2135"/>
      <c r="AQ524" s="2135"/>
      <c r="AR524" s="1957"/>
      <c r="AS524" s="1957"/>
      <c r="AT524" s="2138"/>
      <c r="AU524" s="2139"/>
      <c r="AV524" s="2139"/>
      <c r="AW524" s="2139"/>
      <c r="AX524" s="2139"/>
      <c r="AY524" s="2139"/>
      <c r="AZ524" s="2139"/>
      <c r="BA524" s="2139"/>
      <c r="BB524" s="2139"/>
      <c r="BC524" s="2139"/>
      <c r="BD524" s="2138"/>
      <c r="BE524" s="2139"/>
      <c r="BF524" s="2139"/>
      <c r="BG524" s="2139"/>
      <c r="BH524" s="2139"/>
      <c r="BI524" s="2139"/>
      <c r="BJ524" s="2139"/>
      <c r="BK524" s="2139"/>
      <c r="BL524" s="2139"/>
      <c r="BM524" s="2139"/>
      <c r="BN524" s="2139"/>
      <c r="BO524" s="2139"/>
      <c r="BP524" s="2139"/>
      <c r="BQ524" s="2139"/>
      <c r="BR524" s="2139"/>
      <c r="BS524" s="1957"/>
      <c r="BT524" s="2140"/>
      <c r="BU524" s="2140"/>
      <c r="BV524" s="1990"/>
      <c r="BW524" s="1990"/>
      <c r="BX524" s="1990"/>
      <c r="BY524" s="1990"/>
      <c r="BZ524" s="1990"/>
      <c r="CA524" s="1990"/>
      <c r="CB524" s="2048"/>
      <c r="CC524" s="1922"/>
      <c r="CD524" s="1922"/>
      <c r="CE524" s="1922"/>
      <c r="CF524" s="1922"/>
      <c r="CG524" s="1922"/>
      <c r="CH524" s="1922"/>
      <c r="CI524" s="1922"/>
      <c r="CJ524" s="1922"/>
      <c r="CK524" s="1922"/>
      <c r="CL524" s="1922"/>
      <c r="CM524" s="1922"/>
      <c r="CN524" s="1922"/>
      <c r="CO524" s="1922"/>
      <c r="CP524" s="1922"/>
      <c r="CQ524" s="1922"/>
      <c r="CR524" s="1922"/>
      <c r="CS524" s="1922"/>
      <c r="CT524" s="1922"/>
      <c r="CU524" s="2332"/>
      <c r="CV524" s="2360" t="str">
        <f t="shared" si="829"/>
        <v/>
      </c>
      <c r="CW524" s="2360"/>
      <c r="CX524" s="2360"/>
      <c r="CY524" s="2360"/>
      <c r="CZ524" s="2360"/>
      <c r="DA524" s="2360"/>
      <c r="DB524" s="120"/>
      <c r="DC524" s="600" t="str">
        <f t="shared" si="830"/>
        <v/>
      </c>
      <c r="DD524" s="381"/>
      <c r="DE524" s="34"/>
      <c r="DF524" s="34"/>
      <c r="DG524" s="34"/>
      <c r="DH524" s="34"/>
      <c r="DI524" s="34"/>
      <c r="DJ524" s="858" t="s">
        <v>5637</v>
      </c>
      <c r="DK524" s="1707" t="str">
        <f t="shared" si="811"/>
        <v/>
      </c>
      <c r="DL524" s="1692" t="str">
        <f t="shared" si="812"/>
        <v/>
      </c>
      <c r="DM524" s="1694">
        <f t="shared" si="821"/>
        <v>0</v>
      </c>
      <c r="DN524" s="476">
        <f t="shared" si="831"/>
        <v>0</v>
      </c>
      <c r="DO524" s="476">
        <f t="shared" si="832"/>
        <v>0</v>
      </c>
      <c r="DP524" s="477">
        <f t="shared" si="833"/>
        <v>0</v>
      </c>
      <c r="DQ524" s="123">
        <f t="shared" si="834"/>
        <v>0</v>
      </c>
      <c r="DR524" s="475" t="str">
        <f t="shared" si="835"/>
        <v/>
      </c>
      <c r="DS524" s="221">
        <f t="shared" si="836"/>
        <v>0</v>
      </c>
      <c r="DT524" s="480" t="str">
        <f t="shared" si="837"/>
        <v/>
      </c>
      <c r="DU524" s="232" t="str">
        <f t="shared" si="765"/>
        <v/>
      </c>
      <c r="DV524" s="233" t="str">
        <f>IF($DT524="要是正",MAX($DV$508:DV523)+1,"")</f>
        <v/>
      </c>
      <c r="DW524" s="483" t="str">
        <f t="shared" si="838"/>
        <v/>
      </c>
      <c r="DX524" s="467" t="str">
        <f t="shared" si="813"/>
        <v/>
      </c>
      <c r="DY524" s="468" t="str">
        <f t="shared" si="839"/>
        <v/>
      </c>
      <c r="DZ524" s="554" t="str">
        <f t="shared" si="840"/>
        <v/>
      </c>
      <c r="EA524" s="466" t="str">
        <f t="shared" si="767"/>
        <v/>
      </c>
      <c r="EB524" s="550" t="str">
        <f t="shared" si="768"/>
        <v/>
      </c>
      <c r="EC524" s="460" t="str">
        <f t="shared" si="769"/>
        <v>0</v>
      </c>
      <c r="ED524" s="459" t="str">
        <f t="shared" si="841"/>
        <v/>
      </c>
      <c r="EE524" s="460" t="str">
        <f t="shared" si="842"/>
        <v>0</v>
      </c>
      <c r="EF524" s="461" t="str">
        <f t="shared" si="843"/>
        <v/>
      </c>
      <c r="EG524" s="457" t="str">
        <f t="shared" si="772"/>
        <v/>
      </c>
      <c r="EH524" s="458" t="str">
        <f t="shared" si="773"/>
        <v>0</v>
      </c>
      <c r="EI524" s="459" t="str">
        <f t="shared" si="844"/>
        <v/>
      </c>
      <c r="EJ524" s="460" t="str">
        <f t="shared" si="845"/>
        <v>0</v>
      </c>
      <c r="EK524" s="461" t="str">
        <f t="shared" si="846"/>
        <v/>
      </c>
      <c r="EL524" s="232" t="e">
        <f t="shared" si="847"/>
        <v>#N/A</v>
      </c>
      <c r="EM524" s="233" t="e">
        <f t="shared" si="848"/>
        <v>#N/A</v>
      </c>
      <c r="EN524" s="454" t="e">
        <f t="shared" si="849"/>
        <v>#N/A</v>
      </c>
      <c r="FB524" s="1171"/>
      <c r="FC524" s="1171"/>
      <c r="FD524" s="1171"/>
      <c r="FE524" s="1171"/>
      <c r="FF524" s="1171"/>
      <c r="FG524" s="1171"/>
      <c r="FH524" s="1171"/>
      <c r="FI524" s="1171"/>
      <c r="FK524" s="597" t="str">
        <f t="shared" si="827"/>
        <v/>
      </c>
      <c r="FL524" s="597" t="str">
        <f t="shared" si="530"/>
        <v/>
      </c>
      <c r="FM524" s="597" t="str">
        <f t="shared" si="531"/>
        <v/>
      </c>
      <c r="FN524" s="597">
        <f t="shared" si="850"/>
        <v>0</v>
      </c>
      <c r="FO524" s="1163" t="str">
        <f t="shared" si="828"/>
        <v/>
      </c>
      <c r="FQ524" s="234" t="str">
        <f t="shared" si="780"/>
        <v/>
      </c>
      <c r="FR524" s="227" t="str">
        <f t="shared" si="781"/>
        <v>0</v>
      </c>
      <c r="FS524" s="148" t="str">
        <f t="shared" si="851"/>
        <v/>
      </c>
      <c r="FT524" s="227" t="str">
        <f t="shared" si="852"/>
        <v>0</v>
      </c>
      <c r="FU524" s="416" t="str">
        <f t="shared" si="853"/>
        <v/>
      </c>
      <c r="FW524" s="1160">
        <f t="shared" si="854"/>
        <v>0</v>
      </c>
      <c r="FX524" s="123"/>
      <c r="FY524" s="123"/>
      <c r="FZ524" s="1161"/>
      <c r="GA524" s="34"/>
      <c r="GB524" s="1208" t="b">
        <f t="shared" si="785"/>
        <v>1</v>
      </c>
      <c r="GC524" s="1209" t="b">
        <f t="shared" si="786"/>
        <v>0</v>
      </c>
      <c r="GD524" s="1209" t="b">
        <f t="shared" si="786"/>
        <v>0</v>
      </c>
      <c r="GE524" s="1209" t="b">
        <f t="shared" si="786"/>
        <v>0</v>
      </c>
      <c r="GF524" s="1209" t="b">
        <f t="shared" si="786"/>
        <v>0</v>
      </c>
      <c r="GG524" s="1209" t="b">
        <f t="shared" si="786"/>
        <v>0</v>
      </c>
      <c r="GH524" s="1209" t="b">
        <f t="shared" si="786"/>
        <v>0</v>
      </c>
      <c r="GI524" s="1209" t="b">
        <f t="shared" si="786"/>
        <v>0</v>
      </c>
      <c r="GJ524" s="1210" t="b">
        <f>IF(GB524,FALSE(),COUNTIF(プルダウン選択肢!$A$92:$A$228,$DQ524)&lt;&gt;1)</f>
        <v>0</v>
      </c>
      <c r="GL524" s="1219"/>
      <c r="GM524" s="1209">
        <f t="shared" si="787"/>
        <v>0</v>
      </c>
      <c r="GN524" s="1209">
        <f t="shared" si="788"/>
        <v>0</v>
      </c>
      <c r="GO524" s="1209">
        <f t="shared" si="789"/>
        <v>0</v>
      </c>
      <c r="GP524" s="1209">
        <f t="shared" si="790"/>
        <v>0</v>
      </c>
      <c r="GQ524" s="1209">
        <f t="shared" si="791"/>
        <v>0</v>
      </c>
      <c r="GR524" s="1209">
        <f t="shared" si="792"/>
        <v>0</v>
      </c>
      <c r="GS524" s="1209">
        <f t="shared" si="793"/>
        <v>0</v>
      </c>
      <c r="GT524" s="1211">
        <f t="shared" si="794"/>
        <v>0</v>
      </c>
      <c r="GU524" s="1212"/>
      <c r="GV524" s="1208" t="str">
        <f t="shared" si="795"/>
        <v/>
      </c>
      <c r="GW524" s="1209" t="str">
        <f t="shared" si="796"/>
        <v/>
      </c>
      <c r="GX524" s="1209" t="str">
        <f t="shared" si="797"/>
        <v/>
      </c>
      <c r="GY524" s="1209" t="str">
        <f t="shared" si="798"/>
        <v/>
      </c>
      <c r="GZ524" s="1209" t="str">
        <f t="shared" si="799"/>
        <v/>
      </c>
      <c r="HA524" s="1209" t="str">
        <f t="shared" si="800"/>
        <v/>
      </c>
      <c r="HB524" s="1209" t="str">
        <f t="shared" si="801"/>
        <v/>
      </c>
      <c r="HC524" s="1209" t="str">
        <f t="shared" si="802"/>
        <v/>
      </c>
      <c r="HD524" s="1212"/>
      <c r="HE524" s="167"/>
      <c r="HF524" s="1218" t="str">
        <f t="shared" si="819"/>
        <v/>
      </c>
      <c r="HG524" s="123"/>
      <c r="HH524" s="1185"/>
      <c r="HI524" s="1214" t="str">
        <f t="shared" si="820"/>
        <v/>
      </c>
      <c r="HK524" s="1206"/>
      <c r="HL524" s="1215" t="str">
        <f t="shared" si="803"/>
        <v/>
      </c>
      <c r="HM524" s="1215" t="str">
        <f t="shared" si="804"/>
        <v/>
      </c>
      <c r="HN524" s="1215" t="str">
        <f t="shared" si="805"/>
        <v/>
      </c>
      <c r="HO524" s="1215" t="str">
        <f t="shared" si="806"/>
        <v/>
      </c>
      <c r="HP524" s="1215" t="str">
        <f t="shared" si="807"/>
        <v/>
      </c>
      <c r="HQ524" s="1215" t="str">
        <f t="shared" si="808"/>
        <v/>
      </c>
      <c r="HR524" s="1214" t="str">
        <f t="shared" si="809"/>
        <v/>
      </c>
      <c r="HS524" s="1185"/>
      <c r="HT524" s="1149" t="e">
        <f>LEFT(M524,1)*10000+MID(M524,3,LEN(M524)-3)*100+COUNTIF($M$307:M524,M524)</f>
        <v>#VALUE!</v>
      </c>
      <c r="HU524" s="1149" t="str">
        <f t="shared" si="725"/>
        <v/>
      </c>
      <c r="HV524" s="1149" t="str">
        <f t="shared" si="726"/>
        <v/>
      </c>
      <c r="HW524" s="1149" t="str">
        <f t="shared" si="727"/>
        <v/>
      </c>
      <c r="HX524" s="1149" t="str">
        <f t="shared" si="728"/>
        <v/>
      </c>
    </row>
    <row r="525" spans="1:232" s="69" customFormat="1" ht="50.15" customHeight="1" thickBot="1">
      <c r="A525" s="645"/>
      <c r="B525" s="645"/>
      <c r="C525" s="645"/>
      <c r="D525" s="645"/>
      <c r="E525" s="646"/>
      <c r="F525" s="381"/>
      <c r="G525" s="381"/>
      <c r="H525" s="381"/>
      <c r="I525" s="123"/>
      <c r="J525" s="88"/>
      <c r="K525" s="89"/>
      <c r="L525" s="89"/>
      <c r="M525" s="2317"/>
      <c r="N525" s="2318"/>
      <c r="O525" s="2319"/>
      <c r="P525" s="2314" t="str">
        <f t="shared" si="810"/>
        <v/>
      </c>
      <c r="Q525" s="2315"/>
      <c r="R525" s="2315"/>
      <c r="S525" s="2315"/>
      <c r="T525" s="2315"/>
      <c r="U525" s="2315"/>
      <c r="V525" s="2315"/>
      <c r="W525" s="2315"/>
      <c r="X525" s="2315"/>
      <c r="Y525" s="2315"/>
      <c r="Z525" s="2315"/>
      <c r="AA525" s="2315"/>
      <c r="AB525" s="2315"/>
      <c r="AC525" s="2315"/>
      <c r="AD525" s="2315"/>
      <c r="AE525" s="2316"/>
      <c r="AF525" s="2134"/>
      <c r="AG525" s="2135"/>
      <c r="AH525" s="2135"/>
      <c r="AI525" s="2135"/>
      <c r="AJ525" s="2135"/>
      <c r="AK525" s="2135"/>
      <c r="AL525" s="2135"/>
      <c r="AM525" s="2135"/>
      <c r="AN525" s="2135"/>
      <c r="AO525" s="2135"/>
      <c r="AP525" s="2135"/>
      <c r="AQ525" s="2135"/>
      <c r="AR525" s="1957"/>
      <c r="AS525" s="1957"/>
      <c r="AT525" s="2138"/>
      <c r="AU525" s="2139"/>
      <c r="AV525" s="2139"/>
      <c r="AW525" s="2139"/>
      <c r="AX525" s="2139"/>
      <c r="AY525" s="2139"/>
      <c r="AZ525" s="2139"/>
      <c r="BA525" s="2139"/>
      <c r="BB525" s="2139"/>
      <c r="BC525" s="2139"/>
      <c r="BD525" s="2138"/>
      <c r="BE525" s="2139"/>
      <c r="BF525" s="2139"/>
      <c r="BG525" s="2139"/>
      <c r="BH525" s="2139"/>
      <c r="BI525" s="2139"/>
      <c r="BJ525" s="2139"/>
      <c r="BK525" s="2139"/>
      <c r="BL525" s="2139"/>
      <c r="BM525" s="2139"/>
      <c r="BN525" s="2139"/>
      <c r="BO525" s="2139"/>
      <c r="BP525" s="2139"/>
      <c r="BQ525" s="2139"/>
      <c r="BR525" s="2139"/>
      <c r="BS525" s="1957"/>
      <c r="BT525" s="2140"/>
      <c r="BU525" s="2140"/>
      <c r="BV525" s="1990"/>
      <c r="BW525" s="1990"/>
      <c r="BX525" s="1990"/>
      <c r="BY525" s="1990"/>
      <c r="BZ525" s="1990"/>
      <c r="CA525" s="1990"/>
      <c r="CB525" s="2048"/>
      <c r="CC525" s="1922"/>
      <c r="CD525" s="1922"/>
      <c r="CE525" s="1922"/>
      <c r="CF525" s="1922"/>
      <c r="CG525" s="1922"/>
      <c r="CH525" s="1922"/>
      <c r="CI525" s="1922"/>
      <c r="CJ525" s="1922"/>
      <c r="CK525" s="1922"/>
      <c r="CL525" s="1922"/>
      <c r="CM525" s="1922"/>
      <c r="CN525" s="1922"/>
      <c r="CO525" s="1922"/>
      <c r="CP525" s="1922"/>
      <c r="CQ525" s="1922"/>
      <c r="CR525" s="1922"/>
      <c r="CS525" s="1922"/>
      <c r="CT525" s="1922"/>
      <c r="CU525" s="2332"/>
      <c r="CV525" s="2360" t="str">
        <f t="shared" si="829"/>
        <v/>
      </c>
      <c r="CW525" s="2360"/>
      <c r="CX525" s="2360"/>
      <c r="CY525" s="2360"/>
      <c r="CZ525" s="2360"/>
      <c r="DA525" s="2360"/>
      <c r="DB525" s="120"/>
      <c r="DC525" s="600" t="str">
        <f t="shared" si="830"/>
        <v/>
      </c>
      <c r="DD525" s="381"/>
      <c r="DE525" s="34"/>
      <c r="DF525" s="34"/>
      <c r="DG525" s="34"/>
      <c r="DH525" s="34"/>
      <c r="DI525" s="34"/>
      <c r="DJ525" s="858" t="s">
        <v>5637</v>
      </c>
      <c r="DK525" s="1707" t="str">
        <f t="shared" si="811"/>
        <v/>
      </c>
      <c r="DL525" s="1692" t="str">
        <f t="shared" si="812"/>
        <v/>
      </c>
      <c r="DM525" s="1694">
        <f t="shared" si="821"/>
        <v>0</v>
      </c>
      <c r="DN525" s="476">
        <f t="shared" si="831"/>
        <v>0</v>
      </c>
      <c r="DO525" s="476">
        <f t="shared" si="832"/>
        <v>0</v>
      </c>
      <c r="DP525" s="477">
        <f t="shared" si="833"/>
        <v>0</v>
      </c>
      <c r="DQ525" s="123">
        <f t="shared" si="834"/>
        <v>0</v>
      </c>
      <c r="DR525" s="475" t="str">
        <f t="shared" si="835"/>
        <v/>
      </c>
      <c r="DS525" s="221">
        <f t="shared" si="836"/>
        <v>0</v>
      </c>
      <c r="DT525" s="480" t="str">
        <f t="shared" si="837"/>
        <v/>
      </c>
      <c r="DU525" s="232" t="str">
        <f t="shared" si="765"/>
        <v/>
      </c>
      <c r="DV525" s="233" t="str">
        <f>IF($DT525="要是正",MAX($DV$508:DV524)+1,"")</f>
        <v/>
      </c>
      <c r="DW525" s="483" t="str">
        <f t="shared" si="838"/>
        <v/>
      </c>
      <c r="DX525" s="467" t="str">
        <f t="shared" si="813"/>
        <v/>
      </c>
      <c r="DY525" s="468" t="str">
        <f t="shared" si="839"/>
        <v/>
      </c>
      <c r="DZ525" s="554" t="str">
        <f t="shared" si="840"/>
        <v/>
      </c>
      <c r="EA525" s="466" t="str">
        <f t="shared" si="767"/>
        <v/>
      </c>
      <c r="EB525" s="550" t="str">
        <f t="shared" si="768"/>
        <v/>
      </c>
      <c r="EC525" s="460" t="str">
        <f t="shared" si="769"/>
        <v>0</v>
      </c>
      <c r="ED525" s="459" t="str">
        <f t="shared" si="841"/>
        <v/>
      </c>
      <c r="EE525" s="460" t="str">
        <f t="shared" si="842"/>
        <v>0</v>
      </c>
      <c r="EF525" s="461" t="str">
        <f t="shared" si="843"/>
        <v/>
      </c>
      <c r="EG525" s="457" t="str">
        <f t="shared" si="772"/>
        <v/>
      </c>
      <c r="EH525" s="458" t="str">
        <f t="shared" si="773"/>
        <v>0</v>
      </c>
      <c r="EI525" s="459" t="str">
        <f t="shared" si="844"/>
        <v/>
      </c>
      <c r="EJ525" s="460" t="str">
        <f t="shared" si="845"/>
        <v>0</v>
      </c>
      <c r="EK525" s="461" t="str">
        <f t="shared" si="846"/>
        <v/>
      </c>
      <c r="EL525" s="232" t="e">
        <f t="shared" si="847"/>
        <v>#N/A</v>
      </c>
      <c r="EM525" s="233" t="e">
        <f t="shared" si="848"/>
        <v>#N/A</v>
      </c>
      <c r="EN525" s="454" t="e">
        <f t="shared" si="849"/>
        <v>#N/A</v>
      </c>
      <c r="FB525" s="1171"/>
      <c r="FC525" s="1171"/>
      <c r="FD525" s="1171"/>
      <c r="FE525" s="1171"/>
      <c r="FF525" s="1171"/>
      <c r="FG525" s="1171"/>
      <c r="FH525" s="1171"/>
      <c r="FI525" s="1171"/>
      <c r="FK525" s="597" t="str">
        <f t="shared" si="827"/>
        <v/>
      </c>
      <c r="FL525" s="597" t="str">
        <f t="shared" si="530"/>
        <v/>
      </c>
      <c r="FM525" s="597" t="str">
        <f t="shared" si="531"/>
        <v/>
      </c>
      <c r="FN525" s="597">
        <f t="shared" si="850"/>
        <v>0</v>
      </c>
      <c r="FO525" s="1163" t="str">
        <f t="shared" si="828"/>
        <v/>
      </c>
      <c r="FQ525" s="234" t="str">
        <f t="shared" si="780"/>
        <v/>
      </c>
      <c r="FR525" s="227" t="str">
        <f t="shared" si="781"/>
        <v>0</v>
      </c>
      <c r="FS525" s="148" t="str">
        <f t="shared" si="851"/>
        <v/>
      </c>
      <c r="FT525" s="227" t="str">
        <f t="shared" si="852"/>
        <v>0</v>
      </c>
      <c r="FU525" s="416" t="str">
        <f t="shared" si="853"/>
        <v/>
      </c>
      <c r="FW525" s="1160">
        <f t="shared" si="854"/>
        <v>0</v>
      </c>
      <c r="FX525" s="123"/>
      <c r="FY525" s="123"/>
      <c r="FZ525" s="1161"/>
      <c r="GA525" s="34"/>
      <c r="GB525" s="1208" t="b">
        <f t="shared" si="785"/>
        <v>1</v>
      </c>
      <c r="GC525" s="1209" t="b">
        <f t="shared" si="786"/>
        <v>0</v>
      </c>
      <c r="GD525" s="1209" t="b">
        <f t="shared" si="786"/>
        <v>0</v>
      </c>
      <c r="GE525" s="1209" t="b">
        <f t="shared" si="786"/>
        <v>0</v>
      </c>
      <c r="GF525" s="1209" t="b">
        <f t="shared" si="786"/>
        <v>0</v>
      </c>
      <c r="GG525" s="1209" t="b">
        <f t="shared" si="786"/>
        <v>0</v>
      </c>
      <c r="GH525" s="1209" t="b">
        <f t="shared" si="786"/>
        <v>0</v>
      </c>
      <c r="GI525" s="1209" t="b">
        <f t="shared" si="786"/>
        <v>0</v>
      </c>
      <c r="GJ525" s="1210" t="b">
        <f>IF(GB525,FALSE(),COUNTIF(プルダウン選択肢!$A$92:$A$228,$DQ525)&lt;&gt;1)</f>
        <v>0</v>
      </c>
      <c r="GL525" s="1219"/>
      <c r="GM525" s="1209">
        <f t="shared" si="787"/>
        <v>0</v>
      </c>
      <c r="GN525" s="1209">
        <f t="shared" si="788"/>
        <v>0</v>
      </c>
      <c r="GO525" s="1209">
        <f t="shared" si="789"/>
        <v>0</v>
      </c>
      <c r="GP525" s="1209">
        <f t="shared" si="790"/>
        <v>0</v>
      </c>
      <c r="GQ525" s="1209">
        <f t="shared" si="791"/>
        <v>0</v>
      </c>
      <c r="GR525" s="1209">
        <f t="shared" si="792"/>
        <v>0</v>
      </c>
      <c r="GS525" s="1209">
        <f t="shared" si="793"/>
        <v>0</v>
      </c>
      <c r="GT525" s="1211">
        <f t="shared" si="794"/>
        <v>0</v>
      </c>
      <c r="GU525" s="1212"/>
      <c r="GV525" s="1208" t="str">
        <f t="shared" si="795"/>
        <v/>
      </c>
      <c r="GW525" s="1209" t="str">
        <f t="shared" si="796"/>
        <v/>
      </c>
      <c r="GX525" s="1209" t="str">
        <f t="shared" si="797"/>
        <v/>
      </c>
      <c r="GY525" s="1209" t="str">
        <f t="shared" si="798"/>
        <v/>
      </c>
      <c r="GZ525" s="1209" t="str">
        <f t="shared" si="799"/>
        <v/>
      </c>
      <c r="HA525" s="1209" t="str">
        <f t="shared" si="800"/>
        <v/>
      </c>
      <c r="HB525" s="1209" t="str">
        <f t="shared" si="801"/>
        <v/>
      </c>
      <c r="HC525" s="1209" t="str">
        <f t="shared" si="802"/>
        <v/>
      </c>
      <c r="HD525" s="1212"/>
      <c r="HE525" s="167"/>
      <c r="HF525" s="1218" t="str">
        <f t="shared" si="819"/>
        <v/>
      </c>
      <c r="HG525" s="123"/>
      <c r="HH525" s="1185"/>
      <c r="HI525" s="1214" t="str">
        <f t="shared" si="820"/>
        <v/>
      </c>
      <c r="HK525" s="1206"/>
      <c r="HL525" s="1215" t="str">
        <f t="shared" si="803"/>
        <v/>
      </c>
      <c r="HM525" s="1215" t="str">
        <f t="shared" si="804"/>
        <v/>
      </c>
      <c r="HN525" s="1215" t="str">
        <f t="shared" si="805"/>
        <v/>
      </c>
      <c r="HO525" s="1215" t="str">
        <f t="shared" si="806"/>
        <v/>
      </c>
      <c r="HP525" s="1215" t="str">
        <f t="shared" si="807"/>
        <v/>
      </c>
      <c r="HQ525" s="1215" t="str">
        <f t="shared" si="808"/>
        <v/>
      </c>
      <c r="HR525" s="1214" t="str">
        <f t="shared" si="809"/>
        <v/>
      </c>
      <c r="HS525" s="1185"/>
      <c r="HT525" s="1149" t="e">
        <f>LEFT(M525,1)*10000+MID(M525,3,LEN(M525)-3)*100+COUNTIF($M$307:M525,M525)</f>
        <v>#VALUE!</v>
      </c>
      <c r="HU525" s="1149" t="str">
        <f t="shared" si="725"/>
        <v/>
      </c>
      <c r="HV525" s="1149" t="str">
        <f t="shared" si="726"/>
        <v/>
      </c>
      <c r="HW525" s="1149" t="str">
        <f t="shared" si="727"/>
        <v/>
      </c>
      <c r="HX525" s="1149" t="str">
        <f t="shared" si="728"/>
        <v/>
      </c>
    </row>
    <row r="526" spans="1:232" s="69" customFormat="1" ht="50.15" customHeight="1" thickBot="1">
      <c r="A526" s="645"/>
      <c r="B526" s="645"/>
      <c r="C526" s="645"/>
      <c r="D526" s="645"/>
      <c r="E526" s="646"/>
      <c r="F526" s="381"/>
      <c r="G526" s="381"/>
      <c r="H526" s="381"/>
      <c r="I526" s="123"/>
      <c r="J526" s="93"/>
      <c r="K526" s="125"/>
      <c r="L526" s="125"/>
      <c r="M526" s="2320"/>
      <c r="N526" s="2321"/>
      <c r="O526" s="2322"/>
      <c r="P526" s="2323" t="str">
        <f t="shared" ref="P526" si="855">IFERROR(VLOOKUP(M526,$DQ$307:$DR$507,2,FALSE),"")</f>
        <v/>
      </c>
      <c r="Q526" s="2324"/>
      <c r="R526" s="2324"/>
      <c r="S526" s="2324"/>
      <c r="T526" s="2324"/>
      <c r="U526" s="2324"/>
      <c r="V526" s="2324"/>
      <c r="W526" s="2324"/>
      <c r="X526" s="2324"/>
      <c r="Y526" s="2324"/>
      <c r="Z526" s="2324"/>
      <c r="AA526" s="2324"/>
      <c r="AB526" s="2324"/>
      <c r="AC526" s="2324"/>
      <c r="AD526" s="2324"/>
      <c r="AE526" s="2325"/>
      <c r="AF526" s="2329"/>
      <c r="AG526" s="2330"/>
      <c r="AH526" s="2330"/>
      <c r="AI526" s="2330"/>
      <c r="AJ526" s="2330"/>
      <c r="AK526" s="2330"/>
      <c r="AL526" s="2330"/>
      <c r="AM526" s="2330"/>
      <c r="AN526" s="2330"/>
      <c r="AO526" s="2330"/>
      <c r="AP526" s="2330"/>
      <c r="AQ526" s="2330"/>
      <c r="AR526" s="2553"/>
      <c r="AS526" s="2553"/>
      <c r="AT526" s="2554"/>
      <c r="AU526" s="2555"/>
      <c r="AV526" s="2555"/>
      <c r="AW526" s="2555"/>
      <c r="AX526" s="2555"/>
      <c r="AY526" s="2555"/>
      <c r="AZ526" s="2555"/>
      <c r="BA526" s="2555"/>
      <c r="BB526" s="2555"/>
      <c r="BC526" s="2555"/>
      <c r="BD526" s="2554"/>
      <c r="BE526" s="2555"/>
      <c r="BF526" s="2555"/>
      <c r="BG526" s="2555"/>
      <c r="BH526" s="2555"/>
      <c r="BI526" s="2555"/>
      <c r="BJ526" s="2555"/>
      <c r="BK526" s="2555"/>
      <c r="BL526" s="2555"/>
      <c r="BM526" s="2555"/>
      <c r="BN526" s="2555"/>
      <c r="BO526" s="2555"/>
      <c r="BP526" s="2555"/>
      <c r="BQ526" s="2555"/>
      <c r="BR526" s="2555"/>
      <c r="BS526" s="2553"/>
      <c r="BT526" s="2556"/>
      <c r="BU526" s="2556"/>
      <c r="BV526" s="2557"/>
      <c r="BW526" s="2557"/>
      <c r="BX526" s="2557"/>
      <c r="BY526" s="2557"/>
      <c r="BZ526" s="2557"/>
      <c r="CA526" s="2557"/>
      <c r="CB526" s="2558"/>
      <c r="CC526" s="2511"/>
      <c r="CD526" s="2511"/>
      <c r="CE526" s="2511"/>
      <c r="CF526" s="2511"/>
      <c r="CG526" s="2511"/>
      <c r="CH526" s="2511"/>
      <c r="CI526" s="2511"/>
      <c r="CJ526" s="2511"/>
      <c r="CK526" s="2511"/>
      <c r="CL526" s="2511"/>
      <c r="CM526" s="2511"/>
      <c r="CN526" s="2511"/>
      <c r="CO526" s="2511"/>
      <c r="CP526" s="2511"/>
      <c r="CQ526" s="2511"/>
      <c r="CR526" s="2511"/>
      <c r="CS526" s="2511"/>
      <c r="CT526" s="2511"/>
      <c r="CU526" s="2559"/>
      <c r="CV526" s="2360" t="str">
        <f t="shared" si="829"/>
        <v/>
      </c>
      <c r="CW526" s="2360"/>
      <c r="CX526" s="2360"/>
      <c r="CY526" s="2360"/>
      <c r="CZ526" s="2360"/>
      <c r="DA526" s="2360"/>
      <c r="DB526" s="120"/>
      <c r="DC526" s="600" t="str">
        <f t="shared" si="830"/>
        <v/>
      </c>
      <c r="DD526" s="381"/>
      <c r="DE526" s="34"/>
      <c r="DF526" s="34"/>
      <c r="DG526" s="34"/>
      <c r="DH526" s="34"/>
      <c r="DI526" s="34"/>
      <c r="DJ526" s="855" t="s">
        <v>5637</v>
      </c>
      <c r="DK526" s="1712" t="str">
        <f t="shared" si="811"/>
        <v/>
      </c>
      <c r="DL526" s="1693" t="str">
        <f t="shared" si="812"/>
        <v/>
      </c>
      <c r="DM526" s="1694">
        <f t="shared" si="821"/>
        <v>0</v>
      </c>
      <c r="DN526" s="476">
        <f t="shared" si="831"/>
        <v>0</v>
      </c>
      <c r="DO526" s="476">
        <f t="shared" si="832"/>
        <v>0</v>
      </c>
      <c r="DP526" s="477">
        <f t="shared" si="833"/>
        <v>0</v>
      </c>
      <c r="DQ526" s="123">
        <f t="shared" si="834"/>
        <v>0</v>
      </c>
      <c r="DR526" s="475" t="str">
        <f t="shared" si="835"/>
        <v/>
      </c>
      <c r="DS526" s="221">
        <f t="shared" si="836"/>
        <v>0</v>
      </c>
      <c r="DT526" s="480" t="str">
        <f t="shared" si="837"/>
        <v/>
      </c>
      <c r="DU526" s="232" t="str">
        <f t="shared" si="765"/>
        <v/>
      </c>
      <c r="DV526" s="233" t="str">
        <f>IF($DT526="要是正",MAX($DV$508:DV525)+1,"")</f>
        <v/>
      </c>
      <c r="DW526" s="483" t="str">
        <f t="shared" si="838"/>
        <v/>
      </c>
      <c r="DX526" s="467" t="str">
        <f t="shared" si="813"/>
        <v/>
      </c>
      <c r="DY526" s="468" t="str">
        <f t="shared" si="839"/>
        <v/>
      </c>
      <c r="DZ526" s="554" t="str">
        <f t="shared" si="840"/>
        <v/>
      </c>
      <c r="EA526" s="466" t="str">
        <f t="shared" si="767"/>
        <v/>
      </c>
      <c r="EB526" s="550" t="str">
        <f t="shared" si="768"/>
        <v/>
      </c>
      <c r="EC526" s="460" t="str">
        <f t="shared" si="769"/>
        <v>0</v>
      </c>
      <c r="ED526" s="459" t="str">
        <f t="shared" si="841"/>
        <v/>
      </c>
      <c r="EE526" s="460" t="str">
        <f t="shared" si="842"/>
        <v>0</v>
      </c>
      <c r="EF526" s="461" t="str">
        <f t="shared" si="843"/>
        <v/>
      </c>
      <c r="EG526" s="457" t="str">
        <f t="shared" si="772"/>
        <v/>
      </c>
      <c r="EH526" s="458" t="str">
        <f t="shared" si="773"/>
        <v>0</v>
      </c>
      <c r="EI526" s="459" t="str">
        <f t="shared" si="844"/>
        <v/>
      </c>
      <c r="EJ526" s="460" t="str">
        <f t="shared" si="845"/>
        <v>0</v>
      </c>
      <c r="EK526" s="461" t="str">
        <f t="shared" si="846"/>
        <v/>
      </c>
      <c r="EL526" s="232" t="e">
        <f t="shared" si="847"/>
        <v>#N/A</v>
      </c>
      <c r="EM526" s="233" t="e">
        <f t="shared" si="848"/>
        <v>#N/A</v>
      </c>
      <c r="EN526" s="454" t="e">
        <f t="shared" si="849"/>
        <v>#N/A</v>
      </c>
      <c r="FB526" s="1171"/>
      <c r="FC526" s="1171"/>
      <c r="FD526" s="1171"/>
      <c r="FE526" s="1171"/>
      <c r="FF526" s="1171"/>
      <c r="FG526" s="1171"/>
      <c r="FH526" s="1171"/>
      <c r="FI526" s="1171"/>
      <c r="FK526" s="597" t="str">
        <f t="shared" si="827"/>
        <v/>
      </c>
      <c r="FL526" s="597" t="str">
        <f t="shared" si="530"/>
        <v/>
      </c>
      <c r="FM526" s="597" t="str">
        <f t="shared" si="531"/>
        <v/>
      </c>
      <c r="FN526" s="597">
        <f t="shared" si="850"/>
        <v>0</v>
      </c>
      <c r="FO526" s="1163" t="str">
        <f t="shared" si="828"/>
        <v/>
      </c>
      <c r="FQ526" s="234" t="str">
        <f t="shared" si="780"/>
        <v/>
      </c>
      <c r="FR526" s="227" t="str">
        <f t="shared" si="781"/>
        <v>0</v>
      </c>
      <c r="FS526" s="148" t="str">
        <f t="shared" si="851"/>
        <v/>
      </c>
      <c r="FT526" s="227" t="str">
        <f t="shared" si="852"/>
        <v>0</v>
      </c>
      <c r="FU526" s="416" t="str">
        <f t="shared" si="853"/>
        <v/>
      </c>
      <c r="FW526" s="1160">
        <f t="shared" si="854"/>
        <v>0</v>
      </c>
      <c r="FX526" s="123"/>
      <c r="FY526" s="123"/>
      <c r="FZ526" s="1161"/>
      <c r="GA526" s="34"/>
      <c r="GB526" s="1220" t="b">
        <f t="shared" si="785"/>
        <v>1</v>
      </c>
      <c r="GC526" s="1221" t="b">
        <f t="shared" si="786"/>
        <v>0</v>
      </c>
      <c r="GD526" s="1221" t="b">
        <f t="shared" si="786"/>
        <v>0</v>
      </c>
      <c r="GE526" s="1221" t="b">
        <f t="shared" si="786"/>
        <v>0</v>
      </c>
      <c r="GF526" s="1221" t="b">
        <f t="shared" si="786"/>
        <v>0</v>
      </c>
      <c r="GG526" s="1221" t="b">
        <f t="shared" si="786"/>
        <v>0</v>
      </c>
      <c r="GH526" s="1221" t="b">
        <f t="shared" si="786"/>
        <v>0</v>
      </c>
      <c r="GI526" s="1221" t="b">
        <f t="shared" si="786"/>
        <v>0</v>
      </c>
      <c r="GJ526" s="1222" t="b">
        <f>IF(GB526,FALSE(),COUNTIF(プルダウン選択肢!$A$92:$A$228,$DQ526)&lt;&gt;1)</f>
        <v>0</v>
      </c>
      <c r="GL526" s="1219"/>
      <c r="GM526" s="1223">
        <f t="shared" si="787"/>
        <v>0</v>
      </c>
      <c r="GN526" s="1223">
        <f t="shared" si="788"/>
        <v>0</v>
      </c>
      <c r="GO526" s="1223">
        <f t="shared" si="789"/>
        <v>0</v>
      </c>
      <c r="GP526" s="1223">
        <f t="shared" si="790"/>
        <v>0</v>
      </c>
      <c r="GQ526" s="1223">
        <f t="shared" si="791"/>
        <v>0</v>
      </c>
      <c r="GR526" s="1223">
        <f t="shared" si="792"/>
        <v>0</v>
      </c>
      <c r="GS526" s="1223">
        <f t="shared" si="793"/>
        <v>0</v>
      </c>
      <c r="GT526" s="1224">
        <f t="shared" si="794"/>
        <v>0</v>
      </c>
      <c r="GU526" s="1225"/>
      <c r="GV526" s="1226" t="str">
        <f t="shared" si="795"/>
        <v/>
      </c>
      <c r="GW526" s="1223" t="str">
        <f t="shared" si="796"/>
        <v/>
      </c>
      <c r="GX526" s="1223" t="str">
        <f t="shared" si="797"/>
        <v/>
      </c>
      <c r="GY526" s="1223" t="str">
        <f t="shared" si="798"/>
        <v/>
      </c>
      <c r="GZ526" s="1223" t="str">
        <f t="shared" si="799"/>
        <v/>
      </c>
      <c r="HA526" s="1223" t="str">
        <f t="shared" si="800"/>
        <v/>
      </c>
      <c r="HB526" s="1223" t="str">
        <f t="shared" si="801"/>
        <v/>
      </c>
      <c r="HC526" s="1223" t="str">
        <f t="shared" si="802"/>
        <v/>
      </c>
      <c r="HD526" s="1225"/>
      <c r="HE526" s="167"/>
      <c r="HF526" s="1218" t="str">
        <f t="shared" si="819"/>
        <v/>
      </c>
      <c r="HG526" s="123"/>
      <c r="HH526" s="1185"/>
      <c r="HI526" s="1227" t="str">
        <f t="shared" si="820"/>
        <v/>
      </c>
      <c r="HK526" s="1206"/>
      <c r="HL526" s="1228" t="str">
        <f t="shared" si="803"/>
        <v/>
      </c>
      <c r="HM526" s="1228" t="str">
        <f t="shared" si="804"/>
        <v/>
      </c>
      <c r="HN526" s="1228" t="str">
        <f t="shared" si="805"/>
        <v/>
      </c>
      <c r="HO526" s="1228" t="str">
        <f t="shared" si="806"/>
        <v/>
      </c>
      <c r="HP526" s="1228" t="str">
        <f t="shared" si="807"/>
        <v/>
      </c>
      <c r="HQ526" s="1228" t="str">
        <f t="shared" si="808"/>
        <v/>
      </c>
      <c r="HR526" s="1227" t="str">
        <f t="shared" si="809"/>
        <v/>
      </c>
      <c r="HS526" s="1185"/>
      <c r="HT526" s="1149" t="e">
        <f>LEFT(M526,1)*10000+MID(M526,3,LEN(M526)-3)*100+COUNTIF($M$307:M526,M526)</f>
        <v>#VALUE!</v>
      </c>
      <c r="HU526" s="1149" t="str">
        <f t="shared" si="725"/>
        <v/>
      </c>
      <c r="HV526" s="1149" t="str">
        <f t="shared" si="726"/>
        <v/>
      </c>
      <c r="HW526" s="1149" t="str">
        <f t="shared" si="727"/>
        <v/>
      </c>
      <c r="HX526" s="1149" t="str">
        <f t="shared" si="728"/>
        <v/>
      </c>
    </row>
    <row r="527" spans="1:232" s="69" customFormat="1" ht="25" customHeight="1" thickBot="1">
      <c r="A527" s="647" t="s">
        <v>2943</v>
      </c>
      <c r="B527" s="647"/>
      <c r="C527" s="647"/>
      <c r="D527" s="647"/>
      <c r="E527" s="647"/>
      <c r="F527" s="381"/>
      <c r="G527" s="381"/>
      <c r="H527" s="381"/>
      <c r="I527" s="917"/>
      <c r="J527" s="917"/>
      <c r="K527" s="2313"/>
      <c r="L527" s="2313"/>
      <c r="M527" s="2313"/>
      <c r="N527" s="2313"/>
      <c r="O527" s="2313"/>
      <c r="P527" s="2313"/>
      <c r="Q527" s="2313"/>
      <c r="R527" s="2313"/>
      <c r="S527" s="917"/>
      <c r="T527" s="917"/>
      <c r="U527" s="123"/>
      <c r="V527" s="71"/>
      <c r="W527" s="109"/>
      <c r="X527" s="109"/>
      <c r="Y527" s="109"/>
      <c r="Z527" s="35"/>
      <c r="AA527" s="70"/>
      <c r="AB527" s="35"/>
      <c r="AC527" s="35"/>
      <c r="AD527" s="35"/>
      <c r="AE527" s="35"/>
      <c r="AF527" s="35"/>
      <c r="AG527" s="35"/>
      <c r="AH527" s="120"/>
      <c r="AI527" s="120"/>
      <c r="AJ527" s="120"/>
      <c r="AK527" s="120"/>
      <c r="AL527" s="120"/>
      <c r="AM527" s="120"/>
      <c r="AN527" s="120"/>
      <c r="AO527" s="120"/>
      <c r="AP527" s="35"/>
      <c r="AQ527" s="35"/>
      <c r="AR527" s="35"/>
      <c r="AS527" s="35"/>
      <c r="AT527" s="35"/>
      <c r="AU527" s="35"/>
      <c r="AV527" s="35"/>
      <c r="AW527" s="35"/>
      <c r="AX527" s="35"/>
      <c r="AY527" s="35"/>
      <c r="AZ527" s="35"/>
      <c r="BA527" s="35"/>
      <c r="BB527" s="35"/>
      <c r="BC527" s="35"/>
      <c r="BD527" s="35"/>
      <c r="BE527" s="35"/>
      <c r="BF527" s="35"/>
      <c r="BG527" s="35"/>
      <c r="BH527" s="35"/>
      <c r="BI527" s="35"/>
      <c r="BJ527" s="35"/>
      <c r="BK527" s="35"/>
      <c r="BL527" s="35"/>
      <c r="BM527" s="35"/>
      <c r="BN527" s="35"/>
      <c r="BO527" s="35"/>
      <c r="BP527" s="35"/>
      <c r="BQ527" s="35"/>
      <c r="BR527" s="35"/>
      <c r="BS527" s="35"/>
      <c r="BT527" s="35"/>
      <c r="BU527" s="751"/>
      <c r="BV527" s="749"/>
      <c r="BW527" s="749"/>
      <c r="BX527" s="749"/>
      <c r="BY527" s="749"/>
      <c r="BZ527" s="749"/>
      <c r="CA527" s="749"/>
      <c r="CB527" s="749"/>
      <c r="CC527" s="749"/>
      <c r="CD527" s="749"/>
      <c r="CE527" s="749"/>
      <c r="CF527" s="749"/>
      <c r="CG527" s="749"/>
      <c r="CH527" s="750"/>
      <c r="CI527" s="750"/>
      <c r="CJ527" s="750"/>
      <c r="CK527" s="750"/>
      <c r="CL527" s="750"/>
      <c r="CM527" s="750"/>
      <c r="CN527" s="750"/>
      <c r="CO527" s="750"/>
      <c r="CP527" s="750"/>
      <c r="CQ527" s="750"/>
      <c r="CR527" s="750"/>
      <c r="CS527" s="750"/>
      <c r="CT527" s="750"/>
      <c r="CU527" s="750"/>
      <c r="CV527" s="108"/>
      <c r="CW527" s="108"/>
      <c r="CX527" s="108"/>
      <c r="CY527" s="108"/>
      <c r="CZ527" s="108"/>
      <c r="DA527" s="108"/>
      <c r="DB527" s="108"/>
      <c r="DC527" s="35"/>
      <c r="DD527" s="381"/>
      <c r="DE527" s="108"/>
      <c r="DF527" s="108"/>
      <c r="DG527" s="108"/>
      <c r="DH527" s="108"/>
      <c r="DI527" s="108"/>
      <c r="DJ527" s="108"/>
      <c r="DK527" s="108"/>
      <c r="DL527" s="114"/>
      <c r="DM527" s="193">
        <f>SUM(DM512:DM526)</f>
        <v>0</v>
      </c>
      <c r="DN527" s="193">
        <f>SUM(DN512:DN526)</f>
        <v>0</v>
      </c>
      <c r="DO527" s="193">
        <f>SUM(DO512:DO526)</f>
        <v>0</v>
      </c>
      <c r="DP527" s="193">
        <f>SUM(DP512:DP526)</f>
        <v>0</v>
      </c>
      <c r="DQ527" s="34"/>
      <c r="EB527" s="167"/>
      <c r="EC527" s="542"/>
      <c r="ED527" s="543">
        <f>COUNTIF(ED512:ED526,"1")</f>
        <v>0</v>
      </c>
      <c r="EE527" s="319" t="str">
        <f t="array" ref="EE527">INDEX(EE512:EE526,MATCH(MIN(ABS(EE512:EE526-$DP$4)),ABS(EE512:EE526-$DP$4),0))</f>
        <v>0</v>
      </c>
      <c r="EF527" s="543">
        <f>COUNTIF(EF512:EF526,"未定")</f>
        <v>0</v>
      </c>
      <c r="EG527" s="544"/>
      <c r="EH527" s="542"/>
      <c r="EI527" s="543">
        <f>COUNTIF(EI512:EI526,"1")</f>
        <v>0</v>
      </c>
      <c r="EJ527" s="319" t="str">
        <f t="array" ref="EJ527">INDEX(EJ512:EJ526,MATCH(MIN(ABS(EJ512:EJ526-$DP$4)),ABS(EJ512:EJ526-$DP$4),0))</f>
        <v>0</v>
      </c>
      <c r="EK527" s="543">
        <f>COUNTIF(EK512:EK526,"未定")</f>
        <v>0</v>
      </c>
      <c r="FO527" s="1229"/>
      <c r="FQ527" s="1230"/>
      <c r="FR527" s="229"/>
      <c r="FS527" s="207">
        <f>COUNTIF(FS512:FS526,"1")</f>
        <v>0</v>
      </c>
      <c r="FT527" s="206" t="str">
        <f t="array" ref="FT527">INDEX(FT512:FT526,MATCH(MIN(ABS(FT512:FT526-$DP$4)),ABS(FT512:FT526-$DP$4),0))</f>
        <v>0</v>
      </c>
      <c r="FU527" s="417">
        <f>COUNTIF(FU512:FU526,"未定")</f>
        <v>0</v>
      </c>
      <c r="FW527" s="1231">
        <f t="shared" si="675"/>
        <v>0</v>
      </c>
      <c r="FX527" s="1165"/>
      <c r="FY527" s="1165"/>
      <c r="FZ527" s="1232"/>
      <c r="GA527" s="34"/>
      <c r="GL527" s="1233"/>
      <c r="GM527" s="529" t="s">
        <v>2709</v>
      </c>
      <c r="GN527" s="529"/>
      <c r="GO527" s="529"/>
      <c r="GP527" s="529"/>
      <c r="GQ527" s="529"/>
      <c r="GR527" s="1234"/>
      <c r="GS527" s="1234"/>
      <c r="GT527" s="1234"/>
      <c r="GU527" s="1177"/>
      <c r="GV527" s="529" t="s">
        <v>2710</v>
      </c>
      <c r="GW527" s="1235"/>
      <c r="GX527" s="1235"/>
      <c r="GY527" s="1235"/>
      <c r="GZ527" s="1235"/>
      <c r="HA527" s="1235"/>
      <c r="HB527" s="1235"/>
      <c r="HC527" s="1235"/>
      <c r="HD527" s="1177"/>
      <c r="HF527" s="1236"/>
      <c r="HG527" s="1237"/>
      <c r="HH527" s="1238"/>
      <c r="HI527" s="1239" t="str">
        <f>CONCATENATE(HI512,HI513,HI514,HI515,HI516,HI517,HI518,HI519,HI520,HI521,HI522,HI523,HI524,HI525,HI526)</f>
        <v/>
      </c>
      <c r="HJ527" s="167"/>
      <c r="HK527" s="1240" t="s">
        <v>3088</v>
      </c>
      <c r="HL527" s="1241" t="str">
        <f t="shared" ref="HL527" si="856">CONCATENATE(HL512,HL513,HL514,HL515,HL516,HL517,HL518,HL519,HL520,HL521,HL522,HL523,HL524,HL525,HL526)</f>
        <v/>
      </c>
      <c r="HM527" s="1241" t="str">
        <f t="shared" ref="HM527" si="857">CONCATENATE(HM512,HM513,HM514,HM515,HM516,HM517,HM518,HM519,HM520,HM521,HM522,HM523,HM524,HM525,HM526)</f>
        <v/>
      </c>
      <c r="HN527" s="1241" t="str">
        <f t="shared" ref="HN527" si="858">CONCATENATE(HN512,HN513,HN514,HN515,HN516,HN517,HN518,HN519,HN520,HN521,HN522,HN523,HN524,HN525,HN526)</f>
        <v/>
      </c>
      <c r="HO527" s="1242" t="str">
        <f t="shared" ref="HO527" si="859">CONCATENATE(HO512,HO513,HO514,HO515,HO516,HO517,HO518,HO519,HO520,HO521,HO522,HO523,HO524,HO525,HO526)</f>
        <v/>
      </c>
      <c r="HP527" s="1241" t="str">
        <f t="shared" ref="HP527" si="860">CONCATENATE(HP512,HP513,HP514,HP515,HP516,HP517,HP518,HP519,HP520,HP521,HP522,HP523,HP524,HP525,HP526)</f>
        <v/>
      </c>
      <c r="HQ527" s="1241" t="str">
        <f t="shared" ref="HQ527" si="861">CONCATENATE(HQ512,HQ513,HQ514,HQ515,HQ516,HQ517,HQ518,HQ519,HQ520,HQ521,HQ522,HQ523,HQ524,HQ525,HQ526)</f>
        <v/>
      </c>
      <c r="HR527" s="1243" t="str">
        <f t="shared" ref="HR527" si="862">CONCATENATE(HR512,HR513,HR514,HR515,HR516,HR517,HR518,HR519,HR520,HR521,HR522,HR523,HR524,HR525,HR526)</f>
        <v/>
      </c>
      <c r="HS527" s="1185"/>
      <c r="HT527" s="1185"/>
    </row>
    <row r="528" spans="1:232" s="69" customFormat="1" ht="27" customHeight="1" thickBot="1">
      <c r="A528" s="647"/>
      <c r="B528" s="647"/>
      <c r="C528" s="647"/>
      <c r="D528" s="647"/>
      <c r="E528" s="647"/>
      <c r="F528" s="381"/>
      <c r="G528" s="381"/>
      <c r="H528" s="381"/>
      <c r="I528" s="917"/>
      <c r="J528" s="917"/>
      <c r="K528" s="2313"/>
      <c r="L528" s="2313"/>
      <c r="M528" s="2313"/>
      <c r="N528" s="2313"/>
      <c r="O528" s="2313"/>
      <c r="P528" s="2313"/>
      <c r="Q528" s="2313"/>
      <c r="R528" s="2313"/>
      <c r="S528" s="917"/>
      <c r="T528" s="917"/>
      <c r="U528" s="123"/>
      <c r="V528" s="71"/>
      <c r="W528" s="109"/>
      <c r="X528" s="109"/>
      <c r="Y528" s="109"/>
      <c r="Z528" s="35"/>
      <c r="AA528" s="70"/>
      <c r="AB528" s="35"/>
      <c r="AC528" s="35"/>
      <c r="AD528" s="35"/>
      <c r="AE528" s="35"/>
      <c r="AF528" s="35"/>
      <c r="AG528" s="35"/>
      <c r="AH528" s="120"/>
      <c r="AI528" s="120"/>
      <c r="AJ528" s="120"/>
      <c r="AK528" s="120"/>
      <c r="AL528" s="120"/>
      <c r="AM528" s="120"/>
      <c r="AN528" s="120"/>
      <c r="AO528" s="120"/>
      <c r="AP528" s="35"/>
      <c r="AQ528" s="35"/>
      <c r="AR528" s="35"/>
      <c r="AS528" s="35"/>
      <c r="AT528" s="35"/>
      <c r="AU528" s="35"/>
      <c r="AV528" s="35"/>
      <c r="AW528" s="35"/>
      <c r="AX528" s="35"/>
      <c r="AY528" s="35"/>
      <c r="AZ528" s="35"/>
      <c r="BA528" s="35"/>
      <c r="BB528" s="35"/>
      <c r="BC528" s="35"/>
      <c r="BD528" s="35"/>
      <c r="BE528" s="35"/>
      <c r="BF528" s="35"/>
      <c r="BG528" s="35"/>
      <c r="BH528" s="35"/>
      <c r="BI528" s="35"/>
      <c r="BJ528" s="35"/>
      <c r="BK528" s="35"/>
      <c r="BL528" s="35"/>
      <c r="BM528" s="35"/>
      <c r="BN528" s="35"/>
      <c r="BO528" s="35"/>
      <c r="BP528" s="35"/>
      <c r="BQ528" s="35"/>
      <c r="BR528" s="35"/>
      <c r="BS528" s="35"/>
      <c r="BT528" s="35"/>
      <c r="BU528" s="751"/>
      <c r="BV528" s="749"/>
      <c r="BW528" s="749"/>
      <c r="BX528" s="749"/>
      <c r="BY528" s="749"/>
      <c r="BZ528" s="749"/>
      <c r="CA528" s="749"/>
      <c r="CB528" s="749"/>
      <c r="CC528" s="749"/>
      <c r="CD528" s="749"/>
      <c r="CE528" s="749"/>
      <c r="CF528" s="749"/>
      <c r="CG528" s="749"/>
      <c r="CH528" s="750"/>
      <c r="CI528" s="750"/>
      <c r="CJ528" s="750"/>
      <c r="CK528" s="750"/>
      <c r="CL528" s="750"/>
      <c r="CM528" s="750"/>
      <c r="CN528" s="750"/>
      <c r="CO528" s="750"/>
      <c r="CP528" s="750"/>
      <c r="CQ528" s="750"/>
      <c r="CR528" s="750"/>
      <c r="CS528" s="750"/>
      <c r="CT528" s="750"/>
      <c r="CU528" s="750"/>
      <c r="CV528" s="108"/>
      <c r="CW528" s="108"/>
      <c r="CX528" s="108"/>
      <c r="CY528" s="108"/>
      <c r="CZ528" s="108"/>
      <c r="DA528" s="108"/>
      <c r="DB528" s="108"/>
      <c r="DC528" s="35"/>
      <c r="DD528" s="381"/>
      <c r="DE528" s="108"/>
      <c r="DF528" s="108"/>
      <c r="DG528" s="108"/>
      <c r="DH528" s="108"/>
      <c r="DI528" s="108"/>
      <c r="DJ528" s="108"/>
      <c r="DK528" s="108"/>
      <c r="DL528" s="114"/>
      <c r="DM528" s="34" t="s">
        <v>4665</v>
      </c>
      <c r="DN528" s="34"/>
      <c r="DO528" s="34"/>
      <c r="DP528" s="34"/>
      <c r="DQ528" s="34"/>
      <c r="EB528" s="34" t="s">
        <v>4665</v>
      </c>
      <c r="EG528" s="166"/>
      <c r="EH528" s="166"/>
      <c r="EI528" s="166"/>
      <c r="EJ528" s="166"/>
      <c r="EK528" s="166"/>
      <c r="FO528" s="1229"/>
      <c r="GA528" s="34"/>
      <c r="GL528" s="1208" t="s">
        <v>3076</v>
      </c>
      <c r="GM528" s="1209">
        <f t="shared" ref="GM528:GT528" si="863">SUM(GM512:GM526)</f>
        <v>0</v>
      </c>
      <c r="GN528" s="1209">
        <f t="shared" si="863"/>
        <v>0</v>
      </c>
      <c r="GO528" s="1209">
        <f t="shared" si="863"/>
        <v>0</v>
      </c>
      <c r="GP528" s="1209">
        <f t="shared" si="863"/>
        <v>0</v>
      </c>
      <c r="GQ528" s="1209">
        <f t="shared" si="863"/>
        <v>0</v>
      </c>
      <c r="GR528" s="1209">
        <f t="shared" si="863"/>
        <v>0</v>
      </c>
      <c r="GS528" s="1209">
        <f t="shared" si="863"/>
        <v>0</v>
      </c>
      <c r="GT528" s="1209">
        <f t="shared" si="863"/>
        <v>0</v>
      </c>
      <c r="GU528" s="1212"/>
      <c r="GV528" s="1244">
        <f t="shared" ref="GV528:HC528" si="864">COUNTIF(GV512:GV526,2)</f>
        <v>0</v>
      </c>
      <c r="GW528" s="1209">
        <f t="shared" si="864"/>
        <v>0</v>
      </c>
      <c r="GX528" s="1209">
        <f t="shared" si="864"/>
        <v>0</v>
      </c>
      <c r="GY528" s="1209">
        <f t="shared" si="864"/>
        <v>0</v>
      </c>
      <c r="GZ528" s="1209">
        <f t="shared" si="864"/>
        <v>0</v>
      </c>
      <c r="HA528" s="1209">
        <f t="shared" si="864"/>
        <v>0</v>
      </c>
      <c r="HB528" s="1209">
        <f t="shared" si="864"/>
        <v>0</v>
      </c>
      <c r="HC528" s="1211">
        <f t="shared" si="864"/>
        <v>0</v>
      </c>
      <c r="HD528" s="1212"/>
      <c r="HK528" s="1245" t="s">
        <v>3087</v>
      </c>
      <c r="HL528" s="1246" t="str">
        <f>HL527</f>
        <v/>
      </c>
      <c r="HM528" s="1246" t="str">
        <f t="shared" ref="HM528:HR528" si="865">HM527</f>
        <v/>
      </c>
      <c r="HN528" s="1247" t="str">
        <f t="shared" si="865"/>
        <v/>
      </c>
      <c r="HO528" s="259" t="str">
        <f>HO527&amp;HI527</f>
        <v/>
      </c>
      <c r="HP528" s="1248" t="str">
        <f t="shared" si="865"/>
        <v/>
      </c>
      <c r="HQ528" s="1247" t="str">
        <f t="shared" si="865"/>
        <v/>
      </c>
      <c r="HR528" s="1249" t="str">
        <f t="shared" si="865"/>
        <v/>
      </c>
      <c r="HS528" s="123"/>
      <c r="HT528" s="1701"/>
    </row>
    <row r="529" spans="1:228" s="69" customFormat="1" ht="27" customHeight="1">
      <c r="A529" s="647"/>
      <c r="B529" s="647"/>
      <c r="C529" s="647"/>
      <c r="D529" s="647"/>
      <c r="E529" s="647"/>
      <c r="F529" s="381"/>
      <c r="G529" s="381"/>
      <c r="H529" s="381"/>
      <c r="I529" s="917"/>
      <c r="J529" s="917"/>
      <c r="K529" s="2313"/>
      <c r="L529" s="2313"/>
      <c r="M529" s="2313"/>
      <c r="N529" s="2313"/>
      <c r="O529" s="2313"/>
      <c r="P529" s="2313"/>
      <c r="Q529" s="2313"/>
      <c r="R529" s="2313"/>
      <c r="S529" s="917"/>
      <c r="T529" s="917"/>
      <c r="U529" s="123"/>
      <c r="V529" s="71"/>
      <c r="W529" s="109"/>
      <c r="X529" s="109"/>
      <c r="Y529" s="109"/>
      <c r="Z529" s="35"/>
      <c r="AA529" s="70"/>
      <c r="AB529" s="35"/>
      <c r="AC529" s="35"/>
      <c r="AD529" s="35"/>
      <c r="AE529" s="35"/>
      <c r="AF529" s="35"/>
      <c r="AG529" s="35"/>
      <c r="AH529" s="120"/>
      <c r="AI529" s="120"/>
      <c r="AJ529" s="120"/>
      <c r="AK529" s="120"/>
      <c r="AL529" s="120"/>
      <c r="AM529" s="120"/>
      <c r="AN529" s="120"/>
      <c r="AO529" s="120"/>
      <c r="AP529" s="35"/>
      <c r="AQ529" s="35"/>
      <c r="AR529" s="35"/>
      <c r="AS529" s="35"/>
      <c r="AT529" s="35"/>
      <c r="AU529" s="35"/>
      <c r="AV529" s="35"/>
      <c r="AW529" s="35"/>
      <c r="AX529" s="35"/>
      <c r="AY529" s="35"/>
      <c r="AZ529" s="35"/>
      <c r="BA529" s="35"/>
      <c r="BB529" s="35"/>
      <c r="BC529" s="35"/>
      <c r="BD529" s="35"/>
      <c r="BE529" s="35"/>
      <c r="BF529" s="35"/>
      <c r="BG529" s="35"/>
      <c r="BH529" s="35"/>
      <c r="BI529" s="35"/>
      <c r="BJ529" s="35"/>
      <c r="BK529" s="35"/>
      <c r="BL529" s="35"/>
      <c r="BM529" s="35"/>
      <c r="BN529" s="35"/>
      <c r="BO529" s="35"/>
      <c r="BP529" s="35"/>
      <c r="BQ529" s="35"/>
      <c r="BR529" s="35"/>
      <c r="BS529" s="35"/>
      <c r="BT529" s="35"/>
      <c r="BU529" s="751"/>
      <c r="BV529" s="749"/>
      <c r="BW529" s="749"/>
      <c r="BX529" s="749"/>
      <c r="BY529" s="749"/>
      <c r="BZ529" s="749"/>
      <c r="CA529" s="749"/>
      <c r="CB529" s="749"/>
      <c r="CC529" s="749"/>
      <c r="CD529" s="749"/>
      <c r="CE529" s="749"/>
      <c r="CF529" s="749"/>
      <c r="CG529" s="749"/>
      <c r="CH529" s="750"/>
      <c r="CI529" s="750"/>
      <c r="CJ529" s="750"/>
      <c r="CK529" s="750"/>
      <c r="CL529" s="750"/>
      <c r="CM529" s="750"/>
      <c r="CN529" s="750"/>
      <c r="CO529" s="750"/>
      <c r="CP529" s="750"/>
      <c r="CQ529" s="750"/>
      <c r="CR529" s="750"/>
      <c r="CS529" s="750"/>
      <c r="CT529" s="750"/>
      <c r="CU529" s="750"/>
      <c r="CV529" s="108"/>
      <c r="CW529" s="108"/>
      <c r="CX529" s="108"/>
      <c r="CY529" s="108"/>
      <c r="CZ529" s="108"/>
      <c r="DA529" s="108"/>
      <c r="DB529" s="108"/>
      <c r="DC529" s="35"/>
      <c r="DD529" s="381"/>
      <c r="DE529" s="108"/>
      <c r="DF529" s="108"/>
      <c r="DG529" s="108"/>
      <c r="DH529" s="108"/>
      <c r="DI529" s="108"/>
      <c r="DJ529" s="108"/>
      <c r="DK529" s="108"/>
      <c r="DL529" s="114"/>
      <c r="DM529" s="470" t="s">
        <v>347</v>
      </c>
      <c r="DN529" s="471" t="s">
        <v>348</v>
      </c>
      <c r="DO529" s="471" t="s">
        <v>349</v>
      </c>
      <c r="DP529" s="472" t="s">
        <v>350</v>
      </c>
      <c r="DQ529" s="34"/>
      <c r="EB529" s="1907" t="s">
        <v>24</v>
      </c>
      <c r="EC529" s="1908"/>
      <c r="ED529" s="1908"/>
      <c r="EE529" s="1908"/>
      <c r="EF529" s="1908"/>
      <c r="EG529" s="1969" t="s">
        <v>931</v>
      </c>
      <c r="EH529" s="1970"/>
      <c r="EI529" s="1970"/>
      <c r="EJ529" s="1970"/>
      <c r="EK529" s="2477"/>
      <c r="FO529" s="114"/>
      <c r="FP529" s="114"/>
      <c r="FQ529" s="114"/>
      <c r="FR529" s="114"/>
      <c r="FS529" s="114"/>
      <c r="FT529" s="114"/>
      <c r="FU529" s="114"/>
      <c r="FV529" s="114"/>
      <c r="FW529" s="114"/>
      <c r="FX529" s="114"/>
      <c r="FY529" s="114"/>
      <c r="FZ529" s="114"/>
      <c r="GA529" s="34"/>
      <c r="GL529" s="1226" t="s">
        <v>3077</v>
      </c>
      <c r="GM529" s="1223">
        <f>$DO$321</f>
        <v>0</v>
      </c>
      <c r="GN529" s="1223">
        <f>$DO$348</f>
        <v>0</v>
      </c>
      <c r="GO529" s="1223">
        <f>$DO$366</f>
        <v>0</v>
      </c>
      <c r="GP529" s="1223">
        <f>$DO$422</f>
        <v>0</v>
      </c>
      <c r="GQ529" s="1223">
        <f>$DO$471</f>
        <v>0</v>
      </c>
      <c r="GR529" s="1223">
        <f>$DO$489</f>
        <v>0</v>
      </c>
      <c r="GS529" s="1223">
        <f>$DO$508</f>
        <v>0</v>
      </c>
      <c r="GT529" s="1223"/>
      <c r="GU529" s="1212"/>
      <c r="GV529" s="1250">
        <f>COUNTIF($ED$307:$ED$320,2)</f>
        <v>0</v>
      </c>
      <c r="GW529" s="1223">
        <f>COUNTIF($ED$325:$ED$347,2)</f>
        <v>0</v>
      </c>
      <c r="GX529" s="1223">
        <f>COUNTIF($ED$352:$ED$365,2)</f>
        <v>0</v>
      </c>
      <c r="GY529" s="1223">
        <f>COUNTIF($ED$370:$ED$421,2)</f>
        <v>0</v>
      </c>
      <c r="GZ529" s="1223">
        <f>COUNTIF($ED$426:$ED$470,2)</f>
        <v>0</v>
      </c>
      <c r="HA529" s="1223">
        <f>COUNTIF($ED$475:$ED$488,2)</f>
        <v>0</v>
      </c>
      <c r="HB529" s="1223">
        <f>COUNTIF($ED$493:$ED$507,2)</f>
        <v>0</v>
      </c>
      <c r="HC529" s="1224"/>
      <c r="HD529" s="1212"/>
      <c r="HK529" s="123"/>
      <c r="HL529" s="123"/>
      <c r="HM529" s="123"/>
      <c r="HN529" s="123"/>
      <c r="HO529" s="1185"/>
      <c r="HP529" s="123"/>
      <c r="HQ529" s="123"/>
      <c r="HR529" s="1185"/>
      <c r="HS529" s="123"/>
      <c r="HT529" s="1701"/>
    </row>
    <row r="530" spans="1:228" s="69" customFormat="1" ht="27" customHeight="1" thickBot="1">
      <c r="A530" s="647"/>
      <c r="B530" s="647"/>
      <c r="C530" s="647"/>
      <c r="D530" s="647"/>
      <c r="E530" s="647"/>
      <c r="F530" s="381"/>
      <c r="G530" s="381"/>
      <c r="H530" s="381"/>
      <c r="I530" s="917"/>
      <c r="J530" s="917"/>
      <c r="K530" s="2313"/>
      <c r="L530" s="2313"/>
      <c r="M530" s="2313"/>
      <c r="N530" s="2313"/>
      <c r="O530" s="2313"/>
      <c r="P530" s="2313"/>
      <c r="Q530" s="2313"/>
      <c r="R530" s="2313"/>
      <c r="S530" s="917"/>
      <c r="T530" s="917"/>
      <c r="U530" s="123"/>
      <c r="V530" s="71"/>
      <c r="W530" s="109"/>
      <c r="X530" s="109"/>
      <c r="Y530" s="109"/>
      <c r="Z530" s="35"/>
      <c r="AA530" s="70"/>
      <c r="AB530" s="35"/>
      <c r="AC530" s="35"/>
      <c r="AD530" s="35"/>
      <c r="AE530" s="35"/>
      <c r="AF530" s="35"/>
      <c r="AG530" s="35"/>
      <c r="AH530" s="120"/>
      <c r="AI530" s="120"/>
      <c r="AJ530" s="120"/>
      <c r="AK530" s="120"/>
      <c r="AL530" s="120"/>
      <c r="AM530" s="120"/>
      <c r="AN530" s="120"/>
      <c r="AO530" s="120"/>
      <c r="AP530" s="35"/>
      <c r="AQ530" s="35"/>
      <c r="AR530" s="35"/>
      <c r="AS530" s="35"/>
      <c r="AT530" s="35"/>
      <c r="AU530" s="35"/>
      <c r="AV530" s="35"/>
      <c r="AW530" s="35"/>
      <c r="AX530" s="35"/>
      <c r="AY530" s="35"/>
      <c r="AZ530" s="35"/>
      <c r="BA530" s="35"/>
      <c r="BB530" s="35"/>
      <c r="BC530" s="35"/>
      <c r="BD530" s="35"/>
      <c r="BE530" s="35"/>
      <c r="BF530" s="35"/>
      <c r="BG530" s="35"/>
      <c r="BH530" s="35"/>
      <c r="BI530" s="35"/>
      <c r="BJ530" s="35"/>
      <c r="BK530" s="35"/>
      <c r="BL530" s="35"/>
      <c r="BM530" s="35"/>
      <c r="BN530" s="35"/>
      <c r="BO530" s="35"/>
      <c r="BP530" s="35"/>
      <c r="BQ530" s="35"/>
      <c r="BR530" s="35"/>
      <c r="BS530" s="35"/>
      <c r="BT530" s="35"/>
      <c r="BU530" s="751"/>
      <c r="BV530" s="749"/>
      <c r="BW530" s="749"/>
      <c r="BX530" s="749"/>
      <c r="BY530" s="749"/>
      <c r="BZ530" s="749"/>
      <c r="CA530" s="749"/>
      <c r="CB530" s="749"/>
      <c r="CC530" s="749"/>
      <c r="CD530" s="749"/>
      <c r="CE530" s="749"/>
      <c r="CF530" s="749"/>
      <c r="CG530" s="749"/>
      <c r="CH530" s="750"/>
      <c r="CI530" s="750"/>
      <c r="CJ530" s="750"/>
      <c r="CK530" s="750"/>
      <c r="CL530" s="750"/>
      <c r="CM530" s="750"/>
      <c r="CN530" s="750"/>
      <c r="CO530" s="750"/>
      <c r="CP530" s="750"/>
      <c r="CQ530" s="750"/>
      <c r="CR530" s="750"/>
      <c r="CS530" s="750"/>
      <c r="CT530" s="750"/>
      <c r="CU530" s="750"/>
      <c r="CV530" s="108"/>
      <c r="CW530" s="108"/>
      <c r="CX530" s="108"/>
      <c r="CY530" s="108"/>
      <c r="CZ530" s="108"/>
      <c r="DA530" s="108"/>
      <c r="DB530" s="108"/>
      <c r="DC530" s="35"/>
      <c r="DD530" s="381"/>
      <c r="DE530" s="108"/>
      <c r="DF530" s="108"/>
      <c r="DG530" s="108"/>
      <c r="DH530" s="108"/>
      <c r="DI530" s="108"/>
      <c r="DJ530" s="108"/>
      <c r="DK530" s="108"/>
      <c r="DL530" s="114"/>
      <c r="DM530" s="858">
        <f>DM422+DM508</f>
        <v>0</v>
      </c>
      <c r="DN530" s="441">
        <f t="shared" ref="DN530:DO530" si="866">DN422+DN508</f>
        <v>0</v>
      </c>
      <c r="DO530" s="441">
        <f t="shared" si="866"/>
        <v>0</v>
      </c>
      <c r="DP530" s="859">
        <f>DP422+DP508</f>
        <v>0</v>
      </c>
      <c r="DQ530" s="34"/>
      <c r="EB530" s="235" t="s">
        <v>950</v>
      </c>
      <c r="EC530" s="228" t="s">
        <v>949</v>
      </c>
      <c r="ED530" s="228" t="s">
        <v>943</v>
      </c>
      <c r="EE530" s="215" t="s">
        <v>944</v>
      </c>
      <c r="EF530" s="216" t="s">
        <v>945</v>
      </c>
      <c r="EG530" s="214" t="s">
        <v>941</v>
      </c>
      <c r="EH530" s="215" t="s">
        <v>942</v>
      </c>
      <c r="EI530" s="228" t="s">
        <v>943</v>
      </c>
      <c r="EJ530" s="215" t="s">
        <v>944</v>
      </c>
      <c r="EK530" s="415" t="s">
        <v>945</v>
      </c>
      <c r="FO530" s="114"/>
      <c r="GA530" s="34"/>
      <c r="GL530" s="1208" t="s">
        <v>2711</v>
      </c>
      <c r="GM530" s="1209">
        <f t="shared" ref="GM530:GT530" si="867">GM528+GM529</f>
        <v>0</v>
      </c>
      <c r="GN530" s="1209">
        <f t="shared" si="867"/>
        <v>0</v>
      </c>
      <c r="GO530" s="1209">
        <f t="shared" si="867"/>
        <v>0</v>
      </c>
      <c r="GP530" s="1223">
        <f t="shared" si="867"/>
        <v>0</v>
      </c>
      <c r="GQ530" s="1209">
        <f t="shared" si="867"/>
        <v>0</v>
      </c>
      <c r="GR530" s="1209">
        <f t="shared" si="867"/>
        <v>0</v>
      </c>
      <c r="GS530" s="1223">
        <f t="shared" si="867"/>
        <v>0</v>
      </c>
      <c r="GT530" s="1209">
        <f t="shared" si="867"/>
        <v>0</v>
      </c>
      <c r="GU530" s="1251">
        <f>SUM(GM530:GT530)</f>
        <v>0</v>
      </c>
      <c r="GV530" s="1208">
        <f t="shared" ref="GV530:HC530" si="868">GV528+GV529</f>
        <v>0</v>
      </c>
      <c r="GW530" s="1209">
        <f t="shared" si="868"/>
        <v>0</v>
      </c>
      <c r="GX530" s="1209">
        <f t="shared" si="868"/>
        <v>0</v>
      </c>
      <c r="GY530" s="1223">
        <f t="shared" si="868"/>
        <v>0</v>
      </c>
      <c r="GZ530" s="1209">
        <f t="shared" si="868"/>
        <v>0</v>
      </c>
      <c r="HA530" s="1209">
        <f t="shared" si="868"/>
        <v>0</v>
      </c>
      <c r="HB530" s="1223">
        <f t="shared" si="868"/>
        <v>0</v>
      </c>
      <c r="HC530" s="1209">
        <f t="shared" si="868"/>
        <v>0</v>
      </c>
      <c r="HD530" s="1251">
        <f>SUM(GV530:HC530)</f>
        <v>0</v>
      </c>
      <c r="HK530" s="123"/>
      <c r="HL530" s="123"/>
      <c r="HM530" s="123"/>
      <c r="HN530" s="123"/>
      <c r="HO530" s="123"/>
      <c r="HP530" s="123"/>
      <c r="HQ530" s="123"/>
      <c r="HR530" s="123"/>
      <c r="HS530" s="123"/>
      <c r="HT530" s="1701"/>
    </row>
    <row r="531" spans="1:228" s="69" customFormat="1" ht="27" customHeight="1" thickBot="1">
      <c r="A531" s="647"/>
      <c r="B531" s="647"/>
      <c r="C531" s="647"/>
      <c r="D531" s="647"/>
      <c r="E531" s="647"/>
      <c r="F531" s="381"/>
      <c r="G531" s="381"/>
      <c r="H531" s="381"/>
      <c r="I531" s="917"/>
      <c r="J531" s="917"/>
      <c r="K531" s="2313"/>
      <c r="L531" s="2313"/>
      <c r="M531" s="2313"/>
      <c r="N531" s="2313"/>
      <c r="O531" s="2313"/>
      <c r="P531" s="2313"/>
      <c r="Q531" s="2313"/>
      <c r="R531" s="2313"/>
      <c r="S531" s="917"/>
      <c r="T531" s="917"/>
      <c r="U531" s="123"/>
      <c r="V531" s="71"/>
      <c r="W531" s="109"/>
      <c r="X531" s="109"/>
      <c r="Y531" s="109"/>
      <c r="Z531" s="35"/>
      <c r="AA531" s="70"/>
      <c r="AB531" s="35"/>
      <c r="AC531" s="35"/>
      <c r="AD531" s="35"/>
      <c r="AE531" s="35"/>
      <c r="AF531" s="35"/>
      <c r="AG531" s="35"/>
      <c r="AH531" s="120"/>
      <c r="AI531" s="120"/>
      <c r="AJ531" s="120"/>
      <c r="AK531" s="120"/>
      <c r="AL531" s="120"/>
      <c r="AM531" s="120"/>
      <c r="AN531" s="120"/>
      <c r="AO531" s="120"/>
      <c r="AP531" s="35"/>
      <c r="AQ531" s="35"/>
      <c r="AR531" s="35"/>
      <c r="AS531" s="35"/>
      <c r="AT531" s="35"/>
      <c r="AU531" s="35"/>
      <c r="AV531" s="35"/>
      <c r="AW531" s="35"/>
      <c r="AX531" s="35"/>
      <c r="AY531" s="35"/>
      <c r="AZ531" s="35"/>
      <c r="BA531" s="35"/>
      <c r="BB531" s="35"/>
      <c r="BC531" s="35"/>
      <c r="BD531" s="35"/>
      <c r="BE531" s="35"/>
      <c r="BF531" s="35"/>
      <c r="BG531" s="35"/>
      <c r="BH531" s="35"/>
      <c r="BI531" s="35"/>
      <c r="BJ531" s="35"/>
      <c r="BK531" s="35"/>
      <c r="BL531" s="35"/>
      <c r="BM531" s="35"/>
      <c r="BN531" s="35"/>
      <c r="BO531" s="35"/>
      <c r="BP531" s="35"/>
      <c r="BQ531" s="35"/>
      <c r="BR531" s="35"/>
      <c r="BS531" s="35"/>
      <c r="BT531" s="35"/>
      <c r="BU531" s="751"/>
      <c r="BV531" s="749"/>
      <c r="BW531" s="749"/>
      <c r="BX531" s="749"/>
      <c r="BY531" s="749"/>
      <c r="BZ531" s="749"/>
      <c r="CA531" s="749"/>
      <c r="CB531" s="749"/>
      <c r="CC531" s="749"/>
      <c r="CD531" s="749"/>
      <c r="CE531" s="749"/>
      <c r="CF531" s="749"/>
      <c r="CG531" s="749"/>
      <c r="CH531" s="750"/>
      <c r="CI531" s="750"/>
      <c r="CJ531" s="750"/>
      <c r="CK531" s="750"/>
      <c r="CL531" s="750"/>
      <c r="CM531" s="750"/>
      <c r="CN531" s="750"/>
      <c r="CO531" s="750"/>
      <c r="CP531" s="750"/>
      <c r="CQ531" s="750"/>
      <c r="CR531" s="750"/>
      <c r="CS531" s="750"/>
      <c r="CT531" s="750"/>
      <c r="CU531" s="750"/>
      <c r="CV531" s="108"/>
      <c r="CW531" s="108"/>
      <c r="CX531" s="108"/>
      <c r="CY531" s="108"/>
      <c r="CZ531" s="108"/>
      <c r="DA531" s="108"/>
      <c r="DB531" s="108"/>
      <c r="DC531" s="35"/>
      <c r="DD531" s="381"/>
      <c r="DE531" s="108"/>
      <c r="DF531" s="108"/>
      <c r="DG531" s="108"/>
      <c r="DH531" s="108"/>
      <c r="DI531" s="108"/>
      <c r="DJ531" s="108"/>
      <c r="DK531" s="108"/>
      <c r="DL531" s="114"/>
      <c r="DM531" s="855" t="str">
        <f>IF(AND(DN531="",DO531="",DP531="",DM530&lt;&gt;0),"レ","")</f>
        <v/>
      </c>
      <c r="DN531" s="856" t="str">
        <f>IF(AND(DO531="",DP531="",DN530&lt;&gt;0),"レ","")</f>
        <v/>
      </c>
      <c r="DO531" s="856" t="str">
        <f>IF(DO530&lt;&gt;0,"レ","")</f>
        <v/>
      </c>
      <c r="DP531" s="857" t="str">
        <f>IF(AND(DO531="",DP530&lt;&gt;0),"レ","")</f>
        <v/>
      </c>
      <c r="DQ531" s="34"/>
      <c r="EB531" s="230" t="str">
        <f>IF(OR(EB367="レ",EB490="レ"),"レ","")</f>
        <v/>
      </c>
      <c r="EC531" s="389"/>
      <c r="ED531" s="231" t="str">
        <f>IF(EE422&lt;EE508,ED367,ED490)</f>
        <v/>
      </c>
      <c r="EE531" s="231" t="str">
        <f>IF(EE422&lt;EE508,EE367,EE490)</f>
        <v/>
      </c>
      <c r="EF531" s="387" t="str">
        <f>IF(OR(EF367="レ",EF490="レ"),"レ","")</f>
        <v/>
      </c>
      <c r="EG531" s="230" t="str">
        <f>IF(OR(EG367="レ",EG490="レ"),"レ","")</f>
        <v/>
      </c>
      <c r="EH531" s="389"/>
      <c r="EI531" s="231" t="str">
        <f>IF(EJ422&lt;EJ508,EI367,EI490)</f>
        <v/>
      </c>
      <c r="EJ531" s="231" t="str">
        <f>IF(EJ422&lt;EJ508,EJ367,EJ490)</f>
        <v/>
      </c>
      <c r="EK531" s="387" t="str">
        <f>IF(OR(EK367="レ",EK490="レ"),"レ","")</f>
        <v/>
      </c>
      <c r="ES531" s="69" t="str">
        <f>$GY$533</f>
        <v>要是正なし</v>
      </c>
      <c r="FO531" s="114"/>
      <c r="GA531" s="34"/>
      <c r="GL531" s="1252" t="s">
        <v>3075</v>
      </c>
      <c r="GM531" s="1253"/>
      <c r="GN531" s="1254"/>
      <c r="GO531" s="1254"/>
      <c r="GP531" s="1254"/>
      <c r="GQ531" s="1254"/>
      <c r="GR531" s="1254"/>
      <c r="GS531" s="1254"/>
      <c r="GT531" s="1255"/>
      <c r="GU531" s="1256"/>
      <c r="GV531" s="1257" t="str">
        <f t="shared" ref="GV531:HD531" si="869">IF(GM530&lt;&gt;0,IF(GV530&lt;&gt;0,IF(GV530=GM530,"改善済","一部改善済"),"未改善"),"要是正なし")</f>
        <v>要是正なし</v>
      </c>
      <c r="GW531" s="1258" t="str">
        <f t="shared" si="869"/>
        <v>要是正なし</v>
      </c>
      <c r="GX531" s="1258" t="str">
        <f t="shared" si="869"/>
        <v>要是正なし</v>
      </c>
      <c r="GY531" s="1258" t="str">
        <f t="shared" si="869"/>
        <v>要是正なし</v>
      </c>
      <c r="GZ531" s="1258" t="str">
        <f t="shared" si="869"/>
        <v>要是正なし</v>
      </c>
      <c r="HA531" s="1258" t="str">
        <f t="shared" si="869"/>
        <v>要是正なし</v>
      </c>
      <c r="HB531" s="1258" t="str">
        <f t="shared" si="869"/>
        <v>要是正なし</v>
      </c>
      <c r="HC531" s="1259" t="str">
        <f t="shared" si="869"/>
        <v>要是正なし</v>
      </c>
      <c r="HD531" s="1260" t="str">
        <f t="shared" si="869"/>
        <v>要是正なし</v>
      </c>
      <c r="HK531" s="123"/>
      <c r="HL531" s="123"/>
      <c r="HM531" s="123"/>
      <c r="HN531" s="123"/>
      <c r="HO531" s="123"/>
      <c r="HP531" s="123"/>
      <c r="HQ531" s="123"/>
      <c r="HR531" s="123"/>
      <c r="HS531" s="123"/>
      <c r="HT531" s="1701"/>
    </row>
    <row r="532" spans="1:228" s="69" customFormat="1" ht="27" customHeight="1" thickBot="1">
      <c r="A532" s="647"/>
      <c r="B532" s="647"/>
      <c r="C532" s="647"/>
      <c r="D532" s="647"/>
      <c r="E532" s="647"/>
      <c r="F532" s="381"/>
      <c r="G532" s="381"/>
      <c r="H532" s="381"/>
      <c r="I532" s="917"/>
      <c r="J532" s="917"/>
      <c r="K532" s="2313"/>
      <c r="L532" s="2313"/>
      <c r="M532" s="2313"/>
      <c r="N532" s="2313"/>
      <c r="O532" s="2313"/>
      <c r="P532" s="2313"/>
      <c r="Q532" s="2313"/>
      <c r="R532" s="2313"/>
      <c r="S532" s="917"/>
      <c r="T532" s="917"/>
      <c r="U532" s="123"/>
      <c r="V532" s="71"/>
      <c r="W532" s="109"/>
      <c r="X532" s="109"/>
      <c r="Y532" s="109"/>
      <c r="Z532" s="35"/>
      <c r="AA532" s="70"/>
      <c r="AB532" s="35"/>
      <c r="AC532" s="35"/>
      <c r="AD532" s="35"/>
      <c r="AE532" s="35"/>
      <c r="AF532" s="35"/>
      <c r="AG532" s="35"/>
      <c r="AH532" s="120"/>
      <c r="AI532" s="120"/>
      <c r="AJ532" s="120"/>
      <c r="AK532" s="120"/>
      <c r="AL532" s="120"/>
      <c r="AM532" s="120"/>
      <c r="AN532" s="120"/>
      <c r="AO532" s="120"/>
      <c r="AP532" s="35"/>
      <c r="AQ532" s="35"/>
      <c r="AR532" s="35"/>
      <c r="AS532" s="35"/>
      <c r="AT532" s="35"/>
      <c r="AU532" s="35"/>
      <c r="AV532" s="35"/>
      <c r="AW532" s="35"/>
      <c r="AX532" s="35"/>
      <c r="AY532" s="35"/>
      <c r="AZ532" s="35"/>
      <c r="BA532" s="35"/>
      <c r="BB532" s="35"/>
      <c r="BC532" s="35"/>
      <c r="BD532" s="35"/>
      <c r="BE532" s="35"/>
      <c r="BF532" s="35"/>
      <c r="BG532" s="35"/>
      <c r="BH532" s="35"/>
      <c r="BI532" s="35"/>
      <c r="BJ532" s="35"/>
      <c r="BK532" s="35"/>
      <c r="BL532" s="35"/>
      <c r="BM532" s="35"/>
      <c r="BN532" s="35"/>
      <c r="BO532" s="35"/>
      <c r="BP532" s="35"/>
      <c r="BQ532" s="35"/>
      <c r="BR532" s="35"/>
      <c r="BS532" s="35"/>
      <c r="BT532" s="35"/>
      <c r="BU532" s="751"/>
      <c r="BV532" s="749"/>
      <c r="BW532" s="749"/>
      <c r="BX532" s="749"/>
      <c r="BY532" s="749"/>
      <c r="BZ532" s="749"/>
      <c r="CA532" s="749"/>
      <c r="CB532" s="749"/>
      <c r="CC532" s="749"/>
      <c r="CD532" s="749"/>
      <c r="CE532" s="749"/>
      <c r="CF532" s="749"/>
      <c r="CG532" s="749"/>
      <c r="CH532" s="750"/>
      <c r="CI532" s="750"/>
      <c r="CJ532" s="750"/>
      <c r="CK532" s="750"/>
      <c r="CL532" s="750"/>
      <c r="CM532" s="750"/>
      <c r="CN532" s="750"/>
      <c r="CO532" s="750"/>
      <c r="CP532" s="750"/>
      <c r="CQ532" s="750"/>
      <c r="CR532" s="750"/>
      <c r="CS532" s="750"/>
      <c r="CT532" s="750"/>
      <c r="CU532" s="750"/>
      <c r="CV532" s="108"/>
      <c r="CW532" s="108"/>
      <c r="CX532" s="108"/>
      <c r="CY532" s="108"/>
      <c r="CZ532" s="108"/>
      <c r="DA532" s="108"/>
      <c r="DB532" s="108"/>
      <c r="DC532" s="35"/>
      <c r="DD532" s="381"/>
      <c r="DE532" s="108"/>
      <c r="DF532" s="108"/>
      <c r="DG532" s="108"/>
      <c r="DH532" s="108"/>
      <c r="DI532" s="108"/>
      <c r="DJ532" s="108"/>
      <c r="DK532" s="108"/>
      <c r="DL532" s="114"/>
      <c r="DM532" s="34"/>
      <c r="DN532" s="34"/>
      <c r="DO532" s="34"/>
      <c r="DP532" s="34"/>
      <c r="DQ532" s="34"/>
      <c r="EG532" s="166"/>
      <c r="EH532" s="166"/>
      <c r="EI532" s="166"/>
      <c r="EJ532" s="166"/>
      <c r="EK532" s="166"/>
      <c r="FO532" s="114"/>
      <c r="GA532" s="34"/>
      <c r="GL532" s="1261" t="s">
        <v>3085</v>
      </c>
      <c r="GM532" s="1151"/>
      <c r="GN532" s="1151"/>
      <c r="GO532" s="1151"/>
      <c r="GP532" s="1262">
        <f>GP530+GS530</f>
        <v>0</v>
      </c>
      <c r="GQ532" s="1151"/>
      <c r="GR532" s="1151"/>
      <c r="GS532" s="909"/>
      <c r="GT532" s="1151"/>
      <c r="GU532" s="1263"/>
      <c r="GV532" s="1151"/>
      <c r="GW532" s="1151"/>
      <c r="GX532" s="1151"/>
      <c r="GY532" s="1262">
        <f>GY530+HB530</f>
        <v>0</v>
      </c>
      <c r="GZ532" s="1151"/>
      <c r="HA532" s="1151"/>
      <c r="HB532" s="909"/>
      <c r="HC532" s="1151"/>
      <c r="HD532" s="1263"/>
      <c r="HE532" s="123"/>
    </row>
    <row r="533" spans="1:228" s="69" customFormat="1" ht="27" customHeight="1" thickBot="1">
      <c r="A533" s="647"/>
      <c r="B533" s="647"/>
      <c r="C533" s="647"/>
      <c r="D533" s="647"/>
      <c r="E533" s="647"/>
      <c r="F533" s="381"/>
      <c r="G533" s="381"/>
      <c r="H533" s="381"/>
      <c r="I533" s="917"/>
      <c r="J533" s="917"/>
      <c r="K533" s="2313"/>
      <c r="L533" s="2313"/>
      <c r="M533" s="2313"/>
      <c r="N533" s="2313"/>
      <c r="O533" s="2313"/>
      <c r="P533" s="2313"/>
      <c r="Q533" s="2313"/>
      <c r="R533" s="2313"/>
      <c r="S533" s="917"/>
      <c r="T533" s="917"/>
      <c r="U533" s="123"/>
      <c r="V533" s="71"/>
      <c r="W533" s="109"/>
      <c r="X533" s="109"/>
      <c r="Y533" s="109"/>
      <c r="Z533" s="35"/>
      <c r="AA533" s="70"/>
      <c r="AB533" s="35"/>
      <c r="AC533" s="35"/>
      <c r="AD533" s="35"/>
      <c r="AE533" s="35"/>
      <c r="AF533" s="35"/>
      <c r="AG533" s="35"/>
      <c r="AH533" s="120"/>
      <c r="AI533" s="120"/>
      <c r="AJ533" s="120"/>
      <c r="AK533" s="120"/>
      <c r="AL533" s="120"/>
      <c r="AM533" s="120"/>
      <c r="AN533" s="120"/>
      <c r="AO533" s="120"/>
      <c r="AP533" s="35"/>
      <c r="AQ533" s="35"/>
      <c r="AR533" s="35"/>
      <c r="AS533" s="35"/>
      <c r="AT533" s="35"/>
      <c r="AU533" s="35"/>
      <c r="AV533" s="35"/>
      <c r="AW533" s="35"/>
      <c r="AX533" s="35"/>
      <c r="AY533" s="35"/>
      <c r="AZ533" s="35"/>
      <c r="BA533" s="35"/>
      <c r="BB533" s="35"/>
      <c r="BC533" s="35"/>
      <c r="BD533" s="35"/>
      <c r="BE533" s="35"/>
      <c r="BF533" s="35"/>
      <c r="BG533" s="35"/>
      <c r="BH533" s="35"/>
      <c r="BI533" s="35"/>
      <c r="BJ533" s="35"/>
      <c r="BK533" s="35"/>
      <c r="BL533" s="35"/>
      <c r="BM533" s="35"/>
      <c r="BN533" s="35"/>
      <c r="BO533" s="35"/>
      <c r="BP533" s="35"/>
      <c r="BQ533" s="35"/>
      <c r="BR533" s="35"/>
      <c r="BS533" s="35"/>
      <c r="BT533" s="35"/>
      <c r="BU533" s="751"/>
      <c r="BV533" s="749"/>
      <c r="BW533" s="749"/>
      <c r="BX533" s="749"/>
      <c r="BY533" s="749"/>
      <c r="BZ533" s="749"/>
      <c r="CA533" s="749"/>
      <c r="CB533" s="749"/>
      <c r="CC533" s="749"/>
      <c r="CD533" s="749"/>
      <c r="CE533" s="749"/>
      <c r="CF533" s="749"/>
      <c r="CG533" s="749"/>
      <c r="CH533" s="750"/>
      <c r="CI533" s="750"/>
      <c r="CJ533" s="750"/>
      <c r="CK533" s="750"/>
      <c r="CL533" s="750"/>
      <c r="CM533" s="750"/>
      <c r="CN533" s="750"/>
      <c r="CO533" s="750"/>
      <c r="CP533" s="750"/>
      <c r="CQ533" s="750"/>
      <c r="CR533" s="750"/>
      <c r="CS533" s="750"/>
      <c r="CT533" s="750"/>
      <c r="CU533" s="750"/>
      <c r="CV533" s="108"/>
      <c r="CW533" s="108"/>
      <c r="CX533" s="108"/>
      <c r="CY533" s="108"/>
      <c r="CZ533" s="108"/>
      <c r="DA533" s="108"/>
      <c r="DB533" s="108"/>
      <c r="DC533" s="35"/>
      <c r="DD533" s="381"/>
      <c r="DE533" s="108"/>
      <c r="DF533" s="108"/>
      <c r="DG533" s="108"/>
      <c r="DH533" s="108"/>
      <c r="DI533" s="108"/>
      <c r="DJ533" s="108"/>
      <c r="DK533" s="108"/>
      <c r="DL533" s="114"/>
      <c r="DM533" s="34"/>
      <c r="DN533" s="34"/>
      <c r="DO533" s="34"/>
      <c r="DP533" s="34"/>
      <c r="DQ533" s="34"/>
      <c r="EG533" s="166"/>
      <c r="EH533" s="166"/>
      <c r="EI533" s="166"/>
      <c r="EJ533" s="166"/>
      <c r="EK533" s="166"/>
      <c r="FO533" s="114"/>
      <c r="GA533" s="34"/>
      <c r="GL533" s="1252" t="s">
        <v>3075</v>
      </c>
      <c r="GM533" s="1255"/>
      <c r="GN533" s="1255"/>
      <c r="GO533" s="1255"/>
      <c r="GP533" s="1255"/>
      <c r="GQ533" s="1255"/>
      <c r="GR533" s="1255"/>
      <c r="GS533" s="1255"/>
      <c r="GT533" s="1255"/>
      <c r="GU533" s="1264"/>
      <c r="GV533" s="1255"/>
      <c r="GW533" s="1255"/>
      <c r="GX533" s="1255"/>
      <c r="GY533" s="1265" t="str">
        <f>IF(GP532&lt;&gt;0,IF(GY532&lt;&gt;0,IF(GY532=GP532,"改善済","一部改善済"),"未改善"),"要是正なし")</f>
        <v>要是正なし</v>
      </c>
      <c r="GZ533" s="1255"/>
      <c r="HA533" s="1255"/>
      <c r="HB533" s="1255"/>
      <c r="HC533" s="1255"/>
      <c r="HD533" s="1264"/>
    </row>
    <row r="534" spans="1:228" s="69" customFormat="1" ht="27" customHeight="1">
      <c r="A534" s="647"/>
      <c r="B534" s="647"/>
      <c r="C534" s="647"/>
      <c r="D534" s="647"/>
      <c r="E534" s="647"/>
      <c r="F534" s="381"/>
      <c r="G534" s="381"/>
      <c r="H534" s="381"/>
      <c r="I534" s="917"/>
      <c r="J534" s="917"/>
      <c r="K534" s="2313"/>
      <c r="L534" s="2313"/>
      <c r="M534" s="2313"/>
      <c r="N534" s="2313"/>
      <c r="O534" s="2313"/>
      <c r="P534" s="2313"/>
      <c r="Q534" s="2313"/>
      <c r="R534" s="2313"/>
      <c r="S534" s="917"/>
      <c r="T534" s="917"/>
      <c r="U534" s="123"/>
      <c r="V534" s="71"/>
      <c r="W534" s="109"/>
      <c r="X534" s="109"/>
      <c r="Y534" s="109"/>
      <c r="Z534" s="35"/>
      <c r="AA534" s="70"/>
      <c r="AB534" s="35"/>
      <c r="AC534" s="35"/>
      <c r="AD534" s="35"/>
      <c r="AE534" s="35"/>
      <c r="AF534" s="35"/>
      <c r="AG534" s="35"/>
      <c r="AH534" s="120"/>
      <c r="AI534" s="120"/>
      <c r="AJ534" s="120"/>
      <c r="AK534" s="120"/>
      <c r="AL534" s="120"/>
      <c r="AM534" s="120"/>
      <c r="AN534" s="120"/>
      <c r="AO534" s="120"/>
      <c r="AP534" s="35"/>
      <c r="AQ534" s="35"/>
      <c r="AR534" s="35"/>
      <c r="AS534" s="35"/>
      <c r="AT534" s="35"/>
      <c r="AU534" s="35"/>
      <c r="AV534" s="35"/>
      <c r="AW534" s="35"/>
      <c r="AX534" s="35"/>
      <c r="AY534" s="35"/>
      <c r="AZ534" s="35"/>
      <c r="BA534" s="35"/>
      <c r="BB534" s="35"/>
      <c r="BC534" s="35"/>
      <c r="BD534" s="35"/>
      <c r="BE534" s="35"/>
      <c r="BF534" s="35"/>
      <c r="BG534" s="35"/>
      <c r="BH534" s="35"/>
      <c r="BI534" s="35"/>
      <c r="BJ534" s="35"/>
      <c r="BK534" s="35"/>
      <c r="BL534" s="35"/>
      <c r="BM534" s="35"/>
      <c r="BN534" s="35"/>
      <c r="BO534" s="35"/>
      <c r="BP534" s="35"/>
      <c r="BQ534" s="35"/>
      <c r="BR534" s="35"/>
      <c r="BS534" s="35"/>
      <c r="BT534" s="35"/>
      <c r="BU534" s="751"/>
      <c r="BV534" s="749"/>
      <c r="BW534" s="749"/>
      <c r="BX534" s="749"/>
      <c r="BY534" s="749"/>
      <c r="BZ534" s="749"/>
      <c r="CA534" s="749"/>
      <c r="CB534" s="749"/>
      <c r="CC534" s="749"/>
      <c r="CD534" s="749"/>
      <c r="CE534" s="749"/>
      <c r="CF534" s="749"/>
      <c r="CG534" s="749"/>
      <c r="CH534" s="750"/>
      <c r="CI534" s="750"/>
      <c r="CJ534" s="750"/>
      <c r="CK534" s="750"/>
      <c r="CL534" s="750"/>
      <c r="CM534" s="750"/>
      <c r="CN534" s="750"/>
      <c r="CO534" s="750"/>
      <c r="CP534" s="750"/>
      <c r="CQ534" s="750"/>
      <c r="CR534" s="750"/>
      <c r="CS534" s="750"/>
      <c r="CT534" s="750"/>
      <c r="CU534" s="750"/>
      <c r="CV534" s="108"/>
      <c r="CW534" s="108"/>
      <c r="CX534" s="108"/>
      <c r="CY534" s="108"/>
      <c r="CZ534" s="108"/>
      <c r="DA534" s="108"/>
      <c r="DB534" s="108"/>
      <c r="DC534" s="35"/>
      <c r="DD534" s="108"/>
      <c r="DE534" s="108"/>
      <c r="DF534" s="108"/>
      <c r="DG534" s="108"/>
      <c r="DH534" s="108"/>
      <c r="DI534" s="108"/>
      <c r="DJ534" s="108"/>
      <c r="DK534" s="108"/>
      <c r="DL534" s="114"/>
      <c r="DM534" s="34"/>
      <c r="DN534" s="34"/>
      <c r="DO534" s="34"/>
      <c r="DP534" s="34"/>
      <c r="DQ534" s="34"/>
      <c r="EG534" s="166"/>
      <c r="EH534" s="166"/>
      <c r="EI534" s="166"/>
      <c r="EJ534" s="166"/>
      <c r="EK534" s="166"/>
      <c r="FO534" s="114"/>
      <c r="GA534" s="34"/>
    </row>
    <row r="535" spans="1:228" s="69" customFormat="1" ht="27" customHeight="1">
      <c r="A535" s="647"/>
      <c r="B535" s="647"/>
      <c r="C535" s="647"/>
      <c r="D535" s="647"/>
      <c r="E535" s="647"/>
      <c r="F535" s="381"/>
      <c r="G535" s="381"/>
      <c r="H535" s="381"/>
      <c r="I535" s="917"/>
      <c r="J535" s="917"/>
      <c r="K535" s="2313"/>
      <c r="L535" s="2313"/>
      <c r="M535" s="2313"/>
      <c r="N535" s="2313"/>
      <c r="O535" s="2313"/>
      <c r="P535" s="2313"/>
      <c r="Q535" s="2313"/>
      <c r="R535" s="2313"/>
      <c r="S535" s="917"/>
      <c r="T535" s="917"/>
      <c r="U535" s="123"/>
      <c r="V535" s="71"/>
      <c r="W535" s="109"/>
      <c r="X535" s="109"/>
      <c r="Y535" s="109"/>
      <c r="Z535" s="35"/>
      <c r="AA535" s="70"/>
      <c r="AB535" s="35"/>
      <c r="AC535" s="35"/>
      <c r="AD535" s="35"/>
      <c r="AE535" s="35"/>
      <c r="AF535" s="35"/>
      <c r="AG535" s="35"/>
      <c r="AH535" s="120"/>
      <c r="AI535" s="120"/>
      <c r="AJ535" s="120"/>
      <c r="AK535" s="120"/>
      <c r="AL535" s="120"/>
      <c r="AM535" s="120"/>
      <c r="AN535" s="120"/>
      <c r="AO535" s="120"/>
      <c r="AP535" s="35"/>
      <c r="AQ535" s="35"/>
      <c r="AR535" s="35"/>
      <c r="AS535" s="35"/>
      <c r="AT535" s="35"/>
      <c r="AU535" s="35"/>
      <c r="AV535" s="35"/>
      <c r="AW535" s="35"/>
      <c r="AX535" s="35"/>
      <c r="AY535" s="35"/>
      <c r="AZ535" s="35"/>
      <c r="BA535" s="35"/>
      <c r="BB535" s="35"/>
      <c r="BC535" s="35"/>
      <c r="BD535" s="35"/>
      <c r="BE535" s="35"/>
      <c r="BF535" s="35"/>
      <c r="BG535" s="35"/>
      <c r="BH535" s="35"/>
      <c r="BI535" s="35"/>
      <c r="BJ535" s="35"/>
      <c r="BK535" s="35"/>
      <c r="BL535" s="35"/>
      <c r="BM535" s="35"/>
      <c r="BN535" s="35"/>
      <c r="BO535" s="35"/>
      <c r="BP535" s="35"/>
      <c r="BQ535" s="35"/>
      <c r="BR535" s="35"/>
      <c r="BS535" s="35"/>
      <c r="BT535" s="35"/>
      <c r="BU535" s="751"/>
      <c r="BV535" s="749"/>
      <c r="BW535" s="749"/>
      <c r="BX535" s="749"/>
      <c r="BY535" s="749"/>
      <c r="BZ535" s="749"/>
      <c r="CA535" s="749"/>
      <c r="CB535" s="749"/>
      <c r="CC535" s="749"/>
      <c r="CD535" s="749"/>
      <c r="CE535" s="749"/>
      <c r="CF535" s="749"/>
      <c r="CG535" s="749"/>
      <c r="CH535" s="750"/>
      <c r="CI535" s="750"/>
      <c r="CJ535" s="750"/>
      <c r="CK535" s="750"/>
      <c r="CL535" s="750"/>
      <c r="CM535" s="750"/>
      <c r="CN535" s="750"/>
      <c r="CO535" s="750"/>
      <c r="CP535" s="750"/>
      <c r="CQ535" s="750"/>
      <c r="CR535" s="750"/>
      <c r="CS535" s="750"/>
      <c r="CT535" s="750"/>
      <c r="CU535" s="750"/>
      <c r="CV535" s="108"/>
      <c r="CW535" s="108"/>
      <c r="CX535" s="108"/>
      <c r="CY535" s="108"/>
      <c r="CZ535" s="108"/>
      <c r="DA535" s="108"/>
      <c r="DB535" s="108"/>
      <c r="DC535" s="35"/>
      <c r="DD535" s="108"/>
      <c r="DE535" s="108"/>
      <c r="DF535" s="108"/>
      <c r="DG535" s="108"/>
      <c r="DH535" s="108"/>
      <c r="DI535" s="108"/>
      <c r="DJ535" s="108"/>
      <c r="DK535" s="108"/>
      <c r="DL535" s="114"/>
      <c r="DM535" s="34"/>
      <c r="DN535" s="34"/>
      <c r="DO535" s="34"/>
      <c r="DP535" s="34"/>
      <c r="DQ535" s="34"/>
      <c r="EG535" s="166"/>
      <c r="EH535" s="166"/>
      <c r="EI535" s="166"/>
      <c r="EJ535" s="166"/>
      <c r="EK535" s="166"/>
      <c r="FO535" s="114"/>
      <c r="GA535" s="34"/>
    </row>
    <row r="536" spans="1:228" s="69" customFormat="1" ht="27" customHeight="1">
      <c r="A536" s="647"/>
      <c r="B536" s="647"/>
      <c r="C536" s="647"/>
      <c r="D536" s="647"/>
      <c r="E536" s="647"/>
      <c r="F536" s="381"/>
      <c r="G536" s="381"/>
      <c r="H536" s="381"/>
      <c r="I536" s="917"/>
      <c r="J536" s="917"/>
      <c r="K536" s="2313"/>
      <c r="L536" s="2313"/>
      <c r="M536" s="2313"/>
      <c r="N536" s="2313"/>
      <c r="O536" s="2313"/>
      <c r="P536" s="2313"/>
      <c r="Q536" s="2313"/>
      <c r="R536" s="2313"/>
      <c r="S536" s="917"/>
      <c r="T536" s="917"/>
      <c r="U536" s="123"/>
      <c r="V536" s="71"/>
      <c r="W536" s="109"/>
      <c r="X536" s="109"/>
      <c r="Y536" s="109"/>
      <c r="Z536" s="35"/>
      <c r="AA536" s="70"/>
      <c r="AB536" s="35"/>
      <c r="AC536" s="35"/>
      <c r="AD536" s="35"/>
      <c r="AE536" s="35"/>
      <c r="AF536" s="35"/>
      <c r="AG536" s="35"/>
      <c r="AH536" s="120"/>
      <c r="AI536" s="120"/>
      <c r="AJ536" s="120"/>
      <c r="AK536" s="120"/>
      <c r="AL536" s="120"/>
      <c r="AM536" s="120"/>
      <c r="AN536" s="120"/>
      <c r="AO536" s="120"/>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5"/>
      <c r="BM536" s="35"/>
      <c r="BN536" s="35"/>
      <c r="BO536" s="35"/>
      <c r="BP536" s="35"/>
      <c r="BQ536" s="35"/>
      <c r="BR536" s="35"/>
      <c r="BS536" s="35"/>
      <c r="BT536" s="35"/>
      <c r="BU536" s="751"/>
      <c r="BV536" s="749"/>
      <c r="BW536" s="749"/>
      <c r="BX536" s="749"/>
      <c r="BY536" s="749"/>
      <c r="BZ536" s="749"/>
      <c r="CA536" s="749"/>
      <c r="CB536" s="749"/>
      <c r="CC536" s="749"/>
      <c r="CD536" s="749"/>
      <c r="CE536" s="749"/>
      <c r="CF536" s="749"/>
      <c r="CG536" s="749"/>
      <c r="CH536" s="750"/>
      <c r="CI536" s="750"/>
      <c r="CJ536" s="750"/>
      <c r="CK536" s="750"/>
      <c r="CL536" s="750"/>
      <c r="CM536" s="750"/>
      <c r="CN536" s="750"/>
      <c r="CO536" s="750"/>
      <c r="CP536" s="750"/>
      <c r="CQ536" s="750"/>
      <c r="CR536" s="750"/>
      <c r="CS536" s="750"/>
      <c r="CT536" s="750"/>
      <c r="CU536" s="750"/>
      <c r="CV536" s="108"/>
      <c r="CW536" s="108"/>
      <c r="CX536" s="108"/>
      <c r="CY536" s="108"/>
      <c r="CZ536" s="108"/>
      <c r="DA536" s="108"/>
      <c r="DB536" s="108"/>
      <c r="DC536" s="35"/>
      <c r="DD536" s="108"/>
      <c r="DE536" s="108"/>
      <c r="DF536" s="108"/>
      <c r="DG536" s="108"/>
      <c r="DH536" s="108"/>
      <c r="DI536" s="108"/>
      <c r="DJ536" s="108"/>
      <c r="DK536" s="108"/>
      <c r="DL536" s="114"/>
      <c r="DM536" s="34"/>
      <c r="DN536" s="34"/>
      <c r="DO536" s="34"/>
      <c r="DP536" s="34"/>
      <c r="DQ536" s="34"/>
      <c r="EG536" s="166"/>
      <c r="EH536" s="166"/>
      <c r="EI536" s="166"/>
      <c r="EJ536" s="166"/>
      <c r="EK536" s="166"/>
      <c r="FO536" s="114"/>
      <c r="GA536" s="34"/>
    </row>
    <row r="537" spans="1:228" s="69" customFormat="1" ht="27" customHeight="1">
      <c r="A537" s="647"/>
      <c r="B537" s="647"/>
      <c r="C537" s="647"/>
      <c r="D537" s="647"/>
      <c r="E537" s="647"/>
      <c r="F537" s="381"/>
      <c r="G537" s="381"/>
      <c r="H537" s="381"/>
      <c r="I537" s="917"/>
      <c r="J537" s="917"/>
      <c r="K537" s="2313"/>
      <c r="L537" s="2313"/>
      <c r="M537" s="2313"/>
      <c r="N537" s="2313"/>
      <c r="O537" s="2313"/>
      <c r="P537" s="2313"/>
      <c r="Q537" s="2313"/>
      <c r="R537" s="2313"/>
      <c r="S537" s="917"/>
      <c r="T537" s="917"/>
      <c r="U537" s="123"/>
      <c r="V537" s="71"/>
      <c r="W537" s="109"/>
      <c r="X537" s="109"/>
      <c r="Y537" s="109"/>
      <c r="Z537" s="35"/>
      <c r="AA537" s="70"/>
      <c r="AB537" s="35"/>
      <c r="AC537" s="35"/>
      <c r="AD537" s="35"/>
      <c r="AE537" s="35"/>
      <c r="AF537" s="35"/>
      <c r="AG537" s="35"/>
      <c r="AH537" s="120"/>
      <c r="AI537" s="120"/>
      <c r="AJ537" s="120"/>
      <c r="AK537" s="120"/>
      <c r="AL537" s="120"/>
      <c r="AM537" s="120"/>
      <c r="AN537" s="120"/>
      <c r="AO537" s="120"/>
      <c r="AP537" s="35"/>
      <c r="AQ537" s="35"/>
      <c r="AR537" s="35"/>
      <c r="AS537" s="35"/>
      <c r="AT537" s="35"/>
      <c r="AU537" s="35"/>
      <c r="AV537" s="35"/>
      <c r="AW537" s="35"/>
      <c r="AX537" s="35"/>
      <c r="AY537" s="35"/>
      <c r="AZ537" s="35"/>
      <c r="BA537" s="35"/>
      <c r="BB537" s="35"/>
      <c r="BC537" s="35"/>
      <c r="BD537" s="35"/>
      <c r="BE537" s="35"/>
      <c r="BF537" s="35"/>
      <c r="BG537" s="35"/>
      <c r="BH537" s="35"/>
      <c r="BI537" s="35"/>
      <c r="BJ537" s="35"/>
      <c r="BK537" s="35"/>
      <c r="BL537" s="35"/>
      <c r="BM537" s="35"/>
      <c r="BN537" s="35"/>
      <c r="BO537" s="35"/>
      <c r="BP537" s="35"/>
      <c r="BQ537" s="35"/>
      <c r="BR537" s="35"/>
      <c r="BS537" s="35"/>
      <c r="BT537" s="35"/>
      <c r="BU537" s="751"/>
      <c r="BV537" s="749"/>
      <c r="BW537" s="749"/>
      <c r="BX537" s="749"/>
      <c r="BY537" s="749"/>
      <c r="BZ537" s="749"/>
      <c r="CA537" s="749"/>
      <c r="CB537" s="749"/>
      <c r="CC537" s="749"/>
      <c r="CD537" s="749"/>
      <c r="CE537" s="749"/>
      <c r="CF537" s="749"/>
      <c r="CG537" s="749"/>
      <c r="CH537" s="750"/>
      <c r="CI537" s="750"/>
      <c r="CJ537" s="750"/>
      <c r="CK537" s="750"/>
      <c r="CL537" s="750"/>
      <c r="CM537" s="750"/>
      <c r="CN537" s="750"/>
      <c r="CO537" s="750"/>
      <c r="CP537" s="750"/>
      <c r="CQ537" s="750"/>
      <c r="CR537" s="750"/>
      <c r="CS537" s="750"/>
      <c r="CT537" s="750"/>
      <c r="CU537" s="750"/>
      <c r="CV537" s="108"/>
      <c r="CW537" s="108"/>
      <c r="CX537" s="108"/>
      <c r="CY537" s="108"/>
      <c r="CZ537" s="108"/>
      <c r="DA537" s="108"/>
      <c r="DB537" s="108"/>
      <c r="DC537" s="35"/>
      <c r="DD537" s="108"/>
      <c r="DE537" s="108"/>
      <c r="DF537" s="108"/>
      <c r="DG537" s="108"/>
      <c r="DH537" s="108"/>
      <c r="DI537" s="108"/>
      <c r="DJ537" s="108"/>
      <c r="DK537" s="108"/>
      <c r="DL537" s="114"/>
      <c r="DM537" s="34"/>
      <c r="DN537" s="34"/>
      <c r="DO537" s="34"/>
      <c r="DP537" s="34"/>
      <c r="DQ537" s="34"/>
      <c r="EG537" s="166"/>
      <c r="EH537" s="166"/>
      <c r="EI537" s="166"/>
      <c r="EJ537" s="166"/>
      <c r="EK537" s="166"/>
      <c r="FO537" s="114"/>
      <c r="GA537" s="34"/>
    </row>
    <row r="538" spans="1:228" s="69" customFormat="1" ht="27" customHeight="1">
      <c r="A538" s="647"/>
      <c r="B538" s="647"/>
      <c r="C538" s="647"/>
      <c r="D538" s="647"/>
      <c r="E538" s="647"/>
      <c r="F538" s="381"/>
      <c r="G538" s="381"/>
      <c r="H538" s="381"/>
      <c r="I538" s="917"/>
      <c r="J538" s="917"/>
      <c r="K538" s="2313"/>
      <c r="L538" s="2313"/>
      <c r="M538" s="2313"/>
      <c r="N538" s="2313"/>
      <c r="O538" s="2313"/>
      <c r="P538" s="2313"/>
      <c r="Q538" s="2313"/>
      <c r="R538" s="2313"/>
      <c r="S538" s="917"/>
      <c r="T538" s="917"/>
      <c r="U538" s="123"/>
      <c r="V538" s="71"/>
      <c r="W538" s="109"/>
      <c r="X538" s="109"/>
      <c r="Y538" s="109"/>
      <c r="Z538" s="35"/>
      <c r="AA538" s="70"/>
      <c r="AB538" s="35"/>
      <c r="AC538" s="35"/>
      <c r="AD538" s="35"/>
      <c r="AE538" s="35"/>
      <c r="AF538" s="35"/>
      <c r="AG538" s="35"/>
      <c r="AH538" s="120"/>
      <c r="AI538" s="120"/>
      <c r="AJ538" s="120"/>
      <c r="AK538" s="120"/>
      <c r="AL538" s="120"/>
      <c r="AM538" s="120"/>
      <c r="AN538" s="120"/>
      <c r="AO538" s="120"/>
      <c r="AP538" s="35"/>
      <c r="AQ538" s="35"/>
      <c r="AR538" s="35"/>
      <c r="AS538" s="35"/>
      <c r="AT538" s="35"/>
      <c r="AU538" s="35"/>
      <c r="AV538" s="35"/>
      <c r="AW538" s="35"/>
      <c r="AX538" s="35"/>
      <c r="AY538" s="35"/>
      <c r="AZ538" s="35"/>
      <c r="BA538" s="35"/>
      <c r="BB538" s="35"/>
      <c r="BC538" s="35"/>
      <c r="BD538" s="35"/>
      <c r="BE538" s="35"/>
      <c r="BF538" s="35"/>
      <c r="BG538" s="35"/>
      <c r="BH538" s="35"/>
      <c r="BI538" s="35"/>
      <c r="BJ538" s="35"/>
      <c r="BK538" s="35"/>
      <c r="BL538" s="35"/>
      <c r="BM538" s="35"/>
      <c r="BN538" s="35"/>
      <c r="BO538" s="35"/>
      <c r="BP538" s="35"/>
      <c r="BQ538" s="35"/>
      <c r="BR538" s="35"/>
      <c r="BS538" s="35"/>
      <c r="BT538" s="35"/>
      <c r="BU538" s="751"/>
      <c r="BV538" s="749"/>
      <c r="BW538" s="749"/>
      <c r="BX538" s="749"/>
      <c r="BY538" s="749"/>
      <c r="BZ538" s="749"/>
      <c r="CA538" s="749"/>
      <c r="CB538" s="749"/>
      <c r="CC538" s="749"/>
      <c r="CD538" s="749"/>
      <c r="CE538" s="749"/>
      <c r="CF538" s="749"/>
      <c r="CG538" s="749"/>
      <c r="CH538" s="750"/>
      <c r="CI538" s="750"/>
      <c r="CJ538" s="750"/>
      <c r="CK538" s="750"/>
      <c r="CL538" s="750"/>
      <c r="CM538" s="750"/>
      <c r="CN538" s="750"/>
      <c r="CO538" s="750"/>
      <c r="CP538" s="750"/>
      <c r="CQ538" s="750"/>
      <c r="CR538" s="750"/>
      <c r="CS538" s="750"/>
      <c r="CT538" s="750"/>
      <c r="CU538" s="750"/>
      <c r="CV538" s="108"/>
      <c r="CW538" s="108"/>
      <c r="CX538" s="108"/>
      <c r="CY538" s="108"/>
      <c r="CZ538" s="108"/>
      <c r="DA538" s="108"/>
      <c r="DB538" s="108"/>
      <c r="DC538" s="35"/>
      <c r="DD538" s="108"/>
      <c r="DE538" s="108"/>
      <c r="DF538" s="108"/>
      <c r="DG538" s="108"/>
      <c r="DH538" s="108"/>
      <c r="DI538" s="108"/>
      <c r="DJ538" s="108"/>
      <c r="DK538" s="108"/>
      <c r="DL538" s="114"/>
      <c r="DM538" s="34"/>
      <c r="DN538" s="34"/>
      <c r="DO538" s="34"/>
      <c r="DP538" s="34"/>
      <c r="DQ538" s="34"/>
      <c r="EG538" s="166"/>
      <c r="EH538" s="166"/>
      <c r="EI538" s="166"/>
      <c r="EJ538" s="166"/>
      <c r="EK538" s="166"/>
      <c r="FO538" s="114"/>
      <c r="GA538" s="34"/>
    </row>
    <row r="539" spans="1:228" s="69" customFormat="1" ht="27" customHeight="1">
      <c r="A539" s="647"/>
      <c r="B539" s="647"/>
      <c r="C539" s="647"/>
      <c r="D539" s="647"/>
      <c r="E539" s="647"/>
      <c r="F539" s="381"/>
      <c r="G539" s="381"/>
      <c r="H539" s="381"/>
      <c r="I539" s="917"/>
      <c r="J539" s="917"/>
      <c r="K539" s="2313"/>
      <c r="L539" s="2313"/>
      <c r="M539" s="2313"/>
      <c r="N539" s="2313"/>
      <c r="O539" s="2313"/>
      <c r="P539" s="2313"/>
      <c r="Q539" s="2313"/>
      <c r="R539" s="2313"/>
      <c r="S539" s="917"/>
      <c r="T539" s="917"/>
      <c r="U539" s="123"/>
      <c r="V539" s="71"/>
      <c r="W539" s="109"/>
      <c r="X539" s="109"/>
      <c r="Y539" s="109"/>
      <c r="Z539" s="35"/>
      <c r="AA539" s="70"/>
      <c r="AB539" s="35"/>
      <c r="AC539" s="35"/>
      <c r="AD539" s="35"/>
      <c r="AE539" s="35"/>
      <c r="AF539" s="35"/>
      <c r="AG539" s="35"/>
      <c r="AH539" s="120"/>
      <c r="AI539" s="120"/>
      <c r="AJ539" s="120"/>
      <c r="AK539" s="120"/>
      <c r="AL539" s="120"/>
      <c r="AM539" s="120"/>
      <c r="AN539" s="120"/>
      <c r="AO539" s="120"/>
      <c r="AP539" s="35"/>
      <c r="AQ539" s="35"/>
      <c r="AR539" s="35"/>
      <c r="AS539" s="35"/>
      <c r="AT539" s="35"/>
      <c r="AU539" s="35"/>
      <c r="AV539" s="35"/>
      <c r="AW539" s="35"/>
      <c r="AX539" s="35"/>
      <c r="AY539" s="35"/>
      <c r="AZ539" s="35"/>
      <c r="BA539" s="35"/>
      <c r="BB539" s="35"/>
      <c r="BC539" s="35"/>
      <c r="BD539" s="35"/>
      <c r="BE539" s="35"/>
      <c r="BF539" s="35"/>
      <c r="BG539" s="35"/>
      <c r="BH539" s="35"/>
      <c r="BI539" s="35"/>
      <c r="BJ539" s="35"/>
      <c r="BK539" s="35"/>
      <c r="BL539" s="35"/>
      <c r="BM539" s="35"/>
      <c r="BN539" s="35"/>
      <c r="BO539" s="35"/>
      <c r="BP539" s="35"/>
      <c r="BQ539" s="35"/>
      <c r="BR539" s="35"/>
      <c r="BS539" s="35"/>
      <c r="BT539" s="35"/>
      <c r="BU539" s="751"/>
      <c r="BV539" s="749"/>
      <c r="BW539" s="749"/>
      <c r="BX539" s="749"/>
      <c r="BY539" s="749"/>
      <c r="BZ539" s="749"/>
      <c r="CA539" s="749"/>
      <c r="CB539" s="749"/>
      <c r="CC539" s="749"/>
      <c r="CD539" s="749"/>
      <c r="CE539" s="749"/>
      <c r="CF539" s="749"/>
      <c r="CG539" s="749"/>
      <c r="CH539" s="750"/>
      <c r="CI539" s="750"/>
      <c r="CJ539" s="750"/>
      <c r="CK539" s="750"/>
      <c r="CL539" s="750"/>
      <c r="CM539" s="750"/>
      <c r="CN539" s="750"/>
      <c r="CO539" s="750"/>
      <c r="CP539" s="750"/>
      <c r="CQ539" s="750"/>
      <c r="CR539" s="750"/>
      <c r="CS539" s="750"/>
      <c r="CT539" s="750"/>
      <c r="CU539" s="750"/>
      <c r="CV539" s="108"/>
      <c r="CW539" s="108"/>
      <c r="CX539" s="108"/>
      <c r="CY539" s="108"/>
      <c r="CZ539" s="108"/>
      <c r="DA539" s="108"/>
      <c r="DB539" s="108"/>
      <c r="DC539" s="35"/>
      <c r="DD539" s="108"/>
      <c r="DE539" s="108"/>
      <c r="DF539" s="108"/>
      <c r="DG539" s="108"/>
      <c r="DH539" s="108"/>
      <c r="DI539" s="108"/>
      <c r="DJ539" s="108"/>
      <c r="DK539" s="108"/>
      <c r="DL539" s="114"/>
      <c r="DM539" s="34"/>
      <c r="DN539" s="34"/>
      <c r="DO539" s="34"/>
      <c r="DP539" s="34"/>
      <c r="DQ539" s="34"/>
      <c r="EG539" s="166"/>
      <c r="EH539" s="166"/>
      <c r="EI539" s="166"/>
      <c r="EJ539" s="166"/>
      <c r="EK539" s="166"/>
      <c r="FO539" s="114"/>
      <c r="GA539" s="34"/>
    </row>
    <row r="540" spans="1:228" s="69" customFormat="1" ht="27" customHeight="1">
      <c r="A540" s="647"/>
      <c r="B540" s="647"/>
      <c r="C540" s="647"/>
      <c r="D540" s="647"/>
      <c r="E540" s="647"/>
      <c r="F540" s="381"/>
      <c r="G540" s="381"/>
      <c r="H540" s="381"/>
      <c r="I540" s="120"/>
      <c r="J540" s="120"/>
      <c r="K540" s="120"/>
      <c r="L540" s="120"/>
      <c r="M540" s="120"/>
      <c r="N540" s="120"/>
      <c r="O540" s="120"/>
      <c r="P540" s="120"/>
      <c r="Q540" s="120"/>
      <c r="R540" s="120"/>
      <c r="S540" s="120"/>
      <c r="T540" s="120"/>
      <c r="U540" s="120"/>
      <c r="V540" s="120"/>
      <c r="W540" s="120"/>
      <c r="X540" s="120"/>
      <c r="Y540" s="120"/>
      <c r="Z540" s="120"/>
      <c r="AA540" s="120"/>
      <c r="AB540" s="120"/>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c r="BG540" s="35"/>
      <c r="BH540" s="35"/>
      <c r="BI540" s="35"/>
      <c r="BJ540" s="35"/>
      <c r="BK540" s="35"/>
      <c r="BL540" s="35"/>
      <c r="BM540" s="35"/>
      <c r="BN540" s="35"/>
      <c r="BO540" s="35"/>
      <c r="BP540" s="35"/>
      <c r="BQ540" s="35"/>
      <c r="BR540" s="35"/>
      <c r="BS540" s="35"/>
      <c r="BT540" s="35"/>
      <c r="BU540" s="751"/>
      <c r="BV540" s="751"/>
      <c r="BW540" s="749"/>
      <c r="BX540" s="749"/>
      <c r="BY540" s="749"/>
      <c r="BZ540" s="749"/>
      <c r="CA540" s="749"/>
      <c r="CB540" s="749"/>
      <c r="CC540" s="749"/>
      <c r="CD540" s="749"/>
      <c r="CE540" s="749"/>
      <c r="CF540" s="749"/>
      <c r="CG540" s="749"/>
      <c r="CH540" s="750"/>
      <c r="CI540" s="750"/>
      <c r="CJ540" s="750"/>
      <c r="CK540" s="750"/>
      <c r="CL540" s="750"/>
      <c r="CM540" s="750"/>
      <c r="CN540" s="750"/>
      <c r="CO540" s="750"/>
      <c r="CP540" s="750"/>
      <c r="CQ540" s="750"/>
      <c r="CR540" s="750"/>
      <c r="CS540" s="750"/>
      <c r="CT540" s="750"/>
      <c r="CU540" s="750"/>
      <c r="CV540" s="108"/>
      <c r="CW540" s="108"/>
      <c r="CX540" s="108"/>
      <c r="CY540" s="108"/>
      <c r="CZ540" s="108"/>
      <c r="DA540" s="108"/>
      <c r="DB540" s="108"/>
      <c r="DC540" s="35"/>
      <c r="DD540" s="108"/>
      <c r="DE540" s="108"/>
      <c r="DF540" s="108"/>
      <c r="DG540" s="108"/>
      <c r="DH540" s="108"/>
      <c r="DI540" s="108"/>
      <c r="DJ540" s="108"/>
      <c r="DK540" s="108"/>
      <c r="DL540" s="114"/>
      <c r="DM540" s="34"/>
      <c r="DN540" s="34"/>
      <c r="DO540" s="34"/>
      <c r="DP540" s="34"/>
      <c r="DQ540" s="34"/>
      <c r="EG540" s="166"/>
      <c r="EH540" s="166"/>
      <c r="EI540" s="166"/>
      <c r="EJ540" s="166"/>
      <c r="EK540" s="166"/>
      <c r="FO540" s="114"/>
      <c r="GA540" s="34"/>
    </row>
    <row r="541" spans="1:228" s="69" customFormat="1" ht="27" customHeight="1">
      <c r="A541" s="647"/>
      <c r="B541" s="647"/>
      <c r="C541" s="647"/>
      <c r="D541" s="647"/>
      <c r="E541" s="647"/>
      <c r="F541" s="381"/>
      <c r="G541" s="381"/>
      <c r="H541" s="381"/>
      <c r="I541" s="120"/>
      <c r="J541" s="120"/>
      <c r="K541" s="120"/>
      <c r="L541" s="120"/>
      <c r="M541" s="120"/>
      <c r="N541" s="120"/>
      <c r="O541" s="120"/>
      <c r="P541" s="120"/>
      <c r="Q541" s="120"/>
      <c r="R541" s="120"/>
      <c r="S541" s="120"/>
      <c r="T541" s="120"/>
      <c r="U541" s="120"/>
      <c r="V541" s="120"/>
      <c r="W541" s="120"/>
      <c r="X541" s="120"/>
      <c r="Y541" s="120"/>
      <c r="Z541" s="120"/>
      <c r="AA541" s="120"/>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c r="BG541" s="35"/>
      <c r="BH541" s="35"/>
      <c r="BI541" s="35"/>
      <c r="BJ541" s="35"/>
      <c r="BK541" s="35"/>
      <c r="BL541" s="35"/>
      <c r="BM541" s="35"/>
      <c r="BN541" s="35"/>
      <c r="BO541" s="35"/>
      <c r="BP541" s="35"/>
      <c r="BQ541" s="35"/>
      <c r="BR541" s="35"/>
      <c r="BS541" s="35"/>
      <c r="BT541" s="35"/>
      <c r="BU541" s="751"/>
      <c r="BV541" s="749"/>
      <c r="BW541" s="749"/>
      <c r="BX541" s="749"/>
      <c r="BY541" s="749"/>
      <c r="BZ541" s="749"/>
      <c r="CA541" s="749"/>
      <c r="CB541" s="749"/>
      <c r="CC541" s="749"/>
      <c r="CD541" s="749"/>
      <c r="CE541" s="749"/>
      <c r="CF541" s="749"/>
      <c r="CG541" s="749"/>
      <c r="CH541" s="750"/>
      <c r="CI541" s="750"/>
      <c r="CJ541" s="750"/>
      <c r="CK541" s="750"/>
      <c r="CL541" s="750"/>
      <c r="CM541" s="750"/>
      <c r="CN541" s="750"/>
      <c r="CO541" s="750"/>
      <c r="CP541" s="750"/>
      <c r="CQ541" s="750"/>
      <c r="CR541" s="750"/>
      <c r="CS541" s="750"/>
      <c r="CT541" s="750"/>
      <c r="CU541" s="750"/>
      <c r="CV541" s="108"/>
      <c r="CW541" s="108"/>
      <c r="CX541" s="108"/>
      <c r="CY541" s="108"/>
      <c r="CZ541" s="108"/>
      <c r="DA541" s="108"/>
      <c r="DB541" s="108"/>
      <c r="DC541" s="35"/>
      <c r="DD541" s="108"/>
      <c r="DE541" s="108"/>
      <c r="DF541" s="108"/>
      <c r="DG541" s="108"/>
      <c r="DH541" s="108"/>
      <c r="DI541" s="108"/>
      <c r="DJ541" s="108"/>
      <c r="DK541" s="34"/>
      <c r="DL541" s="114"/>
      <c r="DM541" s="34"/>
      <c r="DN541" s="34"/>
      <c r="DO541" s="34"/>
      <c r="DP541" s="34"/>
      <c r="DQ541" s="34"/>
      <c r="EG541" s="166"/>
      <c r="EH541" s="166"/>
      <c r="EI541" s="166"/>
      <c r="EJ541" s="166"/>
      <c r="EK541" s="166"/>
      <c r="FO541" s="114"/>
      <c r="GA541" s="34"/>
    </row>
    <row r="542" spans="1:228" ht="27" customHeight="1">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c r="BG542" s="35"/>
      <c r="BH542" s="35"/>
      <c r="BI542" s="35"/>
      <c r="BJ542" s="35"/>
      <c r="BK542" s="35"/>
      <c r="BL542" s="35"/>
      <c r="BM542" s="35"/>
      <c r="BN542" s="35"/>
      <c r="BO542" s="35"/>
      <c r="BP542" s="35"/>
      <c r="BQ542" s="35"/>
      <c r="BR542" s="35"/>
      <c r="BS542" s="35"/>
      <c r="BT542" s="35"/>
      <c r="BU542" s="1266"/>
      <c r="BV542" s="727"/>
      <c r="BW542" s="727"/>
      <c r="BX542" s="727"/>
      <c r="BY542" s="727"/>
      <c r="BZ542" s="727"/>
      <c r="CA542" s="727"/>
      <c r="CB542" s="727"/>
      <c r="CC542" s="727"/>
      <c r="CD542" s="727"/>
      <c r="CE542" s="727"/>
      <c r="CF542" s="727"/>
      <c r="CG542" s="727"/>
      <c r="DQ542" s="34"/>
      <c r="DR542" s="69"/>
      <c r="DS542" s="69"/>
      <c r="DT542" s="69"/>
      <c r="DU542" s="69"/>
      <c r="DV542" s="69"/>
      <c r="DW542" s="69"/>
      <c r="DX542" s="69"/>
      <c r="DY542" s="69"/>
      <c r="DZ542" s="69"/>
      <c r="EA542" s="69"/>
      <c r="EB542" s="69"/>
      <c r="EC542" s="69"/>
      <c r="ED542" s="69"/>
      <c r="EE542" s="69"/>
      <c r="EF542" s="69"/>
      <c r="EL542" s="69"/>
      <c r="EM542" s="69"/>
      <c r="EN542" s="69"/>
      <c r="EO542" s="69"/>
      <c r="FQ542" s="69"/>
      <c r="FR542" s="69"/>
      <c r="FS542" s="69"/>
      <c r="FT542" s="69"/>
      <c r="FU542" s="69"/>
      <c r="FV542" s="167"/>
      <c r="FW542" s="167"/>
      <c r="FX542" s="167"/>
      <c r="FY542" s="167"/>
      <c r="FZ542" s="167"/>
    </row>
    <row r="543" spans="1:228" ht="27" customHeight="1">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c r="BG543" s="35"/>
      <c r="BH543" s="35"/>
      <c r="BI543" s="35"/>
      <c r="BJ543" s="35"/>
      <c r="BK543" s="35"/>
      <c r="BL543" s="35"/>
      <c r="BM543" s="35"/>
      <c r="BN543" s="35"/>
      <c r="BO543" s="35"/>
      <c r="BP543" s="35"/>
      <c r="BQ543" s="35"/>
      <c r="BR543" s="35"/>
      <c r="BS543" s="35"/>
      <c r="BT543" s="35"/>
      <c r="BU543" s="1266"/>
      <c r="BV543" s="727"/>
      <c r="BW543" s="727"/>
      <c r="BX543" s="727"/>
      <c r="BY543" s="727"/>
      <c r="BZ543" s="727"/>
      <c r="CA543" s="727"/>
      <c r="CB543" s="727"/>
      <c r="CC543" s="727"/>
      <c r="CD543" s="727"/>
      <c r="CE543" s="727"/>
      <c r="CF543" s="727"/>
      <c r="CG543" s="727"/>
      <c r="DQ543" s="34"/>
      <c r="DR543" s="69"/>
      <c r="DS543" s="69"/>
      <c r="DT543" s="69"/>
      <c r="DU543" s="69"/>
      <c r="DV543" s="69"/>
      <c r="DW543" s="69"/>
      <c r="DX543" s="69"/>
      <c r="DY543" s="69"/>
      <c r="DZ543" s="69"/>
      <c r="EA543" s="69"/>
      <c r="EB543" s="69"/>
      <c r="EC543" s="69"/>
      <c r="ED543" s="69"/>
      <c r="EE543" s="69"/>
      <c r="EF543" s="69"/>
      <c r="EL543" s="69"/>
      <c r="EM543" s="69"/>
      <c r="EN543" s="69"/>
      <c r="EO543" s="69"/>
      <c r="FQ543" s="69"/>
      <c r="FR543" s="69"/>
      <c r="FS543" s="69"/>
      <c r="FT543" s="69"/>
      <c r="FU543" s="69"/>
      <c r="FV543" s="167"/>
      <c r="FW543" s="167"/>
      <c r="FX543" s="167"/>
      <c r="FY543" s="167"/>
      <c r="FZ543" s="167"/>
    </row>
    <row r="544" spans="1:228" ht="27" customHeight="1">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c r="BG544" s="35"/>
      <c r="BH544" s="35"/>
      <c r="BI544" s="35"/>
      <c r="BJ544" s="35"/>
      <c r="BK544" s="35"/>
      <c r="BL544" s="35"/>
      <c r="BM544" s="35"/>
      <c r="BN544" s="35"/>
      <c r="BO544" s="35"/>
      <c r="BP544" s="35"/>
      <c r="BQ544" s="35"/>
      <c r="BR544" s="35"/>
      <c r="BS544" s="35"/>
      <c r="BT544" s="35"/>
      <c r="BU544" s="1266"/>
      <c r="BV544" s="727"/>
      <c r="BW544" s="727"/>
      <c r="BX544" s="727"/>
      <c r="BY544" s="727"/>
      <c r="BZ544" s="727"/>
      <c r="CA544" s="727"/>
      <c r="CB544" s="727"/>
      <c r="CC544" s="727"/>
      <c r="CD544" s="727"/>
      <c r="CE544" s="727"/>
      <c r="CF544" s="727"/>
      <c r="CG544" s="727"/>
      <c r="DQ544" s="34"/>
      <c r="DR544" s="69"/>
      <c r="DS544" s="69"/>
      <c r="DT544" s="69"/>
      <c r="DU544" s="69"/>
      <c r="DV544" s="69"/>
      <c r="DW544" s="69"/>
      <c r="DX544" s="69"/>
      <c r="DY544" s="69"/>
      <c r="DZ544" s="69"/>
      <c r="EA544" s="69"/>
      <c r="EB544" s="69"/>
      <c r="EC544" s="69"/>
      <c r="ED544" s="69"/>
      <c r="EE544" s="69"/>
      <c r="EF544" s="69"/>
      <c r="EL544" s="69"/>
      <c r="EM544" s="69"/>
      <c r="EN544" s="69"/>
      <c r="EO544" s="69"/>
      <c r="FQ544" s="69"/>
      <c r="FR544" s="69"/>
      <c r="FS544" s="69"/>
      <c r="FT544" s="69"/>
      <c r="FU544" s="69"/>
      <c r="FV544" s="167"/>
      <c r="FW544" s="167"/>
      <c r="FX544" s="167"/>
      <c r="FY544" s="167"/>
      <c r="FZ544" s="167"/>
    </row>
    <row r="545" spans="28:182" ht="27" customHeight="1">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DQ545" s="34"/>
      <c r="DR545" s="69"/>
      <c r="DS545" s="69"/>
      <c r="DT545" s="69"/>
      <c r="DU545" s="69"/>
      <c r="DV545" s="69"/>
      <c r="DW545" s="69"/>
      <c r="DX545" s="69"/>
      <c r="DY545" s="69"/>
      <c r="DZ545" s="69"/>
      <c r="EA545" s="69"/>
      <c r="EB545" s="69"/>
      <c r="EC545" s="69"/>
      <c r="ED545" s="69"/>
      <c r="EE545" s="69"/>
      <c r="EF545" s="69"/>
      <c r="EL545" s="69"/>
      <c r="EM545" s="69"/>
      <c r="EN545" s="69"/>
      <c r="EO545" s="69"/>
      <c r="FQ545" s="69"/>
      <c r="FR545" s="69"/>
      <c r="FS545" s="69"/>
      <c r="FT545" s="69"/>
      <c r="FU545" s="69"/>
      <c r="FV545" s="167"/>
      <c r="FW545" s="167"/>
      <c r="FX545" s="167"/>
      <c r="FY545" s="167"/>
      <c r="FZ545" s="167"/>
    </row>
    <row r="546" spans="28:182" ht="27" customHeight="1">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FV546" s="167"/>
      <c r="FW546" s="167"/>
      <c r="FX546" s="167"/>
      <c r="FY546" s="167"/>
      <c r="FZ546" s="167"/>
    </row>
    <row r="547" spans="28:182" ht="27" customHeight="1">
      <c r="FV547" s="167"/>
      <c r="FW547" s="167"/>
      <c r="FX547" s="167"/>
      <c r="FY547" s="167"/>
      <c r="FZ547" s="167"/>
    </row>
    <row r="548" spans="28:182" ht="27" customHeight="1">
      <c r="FV548" s="167"/>
      <c r="FW548" s="167"/>
      <c r="FX548" s="167"/>
      <c r="FY548" s="167"/>
      <c r="FZ548" s="167"/>
    </row>
    <row r="549" spans="28:182" ht="27" customHeight="1">
      <c r="FV549" s="167"/>
      <c r="FW549" s="167"/>
      <c r="FX549" s="167"/>
      <c r="FY549" s="167"/>
      <c r="FZ549" s="167"/>
    </row>
    <row r="550" spans="28:182" ht="27" customHeight="1">
      <c r="FV550" s="167"/>
      <c r="FW550" s="167"/>
      <c r="FX550" s="167"/>
      <c r="FY550" s="167"/>
      <c r="FZ550" s="167"/>
    </row>
  </sheetData>
  <sheetProtection algorithmName="SHA-512" hashValue="K7Phmg2z+Ex9vyqevpH7o4olC6ZctdN7LO69zRLVpEbEY2M4njqMBfDIfBRytVxRt6QBpshie4SJXvgLb6ka4w==" saltValue="Uipp1OfRUwEaJMgntC+IvA==" spinCount="100000" sheet="1" objects="1" scenarios="1"/>
  <dataConsolidate/>
  <mergeCells count="3155">
    <mergeCell ref="EB529:EF529"/>
    <mergeCell ref="EG529:EK529"/>
    <mergeCell ref="BW11:CS11"/>
    <mergeCell ref="AR526:AS526"/>
    <mergeCell ref="AT526:BC526"/>
    <mergeCell ref="BD526:BR526"/>
    <mergeCell ref="BS526:BU526"/>
    <mergeCell ref="BV526:BX526"/>
    <mergeCell ref="BY526:CA526"/>
    <mergeCell ref="CB526:CU526"/>
    <mergeCell ref="BD517:BR517"/>
    <mergeCell ref="AT515:BC515"/>
    <mergeCell ref="AT516:BC516"/>
    <mergeCell ref="AT514:BC514"/>
    <mergeCell ref="BS521:BU521"/>
    <mergeCell ref="BV521:BX521"/>
    <mergeCell ref="BY521:CA521"/>
    <mergeCell ref="BS507:BU507"/>
    <mergeCell ref="BY511:CA511"/>
    <mergeCell ref="BS510:CA510"/>
    <mergeCell ref="CB515:CU515"/>
    <mergeCell ref="BS514:BU514"/>
    <mergeCell ref="BD518:BR518"/>
    <mergeCell ref="CB368:CU369"/>
    <mergeCell ref="CB418:CU418"/>
    <mergeCell ref="CB414:CU414"/>
    <mergeCell ref="CV526:DA526"/>
    <mergeCell ref="AR519:AS519"/>
    <mergeCell ref="AT521:BC521"/>
    <mergeCell ref="BV430:BX430"/>
    <mergeCell ref="CB377:CU377"/>
    <mergeCell ref="CB516:CU516"/>
    <mergeCell ref="AR525:AS525"/>
    <mergeCell ref="AT525:BC525"/>
    <mergeCell ref="CV517:DA517"/>
    <mergeCell ref="BD525:BR525"/>
    <mergeCell ref="BS525:BU525"/>
    <mergeCell ref="BV525:BX525"/>
    <mergeCell ref="BV519:BX519"/>
    <mergeCell ref="AF518:AQ518"/>
    <mergeCell ref="BD521:BR521"/>
    <mergeCell ref="CV520:DA520"/>
    <mergeCell ref="CV523:DA523"/>
    <mergeCell ref="BY525:CA525"/>
    <mergeCell ref="AR520:AS520"/>
    <mergeCell ref="AT524:BC524"/>
    <mergeCell ref="BD524:BR524"/>
    <mergeCell ref="BS524:BU524"/>
    <mergeCell ref="CB524:CU524"/>
    <mergeCell ref="CV524:DA524"/>
    <mergeCell ref="CV525:DA525"/>
    <mergeCell ref="BY518:CA518"/>
    <mergeCell ref="AT518:BC518"/>
    <mergeCell ref="BD522:BR522"/>
    <mergeCell ref="BY517:CA517"/>
    <mergeCell ref="AF520:AQ520"/>
    <mergeCell ref="BS517:BU517"/>
    <mergeCell ref="AR524:AS524"/>
    <mergeCell ref="BV517:BX517"/>
    <mergeCell ref="AF521:AQ521"/>
    <mergeCell ref="CB419:CU419"/>
    <mergeCell ref="AR515:AS515"/>
    <mergeCell ref="BS522:BU522"/>
    <mergeCell ref="CV521:DA521"/>
    <mergeCell ref="CV486:DA486"/>
    <mergeCell ref="CV487:DA487"/>
    <mergeCell ref="CV488:DA488"/>
    <mergeCell ref="BS458:BU458"/>
    <mergeCell ref="BV459:BX459"/>
    <mergeCell ref="BY460:CA460"/>
    <mergeCell ref="AF523:AQ523"/>
    <mergeCell ref="AR523:AS523"/>
    <mergeCell ref="AT523:BC523"/>
    <mergeCell ref="BD523:BR523"/>
    <mergeCell ref="BS523:BU523"/>
    <mergeCell ref="BV523:BX523"/>
    <mergeCell ref="BY523:CA523"/>
    <mergeCell ref="CB523:CU523"/>
    <mergeCell ref="BS520:BU520"/>
    <mergeCell ref="BS515:BU515"/>
    <mergeCell ref="BV515:BX515"/>
    <mergeCell ref="AT519:BC519"/>
    <mergeCell ref="BV520:BX520"/>
    <mergeCell ref="BY520:CA520"/>
    <mergeCell ref="AT513:BC513"/>
    <mergeCell ref="CV506:DA506"/>
    <mergeCell ref="CV500:DA500"/>
    <mergeCell ref="BD519:BR519"/>
    <mergeCell ref="CV518:DA518"/>
    <mergeCell ref="AF462:AQ462"/>
    <mergeCell ref="BY466:CA466"/>
    <mergeCell ref="CB512:CU513"/>
    <mergeCell ref="BV513:BX513"/>
    <mergeCell ref="AR516:AS516"/>
    <mergeCell ref="BV522:BX522"/>
    <mergeCell ref="CB520:CU520"/>
    <mergeCell ref="CB521:CU521"/>
    <mergeCell ref="BS519:BU519"/>
    <mergeCell ref="BD514:BR514"/>
    <mergeCell ref="CB518:CU518"/>
    <mergeCell ref="CB514:CU514"/>
    <mergeCell ref="CV514:DA514"/>
    <mergeCell ref="CV515:DA515"/>
    <mergeCell ref="BD520:BR520"/>
    <mergeCell ref="BD515:BR515"/>
    <mergeCell ref="CV507:DA507"/>
    <mergeCell ref="CB507:CU507"/>
    <mergeCell ref="CB517:CU517"/>
    <mergeCell ref="AR512:AS512"/>
    <mergeCell ref="AR518:AS518"/>
    <mergeCell ref="AR521:AS521"/>
    <mergeCell ref="CB510:CU511"/>
    <mergeCell ref="CV505:DA505"/>
    <mergeCell ref="CV496:DA496"/>
    <mergeCell ref="CV497:DA497"/>
    <mergeCell ref="CV493:DA493"/>
    <mergeCell ref="CV494:DA494"/>
    <mergeCell ref="CV495:DA495"/>
    <mergeCell ref="AR506:AS506"/>
    <mergeCell ref="BD436:BR436"/>
    <mergeCell ref="U451:AE451"/>
    <mergeCell ref="U494:AE494"/>
    <mergeCell ref="BV524:BX524"/>
    <mergeCell ref="BY524:CA524"/>
    <mergeCell ref="AT520:BC520"/>
    <mergeCell ref="CV508:DA508"/>
    <mergeCell ref="CV513:DA513"/>
    <mergeCell ref="BV511:BX511"/>
    <mergeCell ref="BD513:BR513"/>
    <mergeCell ref="CV519:DA519"/>
    <mergeCell ref="CV516:DA516"/>
    <mergeCell ref="AT522:BC522"/>
    <mergeCell ref="BY522:CA522"/>
    <mergeCell ref="CB522:CU522"/>
    <mergeCell ref="CV522:DA522"/>
    <mergeCell ref="CB519:CU519"/>
    <mergeCell ref="CV512:DA512"/>
    <mergeCell ref="CV504:DA504"/>
    <mergeCell ref="CV499:DA499"/>
    <mergeCell ref="BY519:CA519"/>
    <mergeCell ref="BY515:CA515"/>
    <mergeCell ref="BS518:BU518"/>
    <mergeCell ref="BV518:BX518"/>
    <mergeCell ref="BY514:CA514"/>
    <mergeCell ref="CV477:DA477"/>
    <mergeCell ref="CV464:DA464"/>
    <mergeCell ref="P510:AE511"/>
    <mergeCell ref="CV509:DA509"/>
    <mergeCell ref="P493:T507"/>
    <mergeCell ref="U498:AE498"/>
    <mergeCell ref="U495:AE495"/>
    <mergeCell ref="AF498:AQ498"/>
    <mergeCell ref="U503:AE503"/>
    <mergeCell ref="AR503:AS503"/>
    <mergeCell ref="AR494:AS494"/>
    <mergeCell ref="AR499:AS499"/>
    <mergeCell ref="BY506:CA506"/>
    <mergeCell ref="CB506:CU506"/>
    <mergeCell ref="AT506:BC506"/>
    <mergeCell ref="AT501:BC501"/>
    <mergeCell ref="CV503:DA503"/>
    <mergeCell ref="CV502:DA502"/>
    <mergeCell ref="AF496:AQ496"/>
    <mergeCell ref="AF505:AQ505"/>
    <mergeCell ref="AF495:AQ495"/>
    <mergeCell ref="AR500:AS500"/>
    <mergeCell ref="BY498:CA498"/>
    <mergeCell ref="BS506:BU506"/>
    <mergeCell ref="BV503:BX503"/>
    <mergeCell ref="BD497:BR497"/>
    <mergeCell ref="AF497:AQ497"/>
    <mergeCell ref="U493:AE493"/>
    <mergeCell ref="AF493:AQ493"/>
    <mergeCell ref="AF494:AQ494"/>
    <mergeCell ref="BS497:BU497"/>
    <mergeCell ref="CV479:DA479"/>
    <mergeCell ref="BV443:BX443"/>
    <mergeCell ref="BY443:CA443"/>
    <mergeCell ref="CV481:DA481"/>
    <mergeCell ref="CV482:DA482"/>
    <mergeCell ref="CV483:DA483"/>
    <mergeCell ref="CV437:DA437"/>
    <mergeCell ref="CV463:DA463"/>
    <mergeCell ref="CV459:DA459"/>
    <mergeCell ref="CV460:DA460"/>
    <mergeCell ref="CV457:DA457"/>
    <mergeCell ref="CV441:DA441"/>
    <mergeCell ref="CV416:DA416"/>
    <mergeCell ref="CV420:DA420"/>
    <mergeCell ref="CV480:DA480"/>
    <mergeCell ref="BY405:CA405"/>
    <mergeCell ref="BS407:BU407"/>
    <mergeCell ref="CV476:DA476"/>
    <mergeCell ref="CV469:DA469"/>
    <mergeCell ref="CV466:DA466"/>
    <mergeCell ref="CB446:CU446"/>
    <mergeCell ref="CB452:CU452"/>
    <mergeCell ref="BV438:BX438"/>
    <mergeCell ref="CB462:CU462"/>
    <mergeCell ref="BV434:BX434"/>
    <mergeCell ref="CV417:DA417"/>
    <mergeCell ref="CV408:DA408"/>
    <mergeCell ref="CB433:CU433"/>
    <mergeCell ref="CV421:DA421"/>
    <mergeCell ref="CB451:CU451"/>
    <mergeCell ref="BY462:CA462"/>
    <mergeCell ref="CB464:CU464"/>
    <mergeCell ref="CB463:CU463"/>
    <mergeCell ref="BV451:BX451"/>
    <mergeCell ref="CB410:CU410"/>
    <mergeCell ref="BY435:CA435"/>
    <mergeCell ref="BV418:BX418"/>
    <mergeCell ref="BY418:CA418"/>
    <mergeCell ref="BY417:CA417"/>
    <mergeCell ref="CV465:DA465"/>
    <mergeCell ref="CV458:DA458"/>
    <mergeCell ref="CB424:CU425"/>
    <mergeCell ref="CB412:CU412"/>
    <mergeCell ref="CB411:CU411"/>
    <mergeCell ref="CB449:CU449"/>
    <mergeCell ref="CB431:CU431"/>
    <mergeCell ref="CB448:CU448"/>
    <mergeCell ref="CB437:CU437"/>
    <mergeCell ref="BY436:CA436"/>
    <mergeCell ref="CB445:CU445"/>
    <mergeCell ref="BV440:BX440"/>
    <mergeCell ref="BV442:BX442"/>
    <mergeCell ref="CV431:DA431"/>
    <mergeCell ref="CV432:DA432"/>
    <mergeCell ref="CV455:DA455"/>
    <mergeCell ref="CV434:DA434"/>
    <mergeCell ref="CV435:DA435"/>
    <mergeCell ref="CV436:DA436"/>
    <mergeCell ref="CV456:DA456"/>
    <mergeCell ref="BY427:CA427"/>
    <mergeCell ref="BY416:CA416"/>
    <mergeCell ref="BY426:CA426"/>
    <mergeCell ref="BY429:CA429"/>
    <mergeCell ref="CB461:CU461"/>
    <mergeCell ref="CB454:CU454"/>
    <mergeCell ref="CB415:CU415"/>
    <mergeCell ref="BV431:BX431"/>
    <mergeCell ref="CV471:DA471"/>
    <mergeCell ref="BY474:CA474"/>
    <mergeCell ref="CV501:DA501"/>
    <mergeCell ref="CV498:DA498"/>
    <mergeCell ref="CB505:CU505"/>
    <mergeCell ref="BS464:BU464"/>
    <mergeCell ref="CB466:CU466"/>
    <mergeCell ref="BY505:CA505"/>
    <mergeCell ref="BY430:CA430"/>
    <mergeCell ref="BV421:BX421"/>
    <mergeCell ref="BY439:CA439"/>
    <mergeCell ref="CV406:DA406"/>
    <mergeCell ref="CB483:CU483"/>
    <mergeCell ref="CB485:CU485"/>
    <mergeCell ref="BV475:BX475"/>
    <mergeCell ref="BS503:BU503"/>
    <mergeCell ref="BY483:CA483"/>
    <mergeCell ref="CB504:CU504"/>
    <mergeCell ref="BV469:BX469"/>
    <mergeCell ref="BY469:CA469"/>
    <mergeCell ref="BV458:BX458"/>
    <mergeCell ref="BY459:CA459"/>
    <mergeCell ref="CV422:DA422"/>
    <mergeCell ref="CV409:DA409"/>
    <mergeCell ref="CB408:CU408"/>
    <mergeCell ref="BY419:CA419"/>
    <mergeCell ref="CV454:DA454"/>
    <mergeCell ref="CB417:CU417"/>
    <mergeCell ref="CB428:CU428"/>
    <mergeCell ref="BY455:CA455"/>
    <mergeCell ref="BS421:BU421"/>
    <mergeCell ref="AR413:AS413"/>
    <mergeCell ref="CB409:CU409"/>
    <mergeCell ref="CB392:CU392"/>
    <mergeCell ref="CB393:CU393"/>
    <mergeCell ref="BY456:CA456"/>
    <mergeCell ref="BV454:BX454"/>
    <mergeCell ref="BY448:CA448"/>
    <mergeCell ref="BY441:CA441"/>
    <mergeCell ref="BY446:CA446"/>
    <mergeCell ref="BS445:BU445"/>
    <mergeCell ref="BS442:BU442"/>
    <mergeCell ref="BS448:BU448"/>
    <mergeCell ref="CB440:CU440"/>
    <mergeCell ref="BY447:CA447"/>
    <mergeCell ref="CB455:CU455"/>
    <mergeCell ref="BS440:BU440"/>
    <mergeCell ref="BS441:BU441"/>
    <mergeCell ref="BS438:BU438"/>
    <mergeCell ref="CB439:CU439"/>
    <mergeCell ref="BS397:BU397"/>
    <mergeCell ref="BS452:BU452"/>
    <mergeCell ref="BY401:CA401"/>
    <mergeCell ref="CB406:CU406"/>
    <mergeCell ref="BY434:CA434"/>
    <mergeCell ref="CB434:CU434"/>
    <mergeCell ref="CB450:CU450"/>
    <mergeCell ref="BS436:BU436"/>
    <mergeCell ref="BV425:BX425"/>
    <mergeCell ref="CB427:CU427"/>
    <mergeCell ref="BV435:BX435"/>
    <mergeCell ref="BV432:BX432"/>
    <mergeCell ref="BY421:CA421"/>
    <mergeCell ref="BV385:BX385"/>
    <mergeCell ref="BS386:BU386"/>
    <mergeCell ref="BY389:CA389"/>
    <mergeCell ref="AR410:AS410"/>
    <mergeCell ref="AR405:AS405"/>
    <mergeCell ref="BD416:BR416"/>
    <mergeCell ref="AT400:BC400"/>
    <mergeCell ref="AF404:AQ404"/>
    <mergeCell ref="BV404:BX404"/>
    <mergeCell ref="BV420:BX420"/>
    <mergeCell ref="AT419:BC419"/>
    <mergeCell ref="AT431:BC431"/>
    <mergeCell ref="BD431:BR431"/>
    <mergeCell ref="AT407:BC407"/>
    <mergeCell ref="AF427:AQ427"/>
    <mergeCell ref="AF409:AQ409"/>
    <mergeCell ref="BV426:BX426"/>
    <mergeCell ref="AF402:AQ402"/>
    <mergeCell ref="AF414:AQ414"/>
    <mergeCell ref="BS404:BU404"/>
    <mergeCell ref="BS415:BU415"/>
    <mergeCell ref="BS402:BU402"/>
    <mergeCell ref="AT417:BC417"/>
    <mergeCell ref="BD419:BR419"/>
    <mergeCell ref="BS416:BU416"/>
    <mergeCell ref="AF420:AQ420"/>
    <mergeCell ref="BS425:BU425"/>
    <mergeCell ref="AT409:BC409"/>
    <mergeCell ref="BV405:BX405"/>
    <mergeCell ref="BV416:BX416"/>
    <mergeCell ref="BD412:BR412"/>
    <mergeCell ref="AR399:AS399"/>
    <mergeCell ref="BS393:BU393"/>
    <mergeCell ref="BY411:CA411"/>
    <mergeCell ref="BY397:CA397"/>
    <mergeCell ref="BD415:BR415"/>
    <mergeCell ref="BV397:BX397"/>
    <mergeCell ref="BV410:BX410"/>
    <mergeCell ref="BS398:BU398"/>
    <mergeCell ref="BV396:BX396"/>
    <mergeCell ref="AT384:BC384"/>
    <mergeCell ref="BV390:BX390"/>
    <mergeCell ref="BS388:BU388"/>
    <mergeCell ref="BS419:BU419"/>
    <mergeCell ref="BV388:BX388"/>
    <mergeCell ref="AT387:BC387"/>
    <mergeCell ref="BY385:CA385"/>
    <mergeCell ref="BY391:CA391"/>
    <mergeCell ref="BV391:BX391"/>
    <mergeCell ref="BS395:BU395"/>
    <mergeCell ref="BS394:BU394"/>
    <mergeCell ref="AR403:AS403"/>
    <mergeCell ref="BD411:BR411"/>
    <mergeCell ref="BV389:BX389"/>
    <mergeCell ref="BY388:CA388"/>
    <mergeCell ref="AT372:BC372"/>
    <mergeCell ref="BY346:CA346"/>
    <mergeCell ref="BY360:CA360"/>
    <mergeCell ref="BY362:CA362"/>
    <mergeCell ref="BS379:BU379"/>
    <mergeCell ref="M320:O320"/>
    <mergeCell ref="BV384:BX384"/>
    <mergeCell ref="BY384:CA384"/>
    <mergeCell ref="BY333:CA333"/>
    <mergeCell ref="AR381:AS381"/>
    <mergeCell ref="BV362:BX362"/>
    <mergeCell ref="BD347:BR347"/>
    <mergeCell ref="BD362:BR362"/>
    <mergeCell ref="BS432:BU432"/>
    <mergeCell ref="AR431:AS431"/>
    <mergeCell ref="BD429:BR429"/>
    <mergeCell ref="BY412:CA412"/>
    <mergeCell ref="BV402:BX402"/>
    <mergeCell ref="BY413:CA413"/>
    <mergeCell ref="BY415:CA415"/>
    <mergeCell ref="AR430:AS430"/>
    <mergeCell ref="AR426:AS426"/>
    <mergeCell ref="BV381:BX381"/>
    <mergeCell ref="BY377:CA377"/>
    <mergeCell ref="BD378:BR378"/>
    <mergeCell ref="BD376:BR376"/>
    <mergeCell ref="BS385:BU385"/>
    <mergeCell ref="BS378:BU378"/>
    <mergeCell ref="BV382:BX382"/>
    <mergeCell ref="BS381:BU381"/>
    <mergeCell ref="BD382:BR382"/>
    <mergeCell ref="AR383:AS383"/>
    <mergeCell ref="CV448:DA448"/>
    <mergeCell ref="CV472:DA472"/>
    <mergeCell ref="CV366:DA366"/>
    <mergeCell ref="CV433:DA433"/>
    <mergeCell ref="CV445:DA445"/>
    <mergeCell ref="CV446:DA446"/>
    <mergeCell ref="CV447:DA447"/>
    <mergeCell ref="CV440:DA440"/>
    <mergeCell ref="CV443:DA443"/>
    <mergeCell ref="CV439:DA439"/>
    <mergeCell ref="CV438:DA438"/>
    <mergeCell ref="CV348:DA348"/>
    <mergeCell ref="CV347:DA347"/>
    <mergeCell ref="DX348:DX351"/>
    <mergeCell ref="CV334:DA334"/>
    <mergeCell ref="CV378:DA378"/>
    <mergeCell ref="CV354:DA354"/>
    <mergeCell ref="CV367:DA367"/>
    <mergeCell ref="CV371:DA371"/>
    <mergeCell ref="CV444:DA444"/>
    <mergeCell ref="CV442:DA442"/>
    <mergeCell ref="CV430:DA430"/>
    <mergeCell ref="CV337:DA337"/>
    <mergeCell ref="CV349:DA349"/>
    <mergeCell ref="CV468:DA468"/>
    <mergeCell ref="CV450:DA450"/>
    <mergeCell ref="CV451:DA451"/>
    <mergeCell ref="CV400:DA400"/>
    <mergeCell ref="CV404:DA404"/>
    <mergeCell ref="CV449:DA449"/>
    <mergeCell ref="CV470:DA470"/>
    <mergeCell ref="CV467:DA467"/>
    <mergeCell ref="CV452:DA452"/>
    <mergeCell ref="CV453:DA453"/>
    <mergeCell ref="EA510:EA511"/>
    <mergeCell ref="DX508:DX511"/>
    <mergeCell ref="DX489:DX492"/>
    <mergeCell ref="CV355:DA355"/>
    <mergeCell ref="CV426:DA426"/>
    <mergeCell ref="CV427:DA427"/>
    <mergeCell ref="CV373:DA373"/>
    <mergeCell ref="CV410:DA410"/>
    <mergeCell ref="CV411:DA411"/>
    <mergeCell ref="CV461:DA461"/>
    <mergeCell ref="CV462:DA462"/>
    <mergeCell ref="CV374:DA374"/>
    <mergeCell ref="CV375:DA375"/>
    <mergeCell ref="CV376:DA376"/>
    <mergeCell ref="CV377:DA377"/>
    <mergeCell ref="CV381:DA381"/>
    <mergeCell ref="CV382:DA382"/>
    <mergeCell ref="CV383:DA383"/>
    <mergeCell ref="CV384:DA384"/>
    <mergeCell ref="DZ423:EA423"/>
    <mergeCell ref="EA424:EA425"/>
    <mergeCell ref="DZ472:EA472"/>
    <mergeCell ref="EA473:EA474"/>
    <mergeCell ref="DZ490:EA490"/>
    <mergeCell ref="EA491:EA492"/>
    <mergeCell ref="DZ509:EA509"/>
    <mergeCell ref="CV401:DA401"/>
    <mergeCell ref="CV402:DA402"/>
    <mergeCell ref="CV484:DA484"/>
    <mergeCell ref="CV358:DA358"/>
    <mergeCell ref="CV428:DA428"/>
    <mergeCell ref="DZ424:DZ425"/>
    <mergeCell ref="EB424:EF424"/>
    <mergeCell ref="EY323:FC323"/>
    <mergeCell ref="FD323:FH323"/>
    <mergeCell ref="EL323:EN323"/>
    <mergeCell ref="DY368:DY369"/>
    <mergeCell ref="DZ368:DZ369"/>
    <mergeCell ref="EA323:EA324"/>
    <mergeCell ref="DZ322:EA322"/>
    <mergeCell ref="EL350:EN350"/>
    <mergeCell ref="EO350:ER350"/>
    <mergeCell ref="EY350:FC350"/>
    <mergeCell ref="FD350:FH350"/>
    <mergeCell ref="DZ323:DZ324"/>
    <mergeCell ref="EB323:EF323"/>
    <mergeCell ref="EG323:EK323"/>
    <mergeCell ref="ET350:EX350"/>
    <mergeCell ref="FD424:FH424"/>
    <mergeCell ref="EB368:EF368"/>
    <mergeCell ref="EG368:EK368"/>
    <mergeCell ref="DY350:DY351"/>
    <mergeCell ref="EA350:EA351"/>
    <mergeCell ref="DZ349:EA349"/>
    <mergeCell ref="EA368:EA369"/>
    <mergeCell ref="DZ367:EA367"/>
    <mergeCell ref="DY424:DY425"/>
    <mergeCell ref="EO424:ER424"/>
    <mergeCell ref="ET424:EX424"/>
    <mergeCell ref="DZ350:DZ351"/>
    <mergeCell ref="DX422:DX425"/>
    <mergeCell ref="EG424:EK424"/>
    <mergeCell ref="EL424:EN424"/>
    <mergeCell ref="FD368:FH368"/>
    <mergeCell ref="EG350:EK350"/>
    <mergeCell ref="FQ303:FU303"/>
    <mergeCell ref="FQ305:FU305"/>
    <mergeCell ref="CV379:DA379"/>
    <mergeCell ref="CV385:DA385"/>
    <mergeCell ref="CV317:DA317"/>
    <mergeCell ref="CV325:DA325"/>
    <mergeCell ref="CV392:DA392"/>
    <mergeCell ref="CV396:DA396"/>
    <mergeCell ref="CV395:DA395"/>
    <mergeCell ref="CV356:DA356"/>
    <mergeCell ref="CV361:DA361"/>
    <mergeCell ref="CV344:DA344"/>
    <mergeCell ref="CV386:DA386"/>
    <mergeCell ref="CV387:DA387"/>
    <mergeCell ref="CV388:DA388"/>
    <mergeCell ref="CV372:DA372"/>
    <mergeCell ref="CV319:DA319"/>
    <mergeCell ref="CV314:DA314"/>
    <mergeCell ref="CV315:DA315"/>
    <mergeCell ref="CV363:DA363"/>
    <mergeCell ref="CV316:DA316"/>
    <mergeCell ref="CV332:DA332"/>
    <mergeCell ref="CV335:DA335"/>
    <mergeCell ref="CV329:DA329"/>
    <mergeCell ref="CV357:DA357"/>
    <mergeCell ref="CV365:DA365"/>
    <mergeCell ref="CV394:DA394"/>
    <mergeCell ref="CV389:DA389"/>
    <mergeCell ref="EL368:EN368"/>
    <mergeCell ref="EO368:ER368"/>
    <mergeCell ref="ET368:EX368"/>
    <mergeCell ref="EY368:FC368"/>
    <mergeCell ref="BS325:BU325"/>
    <mergeCell ref="AT323:BC324"/>
    <mergeCell ref="BD320:BR320"/>
    <mergeCell ref="M322:CU322"/>
    <mergeCell ref="CB320:CU320"/>
    <mergeCell ref="BY324:CA324"/>
    <mergeCell ref="M319:O319"/>
    <mergeCell ref="AR326:AS326"/>
    <mergeCell ref="AR320:AS320"/>
    <mergeCell ref="CB326:CU326"/>
    <mergeCell ref="BS326:BU326"/>
    <mergeCell ref="BS336:BU336"/>
    <mergeCell ref="CB333:CU333"/>
    <mergeCell ref="BS331:BU331"/>
    <mergeCell ref="BV332:BX332"/>
    <mergeCell ref="BS324:BU324"/>
    <mergeCell ref="BV324:BX324"/>
    <mergeCell ref="CB329:CU329"/>
    <mergeCell ref="BY335:CA335"/>
    <mergeCell ref="BV330:BX330"/>
    <mergeCell ref="BY336:CA336"/>
    <mergeCell ref="BY331:CA331"/>
    <mergeCell ref="CV345:DA345"/>
    <mergeCell ref="CV338:DA338"/>
    <mergeCell ref="CV340:DA340"/>
    <mergeCell ref="CV352:DA352"/>
    <mergeCell ref="EB350:EF350"/>
    <mergeCell ref="U316:AE316"/>
    <mergeCell ref="BD318:BR318"/>
    <mergeCell ref="BS318:BU318"/>
    <mergeCell ref="CB325:CU325"/>
    <mergeCell ref="CB337:CU337"/>
    <mergeCell ref="CB339:CU339"/>
    <mergeCell ref="BV331:BX331"/>
    <mergeCell ref="CV359:DA359"/>
    <mergeCell ref="BV346:BX346"/>
    <mergeCell ref="BS353:BU353"/>
    <mergeCell ref="DX366:DX369"/>
    <mergeCell ref="DX321:DX324"/>
    <mergeCell ref="AT325:BC325"/>
    <mergeCell ref="AF326:AQ326"/>
    <mergeCell ref="M325:O325"/>
    <mergeCell ref="AT326:BC326"/>
    <mergeCell ref="P325:T326"/>
    <mergeCell ref="CV326:DA326"/>
    <mergeCell ref="BV329:BX329"/>
    <mergeCell ref="BV333:BX333"/>
    <mergeCell ref="BS333:BU333"/>
    <mergeCell ref="BY332:CA332"/>
    <mergeCell ref="CB323:CU324"/>
    <mergeCell ref="BV325:BX325"/>
    <mergeCell ref="BY326:CA326"/>
    <mergeCell ref="CV336:DA336"/>
    <mergeCell ref="BY329:CA329"/>
    <mergeCell ref="CV331:DA331"/>
    <mergeCell ref="BV334:BX334"/>
    <mergeCell ref="BS328:BU328"/>
    <mergeCell ref="BV328:BX328"/>
    <mergeCell ref="BV335:BX335"/>
    <mergeCell ref="M287:AA289"/>
    <mergeCell ref="AB279:AF279"/>
    <mergeCell ref="S246:U246"/>
    <mergeCell ref="BL231:BT231"/>
    <mergeCell ref="BQ264:CF264"/>
    <mergeCell ref="CG262:CS264"/>
    <mergeCell ref="S225:AA225"/>
    <mergeCell ref="AT305:BC306"/>
    <mergeCell ref="CV390:DA390"/>
    <mergeCell ref="CV327:DA327"/>
    <mergeCell ref="CV398:DA398"/>
    <mergeCell ref="CV399:DA399"/>
    <mergeCell ref="CV307:DA307"/>
    <mergeCell ref="CV308:DA308"/>
    <mergeCell ref="CV309:DA309"/>
    <mergeCell ref="CV310:DA310"/>
    <mergeCell ref="CV353:DA353"/>
    <mergeCell ref="CB372:CU372"/>
    <mergeCell ref="BD391:BR391"/>
    <mergeCell ref="BY396:CA396"/>
    <mergeCell ref="BV316:BX316"/>
    <mergeCell ref="BV320:BX320"/>
    <mergeCell ref="BY316:CA316"/>
    <mergeCell ref="BS317:BU317"/>
    <mergeCell ref="BV317:BX317"/>
    <mergeCell ref="BY320:CA320"/>
    <mergeCell ref="AF325:AQ325"/>
    <mergeCell ref="BS383:BU383"/>
    <mergeCell ref="BS384:BU384"/>
    <mergeCell ref="BY365:CA365"/>
    <mergeCell ref="AT361:BC361"/>
    <mergeCell ref="BD361:BR361"/>
    <mergeCell ref="M280:R281"/>
    <mergeCell ref="AB226:AD226"/>
    <mergeCell ref="S281:AA281"/>
    <mergeCell ref="AB223:AN223"/>
    <mergeCell ref="S223:AA223"/>
    <mergeCell ref="S245:U245"/>
    <mergeCell ref="BH280:BT280"/>
    <mergeCell ref="BI240:BT240"/>
    <mergeCell ref="J240:AF240"/>
    <mergeCell ref="AG240:BH240"/>
    <mergeCell ref="S224:AA224"/>
    <mergeCell ref="AB225:AG225"/>
    <mergeCell ref="S226:AA226"/>
    <mergeCell ref="BL254:BT254"/>
    <mergeCell ref="AZ243:BE243"/>
    <mergeCell ref="BC244:BE244"/>
    <mergeCell ref="BF248:BT248"/>
    <mergeCell ref="S248:U248"/>
    <mergeCell ref="S244:U244"/>
    <mergeCell ref="AB272:AD272"/>
    <mergeCell ref="AS281:BT281"/>
    <mergeCell ref="AB274:AF274"/>
    <mergeCell ref="AH264:BO264"/>
    <mergeCell ref="DX302:EK302"/>
    <mergeCell ref="DZ304:DZ306"/>
    <mergeCell ref="EA304:EA306"/>
    <mergeCell ref="BY27:CM27"/>
    <mergeCell ref="M97:R100"/>
    <mergeCell ref="EB303:EF303"/>
    <mergeCell ref="AB180:AU180"/>
    <mergeCell ref="AB179:AU179"/>
    <mergeCell ref="AB187:AU187"/>
    <mergeCell ref="AB188:AU188"/>
    <mergeCell ref="AB193:AU193"/>
    <mergeCell ref="AB194:AU194"/>
    <mergeCell ref="EB305:EF305"/>
    <mergeCell ref="AB262:AX262"/>
    <mergeCell ref="AB261:AR261"/>
    <mergeCell ref="AB278:AD278"/>
    <mergeCell ref="DX303:DX306"/>
    <mergeCell ref="BW199:CS202"/>
    <mergeCell ref="BV203:CS203"/>
    <mergeCell ref="BW56:CS56"/>
    <mergeCell ref="AB255:BT258"/>
    <mergeCell ref="AB273:AD273"/>
    <mergeCell ref="AB280:AD280"/>
    <mergeCell ref="U301:AM301"/>
    <mergeCell ref="AE235:AG235"/>
    <mergeCell ref="AK263:AM263"/>
    <mergeCell ref="AB233:AD233"/>
    <mergeCell ref="M212:R213"/>
    <mergeCell ref="M225:R226"/>
    <mergeCell ref="AB213:AD213"/>
    <mergeCell ref="DW243:DX243"/>
    <mergeCell ref="M249:O249"/>
    <mergeCell ref="FQ300:FU300"/>
    <mergeCell ref="BF303:CQ303"/>
    <mergeCell ref="DY305:DY306"/>
    <mergeCell ref="DY323:DY324"/>
    <mergeCell ref="U302:CU302"/>
    <mergeCell ref="EY305:FC305"/>
    <mergeCell ref="EG303:EK303"/>
    <mergeCell ref="EY303:FI303"/>
    <mergeCell ref="AT309:BC309"/>
    <mergeCell ref="AT310:BC310"/>
    <mergeCell ref="BF249:BT249"/>
    <mergeCell ref="AB263:AG263"/>
    <mergeCell ref="EL304:EN305"/>
    <mergeCell ref="FD305:FH305"/>
    <mergeCell ref="FQ323:FU323"/>
    <mergeCell ref="EO323:ER323"/>
    <mergeCell ref="ET323:EX323"/>
    <mergeCell ref="DZ303:EA303"/>
    <mergeCell ref="ET305:EX305"/>
    <mergeCell ref="EG305:EK305"/>
    <mergeCell ref="EO304:ER304"/>
    <mergeCell ref="BV315:BX315"/>
    <mergeCell ref="BV314:BX314"/>
    <mergeCell ref="CB315:CU315"/>
    <mergeCell ref="AR314:AS314"/>
    <mergeCell ref="U307:AE307"/>
    <mergeCell ref="M304:AE304"/>
    <mergeCell ref="AF304:AQ304"/>
    <mergeCell ref="M310:O310"/>
    <mergeCell ref="CV313:DA313"/>
    <mergeCell ref="CV321:DA321"/>
    <mergeCell ref="CV322:DA322"/>
    <mergeCell ref="AF305:AQ306"/>
    <mergeCell ref="AW301:BO301"/>
    <mergeCell ref="V245:AG245"/>
    <mergeCell ref="M241:AA241"/>
    <mergeCell ref="AJ226:AL226"/>
    <mergeCell ref="AH248:AS248"/>
    <mergeCell ref="S274:AA274"/>
    <mergeCell ref="BS305:CA305"/>
    <mergeCell ref="AR305:AS306"/>
    <mergeCell ref="S232:AA232"/>
    <mergeCell ref="AE233:AG233"/>
    <mergeCell ref="M255:AA258"/>
    <mergeCell ref="AZ248:BB248"/>
    <mergeCell ref="AT247:AY247"/>
    <mergeCell ref="V247:AG247"/>
    <mergeCell ref="BW226:CS226"/>
    <mergeCell ref="S233:AA233"/>
    <mergeCell ref="AB241:AD241"/>
    <mergeCell ref="AH263:AJ263"/>
    <mergeCell ref="J266:BK266"/>
    <mergeCell ref="BL266:BT266"/>
    <mergeCell ref="M267:AA267"/>
    <mergeCell ref="AB267:AR267"/>
    <mergeCell ref="AJ235:AL235"/>
    <mergeCell ref="BW262:CE262"/>
    <mergeCell ref="BW263:CE263"/>
    <mergeCell ref="BW275:CS276"/>
    <mergeCell ref="AB264:AG264"/>
    <mergeCell ref="BG299:BT299"/>
    <mergeCell ref="BG269:BT269"/>
    <mergeCell ref="AS276:BT276"/>
    <mergeCell ref="BW278:CS279"/>
    <mergeCell ref="BY309:CA309"/>
    <mergeCell ref="AF307:AQ307"/>
    <mergeCell ref="AR307:AS307"/>
    <mergeCell ref="U308:AE308"/>
    <mergeCell ref="BD307:BR307"/>
    <mergeCell ref="BV307:BX307"/>
    <mergeCell ref="BY307:CA307"/>
    <mergeCell ref="CB309:CU309"/>
    <mergeCell ref="AT307:BC307"/>
    <mergeCell ref="BS307:BU307"/>
    <mergeCell ref="AB276:AP276"/>
    <mergeCell ref="BV308:BX308"/>
    <mergeCell ref="S247:U247"/>
    <mergeCell ref="AR308:AS308"/>
    <mergeCell ref="AT301:AV301"/>
    <mergeCell ref="BW267:CS267"/>
    <mergeCell ref="BS308:BU308"/>
    <mergeCell ref="J286:BK286"/>
    <mergeCell ref="BC249:BE249"/>
    <mergeCell ref="BV306:BX306"/>
    <mergeCell ref="M302:T302"/>
    <mergeCell ref="AH249:AS249"/>
    <mergeCell ref="M275:R277"/>
    <mergeCell ref="P305:AE306"/>
    <mergeCell ref="AP263:AR263"/>
    <mergeCell ref="AB281:AP281"/>
    <mergeCell ref="P247:R247"/>
    <mergeCell ref="P248:R248"/>
    <mergeCell ref="M247:O247"/>
    <mergeCell ref="M248:O248"/>
    <mergeCell ref="S277:AA277"/>
    <mergeCell ref="P307:T307"/>
    <mergeCell ref="BV312:BX312"/>
    <mergeCell ref="BS313:BU313"/>
    <mergeCell ref="M309:O309"/>
    <mergeCell ref="CB308:CU308"/>
    <mergeCell ref="M305:O306"/>
    <mergeCell ref="M263:AA263"/>
    <mergeCell ref="BS312:BU312"/>
    <mergeCell ref="CB312:CU312"/>
    <mergeCell ref="R301:T301"/>
    <mergeCell ref="V249:AG249"/>
    <mergeCell ref="M243:U243"/>
    <mergeCell ref="AB287:BT289"/>
    <mergeCell ref="AB277:AF277"/>
    <mergeCell ref="BF247:BT247"/>
    <mergeCell ref="AB270:AD270"/>
    <mergeCell ref="AB271:AD271"/>
    <mergeCell ref="S249:U249"/>
    <mergeCell ref="AT248:AY248"/>
    <mergeCell ref="V248:AG248"/>
    <mergeCell ref="AZ249:BB249"/>
    <mergeCell ref="AH246:AS246"/>
    <mergeCell ref="BS306:BU306"/>
    <mergeCell ref="BF246:BT246"/>
    <mergeCell ref="AZ245:BB245"/>
    <mergeCell ref="M244:R244"/>
    <mergeCell ref="AH247:AS247"/>
    <mergeCell ref="P249:R249"/>
    <mergeCell ref="BS309:BU309"/>
    <mergeCell ref="AB290:BT292"/>
    <mergeCell ref="AH243:AS244"/>
    <mergeCell ref="AR304:BC304"/>
    <mergeCell ref="BF304:CU304"/>
    <mergeCell ref="CB311:CU311"/>
    <mergeCell ref="CB307:CU307"/>
    <mergeCell ref="AB275:AD275"/>
    <mergeCell ref="J260:BK260"/>
    <mergeCell ref="S276:AA276"/>
    <mergeCell ref="S270:AA273"/>
    <mergeCell ref="BY301:CQ301"/>
    <mergeCell ref="V243:AG244"/>
    <mergeCell ref="BV309:BX309"/>
    <mergeCell ref="BD311:BR311"/>
    <mergeCell ref="M308:O308"/>
    <mergeCell ref="AF308:AQ308"/>
    <mergeCell ref="AE280:BG280"/>
    <mergeCell ref="S280:AA280"/>
    <mergeCell ref="AR309:AS309"/>
    <mergeCell ref="BD309:BR309"/>
    <mergeCell ref="S279:AA279"/>
    <mergeCell ref="AS263:AT263"/>
    <mergeCell ref="AF311:AQ311"/>
    <mergeCell ref="AT243:AY244"/>
    <mergeCell ref="CB305:CU306"/>
    <mergeCell ref="AZ244:BB244"/>
    <mergeCell ref="AT245:AY245"/>
    <mergeCell ref="AT246:AY246"/>
    <mergeCell ref="AR311:AS311"/>
    <mergeCell ref="BV310:BX310"/>
    <mergeCell ref="CB310:CU310"/>
    <mergeCell ref="AF309:AQ309"/>
    <mergeCell ref="U311:AE311"/>
    <mergeCell ref="BD308:BR308"/>
    <mergeCell ref="AV263:AX263"/>
    <mergeCell ref="BL286:BT286"/>
    <mergeCell ref="AT315:BC315"/>
    <mergeCell ref="AB235:AD235"/>
    <mergeCell ref="BC248:BE248"/>
    <mergeCell ref="CB314:CU314"/>
    <mergeCell ref="M301:Q301"/>
    <mergeCell ref="BD305:BR306"/>
    <mergeCell ref="M317:O317"/>
    <mergeCell ref="BV319:BX319"/>
    <mergeCell ref="AT318:BC318"/>
    <mergeCell ref="BY318:CA318"/>
    <mergeCell ref="CV311:DA311"/>
    <mergeCell ref="CV312:DA312"/>
    <mergeCell ref="AR317:AS317"/>
    <mergeCell ref="BY317:CA317"/>
    <mergeCell ref="AT320:BC320"/>
    <mergeCell ref="U317:AE317"/>
    <mergeCell ref="P245:R245"/>
    <mergeCell ref="BY306:CA306"/>
    <mergeCell ref="CB313:CU313"/>
    <mergeCell ref="BY314:CA314"/>
    <mergeCell ref="BV311:BX311"/>
    <mergeCell ref="BV301:BX301"/>
    <mergeCell ref="M234:R235"/>
    <mergeCell ref="S278:AA278"/>
    <mergeCell ref="CB316:CU316"/>
    <mergeCell ref="BS310:BU310"/>
    <mergeCell ref="BS311:BU311"/>
    <mergeCell ref="BS316:BU316"/>
    <mergeCell ref="BY312:CA312"/>
    <mergeCell ref="BY313:CA313"/>
    <mergeCell ref="AT308:BC308"/>
    <mergeCell ref="BS320:BU320"/>
    <mergeCell ref="CV318:DA318"/>
    <mergeCell ref="BV326:BX326"/>
    <mergeCell ref="CB318:CU318"/>
    <mergeCell ref="CB327:CU327"/>
    <mergeCell ref="CB330:CU330"/>
    <mergeCell ref="BY327:CA327"/>
    <mergeCell ref="BY315:CA315"/>
    <mergeCell ref="CV320:DA320"/>
    <mergeCell ref="BS323:CA323"/>
    <mergeCell ref="CB338:CU338"/>
    <mergeCell ref="CV343:DA343"/>
    <mergeCell ref="BV369:BX369"/>
    <mergeCell ref="BY369:CA369"/>
    <mergeCell ref="BS341:BU341"/>
    <mergeCell ref="BS362:BU362"/>
    <mergeCell ref="BS337:BU337"/>
    <mergeCell ref="CB362:CU362"/>
    <mergeCell ref="BS365:BU365"/>
    <mergeCell ref="CB359:CU359"/>
    <mergeCell ref="BY357:CA357"/>
    <mergeCell ref="BS357:BU357"/>
    <mergeCell ref="BY351:CA351"/>
    <mergeCell ref="CB350:CU351"/>
    <mergeCell ref="BS364:BU364"/>
    <mergeCell ref="BY330:CA330"/>
    <mergeCell ref="CB319:CU319"/>
    <mergeCell ref="BY325:CA325"/>
    <mergeCell ref="CB331:CU331"/>
    <mergeCell ref="BV327:BX327"/>
    <mergeCell ref="CV333:DA333"/>
    <mergeCell ref="CV346:DA346"/>
    <mergeCell ref="CV341:DA341"/>
    <mergeCell ref="CB391:CU391"/>
    <mergeCell ref="CB404:CU404"/>
    <mergeCell ref="CV403:DA403"/>
    <mergeCell ref="BS327:BU327"/>
    <mergeCell ref="BS375:BU375"/>
    <mergeCell ref="CB395:CU396"/>
    <mergeCell ref="BV375:BX375"/>
    <mergeCell ref="CB352:CU352"/>
    <mergeCell ref="CB354:CU354"/>
    <mergeCell ref="CB358:CU358"/>
    <mergeCell ref="CB361:CU361"/>
    <mergeCell ref="BY355:CA355"/>
    <mergeCell ref="BV342:BX342"/>
    <mergeCell ref="CB336:CU336"/>
    <mergeCell ref="BY339:CA339"/>
    <mergeCell ref="CB334:CU334"/>
    <mergeCell ref="BV337:BX337"/>
    <mergeCell ref="CB335:CU335"/>
    <mergeCell ref="BY328:CA328"/>
    <mergeCell ref="BV401:BX401"/>
    <mergeCell ref="CV328:DA328"/>
    <mergeCell ref="CV364:DA364"/>
    <mergeCell ref="CV360:DA360"/>
    <mergeCell ref="CB399:CU401"/>
    <mergeCell ref="BY342:CA342"/>
    <mergeCell ref="CB356:CU356"/>
    <mergeCell ref="CB355:CU355"/>
    <mergeCell ref="CB387:CU387"/>
    <mergeCell ref="BV361:BX361"/>
    <mergeCell ref="BS343:BU343"/>
    <mergeCell ref="BV347:BX347"/>
    <mergeCell ref="CV339:DA339"/>
    <mergeCell ref="BV387:BX387"/>
    <mergeCell ref="CB386:CU386"/>
    <mergeCell ref="CB357:CU357"/>
    <mergeCell ref="CB363:CU363"/>
    <mergeCell ref="BS369:BU369"/>
    <mergeCell ref="BV373:BX373"/>
    <mergeCell ref="BV355:BX355"/>
    <mergeCell ref="BV363:BX363"/>
    <mergeCell ref="CB382:CU382"/>
    <mergeCell ref="CB385:CU385"/>
    <mergeCell ref="CB379:CU379"/>
    <mergeCell ref="CB383:CU383"/>
    <mergeCell ref="BY383:CA383"/>
    <mergeCell ref="CB365:CU365"/>
    <mergeCell ref="BS360:BU360"/>
    <mergeCell ref="CB380:CU380"/>
    <mergeCell ref="BY373:CA373"/>
    <mergeCell ref="BV376:BX376"/>
    <mergeCell ref="BV370:BX370"/>
    <mergeCell ref="CB373:CU373"/>
    <mergeCell ref="CB381:CU381"/>
    <mergeCell ref="BS356:BU356"/>
    <mergeCell ref="BV360:BX360"/>
    <mergeCell ref="BV359:BX359"/>
    <mergeCell ref="BY359:CA359"/>
    <mergeCell ref="BV357:BX357"/>
    <mergeCell ref="BV365:BX365"/>
    <mergeCell ref="BV380:BX380"/>
    <mergeCell ref="CV342:DA342"/>
    <mergeCell ref="CV391:DA391"/>
    <mergeCell ref="CB405:CU405"/>
    <mergeCell ref="CB403:CU403"/>
    <mergeCell ref="CB421:CU421"/>
    <mergeCell ref="CB371:CU371"/>
    <mergeCell ref="BS314:BU314"/>
    <mergeCell ref="CB317:CU317"/>
    <mergeCell ref="CB328:CU328"/>
    <mergeCell ref="CB332:CU332"/>
    <mergeCell ref="CB370:CU370"/>
    <mergeCell ref="CV362:DA362"/>
    <mergeCell ref="CV380:DA380"/>
    <mergeCell ref="BV400:BX400"/>
    <mergeCell ref="BV398:BX398"/>
    <mergeCell ref="BV341:BX341"/>
    <mergeCell ref="BV393:BX393"/>
    <mergeCell ref="CB376:CU376"/>
    <mergeCell ref="CB347:CU347"/>
    <mergeCell ref="CB342:CU342"/>
    <mergeCell ref="CB384:CU384"/>
    <mergeCell ref="CB378:CU378"/>
    <mergeCell ref="CB340:CU340"/>
    <mergeCell ref="CB343:CU343"/>
    <mergeCell ref="CB345:CU345"/>
    <mergeCell ref="CB375:CU375"/>
    <mergeCell ref="BV351:BX351"/>
    <mergeCell ref="BV372:BX372"/>
    <mergeCell ref="BS376:BU376"/>
    <mergeCell ref="BY387:CA387"/>
    <mergeCell ref="BY386:CA386"/>
    <mergeCell ref="CV370:DA370"/>
    <mergeCell ref="CV330:DA330"/>
    <mergeCell ref="AT389:BC389"/>
    <mergeCell ref="CB344:CU344"/>
    <mergeCell ref="CV478:DA478"/>
    <mergeCell ref="CV489:DA489"/>
    <mergeCell ref="CV490:DA490"/>
    <mergeCell ref="CV485:DA485"/>
    <mergeCell ref="CV475:DA475"/>
    <mergeCell ref="CV393:DA393"/>
    <mergeCell ref="BV392:BX392"/>
    <mergeCell ref="BY390:CA390"/>
    <mergeCell ref="CV412:DA412"/>
    <mergeCell ref="CV413:DA413"/>
    <mergeCell ref="CV419:DA419"/>
    <mergeCell ref="CV418:DA418"/>
    <mergeCell ref="CV415:DA415"/>
    <mergeCell ref="BY392:CA392"/>
    <mergeCell ref="BY393:CA393"/>
    <mergeCell ref="CB473:CU474"/>
    <mergeCell ref="BY425:CA425"/>
    <mergeCell ref="BV427:BX427"/>
    <mergeCell ref="CB447:CU447"/>
    <mergeCell ref="BY451:CA451"/>
    <mergeCell ref="BV465:BX465"/>
    <mergeCell ref="BV470:BX470"/>
    <mergeCell ref="CV429:DA429"/>
    <mergeCell ref="CV414:DA414"/>
    <mergeCell ref="CV405:DA405"/>
    <mergeCell ref="CV407:DA407"/>
    <mergeCell ref="CV423:DA423"/>
    <mergeCell ref="BY407:CA407"/>
    <mergeCell ref="CV397:DA397"/>
    <mergeCell ref="CB426:CU426"/>
    <mergeCell ref="BS370:BU370"/>
    <mergeCell ref="P424:AE425"/>
    <mergeCell ref="CB389:CU389"/>
    <mergeCell ref="BV394:BX394"/>
    <mergeCell ref="BS399:BU399"/>
    <mergeCell ref="BD399:BR399"/>
    <mergeCell ref="BD406:BR406"/>
    <mergeCell ref="BS406:BU406"/>
    <mergeCell ref="BS401:BU401"/>
    <mergeCell ref="BS408:BU408"/>
    <mergeCell ref="BY402:CA402"/>
    <mergeCell ref="BV403:BX403"/>
    <mergeCell ref="BV406:BX406"/>
    <mergeCell ref="BV409:BX409"/>
    <mergeCell ref="BV415:BX415"/>
    <mergeCell ref="BY406:CA406"/>
    <mergeCell ref="U426:AE426"/>
    <mergeCell ref="U405:AE405"/>
    <mergeCell ref="AF412:AQ412"/>
    <mergeCell ref="AT410:BC410"/>
    <mergeCell ref="U403:AE403"/>
    <mergeCell ref="P413:T421"/>
    <mergeCell ref="AR414:AS414"/>
    <mergeCell ref="AF416:AQ416"/>
    <mergeCell ref="U421:AE421"/>
    <mergeCell ref="BD400:BR400"/>
    <mergeCell ref="AT401:BC401"/>
    <mergeCell ref="AF407:AQ407"/>
    <mergeCell ref="P426:T426"/>
    <mergeCell ref="U401:AE401"/>
    <mergeCell ref="CB397:CU397"/>
    <mergeCell ref="CB388:CU388"/>
    <mergeCell ref="CB413:CU413"/>
    <mergeCell ref="BY376:CA376"/>
    <mergeCell ref="M367:CU367"/>
    <mergeCell ref="U380:AE380"/>
    <mergeCell ref="BY380:CA380"/>
    <mergeCell ref="AF381:AQ381"/>
    <mergeCell ref="AF375:AQ375"/>
    <mergeCell ref="BD384:BR384"/>
    <mergeCell ref="AF413:AQ413"/>
    <mergeCell ref="M373:O373"/>
    <mergeCell ref="AR384:AS384"/>
    <mergeCell ref="BY398:CA398"/>
    <mergeCell ref="CB407:CU407"/>
    <mergeCell ref="CB402:CU402"/>
    <mergeCell ref="BD385:BR385"/>
    <mergeCell ref="AT383:BC383"/>
    <mergeCell ref="U410:AE410"/>
    <mergeCell ref="AT385:BC385"/>
    <mergeCell ref="BD383:BR383"/>
    <mergeCell ref="AF401:AQ401"/>
    <mergeCell ref="R371:AE371"/>
    <mergeCell ref="BV386:BX386"/>
    <mergeCell ref="BY371:CA371"/>
    <mergeCell ref="BY394:CA394"/>
    <mergeCell ref="BS377:BU377"/>
    <mergeCell ref="AF389:AQ389"/>
    <mergeCell ref="BV374:BX374"/>
    <mergeCell ref="BV377:BX377"/>
    <mergeCell ref="BS380:BU380"/>
    <mergeCell ref="BY372:CA372"/>
    <mergeCell ref="U408:AE408"/>
    <mergeCell ref="AR364:AS364"/>
    <mergeCell ref="CB346:CU346"/>
    <mergeCell ref="BY375:CA375"/>
    <mergeCell ref="BY379:CA379"/>
    <mergeCell ref="BY382:CA382"/>
    <mergeCell ref="BY370:CA370"/>
    <mergeCell ref="BS371:BU371"/>
    <mergeCell ref="BY364:CA364"/>
    <mergeCell ref="BV364:BX364"/>
    <mergeCell ref="AR365:AS365"/>
    <mergeCell ref="BY361:CA361"/>
    <mergeCell ref="BY363:CA363"/>
    <mergeCell ref="AT356:BC356"/>
    <mergeCell ref="BV371:BX371"/>
    <mergeCell ref="CB353:CU353"/>
    <mergeCell ref="BS358:BU358"/>
    <mergeCell ref="BS359:BU359"/>
    <mergeCell ref="CB360:CU360"/>
    <mergeCell ref="BS361:BU361"/>
    <mergeCell ref="CB374:CU374"/>
    <mergeCell ref="AR379:AS379"/>
    <mergeCell ref="BD364:BR364"/>
    <mergeCell ref="CB364:CU364"/>
    <mergeCell ref="BV354:BX354"/>
    <mergeCell ref="AT375:BC375"/>
    <mergeCell ref="BD381:BR381"/>
    <mergeCell ref="BD371:BR371"/>
    <mergeCell ref="BV378:BX378"/>
    <mergeCell ref="BY374:CA374"/>
    <mergeCell ref="BY381:CA381"/>
    <mergeCell ref="BS374:BU374"/>
    <mergeCell ref="BS350:CA350"/>
    <mergeCell ref="BY352:CA352"/>
    <mergeCell ref="BY354:CA354"/>
    <mergeCell ref="BY356:CA356"/>
    <mergeCell ref="BV358:BX358"/>
    <mergeCell ref="BY347:CA347"/>
    <mergeCell ref="BY358:CA358"/>
    <mergeCell ref="BY353:CA353"/>
    <mergeCell ref="BV356:BX356"/>
    <mergeCell ref="BS346:BU346"/>
    <mergeCell ref="BV344:BX344"/>
    <mergeCell ref="BY344:CA344"/>
    <mergeCell ref="BD339:BR339"/>
    <mergeCell ref="BD337:BR337"/>
    <mergeCell ref="AR336:AS336"/>
    <mergeCell ref="AT358:BC358"/>
    <mergeCell ref="AR358:AS358"/>
    <mergeCell ref="AT352:BC352"/>
    <mergeCell ref="BS355:BU355"/>
    <mergeCell ref="BS351:BU351"/>
    <mergeCell ref="BV345:BX345"/>
    <mergeCell ref="BV353:BX353"/>
    <mergeCell ref="BS335:BU335"/>
    <mergeCell ref="BY341:CA341"/>
    <mergeCell ref="AF336:AQ336"/>
    <mergeCell ref="AR338:AS338"/>
    <mergeCell ref="AF342:AQ342"/>
    <mergeCell ref="AR347:AS347"/>
    <mergeCell ref="BV339:BX339"/>
    <mergeCell ref="BV340:BX340"/>
    <mergeCell ref="BV336:BX336"/>
    <mergeCell ref="BV338:BX338"/>
    <mergeCell ref="BD336:BR336"/>
    <mergeCell ref="BY343:CA343"/>
    <mergeCell ref="AR337:AS337"/>
    <mergeCell ref="BY338:CA338"/>
    <mergeCell ref="BY340:CA340"/>
    <mergeCell ref="AR341:AS341"/>
    <mergeCell ref="BY345:CA345"/>
    <mergeCell ref="AF345:AQ345"/>
    <mergeCell ref="BD345:BR345"/>
    <mergeCell ref="AT337:BC337"/>
    <mergeCell ref="AF344:AQ344"/>
    <mergeCell ref="AT341:BC341"/>
    <mergeCell ref="BD342:BR342"/>
    <mergeCell ref="AT345:BC345"/>
    <mergeCell ref="BS339:BU339"/>
    <mergeCell ref="BS345:BU345"/>
    <mergeCell ref="BD344:BR344"/>
    <mergeCell ref="BS344:BU344"/>
    <mergeCell ref="AR441:AS441"/>
    <mergeCell ref="AR439:AS439"/>
    <mergeCell ref="M419:O419"/>
    <mergeCell ref="M421:O421"/>
    <mergeCell ref="AF428:AQ428"/>
    <mergeCell ref="AF436:AQ436"/>
    <mergeCell ref="AR436:AS436"/>
    <mergeCell ref="AR440:AS440"/>
    <mergeCell ref="U431:AE431"/>
    <mergeCell ref="R436:T440"/>
    <mergeCell ref="AF429:AQ429"/>
    <mergeCell ref="AR428:AS428"/>
    <mergeCell ref="P429:T430"/>
    <mergeCell ref="AF430:AQ430"/>
    <mergeCell ref="U437:AE437"/>
    <mergeCell ref="U435:AE435"/>
    <mergeCell ref="P432:T435"/>
    <mergeCell ref="U432:AE432"/>
    <mergeCell ref="U427:AE427"/>
    <mergeCell ref="AF434:AQ434"/>
    <mergeCell ref="AF431:AQ431"/>
    <mergeCell ref="AR421:AS421"/>
    <mergeCell ref="AF438:AQ438"/>
    <mergeCell ref="AF421:AQ421"/>
    <mergeCell ref="AR424:AS425"/>
    <mergeCell ref="U439:AE439"/>
    <mergeCell ref="AF424:AQ425"/>
    <mergeCell ref="U433:AE433"/>
    <mergeCell ref="AR435:AS435"/>
    <mergeCell ref="AR437:AS437"/>
    <mergeCell ref="AR420:AS420"/>
    <mergeCell ref="M417:O417"/>
    <mergeCell ref="M410:O410"/>
    <mergeCell ref="P405:T406"/>
    <mergeCell ref="U430:AE430"/>
    <mergeCell ref="U438:AE438"/>
    <mergeCell ref="M436:O436"/>
    <mergeCell ref="P431:T431"/>
    <mergeCell ref="M431:O431"/>
    <mergeCell ref="M427:O427"/>
    <mergeCell ref="U444:AE444"/>
    <mergeCell ref="M448:O448"/>
    <mergeCell ref="AR419:AS419"/>
    <mergeCell ref="AF433:AQ433"/>
    <mergeCell ref="M434:O434"/>
    <mergeCell ref="M435:O435"/>
    <mergeCell ref="AF432:AQ432"/>
    <mergeCell ref="M432:O432"/>
    <mergeCell ref="AR438:AS438"/>
    <mergeCell ref="AF435:AQ435"/>
    <mergeCell ref="AF437:AQ437"/>
    <mergeCell ref="AF426:AQ426"/>
    <mergeCell ref="AR442:AS442"/>
    <mergeCell ref="U447:AE447"/>
    <mergeCell ref="U448:AE448"/>
    <mergeCell ref="U445:AE445"/>
    <mergeCell ref="U434:AE434"/>
    <mergeCell ref="M420:O420"/>
    <mergeCell ref="U428:AE428"/>
    <mergeCell ref="M446:O446"/>
    <mergeCell ref="AF441:AQ441"/>
    <mergeCell ref="M433:O433"/>
    <mergeCell ref="AR443:AS443"/>
    <mergeCell ref="AF512:AQ512"/>
    <mergeCell ref="M475:O475"/>
    <mergeCell ref="P475:Q478"/>
    <mergeCell ref="AF514:AQ514"/>
    <mergeCell ref="AF483:AQ483"/>
    <mergeCell ref="AF476:AQ476"/>
    <mergeCell ref="M416:O416"/>
    <mergeCell ref="M414:O414"/>
    <mergeCell ref="M413:O413"/>
    <mergeCell ref="M411:O411"/>
    <mergeCell ref="M409:O409"/>
    <mergeCell ref="U420:AE420"/>
    <mergeCell ref="U409:AE409"/>
    <mergeCell ref="M405:O405"/>
    <mergeCell ref="M445:O445"/>
    <mergeCell ref="U418:AE418"/>
    <mergeCell ref="M437:O437"/>
    <mergeCell ref="M438:O438"/>
    <mergeCell ref="U415:AE415"/>
    <mergeCell ref="U416:AE416"/>
    <mergeCell ref="R441:T441"/>
    <mergeCell ref="M415:O415"/>
    <mergeCell ref="M424:O425"/>
    <mergeCell ref="M428:O428"/>
    <mergeCell ref="M429:O429"/>
    <mergeCell ref="M441:O441"/>
    <mergeCell ref="M412:O412"/>
    <mergeCell ref="P407:T412"/>
    <mergeCell ref="M430:O430"/>
    <mergeCell ref="M426:O426"/>
    <mergeCell ref="P455:Q470"/>
    <mergeCell ref="U484:AE484"/>
    <mergeCell ref="CB456:CU456"/>
    <mergeCell ref="U461:AE461"/>
    <mergeCell ref="BV474:BX474"/>
    <mergeCell ref="BD455:BR455"/>
    <mergeCell ref="CB499:CU499"/>
    <mergeCell ref="CB467:CU467"/>
    <mergeCell ref="CB469:CU469"/>
    <mergeCell ref="AF460:AQ460"/>
    <mergeCell ref="M513:O513"/>
    <mergeCell ref="P514:AE514"/>
    <mergeCell ref="U501:AE501"/>
    <mergeCell ref="AF525:AQ525"/>
    <mergeCell ref="AF504:AQ504"/>
    <mergeCell ref="M506:O506"/>
    <mergeCell ref="AF522:AQ522"/>
    <mergeCell ref="AR522:AS522"/>
    <mergeCell ref="AF455:AQ455"/>
    <mergeCell ref="AR456:AS456"/>
    <mergeCell ref="M516:O516"/>
    <mergeCell ref="AR457:AS457"/>
    <mergeCell ref="AR510:AS511"/>
    <mergeCell ref="AF502:AQ502"/>
    <mergeCell ref="U459:AE459"/>
    <mergeCell ref="AR488:AS488"/>
    <mergeCell ref="M505:O505"/>
    <mergeCell ref="U505:AE505"/>
    <mergeCell ref="AF503:AQ503"/>
    <mergeCell ref="AF507:AQ507"/>
    <mergeCell ref="U497:AE497"/>
    <mergeCell ref="AF519:AQ519"/>
    <mergeCell ref="R455:T456"/>
    <mergeCell ref="AF479:AQ479"/>
    <mergeCell ref="R475:T476"/>
    <mergeCell ref="M499:O499"/>
    <mergeCell ref="U475:AE475"/>
    <mergeCell ref="AR479:AS479"/>
    <mergeCell ref="BS478:BU478"/>
    <mergeCell ref="AF480:AQ480"/>
    <mergeCell ref="U499:AE499"/>
    <mergeCell ref="BY476:CA476"/>
    <mergeCell ref="AT504:BC504"/>
    <mergeCell ref="CB503:CU503"/>
    <mergeCell ref="AF487:AQ487"/>
    <mergeCell ref="U496:AE496"/>
    <mergeCell ref="CB500:CU500"/>
    <mergeCell ref="CB502:CU502"/>
    <mergeCell ref="BV494:BX494"/>
    <mergeCell ref="R480:T481"/>
    <mergeCell ref="U482:AE482"/>
    <mergeCell ref="BY482:CA482"/>
    <mergeCell ref="BV481:BX481"/>
    <mergeCell ref="BY479:CA479"/>
    <mergeCell ref="AT499:BC499"/>
    <mergeCell ref="AT503:BC503"/>
    <mergeCell ref="AT502:BC502"/>
    <mergeCell ref="BV498:BX498"/>
    <mergeCell ref="BD495:BR495"/>
    <mergeCell ref="BD498:BR498"/>
    <mergeCell ref="CB501:CU501"/>
    <mergeCell ref="BY496:CA496"/>
    <mergeCell ref="BD494:BR494"/>
    <mergeCell ref="BV499:BX499"/>
    <mergeCell ref="BS499:BU499"/>
    <mergeCell ref="AF526:AQ526"/>
    <mergeCell ref="U504:AE504"/>
    <mergeCell ref="P523:AE523"/>
    <mergeCell ref="M522:O522"/>
    <mergeCell ref="CB525:CU525"/>
    <mergeCell ref="U463:AE463"/>
    <mergeCell ref="M468:O468"/>
    <mergeCell ref="M461:O461"/>
    <mergeCell ref="AR480:AS480"/>
    <mergeCell ref="R482:T488"/>
    <mergeCell ref="AR478:AS478"/>
    <mergeCell ref="M487:O487"/>
    <mergeCell ref="AF457:AQ457"/>
    <mergeCell ref="AR462:AS462"/>
    <mergeCell ref="M476:O476"/>
    <mergeCell ref="AR507:AS507"/>
    <mergeCell ref="M500:O500"/>
    <mergeCell ref="U502:AE502"/>
    <mergeCell ref="U506:AE506"/>
    <mergeCell ref="AF506:AQ506"/>
    <mergeCell ref="AF524:AQ524"/>
    <mergeCell ref="M507:O507"/>
    <mergeCell ref="U507:AE507"/>
    <mergeCell ref="AF513:AQ513"/>
    <mergeCell ref="AF510:AQ511"/>
    <mergeCell ref="P512:AE512"/>
    <mergeCell ref="P513:AE513"/>
    <mergeCell ref="U500:AE500"/>
    <mergeCell ref="M512:O512"/>
    <mergeCell ref="M459:O459"/>
    <mergeCell ref="M479:O479"/>
    <mergeCell ref="P519:AE519"/>
    <mergeCell ref="M503:O503"/>
    <mergeCell ref="AF517:AQ517"/>
    <mergeCell ref="AT497:BC497"/>
    <mergeCell ref="BD496:BR496"/>
    <mergeCell ref="AF499:AQ499"/>
    <mergeCell ref="AF501:AQ501"/>
    <mergeCell ref="P473:AE474"/>
    <mergeCell ref="M467:O467"/>
    <mergeCell ref="M464:O464"/>
    <mergeCell ref="AR473:AS474"/>
    <mergeCell ref="AF470:AQ470"/>
    <mergeCell ref="M447:O447"/>
    <mergeCell ref="AF448:AQ448"/>
    <mergeCell ref="M453:O453"/>
    <mergeCell ref="M466:O466"/>
    <mergeCell ref="R477:T478"/>
    <mergeCell ref="M473:O474"/>
    <mergeCell ref="R463:T470"/>
    <mergeCell ref="M462:O462"/>
    <mergeCell ref="AR514:AS514"/>
    <mergeCell ref="AR450:AS450"/>
    <mergeCell ref="M501:O501"/>
    <mergeCell ref="BD516:BR516"/>
    <mergeCell ref="BD506:BR506"/>
    <mergeCell ref="BD510:BR511"/>
    <mergeCell ref="M480:O480"/>
    <mergeCell ref="M491:O492"/>
    <mergeCell ref="M509:CU509"/>
    <mergeCell ref="AR498:AS498"/>
    <mergeCell ref="CB482:CU482"/>
    <mergeCell ref="CB468:CU468"/>
    <mergeCell ref="M486:O486"/>
    <mergeCell ref="M450:O450"/>
    <mergeCell ref="M444:O444"/>
    <mergeCell ref="M456:O456"/>
    <mergeCell ref="M457:O457"/>
    <mergeCell ref="M454:O454"/>
    <mergeCell ref="P449:Q454"/>
    <mergeCell ref="U454:AE454"/>
    <mergeCell ref="R449:T451"/>
    <mergeCell ref="M452:O452"/>
    <mergeCell ref="M442:O442"/>
    <mergeCell ref="M443:O443"/>
    <mergeCell ref="R444:T448"/>
    <mergeCell ref="AR445:AS445"/>
    <mergeCell ref="AF449:AQ449"/>
    <mergeCell ref="AR452:AS452"/>
    <mergeCell ref="AF453:AQ453"/>
    <mergeCell ref="U456:AE456"/>
    <mergeCell ref="AR444:AS444"/>
    <mergeCell ref="AF451:AQ451"/>
    <mergeCell ref="AF447:AQ447"/>
    <mergeCell ref="U450:AE450"/>
    <mergeCell ref="AF445:AQ445"/>
    <mergeCell ref="M455:O455"/>
    <mergeCell ref="P436:Q448"/>
    <mergeCell ref="M439:O439"/>
    <mergeCell ref="M440:O440"/>
    <mergeCell ref="U446:AE446"/>
    <mergeCell ref="AR449:AS449"/>
    <mergeCell ref="AR454:AS454"/>
    <mergeCell ref="AF443:AQ443"/>
    <mergeCell ref="U443:AE443"/>
    <mergeCell ref="U442:AE442"/>
    <mergeCell ref="M523:O523"/>
    <mergeCell ref="P522:AE522"/>
    <mergeCell ref="M514:O514"/>
    <mergeCell ref="P521:AE521"/>
    <mergeCell ref="M521:O521"/>
    <mergeCell ref="P520:AE520"/>
    <mergeCell ref="R457:T462"/>
    <mergeCell ref="M470:O470"/>
    <mergeCell ref="M498:O498"/>
    <mergeCell ref="M494:O494"/>
    <mergeCell ref="U476:AE476"/>
    <mergeCell ref="U469:AE469"/>
    <mergeCell ref="M458:O458"/>
    <mergeCell ref="M460:O460"/>
    <mergeCell ref="M463:O463"/>
    <mergeCell ref="U488:AE488"/>
    <mergeCell ref="U478:AE478"/>
    <mergeCell ref="U477:AE477"/>
    <mergeCell ref="M497:O497"/>
    <mergeCell ref="M488:O488"/>
    <mergeCell ref="M493:O493"/>
    <mergeCell ref="M465:O465"/>
    <mergeCell ref="M495:O495"/>
    <mergeCell ref="M496:O496"/>
    <mergeCell ref="M477:O477"/>
    <mergeCell ref="M478:O478"/>
    <mergeCell ref="M469:O469"/>
    <mergeCell ref="P517:AE517"/>
    <mergeCell ref="P479:T479"/>
    <mergeCell ref="M520:O520"/>
    <mergeCell ref="P515:AE515"/>
    <mergeCell ref="M510:O511"/>
    <mergeCell ref="P516:AE516"/>
    <mergeCell ref="K530:L530"/>
    <mergeCell ref="M524:O524"/>
    <mergeCell ref="P524:AE524"/>
    <mergeCell ref="M526:O526"/>
    <mergeCell ref="P526:AE526"/>
    <mergeCell ref="M528:N528"/>
    <mergeCell ref="P518:AE518"/>
    <mergeCell ref="O527:R527"/>
    <mergeCell ref="M485:O485"/>
    <mergeCell ref="U486:AE486"/>
    <mergeCell ref="M484:O484"/>
    <mergeCell ref="M483:O483"/>
    <mergeCell ref="K529:L529"/>
    <mergeCell ref="M529:N529"/>
    <mergeCell ref="O529:R529"/>
    <mergeCell ref="M504:O504"/>
    <mergeCell ref="M515:O515"/>
    <mergeCell ref="K528:L528"/>
    <mergeCell ref="K527:L527"/>
    <mergeCell ref="U483:AE483"/>
    <mergeCell ref="M530:N530"/>
    <mergeCell ref="O530:R530"/>
    <mergeCell ref="M519:O519"/>
    <mergeCell ref="M518:O518"/>
    <mergeCell ref="O528:R528"/>
    <mergeCell ref="M527:N527"/>
    <mergeCell ref="M502:O502"/>
    <mergeCell ref="M525:O525"/>
    <mergeCell ref="P525:AE525"/>
    <mergeCell ref="P491:AE492"/>
    <mergeCell ref="M517:O517"/>
    <mergeCell ref="K539:L539"/>
    <mergeCell ref="M539:N539"/>
    <mergeCell ref="O539:R539"/>
    <mergeCell ref="K534:L534"/>
    <mergeCell ref="M534:N534"/>
    <mergeCell ref="O534:R534"/>
    <mergeCell ref="K535:L535"/>
    <mergeCell ref="M535:N535"/>
    <mergeCell ref="O535:R535"/>
    <mergeCell ref="K536:L536"/>
    <mergeCell ref="M536:N536"/>
    <mergeCell ref="O536:R536"/>
    <mergeCell ref="K531:L531"/>
    <mergeCell ref="M531:N531"/>
    <mergeCell ref="O531:R531"/>
    <mergeCell ref="K532:L532"/>
    <mergeCell ref="M533:N533"/>
    <mergeCell ref="O532:R532"/>
    <mergeCell ref="K533:L533"/>
    <mergeCell ref="O538:R538"/>
    <mergeCell ref="K538:L538"/>
    <mergeCell ref="K537:L537"/>
    <mergeCell ref="M537:N537"/>
    <mergeCell ref="O537:R537"/>
    <mergeCell ref="O533:R533"/>
    <mergeCell ref="M538:N538"/>
    <mergeCell ref="M532:N532"/>
    <mergeCell ref="AB67:BT67"/>
    <mergeCell ref="AH71:AJ71"/>
    <mergeCell ref="AO192:AQ192"/>
    <mergeCell ref="U331:AE331"/>
    <mergeCell ref="M339:O339"/>
    <mergeCell ref="AR315:AS315"/>
    <mergeCell ref="M332:O332"/>
    <mergeCell ref="U171:AA171"/>
    <mergeCell ref="S234:AA234"/>
    <mergeCell ref="P309:T311"/>
    <mergeCell ref="AT312:BC312"/>
    <mergeCell ref="AR335:AS335"/>
    <mergeCell ref="AF332:AQ332"/>
    <mergeCell ref="AF335:AQ335"/>
    <mergeCell ref="M334:O334"/>
    <mergeCell ref="M329:O329"/>
    <mergeCell ref="M311:O311"/>
    <mergeCell ref="M312:O312"/>
    <mergeCell ref="M318:O318"/>
    <mergeCell ref="AF315:AQ315"/>
    <mergeCell ref="M316:O316"/>
    <mergeCell ref="AR310:AS310"/>
    <mergeCell ref="AB242:AD242"/>
    <mergeCell ref="AR312:AS312"/>
    <mergeCell ref="AT317:BC317"/>
    <mergeCell ref="U325:AE325"/>
    <mergeCell ref="AT249:AY249"/>
    <mergeCell ref="U184:AA184"/>
    <mergeCell ref="U193:AA193"/>
    <mergeCell ref="AJ215:AL215"/>
    <mergeCell ref="AB197:AG197"/>
    <mergeCell ref="S214:AA214"/>
    <mergeCell ref="AH73:AJ73"/>
    <mergeCell ref="S83:AA83"/>
    <mergeCell ref="S73:AA73"/>
    <mergeCell ref="AB82:AP82"/>
    <mergeCell ref="AH39:AJ39"/>
    <mergeCell ref="AB71:AG71"/>
    <mergeCell ref="S36:AA36"/>
    <mergeCell ref="AB38:BT38"/>
    <mergeCell ref="AB36:BT36"/>
    <mergeCell ref="AB37:BT37"/>
    <mergeCell ref="M54:AA54"/>
    <mergeCell ref="AB39:AG39"/>
    <mergeCell ref="S37:AA37"/>
    <mergeCell ref="S38:AA38"/>
    <mergeCell ref="AK39:AP39"/>
    <mergeCell ref="AB41:AG41"/>
    <mergeCell ref="AH41:AJ41"/>
    <mergeCell ref="AB72:BT72"/>
    <mergeCell ref="BL60:BT60"/>
    <mergeCell ref="AB66:BT66"/>
    <mergeCell ref="S66:AA66"/>
    <mergeCell ref="BG68:BH68"/>
    <mergeCell ref="S79:AA79"/>
    <mergeCell ref="AK71:AP71"/>
    <mergeCell ref="AZ73:BT73"/>
    <mergeCell ref="M33:R38"/>
    <mergeCell ref="AB55:AG55"/>
    <mergeCell ref="AB56:BT56"/>
    <mergeCell ref="AB49:BT49"/>
    <mergeCell ref="M40:AA40"/>
    <mergeCell ref="AB40:BT40"/>
    <mergeCell ref="S49:AA49"/>
    <mergeCell ref="AB17:BT17"/>
    <mergeCell ref="AB18:BT18"/>
    <mergeCell ref="S50:AA50"/>
    <mergeCell ref="S48:AA48"/>
    <mergeCell ref="BL46:BT46"/>
    <mergeCell ref="S61:AA61"/>
    <mergeCell ref="Z64:AA64"/>
    <mergeCell ref="AT55:AY55"/>
    <mergeCell ref="AK41:AP41"/>
    <mergeCell ref="S52:AA52"/>
    <mergeCell ref="AB52:BT52"/>
    <mergeCell ref="AK55:AP55"/>
    <mergeCell ref="S35:AA35"/>
    <mergeCell ref="AB61:AP61"/>
    <mergeCell ref="AH23:AJ23"/>
    <mergeCell ref="M53:AA53"/>
    <mergeCell ref="AB53:AG53"/>
    <mergeCell ref="M24:AA24"/>
    <mergeCell ref="AH53:AJ53"/>
    <mergeCell ref="AK53:AP53"/>
    <mergeCell ref="M61:R64"/>
    <mergeCell ref="J60:BK60"/>
    <mergeCell ref="Z63:AA63"/>
    <mergeCell ref="S34:AA34"/>
    <mergeCell ref="S64:Y64"/>
    <mergeCell ref="Z62:AA62"/>
    <mergeCell ref="AH55:AJ55"/>
    <mergeCell ref="M55:AA55"/>
    <mergeCell ref="AB20:BT20"/>
    <mergeCell ref="AB34:BT34"/>
    <mergeCell ref="M17:R22"/>
    <mergeCell ref="AB23:AG23"/>
    <mergeCell ref="M26:AA26"/>
    <mergeCell ref="M27:AA27"/>
    <mergeCell ref="M25:AA25"/>
    <mergeCell ref="AB33:BT33"/>
    <mergeCell ref="AH26:AJ26"/>
    <mergeCell ref="AQ25:AS25"/>
    <mergeCell ref="J32:BK32"/>
    <mergeCell ref="BL32:BT32"/>
    <mergeCell ref="AB26:AG26"/>
    <mergeCell ref="AH25:AJ25"/>
    <mergeCell ref="S22:AA22"/>
    <mergeCell ref="AQ107:BT107"/>
    <mergeCell ref="AB119:AP119"/>
    <mergeCell ref="BC4:BE4"/>
    <mergeCell ref="P4:Q4"/>
    <mergeCell ref="S13:AA13"/>
    <mergeCell ref="AB14:BT14"/>
    <mergeCell ref="AB13:BT13"/>
    <mergeCell ref="AB8:BT8"/>
    <mergeCell ref="AB7:AI7"/>
    <mergeCell ref="J6:BK6"/>
    <mergeCell ref="J4:L4"/>
    <mergeCell ref="S21:AA21"/>
    <mergeCell ref="BL6:BT6"/>
    <mergeCell ref="S119:AA119"/>
    <mergeCell ref="AB98:AP98"/>
    <mergeCell ref="M103:R109"/>
    <mergeCell ref="S85:AA85"/>
    <mergeCell ref="J78:AA78"/>
    <mergeCell ref="AN96:BK96"/>
    <mergeCell ref="AB90:BT90"/>
    <mergeCell ref="AB81:AP81"/>
    <mergeCell ref="M2:O2"/>
    <mergeCell ref="U2:W2"/>
    <mergeCell ref="S67:AA67"/>
    <mergeCell ref="AB70:AP70"/>
    <mergeCell ref="S72:AA72"/>
    <mergeCell ref="AB51:BT51"/>
    <mergeCell ref="S65:AA65"/>
    <mergeCell ref="AB63:AP63"/>
    <mergeCell ref="AB64:AP64"/>
    <mergeCell ref="S62:X63"/>
    <mergeCell ref="AB50:BT50"/>
    <mergeCell ref="AQ41:AS41"/>
    <mergeCell ref="AT41:AY41"/>
    <mergeCell ref="AB62:AP62"/>
    <mergeCell ref="AB25:AG25"/>
    <mergeCell ref="AB46:BK46"/>
    <mergeCell ref="M23:AA23"/>
    <mergeCell ref="AB54:BT54"/>
    <mergeCell ref="Z68:AA68"/>
    <mergeCell ref="AT26:AY26"/>
    <mergeCell ref="M65:R66"/>
    <mergeCell ref="S68:Y70"/>
    <mergeCell ref="AK25:AP25"/>
    <mergeCell ref="AK26:AP26"/>
    <mergeCell ref="M67:R73"/>
    <mergeCell ref="AK73:AP73"/>
    <mergeCell ref="AQ73:AS73"/>
    <mergeCell ref="S51:AA51"/>
    <mergeCell ref="Z69:AA69"/>
    <mergeCell ref="AB35:BT35"/>
    <mergeCell ref="M41:AA41"/>
    <mergeCell ref="AY68:AZ68"/>
    <mergeCell ref="J46:AA46"/>
    <mergeCell ref="S86:Y88"/>
    <mergeCell ref="AB85:BT85"/>
    <mergeCell ref="AB209:AD209"/>
    <mergeCell ref="M200:AA203"/>
    <mergeCell ref="M210:R211"/>
    <mergeCell ref="J208:AA208"/>
    <mergeCell ref="AE215:AG215"/>
    <mergeCell ref="M300:T300"/>
    <mergeCell ref="AE192:AG192"/>
    <mergeCell ref="AB191:AD191"/>
    <mergeCell ref="AO186:AQ186"/>
    <mergeCell ref="AB73:AG73"/>
    <mergeCell ref="Z70:AA70"/>
    <mergeCell ref="AB65:BT65"/>
    <mergeCell ref="S80:X81"/>
    <mergeCell ref="Z86:AA86"/>
    <mergeCell ref="M101:R102"/>
    <mergeCell ref="M83:R84"/>
    <mergeCell ref="BL78:BT78"/>
    <mergeCell ref="AB80:AP80"/>
    <mergeCell ref="AB79:AP79"/>
    <mergeCell ref="M79:R82"/>
    <mergeCell ref="AQ71:BT71"/>
    <mergeCell ref="AT73:AY73"/>
    <mergeCell ref="S101:AA101"/>
    <mergeCell ref="S84:AA84"/>
    <mergeCell ref="M85:R91"/>
    <mergeCell ref="AZ91:BT91"/>
    <mergeCell ref="Z98:AA98"/>
    <mergeCell ref="J96:AH96"/>
    <mergeCell ref="S98:X99"/>
    <mergeCell ref="M261:AA261"/>
    <mergeCell ref="AZ246:BB246"/>
    <mergeCell ref="BC246:BE246"/>
    <mergeCell ref="BL260:BT260"/>
    <mergeCell ref="AE226:AG226"/>
    <mergeCell ref="AE211:AG211"/>
    <mergeCell ref="AB224:AU224"/>
    <mergeCell ref="S216:AA216"/>
    <mergeCell ref="BF245:BT245"/>
    <mergeCell ref="BC247:BE247"/>
    <mergeCell ref="AH245:AS245"/>
    <mergeCell ref="AO213:AQ213"/>
    <mergeCell ref="M232:R233"/>
    <mergeCell ref="P246:R246"/>
    <mergeCell ref="S215:AA215"/>
    <mergeCell ref="V246:AG246"/>
    <mergeCell ref="AE213:AG213"/>
    <mergeCell ref="AE217:AG217"/>
    <mergeCell ref="AB214:AG214"/>
    <mergeCell ref="AJ213:AL213"/>
    <mergeCell ref="S212:AA212"/>
    <mergeCell ref="AB212:AG212"/>
    <mergeCell ref="S213:AA213"/>
    <mergeCell ref="AZ247:BB247"/>
    <mergeCell ref="M242:AA242"/>
    <mergeCell ref="BF243:BT244"/>
    <mergeCell ref="M223:R224"/>
    <mergeCell ref="AB169:AK169"/>
    <mergeCell ref="AO172:AQ172"/>
    <mergeCell ref="P169:AA169"/>
    <mergeCell ref="M155:AA155"/>
    <mergeCell ref="AB162:BT162"/>
    <mergeCell ref="AO160:AQ160"/>
    <mergeCell ref="M119:R121"/>
    <mergeCell ref="S121:AA121"/>
    <mergeCell ref="M153:AA153"/>
    <mergeCell ref="AB129:AP129"/>
    <mergeCell ref="AB141:AD141"/>
    <mergeCell ref="S129:AA129"/>
    <mergeCell ref="AB159:BT159"/>
    <mergeCell ref="AB131:AG131"/>
    <mergeCell ref="U178:AA178"/>
    <mergeCell ref="AE178:AG178"/>
    <mergeCell ref="AO215:AQ215"/>
    <mergeCell ref="S211:AA211"/>
    <mergeCell ref="S210:AA210"/>
    <mergeCell ref="M196:AA196"/>
    <mergeCell ref="M162:AA162"/>
    <mergeCell ref="U195:AA195"/>
    <mergeCell ref="Z80:AA80"/>
    <mergeCell ref="AB86:AP86"/>
    <mergeCell ref="M151:AA151"/>
    <mergeCell ref="AZ109:BT109"/>
    <mergeCell ref="S128:AA128"/>
    <mergeCell ref="S108:AA108"/>
    <mergeCell ref="S130:AA130"/>
    <mergeCell ref="M115:R118"/>
    <mergeCell ref="M127:R130"/>
    <mergeCell ref="AF145:AZ145"/>
    <mergeCell ref="AB154:AD154"/>
    <mergeCell ref="M134:AA134"/>
    <mergeCell ref="AF143:AK143"/>
    <mergeCell ref="AB116:AP116"/>
    <mergeCell ref="AB121:AP121"/>
    <mergeCell ref="AB127:AP127"/>
    <mergeCell ref="M197:AA197"/>
    <mergeCell ref="AJ160:AL160"/>
    <mergeCell ref="AB143:AD143"/>
    <mergeCell ref="M152:AA152"/>
    <mergeCell ref="AB155:AQ155"/>
    <mergeCell ref="J139:AH139"/>
    <mergeCell ref="AF142:AK142"/>
    <mergeCell ref="AB144:AD144"/>
    <mergeCell ref="AB152:AQ152"/>
    <mergeCell ref="S127:AA127"/>
    <mergeCell ref="AB104:AP104"/>
    <mergeCell ref="AB128:AP128"/>
    <mergeCell ref="S118:AA118"/>
    <mergeCell ref="AB107:AG107"/>
    <mergeCell ref="AB118:AP118"/>
    <mergeCell ref="M161:AA161"/>
    <mergeCell ref="AB151:AD151"/>
    <mergeCell ref="Z105:AA105"/>
    <mergeCell ref="AO154:AQ154"/>
    <mergeCell ref="BL150:BT150"/>
    <mergeCell ref="Z106:AA106"/>
    <mergeCell ref="BL126:BT126"/>
    <mergeCell ref="J126:BK126"/>
    <mergeCell ref="S120:AA120"/>
    <mergeCell ref="S115:AA115"/>
    <mergeCell ref="AB109:AG109"/>
    <mergeCell ref="BL139:BT139"/>
    <mergeCell ref="S131:AA131"/>
    <mergeCell ref="AB130:AP130"/>
    <mergeCell ref="AB108:BT108"/>
    <mergeCell ref="AH107:AJ107"/>
    <mergeCell ref="AK107:AP107"/>
    <mergeCell ref="AH109:AJ109"/>
    <mergeCell ref="AB183:AK183"/>
    <mergeCell ref="AB115:AP115"/>
    <mergeCell ref="S117:AA117"/>
    <mergeCell ref="AB120:AP120"/>
    <mergeCell ref="U180:AA180"/>
    <mergeCell ref="AB161:AQ161"/>
    <mergeCell ref="AJ157:AL157"/>
    <mergeCell ref="U186:AA186"/>
    <mergeCell ref="AB185:AJ185"/>
    <mergeCell ref="AB186:AD186"/>
    <mergeCell ref="U194:AA194"/>
    <mergeCell ref="AB173:AU173"/>
    <mergeCell ref="U175:AA175"/>
    <mergeCell ref="M169:O169"/>
    <mergeCell ref="AE172:AG172"/>
    <mergeCell ref="M159:AA159"/>
    <mergeCell ref="AE157:AG157"/>
    <mergeCell ref="AB133:AG133"/>
    <mergeCell ref="AB132:AG132"/>
    <mergeCell ref="AB140:AD140"/>
    <mergeCell ref="AB142:AD142"/>
    <mergeCell ref="AB160:AD160"/>
    <mergeCell ref="AE160:AG160"/>
    <mergeCell ref="AB145:AD145"/>
    <mergeCell ref="AB157:AD157"/>
    <mergeCell ref="J150:AG150"/>
    <mergeCell ref="AE154:AG154"/>
    <mergeCell ref="M131:R132"/>
    <mergeCell ref="M158:AA158"/>
    <mergeCell ref="M133:AA133"/>
    <mergeCell ref="AJ154:AL154"/>
    <mergeCell ref="AB156:BT156"/>
    <mergeCell ref="AB200:BT203"/>
    <mergeCell ref="AE140:AL140"/>
    <mergeCell ref="S132:AA132"/>
    <mergeCell ref="AB134:AG134"/>
    <mergeCell ref="P190:AA190"/>
    <mergeCell ref="AE151:AG151"/>
    <mergeCell ref="BB145:BT145"/>
    <mergeCell ref="AB190:AD190"/>
    <mergeCell ref="AB210:AG210"/>
    <mergeCell ref="J199:BK199"/>
    <mergeCell ref="BL222:BT222"/>
    <mergeCell ref="AB211:AD211"/>
    <mergeCell ref="U187:AA187"/>
    <mergeCell ref="AB184:AD184"/>
    <mergeCell ref="U181:AA181"/>
    <mergeCell ref="AB189:AU189"/>
    <mergeCell ref="AE186:AG186"/>
    <mergeCell ref="M156:AA156"/>
    <mergeCell ref="AB153:BT153"/>
    <mergeCell ref="AB176:AD176"/>
    <mergeCell ref="U174:AA174"/>
    <mergeCell ref="U172:AA172"/>
    <mergeCell ref="U173:AA173"/>
    <mergeCell ref="AJ192:AL192"/>
    <mergeCell ref="U185:AA185"/>
    <mergeCell ref="P191:T195"/>
    <mergeCell ref="AB171:AK171"/>
    <mergeCell ref="P183:AA183"/>
    <mergeCell ref="U179:AA179"/>
    <mergeCell ref="AB158:AQ158"/>
    <mergeCell ref="M157:AA157"/>
    <mergeCell ref="P177:T181"/>
    <mergeCell ref="AR377:AS377"/>
    <mergeCell ref="U170:AA170"/>
    <mergeCell ref="AB174:AU174"/>
    <mergeCell ref="BS368:CA368"/>
    <mergeCell ref="AB178:AD178"/>
    <mergeCell ref="U177:AA177"/>
    <mergeCell ref="AE209:AG209"/>
    <mergeCell ref="BD396:BR396"/>
    <mergeCell ref="AR371:AS371"/>
    <mergeCell ref="AR401:AS401"/>
    <mergeCell ref="AF383:AQ383"/>
    <mergeCell ref="BY378:CA378"/>
    <mergeCell ref="P359:T365"/>
    <mergeCell ref="AB196:AG196"/>
    <mergeCell ref="P184:T189"/>
    <mergeCell ref="U191:AA191"/>
    <mergeCell ref="M170:O181"/>
    <mergeCell ref="P176:AA176"/>
    <mergeCell ref="AB172:AD172"/>
    <mergeCell ref="AB175:AU175"/>
    <mergeCell ref="U189:AA189"/>
    <mergeCell ref="J222:BK222"/>
    <mergeCell ref="M184:O195"/>
    <mergeCell ref="AJ178:AL178"/>
    <mergeCell ref="AB181:AU181"/>
    <mergeCell ref="AJ186:AL186"/>
    <mergeCell ref="AJ217:AL217"/>
    <mergeCell ref="AJ211:AL211"/>
    <mergeCell ref="U188:AA188"/>
    <mergeCell ref="AO217:AQ217"/>
    <mergeCell ref="P170:T175"/>
    <mergeCell ref="M183:O183"/>
    <mergeCell ref="AF370:AQ370"/>
    <mergeCell ref="U352:AE352"/>
    <mergeCell ref="BL208:BT208"/>
    <mergeCell ref="BL199:BT199"/>
    <mergeCell ref="AR313:AS313"/>
    <mergeCell ref="AJ233:AL233"/>
    <mergeCell ref="AF316:AQ316"/>
    <mergeCell ref="U385:AE385"/>
    <mergeCell ref="AT379:BC379"/>
    <mergeCell ref="AF379:AQ379"/>
    <mergeCell ref="M392:O392"/>
    <mergeCell ref="M388:O388"/>
    <mergeCell ref="BD392:BR392"/>
    <mergeCell ref="U358:AE358"/>
    <mergeCell ref="AF363:AQ363"/>
    <mergeCell ref="AF358:AQ358"/>
    <mergeCell ref="U362:AE362"/>
    <mergeCell ref="BS391:BU391"/>
    <mergeCell ref="AT371:BC371"/>
    <mergeCell ref="AF365:AQ365"/>
    <mergeCell ref="AT373:BC373"/>
    <mergeCell ref="AF373:AQ373"/>
    <mergeCell ref="AF377:AQ377"/>
    <mergeCell ref="AT380:BC380"/>
    <mergeCell ref="AF382:AQ382"/>
    <mergeCell ref="AF385:AQ385"/>
    <mergeCell ref="M363:O363"/>
    <mergeCell ref="M354:O354"/>
    <mergeCell ref="AO209:AQ209"/>
    <mergeCell ref="M209:AA209"/>
    <mergeCell ref="AO211:AQ211"/>
    <mergeCell ref="AT370:BC370"/>
    <mergeCell ref="P308:T308"/>
    <mergeCell ref="AB232:AN232"/>
    <mergeCell ref="S217:AA217"/>
    <mergeCell ref="M270:R274"/>
    <mergeCell ref="M307:O307"/>
    <mergeCell ref="AB215:AD215"/>
    <mergeCell ref="M214:R215"/>
    <mergeCell ref="J231:BK231"/>
    <mergeCell ref="M245:O245"/>
    <mergeCell ref="M246:O246"/>
    <mergeCell ref="U309:AE309"/>
    <mergeCell ref="AT331:BC331"/>
    <mergeCell ref="AT354:BC354"/>
    <mergeCell ref="AT332:BC332"/>
    <mergeCell ref="BD340:BR340"/>
    <mergeCell ref="AR343:AS343"/>
    <mergeCell ref="S275:AA275"/>
    <mergeCell ref="U335:AE335"/>
    <mergeCell ref="BD327:BR327"/>
    <mergeCell ref="U314:AE314"/>
    <mergeCell ref="AF313:AQ313"/>
    <mergeCell ref="BD326:BR326"/>
    <mergeCell ref="M323:O324"/>
    <mergeCell ref="AO301:AS301"/>
    <mergeCell ref="M216:R217"/>
    <mergeCell ref="M290:AA292"/>
    <mergeCell ref="M278:R279"/>
    <mergeCell ref="U332:AE332"/>
    <mergeCell ref="AF337:AQ337"/>
    <mergeCell ref="S235:AA235"/>
    <mergeCell ref="J254:BK254"/>
    <mergeCell ref="BC245:BE245"/>
    <mergeCell ref="BS455:BU455"/>
    <mergeCell ref="BY458:CA458"/>
    <mergeCell ref="AR378:AS378"/>
    <mergeCell ref="BD380:BR380"/>
    <mergeCell ref="BD409:BR409"/>
    <mergeCell ref="BV413:BX413"/>
    <mergeCell ref="AT416:BC416"/>
    <mergeCell ref="M423:CU423"/>
    <mergeCell ref="AR418:AS418"/>
    <mergeCell ref="AT418:BC418"/>
    <mergeCell ref="BD410:BR410"/>
    <mergeCell ref="BS411:BU411"/>
    <mergeCell ref="AT413:BC413"/>
    <mergeCell ref="AT414:BC414"/>
    <mergeCell ref="BD420:BR420"/>
    <mergeCell ref="BV419:BX419"/>
    <mergeCell ref="AF393:AQ393"/>
    <mergeCell ref="BS396:BU396"/>
    <mergeCell ref="BS447:BU447"/>
    <mergeCell ref="BV444:BX444"/>
    <mergeCell ref="BD401:BR401"/>
    <mergeCell ref="AR400:AS400"/>
    <mergeCell ref="AR393:AS393"/>
    <mergeCell ref="U455:AE455"/>
    <mergeCell ref="AF444:AQ444"/>
    <mergeCell ref="U458:AE458"/>
    <mergeCell ref="U449:AE449"/>
    <mergeCell ref="AF442:AQ442"/>
    <mergeCell ref="AR447:AS447"/>
    <mergeCell ref="AR453:AS453"/>
    <mergeCell ref="M449:O449"/>
    <mergeCell ref="BD454:BR454"/>
    <mergeCell ref="BV445:BX445"/>
    <mergeCell ref="CB480:CU480"/>
    <mergeCell ref="BS470:BU470"/>
    <mergeCell ref="BV455:BX455"/>
    <mergeCell ref="BS516:BU516"/>
    <mergeCell ref="CB486:CU486"/>
    <mergeCell ref="CB493:CU493"/>
    <mergeCell ref="BS459:BU459"/>
    <mergeCell ref="BS466:BU466"/>
    <mergeCell ref="BS513:BU513"/>
    <mergeCell ref="BY516:CA516"/>
    <mergeCell ref="BV516:BX516"/>
    <mergeCell ref="BY504:CA504"/>
    <mergeCell ref="BV507:BX507"/>
    <mergeCell ref="BY507:CA507"/>
    <mergeCell ref="BV512:BX512"/>
    <mergeCell ref="BY502:CA502"/>
    <mergeCell ref="BV502:BX502"/>
    <mergeCell ref="BS502:BU502"/>
    <mergeCell ref="BV479:BX479"/>
    <mergeCell ref="BV449:BX449"/>
    <mergeCell ref="BS454:BU454"/>
    <mergeCell ref="BV463:BX463"/>
    <mergeCell ref="BV456:BX456"/>
    <mergeCell ref="BV450:BX450"/>
    <mergeCell ref="BS467:BU467"/>
    <mergeCell ref="CB457:CU457"/>
    <mergeCell ref="CB458:CU458"/>
    <mergeCell ref="CB459:CU459"/>
    <mergeCell ref="BS493:BU493"/>
    <mergeCell ref="BV488:BX488"/>
    <mergeCell ref="BY493:CA493"/>
    <mergeCell ref="AF515:AQ515"/>
    <mergeCell ref="BD504:BR504"/>
    <mergeCell ref="BS504:BU504"/>
    <mergeCell ref="AR505:AS505"/>
    <mergeCell ref="AR502:AS502"/>
    <mergeCell ref="AT500:BC500"/>
    <mergeCell ref="BY499:CA499"/>
    <mergeCell ref="AF516:AQ516"/>
    <mergeCell ref="AR513:AS513"/>
    <mergeCell ref="AR517:AS517"/>
    <mergeCell ref="AT517:BC517"/>
    <mergeCell ref="BY513:CA513"/>
    <mergeCell ref="BS511:BU511"/>
    <mergeCell ref="BD512:BR512"/>
    <mergeCell ref="BV504:BX504"/>
    <mergeCell ref="BV500:BX500"/>
    <mergeCell ref="BD507:BR507"/>
    <mergeCell ref="BY512:CA512"/>
    <mergeCell ref="AT512:BC512"/>
    <mergeCell ref="AT505:BC505"/>
    <mergeCell ref="BD505:BR505"/>
    <mergeCell ref="BS505:BU505"/>
    <mergeCell ref="AT510:BC511"/>
    <mergeCell ref="BS512:BU512"/>
    <mergeCell ref="BY503:CA503"/>
    <mergeCell ref="BV505:BX505"/>
    <mergeCell ref="BV506:BX506"/>
    <mergeCell ref="BD502:BR502"/>
    <mergeCell ref="AR501:AS501"/>
    <mergeCell ref="AR504:AS504"/>
    <mergeCell ref="BV514:BX514"/>
    <mergeCell ref="AT507:BC507"/>
    <mergeCell ref="BD501:BR501"/>
    <mergeCell ref="AR497:AS497"/>
    <mergeCell ref="AR491:AS492"/>
    <mergeCell ref="AR485:AS485"/>
    <mergeCell ref="AR493:AS493"/>
    <mergeCell ref="BS491:CA491"/>
    <mergeCell ref="AT487:BC487"/>
    <mergeCell ref="CB491:CU492"/>
    <mergeCell ref="BY501:CA501"/>
    <mergeCell ref="BV496:BX496"/>
    <mergeCell ref="BS500:BU500"/>
    <mergeCell ref="BS501:BU501"/>
    <mergeCell ref="BY500:CA500"/>
    <mergeCell ref="BV495:BX495"/>
    <mergeCell ref="BS488:BU488"/>
    <mergeCell ref="BS495:BU495"/>
    <mergeCell ref="BD503:BR503"/>
    <mergeCell ref="CB498:CU498"/>
    <mergeCell ref="AR487:AS487"/>
    <mergeCell ref="AR496:AS496"/>
    <mergeCell ref="AR495:AS495"/>
    <mergeCell ref="BY494:CA494"/>
    <mergeCell ref="BS496:BU496"/>
    <mergeCell ref="AT494:BC494"/>
    <mergeCell ref="BD487:BR487"/>
    <mergeCell ref="BY487:CA487"/>
    <mergeCell ref="BY488:CA488"/>
    <mergeCell ref="BV501:BX501"/>
    <mergeCell ref="CB496:CU496"/>
    <mergeCell ref="AF488:AQ488"/>
    <mergeCell ref="CB481:CU481"/>
    <mergeCell ref="BV483:BX483"/>
    <mergeCell ref="BS485:BU485"/>
    <mergeCell ref="CB497:CU497"/>
    <mergeCell ref="BS498:BU498"/>
    <mergeCell ref="BV493:BX493"/>
    <mergeCell ref="BD493:BR493"/>
    <mergeCell ref="AT493:BC493"/>
    <mergeCell ref="BD485:BR485"/>
    <mergeCell ref="AT483:BC483"/>
    <mergeCell ref="BV497:BX497"/>
    <mergeCell ref="BY497:CA497"/>
    <mergeCell ref="BY485:CA485"/>
    <mergeCell ref="BD499:BR499"/>
    <mergeCell ref="AT491:BC492"/>
    <mergeCell ref="BD500:BR500"/>
    <mergeCell ref="AF478:AQ478"/>
    <mergeCell ref="AR470:AS470"/>
    <mergeCell ref="AR466:AS466"/>
    <mergeCell ref="U480:AE480"/>
    <mergeCell ref="AT488:BC488"/>
    <mergeCell ref="BV480:BX480"/>
    <mergeCell ref="BV482:BX482"/>
    <mergeCell ref="U485:AE485"/>
    <mergeCell ref="AT484:BC484"/>
    <mergeCell ref="AR486:AS486"/>
    <mergeCell ref="AT481:BC481"/>
    <mergeCell ref="AR483:AS483"/>
    <mergeCell ref="AF485:AQ485"/>
    <mergeCell ref="AR481:AS481"/>
    <mergeCell ref="BS484:BU484"/>
    <mergeCell ref="BS487:BU487"/>
    <mergeCell ref="M490:CU490"/>
    <mergeCell ref="M481:O481"/>
    <mergeCell ref="M482:O482"/>
    <mergeCell ref="CB487:CU487"/>
    <mergeCell ref="AT486:BC486"/>
    <mergeCell ref="BD486:BR486"/>
    <mergeCell ref="BS483:BU483"/>
    <mergeCell ref="P480:Q488"/>
    <mergeCell ref="BV486:BX486"/>
    <mergeCell ref="AF481:AQ481"/>
    <mergeCell ref="AF486:AQ486"/>
    <mergeCell ref="BD488:BR488"/>
    <mergeCell ref="AR484:AS484"/>
    <mergeCell ref="U487:AE487"/>
    <mergeCell ref="U481:AE481"/>
    <mergeCell ref="AT485:BC485"/>
    <mergeCell ref="U453:AE453"/>
    <mergeCell ref="AR455:AS455"/>
    <mergeCell ref="AT455:BC455"/>
    <mergeCell ref="AR477:AS477"/>
    <mergeCell ref="AF469:AQ469"/>
    <mergeCell ref="AR469:AS469"/>
    <mergeCell ref="BD469:BR469"/>
    <mergeCell ref="BD470:BR470"/>
    <mergeCell ref="U465:AE465"/>
    <mergeCell ref="U464:AE464"/>
    <mergeCell ref="AF468:AQ468"/>
    <mergeCell ref="U467:AE467"/>
    <mergeCell ref="AT470:BC470"/>
    <mergeCell ref="AF484:AQ484"/>
    <mergeCell ref="AF473:AQ474"/>
    <mergeCell ref="AF482:AQ482"/>
    <mergeCell ref="AF467:AQ467"/>
    <mergeCell ref="AF465:AQ465"/>
    <mergeCell ref="AF464:AQ464"/>
    <mergeCell ref="AR467:AS467"/>
    <mergeCell ref="BD473:BR474"/>
    <mergeCell ref="BD468:BR468"/>
    <mergeCell ref="AR482:AS482"/>
    <mergeCell ref="U479:AE479"/>
    <mergeCell ref="AR465:AS465"/>
    <mergeCell ref="U468:AE468"/>
    <mergeCell ref="U470:AE470"/>
    <mergeCell ref="AT465:BC465"/>
    <mergeCell ref="U466:AE466"/>
    <mergeCell ref="AR468:AS468"/>
    <mergeCell ref="AT477:BC477"/>
    <mergeCell ref="BD482:BR482"/>
    <mergeCell ref="AF461:AQ461"/>
    <mergeCell ref="AF459:AQ459"/>
    <mergeCell ref="BS412:BU412"/>
    <mergeCell ref="AT461:BC461"/>
    <mergeCell ref="AR464:AS464"/>
    <mergeCell ref="AT468:BC468"/>
    <mergeCell ref="AT452:BC452"/>
    <mergeCell ref="BD452:BR452"/>
    <mergeCell ref="BD467:BR467"/>
    <mergeCell ref="AF466:AQ466"/>
    <mergeCell ref="U462:AE462"/>
    <mergeCell ref="U452:AE452"/>
    <mergeCell ref="AR448:AS448"/>
    <mergeCell ref="AF446:AQ446"/>
    <mergeCell ref="AF463:AQ463"/>
    <mergeCell ref="U457:AE457"/>
    <mergeCell ref="AR451:AS451"/>
    <mergeCell ref="AF458:AQ458"/>
    <mergeCell ref="BD460:BR460"/>
    <mergeCell ref="BD459:BR459"/>
    <mergeCell ref="BD465:BR465"/>
    <mergeCell ref="AT467:BC467"/>
    <mergeCell ref="AT466:BC466"/>
    <mergeCell ref="BD457:BR457"/>
    <mergeCell ref="BD456:BR456"/>
    <mergeCell ref="AT458:BC458"/>
    <mergeCell ref="AR458:AS458"/>
    <mergeCell ref="AR459:AS459"/>
    <mergeCell ref="AT449:BC449"/>
    <mergeCell ref="AT464:BC464"/>
    <mergeCell ref="U460:AE460"/>
    <mergeCell ref="AR446:AS446"/>
    <mergeCell ref="M394:O394"/>
    <mergeCell ref="U378:AE378"/>
    <mergeCell ref="BD388:BR388"/>
    <mergeCell ref="BV452:BX452"/>
    <mergeCell ref="BV448:BX448"/>
    <mergeCell ref="BV447:BX447"/>
    <mergeCell ref="BS450:BU450"/>
    <mergeCell ref="AT460:BC460"/>
    <mergeCell ref="AT459:BC459"/>
    <mergeCell ref="AT453:BC453"/>
    <mergeCell ref="BS462:BU462"/>
    <mergeCell ref="U414:AE414"/>
    <mergeCell ref="U412:AE412"/>
    <mergeCell ref="AR415:AS415"/>
    <mergeCell ref="AR416:AS416"/>
    <mergeCell ref="AR395:AS395"/>
    <mergeCell ref="AT430:BC430"/>
    <mergeCell ref="AT442:BC442"/>
    <mergeCell ref="AT436:BC436"/>
    <mergeCell ref="AT456:BC456"/>
    <mergeCell ref="AT451:BC451"/>
    <mergeCell ref="AF454:AQ454"/>
    <mergeCell ref="BS451:BU451"/>
    <mergeCell ref="BS457:BU457"/>
    <mergeCell ref="BV417:BX417"/>
    <mergeCell ref="BS446:BU446"/>
    <mergeCell ref="BS456:BU456"/>
    <mergeCell ref="BS449:BU449"/>
    <mergeCell ref="AT426:BC426"/>
    <mergeCell ref="AT447:BC447"/>
    <mergeCell ref="AT444:BC444"/>
    <mergeCell ref="AT445:BC445"/>
    <mergeCell ref="AR355:AS355"/>
    <mergeCell ref="AR392:AS392"/>
    <mergeCell ref="BS410:BU410"/>
    <mergeCell ref="R442:T443"/>
    <mergeCell ref="M418:O418"/>
    <mergeCell ref="U391:AE391"/>
    <mergeCell ref="U395:AE395"/>
    <mergeCell ref="M395:O395"/>
    <mergeCell ref="AF374:AQ374"/>
    <mergeCell ref="BS372:BU372"/>
    <mergeCell ref="BS382:BU382"/>
    <mergeCell ref="AT378:BC378"/>
    <mergeCell ref="BD379:BR379"/>
    <mergeCell ref="AT381:BC381"/>
    <mergeCell ref="BD374:BR374"/>
    <mergeCell ref="R386:T388"/>
    <mergeCell ref="AF388:AQ388"/>
    <mergeCell ref="U389:AE389"/>
    <mergeCell ref="U390:AE390"/>
    <mergeCell ref="U387:AE387"/>
    <mergeCell ref="BD389:BR389"/>
    <mergeCell ref="BD390:BR390"/>
    <mergeCell ref="BS373:BU373"/>
    <mergeCell ref="AT435:BC435"/>
    <mergeCell ref="BD438:BR438"/>
    <mergeCell ref="AT434:BC434"/>
    <mergeCell ref="AR376:AS376"/>
    <mergeCell ref="BD426:BR426"/>
    <mergeCell ref="BS417:BU417"/>
    <mergeCell ref="BD427:BR427"/>
    <mergeCell ref="P386:Q391"/>
    <mergeCell ref="BS427:BU427"/>
    <mergeCell ref="AF331:AQ331"/>
    <mergeCell ref="BY319:CA319"/>
    <mergeCell ref="BY334:CA334"/>
    <mergeCell ref="BS338:BU338"/>
    <mergeCell ref="AR385:AS385"/>
    <mergeCell ref="AR382:AS382"/>
    <mergeCell ref="AF384:AQ384"/>
    <mergeCell ref="BS387:BU387"/>
    <mergeCell ref="AT388:BC388"/>
    <mergeCell ref="AR360:AS360"/>
    <mergeCell ref="BD346:BR346"/>
    <mergeCell ref="AR345:AS345"/>
    <mergeCell ref="AR380:AS380"/>
    <mergeCell ref="BS426:BU426"/>
    <mergeCell ref="BD421:BR421"/>
    <mergeCell ref="M398:O398"/>
    <mergeCell ref="BD359:BR359"/>
    <mergeCell ref="BD357:BR357"/>
    <mergeCell ref="AT340:BC340"/>
    <mergeCell ref="BD360:BR360"/>
    <mergeCell ref="U339:AE339"/>
    <mergeCell ref="AT374:BC374"/>
    <mergeCell ref="AF352:AQ352"/>
    <mergeCell ref="BS363:BU363"/>
    <mergeCell ref="AR356:AS356"/>
    <mergeCell ref="BD377:BR377"/>
    <mergeCell ref="AR361:AS361"/>
    <mergeCell ref="R375:T379"/>
    <mergeCell ref="R370:AE370"/>
    <mergeCell ref="AT377:BC377"/>
    <mergeCell ref="BS420:BU420"/>
    <mergeCell ref="AR417:AS417"/>
    <mergeCell ref="BS354:BU354"/>
    <mergeCell ref="AT344:BC344"/>
    <mergeCell ref="M333:O333"/>
    <mergeCell ref="AT335:BC335"/>
    <mergeCell ref="M350:O351"/>
    <mergeCell ref="U336:AE336"/>
    <mergeCell ref="U337:AE337"/>
    <mergeCell ref="AR334:AS334"/>
    <mergeCell ref="R341:T347"/>
    <mergeCell ref="AT334:BC334"/>
    <mergeCell ref="BD316:BR316"/>
    <mergeCell ref="BD317:BR317"/>
    <mergeCell ref="AR354:AS354"/>
    <mergeCell ref="BD314:BR314"/>
    <mergeCell ref="BD312:BR312"/>
    <mergeCell ref="AF317:AQ317"/>
    <mergeCell ref="BV318:BX318"/>
    <mergeCell ref="U315:AE315"/>
    <mergeCell ref="BD341:BR341"/>
    <mergeCell ref="BD343:BR343"/>
    <mergeCell ref="AF333:AQ333"/>
    <mergeCell ref="U326:AE326"/>
    <mergeCell ref="M338:O338"/>
    <mergeCell ref="M327:O327"/>
    <mergeCell ref="AT346:BC346"/>
    <mergeCell ref="BV352:BX352"/>
    <mergeCell ref="AT319:BC319"/>
    <mergeCell ref="BS329:BU329"/>
    <mergeCell ref="BD350:BR351"/>
    <mergeCell ref="BD315:BR315"/>
    <mergeCell ref="BD325:BR325"/>
    <mergeCell ref="BD354:BR354"/>
    <mergeCell ref="M337:O337"/>
    <mergeCell ref="M359:O359"/>
    <mergeCell ref="M352:O352"/>
    <mergeCell ref="M345:O345"/>
    <mergeCell ref="M356:O356"/>
    <mergeCell ref="M314:O314"/>
    <mergeCell ref="AR327:AS327"/>
    <mergeCell ref="BD330:BR330"/>
    <mergeCell ref="P352:T352"/>
    <mergeCell ref="M342:O342"/>
    <mergeCell ref="P323:AE324"/>
    <mergeCell ref="U319:AE319"/>
    <mergeCell ref="BD313:BR313"/>
    <mergeCell ref="AT327:BC327"/>
    <mergeCell ref="BS342:BU342"/>
    <mergeCell ref="AT336:BC336"/>
    <mergeCell ref="BY311:CA311"/>
    <mergeCell ref="U327:AE327"/>
    <mergeCell ref="AR350:AS351"/>
    <mergeCell ref="M357:O357"/>
    <mergeCell ref="AT353:BC353"/>
    <mergeCell ref="AR339:AS339"/>
    <mergeCell ref="AR318:AS318"/>
    <mergeCell ref="AT316:BC316"/>
    <mergeCell ref="R329:T334"/>
    <mergeCell ref="AR329:AS329"/>
    <mergeCell ref="AR333:AS333"/>
    <mergeCell ref="M331:O331"/>
    <mergeCell ref="R335:T338"/>
    <mergeCell ref="M330:O330"/>
    <mergeCell ref="P314:T320"/>
    <mergeCell ref="AT338:BC338"/>
    <mergeCell ref="AT364:BC364"/>
    <mergeCell ref="U364:AE364"/>
    <mergeCell ref="U354:AE354"/>
    <mergeCell ref="U360:AE360"/>
    <mergeCell ref="U338:AE338"/>
    <mergeCell ref="BD338:BR338"/>
    <mergeCell ref="AF361:AQ361"/>
    <mergeCell ref="AT362:BC362"/>
    <mergeCell ref="AT355:BC355"/>
    <mergeCell ref="BD331:BR331"/>
    <mergeCell ref="BD333:BR333"/>
    <mergeCell ref="U312:AE312"/>
    <mergeCell ref="AF357:AQ357"/>
    <mergeCell ref="AF359:AQ359"/>
    <mergeCell ref="U356:AE356"/>
    <mergeCell ref="U313:AE313"/>
    <mergeCell ref="AT329:BC329"/>
    <mergeCell ref="AF346:AQ346"/>
    <mergeCell ref="AT347:BC347"/>
    <mergeCell ref="AT343:BC343"/>
    <mergeCell ref="BD356:BR356"/>
    <mergeCell ref="AT357:BC357"/>
    <mergeCell ref="BD355:BR355"/>
    <mergeCell ref="M349:CU349"/>
    <mergeCell ref="BD332:BR332"/>
    <mergeCell ref="M341:O341"/>
    <mergeCell ref="U355:AE355"/>
    <mergeCell ref="BY337:CA337"/>
    <mergeCell ref="BV343:BX343"/>
    <mergeCell ref="AF338:AQ338"/>
    <mergeCell ref="AF330:AQ330"/>
    <mergeCell ref="AR342:AS342"/>
    <mergeCell ref="BD386:BR386"/>
    <mergeCell ref="AT386:BC386"/>
    <mergeCell ref="AT393:BC393"/>
    <mergeCell ref="AR388:AS388"/>
    <mergeCell ref="BV383:BX383"/>
    <mergeCell ref="BV379:BX379"/>
    <mergeCell ref="AT376:BC376"/>
    <mergeCell ref="BD375:BR375"/>
    <mergeCell ref="BS389:BU389"/>
    <mergeCell ref="BD372:BR372"/>
    <mergeCell ref="BY442:CA442"/>
    <mergeCell ref="BD319:BR319"/>
    <mergeCell ref="AT330:BC330"/>
    <mergeCell ref="U363:AE363"/>
    <mergeCell ref="AF360:AQ360"/>
    <mergeCell ref="U361:AE361"/>
    <mergeCell ref="U347:AE347"/>
    <mergeCell ref="U346:AE346"/>
    <mergeCell ref="AF343:AQ343"/>
    <mergeCell ref="AF350:AQ351"/>
    <mergeCell ref="AF362:AQ362"/>
    <mergeCell ref="AT339:BC339"/>
    <mergeCell ref="U334:AE334"/>
    <mergeCell ref="U320:AE320"/>
    <mergeCell ref="AR346:AS346"/>
    <mergeCell ref="AF364:AQ364"/>
    <mergeCell ref="AT342:BC342"/>
    <mergeCell ref="BD323:BR324"/>
    <mergeCell ref="BD363:BR363"/>
    <mergeCell ref="AF340:AQ340"/>
    <mergeCell ref="AT363:BC363"/>
    <mergeCell ref="AR359:AS359"/>
    <mergeCell ref="U441:AE441"/>
    <mergeCell ref="AR373:AS373"/>
    <mergeCell ref="U374:AE374"/>
    <mergeCell ref="AT365:BC365"/>
    <mergeCell ref="AR331:AS331"/>
    <mergeCell ref="U429:AE429"/>
    <mergeCell ref="AF440:AQ440"/>
    <mergeCell ref="AF439:AQ439"/>
    <mergeCell ref="U436:AE436"/>
    <mergeCell ref="U440:AE440"/>
    <mergeCell ref="U417:AE417"/>
    <mergeCell ref="P427:T428"/>
    <mergeCell ref="AF418:AQ418"/>
    <mergeCell ref="U413:AE413"/>
    <mergeCell ref="AR432:AS432"/>
    <mergeCell ref="BV433:BX433"/>
    <mergeCell ref="BY445:CA445"/>
    <mergeCell ref="BS435:BU435"/>
    <mergeCell ref="AT440:BC440"/>
    <mergeCell ref="BD437:BR437"/>
    <mergeCell ref="BY440:CA440"/>
    <mergeCell ref="BV441:BX441"/>
    <mergeCell ref="BS437:BU437"/>
    <mergeCell ref="BV439:BX439"/>
    <mergeCell ref="BS403:BU403"/>
    <mergeCell ref="BD370:BR370"/>
    <mergeCell ref="U373:AE373"/>
    <mergeCell ref="AT390:BC390"/>
    <mergeCell ref="R389:T391"/>
    <mergeCell ref="AF339:AQ339"/>
    <mergeCell ref="BY444:CA444"/>
    <mergeCell ref="AR396:AS396"/>
    <mergeCell ref="BV399:BX399"/>
    <mergeCell ref="BV407:BX407"/>
    <mergeCell ref="BS434:BU434"/>
    <mergeCell ref="BD428:BR428"/>
    <mergeCell ref="AT424:BC425"/>
    <mergeCell ref="AF419:AQ419"/>
    <mergeCell ref="AF415:AQ415"/>
    <mergeCell ref="BS429:BU429"/>
    <mergeCell ref="BV429:BX429"/>
    <mergeCell ref="AR427:AS427"/>
    <mergeCell ref="AR429:AS429"/>
    <mergeCell ref="BD435:BR435"/>
    <mergeCell ref="BD439:BR439"/>
    <mergeCell ref="AT438:BC438"/>
    <mergeCell ref="BY432:CA432"/>
    <mergeCell ref="AR409:AS409"/>
    <mergeCell ref="AT391:BC391"/>
    <mergeCell ref="AT392:BC392"/>
    <mergeCell ref="AT408:BC408"/>
    <mergeCell ref="BD403:BR403"/>
    <mergeCell ref="AR394:AS394"/>
    <mergeCell ref="BS392:BU392"/>
    <mergeCell ref="AF396:AQ396"/>
    <mergeCell ref="BD413:BR413"/>
    <mergeCell ref="BV408:BX408"/>
    <mergeCell ref="BD398:BR398"/>
    <mergeCell ref="BS428:BU428"/>
    <mergeCell ref="BD404:BR404"/>
    <mergeCell ref="BD405:BR405"/>
    <mergeCell ref="BD393:BR393"/>
    <mergeCell ref="BD394:BR394"/>
    <mergeCell ref="AF400:AQ400"/>
    <mergeCell ref="CB475:CU475"/>
    <mergeCell ref="BY481:CA481"/>
    <mergeCell ref="BS481:BU481"/>
    <mergeCell ref="CB479:CU479"/>
    <mergeCell ref="BS474:BU474"/>
    <mergeCell ref="BY475:CA475"/>
    <mergeCell ref="BD463:BR463"/>
    <mergeCell ref="BS475:BU475"/>
    <mergeCell ref="BY463:CA463"/>
    <mergeCell ref="BV467:BX467"/>
    <mergeCell ref="BV464:BX464"/>
    <mergeCell ref="BY468:CA468"/>
    <mergeCell ref="CB477:CU477"/>
    <mergeCell ref="BS463:BU463"/>
    <mergeCell ref="BD478:BR478"/>
    <mergeCell ref="BD476:BR476"/>
    <mergeCell ref="BD466:BR466"/>
    <mergeCell ref="BS479:BU479"/>
    <mergeCell ref="BY480:CA480"/>
    <mergeCell ref="BS473:CA473"/>
    <mergeCell ref="CB465:CU465"/>
    <mergeCell ref="BY470:CA470"/>
    <mergeCell ref="BV477:BX477"/>
    <mergeCell ref="BD480:BR480"/>
    <mergeCell ref="BD481:BR481"/>
    <mergeCell ref="CB470:CU470"/>
    <mergeCell ref="BY464:CA464"/>
    <mergeCell ref="BY465:CA465"/>
    <mergeCell ref="BD464:BR464"/>
    <mergeCell ref="BV468:BX468"/>
    <mergeCell ref="BS476:BU476"/>
    <mergeCell ref="BV478:BX478"/>
    <mergeCell ref="AT469:BC469"/>
    <mergeCell ref="AT478:BC478"/>
    <mergeCell ref="BV461:BX461"/>
    <mergeCell ref="BD402:BR402"/>
    <mergeCell ref="AF403:AQ403"/>
    <mergeCell ref="AR404:AS404"/>
    <mergeCell ref="AF405:AQ405"/>
    <mergeCell ref="AT396:BC396"/>
    <mergeCell ref="AR408:AS408"/>
    <mergeCell ref="M381:O381"/>
    <mergeCell ref="AR340:AS340"/>
    <mergeCell ref="R373:T374"/>
    <mergeCell ref="AF372:AQ372"/>
    <mergeCell ref="AF356:AQ356"/>
    <mergeCell ref="AF354:AQ354"/>
    <mergeCell ref="U353:AE353"/>
    <mergeCell ref="M344:O344"/>
    <mergeCell ref="M355:O355"/>
    <mergeCell ref="BS477:BU477"/>
    <mergeCell ref="BV412:BX412"/>
    <mergeCell ref="BS443:BU443"/>
    <mergeCell ref="AF387:AQ387"/>
    <mergeCell ref="U402:AE402"/>
    <mergeCell ref="U407:AE407"/>
    <mergeCell ref="U394:AE394"/>
    <mergeCell ref="M408:O408"/>
    <mergeCell ref="BD477:BR477"/>
    <mergeCell ref="AT475:BC475"/>
    <mergeCell ref="AF475:AQ475"/>
    <mergeCell ref="AR433:AS433"/>
    <mergeCell ref="BS439:BU439"/>
    <mergeCell ref="AR411:AS411"/>
    <mergeCell ref="AF456:AQ456"/>
    <mergeCell ref="AF450:AQ450"/>
    <mergeCell ref="AF452:AQ452"/>
    <mergeCell ref="AT428:BC428"/>
    <mergeCell ref="AT429:BC429"/>
    <mergeCell ref="AT420:BC420"/>
    <mergeCell ref="AT480:BC480"/>
    <mergeCell ref="BD417:BR417"/>
    <mergeCell ref="BD443:BR443"/>
    <mergeCell ref="BD448:BR448"/>
    <mergeCell ref="AT462:BC462"/>
    <mergeCell ref="M397:O397"/>
    <mergeCell ref="U404:AE404"/>
    <mergeCell ref="U399:AE399"/>
    <mergeCell ref="U400:AE400"/>
    <mergeCell ref="BD440:BR440"/>
    <mergeCell ref="AT443:BC443"/>
    <mergeCell ref="AT463:BC463"/>
    <mergeCell ref="BD451:BR451"/>
    <mergeCell ref="BD445:BR445"/>
    <mergeCell ref="BD461:BR461"/>
    <mergeCell ref="AT454:BC454"/>
    <mergeCell ref="AT439:BC439"/>
    <mergeCell ref="BD444:BR444"/>
    <mergeCell ref="AT427:BC427"/>
    <mergeCell ref="AT437:BC437"/>
    <mergeCell ref="BD462:BR462"/>
    <mergeCell ref="AT415:BC415"/>
    <mergeCell ref="M401:O401"/>
    <mergeCell ref="M406:O406"/>
    <mergeCell ref="AR463:AS463"/>
    <mergeCell ref="AR460:AS460"/>
    <mergeCell ref="M364:O364"/>
    <mergeCell ref="M340:O340"/>
    <mergeCell ref="AT368:BC369"/>
    <mergeCell ref="BD334:BR334"/>
    <mergeCell ref="M361:O361"/>
    <mergeCell ref="AR357:AS357"/>
    <mergeCell ref="AF368:AQ369"/>
    <mergeCell ref="AR368:AS369"/>
    <mergeCell ref="M358:O358"/>
    <mergeCell ref="M353:O353"/>
    <mergeCell ref="U359:AE359"/>
    <mergeCell ref="BS340:BU340"/>
    <mergeCell ref="R339:T340"/>
    <mergeCell ref="BD353:BR353"/>
    <mergeCell ref="AR352:AS352"/>
    <mergeCell ref="R452:T454"/>
    <mergeCell ref="M451:O451"/>
    <mergeCell ref="AT411:BC411"/>
    <mergeCell ref="BD418:BR418"/>
    <mergeCell ref="BS424:CA424"/>
    <mergeCell ref="BY420:CA420"/>
    <mergeCell ref="AF391:AQ391"/>
    <mergeCell ref="AF408:AQ408"/>
    <mergeCell ref="AF411:AQ411"/>
    <mergeCell ref="BY414:CA414"/>
    <mergeCell ref="BD407:BR407"/>
    <mergeCell ref="BY428:CA428"/>
    <mergeCell ref="AT433:BC433"/>
    <mergeCell ref="BY400:CA400"/>
    <mergeCell ref="BY404:CA404"/>
    <mergeCell ref="AT402:BC402"/>
    <mergeCell ref="AT399:BC399"/>
    <mergeCell ref="AF312:AQ312"/>
    <mergeCell ref="AR319:AS319"/>
    <mergeCell ref="AF314:AQ314"/>
    <mergeCell ref="AF328:AQ328"/>
    <mergeCell ref="AR325:AS325"/>
    <mergeCell ref="M335:O335"/>
    <mergeCell ref="M336:O336"/>
    <mergeCell ref="AF334:AQ334"/>
    <mergeCell ref="BS330:BU330"/>
    <mergeCell ref="AF329:AQ329"/>
    <mergeCell ref="BD328:BR328"/>
    <mergeCell ref="AT328:BC328"/>
    <mergeCell ref="U328:AE328"/>
    <mergeCell ref="AT359:BC359"/>
    <mergeCell ref="AF353:AQ353"/>
    <mergeCell ref="AR362:AS362"/>
    <mergeCell ref="AF347:AQ347"/>
    <mergeCell ref="AR353:AS353"/>
    <mergeCell ref="AF355:AQ355"/>
    <mergeCell ref="AT360:BC360"/>
    <mergeCell ref="U329:AE329"/>
    <mergeCell ref="AT350:BC351"/>
    <mergeCell ref="P353:T356"/>
    <mergeCell ref="P357:T358"/>
    <mergeCell ref="BS334:BU334"/>
    <mergeCell ref="BS347:BU347"/>
    <mergeCell ref="BS332:BU332"/>
    <mergeCell ref="P329:Q347"/>
    <mergeCell ref="M328:O328"/>
    <mergeCell ref="M326:O326"/>
    <mergeCell ref="M313:O313"/>
    <mergeCell ref="M315:O315"/>
    <mergeCell ref="AT473:BC474"/>
    <mergeCell ref="M472:CU472"/>
    <mergeCell ref="BY478:CA478"/>
    <mergeCell ref="AR476:AS476"/>
    <mergeCell ref="AB192:AD192"/>
    <mergeCell ref="U192:AA192"/>
    <mergeCell ref="AB234:AN234"/>
    <mergeCell ref="BQ301:BU301"/>
    <mergeCell ref="AT311:BC311"/>
    <mergeCell ref="AR344:AS344"/>
    <mergeCell ref="U341:AE341"/>
    <mergeCell ref="P327:T328"/>
    <mergeCell ref="U343:AE343"/>
    <mergeCell ref="AT333:BC333"/>
    <mergeCell ref="U344:AE344"/>
    <mergeCell ref="U340:AE340"/>
    <mergeCell ref="AR328:AS328"/>
    <mergeCell ref="U333:AE333"/>
    <mergeCell ref="AR332:AS332"/>
    <mergeCell ref="AR330:AS330"/>
    <mergeCell ref="U330:AE330"/>
    <mergeCell ref="AB217:AD217"/>
    <mergeCell ref="AB216:AG216"/>
    <mergeCell ref="AF319:AQ319"/>
    <mergeCell ref="AF320:AQ320"/>
    <mergeCell ref="U310:AE310"/>
    <mergeCell ref="P312:T313"/>
    <mergeCell ref="AF341:AQ341"/>
    <mergeCell ref="AT314:BC314"/>
    <mergeCell ref="BS315:BU315"/>
    <mergeCell ref="AF310:AQ310"/>
    <mergeCell ref="BS319:BU319"/>
    <mergeCell ref="BW245:CS246"/>
    <mergeCell ref="CB430:CU430"/>
    <mergeCell ref="AT403:BC403"/>
    <mergeCell ref="AT412:BC412"/>
    <mergeCell ref="AR407:AS407"/>
    <mergeCell ref="DZ510:DZ511"/>
    <mergeCell ref="DY510:DY511"/>
    <mergeCell ref="AF477:AQ477"/>
    <mergeCell ref="AT476:BC476"/>
    <mergeCell ref="AT479:BC479"/>
    <mergeCell ref="AT495:BC495"/>
    <mergeCell ref="AT496:BC496"/>
    <mergeCell ref="AF500:AQ500"/>
    <mergeCell ref="AT498:BC498"/>
    <mergeCell ref="BD475:BR475"/>
    <mergeCell ref="AR475:AS475"/>
    <mergeCell ref="EB473:EF473"/>
    <mergeCell ref="AT482:BC482"/>
    <mergeCell ref="EB491:EF491"/>
    <mergeCell ref="BD491:BR492"/>
    <mergeCell ref="DX471:DX474"/>
    <mergeCell ref="CB494:CU494"/>
    <mergeCell ref="CB495:CU495"/>
    <mergeCell ref="AF491:AQ492"/>
    <mergeCell ref="BV484:BX484"/>
    <mergeCell ref="BD484:BR484"/>
    <mergeCell ref="BD479:BR479"/>
    <mergeCell ref="BD483:BR483"/>
    <mergeCell ref="BS486:BU486"/>
    <mergeCell ref="CB488:CU488"/>
    <mergeCell ref="BV487:BX487"/>
    <mergeCell ref="BY486:CA486"/>
    <mergeCell ref="U419:AE419"/>
    <mergeCell ref="M403:O403"/>
    <mergeCell ref="M399:O399"/>
    <mergeCell ref="M400:O400"/>
    <mergeCell ref="M368:O369"/>
    <mergeCell ref="BY453:CA453"/>
    <mergeCell ref="BV460:BX460"/>
    <mergeCell ref="BD453:BR453"/>
    <mergeCell ref="BY461:CA461"/>
    <mergeCell ref="BY457:CA457"/>
    <mergeCell ref="BS469:BU469"/>
    <mergeCell ref="CB443:CU443"/>
    <mergeCell ref="CB441:CU441"/>
    <mergeCell ref="CB442:CU442"/>
    <mergeCell ref="BD442:BR442"/>
    <mergeCell ref="AJ151:AL151"/>
    <mergeCell ref="AO151:AQ151"/>
    <mergeCell ref="AR398:AS398"/>
    <mergeCell ref="AF397:AQ397"/>
    <mergeCell ref="BY433:CA433"/>
    <mergeCell ref="CB438:CU438"/>
    <mergeCell ref="CB429:CU429"/>
    <mergeCell ref="CB416:CU416"/>
    <mergeCell ref="CB420:CU420"/>
    <mergeCell ref="BV437:BX437"/>
    <mergeCell ref="AT405:BC405"/>
    <mergeCell ref="BS409:BU409"/>
    <mergeCell ref="AO157:AQ157"/>
    <mergeCell ref="AT395:BC395"/>
    <mergeCell ref="CB390:CU390"/>
    <mergeCell ref="AJ172:AL172"/>
    <mergeCell ref="CD241:CS244"/>
    <mergeCell ref="M365:O365"/>
    <mergeCell ref="AF378:AQ378"/>
    <mergeCell ref="M374:O374"/>
    <mergeCell ref="BD397:BR397"/>
    <mergeCell ref="BD395:BR395"/>
    <mergeCell ref="AR406:AS406"/>
    <mergeCell ref="M402:O402"/>
    <mergeCell ref="M393:O393"/>
    <mergeCell ref="M407:O407"/>
    <mergeCell ref="P403:T404"/>
    <mergeCell ref="U398:AE398"/>
    <mergeCell ref="M389:O389"/>
    <mergeCell ref="M396:O396"/>
    <mergeCell ref="P370:Q374"/>
    <mergeCell ref="U392:AE392"/>
    <mergeCell ref="M370:O370"/>
    <mergeCell ref="M371:O371"/>
    <mergeCell ref="U383:AE383"/>
    <mergeCell ref="U365:AE365"/>
    <mergeCell ref="AR402:AS402"/>
    <mergeCell ref="AF386:AQ386"/>
    <mergeCell ref="U386:AE386"/>
    <mergeCell ref="AR386:AS386"/>
    <mergeCell ref="AR372:AS372"/>
    <mergeCell ref="R372:AE372"/>
    <mergeCell ref="BD365:BR365"/>
    <mergeCell ref="P368:AE369"/>
    <mergeCell ref="AR370:AS370"/>
    <mergeCell ref="AF371:AQ371"/>
    <mergeCell ref="BD368:BR369"/>
    <mergeCell ref="BD387:BR387"/>
    <mergeCell ref="U406:AE406"/>
    <mergeCell ref="AB170:AD170"/>
    <mergeCell ref="AT313:BC313"/>
    <mergeCell ref="BD310:BR310"/>
    <mergeCell ref="BD408:BR408"/>
    <mergeCell ref="BS400:BU400"/>
    <mergeCell ref="AT406:BC406"/>
    <mergeCell ref="BS405:BU405"/>
    <mergeCell ref="CB398:CU398"/>
    <mergeCell ref="M383:O383"/>
    <mergeCell ref="M376:O376"/>
    <mergeCell ref="AF406:AQ406"/>
    <mergeCell ref="M404:O404"/>
    <mergeCell ref="AT398:BC398"/>
    <mergeCell ref="P395:T402"/>
    <mergeCell ref="AF398:AQ398"/>
    <mergeCell ref="M343:O343"/>
    <mergeCell ref="M347:O347"/>
    <mergeCell ref="M391:O391"/>
    <mergeCell ref="U381:AE381"/>
    <mergeCell ref="U384:AE384"/>
    <mergeCell ref="M387:O387"/>
    <mergeCell ref="M384:O384"/>
    <mergeCell ref="M390:O390"/>
    <mergeCell ref="AF392:AQ392"/>
    <mergeCell ref="U376:AE376"/>
    <mergeCell ref="U377:AE377"/>
    <mergeCell ref="M385:O385"/>
    <mergeCell ref="R394:T394"/>
    <mergeCell ref="BD329:BR329"/>
    <mergeCell ref="AR316:AS316"/>
    <mergeCell ref="M379:O379"/>
    <mergeCell ref="M378:O378"/>
    <mergeCell ref="U318:AE318"/>
    <mergeCell ref="AF318:AQ318"/>
    <mergeCell ref="AF323:AQ324"/>
    <mergeCell ref="AR323:AS324"/>
    <mergeCell ref="BD373:BR373"/>
    <mergeCell ref="R385:T385"/>
    <mergeCell ref="AF376:AQ376"/>
    <mergeCell ref="AR434:AS434"/>
    <mergeCell ref="AR389:AS389"/>
    <mergeCell ref="AF417:AQ417"/>
    <mergeCell ref="AF327:AQ327"/>
    <mergeCell ref="U357:AE357"/>
    <mergeCell ref="P350:AE351"/>
    <mergeCell ref="U342:AE342"/>
    <mergeCell ref="M377:O377"/>
    <mergeCell ref="M372:O372"/>
    <mergeCell ref="AF390:AQ390"/>
    <mergeCell ref="P392:Q394"/>
    <mergeCell ref="M380:O380"/>
    <mergeCell ref="M382:O382"/>
    <mergeCell ref="U375:AE375"/>
    <mergeCell ref="AR375:AS375"/>
    <mergeCell ref="M375:O375"/>
    <mergeCell ref="R384:T384"/>
    <mergeCell ref="U397:AE397"/>
    <mergeCell ref="AF395:AQ395"/>
    <mergeCell ref="U379:AE379"/>
    <mergeCell ref="U382:AE382"/>
    <mergeCell ref="U345:AE345"/>
    <mergeCell ref="AF380:AQ380"/>
    <mergeCell ref="P375:Q385"/>
    <mergeCell ref="M362:O362"/>
    <mergeCell ref="FW303:FY303"/>
    <mergeCell ref="FW304:FY304"/>
    <mergeCell ref="BV436:BX436"/>
    <mergeCell ref="BD434:BR434"/>
    <mergeCell ref="AT432:BC432"/>
    <mergeCell ref="BD432:BR432"/>
    <mergeCell ref="BD433:BR433"/>
    <mergeCell ref="BY449:CA449"/>
    <mergeCell ref="AT450:BC450"/>
    <mergeCell ref="AT446:BC446"/>
    <mergeCell ref="AT448:BC448"/>
    <mergeCell ref="BD447:BR447"/>
    <mergeCell ref="BD441:BR441"/>
    <mergeCell ref="AT441:BC441"/>
    <mergeCell ref="AT404:BC404"/>
    <mergeCell ref="AT394:BC394"/>
    <mergeCell ref="BY310:CA310"/>
    <mergeCell ref="BS390:BU390"/>
    <mergeCell ref="BS352:BU352"/>
    <mergeCell ref="BD358:BR358"/>
    <mergeCell ref="AT397:BC397"/>
    <mergeCell ref="BV411:BX411"/>
    <mergeCell ref="BY408:CA408"/>
    <mergeCell ref="CB432:CU432"/>
    <mergeCell ref="CB435:CU435"/>
    <mergeCell ref="BD414:BR414"/>
    <mergeCell ref="BD430:BR430"/>
    <mergeCell ref="BD424:BR425"/>
    <mergeCell ref="FQ368:FU368"/>
    <mergeCell ref="FQ424:FU424"/>
    <mergeCell ref="BS431:BU431"/>
    <mergeCell ref="BY437:CA437"/>
    <mergeCell ref="FK424:FO425"/>
    <mergeCell ref="FK368:FO369"/>
    <mergeCell ref="FK350:FO351"/>
    <mergeCell ref="EY424:FC424"/>
    <mergeCell ref="BV446:BX446"/>
    <mergeCell ref="BY452:CA452"/>
    <mergeCell ref="BY454:CA454"/>
    <mergeCell ref="BD449:BR449"/>
    <mergeCell ref="BD450:BR450"/>
    <mergeCell ref="BD446:BR446"/>
    <mergeCell ref="BS444:BU444"/>
    <mergeCell ref="BS465:BU465"/>
    <mergeCell ref="AF410:AQ410"/>
    <mergeCell ref="AT382:BC382"/>
    <mergeCell ref="AF394:AQ394"/>
    <mergeCell ref="ET473:EX473"/>
    <mergeCell ref="DY491:DY492"/>
    <mergeCell ref="DZ491:DZ492"/>
    <mergeCell ref="BS468:BU468"/>
    <mergeCell ref="BV462:BX462"/>
    <mergeCell ref="AR391:AS391"/>
    <mergeCell ref="BS461:BU461"/>
    <mergeCell ref="AT457:BC457"/>
    <mergeCell ref="BD458:BR458"/>
    <mergeCell ref="BS460:BU460"/>
    <mergeCell ref="AT421:BC421"/>
    <mergeCell ref="EG491:EK491"/>
    <mergeCell ref="EL491:EN491"/>
    <mergeCell ref="BY450:CA450"/>
    <mergeCell ref="BY438:CA438"/>
    <mergeCell ref="AR412:AS412"/>
    <mergeCell ref="BY484:CA484"/>
    <mergeCell ref="EG473:EK473"/>
    <mergeCell ref="EL473:EN473"/>
    <mergeCell ref="DY473:DY474"/>
    <mergeCell ref="DZ473:DZ474"/>
    <mergeCell ref="FQ510:FU510"/>
    <mergeCell ref="EY491:FC491"/>
    <mergeCell ref="FD491:FH491"/>
    <mergeCell ref="BS492:BU492"/>
    <mergeCell ref="BV492:BX492"/>
    <mergeCell ref="BY492:CA492"/>
    <mergeCell ref="EY473:FC473"/>
    <mergeCell ref="FQ350:FU350"/>
    <mergeCell ref="CB394:CU394"/>
    <mergeCell ref="BY410:CA410"/>
    <mergeCell ref="BY403:CA403"/>
    <mergeCell ref="FQ491:FU491"/>
    <mergeCell ref="CB444:CU444"/>
    <mergeCell ref="BV428:BX428"/>
    <mergeCell ref="CB478:CU478"/>
    <mergeCell ref="CB453:CU453"/>
    <mergeCell ref="BV466:BX466"/>
    <mergeCell ref="BY467:CA467"/>
    <mergeCell ref="BV457:BX457"/>
    <mergeCell ref="CB460:CU460"/>
    <mergeCell ref="BS453:BU453"/>
    <mergeCell ref="BV453:BX453"/>
    <mergeCell ref="BV476:BX476"/>
    <mergeCell ref="BY431:CA431"/>
    <mergeCell ref="BS430:BU430"/>
    <mergeCell ref="BS418:BU418"/>
    <mergeCell ref="FK473:FO474"/>
    <mergeCell ref="FK491:FO492"/>
    <mergeCell ref="BW34:CS37"/>
    <mergeCell ref="BW49:CS52"/>
    <mergeCell ref="BW61:CS64"/>
    <mergeCell ref="BW68:CS69"/>
    <mergeCell ref="BW72:CS73"/>
    <mergeCell ref="BW79:CS80"/>
    <mergeCell ref="BW97:CS98"/>
    <mergeCell ref="AB195:AU195"/>
    <mergeCell ref="AB177:AD177"/>
    <mergeCell ref="AO178:AQ178"/>
    <mergeCell ref="AJ209:AL209"/>
    <mergeCell ref="BW151:CS154"/>
    <mergeCell ref="BW195:CS196"/>
    <mergeCell ref="BW214:CS215"/>
    <mergeCell ref="BW223:CS224"/>
    <mergeCell ref="BW225:CS225"/>
    <mergeCell ref="U396:AE396"/>
    <mergeCell ref="U393:AE393"/>
    <mergeCell ref="AR387:AS387"/>
    <mergeCell ref="M154:AA154"/>
    <mergeCell ref="BV181:CS182"/>
    <mergeCell ref="BW183:CS184"/>
    <mergeCell ref="M160:AA160"/>
    <mergeCell ref="R392:T393"/>
    <mergeCell ref="M346:O346"/>
    <mergeCell ref="M360:O360"/>
    <mergeCell ref="AR390:AS390"/>
    <mergeCell ref="AR374:AS374"/>
    <mergeCell ref="R380:T383"/>
    <mergeCell ref="AR363:AS363"/>
    <mergeCell ref="U388:AE388"/>
    <mergeCell ref="M386:O386"/>
    <mergeCell ref="CT1:CU1"/>
    <mergeCell ref="CR2:CS2"/>
    <mergeCell ref="CN1:CO1"/>
    <mergeCell ref="CP1:CQ1"/>
    <mergeCell ref="S10:AA10"/>
    <mergeCell ref="CN2:CO2"/>
    <mergeCell ref="AB105:AP105"/>
    <mergeCell ref="AC2:AE2"/>
    <mergeCell ref="AO2:AQ2"/>
    <mergeCell ref="CH2:CI2"/>
    <mergeCell ref="AR397:AS397"/>
    <mergeCell ref="CT2:CU2"/>
    <mergeCell ref="BT1:BU1"/>
    <mergeCell ref="BT2:BU2"/>
    <mergeCell ref="BV1:BW1"/>
    <mergeCell ref="BV2:BW2"/>
    <mergeCell ref="BX1:BY1"/>
    <mergeCell ref="AQ134:BI134"/>
    <mergeCell ref="CC47:CS48"/>
    <mergeCell ref="BP2:BQ2"/>
    <mergeCell ref="BN2:BO2"/>
    <mergeCell ref="M56:AA56"/>
    <mergeCell ref="AB68:AP68"/>
    <mergeCell ref="Z104:AA104"/>
    <mergeCell ref="S89:AA89"/>
    <mergeCell ref="S102:AA102"/>
    <mergeCell ref="S104:Y106"/>
    <mergeCell ref="Z88:AA88"/>
    <mergeCell ref="Y7:AA7"/>
    <mergeCell ref="M7:X7"/>
    <mergeCell ref="M10:R14"/>
    <mergeCell ref="S20:AA20"/>
    <mergeCell ref="BW78:CS78"/>
    <mergeCell ref="BW96:CS96"/>
    <mergeCell ref="BW86:CS87"/>
    <mergeCell ref="BW90:CS91"/>
    <mergeCell ref="BW104:CS105"/>
    <mergeCell ref="CB436:CU436"/>
    <mergeCell ref="BW114:CS115"/>
    <mergeCell ref="BL114:BT114"/>
    <mergeCell ref="BW119:CS120"/>
    <mergeCell ref="BV256:CS256"/>
    <mergeCell ref="BW286:CS290"/>
    <mergeCell ref="BV291:CS292"/>
    <mergeCell ref="BW131:CS132"/>
    <mergeCell ref="BW128:CS129"/>
    <mergeCell ref="BW173:CS180"/>
    <mergeCell ref="BW185:CS194"/>
    <mergeCell ref="BW233:CS234"/>
    <mergeCell ref="BW269:CS274"/>
    <mergeCell ref="BW169:CS170"/>
    <mergeCell ref="BS433:BU433"/>
    <mergeCell ref="BY308:CA308"/>
    <mergeCell ref="BY399:CA399"/>
    <mergeCell ref="BY395:CA395"/>
    <mergeCell ref="BY409:CA409"/>
    <mergeCell ref="BV395:BX395"/>
    <mergeCell ref="BV414:BX414"/>
    <mergeCell ref="BS414:BU414"/>
    <mergeCell ref="BS413:BU413"/>
    <mergeCell ref="CB341:CU341"/>
    <mergeCell ref="BD352:BR352"/>
    <mergeCell ref="BD335:BR335"/>
    <mergeCell ref="BV313:BX313"/>
    <mergeCell ref="AK89:AP89"/>
    <mergeCell ref="AQ89:BT89"/>
    <mergeCell ref="AT109:AY109"/>
    <mergeCell ref="AB91:AG91"/>
    <mergeCell ref="AB102:BT102"/>
    <mergeCell ref="BL96:BT96"/>
    <mergeCell ref="S100:Y100"/>
    <mergeCell ref="S116:AA116"/>
    <mergeCell ref="FQ301:FU301"/>
    <mergeCell ref="FK304:FO305"/>
    <mergeCell ref="EB510:EF510"/>
    <mergeCell ref="EG510:EK510"/>
    <mergeCell ref="EL510:EN510"/>
    <mergeCell ref="BS482:BU482"/>
    <mergeCell ref="CB484:CU484"/>
    <mergeCell ref="BV485:BX485"/>
    <mergeCell ref="BY477:CA477"/>
    <mergeCell ref="CB476:CU476"/>
    <mergeCell ref="BS480:BU480"/>
    <mergeCell ref="BS494:BU494"/>
    <mergeCell ref="BY495:CA495"/>
    <mergeCell ref="EO510:ER510"/>
    <mergeCell ref="AF399:AQ399"/>
    <mergeCell ref="U411:AE411"/>
    <mergeCell ref="FD473:FH473"/>
    <mergeCell ref="EO473:ER473"/>
    <mergeCell ref="FK323:FO324"/>
    <mergeCell ref="FK510:FO511"/>
    <mergeCell ref="FQ473:FU473"/>
    <mergeCell ref="AR461:AS461"/>
    <mergeCell ref="EO491:ER491"/>
    <mergeCell ref="ET491:EX491"/>
    <mergeCell ref="CL1:CM1"/>
    <mergeCell ref="S97:AA97"/>
    <mergeCell ref="AB100:AP100"/>
    <mergeCell ref="AQ91:AS91"/>
    <mergeCell ref="AK91:AP91"/>
    <mergeCell ref="AB97:AP97"/>
    <mergeCell ref="Z100:AA100"/>
    <mergeCell ref="BX2:BY2"/>
    <mergeCell ref="BZ1:CA1"/>
    <mergeCell ref="CB1:CC1"/>
    <mergeCell ref="CD1:CE1"/>
    <mergeCell ref="BZ2:CA2"/>
    <mergeCell ref="CB2:CC2"/>
    <mergeCell ref="CD2:CE2"/>
    <mergeCell ref="CF1:CG1"/>
    <mergeCell ref="CH1:CI1"/>
    <mergeCell ref="CJ1:CK1"/>
    <mergeCell ref="CF2:CG2"/>
    <mergeCell ref="AI96:AM96"/>
    <mergeCell ref="Z99:AA99"/>
    <mergeCell ref="AT25:AY25"/>
    <mergeCell ref="AB48:BT48"/>
    <mergeCell ref="AB88:AP88"/>
    <mergeCell ref="M39:AA39"/>
    <mergeCell ref="S47:AA47"/>
    <mergeCell ref="AQ55:AS55"/>
    <mergeCell ref="S71:AA71"/>
    <mergeCell ref="S33:AA33"/>
    <mergeCell ref="AT91:AY91"/>
    <mergeCell ref="S90:AA90"/>
    <mergeCell ref="S91:AA91"/>
    <mergeCell ref="S18:AA18"/>
    <mergeCell ref="S12:AA12"/>
    <mergeCell ref="BF4:BH4"/>
    <mergeCell ref="BK4:BM4"/>
    <mergeCell ref="AB10:BT10"/>
    <mergeCell ref="AW4:BB4"/>
    <mergeCell ref="AQ7:AS7"/>
    <mergeCell ref="AT7:AY7"/>
    <mergeCell ref="S14:AA14"/>
    <mergeCell ref="AK7:AP7"/>
    <mergeCell ref="R4:T4"/>
    <mergeCell ref="BP4:BR4"/>
    <mergeCell ref="M8:R9"/>
    <mergeCell ref="M4:O4"/>
    <mergeCell ref="S107:AA107"/>
    <mergeCell ref="S103:AA103"/>
    <mergeCell ref="S109:AA109"/>
    <mergeCell ref="J114:BK114"/>
    <mergeCell ref="AB106:AP106"/>
    <mergeCell ref="M47:R52"/>
    <mergeCell ref="Z81:AA81"/>
    <mergeCell ref="S82:Y82"/>
    <mergeCell ref="Z87:AA87"/>
    <mergeCell ref="Z82:AA82"/>
    <mergeCell ref="AQ109:AS109"/>
    <mergeCell ref="S19:AA19"/>
    <mergeCell ref="S17:AA17"/>
    <mergeCell ref="S8:AA8"/>
    <mergeCell ref="S9:AA9"/>
    <mergeCell ref="S11:AA11"/>
    <mergeCell ref="AH89:AJ89"/>
    <mergeCell ref="AH91:AJ91"/>
    <mergeCell ref="AB89:AG89"/>
    <mergeCell ref="CR1:CS1"/>
    <mergeCell ref="BW108:CS109"/>
    <mergeCell ref="BW116:CS117"/>
    <mergeCell ref="AY16:BK16"/>
    <mergeCell ref="AB84:BT84"/>
    <mergeCell ref="AB99:AP99"/>
    <mergeCell ref="AB87:AP87"/>
    <mergeCell ref="BL16:BT16"/>
    <mergeCell ref="AB11:BT11"/>
    <mergeCell ref="AB12:BT12"/>
    <mergeCell ref="AB9:BT9"/>
    <mergeCell ref="AB19:BT19"/>
    <mergeCell ref="AQ26:AS26"/>
    <mergeCell ref="AK23:AP23"/>
    <mergeCell ref="AB21:BT21"/>
    <mergeCell ref="AB27:BT27"/>
    <mergeCell ref="AJ1:BE1"/>
    <mergeCell ref="BF1:BK1"/>
    <mergeCell ref="CL2:CM2"/>
    <mergeCell ref="CP2:CQ2"/>
    <mergeCell ref="BR2:BS2"/>
    <mergeCell ref="AB101:BT101"/>
    <mergeCell ref="AB69:AP69"/>
    <mergeCell ref="BX8:CS9"/>
    <mergeCell ref="AB22:BT22"/>
    <mergeCell ref="AB24:BT24"/>
    <mergeCell ref="AK109:AP109"/>
    <mergeCell ref="AB103:BT103"/>
    <mergeCell ref="AB117:AP117"/>
    <mergeCell ref="AB47:BT47"/>
    <mergeCell ref="AB83:BT83"/>
    <mergeCell ref="CJ2:CK2"/>
  </mergeCells>
  <phoneticPr fontId="3"/>
  <conditionalFormatting sqref="AB8:BT14">
    <cfRule type="cellIs" dxfId="579" priority="1974" operator="equal">
      <formula>""</formula>
    </cfRule>
  </conditionalFormatting>
  <conditionalFormatting sqref="AB12:AD12">
    <cfRule type="cellIs" dxfId="578" priority="1972" operator="equal">
      <formula>""</formula>
    </cfRule>
  </conditionalFormatting>
  <conditionalFormatting sqref="AB24:BT24">
    <cfRule type="cellIs" dxfId="577" priority="1962" operator="equal">
      <formula>""</formula>
    </cfRule>
  </conditionalFormatting>
  <conditionalFormatting sqref="AB67:BT67">
    <cfRule type="cellIs" dxfId="576" priority="1964" operator="equal">
      <formula>""</formula>
    </cfRule>
  </conditionalFormatting>
  <conditionalFormatting sqref="AB40:BT40">
    <cfRule type="cellIs" dxfId="575" priority="1957" operator="equal">
      <formula>""</formula>
    </cfRule>
  </conditionalFormatting>
  <conditionalFormatting sqref="AB72:BT72">
    <cfRule type="cellIs" dxfId="574" priority="1948" operator="equal">
      <formula>""</formula>
    </cfRule>
  </conditionalFormatting>
  <conditionalFormatting sqref="AB131:AD132">
    <cfRule type="cellIs" dxfId="573" priority="1942" operator="equal">
      <formula>""</formula>
    </cfRule>
  </conditionalFormatting>
  <conditionalFormatting sqref="AB133:AG134">
    <cfRule type="cellIs" dxfId="572" priority="1940" operator="equal">
      <formula>""</formula>
    </cfRule>
  </conditionalFormatting>
  <conditionalFormatting sqref="AB176:AB177">
    <cfRule type="expression" dxfId="571" priority="1937">
      <formula>AND(AB176="",$AB$171&lt;&gt;"用途変更")</formula>
    </cfRule>
  </conditionalFormatting>
  <conditionalFormatting sqref="AB200:BT203 AB255">
    <cfRule type="cellIs" dxfId="570" priority="1927" operator="equal">
      <formula>""</formula>
    </cfRule>
  </conditionalFormatting>
  <conditionalFormatting sqref="AB169">
    <cfRule type="cellIs" dxfId="569" priority="1904" operator="equal">
      <formula>""</formula>
    </cfRule>
  </conditionalFormatting>
  <conditionalFormatting sqref="AE209 AJ209 AO209">
    <cfRule type="cellIs" dxfId="568" priority="1895" operator="equal">
      <formula>""</formula>
    </cfRule>
  </conditionalFormatting>
  <conditionalFormatting sqref="AB224:AG224">
    <cfRule type="expression" dxfId="567" priority="1883">
      <formula>AND($AB$224="",$AB$223&lt;&gt;"無")</formula>
    </cfRule>
  </conditionalFormatting>
  <conditionalFormatting sqref="AB225">
    <cfRule type="expression" dxfId="566" priority="1877">
      <formula>AND($AB$225="",$AB$223&lt;&gt;"無")</formula>
    </cfRule>
  </conditionalFormatting>
  <conditionalFormatting sqref="AB275:AD275">
    <cfRule type="cellIs" dxfId="565" priority="1873" operator="equal">
      <formula>""</formula>
    </cfRule>
  </conditionalFormatting>
  <conditionalFormatting sqref="AB262">
    <cfRule type="expression" dxfId="564" priority="1870">
      <formula>AND($DP$261=2,$AB$262="")</formula>
    </cfRule>
  </conditionalFormatting>
  <conditionalFormatting sqref="AB68:AP70">
    <cfRule type="cellIs" dxfId="563" priority="1982" operator="equal">
      <formula>""</formula>
    </cfRule>
  </conditionalFormatting>
  <conditionalFormatting sqref="AB86:AE86 AB87:AG87 AB88:AH88">
    <cfRule type="expression" dxfId="562" priority="2473">
      <formula>$AB$86=""</formula>
    </cfRule>
  </conditionalFormatting>
  <conditionalFormatting sqref="AB278:AD278">
    <cfRule type="cellIs" dxfId="561" priority="1842" operator="equal">
      <formula>""</formula>
    </cfRule>
  </conditionalFormatting>
  <conditionalFormatting sqref="BF4:BH4">
    <cfRule type="cellIs" dxfId="560" priority="1833" operator="equal">
      <formula>""</formula>
    </cfRule>
  </conditionalFormatting>
  <conditionalFormatting sqref="BK4:BM4">
    <cfRule type="cellIs" dxfId="559" priority="1832" operator="equal">
      <formula>""</formula>
    </cfRule>
  </conditionalFormatting>
  <conditionalFormatting sqref="BP4:BR4">
    <cfRule type="cellIs" dxfId="558" priority="1831" operator="equal">
      <formula>""</formula>
    </cfRule>
  </conditionalFormatting>
  <conditionalFormatting sqref="AB115">
    <cfRule type="cellIs" dxfId="557" priority="1491" operator="equal">
      <formula>""</formula>
    </cfRule>
  </conditionalFormatting>
  <conditionalFormatting sqref="AB119:AP119">
    <cfRule type="cellIs" dxfId="556" priority="1494" operator="equal">
      <formula>""</formula>
    </cfRule>
  </conditionalFormatting>
  <conditionalFormatting sqref="AB116 AB117">
    <cfRule type="cellIs" dxfId="555" priority="1490" operator="equal">
      <formula>""</formula>
    </cfRule>
  </conditionalFormatting>
  <conditionalFormatting sqref="AF145">
    <cfRule type="expression" dxfId="554" priority="1987">
      <formula>AND(NOT($AB$145="適用"),$AF$145&lt;&gt;"")</formula>
    </cfRule>
    <cfRule type="expression" dxfId="553" priority="1988">
      <formula>AND($AB$145="適用",AF145="")</formula>
    </cfRule>
  </conditionalFormatting>
  <conditionalFormatting sqref="AB242:AD242">
    <cfRule type="expression" dxfId="552" priority="502">
      <formula>AND($AB$241="無",$AB$242="有")</formula>
    </cfRule>
    <cfRule type="expression" dxfId="551" priority="1737">
      <formula>AND($AB$241="有",$AB$242="")</formula>
    </cfRule>
  </conditionalFormatting>
  <conditionalFormatting sqref="AB171">
    <cfRule type="expression" dxfId="550" priority="1797">
      <formula>AND(OR($AB$170="",$AB$170="無"),$AB$171&lt;&gt;"")</formula>
    </cfRule>
    <cfRule type="expression" dxfId="549" priority="1977">
      <formula>AND($AB$170="有",$AB$171="")</formula>
    </cfRule>
  </conditionalFormatting>
  <conditionalFormatting sqref="AB178">
    <cfRule type="expression" dxfId="548" priority="1794">
      <formula>AND(OR($AB$177="",$AB$177="無"),$AB$178&lt;&gt;"")</formula>
    </cfRule>
    <cfRule type="expression" dxfId="547" priority="1900">
      <formula>AND($AB$177="有",$AB$178="")</formula>
    </cfRule>
  </conditionalFormatting>
  <conditionalFormatting sqref="AE178">
    <cfRule type="expression" dxfId="546" priority="1562">
      <formula>AND(OR($AB$177="",$AB$177="無"),$AE$178&lt;&gt;"")</formula>
    </cfRule>
    <cfRule type="expression" dxfId="545" priority="1707">
      <formula>AND($AB$177="有",$AE$178="")</formula>
    </cfRule>
  </conditionalFormatting>
  <conditionalFormatting sqref="AJ178">
    <cfRule type="expression" dxfId="544" priority="1706">
      <formula>AND($AB$177="有",$AJ$178="")</formula>
    </cfRule>
  </conditionalFormatting>
  <conditionalFormatting sqref="AO178">
    <cfRule type="expression" dxfId="543" priority="1560">
      <formula>AND(OR($AB$177="",$AB$177="無"),$AO$178&lt;&gt;"")</formula>
    </cfRule>
    <cfRule type="expression" dxfId="542" priority="1705">
      <formula>AND($AB$177="有",$AO$178="")</formula>
    </cfRule>
  </conditionalFormatting>
  <conditionalFormatting sqref="AB179">
    <cfRule type="expression" dxfId="541" priority="1559">
      <formula>AND(OR($AB$177="",$AB$177="無"),$AB$179&lt;&gt;"")</formula>
    </cfRule>
    <cfRule type="expression" dxfId="540" priority="1704">
      <formula>AND($AB$177="有",$AB$179="")</formula>
    </cfRule>
  </conditionalFormatting>
  <conditionalFormatting sqref="AB127">
    <cfRule type="cellIs" dxfId="539" priority="1498" operator="equal">
      <formula>""</formula>
    </cfRule>
  </conditionalFormatting>
  <conditionalFormatting sqref="AB128">
    <cfRule type="cellIs" dxfId="538" priority="1497" operator="equal">
      <formula>""</formula>
    </cfRule>
  </conditionalFormatting>
  <conditionalFormatting sqref="AB129">
    <cfRule type="cellIs" dxfId="537" priority="1500" operator="equal">
      <formula>""</formula>
    </cfRule>
  </conditionalFormatting>
  <conditionalFormatting sqref="AB196:AD196">
    <cfRule type="cellIs" dxfId="536" priority="2029" operator="equal">
      <formula>""</formula>
    </cfRule>
  </conditionalFormatting>
  <conditionalFormatting sqref="AB197:AD197">
    <cfRule type="cellIs" dxfId="535" priority="2031" operator="equal">
      <formula>""</formula>
    </cfRule>
  </conditionalFormatting>
  <conditionalFormatting sqref="AB174">
    <cfRule type="expression" dxfId="534" priority="1796">
      <formula>AND(OR($AB$170="",$AB$170="無"),$AB$174&lt;&gt;"")</formula>
    </cfRule>
    <cfRule type="expression" dxfId="533" priority="1830">
      <formula>AND($AB$170="有",$AB$174="")</formula>
    </cfRule>
  </conditionalFormatting>
  <conditionalFormatting sqref="AB172">
    <cfRule type="expression" dxfId="532" priority="1600">
      <formula>AND(OR($AB$170="",$AB$170="無"),$AB$172&lt;&gt;"")</formula>
    </cfRule>
    <cfRule type="expression" dxfId="531" priority="1712">
      <formula>AND($AB$170="有",$AB$172="")</formula>
    </cfRule>
  </conditionalFormatting>
  <conditionalFormatting sqref="AE172">
    <cfRule type="expression" dxfId="530" priority="1599">
      <formula>AND(OR($AB$170="",$AB$170="無"),$AE$172&lt;&gt;"")</formula>
    </cfRule>
    <cfRule type="expression" dxfId="529" priority="1711">
      <formula>AND($AB$170="有",$AE$172="")</formula>
    </cfRule>
  </conditionalFormatting>
  <conditionalFormatting sqref="AJ172">
    <cfRule type="expression" dxfId="528" priority="1598">
      <formula>AND(OR($AB$170="",$AB$170="無"),$AJ$172&lt;&gt;"")</formula>
    </cfRule>
    <cfRule type="expression" dxfId="527" priority="1710">
      <formula>AND($AB$170="有",$AJ$172="")</formula>
    </cfRule>
  </conditionalFormatting>
  <conditionalFormatting sqref="AO172">
    <cfRule type="expression" dxfId="526" priority="1597">
      <formula>AND(OR($AB$170="",$AB$170="無"),$AO$172&lt;&gt;"")</formula>
    </cfRule>
    <cfRule type="expression" dxfId="525" priority="1709">
      <formula>AND($AB$170="有",$AO$172="")</formula>
    </cfRule>
  </conditionalFormatting>
  <conditionalFormatting sqref="AB173">
    <cfRule type="expression" dxfId="524" priority="1596">
      <formula>AND(OR($AB$170="",$AB$170="無"),$AB$173&lt;&gt;"")</formula>
    </cfRule>
    <cfRule type="expression" dxfId="523" priority="1708">
      <formula>AND($AB$170="有",$AB$173="")</formula>
    </cfRule>
  </conditionalFormatting>
  <conditionalFormatting sqref="AJ178:AL178">
    <cfRule type="expression" dxfId="522" priority="1561">
      <formula>AND(OR($AB$177="",$AB$177="無"),$AJ$178&lt;&gt;"")</formula>
    </cfRule>
  </conditionalFormatting>
  <conditionalFormatting sqref="AB180">
    <cfRule type="expression" dxfId="521" priority="1793">
      <formula>AND(OR($AB$177="",$AB$177="無"),$AB$180&lt;&gt;"")</formula>
    </cfRule>
    <cfRule type="expression" dxfId="520" priority="1829">
      <formula>AND($AB$177="有",$AB$180="")</formula>
    </cfRule>
  </conditionalFormatting>
  <conditionalFormatting sqref="AB190">
    <cfRule type="cellIs" dxfId="519" priority="1554" operator="equal">
      <formula>""</formula>
    </cfRule>
  </conditionalFormatting>
  <conditionalFormatting sqref="AB183">
    <cfRule type="cellIs" dxfId="518" priority="1553" operator="equal">
      <formula>""</formula>
    </cfRule>
  </conditionalFormatting>
  <conditionalFormatting sqref="AB185">
    <cfRule type="expression" dxfId="517" priority="1546">
      <formula>AND(OR($AB$184="",$AB$184="無"),$AB$185&lt;&gt;"")</formula>
    </cfRule>
    <cfRule type="expression" dxfId="516" priority="1555">
      <formula>AND($AB$184="有",$AB$185="")</formula>
    </cfRule>
  </conditionalFormatting>
  <conditionalFormatting sqref="AB192">
    <cfRule type="expression" dxfId="515" priority="1543">
      <formula>AND(OR($AB$191="",$AB$191="無"),$AB$192&lt;&gt;"")</formula>
    </cfRule>
    <cfRule type="expression" dxfId="514" priority="1550">
      <formula>AND($AB$191="有",$AB$192="")</formula>
    </cfRule>
  </conditionalFormatting>
  <conditionalFormatting sqref="AE192">
    <cfRule type="expression" dxfId="513" priority="1524">
      <formula>AND(OR($AB$191="",$AB$191="無"),$AE$192&lt;&gt;"")</formula>
    </cfRule>
    <cfRule type="expression" dxfId="512" priority="1533">
      <formula>AND($AB$191="有",$AE$192="")</formula>
    </cfRule>
  </conditionalFormatting>
  <conditionalFormatting sqref="AJ192">
    <cfRule type="expression" dxfId="511" priority="1523">
      <formula>AND(OR($AB$191="",$AB$191="無"),$AJ$192&lt;&gt;"")</formula>
    </cfRule>
    <cfRule type="expression" dxfId="510" priority="1532">
      <formula>AND($AB$191="有",$AJ$192="")</formula>
    </cfRule>
  </conditionalFormatting>
  <conditionalFormatting sqref="AO192">
    <cfRule type="expression" dxfId="509" priority="1522">
      <formula>AND(OR($AB$191="",$AB$191="無"),$AO$192&lt;&gt;"")</formula>
    </cfRule>
    <cfRule type="expression" dxfId="508" priority="1531">
      <formula>AND($AB$191="有",$AO$192="")</formula>
    </cfRule>
  </conditionalFormatting>
  <conditionalFormatting sqref="AB193">
    <cfRule type="expression" dxfId="507" priority="1521">
      <formula>AND(OR($AB$191="",$AB$191="無"),$AB$193&lt;&gt;"")</formula>
    </cfRule>
    <cfRule type="expression" dxfId="506" priority="1530">
      <formula>AND($AB$191="有",$AB$193="")</formula>
    </cfRule>
  </conditionalFormatting>
  <conditionalFormatting sqref="AB188">
    <cfRule type="expression" dxfId="505" priority="1545">
      <formula>AND(OR($AB$184="",$AB$184="無"),$AB$188&lt;&gt;"")</formula>
    </cfRule>
    <cfRule type="expression" dxfId="504" priority="1549">
      <formula>AND($AB$184="有",$AB$188="")</formula>
    </cfRule>
  </conditionalFormatting>
  <conditionalFormatting sqref="AB186">
    <cfRule type="expression" dxfId="503" priority="1529">
      <formula>AND(OR($AB$184="",$AB$184="無"),$AB$186&lt;&gt;"")</formula>
    </cfRule>
    <cfRule type="expression" dxfId="502" priority="1538">
      <formula>AND($AB$184="有",$AB$186="")</formula>
    </cfRule>
  </conditionalFormatting>
  <conditionalFormatting sqref="AE186">
    <cfRule type="expression" dxfId="501" priority="438">
      <formula>AND(OR($AB$184="",$AB$184="無"),$AE$186&lt;&gt;"")</formula>
    </cfRule>
    <cfRule type="expression" dxfId="500" priority="1537">
      <formula>AND($AB$184="有",$AE$186="")</formula>
    </cfRule>
  </conditionalFormatting>
  <conditionalFormatting sqref="AJ186">
    <cfRule type="expression" dxfId="499" priority="1527">
      <formula>AND(OR($AB$184="",$AB$184="無"),$AJ$186&lt;&gt;"")</formula>
    </cfRule>
    <cfRule type="expression" dxfId="498" priority="1536">
      <formula>AND($AB$184="有",$AJ$186="")</formula>
    </cfRule>
  </conditionalFormatting>
  <conditionalFormatting sqref="AO186">
    <cfRule type="expression" dxfId="497" priority="1526">
      <formula>AND(OR($AB$184="",$AB$184="無"),$AO$186&lt;&gt;"")</formula>
    </cfRule>
    <cfRule type="expression" dxfId="496" priority="1535">
      <formula>AND($AB$184="有",$AO$186="")</formula>
    </cfRule>
  </conditionalFormatting>
  <conditionalFormatting sqref="AB187">
    <cfRule type="expression" dxfId="495" priority="1525">
      <formula>AND(OR($AB$184="",$AB$184="無"),$AB$187&lt;&gt;"")</formula>
    </cfRule>
    <cfRule type="expression" dxfId="494" priority="1534">
      <formula>AND($AB$184="有",$AB$187="")</formula>
    </cfRule>
  </conditionalFormatting>
  <conditionalFormatting sqref="AB194">
    <cfRule type="expression" dxfId="493" priority="1542">
      <formula>AND(OR($AB$191="",$AB$191="無"),$AB$194&lt;&gt;"")</formula>
    </cfRule>
    <cfRule type="expression" dxfId="492" priority="1548">
      <formula>AND($AB$191="有",$AB$194="")</formula>
    </cfRule>
  </conditionalFormatting>
  <conditionalFormatting sqref="AB223">
    <cfRule type="cellIs" dxfId="491" priority="1881" operator="equal">
      <formula>""</formula>
    </cfRule>
  </conditionalFormatting>
  <conditionalFormatting sqref="AB129 AB127">
    <cfRule type="expression" dxfId="490" priority="2137">
      <formula>$AB$127=$AB$129</formula>
    </cfRule>
  </conditionalFormatting>
  <conditionalFormatting sqref="AB121 AB119">
    <cfRule type="expression" dxfId="489" priority="1824">
      <formula>$AB$119=$AB$121</formula>
    </cfRule>
  </conditionalFormatting>
  <conditionalFormatting sqref="AB115 AB117">
    <cfRule type="expression" dxfId="488" priority="2127">
      <formula>$AB$115=$AB$117</formula>
    </cfRule>
  </conditionalFormatting>
  <conditionalFormatting sqref="AB116:AP117">
    <cfRule type="expression" dxfId="487" priority="2123">
      <formula>$AB$116=$AB$117</formula>
    </cfRule>
  </conditionalFormatting>
  <conditionalFormatting sqref="AB115:AP116">
    <cfRule type="expression" dxfId="486" priority="1822">
      <formula>$AB$115=$AB$116</formula>
    </cfRule>
  </conditionalFormatting>
  <conditionalFormatting sqref="AB119:AP120">
    <cfRule type="expression" dxfId="485" priority="2129">
      <formula>$AB$119=$AB$120</formula>
    </cfRule>
  </conditionalFormatting>
  <conditionalFormatting sqref="AB120:AP121">
    <cfRule type="cellIs" dxfId="484" priority="1495" operator="equal">
      <formula>""</formula>
    </cfRule>
    <cfRule type="expression" dxfId="483" priority="2134">
      <formula>$AB$120=$AB$121</formula>
    </cfRule>
  </conditionalFormatting>
  <conditionalFormatting sqref="AB127:AP128">
    <cfRule type="expression" dxfId="482" priority="1634">
      <formula>$AB$127=$AB$128</formula>
    </cfRule>
  </conditionalFormatting>
  <conditionalFormatting sqref="AB128:AP129">
    <cfRule type="expression" dxfId="481" priority="2144">
      <formula>$AB$128=$AB$129</formula>
    </cfRule>
  </conditionalFormatting>
  <conditionalFormatting sqref="AB189">
    <cfRule type="expression" dxfId="480" priority="2161">
      <formula>AND($AB$184="有",NOT($AB$188="指定確認検査機関"),$AB$189&lt;&gt;"")</formula>
    </cfRule>
    <cfRule type="expression" dxfId="479" priority="2162">
      <formula>AND(OR($AB$184="",$AB$184="無"),$AB$189&lt;&gt;"")</formula>
    </cfRule>
    <cfRule type="expression" dxfId="478" priority="2163">
      <formula>AND($AB$184="有",$AB$188="指定確認検査機関",$AB$189="")</formula>
    </cfRule>
  </conditionalFormatting>
  <conditionalFormatting sqref="AB175:AM175">
    <cfRule type="expression" dxfId="477" priority="2168">
      <formula>AND($AB$170="有",$DP$175="レ",$AB$175="")</formula>
    </cfRule>
  </conditionalFormatting>
  <conditionalFormatting sqref="AB175:AU175">
    <cfRule type="expression" dxfId="476" priority="2169">
      <formula>AND($AB$170="有",NOT($AB$174="指定確認検査機関"),$AB$175&lt;&gt;"")</formula>
    </cfRule>
    <cfRule type="expression" dxfId="475" priority="2170">
      <formula>AND(OR($AB$170="",$AB$170="無"),$AB$175&lt;&gt;"")</formula>
    </cfRule>
  </conditionalFormatting>
  <conditionalFormatting sqref="AB181">
    <cfRule type="expression" dxfId="474" priority="2171">
      <formula>AND($AB$177="有",$DP$181="レ",$AB$181="")</formula>
    </cfRule>
  </conditionalFormatting>
  <conditionalFormatting sqref="AB181:AU181">
    <cfRule type="expression" dxfId="473" priority="2172">
      <formula>AND($AB$177="有",NOT($AB$180="指定確認検査機関"),$AB$181&lt;&gt;"")</formula>
    </cfRule>
    <cfRule type="expression" dxfId="472" priority="2173">
      <formula>AND(OR($AB$177="",$AB$177="無"),$AB$181&lt;&gt;"")</formula>
    </cfRule>
  </conditionalFormatting>
  <conditionalFormatting sqref="AB270:AD273">
    <cfRule type="cellIs" dxfId="471" priority="1476" operator="equal">
      <formula>""</formula>
    </cfRule>
  </conditionalFormatting>
  <conditionalFormatting sqref="AB276:AD276">
    <cfRule type="expression" dxfId="470" priority="1470">
      <formula>AND(NOT($AB$275="有"),$AB$276&lt;&gt;"")</formula>
    </cfRule>
    <cfRule type="expression" dxfId="469" priority="1471">
      <formula>AND($AB$275="有",$AB$276="")</formula>
    </cfRule>
  </conditionalFormatting>
  <conditionalFormatting sqref="AB274">
    <cfRule type="cellIs" dxfId="468" priority="1469" operator="equal">
      <formula>""</formula>
    </cfRule>
  </conditionalFormatting>
  <conditionalFormatting sqref="AB281">
    <cfRule type="expression" dxfId="467" priority="1467">
      <formula>AND(NOT($AB$280="有"),$AB$281&lt;&gt;"")</formula>
    </cfRule>
    <cfRule type="expression" dxfId="466" priority="1468">
      <formula>AND($AB$280="有",$AB$281="")</formula>
    </cfRule>
  </conditionalFormatting>
  <conditionalFormatting sqref="AB280:AD280">
    <cfRule type="cellIs" dxfId="465" priority="1466" operator="equal">
      <formula>""</formula>
    </cfRule>
  </conditionalFormatting>
  <conditionalFormatting sqref="AB27">
    <cfRule type="cellIs" dxfId="464" priority="1463" operator="equal">
      <formula>""</formula>
    </cfRule>
  </conditionalFormatting>
  <conditionalFormatting sqref="AB85:BT85">
    <cfRule type="cellIs" dxfId="463" priority="2472" operator="equal">
      <formula>""</formula>
    </cfRule>
  </conditionalFormatting>
  <conditionalFormatting sqref="AB90:BT90">
    <cfRule type="cellIs" dxfId="462" priority="345" operator="equal">
      <formula>""</formula>
    </cfRule>
  </conditionalFormatting>
  <conditionalFormatting sqref="AB64">
    <cfRule type="expression" dxfId="461" priority="398">
      <formula>AND($DM$61=1,$AB$64="")</formula>
    </cfRule>
    <cfRule type="expression" dxfId="460" priority="2428">
      <formula>AND($AB$61="",$AB$64="")</formula>
    </cfRule>
  </conditionalFormatting>
  <conditionalFormatting sqref="AB82:AH82">
    <cfRule type="expression" dxfId="459" priority="210" stopIfTrue="1">
      <formula>AND($AB$79="",$AB$82="")</formula>
    </cfRule>
  </conditionalFormatting>
  <conditionalFormatting sqref="AB177">
    <cfRule type="expression" dxfId="458" priority="2455">
      <formula>AND(OR($AB$177="",$AB$177="無"),$DN$177&lt;&gt;0)</formula>
    </cfRule>
  </conditionalFormatting>
  <conditionalFormatting sqref="AB170">
    <cfRule type="expression" dxfId="457" priority="2457">
      <formula>AND(OR($AB$170="",$AB$170="無"),$DN$170&lt;&gt;0)</formula>
    </cfRule>
    <cfRule type="cellIs" dxfId="456" priority="2458" operator="equal">
      <formula>""</formula>
    </cfRule>
  </conditionalFormatting>
  <conditionalFormatting sqref="AB191">
    <cfRule type="expression" dxfId="455" priority="2459">
      <formula>AND(OR($AB$191="",$AB$191="無"),$DN$191&lt;&gt;0)</formula>
    </cfRule>
    <cfRule type="cellIs" dxfId="454" priority="2460" operator="equal">
      <formula>""</formula>
    </cfRule>
  </conditionalFormatting>
  <conditionalFormatting sqref="AB184">
    <cfRule type="expression" dxfId="453" priority="2461">
      <formula>AND(OR($AB$184="",$AB$184="無"),$DN$184&lt;&gt;0)</formula>
    </cfRule>
    <cfRule type="cellIs" dxfId="452" priority="2462" operator="equal">
      <formula>""</formula>
    </cfRule>
  </conditionalFormatting>
  <conditionalFormatting sqref="AB130">
    <cfRule type="expression" dxfId="451" priority="2463">
      <formula>AND($DM$128=0,$AB$130&lt;&gt;"")</formula>
    </cfRule>
    <cfRule type="expression" dxfId="450" priority="2464">
      <formula>AND($DM$128&lt;&gt;0,$AB$130="")</formula>
    </cfRule>
  </conditionalFormatting>
  <conditionalFormatting sqref="AB118">
    <cfRule type="expression" dxfId="449" priority="2465">
      <formula>AND($DM$116=0,$AB$118&lt;&gt;"")</formula>
    </cfRule>
    <cfRule type="expression" dxfId="448" priority="2466">
      <formula>AND($DM$116&lt;&gt;0,$AB$118="")</formula>
    </cfRule>
  </conditionalFormatting>
  <conditionalFormatting sqref="AB61">
    <cfRule type="cellIs" dxfId="447" priority="397" operator="equal">
      <formula>""</formula>
    </cfRule>
  </conditionalFormatting>
  <conditionalFormatting sqref="AB210:AD210 AB214:AD214">
    <cfRule type="cellIs" dxfId="446" priority="2485" operator="equal">
      <formula>""</formula>
    </cfRule>
    <cfRule type="expression" dxfId="445" priority="2486">
      <formula>AND(NOT($AB210="実施"),$DN211&lt;&gt;0)</formula>
    </cfRule>
  </conditionalFormatting>
  <conditionalFormatting sqref="AB261">
    <cfRule type="cellIs" dxfId="444" priority="1395" operator="equal">
      <formula>""</formula>
    </cfRule>
  </conditionalFormatting>
  <conditionalFormatting sqref="AB54:BT54">
    <cfRule type="expression" dxfId="443" priority="1204" stopIfTrue="1">
      <formula>OR($DS$46=TRUE,$AV54&lt;&gt;"")</formula>
    </cfRule>
    <cfRule type="cellIs" dxfId="442" priority="2418" operator="equal">
      <formula>""</formula>
    </cfRule>
  </conditionalFormatting>
  <conditionalFormatting sqref="AB157 AE157 AJ157 AO157">
    <cfRule type="cellIs" dxfId="441" priority="1268" operator="equal">
      <formula>""</formula>
    </cfRule>
  </conditionalFormatting>
  <conditionalFormatting sqref="AB160 AE160 AJ160 AO160">
    <cfRule type="cellIs" dxfId="440" priority="606" operator="equal">
      <formula>""</formula>
    </cfRule>
  </conditionalFormatting>
  <conditionalFormatting sqref="AB213 AE213 AJ213 AO213">
    <cfRule type="expression" dxfId="439" priority="307">
      <formula>AND(NOT($AB212="実施"),AB$213&lt;&gt;"")</formula>
    </cfRule>
  </conditionalFormatting>
  <conditionalFormatting sqref="AB212:AD212">
    <cfRule type="cellIs" dxfId="438" priority="1241" operator="equal">
      <formula>""</formula>
    </cfRule>
    <cfRule type="expression" dxfId="437" priority="1242">
      <formula>AND(NOT($AB212="実施"),$DN213&lt;&gt;0)</formula>
    </cfRule>
  </conditionalFormatting>
  <conditionalFormatting sqref="AO217 AJ217 AB217 AE217">
    <cfRule type="expression" dxfId="436" priority="299">
      <formula>AND(NOT($AB216="実施"),AB$217&lt;&gt;"")</formula>
    </cfRule>
  </conditionalFormatting>
  <conditionalFormatting sqref="AB216:AD216">
    <cfRule type="cellIs" dxfId="435" priority="1233" operator="equal">
      <formula>""</formula>
    </cfRule>
    <cfRule type="expression" dxfId="434" priority="1234">
      <formula>AND(NOT($AB216="実施"),$DN217&lt;&gt;0)</formula>
    </cfRule>
  </conditionalFormatting>
  <conditionalFormatting sqref="AB241:AD241">
    <cfRule type="cellIs" dxfId="433" priority="1227" operator="equal">
      <formula>""</formula>
    </cfRule>
  </conditionalFormatting>
  <conditionalFormatting sqref="AF426:AQ465 AF475:AQ483 AF493:AQ502 AF352:AQ360 AF370:AQ416 AF325:AQ342">
    <cfRule type="cellIs" dxfId="432" priority="1226" operator="equal">
      <formula>""</formula>
    </cfRule>
  </conditionalFormatting>
  <conditionalFormatting sqref="M512:M521">
    <cfRule type="cellIs" dxfId="431" priority="1225" operator="equal">
      <formula>""</formula>
    </cfRule>
  </conditionalFormatting>
  <conditionalFormatting sqref="AF512:AQ521">
    <cfRule type="expression" dxfId="430" priority="8">
      <formula>AND($M512="",$AF512&lt;&gt;"")</formula>
    </cfRule>
    <cfRule type="expression" dxfId="429" priority="1206">
      <formula>AND($M512&lt;&gt;"",$AF512="")</formula>
    </cfRule>
    <cfRule type="cellIs" dxfId="428" priority="1222" operator="equal">
      <formula>""</formula>
    </cfRule>
  </conditionalFormatting>
  <conditionalFormatting sqref="AT512:BC521">
    <cfRule type="expression" dxfId="427" priority="1215">
      <formula>AND($M512="",$AT512&lt;&gt;"")</formula>
    </cfRule>
  </conditionalFormatting>
  <conditionalFormatting sqref="BD512:BR521">
    <cfRule type="expression" dxfId="426" priority="1214">
      <formula>AND($M512="",$BD512&lt;&gt;"")</formula>
    </cfRule>
  </conditionalFormatting>
  <conditionalFormatting sqref="BS512:BU521">
    <cfRule type="expression" dxfId="425" priority="1210">
      <formula>AND($M512="",$BS512&lt;&gt;"")</formula>
    </cfRule>
  </conditionalFormatting>
  <conditionalFormatting sqref="BV512:BX521">
    <cfRule type="expression" dxfId="424" priority="1209">
      <formula>AND($M512="",$BV512&lt;&gt;"")</formula>
    </cfRule>
  </conditionalFormatting>
  <conditionalFormatting sqref="BY512:CA521">
    <cfRule type="expression" dxfId="423" priority="1208">
      <formula>AND($M512="",$BY512&lt;&gt;"")</formula>
    </cfRule>
  </conditionalFormatting>
  <conditionalFormatting sqref="BF245">
    <cfRule type="expression" dxfId="422" priority="1193">
      <formula>AND($AB$241="有",$BF$245="")</formula>
    </cfRule>
  </conditionalFormatting>
  <conditionalFormatting sqref="P245:R245">
    <cfRule type="expression" dxfId="421" priority="1184">
      <formula>AND($DO$242&lt;&gt;"",$P$245="")</formula>
    </cfRule>
  </conditionalFormatting>
  <conditionalFormatting sqref="AB101:BT102">
    <cfRule type="cellIs" dxfId="420" priority="643" operator="equal">
      <formula>""</formula>
    </cfRule>
  </conditionalFormatting>
  <conditionalFormatting sqref="AB103:BT103">
    <cfRule type="cellIs" dxfId="419" priority="3117" operator="equal">
      <formula>""</formula>
    </cfRule>
  </conditionalFormatting>
  <conditionalFormatting sqref="AB108:BT108">
    <cfRule type="expression" dxfId="418" priority="647">
      <formula>$AB$108=""</formula>
    </cfRule>
  </conditionalFormatting>
  <conditionalFormatting sqref="AB100:AH100">
    <cfRule type="expression" dxfId="417" priority="213">
      <formula>AND($AB$97="",$AB$100="")</formula>
    </cfRule>
    <cfRule type="expression" dxfId="416" priority="512">
      <formula>AND($AB$97="特定建築物調査員",$AB$100="")</formula>
    </cfRule>
  </conditionalFormatting>
  <conditionalFormatting sqref="AB105:AG105">
    <cfRule type="expression" dxfId="415" priority="3121">
      <formula>AND($DS$96=TRUE,$AB$105&lt;&gt;"")</formula>
    </cfRule>
  </conditionalFormatting>
  <conditionalFormatting sqref="AB106:AH106">
    <cfRule type="expression" dxfId="414" priority="3120">
      <formula>$AB$106=""</formula>
    </cfRule>
  </conditionalFormatting>
  <conditionalFormatting sqref="AB79:AP80">
    <cfRule type="expression" dxfId="413" priority="639">
      <formula>AND($DM$79=1,$AB$80&lt;&gt;"")</formula>
    </cfRule>
  </conditionalFormatting>
  <conditionalFormatting sqref="AB141:AD145">
    <cfRule type="cellIs" dxfId="412" priority="638" operator="equal">
      <formula>""</formula>
    </cfRule>
  </conditionalFormatting>
  <conditionalFormatting sqref="AB153:BT153">
    <cfRule type="expression" dxfId="411" priority="1270">
      <formula>AND($DN$151&lt;14,$AB$153="")</formula>
    </cfRule>
  </conditionalFormatting>
  <conditionalFormatting sqref="AB159:BT159">
    <cfRule type="expression" dxfId="410" priority="630">
      <formula>AND($DN$157&lt;14,$AB$159="")</formula>
    </cfRule>
  </conditionalFormatting>
  <conditionalFormatting sqref="AB162:BT162">
    <cfRule type="expression" dxfId="409" priority="583">
      <formula>AND($DN$160&lt;14,$AB$162="")</formula>
    </cfRule>
  </conditionalFormatting>
  <conditionalFormatting sqref="AB156:BT156">
    <cfRule type="expression" dxfId="408" priority="620">
      <formula>AND($DN$154&lt;14,$AB$156="")</formula>
    </cfRule>
  </conditionalFormatting>
  <conditionalFormatting sqref="AB158 AB159">
    <cfRule type="expression" dxfId="407" priority="602">
      <formula>AND($DN$157=14,$AB158="")</formula>
    </cfRule>
  </conditionalFormatting>
  <conditionalFormatting sqref="AB152 AB153">
    <cfRule type="expression" dxfId="406" priority="2711">
      <formula>AND($DN$151=14,$AB152="")</formula>
    </cfRule>
  </conditionalFormatting>
  <conditionalFormatting sqref="AB152">
    <cfRule type="expression" dxfId="405" priority="600">
      <formula>AND($DN$151&lt;14,$AB$152="")</formula>
    </cfRule>
  </conditionalFormatting>
  <conditionalFormatting sqref="AB155:AQ155">
    <cfRule type="expression" dxfId="404" priority="599">
      <formula>AND($DN$154&lt;14,$AB$155="")</formula>
    </cfRule>
  </conditionalFormatting>
  <conditionalFormatting sqref="AB151 AE151 AJ151 AO151">
    <cfRule type="cellIs" dxfId="403" priority="597" operator="equal">
      <formula>""</formula>
    </cfRule>
  </conditionalFormatting>
  <conditionalFormatting sqref="AB154 AE154 AJ154 AO154">
    <cfRule type="cellIs" dxfId="402" priority="593" operator="equal">
      <formula>""</formula>
    </cfRule>
  </conditionalFormatting>
  <conditionalFormatting sqref="AE154:AG154">
    <cfRule type="expression" dxfId="401" priority="592">
      <formula>$AE$154=""</formula>
    </cfRule>
  </conditionalFormatting>
  <conditionalFormatting sqref="AJ154:AL154">
    <cfRule type="expression" dxfId="400" priority="590">
      <formula>$AJ$154=""</formula>
    </cfRule>
  </conditionalFormatting>
  <conditionalFormatting sqref="AO154:AQ154">
    <cfRule type="expression" dxfId="399" priority="589">
      <formula>$AO$154=""</formula>
    </cfRule>
  </conditionalFormatting>
  <conditionalFormatting sqref="AB158:AQ158">
    <cfRule type="expression" dxfId="398" priority="587">
      <formula>AND($DN$157&lt;14,$AB$158="")</formula>
    </cfRule>
  </conditionalFormatting>
  <conditionalFormatting sqref="AE160">
    <cfRule type="expression" dxfId="397" priority="586">
      <formula>$AE$160=""</formula>
    </cfRule>
  </conditionalFormatting>
  <conditionalFormatting sqref="AJ160">
    <cfRule type="expression" dxfId="396" priority="585">
      <formula>$AJ$160=""</formula>
    </cfRule>
  </conditionalFormatting>
  <conditionalFormatting sqref="AO160:AQ160">
    <cfRule type="expression" dxfId="395" priority="584">
      <formula>$AO$160=""</formula>
    </cfRule>
  </conditionalFormatting>
  <conditionalFormatting sqref="AB161:AQ161">
    <cfRule type="expression" dxfId="394" priority="582">
      <formula>AND($DN$160&lt;14,$AB$161="")</formula>
    </cfRule>
  </conditionalFormatting>
  <conditionalFormatting sqref="AB62:AP62">
    <cfRule type="expression" dxfId="393" priority="174">
      <formula>AND($DM$62=0,$AB$62&lt;&gt;"")</formula>
    </cfRule>
    <cfRule type="expression" dxfId="392" priority="573">
      <formula>AND($AB$61="",$AB$62="")</formula>
    </cfRule>
    <cfRule type="expression" dxfId="391" priority="576">
      <formula>AND($DM$62=1,$AB$62="")</formula>
    </cfRule>
  </conditionalFormatting>
  <conditionalFormatting sqref="AB63:AP63">
    <cfRule type="expression" dxfId="390" priority="396">
      <formula>AND($AB$61="",$AB$63="")</formula>
    </cfRule>
    <cfRule type="expression" dxfId="389" priority="571">
      <formula>AND($DM$62=0,$AB$63&lt;&gt;"")</formula>
    </cfRule>
    <cfRule type="expression" dxfId="388" priority="574">
      <formula>AND($DM$62=1,$AB$63="")</formula>
    </cfRule>
  </conditionalFormatting>
  <conditionalFormatting sqref="AB65:BT66">
    <cfRule type="cellIs" dxfId="387" priority="570" operator="equal">
      <formula>""</formula>
    </cfRule>
  </conditionalFormatting>
  <conditionalFormatting sqref="AB18:BT18">
    <cfRule type="expression" dxfId="386" priority="380">
      <formula>AND($AB$17&lt;&gt;"",$AB$18="")</formula>
    </cfRule>
  </conditionalFormatting>
  <conditionalFormatting sqref="AB20:BT20">
    <cfRule type="expression" dxfId="385" priority="374">
      <formula>AND($AB$19&lt;&gt;"",$AB$20="")</formula>
    </cfRule>
  </conditionalFormatting>
  <conditionalFormatting sqref="AB7 AK7 AT7">
    <cfRule type="cellIs" dxfId="384" priority="561" operator="equal">
      <formula>""</formula>
    </cfRule>
  </conditionalFormatting>
  <conditionalFormatting sqref="AK7:AP7">
    <cfRule type="expression" dxfId="383" priority="560">
      <formula>$AK$7=""</formula>
    </cfRule>
  </conditionalFormatting>
  <conditionalFormatting sqref="AT7:AY7">
    <cfRule type="expression" dxfId="382" priority="559">
      <formula>$AT$7=""</formula>
    </cfRule>
  </conditionalFormatting>
  <conditionalFormatting sqref="AB21:BT22">
    <cfRule type="expression" dxfId="381" priority="14">
      <formula>$DS$16</formula>
    </cfRule>
    <cfRule type="cellIs" dxfId="380" priority="554" operator="equal">
      <formula>""</formula>
    </cfRule>
  </conditionalFormatting>
  <conditionalFormatting sqref="AB37 AB38">
    <cfRule type="cellIs" dxfId="379" priority="547" operator="equal">
      <formula>""</formula>
    </cfRule>
  </conditionalFormatting>
  <conditionalFormatting sqref="AB48:BT48">
    <cfRule type="expression" dxfId="378" priority="360">
      <formula>AND($AB$47&lt;&gt;"",$AB$48="")</formula>
    </cfRule>
  </conditionalFormatting>
  <conditionalFormatting sqref="AB47:BT47">
    <cfRule type="expression" dxfId="377" priority="352">
      <formula>AND($AB$48&lt;&gt;"",$AB$47="")</formula>
    </cfRule>
  </conditionalFormatting>
  <conditionalFormatting sqref="AB51:BT52">
    <cfRule type="cellIs" dxfId="376" priority="539" operator="equal">
      <formula>""</formula>
    </cfRule>
  </conditionalFormatting>
  <conditionalFormatting sqref="AB49:BT49">
    <cfRule type="expression" dxfId="375" priority="354">
      <formula>AND($AB$50&lt;&gt;"",$AB$49="")</formula>
    </cfRule>
  </conditionalFormatting>
  <conditionalFormatting sqref="AB50:BT50">
    <cfRule type="expression" dxfId="374" priority="353">
      <formula>AND($AB$49&lt;&gt;"",$AB$50="")</formula>
    </cfRule>
  </conditionalFormatting>
  <conditionalFormatting sqref="AB47:BT52">
    <cfRule type="expression" dxfId="373" priority="175" stopIfTrue="1">
      <formula>$DS$46=TRUE</formula>
    </cfRule>
  </conditionalFormatting>
  <conditionalFormatting sqref="AB79:AP79">
    <cfRule type="expression" dxfId="372" priority="530">
      <formula>AND($DS$78=TRUE,$AB79="")</formula>
    </cfRule>
    <cfRule type="cellIs" dxfId="371" priority="2429" operator="equal">
      <formula>""</formula>
    </cfRule>
  </conditionalFormatting>
  <conditionalFormatting sqref="AB80:AP80">
    <cfRule type="expression" dxfId="370" priority="532">
      <formula>AND($DM$79=2,$AB$80="")</formula>
    </cfRule>
    <cfRule type="expression" dxfId="369" priority="533">
      <formula>AND($AB$79="",$AB$80="")</formula>
    </cfRule>
  </conditionalFormatting>
  <conditionalFormatting sqref="AB81:AP81">
    <cfRule type="expression" dxfId="368" priority="209">
      <formula>AND($DM$79=1,$AB$81&lt;&gt;"")</formula>
    </cfRule>
    <cfRule type="expression" dxfId="367" priority="531">
      <formula>AND($DM$79=2,$AB$81="")</formula>
    </cfRule>
    <cfRule type="expression" dxfId="366" priority="534">
      <formula>AND($AB$79="",$AB$81="")</formula>
    </cfRule>
  </conditionalFormatting>
  <conditionalFormatting sqref="AB82:AP82">
    <cfRule type="expression" dxfId="365" priority="528">
      <formula>AND($DM$79=1,$AB$82="")</formula>
    </cfRule>
    <cfRule type="expression" dxfId="364" priority="2446">
      <formula>AND($DM$79=2,$AB$82="")</formula>
    </cfRule>
  </conditionalFormatting>
  <conditionalFormatting sqref="AB83:BT83">
    <cfRule type="expression" dxfId="363" priority="207">
      <formula>AND($AB$83="",$AB$84&lt;&gt;"")</formula>
    </cfRule>
  </conditionalFormatting>
  <conditionalFormatting sqref="AB84:BT84">
    <cfRule type="expression" dxfId="362" priority="206">
      <formula>AND($AB$84="",$AB$83&lt;&gt;"")</formula>
    </cfRule>
    <cfRule type="expression" dxfId="361" priority="239">
      <formula>AND($DS$78=TRUE,$AB$84="")</formula>
    </cfRule>
  </conditionalFormatting>
  <conditionalFormatting sqref="AB104:AH104">
    <cfRule type="expression" dxfId="360" priority="653">
      <formula>$AB$104=""</formula>
    </cfRule>
  </conditionalFormatting>
  <conditionalFormatting sqref="AB105:AH105">
    <cfRule type="expression" dxfId="359" priority="3123">
      <formula>$AB$105=""</formula>
    </cfRule>
  </conditionalFormatting>
  <conditionalFormatting sqref="AB102:BT102">
    <cfRule type="expression" dxfId="358" priority="204">
      <formula>AND($AB$102="",$AB$101&lt;&gt;"")</formula>
    </cfRule>
    <cfRule type="expression" dxfId="357" priority="236">
      <formula>AND($DS$96=TRUE,$AB$102="")</formula>
    </cfRule>
  </conditionalFormatting>
  <conditionalFormatting sqref="AB97:AP97">
    <cfRule type="expression" dxfId="356" priority="196">
      <formula>AND($DM$98=0,$AB$99&lt;&gt;"")</formula>
    </cfRule>
    <cfRule type="expression" dxfId="355" priority="197">
      <formula>AND($DM$98=0,$AB$98&lt;&gt;"")</formula>
    </cfRule>
    <cfRule type="expression" dxfId="354" priority="208">
      <formula>AND($DS$96=TRUE,$AB97="")</formula>
    </cfRule>
    <cfRule type="cellIs" dxfId="353" priority="652" operator="equal">
      <formula>""</formula>
    </cfRule>
  </conditionalFormatting>
  <conditionalFormatting sqref="AB98:AH98">
    <cfRule type="expression" dxfId="352" priority="509">
      <formula>AND($DM$98=0,$AB$98&lt;&gt;"")</formula>
    </cfRule>
    <cfRule type="expression" dxfId="351" priority="514">
      <formula>AND($DM$98=1,$AB$98="")</formula>
    </cfRule>
    <cfRule type="expression" dxfId="350" priority="515">
      <formula>AND($AB$97="",$AB$98="")</formula>
    </cfRule>
  </conditionalFormatting>
  <conditionalFormatting sqref="AB99:AH99">
    <cfRule type="expression" dxfId="349" priority="507">
      <formula>AND($DM$98=0,$AB$99&lt;&gt;"")</formula>
    </cfRule>
    <cfRule type="expression" dxfId="348" priority="508">
      <formula>AND($DM$98=1,$AB$99="")</formula>
    </cfRule>
    <cfRule type="expression" dxfId="347" priority="513">
      <formula>AND($AB$97="",$AB$99="")</formula>
    </cfRule>
  </conditionalFormatting>
  <conditionalFormatting sqref="AF405:AQ405">
    <cfRule type="cellIs" dxfId="346" priority="487" operator="equal">
      <formula>""</formula>
    </cfRule>
  </conditionalFormatting>
  <conditionalFormatting sqref="AF406:AQ406">
    <cfRule type="cellIs" dxfId="345" priority="473" operator="equal">
      <formula>""</formula>
    </cfRule>
  </conditionalFormatting>
  <conditionalFormatting sqref="S245:U245">
    <cfRule type="expression" dxfId="344" priority="1186">
      <formula>AND($DO$242&lt;&gt;"",$S$245="")</formula>
    </cfRule>
  </conditionalFormatting>
  <conditionalFormatting sqref="AT245">
    <cfRule type="expression" dxfId="343" priority="445">
      <formula>AND($DO$242&lt;&gt;"",$AT$245="")</formula>
    </cfRule>
  </conditionalFormatting>
  <conditionalFormatting sqref="AE186 AJ186 AO186 AE192 AJ192 AO192 AB183:AB195">
    <cfRule type="expression" dxfId="342" priority="1528" stopIfTrue="1">
      <formula>$DN$182=TRUE</formula>
    </cfRule>
  </conditionalFormatting>
  <conditionalFormatting sqref="P246:R249">
    <cfRule type="expression" dxfId="341" priority="436">
      <formula>AND($DO$242&lt;&gt;"", $P246="")</formula>
    </cfRule>
  </conditionalFormatting>
  <conditionalFormatting sqref="S246:U249">
    <cfRule type="expression" dxfId="340" priority="433">
      <formula>AND($DO$242&lt;&gt;"", $S246="")</formula>
    </cfRule>
  </conditionalFormatting>
  <conditionalFormatting sqref="BF246">
    <cfRule type="expression" dxfId="339" priority="408">
      <formula>"AND(R204C128=1,R204C58="""")"</formula>
    </cfRule>
  </conditionalFormatting>
  <conditionalFormatting sqref="AB23 AK23">
    <cfRule type="cellIs" dxfId="338" priority="394" operator="equal">
      <formula>""</formula>
    </cfRule>
  </conditionalFormatting>
  <conditionalFormatting sqref="AB25 AK25 AT25">
    <cfRule type="cellIs" dxfId="337" priority="393" operator="equal">
      <formula>""</formula>
    </cfRule>
  </conditionalFormatting>
  <conditionalFormatting sqref="AB26 AK26 AT26">
    <cfRule type="cellIs" dxfId="336" priority="389" operator="equal">
      <formula>""</formula>
    </cfRule>
  </conditionalFormatting>
  <conditionalFormatting sqref="AB39 AK39">
    <cfRule type="cellIs" dxfId="335" priority="386" operator="equal">
      <formula>""</formula>
    </cfRule>
  </conditionalFormatting>
  <conditionalFormatting sqref="AB41 AK41 AT41">
    <cfRule type="cellIs" dxfId="334" priority="384" operator="equal">
      <formula>""</formula>
    </cfRule>
  </conditionalFormatting>
  <conditionalFormatting sqref="AB17">
    <cfRule type="expression" dxfId="333" priority="381">
      <formula>AND($AB$18&lt;&gt;"",$AB$17="")</formula>
    </cfRule>
  </conditionalFormatting>
  <conditionalFormatting sqref="AB19">
    <cfRule type="expression" dxfId="332" priority="376">
      <formula>AND($AB$20&lt;&gt;"",$AB$19="")</formula>
    </cfRule>
  </conditionalFormatting>
  <conditionalFormatting sqref="AB33:BT36">
    <cfRule type="cellIs" dxfId="331" priority="373" operator="equal">
      <formula>""</formula>
    </cfRule>
  </conditionalFormatting>
  <conditionalFormatting sqref="AB34:BT34">
    <cfRule type="expression" dxfId="330" priority="369">
      <formula>AND($AB$33&lt;&gt;"",$AB$34="")</formula>
    </cfRule>
  </conditionalFormatting>
  <conditionalFormatting sqref="AB36:BT36">
    <cfRule type="expression" dxfId="329" priority="366">
      <formula>AND($AB$35&lt;&gt;"",$AB$36="")</formula>
    </cfRule>
  </conditionalFormatting>
  <conditionalFormatting sqref="AB33">
    <cfRule type="expression" dxfId="328" priority="370">
      <formula>AND($AB$34&lt;&gt;"",$AB$33="")</formula>
    </cfRule>
  </conditionalFormatting>
  <conditionalFormatting sqref="AB35">
    <cfRule type="expression" dxfId="327" priority="367">
      <formula>AND($AB$36&lt;&gt;"",$AB$35="")</formula>
    </cfRule>
  </conditionalFormatting>
  <conditionalFormatting sqref="AB53:AG53">
    <cfRule type="expression" dxfId="326" priority="359" stopIfTrue="1">
      <formula>$DS$46=TRUE</formula>
    </cfRule>
  </conditionalFormatting>
  <conditionalFormatting sqref="AK53:AP53">
    <cfRule type="expression" dxfId="325" priority="358" stopIfTrue="1">
      <formula>$DS$46=TRUE</formula>
    </cfRule>
  </conditionalFormatting>
  <conditionalFormatting sqref="AB55:AG55">
    <cfRule type="expression" dxfId="324" priority="357" stopIfTrue="1">
      <formula>$DS$46=TRUE</formula>
    </cfRule>
  </conditionalFormatting>
  <conditionalFormatting sqref="AK55:AP55">
    <cfRule type="expression" dxfId="323" priority="356" stopIfTrue="1">
      <formula>$DS$46=TRUE</formula>
    </cfRule>
  </conditionalFormatting>
  <conditionalFormatting sqref="AT55:AY55">
    <cfRule type="expression" dxfId="322" priority="355" stopIfTrue="1">
      <formula>$DS$46=TRUE</formula>
    </cfRule>
  </conditionalFormatting>
  <conditionalFormatting sqref="AB71 AK71">
    <cfRule type="cellIs" dxfId="321" priority="351" operator="equal">
      <formula>""</formula>
    </cfRule>
  </conditionalFormatting>
  <conditionalFormatting sqref="AB73 AK73 AT73">
    <cfRule type="cellIs" dxfId="320" priority="349" operator="equal">
      <formula>""</formula>
    </cfRule>
  </conditionalFormatting>
  <conditionalFormatting sqref="AK89:AP89">
    <cfRule type="expression" dxfId="319" priority="269" stopIfTrue="1">
      <formula>$DS$78=TRUE</formula>
    </cfRule>
  </conditionalFormatting>
  <conditionalFormatting sqref="AK91:AP91">
    <cfRule type="expression" dxfId="318" priority="285" stopIfTrue="1">
      <formula>$DS$78=TRUE</formula>
    </cfRule>
  </conditionalFormatting>
  <conditionalFormatting sqref="AB107:AG107">
    <cfRule type="cellIs" dxfId="317" priority="641" operator="equal">
      <formula>""</formula>
    </cfRule>
  </conditionalFormatting>
  <conditionalFormatting sqref="AB109:AG109">
    <cfRule type="cellIs" dxfId="316" priority="520" operator="equal">
      <formula>""</formula>
    </cfRule>
  </conditionalFormatting>
  <conditionalFormatting sqref="AB104:AP104">
    <cfRule type="expression" dxfId="315" priority="517">
      <formula>AND($DM$98=1,$AB$104="")</formula>
    </cfRule>
    <cfRule type="expression" dxfId="314" priority="645">
      <formula>AND($DM$106&gt;0,$AB$104="")</formula>
    </cfRule>
  </conditionalFormatting>
  <conditionalFormatting sqref="AF142">
    <cfRule type="expression" dxfId="313" priority="325">
      <formula>AND(NOT($AB$142="適用"),$AF$142&lt;&gt;"")</formula>
    </cfRule>
    <cfRule type="expression" dxfId="312" priority="326">
      <formula>AND($AB$142="適用",$AF$142="")</formula>
    </cfRule>
  </conditionalFormatting>
  <conditionalFormatting sqref="AF143">
    <cfRule type="expression" dxfId="311" priority="323">
      <formula>AND(NOT($AB$143="適用"),$AF$143&lt;&gt;"")</formula>
    </cfRule>
    <cfRule type="expression" dxfId="310" priority="324">
      <formula>AND($AB$143="適用",$AF$143="")</formula>
    </cfRule>
  </conditionalFormatting>
  <conditionalFormatting sqref="AB211">
    <cfRule type="expression" dxfId="309" priority="2478">
      <formula>AND($AB210="実施",$AB$211="")</formula>
    </cfRule>
  </conditionalFormatting>
  <conditionalFormatting sqref="AE211">
    <cfRule type="expression" dxfId="308" priority="320">
      <formula>AND($AB210="実施",$AE$211="")</formula>
    </cfRule>
  </conditionalFormatting>
  <conditionalFormatting sqref="AJ211">
    <cfRule type="expression" dxfId="307" priority="314">
      <formula>AND($AB210="実施",$AJ$211="")</formula>
    </cfRule>
  </conditionalFormatting>
  <conditionalFormatting sqref="AO211">
    <cfRule type="expression" dxfId="306" priority="312">
      <formula>AND($AB210="実施",$AO$211="")</formula>
    </cfRule>
  </conditionalFormatting>
  <conditionalFormatting sqref="AB213:AD213">
    <cfRule type="expression" dxfId="305" priority="1239">
      <formula>AND($AB$212="実施",$AB$213="")</formula>
    </cfRule>
  </conditionalFormatting>
  <conditionalFormatting sqref="AE213:AG213">
    <cfRule type="expression" dxfId="304" priority="309">
      <formula>AND($AB$212="実施",$AE$213="")</formula>
    </cfRule>
  </conditionalFormatting>
  <conditionalFormatting sqref="AJ213:AL213">
    <cfRule type="expression" dxfId="303" priority="310">
      <formula>AND($AB$212="実施",$AJ$213="")</formula>
    </cfRule>
  </conditionalFormatting>
  <conditionalFormatting sqref="AO213:AQ213">
    <cfRule type="expression" dxfId="302" priority="308">
      <formula>AND($AB$212="実施",$AO$213="")</formula>
    </cfRule>
  </conditionalFormatting>
  <conditionalFormatting sqref="AB215:AG215 AJ215 AO215">
    <cfRule type="expression" dxfId="301" priority="302">
      <formula>AND(NOT($AB214="実施"),AB$215&lt;&gt;"")</formula>
    </cfRule>
  </conditionalFormatting>
  <conditionalFormatting sqref="AB215:AD215">
    <cfRule type="expression" dxfId="300" priority="306">
      <formula>AND($AB$214="実施",$AB$215="")</formula>
    </cfRule>
  </conditionalFormatting>
  <conditionalFormatting sqref="AE215:AG215">
    <cfRule type="expression" dxfId="299" priority="305">
      <formula>AND($AB$214="実施",$AE$215="")</formula>
    </cfRule>
  </conditionalFormatting>
  <conditionalFormatting sqref="AJ215:AL215">
    <cfRule type="expression" dxfId="298" priority="304">
      <formula>AND($AB$214="実施",$AJ$215="")</formula>
    </cfRule>
  </conditionalFormatting>
  <conditionalFormatting sqref="AO215:AQ215">
    <cfRule type="expression" dxfId="297" priority="303">
      <formula>AND($AB$214="実施",$AO$215="")</formula>
    </cfRule>
  </conditionalFormatting>
  <conditionalFormatting sqref="AB217">
    <cfRule type="expression" dxfId="296" priority="1232">
      <formula>AND($AB$216="実施",$AB$217="")</formula>
    </cfRule>
  </conditionalFormatting>
  <conditionalFormatting sqref="AE217:AG217">
    <cfRule type="expression" dxfId="295" priority="1231">
      <formula>AND($AB$216="実施",$AE$217="")</formula>
    </cfRule>
  </conditionalFormatting>
  <conditionalFormatting sqref="AJ217:AL217">
    <cfRule type="expression" dxfId="294" priority="301">
      <formula>AND($AB$216="実施",$AJ$217="")</formula>
    </cfRule>
  </conditionalFormatting>
  <conditionalFormatting sqref="AO217:AQ217">
    <cfRule type="expression" dxfId="293" priority="300">
      <formula>AND($AB$216="実施",$AO$217="")</formula>
    </cfRule>
  </conditionalFormatting>
  <conditionalFormatting sqref="V245">
    <cfRule type="expression" dxfId="292" priority="298">
      <formula>AND($DO$242&lt;&gt;"",$V$245="")</formula>
    </cfRule>
  </conditionalFormatting>
  <conditionalFormatting sqref="V246:AG249">
    <cfRule type="expression" dxfId="291" priority="297">
      <formula>AND($DO$242&lt;&gt;"", $V246="")</formula>
    </cfRule>
  </conditionalFormatting>
  <conditionalFormatting sqref="AB279">
    <cfRule type="cellIs" dxfId="290" priority="293" operator="equal">
      <formula>""</formula>
    </cfRule>
  </conditionalFormatting>
  <conditionalFormatting sqref="AB85:AB91">
    <cfRule type="expression" dxfId="289" priority="151" stopIfTrue="1">
      <formula>$DS$78=TRUE</formula>
    </cfRule>
  </conditionalFormatting>
  <conditionalFormatting sqref="AB89 AK89">
    <cfRule type="expression" dxfId="288" priority="146">
      <formula>AND($DS$78=TRUE,AB$89&lt;&gt;"")</formula>
    </cfRule>
    <cfRule type="cellIs" dxfId="287" priority="2422" operator="equal">
      <formula>""</formula>
    </cfRule>
  </conditionalFormatting>
  <conditionalFormatting sqref="AT91:AY91">
    <cfRule type="expression" dxfId="286" priority="282" stopIfTrue="1">
      <formula>$DS$78=TRUE</formula>
    </cfRule>
  </conditionalFormatting>
  <conditionalFormatting sqref="AK107:AP107">
    <cfRule type="cellIs" dxfId="285" priority="340" operator="equal">
      <formula>""</formula>
    </cfRule>
  </conditionalFormatting>
  <conditionalFormatting sqref="AK109:AP109">
    <cfRule type="cellIs" dxfId="284" priority="281" operator="equal">
      <formula>""</formula>
    </cfRule>
  </conditionalFormatting>
  <conditionalFormatting sqref="AB155 AB156">
    <cfRule type="expression" dxfId="283" priority="605">
      <formula>AND($DN$154=14,$AB155="")</formula>
    </cfRule>
  </conditionalFormatting>
  <conditionalFormatting sqref="AH245:AS245">
    <cfRule type="expression" dxfId="282" priority="252">
      <formula>AND($DO$242&lt;&gt;"",$AH$245="")</formula>
    </cfRule>
  </conditionalFormatting>
  <conditionalFormatting sqref="M245:O245">
    <cfRule type="expression" dxfId="281" priority="251">
      <formula>AND($DO$242&lt;&gt;"",$M$245="")</formula>
    </cfRule>
  </conditionalFormatting>
  <conditionalFormatting sqref="M246:O249">
    <cfRule type="expression" dxfId="280" priority="249">
      <formula>AND($DO$242&lt;&gt;"",$M246="")</formula>
    </cfRule>
  </conditionalFormatting>
  <conditionalFormatting sqref="AZ245 BC245">
    <cfRule type="expression" dxfId="279" priority="2759">
      <formula>AND($DO$242&lt;&gt;"",AZ$245="")</formula>
    </cfRule>
  </conditionalFormatting>
  <conditionalFormatting sqref="AZ246:BB249">
    <cfRule type="expression" dxfId="278" priority="2760">
      <formula>AND($DO$242&lt;&gt;"",$AZ246="")</formula>
    </cfRule>
  </conditionalFormatting>
  <conditionalFormatting sqref="BC246:BE249">
    <cfRule type="expression" dxfId="277" priority="2764">
      <formula>AND($DO$242&lt;&gt;"",BC246="")</formula>
    </cfRule>
  </conditionalFormatting>
  <conditionalFormatting sqref="AH246:AS249">
    <cfRule type="expression" dxfId="276" priority="248">
      <formula>AND($DO$242&lt;&gt;"",$AH246="")</formula>
    </cfRule>
  </conditionalFormatting>
  <conditionalFormatting sqref="AR405:AS406">
    <cfRule type="expression" dxfId="275" priority="2946">
      <formula>AND($U$301="",$AR405&lt;&gt;"")</formula>
    </cfRule>
  </conditionalFormatting>
  <conditionalFormatting sqref="AR307:AS315 AR325:AS342 AR352:AS360 AR370:AS416 AR426:AS465 AR475:AS483 AR493:AS502">
    <cfRule type="expression" dxfId="274" priority="3017">
      <formula>AND($DM$301&lt;&gt;1,SUM($DN307:$DP307)&gt;0,$AR307="")</formula>
    </cfRule>
  </conditionalFormatting>
  <conditionalFormatting sqref="BD426:BR465 BD475:BR483 BD493:BR502 BD307:BR315 BD325:BR342 BD352:BR360 BD370:BR416">
    <cfRule type="expression" dxfId="273" priority="3018">
      <formula>AND(NOT(OR($DT307="要是正",$DT307="既存不適格")),$BD307&lt;&gt;"")</formula>
    </cfRule>
  </conditionalFormatting>
  <conditionalFormatting sqref="AT475:BC483 AT426:BC465 AT493:BC502 AT307:BC315 AT352:BC360 AT370:BC416 AT325:BC342">
    <cfRule type="expression" dxfId="272" priority="3032">
      <formula>AND(NOT(OR($DT307="要是正",$DT307="既存不適格")),$AT307&lt;&gt;"")</formula>
    </cfRule>
  </conditionalFormatting>
  <conditionalFormatting sqref="BS426:BU465 BS475:BU483 BS493:BU502 BS307:BU315 BS325:BU342 BS352:BU360 BS370:BU416">
    <cfRule type="expression" dxfId="271" priority="22">
      <formula>AND(NOT(OR($DT307="要是正",$DT307="既存不適格")),$BS307&lt;&gt;"")</formula>
    </cfRule>
  </conditionalFormatting>
  <conditionalFormatting sqref="BV426:BX465 BV475:BX483 BV493:BX502 BV307:BX315 BV325:BX342 BV352:BX360 BV370:BX416">
    <cfRule type="expression" dxfId="270" priority="3067">
      <formula>AND(NOT(OR($DT307="要是正",$DT307="既存不適格")),$BV307&lt;&gt;"")</formula>
    </cfRule>
  </conditionalFormatting>
  <conditionalFormatting sqref="BY475:CA483 BY426:CA465 BY493:CA502 BY325:CA342 BY352:CA360 BY370:CA416 BY307:CA315">
    <cfRule type="expression" dxfId="269" priority="3074">
      <formula>AND(NOT(OR($DT307="要是正",$DT307="既存不適格")),$BY307&lt;&gt;"")</formula>
    </cfRule>
  </conditionalFormatting>
  <conditionalFormatting sqref="BY475:CA483 BY426:CA465 BY493:CA502 BY512:CA521 BY325:CA342 BY352:CA360 BY370:CA416 BY307:CA315">
    <cfRule type="expression" dxfId="268" priority="3081">
      <formula>AND(OR($DT307="要是正",$DT307="既存不適格"),$BY307="")</formula>
    </cfRule>
  </conditionalFormatting>
  <conditionalFormatting sqref="BV426:BX465 BV475:BX483 BV493:BX502 BV512:BX521 BV307:BX315 BV325:BX342 BV352:BX360 BV370:BX416">
    <cfRule type="expression" dxfId="267" priority="3088">
      <formula>AND(OR($DT307="要是正",$DT307="既存不適格"),$BV307="",$BY307&lt;&gt;"未定")</formula>
    </cfRule>
  </conditionalFormatting>
  <conditionalFormatting sqref="AT109:AY109">
    <cfRule type="cellIs" dxfId="266" priority="276" operator="equal">
      <formula>""</formula>
    </cfRule>
  </conditionalFormatting>
  <conditionalFormatting sqref="AB83">
    <cfRule type="expression" dxfId="265" priority="241">
      <formula>AND($DS$78=TRUE,$AB$83="")</formula>
    </cfRule>
  </conditionalFormatting>
  <conditionalFormatting sqref="AB101:BT101">
    <cfRule type="expression" dxfId="264" priority="205">
      <formula>AND($AB$101="",$AB$102&lt;&gt;"")</formula>
    </cfRule>
    <cfRule type="expression" dxfId="263" priority="237">
      <formula>AND($DS$96=TRUE,$AB$101="")</formula>
    </cfRule>
  </conditionalFormatting>
  <conditionalFormatting sqref="U335:AE335">
    <cfRule type="expression" dxfId="262" priority="234">
      <formula>$DP$261=1</formula>
    </cfRule>
  </conditionalFormatting>
  <conditionalFormatting sqref="U411:AE411">
    <cfRule type="expression" dxfId="261" priority="232">
      <formula>$DP$270=1</formula>
    </cfRule>
  </conditionalFormatting>
  <conditionalFormatting sqref="U413:AE413">
    <cfRule type="expression" dxfId="260" priority="231">
      <formula>$DX$224=1</formula>
    </cfRule>
  </conditionalFormatting>
  <conditionalFormatting sqref="U414:AE414">
    <cfRule type="expression" dxfId="259" priority="230">
      <formula>$DX$224=1</formula>
    </cfRule>
  </conditionalFormatting>
  <conditionalFormatting sqref="U415:AE415">
    <cfRule type="expression" dxfId="258" priority="229">
      <formula>$DX$224=1</formula>
    </cfRule>
  </conditionalFormatting>
  <conditionalFormatting sqref="U416:AE416">
    <cfRule type="expression" dxfId="257" priority="228">
      <formula>$DX$224=1</formula>
    </cfRule>
  </conditionalFormatting>
  <conditionalFormatting sqref="U453:AE453">
    <cfRule type="expression" dxfId="256" priority="227">
      <formula>$DP$271=1</formula>
    </cfRule>
  </conditionalFormatting>
  <conditionalFormatting sqref="U463:AE463">
    <cfRule type="expression" dxfId="255" priority="226">
      <formula>$DP$272=1</formula>
    </cfRule>
  </conditionalFormatting>
  <conditionalFormatting sqref="U464:AE464">
    <cfRule type="expression" dxfId="254" priority="225">
      <formula>$DP$272=1</formula>
    </cfRule>
  </conditionalFormatting>
  <conditionalFormatting sqref="U465:AE465">
    <cfRule type="expression" dxfId="253" priority="224">
      <formula>$DP$272=1</formula>
    </cfRule>
  </conditionalFormatting>
  <conditionalFormatting sqref="AR498:AS502">
    <cfRule type="expression" dxfId="252" priority="220">
      <formula>$AR498&gt;$DM$301</formula>
    </cfRule>
  </conditionalFormatting>
  <conditionalFormatting sqref="AB287:BS289">
    <cfRule type="cellIs" dxfId="251" priority="216" operator="equal">
      <formula>""</formula>
    </cfRule>
  </conditionalFormatting>
  <conditionalFormatting sqref="AB290:BT292">
    <cfRule type="cellIs" dxfId="250" priority="215" operator="equal">
      <formula>""</formula>
    </cfRule>
  </conditionalFormatting>
  <conditionalFormatting sqref="BS426:BU465 BS475:BU483 BS493:BU502 BS512:BU521 BS307:BU315 BS325:BU342 BS352:BU360 BS370:BU416">
    <cfRule type="expression" dxfId="249" priority="3053">
      <formula>AND(OR($DT307="要是正",$DT307="既存不適格"),$BS307="",$BY307&lt;&gt;"未定")</formula>
    </cfRule>
  </conditionalFormatting>
  <conditionalFormatting sqref="AT475:BC483 AT426:BC465 AT493:BC502 AT512:BC521 AT307:BC315 AT352:BC360 AT370:BC416 AT325:BC342">
    <cfRule type="expression" dxfId="248" priority="3033">
      <formula>AND(OR($DT307="要是正",$DT307="既存不適格"),$AT307="")</formula>
    </cfRule>
  </conditionalFormatting>
  <conditionalFormatting sqref="BD426:BR465 BD475:BR483 BD493:BR502 BD512:BR521 BD307:BR315 BD325:BR342 BD352:BR360 BD370:BR416">
    <cfRule type="expression" dxfId="247" priority="3019">
      <formula>AND(OR($DT307="要是正",$DT307="既存不適格"),$BD307="")</formula>
    </cfRule>
  </conditionalFormatting>
  <conditionalFormatting sqref="AR512:AS526">
    <cfRule type="expression" dxfId="246" priority="2936">
      <formula>AND(NOT($DM$301=1),$AR512="",OR($DT512="要是正",$DT512="既存不適格"))</formula>
    </cfRule>
  </conditionalFormatting>
  <conditionalFormatting sqref="AB100:AP100">
    <cfRule type="expression" dxfId="245" priority="651">
      <formula>AND($DM$97=2,$AB$100="")</formula>
    </cfRule>
  </conditionalFormatting>
  <conditionalFormatting sqref="AB64:AP64">
    <cfRule type="expression" dxfId="244" priority="2445">
      <formula>AND($DM$61=2,$AB$64="")</formula>
    </cfRule>
  </conditionalFormatting>
  <conditionalFormatting sqref="AB103 AB104 AB105 AB106 AB106 AB108">
    <cfRule type="expression" dxfId="243" priority="29">
      <formula>AND($DS$96=TRUE,AB103&lt;&gt;"")</formula>
    </cfRule>
  </conditionalFormatting>
  <conditionalFormatting sqref="AB61:AP61">
    <cfRule type="expression" dxfId="242" priority="198">
      <formula>AND($DM$62=0,$AB$63&lt;&gt;"")</formula>
    </cfRule>
    <cfRule type="expression" dxfId="241" priority="199">
      <formula>AND($DM$62=0,$AB$62&lt;&gt;"")</formula>
    </cfRule>
    <cfRule type="expression" dxfId="240" priority="2468">
      <formula>AND($AB$61="",$AB$62="")</formula>
    </cfRule>
  </conditionalFormatting>
  <conditionalFormatting sqref="AB195">
    <cfRule type="expression" dxfId="239" priority="2165">
      <formula>AND($AB$191="有",$AB$194="指定確認検査機関",$AB$195="")</formula>
    </cfRule>
    <cfRule type="expression" dxfId="238" priority="2166">
      <formula>AND($AB$191="有",NOT($AB$194="指定確認検査機関"),$AB$195&lt;&gt;"")</formula>
    </cfRule>
    <cfRule type="expression" dxfId="237" priority="2167">
      <formula>AND(OR($AB$191="",$AB$191="無"),$AB$195&lt;&gt;"")</formula>
    </cfRule>
  </conditionalFormatting>
  <conditionalFormatting sqref="AE226 AJ226">
    <cfRule type="expression" dxfId="236" priority="156">
      <formula>AND($DO$226&lt;&gt;"レ",AE$226&lt;&gt;"")</formula>
    </cfRule>
    <cfRule type="expression" dxfId="235" priority="2518">
      <formula>AND($AB$225="有",AE$226="")</formula>
    </cfRule>
  </conditionalFormatting>
  <conditionalFormatting sqref="AB270 AB271 AB272 AB273 AB274">
    <cfRule type="expression" dxfId="234" priority="195">
      <formula>AND($DP$274=4,$AB$274="対象")</formula>
    </cfRule>
  </conditionalFormatting>
  <conditionalFormatting sqref="AB275 AB277">
    <cfRule type="expression" dxfId="233" priority="176">
      <formula>AND($AB$275="無",$AB$277="対象")</formula>
    </cfRule>
  </conditionalFormatting>
  <conditionalFormatting sqref="AB278 AB279">
    <cfRule type="expression" dxfId="232" priority="193">
      <formula>AND($AB$278="無",$AB$279="対象")</formula>
    </cfRule>
  </conditionalFormatting>
  <conditionalFormatting sqref="AZ245:BE245">
    <cfRule type="expression" dxfId="231" priority="250">
      <formula>$AT$245="予定なし"</formula>
    </cfRule>
  </conditionalFormatting>
  <conditionalFormatting sqref="AZ246:BB246">
    <cfRule type="expression" dxfId="230" priority="191">
      <formula>$AT$246="予定なし"</formula>
    </cfRule>
  </conditionalFormatting>
  <conditionalFormatting sqref="AZ247:BB247">
    <cfRule type="expression" dxfId="229" priority="186">
      <formula>$AT$247="予定なし"</formula>
    </cfRule>
  </conditionalFormatting>
  <conditionalFormatting sqref="BC246:BE246">
    <cfRule type="expression" dxfId="228" priority="189">
      <formula>$AT$246="予定なし"</formula>
    </cfRule>
  </conditionalFormatting>
  <conditionalFormatting sqref="BC247:BE247">
    <cfRule type="expression" dxfId="227" priority="187">
      <formula>$AT$247="予定なし"</formula>
    </cfRule>
  </conditionalFormatting>
  <conditionalFormatting sqref="AZ248:BB248">
    <cfRule type="expression" dxfId="226" priority="184">
      <formula>$AT$248="予定なし"</formula>
    </cfRule>
  </conditionalFormatting>
  <conditionalFormatting sqref="BC248:BE248">
    <cfRule type="expression" dxfId="225" priority="182">
      <formula>$AT$248="予定なし"</formula>
    </cfRule>
  </conditionalFormatting>
  <conditionalFormatting sqref="AZ249:BB249">
    <cfRule type="expression" dxfId="224" priority="180">
      <formula>$AT$249="予定なし"</formula>
    </cfRule>
  </conditionalFormatting>
  <conditionalFormatting sqref="BC249:BE249">
    <cfRule type="expression" dxfId="223" priority="178">
      <formula>$AT$249="予定なし"</formula>
    </cfRule>
  </conditionalFormatting>
  <conditionalFormatting sqref="AT246:AY249">
    <cfRule type="expression" dxfId="222" priority="177">
      <formula>AND($DO$242&lt;&gt;"",$AT246="")</formula>
    </cfRule>
  </conditionalFormatting>
  <conditionalFormatting sqref="AH263 AK263 AP263">
    <cfRule type="expression" dxfId="221" priority="17">
      <formula>AND($DN$259=5,AH$263="")</formula>
    </cfRule>
    <cfRule type="expression" dxfId="220" priority="18">
      <formula>AND($DN$259=5,AH$263&lt;&gt;"")</formula>
    </cfRule>
    <cfRule type="expression" dxfId="219" priority="28">
      <formula>AND($DN$259&gt;3,AH$263&lt;&gt;"")</formula>
    </cfRule>
    <cfRule type="expression" dxfId="218" priority="1390">
      <formula>AND($DN$259&lt;4,AH$263="")</formula>
    </cfRule>
  </conditionalFormatting>
  <conditionalFormatting sqref="AH264:BO264">
    <cfRule type="expression" dxfId="217" priority="27">
      <formula>AND($DN$259&lt;5,AH$264&lt;&gt;"")</formula>
    </cfRule>
    <cfRule type="expression" dxfId="216" priority="1392" stopIfTrue="1">
      <formula>$DN$259=6</formula>
    </cfRule>
    <cfRule type="expression" dxfId="215" priority="1393">
      <formula>AND($DN$259&gt;4,AH$264="")</formula>
    </cfRule>
  </conditionalFormatting>
  <conditionalFormatting sqref="AB277:AF277">
    <cfRule type="cellIs" dxfId="214" priority="194" operator="equal">
      <formula>""</formula>
    </cfRule>
  </conditionalFormatting>
  <conditionalFormatting sqref="AB17:BT20">
    <cfRule type="cellIs" dxfId="213" priority="566" operator="equal">
      <formula>""</formula>
    </cfRule>
  </conditionalFormatting>
  <conditionalFormatting sqref="AB47:BT50">
    <cfRule type="cellIs" dxfId="212" priority="535" operator="equal">
      <formula>""</formula>
    </cfRule>
  </conditionalFormatting>
  <conditionalFormatting sqref="AB53 AK53">
    <cfRule type="cellIs" dxfId="211" priority="365" operator="equal">
      <formula>""</formula>
    </cfRule>
  </conditionalFormatting>
  <conditionalFormatting sqref="AB55 AK55 AT55">
    <cfRule type="cellIs" dxfId="210" priority="363" operator="equal">
      <formula>""</formula>
    </cfRule>
  </conditionalFormatting>
  <conditionalFormatting sqref="AB83:BT84">
    <cfRule type="cellIs" dxfId="209" priority="526" operator="equal">
      <formula>""</formula>
    </cfRule>
  </conditionalFormatting>
  <conditionalFormatting sqref="AB91 AK91 AT91">
    <cfRule type="expression" dxfId="208" priority="150">
      <formula>AND($DS$78=TRUE,AB$91&lt;&gt;"")</formula>
    </cfRule>
    <cfRule type="cellIs" dxfId="207" priority="1930" operator="equal">
      <formula>""</formula>
    </cfRule>
  </conditionalFormatting>
  <conditionalFormatting sqref="AB85 AB86 AB87 AB88 AB90">
    <cfRule type="expression" dxfId="206" priority="145">
      <formula>AND($DS$78=TRUE,AB85&lt;&gt;"")</formula>
    </cfRule>
  </conditionalFormatting>
  <conditionalFormatting sqref="AB107 AK107">
    <cfRule type="expression" dxfId="205" priority="30">
      <formula>AND($DS$96=TRUE,AB$107&lt;&gt;"")</formula>
    </cfRule>
  </conditionalFormatting>
  <conditionalFormatting sqref="AB109 AK109 AT109">
    <cfRule type="expression" dxfId="204" priority="149">
      <formula>AND($DS$96=TRUE,AB$109&lt;&gt;"")</formula>
    </cfRule>
  </conditionalFormatting>
  <conditionalFormatting sqref="AB161:AB162">
    <cfRule type="expression" dxfId="203" priority="1267">
      <formula>AND($DN$160=14,$AB161="")</formula>
    </cfRule>
  </conditionalFormatting>
  <conditionalFormatting sqref="AB183 AB184 AB185 AB186 AB187 AB188 AB189 AB190 AB191 AB192 AB193 AB194 AB195">
    <cfRule type="expression" dxfId="202" priority="166">
      <formula>AND($DN$182=TRUE,$AB183&lt;&gt;"")</formula>
    </cfRule>
  </conditionalFormatting>
  <conditionalFormatting sqref="AE186 AJ186 AO186">
    <cfRule type="expression" dxfId="201" priority="167">
      <formula>AND($DN$182=TRUE,AE$186&lt;&gt;"")</formula>
    </cfRule>
  </conditionalFormatting>
  <conditionalFormatting sqref="AE192 AJ192 AO192">
    <cfRule type="expression" dxfId="200" priority="164">
      <formula>AND($DN$182=TRUE,AE$192&lt;&gt;"")</formula>
    </cfRule>
  </conditionalFormatting>
  <conditionalFormatting sqref="AB211 AE211 AJ211 AO211">
    <cfRule type="expression" dxfId="199" priority="2477">
      <formula>AND(NOT($AB210="実施"),AB$211&lt;&gt;"")</formula>
    </cfRule>
  </conditionalFormatting>
  <conditionalFormatting sqref="AB223 AB224">
    <cfRule type="expression" dxfId="198" priority="1503">
      <formula>AND(OR($AB$223="",$AB$223="無"),$AB$224&lt;&gt;"")</formula>
    </cfRule>
  </conditionalFormatting>
  <conditionalFormatting sqref="BF246:BT249">
    <cfRule type="expression" dxfId="197" priority="428">
      <formula>AND($DO$242&lt;&gt;"", $BF246="")</formula>
    </cfRule>
  </conditionalFormatting>
  <conditionalFormatting sqref="AB225:AG225">
    <cfRule type="expression" dxfId="196" priority="157">
      <formula>AND($DO$226&lt;&gt;"レ",OR($AE$226&lt;&gt;"",$AJ$226&lt;&gt;""))</formula>
    </cfRule>
  </conditionalFormatting>
  <conditionalFormatting sqref="AB68:AP68">
    <cfRule type="expression" dxfId="195" priority="155">
      <formula>AND($DM$62=1,$AB$68="")</formula>
    </cfRule>
  </conditionalFormatting>
  <conditionalFormatting sqref="AB69:AP69">
    <cfRule type="expression" dxfId="194" priority="142">
      <formula>AND($DM$68=1,$AB$69="")</formula>
    </cfRule>
    <cfRule type="expression" dxfId="193" priority="154">
      <formula>AND($DM$62=1,$AB$69="")</formula>
    </cfRule>
  </conditionalFormatting>
  <conditionalFormatting sqref="AB70:AP70">
    <cfRule type="expression" dxfId="192" priority="141">
      <formula>AND($DM$68=1,$AB$70="")</formula>
    </cfRule>
    <cfRule type="expression" dxfId="191" priority="153">
      <formula>AND($DM$62=1,$AB$70="")</formula>
    </cfRule>
  </conditionalFormatting>
  <conditionalFormatting sqref="AB86:AP86">
    <cfRule type="expression" dxfId="190" priority="329">
      <formula>AND($DM$79=2,$AB$86="")</formula>
    </cfRule>
  </conditionalFormatting>
  <conditionalFormatting sqref="AB87:AP87">
    <cfRule type="expression" dxfId="189" priority="152">
      <formula>AND($DM$80=1,$AB$87="")</formula>
    </cfRule>
    <cfRule type="expression" dxfId="188" priority="290">
      <formula>AND($DM$79=2,$AB$87="")</formula>
    </cfRule>
  </conditionalFormatting>
  <conditionalFormatting sqref="AB88:AP88">
    <cfRule type="expression" dxfId="187" priority="170">
      <formula>AND($DM$80=1,$AB$88="")</formula>
    </cfRule>
    <cfRule type="expression" dxfId="186" priority="171">
      <formula>AND($DM$79=2,$AB$88="")</formula>
    </cfRule>
  </conditionalFormatting>
  <conditionalFormatting sqref="AB106:AP106">
    <cfRule type="expression" dxfId="185" priority="271">
      <formula>AND($DM$98=1,$AB$106="")</formula>
    </cfRule>
    <cfRule type="expression" dxfId="184" priority="506">
      <formula>AND($DM$104=1,$AB$106="")</formula>
    </cfRule>
    <cfRule type="expression" dxfId="183" priority="3118">
      <formula>AND($DS$81=TRUE,$AB$91&lt;&gt;"")</formula>
    </cfRule>
    <cfRule type="expression" dxfId="182" priority="3119">
      <formula>AND($DM$106&gt;0,$AB$106="")</formula>
    </cfRule>
  </conditionalFormatting>
  <conditionalFormatting sqref="AB105:AP105">
    <cfRule type="expression" dxfId="181" priority="217">
      <formula>AND($DM$104=1,$AB$105="")</formula>
    </cfRule>
    <cfRule type="expression" dxfId="180" priority="335">
      <formula>AND($DM$98=1,$AB$105="")</formula>
    </cfRule>
    <cfRule type="expression" dxfId="179" priority="3122">
      <formula>AND($DM$106&gt;0,$AB$105="")</formula>
    </cfRule>
  </conditionalFormatting>
  <conditionalFormatting sqref="AF316:AQ320">
    <cfRule type="cellIs" dxfId="178" priority="129" operator="equal">
      <formula>""</formula>
    </cfRule>
  </conditionalFormatting>
  <conditionalFormatting sqref="AR316:AS320 AR343:AS347 AR361:AS365 AR417:AS421 AR466:AS470 AR484:AS488 AR503:AS507">
    <cfRule type="expression" dxfId="177" priority="130">
      <formula>AND($DM$301&lt;&gt;1,SUM($DN316:$DP316)&gt;0,$AR316="")</formula>
    </cfRule>
  </conditionalFormatting>
  <conditionalFormatting sqref="BD316:BR320">
    <cfRule type="expression" dxfId="176" priority="131">
      <formula>AND(NOT(OR($DT316="要是正",$DT316="既存不適格")),$BD316&lt;&gt;"")</formula>
    </cfRule>
  </conditionalFormatting>
  <conditionalFormatting sqref="AT316:BC320">
    <cfRule type="expression" dxfId="175" priority="133">
      <formula>AND(NOT(OR($DT316="要是正",$DT316="既存不適格")),$AT316&lt;&gt;"")</formula>
    </cfRule>
  </conditionalFormatting>
  <conditionalFormatting sqref="BS316:BU320">
    <cfRule type="expression" dxfId="174" priority="135">
      <formula>AND(NOT(OR($DT316="要是正",$DT316="既存不適格")),$BS316&lt;&gt;"")</formula>
    </cfRule>
  </conditionalFormatting>
  <conditionalFormatting sqref="BV316:BX320">
    <cfRule type="expression" dxfId="173" priority="137">
      <formula>AND(NOT(OR($DT316="要是正",$DT316="既存不適格")),$BV316&lt;&gt;"")</formula>
    </cfRule>
  </conditionalFormatting>
  <conditionalFormatting sqref="BY316:CA320">
    <cfRule type="expression" dxfId="172" priority="138">
      <formula>AND(NOT(OR($DT316="要是正",$DT316="既存不適格")),$BY316&lt;&gt;"")</formula>
    </cfRule>
  </conditionalFormatting>
  <conditionalFormatting sqref="BY316:CA320">
    <cfRule type="expression" dxfId="171" priority="139">
      <formula>AND(OR($DT316="要是正",$DT316="既存不適格"),$BY316="")</formula>
    </cfRule>
  </conditionalFormatting>
  <conditionalFormatting sqref="BV316:BX320">
    <cfRule type="expression" dxfId="170" priority="140">
      <formula>AND(OR($DT316="要是正",$DT316="既存不適格"),$BV316="",$BY316&lt;&gt;"未定")</formula>
    </cfRule>
  </conditionalFormatting>
  <conditionalFormatting sqref="BS316:BU320">
    <cfRule type="expression" dxfId="169" priority="136">
      <formula>AND(OR($DT316="要是正",$DT316="既存不適格"),$BS316="",$BY316&lt;&gt;"未定")</formula>
    </cfRule>
  </conditionalFormatting>
  <conditionalFormatting sqref="AT316:BC320">
    <cfRule type="expression" dxfId="168" priority="134">
      <formula>AND(OR($DT316="要是正",$DT316="既存不適格"),$AT316="")</formula>
    </cfRule>
  </conditionalFormatting>
  <conditionalFormatting sqref="BD316:BR320">
    <cfRule type="expression" dxfId="167" priority="132">
      <formula>AND(OR($DT316="要是正",$DT316="既存不適格"),$BD316="")</formula>
    </cfRule>
  </conditionalFormatting>
  <conditionalFormatting sqref="AF343:AQ347">
    <cfRule type="cellIs" dxfId="166" priority="116" operator="equal">
      <formula>""</formula>
    </cfRule>
  </conditionalFormatting>
  <conditionalFormatting sqref="BD343:BR347">
    <cfRule type="expression" dxfId="165" priority="118">
      <formula>AND(NOT(OR($DT343="要是正",$DT343="既存不適格")),$BD343&lt;&gt;"")</formula>
    </cfRule>
  </conditionalFormatting>
  <conditionalFormatting sqref="AT343:BC347">
    <cfRule type="expression" dxfId="164" priority="120">
      <formula>AND(NOT(OR($DT343="要是正",$DT343="既存不適格")),$AT343&lt;&gt;"")</formula>
    </cfRule>
  </conditionalFormatting>
  <conditionalFormatting sqref="BS343:BU347">
    <cfRule type="expression" dxfId="163" priority="122">
      <formula>AND(NOT(OR($DT343="要是正",$DT343="既存不適格")),$BS343&lt;&gt;"")</formula>
    </cfRule>
  </conditionalFormatting>
  <conditionalFormatting sqref="BV343:BX347">
    <cfRule type="expression" dxfId="162" priority="124">
      <formula>AND(NOT(OR($DT343="要是正",$DT343="既存不適格")),$BV343&lt;&gt;"")</formula>
    </cfRule>
  </conditionalFormatting>
  <conditionalFormatting sqref="BY343:CA347">
    <cfRule type="expression" dxfId="161" priority="125">
      <formula>AND(NOT(OR($DT343="要是正",$DT343="既存不適格")),$BY343&lt;&gt;"")</formula>
    </cfRule>
  </conditionalFormatting>
  <conditionalFormatting sqref="BY343:CA347">
    <cfRule type="expression" dxfId="160" priority="126">
      <formula>AND(OR($DT343="要是正",$DT343="既存不適格"),$BY343="")</formula>
    </cfRule>
  </conditionalFormatting>
  <conditionalFormatting sqref="BV343:BX347">
    <cfRule type="expression" dxfId="159" priority="127">
      <formula>AND(OR($DT343="要是正",$DT343="既存不適格"),$BV343="",$BY343&lt;&gt;"未定")</formula>
    </cfRule>
  </conditionalFormatting>
  <conditionalFormatting sqref="BS343:BU347">
    <cfRule type="expression" dxfId="158" priority="123">
      <formula>AND(OR($DT343="要是正",$DT343="既存不適格"),$BS343="",$BY343&lt;&gt;"未定")</formula>
    </cfRule>
  </conditionalFormatting>
  <conditionalFormatting sqref="AT343:BC347">
    <cfRule type="expression" dxfId="157" priority="121">
      <formula>AND(OR($DT343="要是正",$DT343="既存不適格"),$AT343="")</formula>
    </cfRule>
  </conditionalFormatting>
  <conditionalFormatting sqref="BD343:BR347">
    <cfRule type="expression" dxfId="156" priority="119">
      <formula>AND(OR($DT343="要是正",$DT343="既存不適格"),$BD343="")</formula>
    </cfRule>
  </conditionalFormatting>
  <conditionalFormatting sqref="AF361:AQ365">
    <cfRule type="cellIs" dxfId="155" priority="103" operator="equal">
      <formula>""</formula>
    </cfRule>
  </conditionalFormatting>
  <conditionalFormatting sqref="BD361:BR365">
    <cfRule type="expression" dxfId="154" priority="105">
      <formula>AND(NOT(OR($DT361="要是正",$DT361="既存不適格")),$BD361&lt;&gt;"")</formula>
    </cfRule>
  </conditionalFormatting>
  <conditionalFormatting sqref="AT361:BC365">
    <cfRule type="expression" dxfId="153" priority="107">
      <formula>AND(NOT(OR($DT361="要是正",$DT361="既存不適格")),$AT361&lt;&gt;"")</formula>
    </cfRule>
  </conditionalFormatting>
  <conditionalFormatting sqref="BS361:BU365">
    <cfRule type="expression" dxfId="152" priority="109">
      <formula>AND(NOT(OR($DT361="要是正",$DT361="既存不適格")),$BS361&lt;&gt;"")</formula>
    </cfRule>
  </conditionalFormatting>
  <conditionalFormatting sqref="BV361:BX365">
    <cfRule type="expression" dxfId="151" priority="111">
      <formula>AND(NOT(OR($DT361="要是正",$DT361="既存不適格")),$BV361&lt;&gt;"")</formula>
    </cfRule>
  </conditionalFormatting>
  <conditionalFormatting sqref="BY361:CA365">
    <cfRule type="expression" dxfId="150" priority="112">
      <formula>AND(NOT(OR($DT361="要是正",$DT361="既存不適格")),$BY361&lt;&gt;"")</formula>
    </cfRule>
  </conditionalFormatting>
  <conditionalFormatting sqref="BY361:CA365">
    <cfRule type="expression" dxfId="149" priority="113">
      <formula>AND(OR($DT361="要是正",$DT361="既存不適格"),$BY361="")</formula>
    </cfRule>
  </conditionalFormatting>
  <conditionalFormatting sqref="BV361:BX365">
    <cfRule type="expression" dxfId="148" priority="114">
      <formula>AND(OR($DT361="要是正",$DT361="既存不適格"),$BV361="",$BY361&lt;&gt;"未定")</formula>
    </cfRule>
  </conditionalFormatting>
  <conditionalFormatting sqref="BS361:BU365">
    <cfRule type="expression" dxfId="147" priority="110">
      <formula>AND(OR($DT361="要是正",$DT361="既存不適格"),$BS361="",$BY361&lt;&gt;"未定")</formula>
    </cfRule>
  </conditionalFormatting>
  <conditionalFormatting sqref="AT361:BC365">
    <cfRule type="expression" dxfId="146" priority="108">
      <formula>AND(OR($DT361="要是正",$DT361="既存不適格"),$AT361="")</formula>
    </cfRule>
  </conditionalFormatting>
  <conditionalFormatting sqref="BD361:BR365">
    <cfRule type="expression" dxfId="145" priority="106">
      <formula>AND(OR($DT361="要是正",$DT361="既存不適格"),$BD361="")</formula>
    </cfRule>
  </conditionalFormatting>
  <conditionalFormatting sqref="AF417:AQ421">
    <cfRule type="cellIs" dxfId="144" priority="90" operator="equal">
      <formula>""</formula>
    </cfRule>
  </conditionalFormatting>
  <conditionalFormatting sqref="BD417:BR421">
    <cfRule type="expression" dxfId="143" priority="92">
      <formula>AND(NOT(OR($DT417="要是正",$DT417="既存不適格")),$BD417&lt;&gt;"")</formula>
    </cfRule>
  </conditionalFormatting>
  <conditionalFormatting sqref="AT417:BC421">
    <cfRule type="expression" dxfId="142" priority="94">
      <formula>AND(NOT(OR($DT417="要是正",$DT417="既存不適格")),$AT417&lt;&gt;"")</formula>
    </cfRule>
  </conditionalFormatting>
  <conditionalFormatting sqref="BS417:BU421">
    <cfRule type="expression" dxfId="141" priority="96">
      <formula>AND(NOT(OR($DT417="要是正",$DT417="既存不適格")),$BS417&lt;&gt;"")</formula>
    </cfRule>
  </conditionalFormatting>
  <conditionalFormatting sqref="BV417:BX421">
    <cfRule type="expression" dxfId="140" priority="98">
      <formula>AND(NOT(OR($DT417="要是正",$DT417="既存不適格")),$BV417&lt;&gt;"")</formula>
    </cfRule>
  </conditionalFormatting>
  <conditionalFormatting sqref="BY417:CA421">
    <cfRule type="expression" dxfId="139" priority="99">
      <formula>AND(NOT(OR($DT417="要是正",$DT417="既存不適格")),$BY417&lt;&gt;"")</formula>
    </cfRule>
  </conditionalFormatting>
  <conditionalFormatting sqref="BY417:CA421">
    <cfRule type="expression" dxfId="138" priority="100">
      <formula>AND(OR($DT417="要是正",$DT417="既存不適格"),$BY417="")</formula>
    </cfRule>
  </conditionalFormatting>
  <conditionalFormatting sqref="BV417:BX421">
    <cfRule type="expression" dxfId="137" priority="101">
      <formula>AND(OR($DT417="要是正",$DT417="既存不適格"),$BV417="",$BY417&lt;&gt;"未定")</formula>
    </cfRule>
  </conditionalFormatting>
  <conditionalFormatting sqref="U417:AE421">
    <cfRule type="expression" dxfId="136" priority="89">
      <formula>$DX$224=1</formula>
    </cfRule>
  </conditionalFormatting>
  <conditionalFormatting sqref="BS417:BU421">
    <cfRule type="expression" dxfId="135" priority="97">
      <formula>AND(OR($DT417="要是正",$DT417="既存不適格"),$BS417="",$BY417&lt;&gt;"未定")</formula>
    </cfRule>
  </conditionalFormatting>
  <conditionalFormatting sqref="AT417:BC421">
    <cfRule type="expression" dxfId="134" priority="95">
      <formula>AND(OR($DT417="要是正",$DT417="既存不適格"),$AT417="")</formula>
    </cfRule>
  </conditionalFormatting>
  <conditionalFormatting sqref="BD417:BR421">
    <cfRule type="expression" dxfId="133" priority="93">
      <formula>AND(OR($DT417="要是正",$DT417="既存不適格"),$BD417="")</formula>
    </cfRule>
  </conditionalFormatting>
  <conditionalFormatting sqref="AF466:AQ470">
    <cfRule type="cellIs" dxfId="132" priority="76" operator="equal">
      <formula>""</formula>
    </cfRule>
  </conditionalFormatting>
  <conditionalFormatting sqref="BD466:BR470">
    <cfRule type="expression" dxfId="131" priority="78">
      <formula>AND(NOT(OR($DT466="要是正",$DT466="既存不適格")),$BD466&lt;&gt;"")</formula>
    </cfRule>
  </conditionalFormatting>
  <conditionalFormatting sqref="AT466:BC470">
    <cfRule type="expression" dxfId="130" priority="80">
      <formula>AND(NOT(OR($DT466="要是正",$DT466="既存不適格")),$AT466&lt;&gt;"")</formula>
    </cfRule>
  </conditionalFormatting>
  <conditionalFormatting sqref="BS466:BU470">
    <cfRule type="expression" dxfId="129" priority="82">
      <formula>AND(NOT(OR($DT466="要是正",$DT466="既存不適格")),$BS466&lt;&gt;"")</formula>
    </cfRule>
  </conditionalFormatting>
  <conditionalFormatting sqref="BV466:BX470">
    <cfRule type="expression" dxfId="128" priority="84">
      <formula>AND(NOT(OR($DT466="要是正",$DT466="既存不適格")),$BV466&lt;&gt;"")</formula>
    </cfRule>
  </conditionalFormatting>
  <conditionalFormatting sqref="BY466:CA470">
    <cfRule type="expression" dxfId="127" priority="85">
      <formula>AND(NOT(OR($DT466="要是正",$DT466="既存不適格")),$BY466&lt;&gt;"")</formula>
    </cfRule>
  </conditionalFormatting>
  <conditionalFormatting sqref="BY466:CA470">
    <cfRule type="expression" dxfId="126" priority="86">
      <formula>AND(OR($DT466="要是正",$DT466="既存不適格"),$BY466="")</formula>
    </cfRule>
  </conditionalFormatting>
  <conditionalFormatting sqref="BV466:BX470">
    <cfRule type="expression" dxfId="125" priority="87">
      <formula>AND(OR($DT466="要是正",$DT466="既存不適格"),$BV466="",$BY466&lt;&gt;"未定")</formula>
    </cfRule>
  </conditionalFormatting>
  <conditionalFormatting sqref="U466:AE470">
    <cfRule type="expression" dxfId="124" priority="75">
      <formula>$DP$272=1</formula>
    </cfRule>
  </conditionalFormatting>
  <conditionalFormatting sqref="BS466:BU470">
    <cfRule type="expression" dxfId="123" priority="83">
      <formula>AND(OR($DT466="要是正",$DT466="既存不適格"),$BS466="",$BY466&lt;&gt;"未定")</formula>
    </cfRule>
  </conditionalFormatting>
  <conditionalFormatting sqref="AT466:BC470">
    <cfRule type="expression" dxfId="122" priority="81">
      <formula>AND(OR($DT466="要是正",$DT466="既存不適格"),$AT466="")</formula>
    </cfRule>
  </conditionalFormatting>
  <conditionalFormatting sqref="BD466:BR470">
    <cfRule type="expression" dxfId="121" priority="79">
      <formula>AND(OR($DT466="要是正",$DT466="既存不適格"),$BD466="")</formula>
    </cfRule>
  </conditionalFormatting>
  <conditionalFormatting sqref="AF484:AQ488">
    <cfRule type="cellIs" dxfId="120" priority="62" operator="equal">
      <formula>""</formula>
    </cfRule>
  </conditionalFormatting>
  <conditionalFormatting sqref="BD484:BR488">
    <cfRule type="expression" dxfId="119" priority="64">
      <formula>AND(NOT(OR($DT484="要是正",$DT484="既存不適格")),$BD484&lt;&gt;"")</formula>
    </cfRule>
  </conditionalFormatting>
  <conditionalFormatting sqref="AT484:BC488">
    <cfRule type="expression" dxfId="118" priority="66">
      <formula>AND(NOT(OR($DT484="要是正",$DT484="既存不適格")),$AT484&lt;&gt;"")</formula>
    </cfRule>
  </conditionalFormatting>
  <conditionalFormatting sqref="BS484:BU488">
    <cfRule type="expression" dxfId="117" priority="68">
      <formula>AND(NOT(OR($DT484="要是正",$DT484="既存不適格")),$BS484&lt;&gt;"")</formula>
    </cfRule>
  </conditionalFormatting>
  <conditionalFormatting sqref="BV484:BX488">
    <cfRule type="expression" dxfId="116" priority="70">
      <formula>AND(NOT(OR($DT484="要是正",$DT484="既存不適格")),$BV484&lt;&gt;"")</formula>
    </cfRule>
  </conditionalFormatting>
  <conditionalFormatting sqref="BY484:CA488">
    <cfRule type="expression" dxfId="115" priority="71">
      <formula>AND(NOT(OR($DT484="要是正",$DT484="既存不適格")),$BY484&lt;&gt;"")</formula>
    </cfRule>
  </conditionalFormatting>
  <conditionalFormatting sqref="BY484:CA488">
    <cfRule type="expression" dxfId="114" priority="72">
      <formula>AND(OR($DT484="要是正",$DT484="既存不適格"),$BY484="")</formula>
    </cfRule>
  </conditionalFormatting>
  <conditionalFormatting sqref="BV484:BX488">
    <cfRule type="expression" dxfId="113" priority="73">
      <formula>AND(OR($DT484="要是正",$DT484="既存不適格"),$BV484="",$BY484&lt;&gt;"未定")</formula>
    </cfRule>
  </conditionalFormatting>
  <conditionalFormatting sqref="BS484:BU488">
    <cfRule type="expression" dxfId="112" priority="69">
      <formula>AND(OR($DT484="要是正",$DT484="既存不適格"),$BS484="",$BY484&lt;&gt;"未定")</formula>
    </cfRule>
  </conditionalFormatting>
  <conditionalFormatting sqref="AT484:BC488">
    <cfRule type="expression" dxfId="111" priority="67">
      <formula>AND(OR($DT484="要是正",$DT484="既存不適格"),$AT484="")</formula>
    </cfRule>
  </conditionalFormatting>
  <conditionalFormatting sqref="BD484:BR488">
    <cfRule type="expression" dxfId="110" priority="65">
      <formula>AND(OR($DT484="要是正",$DT484="既存不適格"),$BD484="")</formula>
    </cfRule>
  </conditionalFormatting>
  <conditionalFormatting sqref="AF503:AQ507">
    <cfRule type="cellIs" dxfId="109" priority="49" operator="equal">
      <formula>""</formula>
    </cfRule>
  </conditionalFormatting>
  <conditionalFormatting sqref="BD503:BR507">
    <cfRule type="expression" dxfId="108" priority="51">
      <formula>AND(NOT(OR($DT503="要是正",$DT503="既存不適格")),$BD503&lt;&gt;"")</formula>
    </cfRule>
  </conditionalFormatting>
  <conditionalFormatting sqref="AT503:BC507">
    <cfRule type="expression" dxfId="107" priority="53">
      <formula>AND(NOT(OR($DT503="要是正",$DT503="既存不適格")),$AT503&lt;&gt;"")</formula>
    </cfRule>
  </conditionalFormatting>
  <conditionalFormatting sqref="BS503:BU507">
    <cfRule type="expression" dxfId="106" priority="55">
      <formula>AND(NOT(OR($DT503="要是正",$DT503="既存不適格")),$BS503&lt;&gt;"")</formula>
    </cfRule>
  </conditionalFormatting>
  <conditionalFormatting sqref="BV503:BX507">
    <cfRule type="expression" dxfId="105" priority="57">
      <formula>AND(NOT(OR($DT503="要是正",$DT503="既存不適格")),$BV503&lt;&gt;"")</formula>
    </cfRule>
  </conditionalFormatting>
  <conditionalFormatting sqref="BY503:CA507">
    <cfRule type="expression" dxfId="104" priority="58">
      <formula>AND(NOT(OR($DT503="要是正",$DT503="既存不適格")),$BY503&lt;&gt;"")</formula>
    </cfRule>
  </conditionalFormatting>
  <conditionalFormatting sqref="BY503:CA507">
    <cfRule type="expression" dxfId="103" priority="59">
      <formula>AND(OR($DT503="要是正",$DT503="既存不適格"),$BY503="")</formula>
    </cfRule>
  </conditionalFormatting>
  <conditionalFormatting sqref="BV503:BX507">
    <cfRule type="expression" dxfId="102" priority="60">
      <formula>AND(OR($DT503="要是正",$DT503="既存不適格"),$BV503="",$BY503&lt;&gt;"未定")</formula>
    </cfRule>
  </conditionalFormatting>
  <conditionalFormatting sqref="BS503:BU507">
    <cfRule type="expression" dxfId="101" priority="56">
      <formula>AND(OR($DT503="要是正",$DT503="既存不適格"),$BS503="",$BY503&lt;&gt;"未定")</formula>
    </cfRule>
  </conditionalFormatting>
  <conditionalFormatting sqref="AT503:BC507">
    <cfRule type="expression" dxfId="100" priority="54">
      <formula>AND(OR($DT503="要是正",$DT503="既存不適格"),$AT503="")</formula>
    </cfRule>
  </conditionalFormatting>
  <conditionalFormatting sqref="BD503:BR507">
    <cfRule type="expression" dxfId="99" priority="52">
      <formula>AND(OR($DT503="要是正",$DT503="既存不適格"),$BD503="")</formula>
    </cfRule>
  </conditionalFormatting>
  <conditionalFormatting sqref="M522:M526">
    <cfRule type="cellIs" dxfId="98" priority="40" operator="equal">
      <formula>""</formula>
    </cfRule>
  </conditionalFormatting>
  <conditionalFormatting sqref="AF522:AQ526">
    <cfRule type="expression" dxfId="97" priority="7">
      <formula>AND($M522="",$AF522&lt;&gt;"")</formula>
    </cfRule>
    <cfRule type="expression" dxfId="96" priority="32">
      <formula>AND($M522&lt;&gt;"",$AF522="")</formula>
    </cfRule>
    <cfRule type="cellIs" dxfId="95" priority="38" operator="equal">
      <formula>""</formula>
    </cfRule>
  </conditionalFormatting>
  <conditionalFormatting sqref="AT522:BC526">
    <cfRule type="expression" dxfId="94" priority="37">
      <formula>AND($M522="",$AT522&lt;&gt;"")</formula>
    </cfRule>
  </conditionalFormatting>
  <conditionalFormatting sqref="BD522:BR526">
    <cfRule type="expression" dxfId="93" priority="36">
      <formula>AND($M522="",$BD522&lt;&gt;"")</formula>
    </cfRule>
  </conditionalFormatting>
  <conditionalFormatting sqref="BS522:BU526">
    <cfRule type="expression" dxfId="92" priority="35">
      <formula>AND($M522="",$BS522&lt;&gt;"")</formula>
    </cfRule>
  </conditionalFormatting>
  <conditionalFormatting sqref="BV522:BX526">
    <cfRule type="expression" dxfId="91" priority="34">
      <formula>AND($M522="",$BV522&lt;&gt;"")</formula>
    </cfRule>
  </conditionalFormatting>
  <conditionalFormatting sqref="BY522:CA526">
    <cfRule type="expression" dxfId="90" priority="33">
      <formula>AND($M522="",$BY522&lt;&gt;"")</formula>
    </cfRule>
  </conditionalFormatting>
  <conditionalFormatting sqref="BY522:CA526">
    <cfRule type="expression" dxfId="89" priority="45">
      <formula>AND(OR($DT522="要是正",$DT522="既存不適格"),$BY522="")</formula>
    </cfRule>
  </conditionalFormatting>
  <conditionalFormatting sqref="BV522:BX526">
    <cfRule type="expression" dxfId="88" priority="46">
      <formula>AND(OR($DT522="要是正",$DT522="既存不適格"),$BV522="",$BY522&lt;&gt;"未定")</formula>
    </cfRule>
  </conditionalFormatting>
  <conditionalFormatting sqref="BS522:BU526">
    <cfRule type="expression" dxfId="87" priority="44">
      <formula>AND(OR($DT522="要是正",$DT522="既存不適格"),$BS522="",$BY522&lt;&gt;"未定")</formula>
    </cfRule>
  </conditionalFormatting>
  <conditionalFormatting sqref="AT522:BC526">
    <cfRule type="expression" dxfId="86" priority="43">
      <formula>AND(OR($DT522="要是正",$DT522="既存不適格"),$AT522="")</formula>
    </cfRule>
  </conditionalFormatting>
  <conditionalFormatting sqref="BD522:BR526">
    <cfRule type="expression" dxfId="85" priority="42">
      <formula>AND(OR($DT522="要是正",$DT522="既存不適格"),$BD522="")</formula>
    </cfRule>
  </conditionalFormatting>
  <conditionalFormatting sqref="AK107 AB103:AB109 AK109 AT109">
    <cfRule type="expression" dxfId="84" priority="168" stopIfTrue="1">
      <formula>$DS$96=TRUE</formula>
    </cfRule>
  </conditionalFormatting>
  <conditionalFormatting sqref="AK107 AB107:AB109 AK109 AT109">
    <cfRule type="expression" dxfId="83" priority="169">
      <formula>AND($AB$103&lt;&gt;"",AB107="")</formula>
    </cfRule>
  </conditionalFormatting>
  <conditionalFormatting sqref="AB47:BT52 AB53 AK53 AB54 AB55 AK55 AT55">
    <cfRule type="expression" dxfId="82" priority="26">
      <formula>AND($DS$46=TRUE,AB47&lt;&gt;"")</formula>
    </cfRule>
  </conditionalFormatting>
  <conditionalFormatting sqref="AB140:AD140">
    <cfRule type="cellIs" dxfId="81" priority="25" operator="equal">
      <formula>""</formula>
    </cfRule>
  </conditionalFormatting>
  <conditionalFormatting sqref="AB140:AD145">
    <cfRule type="expression" dxfId="80" priority="24">
      <formula>$DN140=1</formula>
    </cfRule>
  </conditionalFormatting>
  <conditionalFormatting sqref="AZ245:BE249">
    <cfRule type="expression" dxfId="79" priority="23">
      <formula>AND($DY245=1,AZ245&lt;&gt;"")</formula>
    </cfRule>
  </conditionalFormatting>
  <conditionalFormatting sqref="BS307:BX320 BS325:BX347 BS352:BX365 BS370:BX421 BS426:BX470 BS475:BX488 BS493:BX507 BS512:BX526">
    <cfRule type="expression" dxfId="78" priority="3046">
      <formula>AND($BY307="未定",BS307&lt;&gt;"")</formula>
    </cfRule>
  </conditionalFormatting>
  <conditionalFormatting sqref="A3:A526">
    <cfRule type="cellIs" dxfId="77" priority="21" operator="notEqual">
      <formula>1</formula>
    </cfRule>
  </conditionalFormatting>
  <conditionalFormatting sqref="B3:B526">
    <cfRule type="cellIs" dxfId="76" priority="20" operator="notEqual">
      <formula>1</formula>
    </cfRule>
  </conditionalFormatting>
  <conditionalFormatting sqref="C3:C526">
    <cfRule type="cellIs" dxfId="75" priority="19" operator="notEqual">
      <formula>1</formula>
    </cfRule>
  </conditionalFormatting>
  <conditionalFormatting sqref="AB18:BT20 AB23:AB25 AK23 AK25 AT25">
    <cfRule type="expression" dxfId="74" priority="15">
      <formula>OR($DS$16,$DT$16)</formula>
    </cfRule>
  </conditionalFormatting>
  <conditionalFormatting sqref="AF307:AQ315">
    <cfRule type="cellIs" dxfId="73" priority="13" operator="equal">
      <formula>""</formula>
    </cfRule>
  </conditionalFormatting>
  <conditionalFormatting sqref="AB232 AB234">
    <cfRule type="expression" dxfId="72" priority="160">
      <formula>AND(DN233&gt;2,DN232&gt;0)</formula>
    </cfRule>
    <cfRule type="cellIs" dxfId="71" priority="1781" operator="equal">
      <formula>""</formula>
    </cfRule>
  </conditionalFormatting>
  <conditionalFormatting sqref="U493:AE497">
    <cfRule type="expression" dxfId="70" priority="12">
      <formula>OR($AB$275="無",$AB$277="対象")</formula>
    </cfRule>
  </conditionalFormatting>
  <conditionalFormatting sqref="D3:D526">
    <cfRule type="cellIs" dxfId="69" priority="11" operator="notEqual">
      <formula>1</formula>
    </cfRule>
  </conditionalFormatting>
  <conditionalFormatting sqref="E3:E526">
    <cfRule type="cellIs" dxfId="68" priority="10" operator="notEqual">
      <formula>1</formula>
    </cfRule>
  </conditionalFormatting>
  <conditionalFormatting sqref="A3:E526">
    <cfRule type="cellIs" dxfId="67" priority="9" operator="equal">
      <formula>0</formula>
    </cfRule>
  </conditionalFormatting>
  <conditionalFormatting sqref="AB267">
    <cfRule type="expression" dxfId="66" priority="6">
      <formula>$AB$267=""</formula>
    </cfRule>
  </conditionalFormatting>
  <conditionalFormatting sqref="AB56">
    <cfRule type="cellIs" dxfId="65" priority="5" operator="equal">
      <formula>""</formula>
    </cfRule>
  </conditionalFormatting>
  <conditionalFormatting sqref="M4:O4">
    <cfRule type="cellIs" dxfId="64" priority="4" operator="equal">
      <formula>""</formula>
    </cfRule>
  </conditionalFormatting>
  <conditionalFormatting sqref="AB233 AE233 AJ233 AB235 AE235 AJ235">
    <cfRule type="expression" dxfId="63" priority="504">
      <formula>AND($DN233&gt;2,AB233&lt;&gt;"")</formula>
    </cfRule>
    <cfRule type="expression" dxfId="62" priority="2432">
      <formula>AND($DN233&lt;3,AB233="")</formula>
    </cfRule>
  </conditionalFormatting>
  <conditionalFormatting sqref="BV291:CS292">
    <cfRule type="expression" dxfId="61" priority="3">
      <formula>$DN$291=TRUE</formula>
    </cfRule>
  </conditionalFormatting>
  <conditionalFormatting sqref="BV256:CS256">
    <cfRule type="expression" dxfId="60" priority="2">
      <formula>$DN$255=TRUE</formula>
    </cfRule>
  </conditionalFormatting>
  <conditionalFormatting sqref="BV203:CS203">
    <cfRule type="expression" dxfId="59" priority="1">
      <formula>$DN$203=TRUE</formula>
    </cfRule>
  </conditionalFormatting>
  <dataValidations disablePrompts="1" xWindow="583" yWindow="604" count="37">
    <dataValidation allowBlank="1" showInputMessage="1" errorTitle="文字種エラー" sqref="AB65:BT65 AB83:BT83 AB33:BT33 AB8:BT8 AB17:BT17 AB19:BT19 AB21:BT21 AB35:BT35 AB37:BT37 AB47:BT47 AB49:BT49 AB51:BT51 AB101:BT101" xr:uid="{00000000-0002-0000-0000-000000000000}"/>
    <dataValidation allowBlank="1" showErrorMessage="1" promptTitle="交付者" prompt="指定確認検査機関名を入力してください" sqref="AB181:AD181 AB195:AD195" xr:uid="{00000000-0002-0000-0000-000001000000}"/>
    <dataValidation allowBlank="1" showErrorMessage="1" sqref="AF241 AB24:BT24" xr:uid="{00000000-0002-0000-0000-000002000000}"/>
    <dataValidation type="whole" imeMode="halfAlpha" allowBlank="1" showInputMessage="1" showErrorMessage="1" sqref="AC396:AC404 AA499:AA507 AE235:AG235 BS498:BU507 BS343:BU347 AO142:AT143 BS466:BU470 BS417:BU421 BS484:BU488 BS316:BU320 AA494:AA497 AE154:AG154 AC406:AC421 AA476:AA488 AA427:AA470 BS361:BU365 AE233:AG233 AE226:AG226 AE172:AG172 AE209:AG209 AE213:AG213 AE215:AG215 AE217:AG217 AE192:AG192 AE186:AG186 AE178:AG178 AE151:AG151 AE160:AG160 AE157:AG157 BF4:BH4 AZ245:BB249" xr:uid="{00000000-0002-0000-0000-000003000000}">
      <formula1>1</formula1>
      <formula2>99</formula2>
    </dataValidation>
    <dataValidation type="whole" imeMode="halfAlpha" allowBlank="1" showInputMessage="1" showErrorMessage="1" sqref="BK4:BM4 AJ154:AL154 AD406:AD421 AJ178:AL178 AJ192:AL192 AJ160:AL160 AJ226:AL226 AJ157:AL157 AJ217:AL217 AJ209:AL209 AD396:AD404 AJ186:AL186 AJ215:AL215 AJ172:AL172 BV343:BX347 AJ213:AL213 AB499:AB507 AB476:AB488 AB427:AB470 BV316:BX320 BV361:BX365 BV417:BX421 BV484:BX488 AB494:AB497 BV466:BX470 AJ233:AL233 S245:U249 BC245:BE249 AJ151:AL151 AJ235:AL235 BV498:BX507" xr:uid="{00000000-0002-0000-0000-000004000000}">
      <formula1>1</formula1>
      <formula2>12</formula2>
    </dataValidation>
    <dataValidation type="whole" imeMode="halfAlpha" allowBlank="1" showInputMessage="1" showErrorMessage="1" sqref="BP4:BR4 AO160:AQ160 AO151:AQ151 AO178:AQ178 AO186:AQ186 AO192:AQ192 AO215:AQ215 AO209:AQ209 AO157:AQ157 AO213:AQ213 AO217:AQ217 AO154:AQ154 AO172:AQ172" xr:uid="{00000000-0002-0000-0000-000005000000}">
      <formula1>1</formula1>
      <formula2>31</formula2>
    </dataValidation>
    <dataValidation allowBlank="1" showInputMessage="1" showErrorMessage="1" promptTitle="所有者氏名" sqref="AB18:BT18 AB34:BT34" xr:uid="{00000000-0002-0000-0000-000006000000}"/>
    <dataValidation type="whole" allowBlank="1" showInputMessage="1" showErrorMessage="1" error="「１-３１」の整数で入力してください" sqref="AK263:AM263" xr:uid="{00000000-0002-0000-0000-000007000000}">
      <formula1>1</formula1>
      <formula2>99</formula2>
    </dataValidation>
    <dataValidation type="list" allowBlank="1" showInputMessage="1" showErrorMessage="1" sqref="AF512:AQ526" xr:uid="{00000000-0002-0000-0000-000008000000}">
      <formula1>"×要是正（既存不適格以外）,△既存不適格"</formula1>
    </dataValidation>
    <dataValidation type="textLength" imeMode="disabled" allowBlank="1" showInputMessage="1" showErrorMessage="1" sqref="AZ26:BT26" xr:uid="{00000000-0002-0000-0000-000009000000}">
      <formula1>12</formula1>
      <formula2>14</formula2>
    </dataValidation>
    <dataValidation type="decimal" imeMode="halfAlpha" operator="greaterThan" allowBlank="1" showInputMessage="1" showErrorMessage="1" sqref="AB133:AG134" xr:uid="{00000000-0002-0000-0000-00000A000000}">
      <formula1>0</formula1>
    </dataValidation>
    <dataValidation allowBlank="1" showInputMessage="1" sqref="AZ262" xr:uid="{00000000-0002-0000-0000-00000B000000}"/>
    <dataValidation type="custom" imeMode="halfAlpha" allowBlank="1" showInputMessage="1" showErrorMessage="1" error="メールアドレスは半角文字で入力してください。" sqref="AB27:BT27 AB56:BT56" xr:uid="{00000000-0002-0000-0000-00000C000000}">
      <formula1>LEN(AB27)=LENB(AB27)</formula1>
    </dataValidation>
    <dataValidation type="custom" imeMode="halfAlpha" allowBlank="1" showInputMessage="1" showErrorMessage="1" errorTitle="無効な入力" error="(例)111-1234_x000a_のように3桁-4桁の形式で入力し_x000a_間にハイフンを入れてください。" sqref="AQ23:BT23" xr:uid="{00000000-0002-0000-0000-00000E000000}">
      <formula1>(MID(AQ23,4,1)="-")*(LEN(AQ23)=8)</formula1>
    </dataValidation>
    <dataValidation type="textLength" imeMode="disabled" allowBlank="1" showInputMessage="1" showErrorMessage="1" errorTitle="無効な入力" error="10桁以上で入力してください" sqref="AZ25:BT25" xr:uid="{00000000-0002-0000-0000-00000F000000}">
      <formula1>12</formula1>
      <formula2>14</formula2>
    </dataValidation>
    <dataValidation type="whole" imeMode="halfAlpha" allowBlank="1" showErrorMessage="1" sqref="AO211:AQ211" xr:uid="{00000000-0002-0000-0000-000010000000}">
      <formula1>1</formula1>
      <formula2>31</formula2>
    </dataValidation>
    <dataValidation imeMode="disabled" allowBlank="1" showInputMessage="1" showErrorMessage="1" sqref="AB63:AP64 AB81:AP82 AB99:AP100" xr:uid="{00000000-0002-0000-0000-000011000000}"/>
    <dataValidation imeMode="fullKatakana" allowBlank="1" showInputMessage="1" showErrorMessage="1" errorTitle="文字種エラー" sqref="AB51:BT51" xr:uid="{00000000-0002-0000-0000-000012000000}"/>
    <dataValidation type="whole" imeMode="halfAlpha" allowBlank="1" showErrorMessage="1" sqref="AE211:AG211" xr:uid="{00000000-0002-0000-0000-000013000000}">
      <formula1>1</formula1>
      <formula2>99</formula2>
    </dataValidation>
    <dataValidation type="whole" imeMode="halfAlpha" allowBlank="1" showErrorMessage="1" sqref="AJ211:AL211" xr:uid="{00000000-0002-0000-0000-000014000000}">
      <formula1>1</formula1>
      <formula2>12</formula2>
    </dataValidation>
    <dataValidation type="whole" allowBlank="1" showInputMessage="1" showErrorMessage="1" sqref="P245:R249" xr:uid="{00000000-0002-0000-0000-000015000000}">
      <formula1>1</formula1>
      <formula2>99</formula2>
    </dataValidation>
    <dataValidation type="whole" allowBlank="1" showInputMessage="1" showErrorMessage="1" sqref="AP263:AR263" xr:uid="{00000000-0002-0000-0000-000016000000}">
      <formula1>1</formula1>
      <formula2>12</formula2>
    </dataValidation>
    <dataValidation type="whole" imeMode="halfAlpha" allowBlank="1" showInputMessage="1" sqref="AF142:AK143 AB131:AG131" xr:uid="{00000000-0002-0000-0000-000017000000}">
      <formula1>1</formula1>
      <formula2>99</formula2>
    </dataValidation>
    <dataValidation type="whole" imeMode="halfAlpha" allowBlank="1" showInputMessage="1" sqref="AB132:AG132" xr:uid="{00000000-0002-0000-0000-000019000000}">
      <formula1>0</formula1>
      <formula2>10</formula2>
    </dataValidation>
    <dataValidation imeMode="halfAlpha" allowBlank="1" showInputMessage="1" sqref="AB276:AP276" xr:uid="{00000000-0002-0000-0000-00001A000000}"/>
    <dataValidation type="custom" imeMode="halfAlpha" allowBlank="1" showInputMessage="1" sqref="AB281:AP281" xr:uid="{00000000-0002-0000-0000-00001B000000}">
      <formula1>LENB(AB281)=LEN(AB281)</formula1>
    </dataValidation>
    <dataValidation allowBlank="1" promptTitle="報告書（3面）備考欄" sqref="AB263" xr:uid="{00000000-0002-0000-0000-00001C000000}"/>
    <dataValidation type="whole" allowBlank="1" showInputMessage="1" sqref="AB70:AP70" xr:uid="{00000000-0002-0000-0000-00001D000000}">
      <formula1>1</formula1>
      <formula2>99</formula2>
    </dataValidation>
    <dataValidation type="whole" imeMode="halfAlpha" allowBlank="1" showInputMessage="1" showErrorMessage="1" sqref="AT7:AY7" xr:uid="{31340883-E0E1-4883-923B-0741BC390353}">
      <formula1>1</formula1>
      <formula2>999999</formula2>
    </dataValidation>
    <dataValidation allowBlank="1" showInputMessage="1" showErrorMessage="1" prompt="指摘の_x000a_具体的内容等" sqref="AT512:BC526 AT493:BC497 AT475:BC483 AT426:BC465 AT370:BC416 AT352:BC360 AT307:BC320 AT325:BC342" xr:uid="{C7EFD493-70F7-47DA-BB14-482A775AA563}"/>
    <dataValidation allowBlank="1" showInputMessage="1" showErrorMessage="1" prompt="改善策の_x000a_具体的内容等" sqref="BD307:BR315 BD325:BR342 BD352:BR360 BD370:BR416 BD426:BR465 BD475:BR483 BD493:BR497 BD512:BR526" xr:uid="{1C0E30E3-3E9D-413D-AB22-FF753FCFCA4F}"/>
    <dataValidation type="whole" allowBlank="1" showInputMessage="1" showErrorMessage="1" prompt="改善年_x000a_（令和）" sqref="BS512:BU526" xr:uid="{E63F87D3-E9C5-4F2E-8DE9-35F6B3CEFD19}">
      <formula1>1</formula1>
      <formula2>99</formula2>
    </dataValidation>
    <dataValidation type="whole" imeMode="halfAlpha" allowBlank="1" showInputMessage="1" showErrorMessage="1" prompt="改善年_x000a_（令和）" sqref="BS493:BU497 BS475:BU483 BS426:BU465 BS370:BU416 BS352:BU360 BS325:BU342 BS307:BU315" xr:uid="{8B567F1E-67C5-4596-9DCB-63789D091B4E}">
      <formula1>1</formula1>
      <formula2>99</formula2>
    </dataValidation>
    <dataValidation type="whole" imeMode="halfAlpha" allowBlank="1" showInputMessage="1" showErrorMessage="1" prompt="改善月" sqref="BV307:BX315 BV325:BX342 BV352:BX360 BV370:BX416 BV426:BX465 BV475:BX483 BV493:BX497" xr:uid="{DD3D5FC8-798F-464E-BA8D-1CF5A2C6281F}">
      <formula1>1</formula1>
      <formula2>12</formula2>
    </dataValidation>
    <dataValidation type="whole" allowBlank="1" showInputMessage="1" showErrorMessage="1" prompt="改善月" sqref="BV512:BX526" xr:uid="{07FD14BB-E06F-4DD1-A8E7-8F19CA10ACF8}">
      <formula1>1</formula1>
      <formula2>12</formula2>
    </dataValidation>
    <dataValidation type="list" allowBlank="1" showInputMessage="1" sqref="AB185:AJ185" xr:uid="{00000000-0002-0000-0000-000020000000}">
      <formula1>"新築,増築"</formula1>
    </dataValidation>
    <dataValidation type="whole" imeMode="off" allowBlank="1" showInputMessage="1" showErrorMessage="1" sqref="M4:O4" xr:uid="{AF1E653A-5436-4BFB-9808-EB8D2106EA4B}">
      <formula1>1</formula1>
      <formula2>99</formula2>
    </dataValidation>
  </dataValidations>
  <hyperlinks>
    <hyperlink ref="CT2:CU2" location="'1_入力シート【基本情報】'!J509:CU526" tooltip="23 調査結果_上記１から７で表現できない項目" display="23-8" xr:uid="{504471A0-DD23-4E72-B231-A63AC03FFC3E}"/>
    <hyperlink ref="CR2:CS2" location="'1_入力シート【基本情報】'!J490:CU508" tooltip="23 調査結果_7 上記以外の調査項目" display="23-7" xr:uid="{1FC87FFA-27D7-44DC-9EFB-8B35BC007D26}"/>
    <hyperlink ref="CT1:CU1" location="'1_入力シート【基本情報】'!J208:CU221" tooltip="14 調査及び検査の状況" display="'1_入力シート【基本情報】'!J208:CU221" xr:uid="{C1DB5583-16A1-4F10-ACA4-FFA6FDCB10F7}"/>
    <hyperlink ref="BT2:BU2" location="'1_入力シート【基本情報】'!J254:CU259" tooltip="18 備考" display="'1_入力シート【基本情報】'!J254:CU259" xr:uid="{5B9D7F60-4FF9-48D3-A92E-AE4B8F3E3ABC}"/>
    <hyperlink ref="BV2:BW2" location="'1_入力シート【基本情報】'!J260:CU265" tooltip="19 外装仕上げ材等について" display="'1_入力シート【基本情報】'!J260:CU265" xr:uid="{5C19BD16-21DB-4A2D-ADD2-0E5ADFE5544F}"/>
    <hyperlink ref="BX2:BY2" location="'1_入力シート【基本情報】'!J266:CU268" tooltip="20 直通階段の数" display="'1_入力シート【基本情報】'!J266:CU268" xr:uid="{9D4737D6-0959-4E2B-B4BB-1D2E43FB15C3}"/>
    <hyperlink ref="BZ2:CA2" location="'1_入力シート【基本情報】'!J269:CU285" tooltip="21 設備(法第12条第三項関係など)" display="'1_入力シート【基本情報】'!J269:CU285" xr:uid="{144FD9D9-4840-4647-BBA3-7522A9CB591E}"/>
    <hyperlink ref="CB2:CC2" location="'1_入力シート【基本情報】'!J286:CU298" tooltip="22 その他特記事項" display="'1_入力シート【基本情報】'!J286:CU298" xr:uid="{A67CCC6B-7D3B-4ACE-86F4-9DB08544B636}"/>
    <hyperlink ref="CD2:CE2" location="'1_入力シート【基本情報】'!J299:CU303" tooltip="23 調査結果" display="'1_入力シート【基本情報】'!J299:CU303" xr:uid="{C696520A-8145-44A8-87F5-9EDA74D67AB5}"/>
    <hyperlink ref="CF2:CG2" location="'1_入力シート【基本情報】'!J304:CU321" tooltip="23 調査結果_1 敷地及び地盤" display="23-1" xr:uid="{6758637F-E5D9-43F2-9511-8161A80376B0}"/>
    <hyperlink ref="CH2:CI2" location="'1_入力シート【基本情報】'!J322:CU348" tooltip="23 調査結果_2 建築物の外部" display="23-2" xr:uid="{39E2E9C4-C3CF-48FD-9E67-033EF3EC2C24}"/>
    <hyperlink ref="CJ2:CK2" location="'1_入力シート【基本情報】'!J349:CU366" tooltip="23 調査結果_3 屋上及び屋根" display="23-3" xr:uid="{0C01DAF1-67D7-4FD7-9D32-907E186C01FE}"/>
    <hyperlink ref="CL2:CM2" location="'1_入力シート【基本情報】'!J367:CU422" tooltip="23 調査結果_4 建築物の内部" display="23-4" xr:uid="{87FEB3D8-C50A-44D9-9C41-279009F97084}"/>
    <hyperlink ref="CN2:CO2" location="'1_入力シート【基本情報】'!J423:CU471" tooltip="23 調査結果_5 避難施設等" display="23-5" xr:uid="{8D6EC816-194A-4797-8BBD-6EA28C05CA6B}"/>
    <hyperlink ref="CP2:CQ2" location="'1_入力シート【基本情報】'!J472:CU489" tooltip="23 調査結果_6 その他" display="23-6" xr:uid="{D13D1186-D8B3-430D-B907-567332695578}"/>
    <hyperlink ref="CR1:CS1" location="'1_入力シート【基本情報】'!J199:CU207" tooltip="13 備考" display="'1_入力シート【基本情報】'!J199:CU207" xr:uid="{E33D5330-6EC2-4A40-8371-7F7E3444B498}"/>
    <hyperlink ref="CP1:CQ1" location="'1_入力シート【基本情報】'!J167:CU198" tooltip="12 関連図書の整備" display="'1_入力シート【基本情報】'!J167:CU198" xr:uid="{743531B8-3117-4D27-9F48-27AF784587CC}"/>
    <hyperlink ref="CN1:CO1" location="'1_入力シート【基本情報】'!J150:CU166" tooltip="11 増築､改築､用途変更等の経過" display="'1_入力シート【基本情報】'!J150:CU166" xr:uid="{B95103A0-0EFA-4D1E-A82C-F5E13D1CACBC}"/>
    <hyperlink ref="CL1:CM1" location="'1_入力シート【基本情報】'!J139:CU149" tooltip="10 性能検証法等の適用" display="'1_入力シート【基本情報】'!J139:CU149" xr:uid="{AE7DC7EE-A445-41DF-B721-27F35EAD5716}"/>
    <hyperlink ref="CJ1:CK1" location="'1_入力シート【基本情報】'!J126:CU138" tooltip="9 建物及びその敷地の概要" display="'1_入力シート【基本情報】'!J126:CU138" xr:uid="{543BDB09-5624-4C38-A4DD-A54FD7342AFA}"/>
    <hyperlink ref="CH1:CI1" location="'1_入力シート【基本情報】'!J114:CU125" tooltip="8 敷地の位置" display="'1_入力シート【基本情報】'!J114:CU125" xr:uid="{77520C1E-4292-4A2E-9E57-92CAFD685446}"/>
    <hyperlink ref="CF1:CG1" location="'1_入力シート【基本情報】'!J96:CU113" tooltip="7 その他の調査者2" display="'1_入力シート【基本情報】'!J96:CU113" xr:uid="{CB90A177-DD1F-44BB-9425-0549DDD52385}"/>
    <hyperlink ref="CD1:CE1" location="'1_入力シート【基本情報】'!J78:CU95" tooltip="6 その他の調査者1" display="'1_入力シート【基本情報】'!J78:CU95" xr:uid="{7988647B-5398-499D-AE11-2E3DB25E92C5}"/>
    <hyperlink ref="CB1:CC1" location="'1_入力シート【基本情報】'!J60:CU77" tooltip="5 代表となる調査者" display="'1_入力シート【基本情報】'!J60:CU77" xr:uid="{156649DF-FF96-4738-833B-BD6AC53FA5CE}"/>
    <hyperlink ref="BZ1:CA1" location="'1_入力シート【基本情報】'!J46:CU59" tooltip="4 管理者" display="'1_入力シート【基本情報】'!J46:CU59" xr:uid="{43309A6F-8CF3-476A-8C6C-BB3A51BA55FE}"/>
    <hyperlink ref="BX1:BY1" location="'1_入力シート【基本情報】'!J32:CU45" tooltip="3 所有者 " display="'1_入力シート【基本情報】'!J32:CU45" xr:uid="{CEA09483-0CC1-4810-B48A-B65D9E2493D4}"/>
    <hyperlink ref="BV1:BW1" location="'1_入力シート【基本情報】'!J16:CU31" tooltip="2 報告内容に関する問合せ先" display="'1_入力シート【基本情報】'!J16:CU31" xr:uid="{7C5DBF57-47F4-4AA4-8F72-1BC8B973A64B}"/>
    <hyperlink ref="BT1:BU1" location="'1_入力シート【基本情報】'!J6:CU15" tooltip="1 報告対象建築物" display="'1_入力シート【基本情報】'!J6:CU15" xr:uid="{B1EB4579-D04C-45E1-A972-CE9CF4882051}"/>
    <hyperlink ref="BN2:BO2" location="'1_入力シート【基本情報】'!J222:CU230" tooltip="15 石綿を添加した建築材料の調査状況" display="'1_入力シート【基本情報】'!J222:CU230" xr:uid="{14D72197-7AA6-4FFA-AB6F-8CB73B017829}"/>
    <hyperlink ref="BP2:BQ2" location="'1_入力シート【基本情報】'!J231:CU239" tooltip="16 耐震診断及び耐震改修の調査状況" display="'1_入力シート【基本情報】'!J231:CU239" xr:uid="{1CE20B02-4026-4400-9A42-EEA0B327A8EF}"/>
    <hyperlink ref="BR2:BS2" location="'1_入力シート【基本情報】'!J240:CU253" tooltip="17 建築物等に係る不具合等の状況" display="'1_入力シート【基本情報】'!J240:CU253" xr:uid="{777562F5-E95F-47BD-95D7-64C0487D5732}"/>
    <hyperlink ref="AQ134" location="'2_入力シート【用途面積】'!Print_Area" tooltip="「2_入力シート【用途面積】」" display="「2_入力シート【用途面積】」で記載" xr:uid="{84F1D9A9-B1A6-4ACA-8B27-2D236DCA06E1}"/>
    <hyperlink ref="BV291:CS292" location="'＜入力不要＞概要書'!O102" display="'＜入力不要＞概要書'!O102" xr:uid="{9E87922C-CC67-4358-81CB-CAB39A98DCA3}"/>
    <hyperlink ref="BV256:CS256" location="'＜入力不要＞報告書'!C468" display="'＜入力不要＞報告書'!C468" xr:uid="{6D38B7E7-E433-431E-9917-987E8E91CE72}"/>
    <hyperlink ref="BV203:CS203" location="'＜入力不要＞概要書'!C297" display="'＜入力不要＞概要書'!C297" xr:uid="{076DE403-72C7-46DF-88E7-3C7A3D89EA9F}"/>
  </hyperlinks>
  <pageMargins left="0.23622047244094491" right="0.23622047244094491" top="0.74803149606299213" bottom="0.74803149606299213" header="3.9370078740157481" footer="0.31496062992125984"/>
  <pageSetup paperSize="9" scale="49" fitToHeight="0" orientation="portrait" r:id="rId1"/>
  <rowBreaks count="11" manualBreakCount="11">
    <brk id="59" max="98" man="1"/>
    <brk id="110" max="98" man="1"/>
    <brk id="166" max="98" man="1"/>
    <brk id="221" max="98" man="1"/>
    <brk id="296" max="98" man="1"/>
    <brk id="321" max="98" man="1"/>
    <brk id="366" max="98" man="1"/>
    <brk id="391" max="98" man="1"/>
    <brk id="422" max="98" man="1"/>
    <brk id="448" max="98" man="1"/>
    <brk id="489" max="98" man="1"/>
  </rowBreaks>
  <drawing r:id="rId2"/>
  <legacyDrawing r:id="rId3"/>
  <mc:AlternateContent xmlns:mc="http://schemas.openxmlformats.org/markup-compatibility/2006">
    <mc:Choice Requires="x14">
      <controls>
        <mc:AlternateContent xmlns:mc="http://schemas.openxmlformats.org/markup-compatibility/2006">
          <mc:Choice Requires="x14">
            <control shapeId="404481" r:id="rId4" name="Check Box 1">
              <controlPr locked="0" defaultSize="0" autoFill="0" autoLine="0" autoPict="0" altText="勤務先同一_x000a_">
                <anchor moveWithCells="1">
                  <from>
                    <xdr:col>16</xdr:col>
                    <xdr:colOff>127000</xdr:colOff>
                    <xdr:row>45</xdr:row>
                    <xdr:rowOff>88900</xdr:rowOff>
                  </from>
                  <to>
                    <xdr:col>24</xdr:col>
                    <xdr:colOff>88900</xdr:colOff>
                    <xdr:row>45</xdr:row>
                    <xdr:rowOff>342900</xdr:rowOff>
                  </to>
                </anchor>
              </controlPr>
            </control>
          </mc:Choice>
        </mc:AlternateContent>
        <mc:AlternateContent xmlns:mc="http://schemas.openxmlformats.org/markup-compatibility/2006">
          <mc:Choice Requires="x14">
            <control shapeId="404506" r:id="rId5" name="Check Box 26">
              <controlPr locked="0" defaultSize="0" autoFill="0" autoLine="0" autoPict="0" altText="勤務先同一_x000a_">
                <anchor moveWithCells="1">
                  <from>
                    <xdr:col>23</xdr:col>
                    <xdr:colOff>31750</xdr:colOff>
                    <xdr:row>77</xdr:row>
                    <xdr:rowOff>95250</xdr:rowOff>
                  </from>
                  <to>
                    <xdr:col>36</xdr:col>
                    <xdr:colOff>0</xdr:colOff>
                    <xdr:row>77</xdr:row>
                    <xdr:rowOff>381000</xdr:rowOff>
                  </to>
                </anchor>
              </controlPr>
            </control>
          </mc:Choice>
        </mc:AlternateContent>
        <mc:AlternateContent xmlns:mc="http://schemas.openxmlformats.org/markup-compatibility/2006">
          <mc:Choice Requires="x14">
            <control shapeId="404521" r:id="rId6" name="Check Box 41">
              <controlPr locked="0" defaultSize="0" autoFill="0" autoLine="0" autoPict="0" altText="勤務先同一_x000a_">
                <anchor moveWithCells="1">
                  <from>
                    <xdr:col>27</xdr:col>
                    <xdr:colOff>127000</xdr:colOff>
                    <xdr:row>196</xdr:row>
                    <xdr:rowOff>0</xdr:rowOff>
                  </from>
                  <to>
                    <xdr:col>28</xdr:col>
                    <xdr:colOff>0</xdr:colOff>
                    <xdr:row>196</xdr:row>
                    <xdr:rowOff>279400</xdr:rowOff>
                  </to>
                </anchor>
              </controlPr>
            </control>
          </mc:Choice>
        </mc:AlternateContent>
        <mc:AlternateContent xmlns:mc="http://schemas.openxmlformats.org/markup-compatibility/2006">
          <mc:Choice Requires="x14">
            <control shapeId="404533" r:id="rId7" name="Check Box 53">
              <controlPr locked="0" defaultSize="0" autoFill="0" autoLine="0" autoPict="0" altText="勤務先同一_x000a_">
                <anchor moveWithCells="1">
                  <from>
                    <xdr:col>171</xdr:col>
                    <xdr:colOff>0</xdr:colOff>
                    <xdr:row>196</xdr:row>
                    <xdr:rowOff>0</xdr:rowOff>
                  </from>
                  <to>
                    <xdr:col>232</xdr:col>
                    <xdr:colOff>57150</xdr:colOff>
                    <xdr:row>196</xdr:row>
                    <xdr:rowOff>279400</xdr:rowOff>
                  </to>
                </anchor>
              </controlPr>
            </control>
          </mc:Choice>
        </mc:AlternateContent>
        <mc:AlternateContent xmlns:mc="http://schemas.openxmlformats.org/markup-compatibility/2006">
          <mc:Choice Requires="x14">
            <control shapeId="404537" r:id="rId8" name="Check Box 57">
              <controlPr locked="0" defaultSize="0" autoFill="0" autoLine="0" autoPict="0" altText="勤務先同一_x000a_">
                <anchor moveWithCells="1">
                  <from>
                    <xdr:col>171</xdr:col>
                    <xdr:colOff>0</xdr:colOff>
                    <xdr:row>196</xdr:row>
                    <xdr:rowOff>0</xdr:rowOff>
                  </from>
                  <to>
                    <xdr:col>232</xdr:col>
                    <xdr:colOff>57150</xdr:colOff>
                    <xdr:row>196</xdr:row>
                    <xdr:rowOff>279400</xdr:rowOff>
                  </to>
                </anchor>
              </controlPr>
            </control>
          </mc:Choice>
        </mc:AlternateContent>
        <mc:AlternateContent xmlns:mc="http://schemas.openxmlformats.org/markup-compatibility/2006">
          <mc:Choice Requires="x14">
            <control shapeId="404539" r:id="rId9" name="Check Box 59">
              <controlPr locked="0" defaultSize="0" autoFill="0" autoLine="0" autoPict="0" altText="代表となる調査者と勤務先が同じ_x000a_">
                <anchor moveWithCells="1">
                  <from>
                    <xdr:col>23</xdr:col>
                    <xdr:colOff>31750</xdr:colOff>
                    <xdr:row>95</xdr:row>
                    <xdr:rowOff>95250</xdr:rowOff>
                  </from>
                  <to>
                    <xdr:col>36</xdr:col>
                    <xdr:colOff>0</xdr:colOff>
                    <xdr:row>95</xdr:row>
                    <xdr:rowOff>381000</xdr:rowOff>
                  </to>
                </anchor>
              </controlPr>
            </control>
          </mc:Choice>
        </mc:AlternateContent>
        <mc:AlternateContent xmlns:mc="http://schemas.openxmlformats.org/markup-compatibility/2006">
          <mc:Choice Requires="x14">
            <control shapeId="404613" r:id="rId10" name="Check Box 133">
              <controlPr locked="0" defaultSize="0" autoFill="0" autoLine="0" autoPict="0" altText="勤務先同一_x000a_">
                <anchor moveWithCells="1">
                  <from>
                    <xdr:col>27</xdr:col>
                    <xdr:colOff>12700</xdr:colOff>
                    <xdr:row>15</xdr:row>
                    <xdr:rowOff>95250</xdr:rowOff>
                  </from>
                  <to>
                    <xdr:col>36</xdr:col>
                    <xdr:colOff>95250</xdr:colOff>
                    <xdr:row>15</xdr:row>
                    <xdr:rowOff>342900</xdr:rowOff>
                  </to>
                </anchor>
              </controlPr>
            </control>
          </mc:Choice>
        </mc:AlternateContent>
        <mc:AlternateContent xmlns:mc="http://schemas.openxmlformats.org/markup-compatibility/2006">
          <mc:Choice Requires="x14">
            <control shapeId="404614" r:id="rId11" name="Check Box 134">
              <controlPr locked="0" defaultSize="0" autoFill="0" autoLine="0" autoPict="0" altText="勤務先同一_x000a_">
                <anchor moveWithCells="1">
                  <from>
                    <xdr:col>37</xdr:col>
                    <xdr:colOff>50800</xdr:colOff>
                    <xdr:row>15</xdr:row>
                    <xdr:rowOff>95250</xdr:rowOff>
                  </from>
                  <to>
                    <xdr:col>49</xdr:col>
                    <xdr:colOff>31750</xdr:colOff>
                    <xdr:row>15</xdr:row>
                    <xdr:rowOff>342900</xdr:rowOff>
                  </to>
                </anchor>
              </controlPr>
            </control>
          </mc:Choice>
        </mc:AlternateContent>
        <mc:AlternateContent xmlns:mc="http://schemas.openxmlformats.org/markup-compatibility/2006">
          <mc:Choice Requires="x14">
            <control shapeId="404610" r:id="rId12" name="Check Box 130">
              <controlPr defaultSize="0" autoFill="0" autoLine="0" autoPict="0">
                <anchor moveWithCells="1">
                  <from>
                    <xdr:col>27</xdr:col>
                    <xdr:colOff>0</xdr:colOff>
                    <xdr:row>181</xdr:row>
                    <xdr:rowOff>88900</xdr:rowOff>
                  </from>
                  <to>
                    <xdr:col>37</xdr:col>
                    <xdr:colOff>0</xdr:colOff>
                    <xdr:row>181</xdr:row>
                    <xdr:rowOff>342900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xWindow="583" yWindow="604" count="49">
        <x14:dataValidation type="list" allowBlank="1" showInputMessage="1" showErrorMessage="1" xr:uid="{00000000-0002-0000-0000-00001E000000}">
          <x14:formula1>
            <xm:f>プルダウン選択肢!$G$34:$G$37</xm:f>
          </x14:formula1>
          <xm:sqref>AB234</xm:sqref>
        </x14:dataValidation>
        <x14:dataValidation type="list" allowBlank="1" showInputMessage="1" showErrorMessage="1" xr:uid="{00000000-0002-0000-0000-00001F000000}">
          <x14:formula1>
            <xm:f>プルダウン選択肢!$I$33:$I$34</xm:f>
          </x14:formula1>
          <xm:sqref>AB242:AD242</xm:sqref>
        </x14:dataValidation>
        <x14:dataValidation type="list" allowBlank="1" showInputMessage="1" xr:uid="{00000000-0002-0000-0000-000021000000}">
          <x14:formula1>
            <xm:f>プルダウン選択肢!$C$34:$C$35</xm:f>
          </x14:formula1>
          <xm:sqref>AB213:AD213 AB217:AD217 AB215:AD215</xm:sqref>
        </x14:dataValidation>
        <x14:dataValidation type="list" allowBlank="1" xr:uid="{00000000-0002-0000-0000-000022000000}">
          <x14:formula1>
            <xm:f>プルダウン選択肢!$C$34:$C$35</xm:f>
          </x14:formula1>
          <xm:sqref>AB211:AD211</xm:sqref>
        </x14:dataValidation>
        <x14:dataValidation type="list" allowBlank="1" xr:uid="{00000000-0002-0000-0000-000023000000}">
          <x14:formula1>
            <xm:f>プルダウン選択肢!$A$42:$A$48</xm:f>
          </x14:formula1>
          <xm:sqref>AB171:AK171</xm:sqref>
        </x14:dataValidation>
        <x14:dataValidation type="list" allowBlank="1" showInputMessage="1" showErrorMessage="1" xr:uid="{00000000-0002-0000-0000-000024000000}">
          <x14:formula1>
            <xm:f>プルダウン選択肢!$I$3</xm:f>
          </x14:formula1>
          <xm:sqref>AB141:AD145</xm:sqref>
        </x14:dataValidation>
        <x14:dataValidation type="list" allowBlank="1" showInputMessage="1" xr:uid="{00000000-0002-0000-0000-000025000000}">
          <x14:formula1>
            <xm:f>プルダウン選択肢!$K$10:$K$15</xm:f>
          </x14:formula1>
          <xm:sqref>AB155:AQ155 AB158:AQ158 AB152:AQ152 AB161:AQ161</xm:sqref>
        </x14:dataValidation>
        <x14:dataValidation type="list" allowBlank="1" showInputMessage="1" showErrorMessage="1" xr:uid="{00000000-0002-0000-0000-000026000000}">
          <x14:formula1>
            <xm:f>プルダウン選択肢!$M$28:$M$29</xm:f>
          </x14:formula1>
          <xm:sqref>AB275:AD275 AB270:AD273 AB280:AD280 AB278:AD278</xm:sqref>
        </x14:dataValidation>
        <x14:dataValidation type="list" allowBlank="1" showInputMessage="1" showErrorMessage="1" xr:uid="{00000000-0002-0000-0000-000027000000}">
          <x14:formula1>
            <xm:f>プルダウン選択肢!$M$31:$M$32</xm:f>
          </x14:formula1>
          <xm:sqref>AB274:AF274 AB279:AF279 AB277:AF277</xm:sqref>
        </x14:dataValidation>
        <x14:dataValidation type="list" allowBlank="1" showInputMessage="1" xr:uid="{00000000-0002-0000-0000-000028000000}">
          <x14:formula1>
            <xm:f>プルダウン選択肢!$A$33:$A$34</xm:f>
          </x14:formula1>
          <xm:sqref>AB184:AD184</xm:sqref>
        </x14:dataValidation>
        <x14:dataValidation type="list" allowBlank="1" showInputMessage="1" showErrorMessage="1" xr:uid="{00000000-0002-0000-0000-000029000000}">
          <x14:formula1>
            <xm:f>プルダウン選択肢!$A$86:$A$88</xm:f>
          </x14:formula1>
          <xm:sqref>BY417:CA421 BY484:CA488 BY466:CA470 BY493:CA507 BY343:CA347 BY361:CA365 BY316:CA320</xm:sqref>
        </x14:dataValidation>
        <x14:dataValidation type="list" allowBlank="1" showErrorMessage="1" prompt="□又は■_x000a_より選択" xr:uid="{00000000-0002-0000-0000-00002A000000}">
          <x14:formula1>
            <xm:f>プルダウン選択肢!$A$28:$A$30</xm:f>
          </x14:formula1>
          <xm:sqref>AB169:AK169</xm:sqref>
        </x14:dataValidation>
        <x14:dataValidation type="list" allowBlank="1" showInputMessage="1" showErrorMessage="1" xr:uid="{00000000-0002-0000-0000-00002B000000}">
          <x14:formula1>
            <xm:f>プルダウン選択肢!$A$3:$A$5</xm:f>
          </x14:formula1>
          <xm:sqref>AB79:AP79 AB61:AP61 AB97:AP97</xm:sqref>
        </x14:dataValidation>
        <x14:dataValidation type="list" allowBlank="1" showInputMessage="1" showErrorMessage="1" xr:uid="{00000000-0002-0000-0000-00002C000000}">
          <x14:formula1>
            <xm:f>プルダウン選択肢!$E$3:$E$17</xm:f>
          </x14:formula1>
          <xm:sqref>AB119:AP121</xm:sqref>
        </x14:dataValidation>
        <x14:dataValidation type="list" allowBlank="1" showErrorMessage="1" prompt="□又は■_x000a_より選択" xr:uid="{00000000-0002-0000-0000-00002D000000}">
          <x14:formula1>
            <xm:f>プルダウン選択肢!$G$3:$G$6</xm:f>
          </x14:formula1>
          <xm:sqref>AB127:AP129</xm:sqref>
        </x14:dataValidation>
        <x14:dataValidation type="list" allowBlank="1" showInputMessage="1" showErrorMessage="1" xr:uid="{00000000-0002-0000-0000-00002E000000}">
          <x14:formula1>
            <xm:f>プルダウン選択肢!$G$3:$G$8</xm:f>
          </x14:formula1>
          <xm:sqref>AY262</xm:sqref>
        </x14:dataValidation>
        <x14:dataValidation type="list" allowBlank="1" showInputMessage="1" showErrorMessage="1" xr:uid="{00000000-0002-0000-0000-00002F000000}">
          <x14:formula1>
            <xm:f>プルダウン選択肢!$A$28:$A$30</xm:f>
          </x14:formula1>
          <xm:sqref>AB183:AK183</xm:sqref>
        </x14:dataValidation>
        <x14:dataValidation type="list" imeMode="on" allowBlank="1" showInputMessage="1" showErrorMessage="1" xr:uid="{00000000-0002-0000-0000-000030000000}">
          <x14:formula1>
            <xm:f>プルダウン選択肢!$A$63:$A$64</xm:f>
          </x14:formula1>
          <xm:sqref>AB196:AG196</xm:sqref>
        </x14:dataValidation>
        <x14:dataValidation type="list" allowBlank="1" showInputMessage="1" showErrorMessage="1" xr:uid="{00000000-0002-0000-0000-000031000000}">
          <x14:formula1>
            <xm:f>プルダウン選択肢!$E$28:$E$31</xm:f>
          </x14:formula1>
          <xm:sqref>AB223:AN223</xm:sqref>
        </x14:dataValidation>
        <x14:dataValidation type="list" allowBlank="1" showInputMessage="1" showErrorMessage="1" xr:uid="{00000000-0002-0000-0000-000032000000}">
          <x14:formula1>
            <xm:f>プルダウン選択肢!$E$35:$E$37</xm:f>
          </x14:formula1>
          <xm:sqref>AB225:AG225</xm:sqref>
        </x14:dataValidation>
        <x14:dataValidation type="list" imeMode="off" allowBlank="1" showInputMessage="1" prompt="調査者_x000a_番号" xr:uid="{00000000-0002-0000-0000-000033000000}">
          <x14:formula1>
            <xm:f>プルダウン選択肢!$A$80:$A$82</xm:f>
          </x14:formula1>
          <xm:sqref>AR512:AS526 AR307:AS320 AR325:AS347 AR352:AS365 AR475:AS488 AR426:AS470 AR370:AS421 AR493:AS507</xm:sqref>
        </x14:dataValidation>
        <x14:dataValidation type="list" allowBlank="1" showInputMessage="1" showErrorMessage="1" xr:uid="{00000000-0002-0000-0000-000034000000}">
          <x14:formula1>
            <xm:f>プルダウン選択肢!$A$73:$A$76</xm:f>
          </x14:formula1>
          <xm:sqref>AF493:AQ507 AF370:AQ421 AF426:AQ470 AF352:AQ365 AF325:AQ347 AF475:AQ488 AF307:AQ320</xm:sqref>
        </x14:dataValidation>
        <x14:dataValidation type="list" allowBlank="1" showInputMessage="1" showErrorMessage="1" xr:uid="{00000000-0002-0000-0000-000035000000}">
          <x14:formula1>
            <xm:f>プルダウン選択肢!$C$3:$C$7</xm:f>
          </x14:formula1>
          <xm:sqref>AB117:AP117</xm:sqref>
        </x14:dataValidation>
        <x14:dataValidation type="list" allowBlank="1" showErrorMessage="1" xr:uid="{00000000-0002-0000-0000-000036000000}">
          <x14:formula1>
            <xm:f>プルダウン選択肢!$C$3:$C$7</xm:f>
          </x14:formula1>
          <xm:sqref>AB115:AP116</xm:sqref>
        </x14:dataValidation>
        <x14:dataValidation type="list" allowBlank="1" showInputMessage="1" showErrorMessage="1" xr:uid="{00000000-0002-0000-0000-000037000000}">
          <x14:formula1>
            <xm:f>プルダウン選択肢!$A$33:$A$34</xm:f>
          </x14:formula1>
          <xm:sqref>AB170:AD170</xm:sqref>
        </x14:dataValidation>
        <x14:dataValidation type="list" allowBlank="1" showErrorMessage="1" prompt="□又は■_x000a_より選択" xr:uid="{00000000-0002-0000-0000-000038000000}">
          <x14:formula1>
            <xm:f>プルダウン選択肢!$A$33:$A$34</xm:f>
          </x14:formula1>
          <xm:sqref>AB177:AD177 AB191:AD191</xm:sqref>
        </x14:dataValidation>
        <x14:dataValidation type="list" allowBlank="1" showInputMessage="1" xr:uid="{00000000-0002-0000-0000-000039000000}">
          <x14:formula1>
            <xm:f>プルダウン選択肢!$K$3:$K$5</xm:f>
          </x14:formula1>
          <xm:sqref>AB154:AD154 AB157:AD157 AB160:AD160 AB151:AD151</xm:sqref>
        </x14:dataValidation>
        <x14:dataValidation type="list" imeMode="on" allowBlank="1" showInputMessage="1" showErrorMessage="1" xr:uid="{00000000-0002-0000-0000-00003A000000}">
          <x14:formula1>
            <xm:f>プルダウン選択肢!$A$67:$A$69</xm:f>
          </x14:formula1>
          <xm:sqref>AB197:AG197</xm:sqref>
        </x14:dataValidation>
        <x14:dataValidation type="list" allowBlank="1" showInputMessage="1" xr:uid="{00000000-0002-0000-0000-00003B000000}">
          <x14:formula1>
            <xm:f>プルダウン選択肢!$A$52:$A$54</xm:f>
          </x14:formula1>
          <xm:sqref>AB178:AD178 AB172:AD172 AB186:AD186 AB192:AD192</xm:sqref>
        </x14:dataValidation>
        <x14:dataValidation type="list" imeMode="on" allowBlank="1" showInputMessage="1" xr:uid="{00000000-0002-0000-0000-00003C000000}">
          <x14:formula1>
            <xm:f>プルダウン選択肢!$I$37:$I$39</xm:f>
          </x14:formula1>
          <xm:sqref>M245:O249</xm:sqref>
        </x14:dataValidation>
        <x14:dataValidation type="list" allowBlank="1" showInputMessage="1" showErrorMessage="1" xr:uid="{00000000-0002-0000-0000-00003D000000}">
          <x14:formula1>
            <xm:f>プルダウン選択肢!$I$44:$I$46</xm:f>
          </x14:formula1>
          <xm:sqref>AT245:AY249</xm:sqref>
        </x14:dataValidation>
        <x14:dataValidation type="list" allowBlank="1" showInputMessage="1" showErrorMessage="1" xr:uid="{00000000-0002-0000-0000-00003E000000}">
          <x14:formula1>
            <xm:f>プルダウン選択肢!$K$42:$K$43</xm:f>
          </x14:formula1>
          <xm:sqref>AH263:AJ263</xm:sqref>
        </x14:dataValidation>
        <x14:dataValidation type="list" allowBlank="1" showInputMessage="1" showErrorMessage="1" xr:uid="{00000000-0002-0000-0000-00003F000000}">
          <x14:formula1>
            <xm:f>プルダウン選択肢!$A$58:$A$59</xm:f>
          </x14:formula1>
          <xm:sqref>AB180 AB188 AB174 AB194</xm:sqref>
        </x14:dataValidation>
        <x14:dataValidation type="list" allowBlank="1" showInputMessage="1" showErrorMessage="1" xr:uid="{00000000-0002-0000-0000-000040000000}">
          <x14:formula1>
            <xm:f>プルダウン選択肢!$A$37:$A$38</xm:f>
          </x14:formula1>
          <xm:sqref>AB190:AD190 AB176:AD176</xm:sqref>
        </x14:dataValidation>
        <x14:dataValidation type="list" allowBlank="1" showInputMessage="1" showErrorMessage="1" xr:uid="{00000000-0002-0000-0000-000041000000}">
          <x14:formula1>
            <xm:f>プルダウン選択肢!$C$28:$C$30</xm:f>
          </x14:formula1>
          <xm:sqref>AB214:AG214 AB210:AG210 AB212:AG212 AB216:AG216</xm:sqref>
        </x14:dataValidation>
        <x14:dataValidation type="list" allowBlank="1" showInputMessage="1" showErrorMessage="1" xr:uid="{00000000-0002-0000-0000-000042000000}">
          <x14:formula1>
            <xm:f>プルダウン選択肢!$G$28:$G$31</xm:f>
          </x14:formula1>
          <xm:sqref>AB232</xm:sqref>
        </x14:dataValidation>
        <x14:dataValidation type="list" allowBlank="1" showInputMessage="1" showErrorMessage="1" xr:uid="{00000000-0002-0000-0000-000043000000}">
          <x14:formula1>
            <xm:f>プルダウン選択肢!$I$28:$I$29</xm:f>
          </x14:formula1>
          <xm:sqref>AB241:AD241</xm:sqref>
        </x14:dataValidation>
        <x14:dataValidation type="list" allowBlank="1" showInputMessage="1" showErrorMessage="1" xr:uid="{00000000-0002-0000-0000-000044000000}">
          <x14:formula1>
            <xm:f>プルダウン選択肢!$K$28:$K$29</xm:f>
          </x14:formula1>
          <xm:sqref>AB261:AR261</xm:sqref>
        </x14:dataValidation>
        <x14:dataValidation type="list" allowBlank="1" showInputMessage="1" showErrorMessage="1" xr:uid="{00000000-0002-0000-0000-000045000000}">
          <x14:formula1>
            <xm:f>プルダウン選択肢!$A$9:$A$10</xm:f>
          </x14:formula1>
          <xm:sqref>AB68:AP68 AB86:AP86 AB104:AP104</xm:sqref>
        </x14:dataValidation>
        <x14:dataValidation type="list" allowBlank="1" showInputMessage="1" showErrorMessage="1" xr:uid="{00000000-0002-0000-0000-000046000000}">
          <x14:formula1>
            <xm:f>プルダウン選択肢!$K$33:$K$39</xm:f>
          </x14:formula1>
          <xm:sqref>AB262:AX262</xm:sqref>
        </x14:dataValidation>
        <x14:dataValidation type="list" imeMode="off" allowBlank="1" showInputMessage="1" showErrorMessage="1" xr:uid="{A5DF00F7-3D15-4D91-AD12-EE5AB23CD199}">
          <x14:formula1>
            <xm:f>プルダウン選択肢!$A$92:$A$228</xm:f>
          </x14:formula1>
          <xm:sqref>M512:O526</xm:sqref>
        </x14:dataValidation>
        <x14:dataValidation type="list" allowBlank="1" showInputMessage="1" showErrorMessage="1" prompt="改善の_x000a_状況" xr:uid="{F96F7252-1687-4AAC-B859-3605CFA5BD79}">
          <x14:formula1>
            <xm:f>プルダウン選択肢!$A$86:$A$88</xm:f>
          </x14:formula1>
          <xm:sqref>BY512:CA526 BY475:CA483 BY426:CA465 BY370:CA416 BY352:CA360 BY325:CA342 BY307:CA315</xm:sqref>
        </x14:dataValidation>
        <x14:dataValidation type="list" imeMode="halfAlpha" allowBlank="1" showInputMessage="1" showErrorMessage="1" xr:uid="{7DDE1A8E-C7E6-4493-9A78-C317539D917F}">
          <x14:formula1>
            <xm:f>プルダウン選択肢!$G$73:$G$83</xm:f>
          </x14:formula1>
          <xm:sqref>AB7:AI7</xm:sqref>
        </x14:dataValidation>
        <x14:dataValidation type="list" imeMode="halfAlpha" allowBlank="1" showInputMessage="1" showErrorMessage="1" xr:uid="{DA4E055A-8165-459D-B3FB-BB2CAFFD8EC3}">
          <x14:formula1>
            <xm:f>プルダウン選択肢!$G$86:$G$90</xm:f>
          </x14:formula1>
          <xm:sqref>AK7:AP7</xm:sqref>
        </x14:dataValidation>
        <x14:dataValidation type="list" allowBlank="1" showInputMessage="1" showErrorMessage="1" xr:uid="{90686873-73EC-456C-8695-4FE37DB94211}">
          <x14:formula1>
            <xm:f>プルダウン選択肢!$I$73:$I$120</xm:f>
          </x14:formula1>
          <xm:sqref>AB62:AP62 AB80:AP80 AB98:AP98</xm:sqref>
        </x14:dataValidation>
        <x14:dataValidation type="list" allowBlank="1" showInputMessage="1" showErrorMessage="1" xr:uid="{C3359773-4E82-4B47-9A21-EC4DFE401F53}">
          <x14:formula1>
            <xm:f>プルダウン選択肢!$K$73:$K$119</xm:f>
          </x14:formula1>
          <xm:sqref>AB69:AP69 AB87:AP87 AB105:AP105</xm:sqref>
        </x14:dataValidation>
        <x14:dataValidation type="list" allowBlank="1" showInputMessage="1" showErrorMessage="1" xr:uid="{D9FD3E5F-430C-4AFD-BACA-9CC2DA9D6045}">
          <x14:formula1>
            <xm:f>プルダウン選択肢!$M$73:$M$75</xm:f>
          </x14:formula1>
          <xm:sqref>AB267:AR267</xm:sqref>
        </x14:dataValidation>
        <x14:dataValidation type="list" allowBlank="1" showInputMessage="1" xr:uid="{05E041E7-9122-4703-8A71-3F8B9E61BCFC}">
          <x14:formula1>
            <xm:f>プルダウン選択肢!$G$40:$G$42</xm:f>
          </x14:formula1>
          <xm:sqref>AB235:AD235 AB233:AD233</xm:sqref>
        </x14:dataValidation>
        <x14:dataValidation type="list" allowBlank="1" showInputMessage="1" showErrorMessage="1" xr:uid="{00000000-0002-0000-0000-000047000000}">
          <x14:formula1>
            <xm:f>プルダウン選択肢!I$3</xm:f>
          </x14:formula1>
          <xm:sqref>AB140:AD140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tabColor rgb="FF66FF33"/>
    <pageSetUpPr fitToPage="1"/>
  </sheetPr>
  <dimension ref="A1:CJ189"/>
  <sheetViews>
    <sheetView zoomScale="70" zoomScaleNormal="70" workbookViewId="0">
      <selection sqref="A1:B1"/>
    </sheetView>
  </sheetViews>
  <sheetFormatPr defaultColWidth="9" defaultRowHeight="13"/>
  <cols>
    <col min="1" max="2" width="25.6328125" style="381" customWidth="1"/>
    <col min="3" max="3" width="9.08984375" style="381" customWidth="1"/>
    <col min="4" max="4" width="3.6328125" style="381" customWidth="1"/>
    <col min="5" max="5" width="13.6328125" style="381" customWidth="1"/>
    <col min="6" max="6" width="4.7265625" style="381" customWidth="1"/>
    <col min="7" max="7" width="13.6328125" style="381" customWidth="1"/>
    <col min="8" max="8" width="3.6328125" style="381" customWidth="1"/>
    <col min="9" max="9" width="13.6328125" style="381" customWidth="1"/>
    <col min="10" max="10" width="3.6328125" style="381" customWidth="1"/>
    <col min="11" max="11" width="13.6328125" style="381" customWidth="1"/>
    <col min="12" max="12" width="3.6328125" style="381" customWidth="1"/>
    <col min="13" max="13" width="13.6328125" style="381" customWidth="1"/>
    <col min="14" max="14" width="3.6328125" style="381" customWidth="1"/>
    <col min="15" max="15" width="13.6328125" style="381" customWidth="1"/>
    <col min="16" max="16" width="3.6328125" style="381" customWidth="1"/>
    <col min="17" max="17" width="13.6328125" style="381" customWidth="1"/>
    <col min="18" max="18" width="3.6328125" style="381" customWidth="1"/>
    <col min="19" max="19" width="13.6328125" style="381" customWidth="1"/>
    <col min="20" max="20" width="3.6328125" style="381" customWidth="1"/>
    <col min="21" max="21" width="43" style="381" bestFit="1" customWidth="1"/>
    <col min="22" max="22" width="3.6328125" style="381" customWidth="1"/>
    <col min="23" max="23" width="16.08984375" style="381" hidden="1" customWidth="1"/>
    <col min="24" max="24" width="19.90625" style="381" hidden="1" customWidth="1"/>
    <col min="25" max="25" width="2.36328125" style="381" hidden="1" customWidth="1"/>
    <col min="26" max="26" width="24.90625" style="381" hidden="1" customWidth="1"/>
    <col min="27" max="27" width="17.6328125" style="381" hidden="1" customWidth="1"/>
    <col min="28" max="28" width="2.26953125" style="381" hidden="1" customWidth="1"/>
    <col min="29" max="29" width="9" style="1267" hidden="1" customWidth="1"/>
    <col min="30" max="31" width="11" style="1267" hidden="1" customWidth="1"/>
    <col min="32" max="39" width="9" style="1267" hidden="1" customWidth="1"/>
    <col min="40" max="40" width="2.26953125" style="1267" hidden="1" customWidth="1"/>
    <col min="41" max="42" width="9" style="1267" hidden="1" customWidth="1"/>
    <col min="43" max="43" width="11.08984375" style="1267" hidden="1" customWidth="1"/>
    <col min="44" max="44" width="9" style="1267" hidden="1" customWidth="1"/>
    <col min="45" max="45" width="2.26953125" style="1267" hidden="1" customWidth="1"/>
    <col min="46" max="53" width="9" style="1267" hidden="1" customWidth="1"/>
    <col min="54" max="54" width="2.26953125" style="1267" hidden="1" customWidth="1"/>
    <col min="55" max="62" width="9" style="1267" hidden="1" customWidth="1"/>
    <col min="63" max="63" width="13" style="1267" hidden="1" customWidth="1"/>
    <col min="64" max="64" width="3.7265625" style="1267" hidden="1" customWidth="1"/>
    <col min="65" max="86" width="9" style="1267" hidden="1" customWidth="1"/>
    <col min="87" max="87" width="9" style="381" hidden="1" customWidth="1"/>
    <col min="88" max="88" width="8.90625" style="381" hidden="1" customWidth="1"/>
    <col min="89" max="89" width="9" style="381" customWidth="1"/>
    <col min="90" max="16384" width="9" style="381"/>
  </cols>
  <sheetData>
    <row r="1" spans="1:87" ht="225" customHeight="1">
      <c r="A1" s="2580" t="s">
        <v>2721</v>
      </c>
      <c r="B1" s="2580"/>
      <c r="C1" s="2581" t="s">
        <v>5418</v>
      </c>
      <c r="D1" s="2581"/>
      <c r="E1" s="2581"/>
      <c r="F1" s="2581"/>
      <c r="G1" s="2581"/>
      <c r="H1" s="2581"/>
      <c r="I1" s="2581"/>
      <c r="J1" s="2581"/>
      <c r="K1" s="2581"/>
      <c r="L1" s="2581"/>
      <c r="M1" s="2581"/>
      <c r="N1" s="2581"/>
      <c r="O1" s="2581"/>
      <c r="P1" s="2581"/>
      <c r="Q1" s="2581"/>
      <c r="R1" s="2581"/>
      <c r="S1" s="2581"/>
      <c r="T1" s="2581"/>
      <c r="U1" s="869" t="str">
        <f>HYPERLINK("#'使用方法'!F29:F37","シート一覧へ")</f>
        <v>シート一覧へ</v>
      </c>
      <c r="W1" s="250"/>
      <c r="X1" s="250"/>
      <c r="Y1" s="155"/>
      <c r="Z1" s="867" t="s">
        <v>4928</v>
      </c>
      <c r="AF1" s="1268" t="s">
        <v>4927</v>
      </c>
      <c r="BN1" s="1269">
        <v>1</v>
      </c>
      <c r="BO1" s="1269">
        <v>2</v>
      </c>
      <c r="BP1" s="1269">
        <v>3</v>
      </c>
      <c r="BQ1" s="1269">
        <v>4</v>
      </c>
      <c r="BR1" s="1269">
        <v>5</v>
      </c>
      <c r="BS1" s="1269">
        <v>6</v>
      </c>
      <c r="BT1" s="1269">
        <v>7</v>
      </c>
      <c r="BU1" s="1269">
        <v>8</v>
      </c>
      <c r="BV1" s="1269">
        <v>9</v>
      </c>
      <c r="BW1" s="1269">
        <v>10</v>
      </c>
      <c r="BX1" s="1269">
        <v>11</v>
      </c>
      <c r="BY1" s="1269">
        <v>12</v>
      </c>
      <c r="BZ1" s="1269">
        <v>13</v>
      </c>
      <c r="CA1" s="1269">
        <v>14</v>
      </c>
      <c r="CB1" s="1269">
        <v>15</v>
      </c>
      <c r="CC1" s="1269">
        <v>16</v>
      </c>
      <c r="CD1" s="1269">
        <v>17</v>
      </c>
      <c r="CE1" s="1269">
        <v>18</v>
      </c>
      <c r="CF1" s="1269">
        <v>19</v>
      </c>
      <c r="CG1" s="1269">
        <v>20</v>
      </c>
      <c r="CH1" s="1269">
        <v>21</v>
      </c>
    </row>
    <row r="2" spans="1:87">
      <c r="A2" s="155"/>
      <c r="G2" s="127"/>
      <c r="H2" s="21"/>
      <c r="I2" s="127"/>
      <c r="J2" s="21"/>
      <c r="K2" s="127"/>
      <c r="L2" s="21"/>
      <c r="T2" s="1668" t="str">
        <f>チェックシート!H3</f>
        <v>Kyoto City(R4.11) ver112</v>
      </c>
      <c r="W2" s="194"/>
      <c r="X2" s="194"/>
      <c r="Y2" s="194"/>
      <c r="Z2" s="381" t="s">
        <v>5607</v>
      </c>
      <c r="AA2" s="249" t="str">
        <f>チェックシート!H3</f>
        <v>Kyoto City(R4.11) ver112</v>
      </c>
      <c r="AC2" s="1270"/>
      <c r="AF2" s="1271"/>
      <c r="AG2" s="1272"/>
      <c r="AH2" s="1273" t="s">
        <v>4895</v>
      </c>
      <c r="AI2" s="1274"/>
      <c r="AJ2" s="1275"/>
      <c r="AK2" s="1273" t="s">
        <v>4896</v>
      </c>
      <c r="AL2" s="1270"/>
      <c r="BN2" s="1269" t="s">
        <v>4839</v>
      </c>
      <c r="BO2" s="1269" t="s">
        <v>4838</v>
      </c>
      <c r="BP2" s="1269" t="s">
        <v>4837</v>
      </c>
      <c r="BQ2" s="1269" t="s">
        <v>4836</v>
      </c>
      <c r="BR2" s="1269" t="s">
        <v>4835</v>
      </c>
      <c r="BS2" s="1269" t="s">
        <v>4834</v>
      </c>
      <c r="BT2" s="1269" t="s">
        <v>4833</v>
      </c>
      <c r="BU2" s="1269" t="s">
        <v>4832</v>
      </c>
      <c r="BV2" s="1269" t="s">
        <v>4831</v>
      </c>
      <c r="BW2" s="1269" t="s">
        <v>4830</v>
      </c>
      <c r="BX2" s="1269" t="s">
        <v>4829</v>
      </c>
      <c r="BY2" s="1269" t="s">
        <v>4828</v>
      </c>
      <c r="BZ2" s="1269" t="s">
        <v>4827</v>
      </c>
      <c r="CA2" s="1269" t="s">
        <v>4826</v>
      </c>
      <c r="CB2" s="1269" t="s">
        <v>4825</v>
      </c>
      <c r="CC2" s="1269" t="s">
        <v>4824</v>
      </c>
      <c r="CD2" s="1269" t="s">
        <v>4823</v>
      </c>
      <c r="CE2" s="1269" t="s">
        <v>4822</v>
      </c>
      <c r="CF2" s="1269" t="s">
        <v>4821</v>
      </c>
      <c r="CG2" s="1269" t="s">
        <v>4820</v>
      </c>
      <c r="CH2" s="1269" t="s">
        <v>4819</v>
      </c>
      <c r="CI2" s="194"/>
    </row>
    <row r="3" spans="1:87" ht="22.5" customHeight="1">
      <c r="A3" s="2582" t="s">
        <v>2717</v>
      </c>
      <c r="B3" s="2583"/>
      <c r="C3" s="2586"/>
      <c r="D3" s="2587"/>
      <c r="E3" s="2594" t="s">
        <v>2716</v>
      </c>
      <c r="F3" s="1276"/>
      <c r="G3" s="2603" t="s">
        <v>3138</v>
      </c>
      <c r="H3" s="2603"/>
      <c r="I3" s="2603"/>
      <c r="J3" s="2603"/>
      <c r="K3" s="2603"/>
      <c r="L3" s="2603"/>
      <c r="M3" s="2603"/>
      <c r="N3" s="2603"/>
      <c r="O3" s="2603"/>
      <c r="P3" s="2603"/>
      <c r="Q3" s="2603"/>
      <c r="R3" s="2603"/>
      <c r="S3" s="2603"/>
      <c r="T3" s="2604"/>
      <c r="W3" s="194"/>
      <c r="X3" s="194"/>
      <c r="Y3" s="194"/>
      <c r="Z3" s="928" t="s">
        <v>4899</v>
      </c>
      <c r="AA3" s="866" t="str">
        <f>IF('1_入力シート【基本情報】'!DN203,HYPERLINK("#'＜入力不要＞概要書'!C297","記載あふれ要確認"),"")</f>
        <v/>
      </c>
      <c r="AC3" s="1270"/>
      <c r="AF3" s="1277"/>
      <c r="AG3" s="1278"/>
      <c r="AH3" s="1273" t="s">
        <v>4893</v>
      </c>
      <c r="AI3" s="1279"/>
      <c r="AJ3" s="1280"/>
      <c r="AK3" s="1273" t="s">
        <v>4898</v>
      </c>
      <c r="AL3" s="1270"/>
      <c r="BN3" s="1278" t="str">
        <f>プルダウン選択肢!AC2</f>
        <v>劇場,映画館等</v>
      </c>
      <c r="BO3" s="1278" t="str">
        <f>プルダウン選択肢!AD2</f>
        <v>集会場等</v>
      </c>
      <c r="BP3" s="1278" t="str">
        <f>プルダウン選択肢!AE2</f>
        <v>病院系施設</v>
      </c>
      <c r="BQ3" s="1278" t="str">
        <f>プルダウン選択肢!AF2</f>
        <v>宿泊施設</v>
      </c>
      <c r="BR3" s="1278" t="str">
        <f>プルダウン選択肢!AG2</f>
        <v>住居系施設(高齢者,障害者等以外)</v>
      </c>
      <c r="BS3" s="1278" t="str">
        <f>プルダウン選択肢!AH2</f>
        <v>住居系施設(高齢者,障害者等)</v>
      </c>
      <c r="BT3" s="1278" t="str">
        <f>プルダウン選択肢!AI2</f>
        <v>児童福祉施設等(1)(市指定※)</v>
      </c>
      <c r="BU3" s="1278" t="str">
        <f>プルダウン選択肢!AJ2</f>
        <v>児童福祉施設等(2)(国指定※)</v>
      </c>
      <c r="BV3" s="1278" t="str">
        <f>プルダウン選択肢!AK2</f>
        <v>学校,体育館(学校付属)</v>
      </c>
      <c r="BW3" s="1278" t="str">
        <f>プルダウン選択肢!AL2</f>
        <v>体育館(学校付属以外)</v>
      </c>
      <c r="BX3" s="1278" t="str">
        <f>プルダウン選択肢!AM2</f>
        <v>美術館等</v>
      </c>
      <c r="BY3" s="1278" t="str">
        <f>プルダウン選択肢!AN2</f>
        <v>スポーツ練習場等</v>
      </c>
      <c r="BZ3" s="1278" t="str">
        <f>プルダウン選択肢!AO2</f>
        <v>物販店等</v>
      </c>
      <c r="CA3" s="1278" t="str">
        <f>プルダウン選択肢!AP2</f>
        <v>展示場等</v>
      </c>
      <c r="CB3" s="1278" t="str">
        <f>プルダウン選択肢!AQ2</f>
        <v>飲食等</v>
      </c>
      <c r="CC3" s="1278" t="str">
        <f>プルダウン選択肢!AR2</f>
        <v>遊技場等</v>
      </c>
      <c r="CD3" s="1278" t="str">
        <f>プルダウン選択肢!AS2</f>
        <v>自動車車庫等</v>
      </c>
      <c r="CE3" s="1278" t="str">
        <f>プルダウン選択肢!AT2</f>
        <v>事務所,サービス店舗等</v>
      </c>
      <c r="CF3" s="1278" t="str">
        <f>プルダウン選択肢!AU2</f>
        <v>定報対象以外の用途(倉庫)</v>
      </c>
      <c r="CG3" s="1278" t="str">
        <f>プルダウン選択肢!AV2</f>
        <v>定報対象以外の用途(倉庫以外)</v>
      </c>
      <c r="CI3" s="194"/>
    </row>
    <row r="4" spans="1:87" s="128" customFormat="1" ht="13.5" customHeight="1">
      <c r="A4" s="774" t="s">
        <v>3293</v>
      </c>
      <c r="B4" s="774" t="s">
        <v>3294</v>
      </c>
      <c r="C4" s="2588"/>
      <c r="D4" s="2589"/>
      <c r="E4" s="2595"/>
      <c r="F4" s="2602" t="s">
        <v>2714</v>
      </c>
      <c r="G4" s="2596"/>
      <c r="H4" s="2596"/>
      <c r="I4" s="2596"/>
      <c r="J4" s="2596"/>
      <c r="K4" s="2596"/>
      <c r="L4" s="2596"/>
      <c r="M4" s="2596"/>
      <c r="N4" s="2596"/>
      <c r="O4" s="2596"/>
      <c r="P4" s="2596"/>
      <c r="Q4" s="2596"/>
      <c r="R4" s="2596"/>
      <c r="S4" s="2596"/>
      <c r="T4" s="2597"/>
      <c r="W4" s="248">
        <f>G4</f>
        <v>0</v>
      </c>
      <c r="X4" s="248">
        <f>IF(COUNTIF($W$4:W4,W4)&gt;=2,"",W4)</f>
        <v>0</v>
      </c>
      <c r="Y4" s="247"/>
      <c r="Z4" s="928" t="s">
        <v>4899</v>
      </c>
      <c r="AA4" s="866" t="str">
        <f>IF('1_入力シート【基本情報】'!DN291,HYPERLINK("#'＜入力不要＞概要書'!O102","文字サイズ要確認"),"")</f>
        <v/>
      </c>
      <c r="AC4" s="1267"/>
      <c r="AF4" s="1281"/>
      <c r="AG4" s="1282"/>
      <c r="AH4" s="1273" t="s">
        <v>4894</v>
      </c>
      <c r="AI4" s="1283"/>
      <c r="AJ4" s="1284"/>
      <c r="AK4" s="1273" t="s">
        <v>4897</v>
      </c>
      <c r="AL4" s="1267"/>
      <c r="AM4" s="1267"/>
      <c r="AN4" s="1267"/>
      <c r="AS4" s="1267"/>
      <c r="AT4" s="1267"/>
      <c r="AU4" s="1267"/>
      <c r="AV4" s="1267"/>
      <c r="AW4" s="1267"/>
      <c r="AX4" s="1267"/>
      <c r="AY4" s="1267"/>
      <c r="AZ4" s="1267"/>
      <c r="BA4" s="1267"/>
      <c r="BB4" s="1267"/>
      <c r="BC4" s="1267"/>
      <c r="BD4" s="1267"/>
      <c r="BE4" s="1267"/>
      <c r="BF4" s="1267"/>
      <c r="BG4" s="1267"/>
      <c r="BH4" s="1267"/>
      <c r="BI4" s="1267"/>
      <c r="BJ4" s="1267"/>
      <c r="BK4" s="1267"/>
      <c r="BL4" s="1267"/>
      <c r="BM4" s="1267"/>
      <c r="BN4" s="1267"/>
      <c r="BO4" s="1267"/>
      <c r="BP4" s="1267"/>
      <c r="BQ4" s="1267"/>
      <c r="BR4" s="1267"/>
      <c r="BS4" s="1267"/>
      <c r="BT4" s="1267"/>
      <c r="BU4" s="1267"/>
      <c r="BV4" s="1267"/>
      <c r="BW4" s="1267"/>
      <c r="BX4" s="1267"/>
      <c r="BY4" s="1267"/>
      <c r="BZ4" s="1267"/>
      <c r="CA4" s="1267"/>
      <c r="CB4" s="1267"/>
      <c r="CC4" s="1267"/>
      <c r="CD4" s="1267"/>
      <c r="CE4" s="1267"/>
      <c r="CF4" s="1267"/>
      <c r="CG4" s="1267"/>
      <c r="CH4" s="1267"/>
      <c r="CI4" s="247"/>
    </row>
    <row r="5" spans="1:87" s="128" customFormat="1" ht="14.25" customHeight="1">
      <c r="A5" s="772" t="s">
        <v>3222</v>
      </c>
      <c r="B5" s="772" t="s">
        <v>3149</v>
      </c>
      <c r="C5" s="2588"/>
      <c r="D5" s="2589"/>
      <c r="E5" s="2595"/>
      <c r="F5" s="2602"/>
      <c r="G5" s="2598"/>
      <c r="H5" s="2598"/>
      <c r="I5" s="2598"/>
      <c r="J5" s="2598"/>
      <c r="K5" s="2598"/>
      <c r="L5" s="2598"/>
      <c r="M5" s="2598"/>
      <c r="N5" s="2598"/>
      <c r="O5" s="2598"/>
      <c r="P5" s="2598"/>
      <c r="Q5" s="2598"/>
      <c r="R5" s="2598"/>
      <c r="S5" s="2598"/>
      <c r="T5" s="2599"/>
      <c r="W5" s="248">
        <f>I4</f>
        <v>0</v>
      </c>
      <c r="X5" s="248" t="str">
        <f>IF(COUNTIF($W$4:W5,W5)&gt;=2,"",W5)</f>
        <v/>
      </c>
      <c r="Y5" s="247"/>
      <c r="Z5" s="928" t="s">
        <v>4900</v>
      </c>
      <c r="AA5" s="866" t="s">
        <v>4840</v>
      </c>
      <c r="AB5" s="247" t="s">
        <v>5411</v>
      </c>
      <c r="AC5" s="1267"/>
      <c r="AD5" s="1267"/>
      <c r="AE5" s="1267"/>
      <c r="AF5" s="1267"/>
      <c r="AG5" s="1267"/>
      <c r="AH5" s="1267"/>
      <c r="AI5" s="1267"/>
      <c r="AJ5" s="1267"/>
      <c r="AK5" s="1267"/>
      <c r="AL5" s="1267"/>
      <c r="AM5" s="1267"/>
      <c r="AN5" s="1267"/>
      <c r="AQ5" s="1267"/>
      <c r="AR5" s="1267"/>
      <c r="AS5" s="1267"/>
      <c r="AT5" s="1267" t="s">
        <v>4818</v>
      </c>
      <c r="AU5" s="1267"/>
      <c r="AV5" s="1267"/>
      <c r="AW5" s="1267"/>
      <c r="AX5" s="1267"/>
      <c r="AY5" s="1267"/>
      <c r="AZ5" s="1267"/>
      <c r="BA5" s="1267"/>
      <c r="BB5" s="1267"/>
      <c r="BC5" s="1267"/>
      <c r="BD5" s="1267"/>
      <c r="BE5" s="1267"/>
      <c r="BF5" s="1267"/>
      <c r="BG5" s="1267"/>
      <c r="BH5" s="1267"/>
      <c r="BI5" s="1267"/>
      <c r="BJ5" s="1267"/>
      <c r="BK5" s="1267"/>
      <c r="BL5" s="1267"/>
      <c r="BM5" s="1267"/>
      <c r="BN5" s="1285" t="str">
        <f>プルダウン選択肢!AC4</f>
        <v>劇場</v>
      </c>
      <c r="BO5" s="1285" t="str">
        <f>プルダウン選択肢!AD4</f>
        <v>観覧場（屋外観覧場を除く）</v>
      </c>
      <c r="BP5" s="1285" t="str">
        <f>プルダウン選択肢!AE4</f>
        <v>病院</v>
      </c>
      <c r="BQ5" s="1285" t="str">
        <f>プルダウン選択肢!AF4</f>
        <v>ホテル</v>
      </c>
      <c r="BR5" s="1285" t="str">
        <f>プルダウン選択肢!AG4</f>
        <v>下宿</v>
      </c>
      <c r="BS5" s="1285" t="str">
        <f>プルダウン選択肢!AH4</f>
        <v>サービス付き高齢者向け住宅</v>
      </c>
      <c r="BT5" s="1285" t="str">
        <f>プルダウン選択肢!AI4</f>
        <v>保育所</v>
      </c>
      <c r="BU5" s="1285" t="str">
        <f>プルダウン選択肢!AJ4</f>
        <v>助産施設</v>
      </c>
      <c r="BV5" s="1285" t="str">
        <f>プルダウン選択肢!AK4</f>
        <v>学校</v>
      </c>
      <c r="BW5" s="1285" t="str">
        <f>プルダウン選択肢!AL4</f>
        <v>体育館（学校に付属するもの以外）</v>
      </c>
      <c r="BX5" s="1285" t="str">
        <f>プルダウン選択肢!AM4</f>
        <v>博物館</v>
      </c>
      <c r="BY5" s="1285" t="str">
        <f>プルダウン選択肢!AN4</f>
        <v>ボーリング場</v>
      </c>
      <c r="BZ5" s="1285" t="str">
        <f>プルダウン選択肢!AO4</f>
        <v>百貨店</v>
      </c>
      <c r="CA5" s="1285" t="str">
        <f>プルダウン選択肢!AP4</f>
        <v>展示場</v>
      </c>
      <c r="CB5" s="1285" t="str">
        <f>プルダウン選択肢!AQ4</f>
        <v>飲食店</v>
      </c>
      <c r="CC5" s="1285" t="str">
        <f>プルダウン選択肢!AR4</f>
        <v>公衆浴場</v>
      </c>
      <c r="CD5" s="1285" t="str">
        <f>プルダウン選択肢!AS4</f>
        <v>自動車車庫</v>
      </c>
      <c r="CE5" s="1285" t="str">
        <f>プルダウン選択肢!AT4</f>
        <v>事務所</v>
      </c>
      <c r="CF5" s="1285" t="str">
        <f>プルダウン選択肢!AU4</f>
        <v>倉庫（別の用途に附属するもの以外）</v>
      </c>
      <c r="CG5" s="1285" t="str">
        <f>プルダウン選択肢!AV4</f>
        <v>工場</v>
      </c>
      <c r="CH5" s="1267"/>
      <c r="CI5" s="247"/>
    </row>
    <row r="6" spans="1:87" s="128" customFormat="1">
      <c r="A6" s="772" t="s">
        <v>3223</v>
      </c>
      <c r="B6" s="772" t="s">
        <v>3152</v>
      </c>
      <c r="C6" s="2588"/>
      <c r="D6" s="2589"/>
      <c r="E6" s="2595"/>
      <c r="F6" s="2602"/>
      <c r="G6" s="2600"/>
      <c r="H6" s="2600"/>
      <c r="I6" s="2600"/>
      <c r="J6" s="2600"/>
      <c r="K6" s="2600"/>
      <c r="L6" s="2600"/>
      <c r="M6" s="2600"/>
      <c r="N6" s="2600"/>
      <c r="O6" s="2600"/>
      <c r="P6" s="2600"/>
      <c r="Q6" s="2600"/>
      <c r="R6" s="2600"/>
      <c r="S6" s="2600"/>
      <c r="T6" s="2601"/>
      <c r="W6" s="248">
        <f>K4</f>
        <v>0</v>
      </c>
      <c r="X6" s="248" t="str">
        <f>IF(COUNTIF($W$4:W6,W6)&gt;=2,"",W6)</f>
        <v/>
      </c>
      <c r="Y6" s="247"/>
      <c r="AB6" s="247" t="s">
        <v>5411</v>
      </c>
      <c r="AC6" s="1267"/>
      <c r="AD6" s="1286" t="s">
        <v>4817</v>
      </c>
      <c r="AE6" s="1267" t="s">
        <v>4816</v>
      </c>
      <c r="AF6" s="1267" t="s">
        <v>4752</v>
      </c>
      <c r="AG6" s="1267" t="s">
        <v>4751</v>
      </c>
      <c r="AH6" s="1267" t="s">
        <v>4750</v>
      </c>
      <c r="AI6" s="1267" t="s">
        <v>4749</v>
      </c>
      <c r="AJ6" s="1267" t="s">
        <v>4748</v>
      </c>
      <c r="AK6" s="1267" t="s">
        <v>4747</v>
      </c>
      <c r="AL6" s="1267" t="s">
        <v>4746</v>
      </c>
      <c r="AM6" s="1267" t="s">
        <v>4815</v>
      </c>
      <c r="AN6" s="1267"/>
      <c r="AO6" s="1267"/>
      <c r="AP6" s="1267"/>
      <c r="AQ6" s="1267"/>
      <c r="AR6" s="1267"/>
      <c r="AS6" s="1267"/>
      <c r="AT6" s="1267"/>
      <c r="AU6" s="1267" t="s">
        <v>4752</v>
      </c>
      <c r="AV6" s="1267" t="s">
        <v>4751</v>
      </c>
      <c r="AW6" s="1267" t="s">
        <v>4750</v>
      </c>
      <c r="AX6" s="1267" t="s">
        <v>4749</v>
      </c>
      <c r="AY6" s="1267" t="s">
        <v>4748</v>
      </c>
      <c r="AZ6" s="1267" t="s">
        <v>4747</v>
      </c>
      <c r="BA6" s="1267" t="s">
        <v>4746</v>
      </c>
      <c r="BB6" s="1267"/>
      <c r="BC6" s="1267"/>
      <c r="BD6" s="1267"/>
      <c r="BE6" s="1267"/>
      <c r="BF6" s="1267"/>
      <c r="BG6" s="1267"/>
      <c r="BH6" s="1267"/>
      <c r="BI6" s="1267"/>
      <c r="BJ6" s="1267"/>
      <c r="BK6" s="1267"/>
      <c r="BL6" s="1267"/>
      <c r="BM6" s="1267"/>
      <c r="BN6" s="1285" t="str">
        <f>プルダウン選択肢!AC5</f>
        <v>映画館</v>
      </c>
      <c r="BO6" s="1285" t="str">
        <f>プルダウン選択肢!AD5</f>
        <v>公会堂</v>
      </c>
      <c r="BP6" s="1285" t="str">
        <f>プルダウン選択肢!AE5</f>
        <v>診療所（患者の収容施設があるもの）</v>
      </c>
      <c r="BQ6" s="1285" t="str">
        <f>プルダウン選択肢!AF5</f>
        <v>旅館</v>
      </c>
      <c r="BR6" s="1285" t="str">
        <f>プルダウン選択肢!AG5</f>
        <v>共同住宅</v>
      </c>
      <c r="BS6" s="1285" t="str">
        <f>プルダウン選択肢!AH5</f>
        <v>認知症高齢者グループホーム</v>
      </c>
      <c r="BT6" s="1285" t="str">
        <f>プルダウン選択肢!AI5</f>
        <v>幼保連携型認定こども園</v>
      </c>
      <c r="BU6" s="1285" t="str">
        <f>プルダウン選択肢!AJ5</f>
        <v>乳児院</v>
      </c>
      <c r="BV6" s="1285" t="str">
        <f>プルダウン選択肢!AK5</f>
        <v>体育館（学校に付属するもの）</v>
      </c>
      <c r="BW6" s="1285">
        <f>プルダウン選択肢!AL5</f>
        <v>0</v>
      </c>
      <c r="BX6" s="1285" t="str">
        <f>プルダウン選択肢!AM5</f>
        <v>美術館</v>
      </c>
      <c r="BY6" s="1285" t="str">
        <f>プルダウン選択肢!AN5</f>
        <v>スキー場</v>
      </c>
      <c r="BZ6" s="1285" t="str">
        <f>プルダウン選択肢!AO5</f>
        <v>マーケット</v>
      </c>
      <c r="CA6" s="1285">
        <f>プルダウン選択肢!AP5</f>
        <v>0</v>
      </c>
      <c r="CB6" s="1285" t="str">
        <f>プルダウン選択肢!AQ5</f>
        <v>料理店</v>
      </c>
      <c r="CC6" s="1285" t="str">
        <f>プルダウン選択肢!AR5</f>
        <v>キャバレー</v>
      </c>
      <c r="CD6" s="1285" t="str">
        <f>プルダウン選択肢!AS5</f>
        <v>自動車修理工場</v>
      </c>
      <c r="CE6" s="1285" t="str">
        <f>プルダウン選択肢!AT5</f>
        <v>美容室</v>
      </c>
      <c r="CF6" s="1285">
        <f>プルダウン選択肢!AU5</f>
        <v>0</v>
      </c>
      <c r="CG6" s="1285" t="str">
        <f>プルダウン選択肢!AV5</f>
        <v>駅舎</v>
      </c>
      <c r="CH6" s="1267"/>
      <c r="CI6" s="247"/>
    </row>
    <row r="7" spans="1:87" ht="13.5" customHeight="1">
      <c r="A7" s="772" t="s">
        <v>3224</v>
      </c>
      <c r="B7" s="774" t="s">
        <v>3260</v>
      </c>
      <c r="C7" s="2588"/>
      <c r="D7" s="2589"/>
      <c r="E7" s="2595"/>
      <c r="F7" s="2575" t="s">
        <v>2715</v>
      </c>
      <c r="G7" s="2564"/>
      <c r="H7" s="2573"/>
      <c r="I7" s="2564"/>
      <c r="J7" s="2573"/>
      <c r="K7" s="2564"/>
      <c r="L7" s="2573"/>
      <c r="M7" s="2564"/>
      <c r="N7" s="2573"/>
      <c r="O7" s="2564"/>
      <c r="P7" s="2573"/>
      <c r="Q7" s="2564"/>
      <c r="R7" s="2573"/>
      <c r="S7" s="2564"/>
      <c r="T7" s="2565"/>
      <c r="W7" s="249">
        <f>M4</f>
        <v>0</v>
      </c>
      <c r="X7" s="248" t="str">
        <f>IF(COUNTIF($W$4:W7,W7)&gt;=2,"",W7)</f>
        <v/>
      </c>
      <c r="Y7" s="247"/>
      <c r="Z7" s="883" t="s">
        <v>4920</v>
      </c>
      <c r="AA7" s="888" t="str">
        <f>"【用途区分修正"&amp;AA14&amp;"_"&amp;AA17&amp;"_"&amp;AA23&amp;"_"&amp;AA36&amp;"_"&amp;TEXT(AA42,"0.00")&amp;"_"&amp;TEXT(AA43,"0.00")&amp;"_"&amp;AA44&amp;"_"&amp;TEXT(AA45,"0.00")&amp;"_"&amp;AA46&amp;"】"</f>
        <v>【用途区分修正____0.00_0.00__0.00_】</v>
      </c>
      <c r="AB7" s="247" t="s">
        <v>5411</v>
      </c>
      <c r="AC7" s="1267" t="s">
        <v>2238</v>
      </c>
      <c r="AF7" s="1287" t="str">
        <f>IF(G4="","",G4)</f>
        <v/>
      </c>
      <c r="AG7" s="1287" t="str">
        <f>IF(I4="","",I4)</f>
        <v/>
      </c>
      <c r="AH7" s="1287" t="str">
        <f>IF(K4="","",K4)</f>
        <v/>
      </c>
      <c r="AI7" s="1287" t="str">
        <f>IF(M4="","",M4)</f>
        <v/>
      </c>
      <c r="AJ7" s="1287" t="str">
        <f>IF(O4="","",O4)</f>
        <v/>
      </c>
      <c r="AK7" s="1287" t="str">
        <f>IF(Q4="","",Q4)</f>
        <v/>
      </c>
      <c r="AL7" s="1287" t="str">
        <f>IF(S4="","",S4)</f>
        <v/>
      </c>
      <c r="AP7" s="1267" t="s">
        <v>4814</v>
      </c>
      <c r="AQ7" s="1267" t="s">
        <v>4813</v>
      </c>
      <c r="AR7" s="1267" t="s">
        <v>4812</v>
      </c>
      <c r="BN7" s="1285" t="str">
        <f>プルダウン選択肢!AC6</f>
        <v>演芸場</v>
      </c>
      <c r="BO7" s="1285" t="str">
        <f>プルダウン選択肢!AD6</f>
        <v>集会場</v>
      </c>
      <c r="BP7" s="1285">
        <f>プルダウン選択肢!AE6</f>
        <v>0</v>
      </c>
      <c r="BQ7" s="1285">
        <f>プルダウン選択肢!AF6</f>
        <v>0</v>
      </c>
      <c r="BR7" s="1285" t="str">
        <f>プルダウン選択肢!AG6</f>
        <v>寄宿舎</v>
      </c>
      <c r="BS7" s="1285" t="str">
        <f>プルダウン選択肢!AH6</f>
        <v>障害者グループホーム</v>
      </c>
      <c r="BT7" s="1285" t="str">
        <f>プルダウン選択肢!AI6</f>
        <v>児童厚生施設</v>
      </c>
      <c r="BU7" s="1285" t="str">
        <f>プルダウン選択肢!AJ6</f>
        <v>障害児入所施設</v>
      </c>
      <c r="BV7" s="1285">
        <f>プルダウン選択肢!AK6</f>
        <v>0</v>
      </c>
      <c r="BW7" s="1285">
        <f>プルダウン選択肢!AL6</f>
        <v>0</v>
      </c>
      <c r="BX7" s="1285" t="str">
        <f>プルダウン選択肢!AM6</f>
        <v>図書館</v>
      </c>
      <c r="BY7" s="1285" t="str">
        <f>プルダウン選択肢!AN6</f>
        <v>スケート場</v>
      </c>
      <c r="BZ7" s="1285" t="str">
        <f>プルダウン選択肢!AO6</f>
        <v>物品販売業を営む店舗</v>
      </c>
      <c r="CA7" s="1285">
        <f>プルダウン選択肢!AP6</f>
        <v>0</v>
      </c>
      <c r="CB7" s="1285" t="str">
        <f>プルダウン選択肢!AQ6</f>
        <v>待合</v>
      </c>
      <c r="CC7" s="1285" t="str">
        <f>プルダウン選択肢!AR6</f>
        <v>カフェー</v>
      </c>
      <c r="CD7" s="1285" t="str">
        <f>プルダウン選択肢!AS6</f>
        <v>映画スタジオ</v>
      </c>
      <c r="CE7" s="1285" t="str">
        <f>プルダウン選択肢!AT6</f>
        <v>ネイルサロン</v>
      </c>
      <c r="CF7" s="1285">
        <f>プルダウン選択肢!AU6</f>
        <v>0</v>
      </c>
      <c r="CG7" s="1285" t="str">
        <f>プルダウン選択肢!AV6</f>
        <v>住宅</v>
      </c>
      <c r="CI7" s="194"/>
    </row>
    <row r="8" spans="1:87">
      <c r="A8" s="774" t="s">
        <v>3256</v>
      </c>
      <c r="B8" s="772" t="s">
        <v>3150</v>
      </c>
      <c r="C8" s="2590" t="s">
        <v>2719</v>
      </c>
      <c r="D8" s="2591"/>
      <c r="E8" s="2584"/>
      <c r="F8" s="2576"/>
      <c r="G8" s="2566"/>
      <c r="H8" s="2574"/>
      <c r="I8" s="2566"/>
      <c r="J8" s="2574"/>
      <c r="K8" s="2566"/>
      <c r="L8" s="2574"/>
      <c r="M8" s="2566"/>
      <c r="N8" s="2574"/>
      <c r="O8" s="2566"/>
      <c r="P8" s="2574"/>
      <c r="Q8" s="2566"/>
      <c r="R8" s="2574"/>
      <c r="S8" s="2566"/>
      <c r="T8" s="2567"/>
      <c r="W8" s="249">
        <f>O4</f>
        <v>0</v>
      </c>
      <c r="X8" s="248" t="str">
        <f>IF(COUNTIF($W$4:W8,W8)&gt;=2,"",W8)</f>
        <v/>
      </c>
      <c r="Y8" s="247"/>
      <c r="Z8" s="889"/>
      <c r="AA8" s="888" t="s">
        <v>5608</v>
      </c>
      <c r="AB8" s="247" t="s">
        <v>5411</v>
      </c>
      <c r="AC8" s="1267" t="s">
        <v>2239</v>
      </c>
      <c r="AF8" s="1287" t="str">
        <f>IF(G7="","",G7)</f>
        <v/>
      </c>
      <c r="AG8" s="1287" t="str">
        <f>IF(I7="","",I7)</f>
        <v/>
      </c>
      <c r="AH8" s="1287" t="str">
        <f>IF(K7="","",K7)</f>
        <v/>
      </c>
      <c r="AI8" s="1287" t="str">
        <f>IF(M7="","",M7)</f>
        <v/>
      </c>
      <c r="AJ8" s="1287" t="str">
        <f>IF(O7="","",O7)</f>
        <v/>
      </c>
      <c r="AK8" s="1287" t="str">
        <f>IF(Q7="","",Q7)</f>
        <v/>
      </c>
      <c r="AL8" s="1287" t="str">
        <f>IF(S7="","",S7)</f>
        <v/>
      </c>
      <c r="AO8" s="1267" t="s">
        <v>4811</v>
      </c>
      <c r="AP8" s="1288" t="str">
        <f>IF(COUNTIF($AF$11:$AL$11,$BN$2)&gt;0,"有","")</f>
        <v/>
      </c>
      <c r="AQ8" s="1288" t="str">
        <f>IF(COUNTIF($AF$11:$AL$11,$BN$2)+COUNTIF($AF$11:$AL$11,$BO$2)&gt;0,"有","")</f>
        <v/>
      </c>
      <c r="AR8" s="1288" t="str">
        <f>IF(COUNTIF($AF$11:$AL$11,$BR$2)+COUNTIF($AF$11:$AL$11,$BS$2)&gt;0,"有","")</f>
        <v/>
      </c>
      <c r="BN8" s="1285">
        <f>プルダウン選択肢!AC7</f>
        <v>0</v>
      </c>
      <c r="BO8" s="1285">
        <f>プルダウン選択肢!AD7</f>
        <v>0</v>
      </c>
      <c r="BP8" s="1285">
        <f>プルダウン選択肢!AE7</f>
        <v>0</v>
      </c>
      <c r="BQ8" s="1285">
        <f>プルダウン選択肢!AF7</f>
        <v>0</v>
      </c>
      <c r="BR8" s="1285">
        <f>プルダウン選択肢!AG7</f>
        <v>0</v>
      </c>
      <c r="BS8" s="1285">
        <f>プルダウン選択肢!AH7</f>
        <v>0</v>
      </c>
      <c r="BT8" s="1285" t="str">
        <f>プルダウン選択肢!AI7</f>
        <v>児童養護施設</v>
      </c>
      <c r="BU8" s="1285" t="str">
        <f>プルダウン選択肢!AJ7</f>
        <v>助産所</v>
      </c>
      <c r="BV8" s="1285">
        <f>プルダウン選択肢!AK7</f>
        <v>0</v>
      </c>
      <c r="BW8" s="1285">
        <f>プルダウン選択肢!AL7</f>
        <v>0</v>
      </c>
      <c r="BX8" s="1285">
        <f>プルダウン選択肢!AM7</f>
        <v>0</v>
      </c>
      <c r="BY8" s="1285" t="str">
        <f>プルダウン選択肢!AN7</f>
        <v>水泳場</v>
      </c>
      <c r="BZ8" s="1285">
        <f>プルダウン選択肢!AO7</f>
        <v>0</v>
      </c>
      <c r="CA8" s="1285">
        <f>プルダウン選択肢!AP7</f>
        <v>0</v>
      </c>
      <c r="CB8" s="1285">
        <f>プルダウン選択肢!AQ7</f>
        <v>0</v>
      </c>
      <c r="CC8" s="1285" t="str">
        <f>プルダウン選択肢!AR7</f>
        <v>ナイトクラブ</v>
      </c>
      <c r="CD8" s="1285" t="str">
        <f>プルダウン選択肢!AS7</f>
        <v>テレビスタジオ</v>
      </c>
      <c r="CE8" s="1285" t="str">
        <f>プルダウン選択肢!AT7</f>
        <v>診療所（患者の収容施設がないもの）</v>
      </c>
      <c r="CF8" s="1285">
        <f>プルダウン選択肢!AU7</f>
        <v>0</v>
      </c>
      <c r="CG8" s="1285">
        <f>プルダウン選択肢!AV7</f>
        <v>0</v>
      </c>
      <c r="CI8" s="194"/>
    </row>
    <row r="9" spans="1:87">
      <c r="A9" s="772" t="s">
        <v>3225</v>
      </c>
      <c r="B9" s="774" t="s">
        <v>3261</v>
      </c>
      <c r="C9" s="2590"/>
      <c r="D9" s="2591"/>
      <c r="E9" s="2584"/>
      <c r="F9" s="2576"/>
      <c r="G9" s="2566"/>
      <c r="H9" s="2574"/>
      <c r="I9" s="2566"/>
      <c r="J9" s="2574"/>
      <c r="K9" s="2566"/>
      <c r="L9" s="2574"/>
      <c r="M9" s="2566"/>
      <c r="N9" s="2574"/>
      <c r="O9" s="2566"/>
      <c r="P9" s="2574"/>
      <c r="Q9" s="2566"/>
      <c r="R9" s="2574"/>
      <c r="S9" s="2566"/>
      <c r="T9" s="2567"/>
      <c r="W9" s="249">
        <f>Q4</f>
        <v>0</v>
      </c>
      <c r="X9" s="248" t="str">
        <f>IF(COUNTIF($W$4:W9,W9)&gt;=2,"",W9)</f>
        <v/>
      </c>
      <c r="Y9" s="247"/>
      <c r="AB9" s="21"/>
      <c r="AC9" s="1267" t="s">
        <v>4810</v>
      </c>
      <c r="AF9" s="1288" t="str">
        <f t="shared" ref="AF9:AL9" si="0">IF(AF7="","",IF(AF8="","",IF(SUMPRODUCT((INDEX($BN$5:$CG$24,0,MATCH(AF7,$BN$3:$CG$3,0))=AF8)*1)=0,"有","")))</f>
        <v/>
      </c>
      <c r="AG9" s="1288" t="str">
        <f t="shared" si="0"/>
        <v/>
      </c>
      <c r="AH9" s="1288" t="str">
        <f t="shared" si="0"/>
        <v/>
      </c>
      <c r="AI9" s="1288" t="str">
        <f t="shared" si="0"/>
        <v/>
      </c>
      <c r="AJ9" s="1288" t="str">
        <f t="shared" si="0"/>
        <v/>
      </c>
      <c r="AK9" s="1288" t="str">
        <f t="shared" si="0"/>
        <v/>
      </c>
      <c r="AL9" s="1288" t="str">
        <f t="shared" si="0"/>
        <v/>
      </c>
      <c r="AO9" s="1267" t="s">
        <v>4809</v>
      </c>
      <c r="AP9" s="1288" t="str">
        <f>AE82</f>
        <v/>
      </c>
      <c r="AQ9" s="1288" t="str">
        <f>IF(AQ8="","",IF((BN59+BO59)&gt;=200,"200㎡以上","200㎡未満"))</f>
        <v/>
      </c>
      <c r="AR9" s="1288" t="str">
        <f>IF(AR8="","",AE84)</f>
        <v/>
      </c>
      <c r="AU9" s="1269" t="str">
        <f>""</f>
        <v/>
      </c>
      <c r="AV9" s="1269" t="str">
        <f>""</f>
        <v/>
      </c>
      <c r="AW9" s="1269" t="str">
        <f>""</f>
        <v/>
      </c>
      <c r="AX9" s="1269" t="str">
        <f>""</f>
        <v/>
      </c>
      <c r="AY9" s="1269" t="str">
        <f>""</f>
        <v/>
      </c>
      <c r="AZ9" s="1269" t="str">
        <f>""</f>
        <v/>
      </c>
      <c r="BA9" s="1269" t="str">
        <f>""</f>
        <v/>
      </c>
      <c r="BN9" s="1285">
        <f>プルダウン選択肢!AC8</f>
        <v>0</v>
      </c>
      <c r="BO9" s="1285">
        <f>プルダウン選択肢!AD8</f>
        <v>0</v>
      </c>
      <c r="BP9" s="1285">
        <f>プルダウン選択肢!AE8</f>
        <v>0</v>
      </c>
      <c r="BQ9" s="1285">
        <f>プルダウン選択肢!AF8</f>
        <v>0</v>
      </c>
      <c r="BR9" s="1285">
        <f>プルダウン選択肢!AG8</f>
        <v>0</v>
      </c>
      <c r="BS9" s="1285">
        <f>プルダウン選択肢!AH8</f>
        <v>0</v>
      </c>
      <c r="BT9" s="1285" t="str">
        <f>プルダウン選択肢!AI8</f>
        <v>身体障害者福祉センター</v>
      </c>
      <c r="BU9" s="1285" t="str">
        <f>プルダウン選択肢!AJ8</f>
        <v>盲導犬訓練施設</v>
      </c>
      <c r="BV9" s="1285">
        <f>プルダウン選択肢!AK8</f>
        <v>0</v>
      </c>
      <c r="BW9" s="1285">
        <f>プルダウン選択肢!AL8</f>
        <v>0</v>
      </c>
      <c r="BX9" s="1285">
        <f>プルダウン選択肢!AM8</f>
        <v>0</v>
      </c>
      <c r="BY9" s="1285" t="str">
        <f>プルダウン選択肢!AN8</f>
        <v>スポーツの練習場</v>
      </c>
      <c r="BZ9" s="1285">
        <f>プルダウン選択肢!AO8</f>
        <v>0</v>
      </c>
      <c r="CA9" s="1285">
        <f>プルダウン選択肢!AP8</f>
        <v>0</v>
      </c>
      <c r="CB9" s="1285">
        <f>プルダウン選択肢!AQ8</f>
        <v>0</v>
      </c>
      <c r="CC9" s="1285" t="str">
        <f>プルダウン選択肢!AR8</f>
        <v>バー</v>
      </c>
      <c r="CD9" s="1285">
        <f>プルダウン選択肢!AS8</f>
        <v>0</v>
      </c>
      <c r="CE9" s="1285" t="str">
        <f>プルダウン選択肢!AT8</f>
        <v>学習塾</v>
      </c>
      <c r="CF9" s="1285">
        <f>プルダウン選択肢!AU8</f>
        <v>0</v>
      </c>
      <c r="CG9" s="1285">
        <f>プルダウン選択肢!AV8</f>
        <v>0</v>
      </c>
      <c r="CI9" s="194"/>
    </row>
    <row r="10" spans="1:87">
      <c r="A10" s="772" t="s">
        <v>3226</v>
      </c>
      <c r="B10" s="772" t="s">
        <v>3262</v>
      </c>
      <c r="C10" s="2590"/>
      <c r="D10" s="2591"/>
      <c r="E10" s="2584"/>
      <c r="F10" s="2576"/>
      <c r="G10" s="2566"/>
      <c r="H10" s="2574"/>
      <c r="I10" s="2566"/>
      <c r="J10" s="2574"/>
      <c r="K10" s="2566"/>
      <c r="L10" s="2574"/>
      <c r="M10" s="2566"/>
      <c r="N10" s="2574"/>
      <c r="O10" s="2566"/>
      <c r="P10" s="2574"/>
      <c r="Q10" s="2566"/>
      <c r="R10" s="2574"/>
      <c r="S10" s="2566"/>
      <c r="T10" s="2567"/>
      <c r="W10" s="249">
        <f>S4</f>
        <v>0</v>
      </c>
      <c r="X10" s="248" t="str">
        <f>IF(COUNTIF($W$4:W10,W10)&gt;=2,"",W10)</f>
        <v/>
      </c>
      <c r="Y10" s="247"/>
      <c r="Z10" s="883" t="s">
        <v>5412</v>
      </c>
      <c r="AA10" s="885" t="s">
        <v>5417</v>
      </c>
      <c r="AB10" s="21"/>
      <c r="AC10" s="1286" t="s">
        <v>4808</v>
      </c>
      <c r="AF10" s="1286"/>
      <c r="AG10" s="1286"/>
      <c r="AH10" s="1286"/>
      <c r="AI10" s="1286"/>
      <c r="AJ10" s="1286"/>
      <c r="AK10" s="1286"/>
      <c r="AL10" s="1286"/>
      <c r="AO10" s="1286" t="s">
        <v>4807</v>
      </c>
      <c r="AP10" s="1286"/>
      <c r="AQ10" s="1286"/>
      <c r="AR10" s="1286"/>
      <c r="AT10" s="1289" t="s">
        <v>4806</v>
      </c>
      <c r="AU10" s="1288" t="str">
        <f t="shared" ref="AU10:BA10" si="1">IF(AF17=0,AU9,AU9&amp;$AT10)</f>
        <v/>
      </c>
      <c r="AV10" s="1288" t="str">
        <f t="shared" si="1"/>
        <v/>
      </c>
      <c r="AW10" s="1288" t="str">
        <f t="shared" si="1"/>
        <v/>
      </c>
      <c r="AX10" s="1288" t="str">
        <f t="shared" si="1"/>
        <v/>
      </c>
      <c r="AY10" s="1288" t="str">
        <f t="shared" si="1"/>
        <v/>
      </c>
      <c r="AZ10" s="1288" t="str">
        <f t="shared" si="1"/>
        <v/>
      </c>
      <c r="BA10" s="1288" t="str">
        <f t="shared" si="1"/>
        <v/>
      </c>
      <c r="BN10" s="1285">
        <f>プルダウン選択肢!AC9</f>
        <v>0</v>
      </c>
      <c r="BO10" s="1285">
        <f>プルダウン選択肢!AD9</f>
        <v>0</v>
      </c>
      <c r="BP10" s="1285">
        <f>プルダウン選択肢!AE9</f>
        <v>0</v>
      </c>
      <c r="BQ10" s="1285">
        <f>プルダウン選択肢!AF9</f>
        <v>0</v>
      </c>
      <c r="BR10" s="1285">
        <f>プルダウン選択肢!AG9</f>
        <v>0</v>
      </c>
      <c r="BS10" s="1285">
        <f>プルダウン選択肢!AH9</f>
        <v>0</v>
      </c>
      <c r="BT10" s="1285" t="str">
        <f>プルダウン選択肢!AI9</f>
        <v>老人デイサービスセンター（宿泊サービスを提供しないもの）</v>
      </c>
      <c r="BU10" s="1285" t="str">
        <f>プルダウン選択肢!AJ9</f>
        <v>救護施設</v>
      </c>
      <c r="BV10" s="1285">
        <f>プルダウン選択肢!AK9</f>
        <v>0</v>
      </c>
      <c r="BW10" s="1285">
        <f>プルダウン選択肢!AL9</f>
        <v>0</v>
      </c>
      <c r="BX10" s="1285">
        <f>プルダウン選択肢!AM9</f>
        <v>0</v>
      </c>
      <c r="BY10" s="1285">
        <f>プルダウン選択肢!AN9</f>
        <v>0</v>
      </c>
      <c r="BZ10" s="1285">
        <f>プルダウン選択肢!AO9</f>
        <v>0</v>
      </c>
      <c r="CA10" s="1285">
        <f>プルダウン選択肢!AP9</f>
        <v>0</v>
      </c>
      <c r="CB10" s="1285">
        <f>プルダウン選択肢!AQ9</f>
        <v>0</v>
      </c>
      <c r="CC10" s="1285" t="str">
        <f>プルダウン選択肢!AR9</f>
        <v>ダンスホール</v>
      </c>
      <c r="CD10" s="1285">
        <f>プルダウン選択肢!AS9</f>
        <v>0</v>
      </c>
      <c r="CE10" s="1285">
        <f>プルダウン選択肢!AT9</f>
        <v>0</v>
      </c>
      <c r="CF10" s="1285">
        <f>プルダウン選択肢!AU9</f>
        <v>0</v>
      </c>
      <c r="CG10" s="1285">
        <f>プルダウン選択肢!AV9</f>
        <v>0</v>
      </c>
      <c r="CI10" s="194"/>
    </row>
    <row r="11" spans="1:87">
      <c r="A11" s="772" t="s">
        <v>3227</v>
      </c>
      <c r="B11" s="772" t="s">
        <v>3263</v>
      </c>
      <c r="C11" s="2590"/>
      <c r="D11" s="2591"/>
      <c r="E11" s="2584"/>
      <c r="F11" s="2577"/>
      <c r="G11" s="2566"/>
      <c r="H11" s="2574"/>
      <c r="I11" s="2566"/>
      <c r="J11" s="2574"/>
      <c r="K11" s="2566"/>
      <c r="L11" s="2574"/>
      <c r="M11" s="2566"/>
      <c r="N11" s="2574"/>
      <c r="O11" s="2566"/>
      <c r="P11" s="2574"/>
      <c r="Q11" s="2566"/>
      <c r="R11" s="2574"/>
      <c r="S11" s="2566"/>
      <c r="T11" s="2567"/>
      <c r="W11" s="194"/>
      <c r="X11" s="194"/>
      <c r="Y11" s="194"/>
      <c r="Z11" s="883"/>
      <c r="AA11" s="886" t="s">
        <v>5415</v>
      </c>
      <c r="AB11" s="21"/>
      <c r="AC11" s="1267" t="s">
        <v>4744</v>
      </c>
      <c r="AF11" s="1288" t="str">
        <f t="shared" ref="AF11:AL11" si="2">IF(AF7="","",INDEX($BN$2:$CG$2,0,MATCH(IF(AF10="",AF7,AF10),$BN$3:$CG$3,0)))</f>
        <v/>
      </c>
      <c r="AG11" s="1288" t="str">
        <f t="shared" si="2"/>
        <v/>
      </c>
      <c r="AH11" s="1288" t="str">
        <f t="shared" si="2"/>
        <v/>
      </c>
      <c r="AI11" s="1288" t="str">
        <f t="shared" si="2"/>
        <v/>
      </c>
      <c r="AJ11" s="1288" t="str">
        <f t="shared" si="2"/>
        <v/>
      </c>
      <c r="AK11" s="1288" t="str">
        <f t="shared" si="2"/>
        <v/>
      </c>
      <c r="AL11" s="1288" t="str">
        <f t="shared" si="2"/>
        <v/>
      </c>
      <c r="AO11" s="1267" t="s">
        <v>4805</v>
      </c>
      <c r="AP11" s="1288" t="str">
        <f>IF(AP10="",AP9,AP10)</f>
        <v/>
      </c>
      <c r="AQ11" s="1288" t="str">
        <f>IF(AQ10="",AQ9,AQ10)</f>
        <v/>
      </c>
      <c r="AR11" s="1288" t="str">
        <f>IF(AR10="",AR9,AR10)</f>
        <v/>
      </c>
      <c r="AT11" s="1289" t="s">
        <v>4804</v>
      </c>
      <c r="AU11" s="1288" t="str">
        <f t="shared" ref="AU11:BA11" si="3">IF(AF16=0,AU10,AU10&amp;$AT11)</f>
        <v/>
      </c>
      <c r="AV11" s="1288" t="str">
        <f t="shared" si="3"/>
        <v/>
      </c>
      <c r="AW11" s="1288" t="str">
        <f t="shared" si="3"/>
        <v/>
      </c>
      <c r="AX11" s="1288" t="str">
        <f t="shared" si="3"/>
        <v/>
      </c>
      <c r="AY11" s="1288" t="str">
        <f t="shared" si="3"/>
        <v/>
      </c>
      <c r="AZ11" s="1288" t="str">
        <f t="shared" si="3"/>
        <v/>
      </c>
      <c r="BA11" s="1288" t="str">
        <f t="shared" si="3"/>
        <v/>
      </c>
      <c r="BN11" s="1285">
        <f>プルダウン選択肢!AC10</f>
        <v>0</v>
      </c>
      <c r="BO11" s="1285">
        <f>プルダウン選択肢!AD10</f>
        <v>0</v>
      </c>
      <c r="BP11" s="1285">
        <f>プルダウン選択肢!AE10</f>
        <v>0</v>
      </c>
      <c r="BQ11" s="1285">
        <f>プルダウン選択肢!AF10</f>
        <v>0</v>
      </c>
      <c r="BR11" s="1285">
        <f>プルダウン選択肢!AG10</f>
        <v>0</v>
      </c>
      <c r="BS11" s="1285">
        <f>プルダウン選択肢!AH10</f>
        <v>0</v>
      </c>
      <c r="BT11" s="1285" t="str">
        <f>プルダウン選択肢!AI10</f>
        <v>老人福祉センター</v>
      </c>
      <c r="BU11" s="1285" t="str">
        <f>プルダウン選択肢!AJ10</f>
        <v>更生施設</v>
      </c>
      <c r="BV11" s="1285">
        <f>プルダウン選択肢!AK10</f>
        <v>0</v>
      </c>
      <c r="BW11" s="1285">
        <f>プルダウン選択肢!AL10</f>
        <v>0</v>
      </c>
      <c r="BX11" s="1285">
        <f>プルダウン選択肢!AM10</f>
        <v>0</v>
      </c>
      <c r="BY11" s="1285">
        <f>プルダウン選択肢!AN10</f>
        <v>0</v>
      </c>
      <c r="BZ11" s="1285">
        <f>プルダウン選択肢!AO10</f>
        <v>0</v>
      </c>
      <c r="CA11" s="1285">
        <f>プルダウン選択肢!AP10</f>
        <v>0</v>
      </c>
      <c r="CB11" s="1285">
        <f>プルダウン選択肢!AQ10</f>
        <v>0</v>
      </c>
      <c r="CC11" s="1285" t="str">
        <f>プルダウン選択肢!AR10</f>
        <v>遊技場</v>
      </c>
      <c r="CD11" s="1285">
        <f>プルダウン選択肢!AS10</f>
        <v>0</v>
      </c>
      <c r="CE11" s="1285">
        <f>プルダウン選択肢!AT10</f>
        <v>0</v>
      </c>
      <c r="CF11" s="1285">
        <f>プルダウン選択肢!AU10</f>
        <v>0</v>
      </c>
      <c r="CG11" s="1285">
        <f>プルダウン選択肢!AV10</f>
        <v>0</v>
      </c>
      <c r="CI11" s="194"/>
    </row>
    <row r="12" spans="1:87" ht="27.75" customHeight="1">
      <c r="A12" s="774" t="s">
        <v>3257</v>
      </c>
      <c r="B12" s="772" t="s">
        <v>3264</v>
      </c>
      <c r="C12" s="2592"/>
      <c r="D12" s="2593"/>
      <c r="E12" s="2585"/>
      <c r="F12" s="1677" t="s">
        <v>3137</v>
      </c>
      <c r="G12" s="2568"/>
      <c r="H12" s="2569"/>
      <c r="I12" s="2568"/>
      <c r="J12" s="2569"/>
      <c r="K12" s="2568"/>
      <c r="L12" s="2569"/>
      <c r="M12" s="2568"/>
      <c r="N12" s="2569"/>
      <c r="O12" s="2570"/>
      <c r="P12" s="2571"/>
      <c r="Q12" s="2570"/>
      <c r="R12" s="2571"/>
      <c r="S12" s="2570"/>
      <c r="T12" s="2572"/>
      <c r="U12" s="676" t="s">
        <v>3314</v>
      </c>
      <c r="W12" s="249" t="str">
        <f>SUBSTITUTE(TRIM(SUBSTITUTE(CONCATENATE(G12," ",I12," ",K12," ",M12," ",O12," ",Q12," ",S12),"（該当なし）",""))," ",",")</f>
        <v/>
      </c>
      <c r="X12" s="249" t="str">
        <f>W12&amp;W13</f>
        <v/>
      </c>
      <c r="Z12" s="884"/>
      <c r="AA12" s="887" t="s">
        <v>5416</v>
      </c>
      <c r="AB12" s="155"/>
      <c r="AC12" s="1267" t="s">
        <v>4803</v>
      </c>
      <c r="AF12" s="1287" t="str">
        <f t="shared" ref="AF12" si="4">IF(G12="","",G12)</f>
        <v/>
      </c>
      <c r="AG12" s="1287" t="str">
        <f t="shared" ref="AG12" si="5">IF(I12="","",I12)</f>
        <v/>
      </c>
      <c r="AH12" s="1287" t="str">
        <f t="shared" ref="AH12" si="6">IF(K12="","",K12)</f>
        <v/>
      </c>
      <c r="AI12" s="1287" t="str">
        <f t="shared" ref="AI12" si="7">IF(M12="","",M12)</f>
        <v/>
      </c>
      <c r="AJ12" s="1287" t="str">
        <f t="shared" ref="AJ12" si="8">IF(O12="","",O12)</f>
        <v/>
      </c>
      <c r="AK12" s="1287" t="str">
        <f t="shared" ref="AK12" si="9">IF(Q12="","",Q12)</f>
        <v/>
      </c>
      <c r="AL12" s="1287" t="str">
        <f t="shared" ref="AL12" si="10">IF(S12="","",S12)</f>
        <v/>
      </c>
      <c r="AT12" s="1289" t="s">
        <v>4802</v>
      </c>
      <c r="AU12" s="1288" t="str">
        <f t="shared" ref="AU12:BA12" si="11">IF(AF15=0,AU11,AU11&amp;$AT12)</f>
        <v/>
      </c>
      <c r="AV12" s="1288" t="str">
        <f t="shared" si="11"/>
        <v/>
      </c>
      <c r="AW12" s="1288" t="str">
        <f t="shared" si="11"/>
        <v/>
      </c>
      <c r="AX12" s="1288" t="str">
        <f t="shared" si="11"/>
        <v/>
      </c>
      <c r="AY12" s="1288" t="str">
        <f t="shared" si="11"/>
        <v/>
      </c>
      <c r="AZ12" s="1288" t="str">
        <f t="shared" si="11"/>
        <v/>
      </c>
      <c r="BA12" s="1288" t="str">
        <f t="shared" si="11"/>
        <v/>
      </c>
      <c r="BN12" s="1285">
        <f>プルダウン選択肢!AC11</f>
        <v>0</v>
      </c>
      <c r="BO12" s="1285">
        <f>プルダウン選択肢!AD11</f>
        <v>0</v>
      </c>
      <c r="BP12" s="1285">
        <f>プルダウン選択肢!AE11</f>
        <v>0</v>
      </c>
      <c r="BQ12" s="1285">
        <f>プルダウン選択肢!AF11</f>
        <v>0</v>
      </c>
      <c r="BR12" s="1285">
        <f>プルダウン選択肢!AG11</f>
        <v>0</v>
      </c>
      <c r="BS12" s="1285">
        <f>プルダウン選択肢!AH11</f>
        <v>0</v>
      </c>
      <c r="BT12" s="1285" t="str">
        <f>プルダウン選択肢!AI11</f>
        <v>障害者福祉サービスを行う事業所（生活介護を行う事業所）</v>
      </c>
      <c r="BU12" s="1285" t="str">
        <f>プルダウン選択肢!AJ11</f>
        <v>老人短期入所施設</v>
      </c>
      <c r="BV12" s="1285">
        <f>プルダウン選択肢!AK11</f>
        <v>0</v>
      </c>
      <c r="BW12" s="1285">
        <f>プルダウン選択肢!AL11</f>
        <v>0</v>
      </c>
      <c r="BX12" s="1285">
        <f>プルダウン選択肢!AM11</f>
        <v>0</v>
      </c>
      <c r="BY12" s="1285">
        <f>プルダウン選択肢!AN11</f>
        <v>0</v>
      </c>
      <c r="BZ12" s="1285">
        <f>プルダウン選択肢!AO11</f>
        <v>0</v>
      </c>
      <c r="CA12" s="1285">
        <f>プルダウン選択肢!AP11</f>
        <v>0</v>
      </c>
      <c r="CB12" s="1285">
        <f>プルダウン選択肢!AQ11</f>
        <v>0</v>
      </c>
      <c r="CC12" s="1285">
        <f>プルダウン選択肢!AR11</f>
        <v>0</v>
      </c>
      <c r="CD12" s="1285">
        <f>プルダウン選択肢!AS11</f>
        <v>0</v>
      </c>
      <c r="CE12" s="1285">
        <f>プルダウン選択肢!AT11</f>
        <v>0</v>
      </c>
      <c r="CF12" s="1285">
        <f>プルダウン選択肢!AU11</f>
        <v>0</v>
      </c>
      <c r="CG12" s="1285">
        <f>プルダウン選択肢!AV11</f>
        <v>0</v>
      </c>
    </row>
    <row r="13" spans="1:87" ht="13.5" thickBot="1">
      <c r="A13" s="772" t="s">
        <v>3228</v>
      </c>
      <c r="B13" s="774" t="s">
        <v>3265</v>
      </c>
      <c r="C13" s="2578" t="s">
        <v>365</v>
      </c>
      <c r="D13" s="2579"/>
      <c r="E13" s="658">
        <f>SUM(G13:T13)</f>
        <v>0</v>
      </c>
      <c r="F13" s="156" t="s">
        <v>28</v>
      </c>
      <c r="G13" s="659">
        <f>SUM(G14:G72)</f>
        <v>0</v>
      </c>
      <c r="H13" s="156"/>
      <c r="I13" s="659">
        <f>SUM(I14:I72)</f>
        <v>0</v>
      </c>
      <c r="J13" s="156"/>
      <c r="K13" s="659">
        <f>SUM(K14:K72)</f>
        <v>0</v>
      </c>
      <c r="L13" s="156"/>
      <c r="M13" s="659">
        <f>SUM(M14:M72)</f>
        <v>0</v>
      </c>
      <c r="N13" s="156"/>
      <c r="O13" s="659">
        <f>SUM(O14:O72)</f>
        <v>0</v>
      </c>
      <c r="P13" s="156"/>
      <c r="Q13" s="659">
        <f>SUM(Q14:Q72)</f>
        <v>0</v>
      </c>
      <c r="R13" s="156"/>
      <c r="S13" s="659">
        <f>SUM(S14:S72)</f>
        <v>0</v>
      </c>
      <c r="T13" s="156"/>
      <c r="U13" s="676" t="s">
        <v>2718</v>
      </c>
      <c r="W13" s="249" t="str">
        <f>IF(AND(COUNTA(G12:T12)&gt;0,SUBSTITUTE(CONCATENATE(G12,I12,K12,M12,O12,Q12,S12),"（該当なし）","")=""),"（該当なし）","")</f>
        <v/>
      </c>
      <c r="Z13" s="383"/>
      <c r="AA13" s="194"/>
      <c r="AB13" s="155"/>
      <c r="AC13" s="1267" t="s">
        <v>4558</v>
      </c>
      <c r="AE13" s="1290">
        <f>E13</f>
        <v>0</v>
      </c>
      <c r="AF13" s="1290">
        <f>G13</f>
        <v>0</v>
      </c>
      <c r="AG13" s="1290">
        <f>I13</f>
        <v>0</v>
      </c>
      <c r="AH13" s="1290">
        <f>K13</f>
        <v>0</v>
      </c>
      <c r="AI13" s="1290">
        <f>M13</f>
        <v>0</v>
      </c>
      <c r="AJ13" s="1290">
        <f>O13</f>
        <v>0</v>
      </c>
      <c r="AK13" s="1290">
        <f>Q13</f>
        <v>0</v>
      </c>
      <c r="AL13" s="1290">
        <f>S13</f>
        <v>0</v>
      </c>
      <c r="AP13" s="1267" t="s">
        <v>4876</v>
      </c>
      <c r="AQ13" s="1267" t="s">
        <v>4904</v>
      </c>
      <c r="AR13" s="1267" t="s">
        <v>4903</v>
      </c>
      <c r="AT13" s="1289" t="s">
        <v>4801</v>
      </c>
      <c r="AU13" s="1288" t="str">
        <f t="shared" ref="AU13:BA13" si="12">IF(AF14=0,AU12,AU12&amp;$AT13)</f>
        <v/>
      </c>
      <c r="AV13" s="1288" t="str">
        <f t="shared" si="12"/>
        <v/>
      </c>
      <c r="AW13" s="1288" t="str">
        <f t="shared" si="12"/>
        <v/>
      </c>
      <c r="AX13" s="1288" t="str">
        <f t="shared" si="12"/>
        <v/>
      </c>
      <c r="AY13" s="1288" t="str">
        <f t="shared" si="12"/>
        <v/>
      </c>
      <c r="AZ13" s="1288" t="str">
        <f t="shared" si="12"/>
        <v/>
      </c>
      <c r="BA13" s="1288" t="str">
        <f t="shared" si="12"/>
        <v/>
      </c>
      <c r="BN13" s="1285">
        <f>プルダウン選択肢!AC12</f>
        <v>0</v>
      </c>
      <c r="BO13" s="1285">
        <f>プルダウン選択肢!AD12</f>
        <v>0</v>
      </c>
      <c r="BP13" s="1285">
        <f>プルダウン選択肢!AE12</f>
        <v>0</v>
      </c>
      <c r="BQ13" s="1285">
        <f>プルダウン選択肢!AF12</f>
        <v>0</v>
      </c>
      <c r="BR13" s="1285">
        <f>プルダウン選択肢!AG12</f>
        <v>0</v>
      </c>
      <c r="BS13" s="1285">
        <f>プルダウン選択肢!AH12</f>
        <v>0</v>
      </c>
      <c r="BT13" s="1285" t="str">
        <f>プルダウン選択肢!AI12</f>
        <v>障害者福祉サービスを行う事業所（就労継続支援を行う事業所）</v>
      </c>
      <c r="BU13" s="1285" t="str">
        <f>プルダウン選択肢!AJ12</f>
        <v>小規模多機能居宅介護の事業所</v>
      </c>
      <c r="BV13" s="1285">
        <f>プルダウン選択肢!AK12</f>
        <v>0</v>
      </c>
      <c r="BW13" s="1285">
        <f>プルダウン選択肢!AL12</f>
        <v>0</v>
      </c>
      <c r="BX13" s="1285">
        <f>プルダウン選択肢!AM12</f>
        <v>0</v>
      </c>
      <c r="BY13" s="1285">
        <f>プルダウン選択肢!AN12</f>
        <v>0</v>
      </c>
      <c r="BZ13" s="1285">
        <f>プルダウン選択肢!AO12</f>
        <v>0</v>
      </c>
      <c r="CA13" s="1285">
        <f>プルダウン選択肢!AP12</f>
        <v>0</v>
      </c>
      <c r="CB13" s="1285">
        <f>プルダウン選択肢!AQ12</f>
        <v>0</v>
      </c>
      <c r="CC13" s="1285">
        <f>プルダウン選択肢!AR12</f>
        <v>0</v>
      </c>
      <c r="CD13" s="1285">
        <f>プルダウン選択肢!AS12</f>
        <v>0</v>
      </c>
      <c r="CE13" s="1285">
        <f>プルダウン選択肢!AT12</f>
        <v>0</v>
      </c>
      <c r="CF13" s="1285">
        <f>プルダウン選択肢!AU12</f>
        <v>0</v>
      </c>
      <c r="CG13" s="1285">
        <f>プルダウン選択肢!AV12</f>
        <v>0</v>
      </c>
    </row>
    <row r="14" spans="1:87" ht="13.5" thickTop="1">
      <c r="A14" s="772" t="s">
        <v>3229</v>
      </c>
      <c r="B14" s="772" t="s">
        <v>3266</v>
      </c>
      <c r="C14" s="284" t="s">
        <v>361</v>
      </c>
      <c r="D14" s="285" t="s">
        <v>17</v>
      </c>
      <c r="E14" s="660">
        <f>SUM(G14:T14)</f>
        <v>0</v>
      </c>
      <c r="F14" s="285" t="s">
        <v>28</v>
      </c>
      <c r="G14" s="653"/>
      <c r="H14" s="286" t="s">
        <v>28</v>
      </c>
      <c r="I14" s="653"/>
      <c r="J14" s="286" t="s">
        <v>28</v>
      </c>
      <c r="K14" s="653"/>
      <c r="L14" s="286" t="s">
        <v>28</v>
      </c>
      <c r="M14" s="653"/>
      <c r="N14" s="286" t="s">
        <v>28</v>
      </c>
      <c r="O14" s="653"/>
      <c r="P14" s="286" t="s">
        <v>28</v>
      </c>
      <c r="Q14" s="653"/>
      <c r="R14" s="286" t="s">
        <v>28</v>
      </c>
      <c r="S14" s="653"/>
      <c r="T14" s="287" t="s">
        <v>28</v>
      </c>
      <c r="U14" s="676" t="s">
        <v>2720</v>
      </c>
      <c r="Z14" s="872" t="str">
        <f>CJ61</f>
        <v>存在用途まとめ</v>
      </c>
      <c r="AA14" s="873" t="str">
        <f>CJ62</f>
        <v/>
      </c>
      <c r="AB14" s="155"/>
      <c r="AC14" s="1291" t="s">
        <v>4800</v>
      </c>
      <c r="AD14" s="1292"/>
      <c r="AE14" s="1290">
        <f t="shared" ref="AE14:AE72" si="13">E14</f>
        <v>0</v>
      </c>
      <c r="AF14" s="1290">
        <f t="shared" ref="AF14:AF72" si="14">G14</f>
        <v>0</v>
      </c>
      <c r="AG14" s="1290">
        <f t="shared" ref="AG14:AG72" si="15">I14</f>
        <v>0</v>
      </c>
      <c r="AH14" s="1290">
        <f t="shared" ref="AH14:AH72" si="16">K14</f>
        <v>0</v>
      </c>
      <c r="AI14" s="1290">
        <f t="shared" ref="AI14:AI72" si="17">M14</f>
        <v>0</v>
      </c>
      <c r="AJ14" s="1290">
        <f t="shared" ref="AJ14:AJ72" si="18">O14</f>
        <v>0</v>
      </c>
      <c r="AK14" s="1290">
        <f t="shared" ref="AK14:AK72" si="19">Q14</f>
        <v>0</v>
      </c>
      <c r="AL14" s="1290">
        <f t="shared" ref="AL14:AL72" si="20">S14</f>
        <v>0</v>
      </c>
      <c r="AM14" s="1288">
        <f>IF(SUMPRODUCT(($AF$11:$AL$11=$CE$2)*($AF14:$AL14&lt;&gt;0))&gt;0,1,0)</f>
        <v>0</v>
      </c>
      <c r="AO14" s="1287" t="str">
        <f>'1_入力シート【基本情報】'!J4</f>
        <v>令和</v>
      </c>
      <c r="AP14" s="1287">
        <f>'1_入力シート【基本情報】'!M4</f>
        <v>0</v>
      </c>
      <c r="AQ14" s="1293">
        <f>'1_入力シート【基本情報】'!AB7</f>
        <v>0</v>
      </c>
      <c r="AR14" s="1287">
        <f>'1_入力シート【基本情報】'!AK7</f>
        <v>0</v>
      </c>
      <c r="BN14" s="1285">
        <f>プルダウン選択肢!AC13</f>
        <v>0</v>
      </c>
      <c r="BO14" s="1285">
        <f>プルダウン選択肢!AD13</f>
        <v>0</v>
      </c>
      <c r="BP14" s="1285">
        <f>プルダウン選択肢!AE13</f>
        <v>0</v>
      </c>
      <c r="BQ14" s="1285">
        <f>プルダウン選択肢!AF13</f>
        <v>0</v>
      </c>
      <c r="BR14" s="1285">
        <f>プルダウン選択肢!AG13</f>
        <v>0</v>
      </c>
      <c r="BS14" s="1285">
        <f>プルダウン選択肢!AH13</f>
        <v>0</v>
      </c>
      <c r="BT14" s="1285" t="str">
        <f>プルダウン選択肢!AI13</f>
        <v>障害者福祉サービスを行う事業所（自立訓練を行う事業所で、利用者の就寝の用に供しないもの）</v>
      </c>
      <c r="BU14" s="1285" t="str">
        <f>プルダウン選択肢!AJ13</f>
        <v>看護小規模多機能型居宅介護の事業所</v>
      </c>
      <c r="BV14" s="1285">
        <f>プルダウン選択肢!AK13</f>
        <v>0</v>
      </c>
      <c r="BW14" s="1285">
        <f>プルダウン選択肢!AL13</f>
        <v>0</v>
      </c>
      <c r="BX14" s="1285">
        <f>プルダウン選択肢!AM13</f>
        <v>0</v>
      </c>
      <c r="BY14" s="1285">
        <f>プルダウン選択肢!AN13</f>
        <v>0</v>
      </c>
      <c r="BZ14" s="1285">
        <f>プルダウン選択肢!AO13</f>
        <v>0</v>
      </c>
      <c r="CA14" s="1285">
        <f>プルダウン選択肢!AP13</f>
        <v>0</v>
      </c>
      <c r="CB14" s="1285">
        <f>プルダウン選択肢!AQ13</f>
        <v>0</v>
      </c>
      <c r="CC14" s="1285">
        <f>プルダウン選択肢!AR13</f>
        <v>0</v>
      </c>
      <c r="CD14" s="1285">
        <f>プルダウン選択肢!AS13</f>
        <v>0</v>
      </c>
      <c r="CE14" s="1285">
        <f>プルダウン選択肢!AT13</f>
        <v>0</v>
      </c>
      <c r="CF14" s="1285">
        <f>プルダウン選択肢!AU13</f>
        <v>0</v>
      </c>
      <c r="CG14" s="1285">
        <f>プルダウン選択肢!AV13</f>
        <v>0</v>
      </c>
    </row>
    <row r="15" spans="1:87">
      <c r="A15" s="774" t="s">
        <v>3258</v>
      </c>
      <c r="B15" s="772" t="s">
        <v>3267</v>
      </c>
      <c r="C15" s="929" t="s">
        <v>362</v>
      </c>
      <c r="D15" s="153" t="s">
        <v>17</v>
      </c>
      <c r="E15" s="661">
        <f t="shared" ref="E15:E42" si="21">SUM(G15:T15)</f>
        <v>0</v>
      </c>
      <c r="F15" s="153" t="s">
        <v>28</v>
      </c>
      <c r="G15" s="654"/>
      <c r="H15" s="288" t="s">
        <v>28</v>
      </c>
      <c r="I15" s="654"/>
      <c r="J15" s="288" t="s">
        <v>28</v>
      </c>
      <c r="K15" s="654"/>
      <c r="L15" s="288" t="s">
        <v>28</v>
      </c>
      <c r="M15" s="654"/>
      <c r="N15" s="288" t="s">
        <v>28</v>
      </c>
      <c r="O15" s="654"/>
      <c r="P15" s="288" t="s">
        <v>28</v>
      </c>
      <c r="Q15" s="654"/>
      <c r="R15" s="288" t="s">
        <v>28</v>
      </c>
      <c r="S15" s="654"/>
      <c r="T15" s="289" t="s">
        <v>28</v>
      </c>
      <c r="AB15" s="155"/>
      <c r="AC15" s="1291" t="s">
        <v>4799</v>
      </c>
      <c r="AD15" s="1292"/>
      <c r="AE15" s="1290">
        <f t="shared" si="13"/>
        <v>0</v>
      </c>
      <c r="AF15" s="1290">
        <f t="shared" si="14"/>
        <v>0</v>
      </c>
      <c r="AG15" s="1290">
        <f t="shared" si="15"/>
        <v>0</v>
      </c>
      <c r="AH15" s="1290">
        <f t="shared" si="16"/>
        <v>0</v>
      </c>
      <c r="AI15" s="1290">
        <f t="shared" si="17"/>
        <v>0</v>
      </c>
      <c r="AJ15" s="1290">
        <f t="shared" si="18"/>
        <v>0</v>
      </c>
      <c r="AK15" s="1290">
        <f t="shared" si="19"/>
        <v>0</v>
      </c>
      <c r="AL15" s="1290">
        <f t="shared" si="20"/>
        <v>0</v>
      </c>
      <c r="AM15" s="1288">
        <f>IF(SUMPRODUCT(($AF$11:$AL$11=$CE$2)*($AF15:$AL15&lt;&gt;0))&gt;0,1,0)</f>
        <v>0</v>
      </c>
      <c r="AO15" s="1269" t="s">
        <v>4864</v>
      </c>
      <c r="AP15" s="1269">
        <v>2018</v>
      </c>
      <c r="BN15" s="1285">
        <f>プルダウン選択肢!AC14</f>
        <v>0</v>
      </c>
      <c r="BO15" s="1285">
        <f>プルダウン選択肢!AD14</f>
        <v>0</v>
      </c>
      <c r="BP15" s="1285">
        <f>プルダウン選択肢!AE14</f>
        <v>0</v>
      </c>
      <c r="BQ15" s="1285">
        <f>プルダウン選択肢!AF14</f>
        <v>0</v>
      </c>
      <c r="BR15" s="1285">
        <f>プルダウン選択肢!AG14</f>
        <v>0</v>
      </c>
      <c r="BS15" s="1285">
        <f>プルダウン選択肢!AH14</f>
        <v>0</v>
      </c>
      <c r="BT15" s="1285" t="str">
        <f>プルダウン選択肢!AI14</f>
        <v>障害者福祉サービスを行う事業所（就労移行支援を行う事業所で、利用者の就寝の用に供しないもの）</v>
      </c>
      <c r="BU15" s="1285" t="str">
        <f>プルダウン選択肢!AJ14</f>
        <v>老人デイサービスセンター（宿泊サービスを提供するもの）</v>
      </c>
      <c r="BV15" s="1285">
        <f>プルダウン選択肢!AK14</f>
        <v>0</v>
      </c>
      <c r="BW15" s="1285">
        <f>プルダウン選択肢!AL14</f>
        <v>0</v>
      </c>
      <c r="BX15" s="1285">
        <f>プルダウン選択肢!AM14</f>
        <v>0</v>
      </c>
      <c r="BY15" s="1285">
        <f>プルダウン選択肢!AN14</f>
        <v>0</v>
      </c>
      <c r="BZ15" s="1285">
        <f>プルダウン選択肢!AO14</f>
        <v>0</v>
      </c>
      <c r="CA15" s="1285">
        <f>プルダウン選択肢!AP14</f>
        <v>0</v>
      </c>
      <c r="CB15" s="1285">
        <f>プルダウン選択肢!AQ14</f>
        <v>0</v>
      </c>
      <c r="CC15" s="1285">
        <f>プルダウン選択肢!AR14</f>
        <v>0</v>
      </c>
      <c r="CD15" s="1285">
        <f>プルダウン選択肢!AS14</f>
        <v>0</v>
      </c>
      <c r="CE15" s="1285">
        <f>プルダウン選択肢!AT14</f>
        <v>0</v>
      </c>
      <c r="CF15" s="1285">
        <f>プルダウン選択肢!AU14</f>
        <v>0</v>
      </c>
      <c r="CG15" s="1285">
        <f>プルダウン選択肢!AV14</f>
        <v>0</v>
      </c>
    </row>
    <row r="16" spans="1:87">
      <c r="A16" s="772" t="s">
        <v>322</v>
      </c>
      <c r="B16" s="772" t="s">
        <v>3268</v>
      </c>
      <c r="C16" s="929" t="s">
        <v>363</v>
      </c>
      <c r="D16" s="153" t="s">
        <v>17</v>
      </c>
      <c r="E16" s="661">
        <f t="shared" si="21"/>
        <v>0</v>
      </c>
      <c r="F16" s="153" t="s">
        <v>28</v>
      </c>
      <c r="G16" s="654"/>
      <c r="H16" s="288" t="s">
        <v>28</v>
      </c>
      <c r="I16" s="654"/>
      <c r="J16" s="288" t="s">
        <v>28</v>
      </c>
      <c r="K16" s="654"/>
      <c r="L16" s="288" t="s">
        <v>28</v>
      </c>
      <c r="M16" s="654"/>
      <c r="N16" s="288" t="s">
        <v>28</v>
      </c>
      <c r="O16" s="654"/>
      <c r="P16" s="288" t="s">
        <v>28</v>
      </c>
      <c r="Q16" s="654"/>
      <c r="R16" s="288" t="s">
        <v>28</v>
      </c>
      <c r="S16" s="654"/>
      <c r="T16" s="289" t="s">
        <v>28</v>
      </c>
      <c r="Z16" s="874" t="str">
        <f>CI127</f>
        <v>ID用途記号（入力）</v>
      </c>
      <c r="AA16" s="881">
        <f>CI128</f>
        <v>0</v>
      </c>
      <c r="AB16" s="155"/>
      <c r="AC16" s="1291" t="s">
        <v>4798</v>
      </c>
      <c r="AD16" s="1292"/>
      <c r="AE16" s="1290">
        <f t="shared" si="13"/>
        <v>0</v>
      </c>
      <c r="AF16" s="1290">
        <f t="shared" si="14"/>
        <v>0</v>
      </c>
      <c r="AG16" s="1290">
        <f t="shared" si="15"/>
        <v>0</v>
      </c>
      <c r="AH16" s="1290">
        <f t="shared" si="16"/>
        <v>0</v>
      </c>
      <c r="AI16" s="1290">
        <f t="shared" si="17"/>
        <v>0</v>
      </c>
      <c r="AJ16" s="1290">
        <f t="shared" si="18"/>
        <v>0</v>
      </c>
      <c r="AK16" s="1290">
        <f t="shared" si="19"/>
        <v>0</v>
      </c>
      <c r="AL16" s="1290">
        <f t="shared" si="20"/>
        <v>0</v>
      </c>
      <c r="AM16" s="1288">
        <f>IF(SUMPRODUCT(($AF$11:$AL$11=$CE$2)*($AF16:$AL16&lt;&gt;0))&gt;0,1,0)</f>
        <v>0</v>
      </c>
      <c r="AO16" s="1269"/>
      <c r="AP16" s="1269"/>
      <c r="BN16" s="1285">
        <f>プルダウン選択肢!AC15</f>
        <v>0</v>
      </c>
      <c r="BO16" s="1285">
        <f>プルダウン選択肢!AD15</f>
        <v>0</v>
      </c>
      <c r="BP16" s="1285">
        <f>プルダウン選択肢!AE15</f>
        <v>0</v>
      </c>
      <c r="BQ16" s="1285">
        <f>プルダウン選択肢!AF15</f>
        <v>0</v>
      </c>
      <c r="BR16" s="1285">
        <f>プルダウン選択肢!AG15</f>
        <v>0</v>
      </c>
      <c r="BS16" s="1285">
        <f>プルダウン選択肢!AH15</f>
        <v>0</v>
      </c>
      <c r="BT16" s="1285">
        <f>プルダウン選択肢!AI15</f>
        <v>0</v>
      </c>
      <c r="BU16" s="1285" t="str">
        <f>プルダウン選択肢!AJ15</f>
        <v>養護老人ホーム</v>
      </c>
      <c r="BV16" s="1285">
        <f>プルダウン選択肢!AK15</f>
        <v>0</v>
      </c>
      <c r="BW16" s="1285">
        <f>プルダウン選択肢!AL15</f>
        <v>0</v>
      </c>
      <c r="BX16" s="1285">
        <f>プルダウン選択肢!AM15</f>
        <v>0</v>
      </c>
      <c r="BY16" s="1285">
        <f>プルダウン選択肢!AN15</f>
        <v>0</v>
      </c>
      <c r="BZ16" s="1285">
        <f>プルダウン選択肢!AO15</f>
        <v>0</v>
      </c>
      <c r="CA16" s="1285">
        <f>プルダウン選択肢!AP15</f>
        <v>0</v>
      </c>
      <c r="CB16" s="1285">
        <f>プルダウン選択肢!AQ15</f>
        <v>0</v>
      </c>
      <c r="CC16" s="1285">
        <f>プルダウン選択肢!AR15</f>
        <v>0</v>
      </c>
      <c r="CD16" s="1285">
        <f>プルダウン選択肢!AS15</f>
        <v>0</v>
      </c>
      <c r="CE16" s="1285">
        <f>プルダウン選択肢!AT15</f>
        <v>0</v>
      </c>
      <c r="CF16" s="1285">
        <f>プルダウン選択肢!AU15</f>
        <v>0</v>
      </c>
      <c r="CG16" s="1285">
        <f>プルダウン選択肢!AV15</f>
        <v>0</v>
      </c>
    </row>
    <row r="17" spans="1:86" ht="13.5" thickBot="1">
      <c r="A17" s="772" t="s">
        <v>3230</v>
      </c>
      <c r="B17" s="772" t="s">
        <v>3269</v>
      </c>
      <c r="C17" s="163" t="s">
        <v>364</v>
      </c>
      <c r="D17" s="157" t="s">
        <v>17</v>
      </c>
      <c r="E17" s="662">
        <f t="shared" si="21"/>
        <v>0</v>
      </c>
      <c r="F17" s="157" t="s">
        <v>28</v>
      </c>
      <c r="G17" s="655"/>
      <c r="H17" s="290" t="s">
        <v>28</v>
      </c>
      <c r="I17" s="655"/>
      <c r="J17" s="290" t="s">
        <v>28</v>
      </c>
      <c r="K17" s="655"/>
      <c r="L17" s="290" t="s">
        <v>28</v>
      </c>
      <c r="M17" s="655"/>
      <c r="N17" s="290" t="s">
        <v>28</v>
      </c>
      <c r="O17" s="655"/>
      <c r="P17" s="290" t="s">
        <v>28</v>
      </c>
      <c r="Q17" s="655"/>
      <c r="R17" s="290" t="s">
        <v>28</v>
      </c>
      <c r="S17" s="655"/>
      <c r="T17" s="291" t="s">
        <v>28</v>
      </c>
      <c r="Z17" s="872" t="str">
        <f>CJ131</f>
        <v>対象用途記号まとめ（面積最大）</v>
      </c>
      <c r="AA17" s="873" t="str">
        <f>CJ132</f>
        <v/>
      </c>
      <c r="AB17" s="155"/>
      <c r="AC17" s="1291" t="s">
        <v>4797</v>
      </c>
      <c r="AD17" s="1292"/>
      <c r="AE17" s="1290">
        <f t="shared" si="13"/>
        <v>0</v>
      </c>
      <c r="AF17" s="1290">
        <f t="shared" si="14"/>
        <v>0</v>
      </c>
      <c r="AG17" s="1290">
        <f t="shared" si="15"/>
        <v>0</v>
      </c>
      <c r="AH17" s="1290">
        <f t="shared" si="16"/>
        <v>0</v>
      </c>
      <c r="AI17" s="1290">
        <f t="shared" si="17"/>
        <v>0</v>
      </c>
      <c r="AJ17" s="1290">
        <f t="shared" si="18"/>
        <v>0</v>
      </c>
      <c r="AK17" s="1290">
        <f t="shared" si="19"/>
        <v>0</v>
      </c>
      <c r="AL17" s="1290">
        <f t="shared" si="20"/>
        <v>0</v>
      </c>
      <c r="AM17" s="1288">
        <f>IF(SUMPRODUCT(($AF$11:$AL$11=$CE$2)*($AF17:$AL17&lt;&gt;0))&gt;0,1,0)</f>
        <v>0</v>
      </c>
      <c r="AO17" s="1269"/>
      <c r="AP17" s="1269"/>
      <c r="BN17" s="1285">
        <f>プルダウン選択肢!AC16</f>
        <v>0</v>
      </c>
      <c r="BO17" s="1285">
        <f>プルダウン選択肢!AD16</f>
        <v>0</v>
      </c>
      <c r="BP17" s="1285">
        <f>プルダウン選択肢!AE16</f>
        <v>0</v>
      </c>
      <c r="BQ17" s="1285">
        <f>プルダウン選択肢!AF16</f>
        <v>0</v>
      </c>
      <c r="BR17" s="1285">
        <f>プルダウン選択肢!AG16</f>
        <v>0</v>
      </c>
      <c r="BS17" s="1285">
        <f>プルダウン選択肢!AH16</f>
        <v>0</v>
      </c>
      <c r="BT17" s="1285">
        <f>プルダウン選択肢!AI16</f>
        <v>0</v>
      </c>
      <c r="BU17" s="1285" t="str">
        <f>プルダウン選択肢!AJ16</f>
        <v>特別養護老人ホーム</v>
      </c>
      <c r="BV17" s="1285">
        <f>プルダウン選択肢!AK16</f>
        <v>0</v>
      </c>
      <c r="BW17" s="1285">
        <f>プルダウン選択肢!AL16</f>
        <v>0</v>
      </c>
      <c r="BX17" s="1285">
        <f>プルダウン選択肢!AM16</f>
        <v>0</v>
      </c>
      <c r="BY17" s="1285">
        <f>プルダウン選択肢!AN16</f>
        <v>0</v>
      </c>
      <c r="BZ17" s="1285">
        <f>プルダウン選択肢!AO16</f>
        <v>0</v>
      </c>
      <c r="CA17" s="1285">
        <f>プルダウン選択肢!AP16</f>
        <v>0</v>
      </c>
      <c r="CB17" s="1285">
        <f>プルダウン選択肢!AQ16</f>
        <v>0</v>
      </c>
      <c r="CC17" s="1285">
        <f>プルダウン選択肢!AR16</f>
        <v>0</v>
      </c>
      <c r="CD17" s="1285">
        <f>プルダウン選択肢!AS16</f>
        <v>0</v>
      </c>
      <c r="CE17" s="1285">
        <f>プルダウン選択肢!AT16</f>
        <v>0</v>
      </c>
      <c r="CF17" s="1285">
        <f>プルダウン選択肢!AU16</f>
        <v>0</v>
      </c>
      <c r="CG17" s="1285">
        <f>プルダウン選択肢!AV16</f>
        <v>0</v>
      </c>
    </row>
    <row r="18" spans="1:86" ht="13.5" thickTop="1">
      <c r="A18" s="774" t="s">
        <v>3255</v>
      </c>
      <c r="B18" s="772" t="s">
        <v>3270</v>
      </c>
      <c r="C18" s="158" t="s">
        <v>353</v>
      </c>
      <c r="D18" s="153" t="s">
        <v>17</v>
      </c>
      <c r="E18" s="661">
        <f t="shared" si="21"/>
        <v>0</v>
      </c>
      <c r="F18" s="153" t="s">
        <v>28</v>
      </c>
      <c r="G18" s="654"/>
      <c r="H18" s="288" t="s">
        <v>28</v>
      </c>
      <c r="I18" s="654"/>
      <c r="J18" s="288" t="s">
        <v>28</v>
      </c>
      <c r="K18" s="654"/>
      <c r="L18" s="288" t="s">
        <v>28</v>
      </c>
      <c r="M18" s="654"/>
      <c r="N18" s="288" t="s">
        <v>28</v>
      </c>
      <c r="O18" s="654"/>
      <c r="P18" s="288" t="s">
        <v>28</v>
      </c>
      <c r="Q18" s="654"/>
      <c r="R18" s="288" t="s">
        <v>28</v>
      </c>
      <c r="S18" s="654"/>
      <c r="T18" s="289" t="s">
        <v>28</v>
      </c>
      <c r="Z18" s="882" t="str">
        <f>CJ125</f>
        <v>対象用途記号まとめ（全て）</v>
      </c>
      <c r="AA18" s="882" t="str">
        <f>CJ126</f>
        <v/>
      </c>
      <c r="AB18" s="155"/>
      <c r="AC18" s="1291" t="s">
        <v>4796</v>
      </c>
      <c r="AD18" s="1291"/>
      <c r="AE18" s="1290">
        <f t="shared" si="13"/>
        <v>0</v>
      </c>
      <c r="AF18" s="1290">
        <f t="shared" si="14"/>
        <v>0</v>
      </c>
      <c r="AG18" s="1290">
        <f t="shared" si="15"/>
        <v>0</v>
      </c>
      <c r="AH18" s="1290">
        <f t="shared" si="16"/>
        <v>0</v>
      </c>
      <c r="AI18" s="1290">
        <f t="shared" si="17"/>
        <v>0</v>
      </c>
      <c r="AJ18" s="1290">
        <f t="shared" si="18"/>
        <v>0</v>
      </c>
      <c r="AK18" s="1290">
        <f t="shared" si="19"/>
        <v>0</v>
      </c>
      <c r="AL18" s="1290">
        <f t="shared" si="20"/>
        <v>0</v>
      </c>
      <c r="AM18" s="1269">
        <v>0</v>
      </c>
      <c r="AO18" s="1267" t="s">
        <v>726</v>
      </c>
      <c r="AQ18" s="1267" t="s">
        <v>5675</v>
      </c>
      <c r="AR18" s="1267" t="s">
        <v>5673</v>
      </c>
      <c r="BN18" s="1285">
        <f>プルダウン選択肢!AC17</f>
        <v>0</v>
      </c>
      <c r="BO18" s="1285">
        <f>プルダウン選択肢!AD17</f>
        <v>0</v>
      </c>
      <c r="BP18" s="1285">
        <f>プルダウン選択肢!AE17</f>
        <v>0</v>
      </c>
      <c r="BQ18" s="1285">
        <f>プルダウン選択肢!AF17</f>
        <v>0</v>
      </c>
      <c r="BR18" s="1285">
        <f>プルダウン選択肢!AG17</f>
        <v>0</v>
      </c>
      <c r="BS18" s="1285">
        <f>プルダウン選択肢!AH17</f>
        <v>0</v>
      </c>
      <c r="BT18" s="1285">
        <f>プルダウン選択肢!AI17</f>
        <v>0</v>
      </c>
      <c r="BU18" s="1285" t="str">
        <f>プルダウン選択肢!AJ17</f>
        <v>軽費老人ホーム</v>
      </c>
      <c r="BV18" s="1285">
        <f>プルダウン選択肢!AK17</f>
        <v>0</v>
      </c>
      <c r="BW18" s="1285">
        <f>プルダウン選択肢!AL17</f>
        <v>0</v>
      </c>
      <c r="BX18" s="1285">
        <f>プルダウン選択肢!AM17</f>
        <v>0</v>
      </c>
      <c r="BY18" s="1285">
        <f>プルダウン選択肢!AN17</f>
        <v>0</v>
      </c>
      <c r="BZ18" s="1285">
        <f>プルダウン選択肢!AO17</f>
        <v>0</v>
      </c>
      <c r="CA18" s="1285">
        <f>プルダウン選択肢!AP17</f>
        <v>0</v>
      </c>
      <c r="CB18" s="1285">
        <f>プルダウン選択肢!AQ17</f>
        <v>0</v>
      </c>
      <c r="CC18" s="1285">
        <f>プルダウン選択肢!AR17</f>
        <v>0</v>
      </c>
      <c r="CD18" s="1285">
        <f>プルダウン選択肢!AS17</f>
        <v>0</v>
      </c>
      <c r="CE18" s="1285">
        <f>プルダウン選択肢!AT17</f>
        <v>0</v>
      </c>
      <c r="CF18" s="1285">
        <f>プルダウン選択肢!AU17</f>
        <v>0</v>
      </c>
      <c r="CG18" s="1285">
        <f>プルダウン選択肢!AV17</f>
        <v>0</v>
      </c>
    </row>
    <row r="19" spans="1:86">
      <c r="A19" s="772" t="s">
        <v>3231</v>
      </c>
      <c r="B19" s="774" t="s">
        <v>3271</v>
      </c>
      <c r="C19" s="158" t="s">
        <v>354</v>
      </c>
      <c r="D19" s="153" t="s">
        <v>17</v>
      </c>
      <c r="E19" s="661">
        <f t="shared" si="21"/>
        <v>0</v>
      </c>
      <c r="F19" s="153" t="s">
        <v>28</v>
      </c>
      <c r="G19" s="654"/>
      <c r="H19" s="288" t="s">
        <v>28</v>
      </c>
      <c r="I19" s="654"/>
      <c r="J19" s="288" t="s">
        <v>28</v>
      </c>
      <c r="K19" s="654"/>
      <c r="L19" s="288" t="s">
        <v>28</v>
      </c>
      <c r="M19" s="654"/>
      <c r="N19" s="288" t="s">
        <v>28</v>
      </c>
      <c r="O19" s="654"/>
      <c r="P19" s="288" t="s">
        <v>28</v>
      </c>
      <c r="Q19" s="654"/>
      <c r="R19" s="288" t="s">
        <v>28</v>
      </c>
      <c r="S19" s="654"/>
      <c r="T19" s="289" t="s">
        <v>28</v>
      </c>
      <c r="Z19" s="874" t="str">
        <f>CJ127</f>
        <v>ID用途記号整合</v>
      </c>
      <c r="AA19" s="874" t="str">
        <f>CJ128</f>
        <v>NG</v>
      </c>
      <c r="AB19" s="155"/>
      <c r="AC19" s="1291" t="s">
        <v>4795</v>
      </c>
      <c r="AD19" s="1291"/>
      <c r="AE19" s="1290">
        <f t="shared" si="13"/>
        <v>0</v>
      </c>
      <c r="AF19" s="1290">
        <f t="shared" si="14"/>
        <v>0</v>
      </c>
      <c r="AG19" s="1290">
        <f t="shared" si="15"/>
        <v>0</v>
      </c>
      <c r="AH19" s="1290">
        <f t="shared" si="16"/>
        <v>0</v>
      </c>
      <c r="AI19" s="1290">
        <f t="shared" si="17"/>
        <v>0</v>
      </c>
      <c r="AJ19" s="1290">
        <f t="shared" si="18"/>
        <v>0</v>
      </c>
      <c r="AK19" s="1290">
        <f t="shared" si="19"/>
        <v>0</v>
      </c>
      <c r="AL19" s="1290">
        <f t="shared" si="20"/>
        <v>0</v>
      </c>
      <c r="AM19" s="1269">
        <v>0</v>
      </c>
      <c r="AQ19" s="1287">
        <f>'1_入力シート【基本情報】'!AB274</f>
        <v>0</v>
      </c>
      <c r="AR19" s="1288" t="str">
        <f>IF(AQ19="対象",TRUE,IF(AQ19="対象外",FALSE,""))</f>
        <v/>
      </c>
      <c r="BN19" s="1285">
        <f>プルダウン選択肢!AC18</f>
        <v>0</v>
      </c>
      <c r="BO19" s="1285">
        <f>プルダウン選択肢!AD18</f>
        <v>0</v>
      </c>
      <c r="BP19" s="1285">
        <f>プルダウン選択肢!AE18</f>
        <v>0</v>
      </c>
      <c r="BQ19" s="1285">
        <f>プルダウン選択肢!AF18</f>
        <v>0</v>
      </c>
      <c r="BR19" s="1285">
        <f>プルダウン選択肢!AG18</f>
        <v>0</v>
      </c>
      <c r="BS19" s="1285">
        <f>プルダウン選択肢!AH18</f>
        <v>0</v>
      </c>
      <c r="BT19" s="1285">
        <f>プルダウン選択肢!AI18</f>
        <v>0</v>
      </c>
      <c r="BU19" s="1285" t="str">
        <f>プルダウン選択肢!AJ18</f>
        <v>有料老人ホーム</v>
      </c>
      <c r="BV19" s="1285">
        <f>プルダウン選択肢!AK18</f>
        <v>0</v>
      </c>
      <c r="BW19" s="1285">
        <f>プルダウン選択肢!AL18</f>
        <v>0</v>
      </c>
      <c r="BX19" s="1285">
        <f>プルダウン選択肢!AM18</f>
        <v>0</v>
      </c>
      <c r="BY19" s="1285">
        <f>プルダウン選択肢!AN18</f>
        <v>0</v>
      </c>
      <c r="BZ19" s="1285">
        <f>プルダウン選択肢!AO18</f>
        <v>0</v>
      </c>
      <c r="CA19" s="1285">
        <f>プルダウン選択肢!AP18</f>
        <v>0</v>
      </c>
      <c r="CB19" s="1285">
        <f>プルダウン選択肢!AQ18</f>
        <v>0</v>
      </c>
      <c r="CC19" s="1285">
        <f>プルダウン選択肢!AR18</f>
        <v>0</v>
      </c>
      <c r="CD19" s="1285">
        <f>プルダウン選択肢!AS18</f>
        <v>0</v>
      </c>
      <c r="CE19" s="1285">
        <f>プルダウン選択肢!AT18</f>
        <v>0</v>
      </c>
      <c r="CF19" s="1285">
        <f>プルダウン選択肢!AU18</f>
        <v>0</v>
      </c>
      <c r="CG19" s="1285">
        <f>プルダウン選択肢!AV18</f>
        <v>0</v>
      </c>
    </row>
    <row r="20" spans="1:86">
      <c r="A20" s="772" t="s">
        <v>3232</v>
      </c>
      <c r="B20" s="772" t="s">
        <v>3272</v>
      </c>
      <c r="C20" s="158" t="s">
        <v>355</v>
      </c>
      <c r="D20" s="153" t="s">
        <v>17</v>
      </c>
      <c r="E20" s="661">
        <f t="shared" si="21"/>
        <v>0</v>
      </c>
      <c r="F20" s="153" t="s">
        <v>28</v>
      </c>
      <c r="G20" s="654"/>
      <c r="H20" s="288" t="s">
        <v>28</v>
      </c>
      <c r="I20" s="654"/>
      <c r="J20" s="288" t="s">
        <v>28</v>
      </c>
      <c r="K20" s="654"/>
      <c r="L20" s="288" t="s">
        <v>28</v>
      </c>
      <c r="M20" s="654"/>
      <c r="N20" s="288" t="s">
        <v>28</v>
      </c>
      <c r="O20" s="654"/>
      <c r="P20" s="288" t="s">
        <v>28</v>
      </c>
      <c r="Q20" s="654"/>
      <c r="R20" s="288" t="s">
        <v>28</v>
      </c>
      <c r="S20" s="654"/>
      <c r="T20" s="289" t="s">
        <v>28</v>
      </c>
      <c r="Z20" s="874" t="str">
        <f>CJ138</f>
        <v>周期整合</v>
      </c>
      <c r="AA20" s="874" t="str">
        <f>CJ139</f>
        <v>NG</v>
      </c>
      <c r="AB20" s="155"/>
      <c r="AC20" s="1291" t="s">
        <v>4794</v>
      </c>
      <c r="AD20" s="1291"/>
      <c r="AE20" s="1290">
        <f t="shared" si="13"/>
        <v>0</v>
      </c>
      <c r="AF20" s="1290">
        <f t="shared" si="14"/>
        <v>0</v>
      </c>
      <c r="AG20" s="1290">
        <f t="shared" si="15"/>
        <v>0</v>
      </c>
      <c r="AH20" s="1290">
        <f t="shared" si="16"/>
        <v>0</v>
      </c>
      <c r="AI20" s="1290">
        <f t="shared" si="17"/>
        <v>0</v>
      </c>
      <c r="AJ20" s="1290">
        <f t="shared" si="18"/>
        <v>0</v>
      </c>
      <c r="AK20" s="1290">
        <f t="shared" si="19"/>
        <v>0</v>
      </c>
      <c r="AL20" s="1290">
        <f t="shared" si="20"/>
        <v>0</v>
      </c>
      <c r="AM20" s="1269">
        <v>0</v>
      </c>
      <c r="AO20" s="1267" t="s">
        <v>4892</v>
      </c>
      <c r="AP20" s="1267" t="s">
        <v>5672</v>
      </c>
      <c r="AQ20" s="1267" t="s">
        <v>5676</v>
      </c>
      <c r="AR20" s="1267" t="s">
        <v>5673</v>
      </c>
      <c r="BN20" s="1285">
        <f>プルダウン選択肢!AC19</f>
        <v>0</v>
      </c>
      <c r="BO20" s="1285">
        <f>プルダウン選択肢!AD19</f>
        <v>0</v>
      </c>
      <c r="BP20" s="1285">
        <f>プルダウン選択肢!AE19</f>
        <v>0</v>
      </c>
      <c r="BQ20" s="1285">
        <f>プルダウン選択肢!AF19</f>
        <v>0</v>
      </c>
      <c r="BR20" s="1285">
        <f>プルダウン選択肢!AG19</f>
        <v>0</v>
      </c>
      <c r="BS20" s="1285">
        <f>プルダウン選択肢!AH19</f>
        <v>0</v>
      </c>
      <c r="BT20" s="1285">
        <f>プルダウン選択肢!AI19</f>
        <v>0</v>
      </c>
      <c r="BU20" s="1285" t="str">
        <f>プルダウン選択肢!AJ19</f>
        <v>母子保健施設</v>
      </c>
      <c r="BV20" s="1285">
        <f>プルダウン選択肢!AK19</f>
        <v>0</v>
      </c>
      <c r="BW20" s="1285">
        <f>プルダウン選択肢!AL19</f>
        <v>0</v>
      </c>
      <c r="BX20" s="1285">
        <f>プルダウン選択肢!AM19</f>
        <v>0</v>
      </c>
      <c r="BY20" s="1285">
        <f>プルダウン選択肢!AN19</f>
        <v>0</v>
      </c>
      <c r="BZ20" s="1285">
        <f>プルダウン選択肢!AO19</f>
        <v>0</v>
      </c>
      <c r="CA20" s="1285">
        <f>プルダウン選択肢!AP19</f>
        <v>0</v>
      </c>
      <c r="CB20" s="1285">
        <f>プルダウン選択肢!AQ19</f>
        <v>0</v>
      </c>
      <c r="CC20" s="1285">
        <f>プルダウン選択肢!AR19</f>
        <v>0</v>
      </c>
      <c r="CD20" s="1285">
        <f>プルダウン選択肢!AS19</f>
        <v>0</v>
      </c>
      <c r="CE20" s="1285">
        <f>プルダウン選択肢!AT19</f>
        <v>0</v>
      </c>
      <c r="CF20" s="1285">
        <f>プルダウン選択肢!AU19</f>
        <v>0</v>
      </c>
      <c r="CG20" s="1285">
        <f>プルダウン選択肢!AV19</f>
        <v>0</v>
      </c>
    </row>
    <row r="21" spans="1:86">
      <c r="A21" s="772" t="s">
        <v>3233</v>
      </c>
      <c r="B21" s="772" t="s">
        <v>3153</v>
      </c>
      <c r="C21" s="158" t="s">
        <v>356</v>
      </c>
      <c r="D21" s="153" t="s">
        <v>17</v>
      </c>
      <c r="E21" s="661">
        <f t="shared" si="21"/>
        <v>0</v>
      </c>
      <c r="F21" s="153" t="s">
        <v>28</v>
      </c>
      <c r="G21" s="654"/>
      <c r="H21" s="288" t="s">
        <v>28</v>
      </c>
      <c r="I21" s="654"/>
      <c r="J21" s="288" t="s">
        <v>28</v>
      </c>
      <c r="K21" s="654"/>
      <c r="L21" s="288" t="s">
        <v>28</v>
      </c>
      <c r="M21" s="654"/>
      <c r="N21" s="288" t="s">
        <v>28</v>
      </c>
      <c r="O21" s="654"/>
      <c r="P21" s="288" t="s">
        <v>28</v>
      </c>
      <c r="Q21" s="654"/>
      <c r="R21" s="288" t="s">
        <v>28</v>
      </c>
      <c r="S21" s="654"/>
      <c r="T21" s="289" t="s">
        <v>28</v>
      </c>
      <c r="AB21" s="155"/>
      <c r="AC21" s="1291" t="s">
        <v>4793</v>
      </c>
      <c r="AD21" s="1291"/>
      <c r="AE21" s="1290">
        <f t="shared" si="13"/>
        <v>0</v>
      </c>
      <c r="AF21" s="1290">
        <f t="shared" si="14"/>
        <v>0</v>
      </c>
      <c r="AG21" s="1290">
        <f t="shared" si="15"/>
        <v>0</v>
      </c>
      <c r="AH21" s="1290">
        <f t="shared" si="16"/>
        <v>0</v>
      </c>
      <c r="AI21" s="1290">
        <f t="shared" si="17"/>
        <v>0</v>
      </c>
      <c r="AJ21" s="1290">
        <f t="shared" si="18"/>
        <v>0</v>
      </c>
      <c r="AK21" s="1290">
        <f t="shared" si="19"/>
        <v>0</v>
      </c>
      <c r="AL21" s="1290">
        <f t="shared" si="20"/>
        <v>0</v>
      </c>
      <c r="AM21" s="1269">
        <v>0</v>
      </c>
      <c r="AP21" s="1287">
        <f>'1_入力シート【基本情報】'!AB275</f>
        <v>0</v>
      </c>
      <c r="AQ21" s="1287">
        <f>'1_入力シート【基本情報】'!AB277</f>
        <v>0</v>
      </c>
      <c r="AR21" s="1288" t="str">
        <f>IF(AP21&lt;&gt;"無",IF(AQ21="対象",TRUE,IF(AQ21="対象外",FALSE,"")),"")</f>
        <v/>
      </c>
      <c r="BN21" s="1285">
        <f>プルダウン選択肢!AC20</f>
        <v>0</v>
      </c>
      <c r="BO21" s="1285">
        <f>プルダウン選択肢!AD20</f>
        <v>0</v>
      </c>
      <c r="BP21" s="1285">
        <f>プルダウン選択肢!AE20</f>
        <v>0</v>
      </c>
      <c r="BQ21" s="1285">
        <f>プルダウン選択肢!AF20</f>
        <v>0</v>
      </c>
      <c r="BR21" s="1285">
        <f>プルダウン選択肢!AG20</f>
        <v>0</v>
      </c>
      <c r="BS21" s="1285">
        <f>プルダウン選択肢!AH20</f>
        <v>0</v>
      </c>
      <c r="BT21" s="1285">
        <f>プルダウン選択肢!AI20</f>
        <v>0</v>
      </c>
      <c r="BU21" s="1285" t="str">
        <f>プルダウン選択肢!AJ20</f>
        <v>障害者支援施設</v>
      </c>
      <c r="BV21" s="1285">
        <f>プルダウン選択肢!AK20</f>
        <v>0</v>
      </c>
      <c r="BW21" s="1285">
        <f>プルダウン選択肢!AL20</f>
        <v>0</v>
      </c>
      <c r="BX21" s="1285">
        <f>プルダウン選択肢!AM20</f>
        <v>0</v>
      </c>
      <c r="BY21" s="1285">
        <f>プルダウン選択肢!AN20</f>
        <v>0</v>
      </c>
      <c r="BZ21" s="1285">
        <f>プルダウン選択肢!AO20</f>
        <v>0</v>
      </c>
      <c r="CA21" s="1285">
        <f>プルダウン選択肢!AP20</f>
        <v>0</v>
      </c>
      <c r="CB21" s="1285">
        <f>プルダウン選択肢!AQ20</f>
        <v>0</v>
      </c>
      <c r="CC21" s="1285">
        <f>プルダウン選択肢!AR20</f>
        <v>0</v>
      </c>
      <c r="CD21" s="1285">
        <f>プルダウン選択肢!AS20</f>
        <v>0</v>
      </c>
      <c r="CE21" s="1285">
        <f>プルダウン選択肢!AT20</f>
        <v>0</v>
      </c>
      <c r="CF21" s="1285">
        <f>プルダウン選択肢!AU20</f>
        <v>0</v>
      </c>
      <c r="CG21" s="1285">
        <f>プルダウン選択肢!AV20</f>
        <v>0</v>
      </c>
    </row>
    <row r="22" spans="1:86" ht="13.5" thickBot="1">
      <c r="A22" s="774" t="s">
        <v>3259</v>
      </c>
      <c r="B22" s="772" t="s">
        <v>3273</v>
      </c>
      <c r="C22" s="165" t="s">
        <v>357</v>
      </c>
      <c r="D22" s="157" t="s">
        <v>17</v>
      </c>
      <c r="E22" s="662">
        <f t="shared" si="21"/>
        <v>0</v>
      </c>
      <c r="F22" s="157" t="s">
        <v>28</v>
      </c>
      <c r="G22" s="655"/>
      <c r="H22" s="290" t="s">
        <v>28</v>
      </c>
      <c r="I22" s="655"/>
      <c r="J22" s="290" t="s">
        <v>28</v>
      </c>
      <c r="K22" s="655"/>
      <c r="L22" s="290" t="s">
        <v>28</v>
      </c>
      <c r="M22" s="655"/>
      <c r="N22" s="290" t="s">
        <v>28</v>
      </c>
      <c r="O22" s="655"/>
      <c r="P22" s="290" t="s">
        <v>28</v>
      </c>
      <c r="Q22" s="655"/>
      <c r="R22" s="290" t="s">
        <v>28</v>
      </c>
      <c r="S22" s="655"/>
      <c r="T22" s="291" t="s">
        <v>28</v>
      </c>
      <c r="Z22" s="874" t="str">
        <f>BR178</f>
        <v>ID種別番号（入力）</v>
      </c>
      <c r="AA22" s="874">
        <f>BR179</f>
        <v>0</v>
      </c>
      <c r="AB22" s="155"/>
      <c r="AC22" s="1291" t="s">
        <v>4792</v>
      </c>
      <c r="AD22" s="1291"/>
      <c r="AE22" s="1290">
        <f t="shared" si="13"/>
        <v>0</v>
      </c>
      <c r="AF22" s="1290">
        <f t="shared" si="14"/>
        <v>0</v>
      </c>
      <c r="AG22" s="1290">
        <f t="shared" si="15"/>
        <v>0</v>
      </c>
      <c r="AH22" s="1290">
        <f t="shared" si="16"/>
        <v>0</v>
      </c>
      <c r="AI22" s="1290">
        <f t="shared" si="17"/>
        <v>0</v>
      </c>
      <c r="AJ22" s="1290">
        <f t="shared" si="18"/>
        <v>0</v>
      </c>
      <c r="AK22" s="1290">
        <f t="shared" si="19"/>
        <v>0</v>
      </c>
      <c r="AL22" s="1290">
        <f t="shared" si="20"/>
        <v>0</v>
      </c>
      <c r="AM22" s="1269">
        <v>0</v>
      </c>
      <c r="AU22" s="1288" t="str">
        <f t="shared" ref="AU22:BA22" si="22">AU13</f>
        <v/>
      </c>
      <c r="AV22" s="1288" t="str">
        <f t="shared" si="22"/>
        <v/>
      </c>
      <c r="AW22" s="1288" t="str">
        <f t="shared" si="22"/>
        <v/>
      </c>
      <c r="AX22" s="1288" t="str">
        <f t="shared" si="22"/>
        <v/>
      </c>
      <c r="AY22" s="1288" t="str">
        <f t="shared" si="22"/>
        <v/>
      </c>
      <c r="AZ22" s="1288" t="str">
        <f t="shared" si="22"/>
        <v/>
      </c>
      <c r="BA22" s="1288" t="str">
        <f t="shared" si="22"/>
        <v/>
      </c>
      <c r="BN22" s="1285">
        <f>プルダウン選択肢!AC21</f>
        <v>0</v>
      </c>
      <c r="BO22" s="1285">
        <f>プルダウン選択肢!AD21</f>
        <v>0</v>
      </c>
      <c r="BP22" s="1285">
        <f>プルダウン選択肢!AE21</f>
        <v>0</v>
      </c>
      <c r="BQ22" s="1285">
        <f>プルダウン選択肢!AF21</f>
        <v>0</v>
      </c>
      <c r="BR22" s="1285">
        <f>プルダウン選択肢!AG21</f>
        <v>0</v>
      </c>
      <c r="BS22" s="1285">
        <f>プルダウン選択肢!AH21</f>
        <v>0</v>
      </c>
      <c r="BT22" s="1285">
        <f>プルダウン選択肢!AI21</f>
        <v>0</v>
      </c>
      <c r="BU22" s="1285" t="str">
        <f>プルダウン選択肢!AJ21</f>
        <v>福祉ホーム</v>
      </c>
      <c r="BV22" s="1285">
        <f>プルダウン選択肢!AK21</f>
        <v>0</v>
      </c>
      <c r="BW22" s="1285">
        <f>プルダウン選択肢!AL21</f>
        <v>0</v>
      </c>
      <c r="BX22" s="1285">
        <f>プルダウン選択肢!AM21</f>
        <v>0</v>
      </c>
      <c r="BY22" s="1285">
        <f>プルダウン選択肢!AN21</f>
        <v>0</v>
      </c>
      <c r="BZ22" s="1285">
        <f>プルダウン選択肢!AO21</f>
        <v>0</v>
      </c>
      <c r="CA22" s="1285">
        <f>プルダウン選択肢!AP21</f>
        <v>0</v>
      </c>
      <c r="CB22" s="1285">
        <f>プルダウン選択肢!AQ21</f>
        <v>0</v>
      </c>
      <c r="CC22" s="1285">
        <f>プルダウン選択肢!AR21</f>
        <v>0</v>
      </c>
      <c r="CD22" s="1285">
        <f>プルダウン選択肢!AS21</f>
        <v>0</v>
      </c>
      <c r="CE22" s="1285">
        <f>プルダウン選択肢!AT21</f>
        <v>0</v>
      </c>
      <c r="CF22" s="1285">
        <f>プルダウン選択肢!AU21</f>
        <v>0</v>
      </c>
      <c r="CG22" s="1285">
        <f>プルダウン選択肢!AV21</f>
        <v>0</v>
      </c>
    </row>
    <row r="23" spans="1:86" ht="13.5" thickTop="1">
      <c r="A23" s="772" t="s">
        <v>3234</v>
      </c>
      <c r="B23" s="774" t="s">
        <v>3274</v>
      </c>
      <c r="C23" s="164">
        <v>1</v>
      </c>
      <c r="D23" s="153" t="s">
        <v>17</v>
      </c>
      <c r="E23" s="661">
        <f t="shared" si="21"/>
        <v>0</v>
      </c>
      <c r="F23" s="153" t="s">
        <v>28</v>
      </c>
      <c r="G23" s="654"/>
      <c r="H23" s="288" t="s">
        <v>28</v>
      </c>
      <c r="I23" s="654"/>
      <c r="J23" s="288" t="s">
        <v>28</v>
      </c>
      <c r="K23" s="654"/>
      <c r="L23" s="288" t="s">
        <v>28</v>
      </c>
      <c r="M23" s="654"/>
      <c r="N23" s="288" t="s">
        <v>28</v>
      </c>
      <c r="O23" s="654"/>
      <c r="P23" s="288" t="s">
        <v>28</v>
      </c>
      <c r="Q23" s="654"/>
      <c r="R23" s="288" t="s">
        <v>28</v>
      </c>
      <c r="S23" s="654"/>
      <c r="T23" s="289" t="s">
        <v>28</v>
      </c>
      <c r="Z23" s="872" t="str">
        <f>BR168</f>
        <v>ID種別番号</v>
      </c>
      <c r="AA23" s="873" t="str">
        <f>BR177</f>
        <v/>
      </c>
      <c r="AB23" s="155"/>
      <c r="AC23" s="1291">
        <v>1</v>
      </c>
      <c r="AD23" s="1292" t="s">
        <v>4791</v>
      </c>
      <c r="AE23" s="1290">
        <f t="shared" si="13"/>
        <v>0</v>
      </c>
      <c r="AF23" s="1290">
        <f t="shared" si="14"/>
        <v>0</v>
      </c>
      <c r="AG23" s="1290">
        <f t="shared" si="15"/>
        <v>0</v>
      </c>
      <c r="AH23" s="1290">
        <f t="shared" si="16"/>
        <v>0</v>
      </c>
      <c r="AI23" s="1290">
        <f t="shared" si="17"/>
        <v>0</v>
      </c>
      <c r="AJ23" s="1290">
        <f t="shared" si="18"/>
        <v>0</v>
      </c>
      <c r="AK23" s="1290">
        <f t="shared" si="19"/>
        <v>0</v>
      </c>
      <c r="AL23" s="1290">
        <f t="shared" si="20"/>
        <v>0</v>
      </c>
      <c r="AM23" s="1288">
        <f t="shared" ref="AM23:AM54" si="23">IF(SUMPRODUCT(($AF$11:$AL$11=$CE$2)*($AF23:$AL23&lt;&gt;0))&gt;0,1,0)</f>
        <v>0</v>
      </c>
      <c r="AT23" s="1269" t="s">
        <v>4790</v>
      </c>
      <c r="AU23" s="1288" t="str">
        <f t="shared" ref="AU23:AU54" si="24">IF(AF23=0,AU22,AU22&amp;$AT23)</f>
        <v/>
      </c>
      <c r="AV23" s="1288" t="str">
        <f t="shared" ref="AV23:AV54" si="25">IF(AG23=0,AV22,AV22&amp;$AT23)</f>
        <v/>
      </c>
      <c r="AW23" s="1288" t="str">
        <f t="shared" ref="AW23:AW54" si="26">IF(AH23=0,AW22,AW22&amp;$AT23)</f>
        <v/>
      </c>
      <c r="AX23" s="1288" t="str">
        <f t="shared" ref="AX23:AX54" si="27">IF(AI23=0,AX22,AX22&amp;$AT23)</f>
        <v/>
      </c>
      <c r="AY23" s="1288" t="str">
        <f t="shared" ref="AY23:AY54" si="28">IF(AJ23=0,AY22,AY22&amp;$AT23)</f>
        <v/>
      </c>
      <c r="AZ23" s="1288" t="str">
        <f t="shared" ref="AZ23:AZ54" si="29">IF(AK23=0,AZ22,AZ22&amp;$AT23)</f>
        <v/>
      </c>
      <c r="BA23" s="1288" t="str">
        <f t="shared" ref="BA23:BA54" si="30">IF(AL23=0,BA22,BA22&amp;$AT23)</f>
        <v/>
      </c>
      <c r="BN23" s="1285">
        <f>プルダウン選択肢!AC22</f>
        <v>0</v>
      </c>
      <c r="BO23" s="1285">
        <f>プルダウン選択肢!AD22</f>
        <v>0</v>
      </c>
      <c r="BP23" s="1285">
        <f>プルダウン選択肢!AE22</f>
        <v>0</v>
      </c>
      <c r="BQ23" s="1285">
        <f>プルダウン選択肢!AF22</f>
        <v>0</v>
      </c>
      <c r="BR23" s="1285">
        <f>プルダウン選択肢!AG22</f>
        <v>0</v>
      </c>
      <c r="BS23" s="1285">
        <f>プルダウン選択肢!AH22</f>
        <v>0</v>
      </c>
      <c r="BT23" s="1285">
        <f>プルダウン選択肢!AI22</f>
        <v>0</v>
      </c>
      <c r="BU23" s="1285" t="str">
        <f>プルダウン選択肢!AJ22</f>
        <v>障害者福祉サービスを行う事業所（自立訓練を行う事業所で、利用者の就寝の用に供するもの）</v>
      </c>
      <c r="BV23" s="1285">
        <f>プルダウン選択肢!AK22</f>
        <v>0</v>
      </c>
      <c r="BW23" s="1285">
        <f>プルダウン選択肢!AL22</f>
        <v>0</v>
      </c>
      <c r="BX23" s="1285">
        <f>プルダウン選択肢!AM22</f>
        <v>0</v>
      </c>
      <c r="BY23" s="1285">
        <f>プルダウン選択肢!AN22</f>
        <v>0</v>
      </c>
      <c r="BZ23" s="1285">
        <f>プルダウン選択肢!AO22</f>
        <v>0</v>
      </c>
      <c r="CA23" s="1285">
        <f>プルダウン選択肢!AP22</f>
        <v>0</v>
      </c>
      <c r="CB23" s="1285">
        <f>プルダウン選択肢!AQ22</f>
        <v>0</v>
      </c>
      <c r="CC23" s="1285">
        <f>プルダウン選択肢!AR22</f>
        <v>0</v>
      </c>
      <c r="CD23" s="1285">
        <f>プルダウン選択肢!AS22</f>
        <v>0</v>
      </c>
      <c r="CE23" s="1285">
        <f>プルダウン選択肢!AT22</f>
        <v>0</v>
      </c>
      <c r="CF23" s="1285">
        <f>プルダウン選択肢!AU22</f>
        <v>0</v>
      </c>
      <c r="CG23" s="1285">
        <f>プルダウン選択肢!AV22</f>
        <v>0</v>
      </c>
    </row>
    <row r="24" spans="1:86">
      <c r="A24" s="772" t="s">
        <v>3235</v>
      </c>
      <c r="B24" s="772" t="s">
        <v>3275</v>
      </c>
      <c r="C24" s="160">
        <v>2</v>
      </c>
      <c r="D24" s="153" t="s">
        <v>17</v>
      </c>
      <c r="E24" s="661">
        <f t="shared" si="21"/>
        <v>0</v>
      </c>
      <c r="F24" s="153" t="s">
        <v>28</v>
      </c>
      <c r="G24" s="654"/>
      <c r="H24" s="288" t="s">
        <v>28</v>
      </c>
      <c r="I24" s="654"/>
      <c r="J24" s="288" t="s">
        <v>28</v>
      </c>
      <c r="K24" s="654"/>
      <c r="L24" s="288" t="s">
        <v>28</v>
      </c>
      <c r="M24" s="654"/>
      <c r="N24" s="288" t="s">
        <v>28</v>
      </c>
      <c r="O24" s="654"/>
      <c r="P24" s="288" t="s">
        <v>28</v>
      </c>
      <c r="Q24" s="654"/>
      <c r="R24" s="288" t="s">
        <v>28</v>
      </c>
      <c r="S24" s="654"/>
      <c r="T24" s="289" t="s">
        <v>28</v>
      </c>
      <c r="Z24" s="874" t="str">
        <f>BS168</f>
        <v>対象種別</v>
      </c>
      <c r="AA24" s="874" t="str">
        <f>BS177</f>
        <v>対象外</v>
      </c>
      <c r="AB24" s="155"/>
      <c r="AC24" s="1291">
        <v>2</v>
      </c>
      <c r="AD24" s="1292"/>
      <c r="AE24" s="1290">
        <f t="shared" si="13"/>
        <v>0</v>
      </c>
      <c r="AF24" s="1290">
        <f t="shared" si="14"/>
        <v>0</v>
      </c>
      <c r="AG24" s="1290">
        <f t="shared" si="15"/>
        <v>0</v>
      </c>
      <c r="AH24" s="1290">
        <f t="shared" si="16"/>
        <v>0</v>
      </c>
      <c r="AI24" s="1290">
        <f t="shared" si="17"/>
        <v>0</v>
      </c>
      <c r="AJ24" s="1290">
        <f t="shared" si="18"/>
        <v>0</v>
      </c>
      <c r="AK24" s="1290">
        <f t="shared" si="19"/>
        <v>0</v>
      </c>
      <c r="AL24" s="1290">
        <f t="shared" si="20"/>
        <v>0</v>
      </c>
      <c r="AM24" s="1288">
        <f t="shared" si="23"/>
        <v>0</v>
      </c>
      <c r="AT24" s="1269" t="s">
        <v>4789</v>
      </c>
      <c r="AU24" s="1288" t="str">
        <f t="shared" si="24"/>
        <v/>
      </c>
      <c r="AV24" s="1288" t="str">
        <f t="shared" si="25"/>
        <v/>
      </c>
      <c r="AW24" s="1288" t="str">
        <f t="shared" si="26"/>
        <v/>
      </c>
      <c r="AX24" s="1288" t="str">
        <f t="shared" si="27"/>
        <v/>
      </c>
      <c r="AY24" s="1288" t="str">
        <f t="shared" si="28"/>
        <v/>
      </c>
      <c r="AZ24" s="1288" t="str">
        <f t="shared" si="29"/>
        <v/>
      </c>
      <c r="BA24" s="1288" t="str">
        <f t="shared" si="30"/>
        <v/>
      </c>
      <c r="BN24" s="1285">
        <f>プルダウン選択肢!AC23</f>
        <v>0</v>
      </c>
      <c r="BO24" s="1285">
        <f>プルダウン選択肢!AD23</f>
        <v>0</v>
      </c>
      <c r="BP24" s="1285">
        <f>プルダウン選択肢!AE23</f>
        <v>0</v>
      </c>
      <c r="BQ24" s="1285">
        <f>プルダウン選択肢!AF23</f>
        <v>0</v>
      </c>
      <c r="BR24" s="1285">
        <f>プルダウン選択肢!AG23</f>
        <v>0</v>
      </c>
      <c r="BS24" s="1285">
        <f>プルダウン選択肢!AH23</f>
        <v>0</v>
      </c>
      <c r="BT24" s="1285">
        <f>プルダウン選択肢!AI23</f>
        <v>0</v>
      </c>
      <c r="BU24" s="1285" t="str">
        <f>プルダウン選択肢!AJ23</f>
        <v>障害者福祉サービスを行う事業所（就労移行支援を行う事業所で、利用者の就寝の用に供するもの）</v>
      </c>
      <c r="BV24" s="1285">
        <f>プルダウン選択肢!AK23</f>
        <v>0</v>
      </c>
      <c r="BW24" s="1285">
        <f>プルダウン選択肢!AL23</f>
        <v>0</v>
      </c>
      <c r="BX24" s="1285">
        <f>プルダウン選択肢!AM23</f>
        <v>0</v>
      </c>
      <c r="BY24" s="1285">
        <f>プルダウン選択肢!AN23</f>
        <v>0</v>
      </c>
      <c r="BZ24" s="1285">
        <f>プルダウン選択肢!AO23</f>
        <v>0</v>
      </c>
      <c r="CA24" s="1285">
        <f>プルダウン選択肢!AP23</f>
        <v>0</v>
      </c>
      <c r="CB24" s="1285">
        <f>プルダウン選択肢!AQ23</f>
        <v>0</v>
      </c>
      <c r="CC24" s="1285">
        <f>プルダウン選択肢!AR23</f>
        <v>0</v>
      </c>
      <c r="CD24" s="1285">
        <f>プルダウン選択肢!AS23</f>
        <v>0</v>
      </c>
      <c r="CE24" s="1285">
        <f>プルダウン選択肢!AT23</f>
        <v>0</v>
      </c>
      <c r="CF24" s="1285">
        <f>プルダウン選択肢!AU23</f>
        <v>0</v>
      </c>
      <c r="CG24" s="1285">
        <f>プルダウン選択肢!AV23</f>
        <v>0</v>
      </c>
    </row>
    <row r="25" spans="1:86">
      <c r="A25" s="772" t="s">
        <v>3236</v>
      </c>
      <c r="B25" s="774" t="s">
        <v>3276</v>
      </c>
      <c r="C25" s="160">
        <v>3</v>
      </c>
      <c r="D25" s="153" t="s">
        <v>17</v>
      </c>
      <c r="E25" s="661">
        <f t="shared" si="21"/>
        <v>0</v>
      </c>
      <c r="F25" s="153" t="s">
        <v>28</v>
      </c>
      <c r="G25" s="654"/>
      <c r="H25" s="288" t="s">
        <v>28</v>
      </c>
      <c r="I25" s="654"/>
      <c r="J25" s="288" t="s">
        <v>28</v>
      </c>
      <c r="K25" s="654"/>
      <c r="L25" s="288" t="s">
        <v>28</v>
      </c>
      <c r="M25" s="654"/>
      <c r="N25" s="288" t="s">
        <v>28</v>
      </c>
      <c r="O25" s="654"/>
      <c r="P25" s="288" t="s">
        <v>28</v>
      </c>
      <c r="Q25" s="654"/>
      <c r="R25" s="288" t="s">
        <v>28</v>
      </c>
      <c r="S25" s="654"/>
      <c r="T25" s="289" t="s">
        <v>28</v>
      </c>
      <c r="Z25" s="874" t="str">
        <f>BR180</f>
        <v>ID種別番号整合</v>
      </c>
      <c r="AA25" s="874" t="str">
        <f>BR181</f>
        <v>NG</v>
      </c>
      <c r="AB25" s="155"/>
      <c r="AC25" s="1291">
        <v>3</v>
      </c>
      <c r="AD25" s="1292"/>
      <c r="AE25" s="1290">
        <f t="shared" si="13"/>
        <v>0</v>
      </c>
      <c r="AF25" s="1290">
        <f t="shared" si="14"/>
        <v>0</v>
      </c>
      <c r="AG25" s="1290">
        <f t="shared" si="15"/>
        <v>0</v>
      </c>
      <c r="AH25" s="1290">
        <f t="shared" si="16"/>
        <v>0</v>
      </c>
      <c r="AI25" s="1290">
        <f t="shared" si="17"/>
        <v>0</v>
      </c>
      <c r="AJ25" s="1290">
        <f t="shared" si="18"/>
        <v>0</v>
      </c>
      <c r="AK25" s="1290">
        <f t="shared" si="19"/>
        <v>0</v>
      </c>
      <c r="AL25" s="1290">
        <f t="shared" si="20"/>
        <v>0</v>
      </c>
      <c r="AM25" s="1288">
        <f t="shared" si="23"/>
        <v>0</v>
      </c>
      <c r="AT25" s="1269" t="s">
        <v>4788</v>
      </c>
      <c r="AU25" s="1288" t="str">
        <f t="shared" si="24"/>
        <v/>
      </c>
      <c r="AV25" s="1288" t="str">
        <f t="shared" si="25"/>
        <v/>
      </c>
      <c r="AW25" s="1288" t="str">
        <f t="shared" si="26"/>
        <v/>
      </c>
      <c r="AX25" s="1288" t="str">
        <f t="shared" si="27"/>
        <v/>
      </c>
      <c r="AY25" s="1288" t="str">
        <f t="shared" si="28"/>
        <v/>
      </c>
      <c r="AZ25" s="1288" t="str">
        <f t="shared" si="29"/>
        <v/>
      </c>
      <c r="BA25" s="1288" t="str">
        <f t="shared" si="30"/>
        <v/>
      </c>
    </row>
    <row r="26" spans="1:86">
      <c r="A26" s="774" t="s">
        <v>5413</v>
      </c>
      <c r="B26" s="772" t="s">
        <v>3277</v>
      </c>
      <c r="C26" s="160">
        <v>4</v>
      </c>
      <c r="D26" s="153" t="s">
        <v>17</v>
      </c>
      <c r="E26" s="661">
        <f t="shared" si="21"/>
        <v>0</v>
      </c>
      <c r="F26" s="153" t="s">
        <v>28</v>
      </c>
      <c r="G26" s="654"/>
      <c r="H26" s="288" t="s">
        <v>28</v>
      </c>
      <c r="I26" s="654"/>
      <c r="J26" s="288" t="s">
        <v>28</v>
      </c>
      <c r="K26" s="654"/>
      <c r="L26" s="288" t="s">
        <v>28</v>
      </c>
      <c r="M26" s="654"/>
      <c r="N26" s="288" t="s">
        <v>28</v>
      </c>
      <c r="O26" s="654"/>
      <c r="P26" s="288" t="s">
        <v>28</v>
      </c>
      <c r="Q26" s="654"/>
      <c r="R26" s="288" t="s">
        <v>28</v>
      </c>
      <c r="S26" s="654"/>
      <c r="T26" s="289" t="s">
        <v>28</v>
      </c>
      <c r="AB26" s="155"/>
      <c r="AC26" s="1291">
        <v>4</v>
      </c>
      <c r="AD26" s="1292"/>
      <c r="AE26" s="1290">
        <f t="shared" si="13"/>
        <v>0</v>
      </c>
      <c r="AF26" s="1290">
        <f t="shared" si="14"/>
        <v>0</v>
      </c>
      <c r="AG26" s="1290">
        <f t="shared" si="15"/>
        <v>0</v>
      </c>
      <c r="AH26" s="1290">
        <f t="shared" si="16"/>
        <v>0</v>
      </c>
      <c r="AI26" s="1290">
        <f t="shared" si="17"/>
        <v>0</v>
      </c>
      <c r="AJ26" s="1290">
        <f t="shared" si="18"/>
        <v>0</v>
      </c>
      <c r="AK26" s="1290">
        <f t="shared" si="19"/>
        <v>0</v>
      </c>
      <c r="AL26" s="1290">
        <f t="shared" si="20"/>
        <v>0</v>
      </c>
      <c r="AM26" s="1288">
        <f t="shared" si="23"/>
        <v>0</v>
      </c>
      <c r="AT26" s="1269" t="s">
        <v>4787</v>
      </c>
      <c r="AU26" s="1288" t="str">
        <f t="shared" si="24"/>
        <v/>
      </c>
      <c r="AV26" s="1288" t="str">
        <f t="shared" si="25"/>
        <v/>
      </c>
      <c r="AW26" s="1288" t="str">
        <f t="shared" si="26"/>
        <v/>
      </c>
      <c r="AX26" s="1288" t="str">
        <f t="shared" si="27"/>
        <v/>
      </c>
      <c r="AY26" s="1288" t="str">
        <f t="shared" si="28"/>
        <v/>
      </c>
      <c r="AZ26" s="1288" t="str">
        <f t="shared" si="29"/>
        <v/>
      </c>
      <c r="BA26" s="1288" t="str">
        <f t="shared" si="30"/>
        <v/>
      </c>
    </row>
    <row r="27" spans="1:86">
      <c r="A27" s="772" t="s">
        <v>3336</v>
      </c>
      <c r="B27" s="772" t="s">
        <v>3278</v>
      </c>
      <c r="C27" s="161">
        <v>5</v>
      </c>
      <c r="D27" s="154" t="s">
        <v>17</v>
      </c>
      <c r="E27" s="663">
        <f t="shared" si="21"/>
        <v>0</v>
      </c>
      <c r="F27" s="154" t="s">
        <v>28</v>
      </c>
      <c r="G27" s="656"/>
      <c r="H27" s="292" t="s">
        <v>28</v>
      </c>
      <c r="I27" s="656"/>
      <c r="J27" s="292" t="s">
        <v>28</v>
      </c>
      <c r="K27" s="656"/>
      <c r="L27" s="292" t="s">
        <v>28</v>
      </c>
      <c r="M27" s="656"/>
      <c r="N27" s="292" t="s">
        <v>28</v>
      </c>
      <c r="O27" s="656"/>
      <c r="P27" s="292" t="s">
        <v>28</v>
      </c>
      <c r="Q27" s="656"/>
      <c r="R27" s="292" t="s">
        <v>28</v>
      </c>
      <c r="S27" s="656"/>
      <c r="T27" s="293" t="s">
        <v>28</v>
      </c>
      <c r="Z27" s="874" t="str">
        <f>BO178</f>
        <v>建築設備用途/規模該否（入力）（逆算）</v>
      </c>
      <c r="AA27" s="874" t="str">
        <f>BO179</f>
        <v/>
      </c>
      <c r="AB27" s="155"/>
      <c r="AC27" s="1291">
        <v>5</v>
      </c>
      <c r="AD27" s="1292"/>
      <c r="AE27" s="1290">
        <f t="shared" si="13"/>
        <v>0</v>
      </c>
      <c r="AF27" s="1290">
        <f t="shared" si="14"/>
        <v>0</v>
      </c>
      <c r="AG27" s="1290">
        <f t="shared" si="15"/>
        <v>0</v>
      </c>
      <c r="AH27" s="1290">
        <f t="shared" si="16"/>
        <v>0</v>
      </c>
      <c r="AI27" s="1290">
        <f t="shared" si="17"/>
        <v>0</v>
      </c>
      <c r="AJ27" s="1290">
        <f t="shared" si="18"/>
        <v>0</v>
      </c>
      <c r="AK27" s="1290">
        <f t="shared" si="19"/>
        <v>0</v>
      </c>
      <c r="AL27" s="1290">
        <f t="shared" si="20"/>
        <v>0</v>
      </c>
      <c r="AM27" s="1288">
        <f t="shared" si="23"/>
        <v>0</v>
      </c>
      <c r="AT27" s="1269" t="s">
        <v>4786</v>
      </c>
      <c r="AU27" s="1288" t="str">
        <f t="shared" si="24"/>
        <v/>
      </c>
      <c r="AV27" s="1288" t="str">
        <f t="shared" si="25"/>
        <v/>
      </c>
      <c r="AW27" s="1288" t="str">
        <f t="shared" si="26"/>
        <v/>
      </c>
      <c r="AX27" s="1288" t="str">
        <f t="shared" si="27"/>
        <v/>
      </c>
      <c r="AY27" s="1288" t="str">
        <f t="shared" si="28"/>
        <v/>
      </c>
      <c r="AZ27" s="1288" t="str">
        <f t="shared" si="29"/>
        <v/>
      </c>
      <c r="BA27" s="1288" t="str">
        <f t="shared" si="30"/>
        <v/>
      </c>
    </row>
    <row r="28" spans="1:86">
      <c r="A28" s="772" t="s">
        <v>3331</v>
      </c>
      <c r="B28" s="772" t="s">
        <v>3279</v>
      </c>
      <c r="C28" s="162">
        <v>6</v>
      </c>
      <c r="D28" s="152" t="s">
        <v>17</v>
      </c>
      <c r="E28" s="664">
        <f t="shared" si="21"/>
        <v>0</v>
      </c>
      <c r="F28" s="152" t="s">
        <v>28</v>
      </c>
      <c r="G28" s="657"/>
      <c r="H28" s="294" t="s">
        <v>28</v>
      </c>
      <c r="I28" s="657"/>
      <c r="J28" s="294" t="s">
        <v>28</v>
      </c>
      <c r="K28" s="657"/>
      <c r="L28" s="294" t="s">
        <v>28</v>
      </c>
      <c r="M28" s="657"/>
      <c r="N28" s="294" t="s">
        <v>28</v>
      </c>
      <c r="O28" s="657"/>
      <c r="P28" s="294" t="s">
        <v>28</v>
      </c>
      <c r="Q28" s="657"/>
      <c r="R28" s="294" t="s">
        <v>28</v>
      </c>
      <c r="S28" s="657"/>
      <c r="T28" s="295" t="s">
        <v>28</v>
      </c>
      <c r="Z28" s="874" t="str">
        <f>BO180</f>
        <v>建築設備用途/規模該否整合</v>
      </c>
      <c r="AA28" s="874" t="str">
        <f>BO181</f>
        <v/>
      </c>
      <c r="AB28" s="155"/>
      <c r="AC28" s="1291">
        <v>6</v>
      </c>
      <c r="AD28" s="1291"/>
      <c r="AE28" s="1290">
        <f t="shared" si="13"/>
        <v>0</v>
      </c>
      <c r="AF28" s="1290">
        <f t="shared" si="14"/>
        <v>0</v>
      </c>
      <c r="AG28" s="1290">
        <f t="shared" si="15"/>
        <v>0</v>
      </c>
      <c r="AH28" s="1290">
        <f t="shared" si="16"/>
        <v>0</v>
      </c>
      <c r="AI28" s="1290">
        <f t="shared" si="17"/>
        <v>0</v>
      </c>
      <c r="AJ28" s="1290">
        <f t="shared" si="18"/>
        <v>0</v>
      </c>
      <c r="AK28" s="1290">
        <f t="shared" si="19"/>
        <v>0</v>
      </c>
      <c r="AL28" s="1290">
        <f t="shared" si="20"/>
        <v>0</v>
      </c>
      <c r="AM28" s="1288">
        <f t="shared" si="23"/>
        <v>0</v>
      </c>
      <c r="AT28" s="1269" t="s">
        <v>4785</v>
      </c>
      <c r="AU28" s="1288" t="str">
        <f t="shared" si="24"/>
        <v/>
      </c>
      <c r="AV28" s="1288" t="str">
        <f t="shared" si="25"/>
        <v/>
      </c>
      <c r="AW28" s="1288" t="str">
        <f t="shared" si="26"/>
        <v/>
      </c>
      <c r="AX28" s="1288" t="str">
        <f t="shared" si="27"/>
        <v/>
      </c>
      <c r="AY28" s="1288" t="str">
        <f t="shared" si="28"/>
        <v/>
      </c>
      <c r="AZ28" s="1288" t="str">
        <f t="shared" si="29"/>
        <v/>
      </c>
      <c r="BA28" s="1288" t="str">
        <f t="shared" si="30"/>
        <v/>
      </c>
    </row>
    <row r="29" spans="1:86">
      <c r="A29" s="772" t="s">
        <v>3332</v>
      </c>
      <c r="B29" s="774" t="s">
        <v>3280</v>
      </c>
      <c r="C29" s="160">
        <v>7</v>
      </c>
      <c r="D29" s="153" t="s">
        <v>17</v>
      </c>
      <c r="E29" s="661">
        <f t="shared" si="21"/>
        <v>0</v>
      </c>
      <c r="F29" s="153" t="s">
        <v>28</v>
      </c>
      <c r="G29" s="654"/>
      <c r="H29" s="288" t="s">
        <v>28</v>
      </c>
      <c r="I29" s="654"/>
      <c r="J29" s="288" t="s">
        <v>28</v>
      </c>
      <c r="K29" s="654"/>
      <c r="L29" s="288" t="s">
        <v>28</v>
      </c>
      <c r="M29" s="654"/>
      <c r="N29" s="288" t="s">
        <v>28</v>
      </c>
      <c r="O29" s="654"/>
      <c r="P29" s="288" t="s">
        <v>28</v>
      </c>
      <c r="Q29" s="654"/>
      <c r="R29" s="288" t="s">
        <v>28</v>
      </c>
      <c r="S29" s="654"/>
      <c r="T29" s="289" t="s">
        <v>28</v>
      </c>
      <c r="Z29" s="874" t="str">
        <f>BP178</f>
        <v>防火設備用途/規模該否（入力）（逆算）</v>
      </c>
      <c r="AA29" s="874" t="str">
        <f>BP179</f>
        <v/>
      </c>
      <c r="AB29" s="155"/>
      <c r="AC29" s="1291">
        <v>7</v>
      </c>
      <c r="AD29" s="1291"/>
      <c r="AE29" s="1290">
        <f t="shared" si="13"/>
        <v>0</v>
      </c>
      <c r="AF29" s="1290">
        <f t="shared" si="14"/>
        <v>0</v>
      </c>
      <c r="AG29" s="1290">
        <f t="shared" si="15"/>
        <v>0</v>
      </c>
      <c r="AH29" s="1290">
        <f t="shared" si="16"/>
        <v>0</v>
      </c>
      <c r="AI29" s="1290">
        <f t="shared" si="17"/>
        <v>0</v>
      </c>
      <c r="AJ29" s="1290">
        <f t="shared" si="18"/>
        <v>0</v>
      </c>
      <c r="AK29" s="1290">
        <f t="shared" si="19"/>
        <v>0</v>
      </c>
      <c r="AL29" s="1290">
        <f t="shared" si="20"/>
        <v>0</v>
      </c>
      <c r="AM29" s="1288">
        <f t="shared" si="23"/>
        <v>0</v>
      </c>
      <c r="AT29" s="1269" t="s">
        <v>4784</v>
      </c>
      <c r="AU29" s="1288" t="str">
        <f t="shared" si="24"/>
        <v/>
      </c>
      <c r="AV29" s="1288" t="str">
        <f t="shared" si="25"/>
        <v/>
      </c>
      <c r="AW29" s="1288" t="str">
        <f t="shared" si="26"/>
        <v/>
      </c>
      <c r="AX29" s="1288" t="str">
        <f t="shared" si="27"/>
        <v/>
      </c>
      <c r="AY29" s="1288" t="str">
        <f t="shared" si="28"/>
        <v/>
      </c>
      <c r="AZ29" s="1288" t="str">
        <f t="shared" si="29"/>
        <v/>
      </c>
      <c r="BA29" s="1288" t="str">
        <f t="shared" si="30"/>
        <v/>
      </c>
      <c r="BK29" s="1267" t="s">
        <v>4861</v>
      </c>
      <c r="BL29" s="1267">
        <v>1</v>
      </c>
      <c r="BN29" s="1294" t="b">
        <v>0</v>
      </c>
      <c r="BO29" s="1294" t="b">
        <v>0</v>
      </c>
      <c r="BP29" s="1294" t="b">
        <v>0</v>
      </c>
      <c r="BQ29" s="1295" t="b">
        <v>1</v>
      </c>
      <c r="BR29" s="1294" t="b">
        <v>0</v>
      </c>
      <c r="BS29" s="1294" t="b">
        <v>0</v>
      </c>
      <c r="BT29" s="1294" t="b">
        <v>0</v>
      </c>
      <c r="BU29" s="1294" t="b">
        <v>0</v>
      </c>
      <c r="BV29" s="1295" t="b">
        <v>1</v>
      </c>
      <c r="BW29" s="1295" t="b">
        <v>1</v>
      </c>
      <c r="BX29" s="1295" t="b">
        <v>1</v>
      </c>
      <c r="BY29" s="1295" t="b">
        <v>1</v>
      </c>
      <c r="BZ29" s="1294" t="b">
        <v>0</v>
      </c>
      <c r="CA29" s="1294" t="b">
        <v>0</v>
      </c>
      <c r="CB29" s="1295" t="b">
        <v>1</v>
      </c>
      <c r="CC29" s="1295" t="b">
        <v>1</v>
      </c>
      <c r="CD29" s="1294" t="b">
        <v>0</v>
      </c>
      <c r="CE29" s="1294" t="b">
        <v>0</v>
      </c>
      <c r="CF29" s="1296"/>
      <c r="CG29" s="1296"/>
      <c r="CH29" s="1295" t="b">
        <v>1</v>
      </c>
    </row>
    <row r="30" spans="1:86">
      <c r="A30" s="927" t="s">
        <v>3333</v>
      </c>
      <c r="B30" s="772" t="s">
        <v>3281</v>
      </c>
      <c r="C30" s="160">
        <v>8</v>
      </c>
      <c r="D30" s="153" t="s">
        <v>17</v>
      </c>
      <c r="E30" s="661">
        <f t="shared" si="21"/>
        <v>0</v>
      </c>
      <c r="F30" s="153" t="s">
        <v>28</v>
      </c>
      <c r="G30" s="654"/>
      <c r="H30" s="288" t="s">
        <v>28</v>
      </c>
      <c r="I30" s="654"/>
      <c r="J30" s="288" t="s">
        <v>28</v>
      </c>
      <c r="K30" s="654"/>
      <c r="L30" s="288" t="s">
        <v>28</v>
      </c>
      <c r="M30" s="654"/>
      <c r="N30" s="288" t="s">
        <v>28</v>
      </c>
      <c r="O30" s="654"/>
      <c r="P30" s="288" t="s">
        <v>28</v>
      </c>
      <c r="Q30" s="654"/>
      <c r="R30" s="288" t="s">
        <v>28</v>
      </c>
      <c r="S30" s="654"/>
      <c r="T30" s="289" t="s">
        <v>28</v>
      </c>
      <c r="Z30" s="874" t="str">
        <f>BP180</f>
        <v>防火設備用途/規模該否整合</v>
      </c>
      <c r="AA30" s="874" t="str">
        <f>BP181</f>
        <v/>
      </c>
      <c r="AB30" s="155"/>
      <c r="AC30" s="1291">
        <v>8</v>
      </c>
      <c r="AD30" s="1291"/>
      <c r="AE30" s="1290">
        <f t="shared" si="13"/>
        <v>0</v>
      </c>
      <c r="AF30" s="1290">
        <f t="shared" si="14"/>
        <v>0</v>
      </c>
      <c r="AG30" s="1290">
        <f t="shared" si="15"/>
        <v>0</v>
      </c>
      <c r="AH30" s="1290">
        <f t="shared" si="16"/>
        <v>0</v>
      </c>
      <c r="AI30" s="1290">
        <f t="shared" si="17"/>
        <v>0</v>
      </c>
      <c r="AJ30" s="1290">
        <f t="shared" si="18"/>
        <v>0</v>
      </c>
      <c r="AK30" s="1290">
        <f t="shared" si="19"/>
        <v>0</v>
      </c>
      <c r="AL30" s="1290">
        <f t="shared" si="20"/>
        <v>0</v>
      </c>
      <c r="AM30" s="1288">
        <f t="shared" si="23"/>
        <v>0</v>
      </c>
      <c r="AT30" s="1269" t="s">
        <v>4783</v>
      </c>
      <c r="AU30" s="1288" t="str">
        <f t="shared" si="24"/>
        <v/>
      </c>
      <c r="AV30" s="1288" t="str">
        <f t="shared" si="25"/>
        <v/>
      </c>
      <c r="AW30" s="1288" t="str">
        <f t="shared" si="26"/>
        <v/>
      </c>
      <c r="AX30" s="1288" t="str">
        <f t="shared" si="27"/>
        <v/>
      </c>
      <c r="AY30" s="1288" t="str">
        <f t="shared" si="28"/>
        <v/>
      </c>
      <c r="AZ30" s="1288" t="str">
        <f t="shared" si="29"/>
        <v/>
      </c>
      <c r="BA30" s="1288" t="str">
        <f t="shared" si="30"/>
        <v/>
      </c>
      <c r="BL30" s="1267">
        <v>2</v>
      </c>
      <c r="BN30" s="1295" t="b">
        <v>1</v>
      </c>
      <c r="BO30" s="1295" t="b">
        <v>1</v>
      </c>
      <c r="BP30" s="1294" t="b">
        <v>0</v>
      </c>
      <c r="BQ30" s="1294" t="b">
        <v>0</v>
      </c>
      <c r="BR30" s="1295" t="b">
        <v>1</v>
      </c>
      <c r="BS30" s="1295" t="b">
        <v>1</v>
      </c>
      <c r="BT30" s="1295" t="b">
        <v>1</v>
      </c>
      <c r="BU30" s="1295" t="b">
        <v>1</v>
      </c>
      <c r="BV30" s="1294" t="b">
        <v>0</v>
      </c>
      <c r="BW30" s="1294" t="b">
        <v>0</v>
      </c>
      <c r="BX30" s="1294" t="b">
        <v>0</v>
      </c>
      <c r="BY30" s="1294" t="b">
        <v>0</v>
      </c>
      <c r="BZ30" s="1295" t="b">
        <v>1</v>
      </c>
      <c r="CA30" s="1295" t="b">
        <v>1</v>
      </c>
      <c r="CB30" s="1294" t="b">
        <v>0</v>
      </c>
      <c r="CC30" s="1294" t="b">
        <v>0</v>
      </c>
      <c r="CD30" s="1294" t="b">
        <v>0</v>
      </c>
      <c r="CE30" s="1294" t="b">
        <v>0</v>
      </c>
      <c r="CF30" s="1296"/>
      <c r="CG30" s="1296"/>
      <c r="CH30" s="1294" t="b">
        <v>0</v>
      </c>
    </row>
    <row r="31" spans="1:86">
      <c r="A31" s="927" t="s">
        <v>3334</v>
      </c>
      <c r="B31" s="772" t="s">
        <v>324</v>
      </c>
      <c r="C31" s="160">
        <v>9</v>
      </c>
      <c r="D31" s="153" t="s">
        <v>17</v>
      </c>
      <c r="E31" s="661">
        <f t="shared" si="21"/>
        <v>0</v>
      </c>
      <c r="F31" s="153" t="s">
        <v>28</v>
      </c>
      <c r="G31" s="654"/>
      <c r="H31" s="288" t="s">
        <v>28</v>
      </c>
      <c r="I31" s="654"/>
      <c r="J31" s="288" t="s">
        <v>28</v>
      </c>
      <c r="K31" s="654"/>
      <c r="L31" s="288" t="s">
        <v>28</v>
      </c>
      <c r="M31" s="654"/>
      <c r="N31" s="288" t="s">
        <v>28</v>
      </c>
      <c r="O31" s="654"/>
      <c r="P31" s="288" t="s">
        <v>28</v>
      </c>
      <c r="Q31" s="654"/>
      <c r="R31" s="288" t="s">
        <v>28</v>
      </c>
      <c r="S31" s="654"/>
      <c r="T31" s="289" t="s">
        <v>28</v>
      </c>
      <c r="AB31" s="155"/>
      <c r="AC31" s="1291">
        <v>9</v>
      </c>
      <c r="AD31" s="1291"/>
      <c r="AE31" s="1290">
        <f t="shared" si="13"/>
        <v>0</v>
      </c>
      <c r="AF31" s="1290">
        <f t="shared" si="14"/>
        <v>0</v>
      </c>
      <c r="AG31" s="1290">
        <f t="shared" si="15"/>
        <v>0</v>
      </c>
      <c r="AH31" s="1290">
        <f t="shared" si="16"/>
        <v>0</v>
      </c>
      <c r="AI31" s="1290">
        <f t="shared" si="17"/>
        <v>0</v>
      </c>
      <c r="AJ31" s="1290">
        <f t="shared" si="18"/>
        <v>0</v>
      </c>
      <c r="AK31" s="1290">
        <f t="shared" si="19"/>
        <v>0</v>
      </c>
      <c r="AL31" s="1290">
        <f t="shared" si="20"/>
        <v>0</v>
      </c>
      <c r="AM31" s="1288">
        <f t="shared" si="23"/>
        <v>0</v>
      </c>
      <c r="AT31" s="1269" t="s">
        <v>4782</v>
      </c>
      <c r="AU31" s="1288" t="str">
        <f t="shared" si="24"/>
        <v/>
      </c>
      <c r="AV31" s="1288" t="str">
        <f t="shared" si="25"/>
        <v/>
      </c>
      <c r="AW31" s="1288" t="str">
        <f t="shared" si="26"/>
        <v/>
      </c>
      <c r="AX31" s="1288" t="str">
        <f t="shared" si="27"/>
        <v/>
      </c>
      <c r="AY31" s="1288" t="str">
        <f t="shared" si="28"/>
        <v/>
      </c>
      <c r="AZ31" s="1288" t="str">
        <f t="shared" si="29"/>
        <v/>
      </c>
      <c r="BA31" s="1288" t="str">
        <f t="shared" si="30"/>
        <v/>
      </c>
      <c r="BL31" s="1267">
        <v>3</v>
      </c>
      <c r="BN31" s="1294" t="b">
        <v>0</v>
      </c>
      <c r="BO31" s="1294" t="b">
        <v>0</v>
      </c>
      <c r="BP31" s="1295" t="b">
        <v>1</v>
      </c>
      <c r="BQ31" s="1294" t="b">
        <v>0</v>
      </c>
      <c r="BR31" s="1294" t="b">
        <v>0</v>
      </c>
      <c r="BS31" s="1294" t="b">
        <v>0</v>
      </c>
      <c r="BT31" s="1294" t="b">
        <v>0</v>
      </c>
      <c r="BU31" s="1294" t="b">
        <v>0</v>
      </c>
      <c r="BV31" s="1294" t="b">
        <v>0</v>
      </c>
      <c r="BW31" s="1294" t="b">
        <v>0</v>
      </c>
      <c r="BX31" s="1294" t="b">
        <v>0</v>
      </c>
      <c r="BY31" s="1294" t="b">
        <v>0</v>
      </c>
      <c r="BZ31" s="1294" t="b">
        <v>0</v>
      </c>
      <c r="CA31" s="1294" t="b">
        <v>0</v>
      </c>
      <c r="CB31" s="1294" t="b">
        <v>0</v>
      </c>
      <c r="CC31" s="1294" t="b">
        <v>0</v>
      </c>
      <c r="CD31" s="1295" t="b">
        <v>1</v>
      </c>
      <c r="CE31" s="1295" t="b">
        <v>1</v>
      </c>
      <c r="CF31" s="1296"/>
      <c r="CG31" s="1296"/>
      <c r="CH31" s="1294" t="b">
        <v>0</v>
      </c>
    </row>
    <row r="32" spans="1:86">
      <c r="A32" s="2563" t="s">
        <v>3337</v>
      </c>
      <c r="B32" s="772" t="s">
        <v>325</v>
      </c>
      <c r="C32" s="161">
        <v>10</v>
      </c>
      <c r="D32" s="154" t="s">
        <v>17</v>
      </c>
      <c r="E32" s="663">
        <f t="shared" si="21"/>
        <v>0</v>
      </c>
      <c r="F32" s="154" t="s">
        <v>28</v>
      </c>
      <c r="G32" s="656"/>
      <c r="H32" s="292" t="s">
        <v>28</v>
      </c>
      <c r="I32" s="656"/>
      <c r="J32" s="292" t="s">
        <v>28</v>
      </c>
      <c r="K32" s="656"/>
      <c r="L32" s="292" t="s">
        <v>28</v>
      </c>
      <c r="M32" s="656"/>
      <c r="N32" s="292" t="s">
        <v>28</v>
      </c>
      <c r="O32" s="656"/>
      <c r="P32" s="292" t="s">
        <v>28</v>
      </c>
      <c r="Q32" s="656"/>
      <c r="R32" s="292" t="s">
        <v>28</v>
      </c>
      <c r="S32" s="656"/>
      <c r="T32" s="293" t="s">
        <v>28</v>
      </c>
      <c r="Z32" s="874" t="str">
        <f>CJ110</f>
        <v>対象用途まとめ（国建）</v>
      </c>
      <c r="AA32" s="874" t="str">
        <f>CJ111</f>
        <v/>
      </c>
      <c r="AB32" s="155"/>
      <c r="AC32" s="1291">
        <v>10</v>
      </c>
      <c r="AD32" s="1291"/>
      <c r="AE32" s="1290">
        <f t="shared" si="13"/>
        <v>0</v>
      </c>
      <c r="AF32" s="1290">
        <f t="shared" si="14"/>
        <v>0</v>
      </c>
      <c r="AG32" s="1290">
        <f t="shared" si="15"/>
        <v>0</v>
      </c>
      <c r="AH32" s="1290">
        <f t="shared" si="16"/>
        <v>0</v>
      </c>
      <c r="AI32" s="1290">
        <f t="shared" si="17"/>
        <v>0</v>
      </c>
      <c r="AJ32" s="1290">
        <f t="shared" si="18"/>
        <v>0</v>
      </c>
      <c r="AK32" s="1290">
        <f t="shared" si="19"/>
        <v>0</v>
      </c>
      <c r="AL32" s="1290">
        <f t="shared" si="20"/>
        <v>0</v>
      </c>
      <c r="AM32" s="1288">
        <f t="shared" si="23"/>
        <v>0</v>
      </c>
      <c r="AT32" s="1269" t="s">
        <v>4781</v>
      </c>
      <c r="AU32" s="1288" t="str">
        <f t="shared" si="24"/>
        <v/>
      </c>
      <c r="AV32" s="1288" t="str">
        <f t="shared" si="25"/>
        <v/>
      </c>
      <c r="AW32" s="1288" t="str">
        <f t="shared" si="26"/>
        <v/>
      </c>
      <c r="AX32" s="1288" t="str">
        <f t="shared" si="27"/>
        <v/>
      </c>
      <c r="AY32" s="1288" t="str">
        <f t="shared" si="28"/>
        <v/>
      </c>
      <c r="AZ32" s="1288" t="str">
        <f t="shared" si="29"/>
        <v/>
      </c>
      <c r="BA32" s="1288" t="str">
        <f t="shared" si="30"/>
        <v/>
      </c>
    </row>
    <row r="33" spans="1:86">
      <c r="A33" s="2563"/>
      <c r="B33" s="772" t="s">
        <v>326</v>
      </c>
      <c r="C33" s="162">
        <v>11</v>
      </c>
      <c r="D33" s="152" t="s">
        <v>17</v>
      </c>
      <c r="E33" s="661">
        <f t="shared" si="21"/>
        <v>0</v>
      </c>
      <c r="F33" s="153" t="s">
        <v>28</v>
      </c>
      <c r="G33" s="657"/>
      <c r="H33" s="294" t="s">
        <v>28</v>
      </c>
      <c r="I33" s="657"/>
      <c r="J33" s="294" t="s">
        <v>28</v>
      </c>
      <c r="K33" s="657"/>
      <c r="L33" s="294" t="s">
        <v>28</v>
      </c>
      <c r="M33" s="657"/>
      <c r="N33" s="294" t="s">
        <v>28</v>
      </c>
      <c r="O33" s="657"/>
      <c r="P33" s="294" t="s">
        <v>28</v>
      </c>
      <c r="Q33" s="657"/>
      <c r="R33" s="294" t="s">
        <v>28</v>
      </c>
      <c r="S33" s="657"/>
      <c r="T33" s="295" t="s">
        <v>28</v>
      </c>
      <c r="Z33" s="874" t="str">
        <f>CJ113</f>
        <v>対象用途まとめ（市新建）</v>
      </c>
      <c r="AA33" s="874" t="str">
        <f>CJ114</f>
        <v/>
      </c>
      <c r="AB33" s="155"/>
      <c r="AC33" s="1291">
        <v>11</v>
      </c>
      <c r="AD33" s="1291"/>
      <c r="AE33" s="1290">
        <f t="shared" si="13"/>
        <v>0</v>
      </c>
      <c r="AF33" s="1290">
        <f t="shared" si="14"/>
        <v>0</v>
      </c>
      <c r="AG33" s="1290">
        <f t="shared" si="15"/>
        <v>0</v>
      </c>
      <c r="AH33" s="1290">
        <f t="shared" si="16"/>
        <v>0</v>
      </c>
      <c r="AI33" s="1290">
        <f t="shared" si="17"/>
        <v>0</v>
      </c>
      <c r="AJ33" s="1290">
        <f t="shared" si="18"/>
        <v>0</v>
      </c>
      <c r="AK33" s="1290">
        <f t="shared" si="19"/>
        <v>0</v>
      </c>
      <c r="AL33" s="1290">
        <f t="shared" si="20"/>
        <v>0</v>
      </c>
      <c r="AM33" s="1288">
        <f t="shared" si="23"/>
        <v>0</v>
      </c>
      <c r="AT33" s="1269" t="s">
        <v>4779</v>
      </c>
      <c r="AU33" s="1288" t="str">
        <f t="shared" si="24"/>
        <v/>
      </c>
      <c r="AV33" s="1288" t="str">
        <f t="shared" si="25"/>
        <v/>
      </c>
      <c r="AW33" s="1288" t="str">
        <f t="shared" si="26"/>
        <v/>
      </c>
      <c r="AX33" s="1288" t="str">
        <f t="shared" si="27"/>
        <v/>
      </c>
      <c r="AY33" s="1288" t="str">
        <f t="shared" si="28"/>
        <v/>
      </c>
      <c r="AZ33" s="1288" t="str">
        <f t="shared" si="29"/>
        <v/>
      </c>
      <c r="BA33" s="1288" t="str">
        <f t="shared" si="30"/>
        <v/>
      </c>
      <c r="BK33" s="1267" t="s">
        <v>4731</v>
      </c>
      <c r="BL33" s="1267" t="s">
        <v>4757</v>
      </c>
      <c r="BM33" s="1267" t="s">
        <v>4717</v>
      </c>
      <c r="BN33" s="1297">
        <v>100</v>
      </c>
      <c r="BO33" s="1297">
        <v>100</v>
      </c>
      <c r="BP33" s="1297">
        <v>100</v>
      </c>
      <c r="BQ33" s="1297">
        <v>100</v>
      </c>
      <c r="BR33" s="1297"/>
      <c r="BS33" s="1297">
        <v>100</v>
      </c>
      <c r="BT33" s="1297"/>
      <c r="BU33" s="1297">
        <v>100</v>
      </c>
      <c r="BV33" s="1297"/>
      <c r="BW33" s="1297"/>
      <c r="BX33" s="1297"/>
      <c r="BY33" s="1297"/>
      <c r="BZ33" s="1297">
        <v>100</v>
      </c>
      <c r="CA33" s="1297">
        <v>100</v>
      </c>
      <c r="CB33" s="1297">
        <v>100</v>
      </c>
      <c r="CC33" s="1297">
        <v>100</v>
      </c>
      <c r="CD33" s="1297"/>
      <c r="CE33" s="1297"/>
      <c r="CF33" s="1297"/>
      <c r="CG33" s="1297"/>
    </row>
    <row r="34" spans="1:86">
      <c r="A34" s="927" t="s">
        <v>3335</v>
      </c>
      <c r="B34" s="772" t="s">
        <v>327</v>
      </c>
      <c r="C34" s="160">
        <v>12</v>
      </c>
      <c r="D34" s="153" t="s">
        <v>17</v>
      </c>
      <c r="E34" s="661">
        <f t="shared" si="21"/>
        <v>0</v>
      </c>
      <c r="F34" s="153" t="s">
        <v>28</v>
      </c>
      <c r="G34" s="654"/>
      <c r="H34" s="288" t="s">
        <v>28</v>
      </c>
      <c r="I34" s="654"/>
      <c r="J34" s="288" t="s">
        <v>28</v>
      </c>
      <c r="K34" s="654"/>
      <c r="L34" s="288" t="s">
        <v>28</v>
      </c>
      <c r="M34" s="654"/>
      <c r="N34" s="288" t="s">
        <v>28</v>
      </c>
      <c r="O34" s="654"/>
      <c r="P34" s="288" t="s">
        <v>28</v>
      </c>
      <c r="Q34" s="654"/>
      <c r="R34" s="288" t="s">
        <v>28</v>
      </c>
      <c r="S34" s="654"/>
      <c r="T34" s="289" t="s">
        <v>28</v>
      </c>
      <c r="Z34" s="874" t="str">
        <f>CJ116</f>
        <v>対象用途まとめ（市従建）</v>
      </c>
      <c r="AA34" s="874" t="str">
        <f>CJ117</f>
        <v/>
      </c>
      <c r="AB34" s="155"/>
      <c r="AC34" s="1291">
        <v>12</v>
      </c>
      <c r="AD34" s="1291"/>
      <c r="AE34" s="1290">
        <f t="shared" si="13"/>
        <v>0</v>
      </c>
      <c r="AF34" s="1290">
        <f t="shared" si="14"/>
        <v>0</v>
      </c>
      <c r="AG34" s="1290">
        <f t="shared" si="15"/>
        <v>0</v>
      </c>
      <c r="AH34" s="1290">
        <f t="shared" si="16"/>
        <v>0</v>
      </c>
      <c r="AI34" s="1290">
        <f t="shared" si="17"/>
        <v>0</v>
      </c>
      <c r="AJ34" s="1290">
        <f t="shared" si="18"/>
        <v>0</v>
      </c>
      <c r="AK34" s="1290">
        <f t="shared" si="19"/>
        <v>0</v>
      </c>
      <c r="AL34" s="1290">
        <f t="shared" si="20"/>
        <v>0</v>
      </c>
      <c r="AM34" s="1288">
        <f t="shared" si="23"/>
        <v>0</v>
      </c>
      <c r="AT34" s="1269" t="s">
        <v>4778</v>
      </c>
      <c r="AU34" s="1288" t="str">
        <f t="shared" si="24"/>
        <v/>
      </c>
      <c r="AV34" s="1288" t="str">
        <f t="shared" si="25"/>
        <v/>
      </c>
      <c r="AW34" s="1288" t="str">
        <f t="shared" si="26"/>
        <v/>
      </c>
      <c r="AX34" s="1288" t="str">
        <f t="shared" si="27"/>
        <v/>
      </c>
      <c r="AY34" s="1288" t="str">
        <f t="shared" si="28"/>
        <v/>
      </c>
      <c r="AZ34" s="1288" t="str">
        <f t="shared" si="29"/>
        <v/>
      </c>
      <c r="BA34" s="1288" t="str">
        <f t="shared" si="30"/>
        <v/>
      </c>
      <c r="BM34" s="1267" t="s">
        <v>4715</v>
      </c>
      <c r="BN34" s="1297"/>
      <c r="BO34" s="1297"/>
      <c r="BP34" s="1297">
        <v>300</v>
      </c>
      <c r="BQ34" s="1297">
        <v>300</v>
      </c>
      <c r="BR34" s="1297"/>
      <c r="BS34" s="1297">
        <v>300</v>
      </c>
      <c r="BT34" s="1297"/>
      <c r="BU34" s="1297">
        <v>300</v>
      </c>
      <c r="BV34" s="1297"/>
      <c r="BW34" s="1297"/>
      <c r="BX34" s="1297"/>
      <c r="BY34" s="1297"/>
      <c r="BZ34" s="1297">
        <v>500</v>
      </c>
      <c r="CA34" s="1297">
        <v>500</v>
      </c>
      <c r="CB34" s="1297">
        <v>500</v>
      </c>
      <c r="CC34" s="1297">
        <v>500</v>
      </c>
      <c r="CD34" s="1297"/>
      <c r="CE34" s="1297"/>
      <c r="CF34" s="1297"/>
      <c r="CG34" s="1297"/>
    </row>
    <row r="35" spans="1:86">
      <c r="A35" s="2563" t="s">
        <v>3156</v>
      </c>
      <c r="B35" s="772" t="s">
        <v>328</v>
      </c>
      <c r="C35" s="160">
        <v>13</v>
      </c>
      <c r="D35" s="153" t="s">
        <v>17</v>
      </c>
      <c r="E35" s="661">
        <f t="shared" si="21"/>
        <v>0</v>
      </c>
      <c r="F35" s="153" t="s">
        <v>28</v>
      </c>
      <c r="G35" s="654"/>
      <c r="H35" s="288" t="s">
        <v>28</v>
      </c>
      <c r="I35" s="654"/>
      <c r="J35" s="288" t="s">
        <v>28</v>
      </c>
      <c r="K35" s="654"/>
      <c r="L35" s="288" t="s">
        <v>28</v>
      </c>
      <c r="M35" s="654"/>
      <c r="N35" s="288" t="s">
        <v>28</v>
      </c>
      <c r="O35" s="654"/>
      <c r="P35" s="288" t="s">
        <v>28</v>
      </c>
      <c r="Q35" s="654"/>
      <c r="R35" s="288" t="s">
        <v>28</v>
      </c>
      <c r="S35" s="654"/>
      <c r="T35" s="289" t="s">
        <v>28</v>
      </c>
      <c r="Z35" s="874" t="str">
        <f>CJ119</f>
        <v>対象用途まとめ（市建）</v>
      </c>
      <c r="AA35" s="874" t="str">
        <f>CJ120</f>
        <v/>
      </c>
      <c r="AB35" s="155"/>
      <c r="AC35" s="1291">
        <v>13</v>
      </c>
      <c r="AD35" s="1291"/>
      <c r="AE35" s="1290">
        <f t="shared" si="13"/>
        <v>0</v>
      </c>
      <c r="AF35" s="1290">
        <f t="shared" si="14"/>
        <v>0</v>
      </c>
      <c r="AG35" s="1290">
        <f t="shared" si="15"/>
        <v>0</v>
      </c>
      <c r="AH35" s="1290">
        <f t="shared" si="16"/>
        <v>0</v>
      </c>
      <c r="AI35" s="1290">
        <f t="shared" si="17"/>
        <v>0</v>
      </c>
      <c r="AJ35" s="1290">
        <f t="shared" si="18"/>
        <v>0</v>
      </c>
      <c r="AK35" s="1290">
        <f t="shared" si="19"/>
        <v>0</v>
      </c>
      <c r="AL35" s="1290">
        <f t="shared" si="20"/>
        <v>0</v>
      </c>
      <c r="AM35" s="1288">
        <f t="shared" si="23"/>
        <v>0</v>
      </c>
      <c r="AT35" s="1269" t="s">
        <v>4777</v>
      </c>
      <c r="AU35" s="1288" t="str">
        <f t="shared" si="24"/>
        <v/>
      </c>
      <c r="AV35" s="1288" t="str">
        <f t="shared" si="25"/>
        <v/>
      </c>
      <c r="AW35" s="1288" t="str">
        <f t="shared" si="26"/>
        <v/>
      </c>
      <c r="AX35" s="1288" t="str">
        <f t="shared" si="27"/>
        <v/>
      </c>
      <c r="AY35" s="1288" t="str">
        <f t="shared" si="28"/>
        <v/>
      </c>
      <c r="AZ35" s="1288" t="str">
        <f t="shared" si="29"/>
        <v/>
      </c>
      <c r="BA35" s="1288" t="str">
        <f t="shared" si="30"/>
        <v/>
      </c>
      <c r="BM35" s="1267" t="s">
        <v>4713</v>
      </c>
      <c r="BN35" s="1297">
        <v>100</v>
      </c>
      <c r="BO35" s="1297">
        <v>100</v>
      </c>
      <c r="BP35" s="1297">
        <v>100</v>
      </c>
      <c r="BQ35" s="1297">
        <v>100</v>
      </c>
      <c r="BR35" s="1297"/>
      <c r="BS35" s="1297">
        <v>100</v>
      </c>
      <c r="BT35" s="1297"/>
      <c r="BU35" s="1297">
        <v>100</v>
      </c>
      <c r="BV35" s="1297"/>
      <c r="BW35" s="1297">
        <v>100</v>
      </c>
      <c r="BX35" s="1297">
        <v>100</v>
      </c>
      <c r="BY35" s="1297">
        <v>100</v>
      </c>
      <c r="BZ35" s="1297">
        <v>100</v>
      </c>
      <c r="CA35" s="1297">
        <v>100</v>
      </c>
      <c r="CB35" s="1297">
        <v>100</v>
      </c>
      <c r="CC35" s="1297">
        <v>100</v>
      </c>
      <c r="CD35" s="1297"/>
      <c r="CE35" s="1297"/>
      <c r="CF35" s="1297"/>
      <c r="CG35" s="1297"/>
    </row>
    <row r="36" spans="1:86">
      <c r="A36" s="2563"/>
      <c r="B36" s="772" t="s">
        <v>3282</v>
      </c>
      <c r="C36" s="160">
        <v>14</v>
      </c>
      <c r="D36" s="153" t="s">
        <v>17</v>
      </c>
      <c r="E36" s="661">
        <f t="shared" si="21"/>
        <v>0</v>
      </c>
      <c r="F36" s="153" t="s">
        <v>28</v>
      </c>
      <c r="G36" s="654"/>
      <c r="H36" s="288" t="s">
        <v>28</v>
      </c>
      <c r="I36" s="654"/>
      <c r="J36" s="288" t="s">
        <v>28</v>
      </c>
      <c r="K36" s="654"/>
      <c r="L36" s="288" t="s">
        <v>28</v>
      </c>
      <c r="M36" s="654"/>
      <c r="N36" s="288" t="s">
        <v>28</v>
      </c>
      <c r="O36" s="654"/>
      <c r="P36" s="288" t="s">
        <v>28</v>
      </c>
      <c r="Q36" s="654"/>
      <c r="R36" s="288" t="s">
        <v>28</v>
      </c>
      <c r="S36" s="654"/>
      <c r="T36" s="289" t="s">
        <v>28</v>
      </c>
      <c r="Z36" s="872" t="str">
        <f>CJ122</f>
        <v>対象用途まとめ（建築物）</v>
      </c>
      <c r="AA36" s="873" t="str">
        <f>CJ123</f>
        <v/>
      </c>
      <c r="AB36" s="155"/>
      <c r="AC36" s="1291">
        <v>14</v>
      </c>
      <c r="AD36" s="1291"/>
      <c r="AE36" s="1290">
        <f t="shared" si="13"/>
        <v>0</v>
      </c>
      <c r="AF36" s="1290">
        <f t="shared" si="14"/>
        <v>0</v>
      </c>
      <c r="AG36" s="1290">
        <f t="shared" si="15"/>
        <v>0</v>
      </c>
      <c r="AH36" s="1290">
        <f t="shared" si="16"/>
        <v>0</v>
      </c>
      <c r="AI36" s="1290">
        <f t="shared" si="17"/>
        <v>0</v>
      </c>
      <c r="AJ36" s="1290">
        <f t="shared" si="18"/>
        <v>0</v>
      </c>
      <c r="AK36" s="1290">
        <f t="shared" si="19"/>
        <v>0</v>
      </c>
      <c r="AL36" s="1290">
        <f t="shared" si="20"/>
        <v>0</v>
      </c>
      <c r="AM36" s="1288">
        <f t="shared" si="23"/>
        <v>0</v>
      </c>
      <c r="AT36" s="1269" t="s">
        <v>4776</v>
      </c>
      <c r="AU36" s="1288" t="str">
        <f t="shared" si="24"/>
        <v/>
      </c>
      <c r="AV36" s="1288" t="str">
        <f t="shared" si="25"/>
        <v/>
      </c>
      <c r="AW36" s="1288" t="str">
        <f t="shared" si="26"/>
        <v/>
      </c>
      <c r="AX36" s="1288" t="str">
        <f t="shared" si="27"/>
        <v/>
      </c>
      <c r="AY36" s="1288" t="str">
        <f t="shared" si="28"/>
        <v/>
      </c>
      <c r="AZ36" s="1288" t="str">
        <f t="shared" si="29"/>
        <v/>
      </c>
      <c r="BA36" s="1288" t="str">
        <f t="shared" si="30"/>
        <v/>
      </c>
      <c r="BM36" s="1267" t="s">
        <v>4780</v>
      </c>
      <c r="BN36" s="1297"/>
      <c r="BO36" s="1297"/>
      <c r="BP36" s="1297"/>
      <c r="BQ36" s="1297"/>
      <c r="BR36" s="1297"/>
      <c r="BS36" s="1297"/>
      <c r="BT36" s="1297"/>
      <c r="BU36" s="1297"/>
      <c r="BV36" s="1297"/>
      <c r="BW36" s="1297">
        <v>2000</v>
      </c>
      <c r="BX36" s="1297">
        <v>2000</v>
      </c>
      <c r="BY36" s="1297">
        <v>2000</v>
      </c>
      <c r="BZ36" s="1297">
        <v>3000</v>
      </c>
      <c r="CA36" s="1297">
        <v>3000</v>
      </c>
      <c r="CB36" s="1297">
        <v>3000</v>
      </c>
      <c r="CC36" s="1297">
        <v>3000</v>
      </c>
      <c r="CD36" s="1297"/>
      <c r="CE36" s="1297"/>
      <c r="CF36" s="1297"/>
      <c r="CG36" s="1297"/>
    </row>
    <row r="37" spans="1:86">
      <c r="A37" s="2563" t="s">
        <v>3158</v>
      </c>
      <c r="B37" s="774" t="s">
        <v>3283</v>
      </c>
      <c r="C37" s="161">
        <v>15</v>
      </c>
      <c r="D37" s="154" t="s">
        <v>17</v>
      </c>
      <c r="E37" s="661">
        <f t="shared" si="21"/>
        <v>0</v>
      </c>
      <c r="F37" s="153" t="s">
        <v>28</v>
      </c>
      <c r="G37" s="654"/>
      <c r="H37" s="288" t="s">
        <v>28</v>
      </c>
      <c r="I37" s="654"/>
      <c r="J37" s="288" t="s">
        <v>28</v>
      </c>
      <c r="K37" s="654"/>
      <c r="L37" s="288" t="s">
        <v>28</v>
      </c>
      <c r="M37" s="654"/>
      <c r="N37" s="288" t="s">
        <v>28</v>
      </c>
      <c r="O37" s="654"/>
      <c r="P37" s="288" t="s">
        <v>28</v>
      </c>
      <c r="Q37" s="654"/>
      <c r="R37" s="288" t="s">
        <v>28</v>
      </c>
      <c r="S37" s="654"/>
      <c r="T37" s="289" t="s">
        <v>28</v>
      </c>
      <c r="Z37" s="874" t="str">
        <f>CJ145</f>
        <v>対象用途まとめ（市設）</v>
      </c>
      <c r="AA37" s="874" t="str">
        <f>CJ146</f>
        <v/>
      </c>
      <c r="AB37" s="155"/>
      <c r="AC37" s="1291">
        <v>15</v>
      </c>
      <c r="AD37" s="1291"/>
      <c r="AE37" s="1290">
        <f t="shared" si="13"/>
        <v>0</v>
      </c>
      <c r="AF37" s="1290">
        <f t="shared" si="14"/>
        <v>0</v>
      </c>
      <c r="AG37" s="1290">
        <f t="shared" si="15"/>
        <v>0</v>
      </c>
      <c r="AH37" s="1290">
        <f t="shared" si="16"/>
        <v>0</v>
      </c>
      <c r="AI37" s="1290">
        <f t="shared" si="17"/>
        <v>0</v>
      </c>
      <c r="AJ37" s="1290">
        <f t="shared" si="18"/>
        <v>0</v>
      </c>
      <c r="AK37" s="1290">
        <f t="shared" si="19"/>
        <v>0</v>
      </c>
      <c r="AL37" s="1290">
        <f t="shared" si="20"/>
        <v>0</v>
      </c>
      <c r="AM37" s="1288">
        <f t="shared" si="23"/>
        <v>0</v>
      </c>
      <c r="AT37" s="1269" t="s">
        <v>4775</v>
      </c>
      <c r="AU37" s="1288" t="str">
        <f t="shared" si="24"/>
        <v/>
      </c>
      <c r="AV37" s="1288" t="str">
        <f t="shared" si="25"/>
        <v/>
      </c>
      <c r="AW37" s="1288" t="str">
        <f t="shared" si="26"/>
        <v/>
      </c>
      <c r="AX37" s="1288" t="str">
        <f t="shared" si="27"/>
        <v/>
      </c>
      <c r="AY37" s="1288" t="str">
        <f t="shared" si="28"/>
        <v/>
      </c>
      <c r="AZ37" s="1288" t="str">
        <f t="shared" si="29"/>
        <v/>
      </c>
      <c r="BA37" s="1288" t="str">
        <f t="shared" si="30"/>
        <v/>
      </c>
    </row>
    <row r="38" spans="1:86">
      <c r="A38" s="2563"/>
      <c r="B38" s="772" t="s">
        <v>3284</v>
      </c>
      <c r="C38" s="162">
        <v>16</v>
      </c>
      <c r="D38" s="152" t="s">
        <v>17</v>
      </c>
      <c r="E38" s="664">
        <f t="shared" si="21"/>
        <v>0</v>
      </c>
      <c r="F38" s="152" t="s">
        <v>28</v>
      </c>
      <c r="G38" s="657"/>
      <c r="H38" s="294" t="s">
        <v>28</v>
      </c>
      <c r="I38" s="657"/>
      <c r="J38" s="294" t="s">
        <v>28</v>
      </c>
      <c r="K38" s="657"/>
      <c r="L38" s="294" t="s">
        <v>28</v>
      </c>
      <c r="M38" s="657"/>
      <c r="N38" s="294" t="s">
        <v>28</v>
      </c>
      <c r="O38" s="657"/>
      <c r="P38" s="294" t="s">
        <v>28</v>
      </c>
      <c r="Q38" s="657"/>
      <c r="R38" s="294" t="s">
        <v>28</v>
      </c>
      <c r="S38" s="657"/>
      <c r="T38" s="295" t="s">
        <v>28</v>
      </c>
      <c r="Z38" s="874" t="str">
        <f>CJ158</f>
        <v>対象用途まとめ（国防）</v>
      </c>
      <c r="AA38" s="874" t="str">
        <f>CJ159</f>
        <v/>
      </c>
      <c r="AC38" s="1291">
        <v>16</v>
      </c>
      <c r="AD38" s="1291"/>
      <c r="AE38" s="1290">
        <f t="shared" si="13"/>
        <v>0</v>
      </c>
      <c r="AF38" s="1290">
        <f t="shared" si="14"/>
        <v>0</v>
      </c>
      <c r="AG38" s="1290">
        <f t="shared" si="15"/>
        <v>0</v>
      </c>
      <c r="AH38" s="1290">
        <f t="shared" si="16"/>
        <v>0</v>
      </c>
      <c r="AI38" s="1290">
        <f t="shared" si="17"/>
        <v>0</v>
      </c>
      <c r="AJ38" s="1290">
        <f t="shared" si="18"/>
        <v>0</v>
      </c>
      <c r="AK38" s="1290">
        <f t="shared" si="19"/>
        <v>0</v>
      </c>
      <c r="AL38" s="1290">
        <f t="shared" si="20"/>
        <v>0</v>
      </c>
      <c r="AM38" s="1288">
        <f t="shared" si="23"/>
        <v>0</v>
      </c>
      <c r="AT38" s="1269" t="s">
        <v>4773</v>
      </c>
      <c r="AU38" s="1288" t="str">
        <f t="shared" si="24"/>
        <v/>
      </c>
      <c r="AV38" s="1288" t="str">
        <f t="shared" si="25"/>
        <v/>
      </c>
      <c r="AW38" s="1288" t="str">
        <f t="shared" si="26"/>
        <v/>
      </c>
      <c r="AX38" s="1288" t="str">
        <f t="shared" si="27"/>
        <v/>
      </c>
      <c r="AY38" s="1288" t="str">
        <f t="shared" si="28"/>
        <v/>
      </c>
      <c r="AZ38" s="1288" t="str">
        <f t="shared" si="29"/>
        <v/>
      </c>
      <c r="BA38" s="1288" t="str">
        <f t="shared" si="30"/>
        <v/>
      </c>
      <c r="BL38" s="1267" t="s">
        <v>4757</v>
      </c>
      <c r="BM38" s="1267" t="s">
        <v>4717</v>
      </c>
      <c r="BN38" s="1297" t="s">
        <v>4755</v>
      </c>
      <c r="BO38" s="1297" t="s">
        <v>4755</v>
      </c>
      <c r="BP38" s="1297" t="s">
        <v>4755</v>
      </c>
      <c r="BQ38" s="1297" t="s">
        <v>4755</v>
      </c>
      <c r="BR38" s="1297"/>
      <c r="BS38" s="1297" t="s">
        <v>4755</v>
      </c>
      <c r="BT38" s="1297"/>
      <c r="BU38" s="1297" t="s">
        <v>4755</v>
      </c>
      <c r="BV38" s="1297"/>
      <c r="BW38" s="1297"/>
      <c r="BX38" s="1297"/>
      <c r="BY38" s="1297"/>
      <c r="BZ38" s="1297" t="s">
        <v>4755</v>
      </c>
      <c r="CA38" s="1297" t="s">
        <v>4755</v>
      </c>
      <c r="CB38" s="1297" t="s">
        <v>4755</v>
      </c>
      <c r="CC38" s="1297" t="s">
        <v>4755</v>
      </c>
      <c r="CD38" s="1297"/>
      <c r="CE38" s="1297"/>
      <c r="CF38" s="1297"/>
      <c r="CG38" s="1297"/>
    </row>
    <row r="39" spans="1:86" ht="13.5" customHeight="1">
      <c r="A39" s="2563" t="s">
        <v>3160</v>
      </c>
      <c r="B39" s="772" t="s">
        <v>3285</v>
      </c>
      <c r="C39" s="160">
        <v>17</v>
      </c>
      <c r="D39" s="153" t="s">
        <v>17</v>
      </c>
      <c r="E39" s="661">
        <f t="shared" si="21"/>
        <v>0</v>
      </c>
      <c r="F39" s="153" t="s">
        <v>28</v>
      </c>
      <c r="G39" s="654"/>
      <c r="H39" s="288" t="s">
        <v>28</v>
      </c>
      <c r="I39" s="654"/>
      <c r="J39" s="288" t="s">
        <v>28</v>
      </c>
      <c r="K39" s="654"/>
      <c r="L39" s="288" t="s">
        <v>28</v>
      </c>
      <c r="M39" s="654"/>
      <c r="N39" s="288" t="s">
        <v>28</v>
      </c>
      <c r="O39" s="654"/>
      <c r="P39" s="288" t="s">
        <v>28</v>
      </c>
      <c r="Q39" s="654"/>
      <c r="R39" s="288" t="s">
        <v>28</v>
      </c>
      <c r="S39" s="654"/>
      <c r="T39" s="289" t="s">
        <v>28</v>
      </c>
      <c r="Z39" s="874" t="str">
        <f>CJ161</f>
        <v>対象用途まとめ（市新防）</v>
      </c>
      <c r="AA39" s="874" t="str">
        <f>CJ162</f>
        <v/>
      </c>
      <c r="AC39" s="1291">
        <v>17</v>
      </c>
      <c r="AD39" s="1291"/>
      <c r="AE39" s="1290">
        <f t="shared" si="13"/>
        <v>0</v>
      </c>
      <c r="AF39" s="1290">
        <f t="shared" si="14"/>
        <v>0</v>
      </c>
      <c r="AG39" s="1290">
        <f t="shared" si="15"/>
        <v>0</v>
      </c>
      <c r="AH39" s="1290">
        <f t="shared" si="16"/>
        <v>0</v>
      </c>
      <c r="AI39" s="1290">
        <f t="shared" si="17"/>
        <v>0</v>
      </c>
      <c r="AJ39" s="1290">
        <f t="shared" si="18"/>
        <v>0</v>
      </c>
      <c r="AK39" s="1290">
        <f t="shared" si="19"/>
        <v>0</v>
      </c>
      <c r="AL39" s="1290">
        <f t="shared" si="20"/>
        <v>0</v>
      </c>
      <c r="AM39" s="1288">
        <f t="shared" si="23"/>
        <v>0</v>
      </c>
      <c r="AT39" s="1269" t="s">
        <v>4772</v>
      </c>
      <c r="AU39" s="1288" t="str">
        <f t="shared" si="24"/>
        <v/>
      </c>
      <c r="AV39" s="1288" t="str">
        <f t="shared" si="25"/>
        <v/>
      </c>
      <c r="AW39" s="1288" t="str">
        <f t="shared" si="26"/>
        <v/>
      </c>
      <c r="AX39" s="1288" t="str">
        <f t="shared" si="27"/>
        <v/>
      </c>
      <c r="AY39" s="1288" t="str">
        <f t="shared" si="28"/>
        <v/>
      </c>
      <c r="AZ39" s="1288" t="str">
        <f t="shared" si="29"/>
        <v/>
      </c>
      <c r="BA39" s="1288" t="str">
        <f t="shared" si="30"/>
        <v/>
      </c>
      <c r="BM39" s="1267" t="s">
        <v>4715</v>
      </c>
      <c r="BN39" s="1297"/>
      <c r="BO39" s="1297"/>
      <c r="BP39" s="1297" t="s">
        <v>4774</v>
      </c>
      <c r="BQ39" s="1297" t="s">
        <v>4774</v>
      </c>
      <c r="BR39" s="1297"/>
      <c r="BS39" s="1297" t="s">
        <v>4774</v>
      </c>
      <c r="BT39" s="1297"/>
      <c r="BU39" s="1297" t="s">
        <v>4774</v>
      </c>
      <c r="BV39" s="1297"/>
      <c r="BW39" s="1297"/>
      <c r="BX39" s="1297"/>
      <c r="BY39" s="1297"/>
      <c r="BZ39" s="1297" t="s">
        <v>4774</v>
      </c>
      <c r="CA39" s="1297" t="s">
        <v>4774</v>
      </c>
      <c r="CB39" s="1297" t="s">
        <v>4774</v>
      </c>
      <c r="CC39" s="1297" t="s">
        <v>4774</v>
      </c>
      <c r="CD39" s="1297"/>
      <c r="CE39" s="1297"/>
      <c r="CF39" s="1297"/>
      <c r="CG39" s="1297"/>
    </row>
    <row r="40" spans="1:86" ht="13.5" customHeight="1">
      <c r="A40" s="2563"/>
      <c r="B40" s="772" t="s">
        <v>3286</v>
      </c>
      <c r="C40" s="160">
        <v>18</v>
      </c>
      <c r="D40" s="153" t="s">
        <v>17</v>
      </c>
      <c r="E40" s="661">
        <f t="shared" si="21"/>
        <v>0</v>
      </c>
      <c r="F40" s="153" t="s">
        <v>28</v>
      </c>
      <c r="G40" s="654"/>
      <c r="H40" s="288" t="s">
        <v>28</v>
      </c>
      <c r="I40" s="654"/>
      <c r="J40" s="288" t="s">
        <v>28</v>
      </c>
      <c r="K40" s="654"/>
      <c r="L40" s="288" t="s">
        <v>28</v>
      </c>
      <c r="M40" s="654"/>
      <c r="N40" s="288" t="s">
        <v>28</v>
      </c>
      <c r="O40" s="654"/>
      <c r="P40" s="288" t="s">
        <v>28</v>
      </c>
      <c r="Q40" s="654"/>
      <c r="R40" s="288" t="s">
        <v>28</v>
      </c>
      <c r="S40" s="654"/>
      <c r="T40" s="289" t="s">
        <v>28</v>
      </c>
      <c r="Z40" s="874" t="str">
        <f>CJ164</f>
        <v>対象用途まとめ（防火設備）</v>
      </c>
      <c r="AA40" s="874" t="str">
        <f>CJ165</f>
        <v/>
      </c>
      <c r="AC40" s="1291">
        <v>18</v>
      </c>
      <c r="AD40" s="1291"/>
      <c r="AE40" s="1290">
        <f t="shared" si="13"/>
        <v>0</v>
      </c>
      <c r="AF40" s="1290">
        <f t="shared" si="14"/>
        <v>0</v>
      </c>
      <c r="AG40" s="1290">
        <f t="shared" si="15"/>
        <v>0</v>
      </c>
      <c r="AH40" s="1290">
        <f t="shared" si="16"/>
        <v>0</v>
      </c>
      <c r="AI40" s="1290">
        <f t="shared" si="17"/>
        <v>0</v>
      </c>
      <c r="AJ40" s="1290">
        <f t="shared" si="18"/>
        <v>0</v>
      </c>
      <c r="AK40" s="1290">
        <f t="shared" si="19"/>
        <v>0</v>
      </c>
      <c r="AL40" s="1290">
        <f t="shared" si="20"/>
        <v>0</v>
      </c>
      <c r="AM40" s="1288">
        <f t="shared" si="23"/>
        <v>0</v>
      </c>
      <c r="AT40" s="1269" t="s">
        <v>4771</v>
      </c>
      <c r="AU40" s="1288" t="str">
        <f t="shared" si="24"/>
        <v/>
      </c>
      <c r="AV40" s="1288" t="str">
        <f t="shared" si="25"/>
        <v/>
      </c>
      <c r="AW40" s="1288" t="str">
        <f t="shared" si="26"/>
        <v/>
      </c>
      <c r="AX40" s="1288" t="str">
        <f t="shared" si="27"/>
        <v/>
      </c>
      <c r="AY40" s="1288" t="str">
        <f t="shared" si="28"/>
        <v/>
      </c>
      <c r="AZ40" s="1288" t="str">
        <f t="shared" si="29"/>
        <v/>
      </c>
      <c r="BA40" s="1288" t="str">
        <f t="shared" si="30"/>
        <v/>
      </c>
      <c r="BM40" s="1267" t="s">
        <v>4713</v>
      </c>
      <c r="BN40" s="1297" t="s">
        <v>4755</v>
      </c>
      <c r="BO40" s="1297" t="s">
        <v>4755</v>
      </c>
      <c r="BP40" s="1297" t="s">
        <v>4755</v>
      </c>
      <c r="BQ40" s="1297" t="s">
        <v>4755</v>
      </c>
      <c r="BR40" s="1297"/>
      <c r="BS40" s="1297" t="s">
        <v>4755</v>
      </c>
      <c r="BT40" s="1297"/>
      <c r="BU40" s="1297" t="s">
        <v>4755</v>
      </c>
      <c r="BV40" s="1297"/>
      <c r="BW40" s="1297" t="s">
        <v>4755</v>
      </c>
      <c r="BX40" s="1297" t="s">
        <v>4755</v>
      </c>
      <c r="BY40" s="1297" t="s">
        <v>4755</v>
      </c>
      <c r="BZ40" s="1297" t="s">
        <v>4755</v>
      </c>
      <c r="CA40" s="1297" t="s">
        <v>4755</v>
      </c>
      <c r="CB40" s="1297" t="s">
        <v>4755</v>
      </c>
      <c r="CC40" s="1297" t="s">
        <v>4755</v>
      </c>
      <c r="CD40" s="1297"/>
      <c r="CE40" s="1297"/>
      <c r="CF40" s="1297"/>
      <c r="CG40" s="1297"/>
    </row>
    <row r="41" spans="1:86">
      <c r="A41" s="2563"/>
      <c r="B41" s="772" t="s">
        <v>3157</v>
      </c>
      <c r="C41" s="160">
        <v>19</v>
      </c>
      <c r="D41" s="153" t="s">
        <v>17</v>
      </c>
      <c r="E41" s="661">
        <f t="shared" si="21"/>
        <v>0</v>
      </c>
      <c r="F41" s="153" t="s">
        <v>28</v>
      </c>
      <c r="G41" s="654"/>
      <c r="H41" s="288" t="s">
        <v>28</v>
      </c>
      <c r="I41" s="654"/>
      <c r="J41" s="288" t="s">
        <v>28</v>
      </c>
      <c r="K41" s="654"/>
      <c r="L41" s="288" t="s">
        <v>28</v>
      </c>
      <c r="M41" s="654"/>
      <c r="N41" s="288" t="s">
        <v>28</v>
      </c>
      <c r="O41" s="654"/>
      <c r="P41" s="288" t="s">
        <v>28</v>
      </c>
      <c r="Q41" s="654"/>
      <c r="R41" s="288" t="s">
        <v>28</v>
      </c>
      <c r="S41" s="654"/>
      <c r="T41" s="289" t="s">
        <v>28</v>
      </c>
      <c r="AC41" s="1291">
        <v>19</v>
      </c>
      <c r="AD41" s="1291"/>
      <c r="AE41" s="1290">
        <f t="shared" si="13"/>
        <v>0</v>
      </c>
      <c r="AF41" s="1290">
        <f t="shared" si="14"/>
        <v>0</v>
      </c>
      <c r="AG41" s="1290">
        <f t="shared" si="15"/>
        <v>0</v>
      </c>
      <c r="AH41" s="1290">
        <f t="shared" si="16"/>
        <v>0</v>
      </c>
      <c r="AI41" s="1290">
        <f t="shared" si="17"/>
        <v>0</v>
      </c>
      <c r="AJ41" s="1290">
        <f t="shared" si="18"/>
        <v>0</v>
      </c>
      <c r="AK41" s="1290">
        <f t="shared" si="19"/>
        <v>0</v>
      </c>
      <c r="AL41" s="1290">
        <f t="shared" si="20"/>
        <v>0</v>
      </c>
      <c r="AM41" s="1288">
        <f t="shared" si="23"/>
        <v>0</v>
      </c>
      <c r="AT41" s="1269" t="s">
        <v>4770</v>
      </c>
      <c r="AU41" s="1288" t="str">
        <f t="shared" si="24"/>
        <v/>
      </c>
      <c r="AV41" s="1288" t="str">
        <f t="shared" si="25"/>
        <v/>
      </c>
      <c r="AW41" s="1288" t="str">
        <f t="shared" si="26"/>
        <v/>
      </c>
      <c r="AX41" s="1288" t="str">
        <f t="shared" si="27"/>
        <v/>
      </c>
      <c r="AY41" s="1288" t="str">
        <f t="shared" si="28"/>
        <v/>
      </c>
      <c r="AZ41" s="1288" t="str">
        <f t="shared" si="29"/>
        <v/>
      </c>
      <c r="BA41" s="1288" t="str">
        <f t="shared" si="30"/>
        <v/>
      </c>
      <c r="BM41" s="1267" t="s">
        <v>4711</v>
      </c>
      <c r="BN41" s="1297"/>
      <c r="BO41" s="1297"/>
      <c r="BP41" s="1297"/>
      <c r="BQ41" s="1297"/>
      <c r="BR41" s="1297"/>
      <c r="BS41" s="1297"/>
      <c r="BT41" s="1297"/>
      <c r="BU41" s="1297"/>
      <c r="BV41" s="1297"/>
      <c r="BW41" s="1297" t="s">
        <v>4774</v>
      </c>
      <c r="BX41" s="1297" t="s">
        <v>4774</v>
      </c>
      <c r="BY41" s="1297" t="s">
        <v>4774</v>
      </c>
      <c r="BZ41" s="1297" t="s">
        <v>4774</v>
      </c>
      <c r="CA41" s="1297" t="s">
        <v>4774</v>
      </c>
      <c r="CB41" s="1297" t="s">
        <v>4774</v>
      </c>
      <c r="CC41" s="1297" t="s">
        <v>4774</v>
      </c>
      <c r="CD41" s="1297"/>
      <c r="CE41" s="1297"/>
      <c r="CF41" s="1297"/>
      <c r="CG41" s="1297"/>
    </row>
    <row r="42" spans="1:86">
      <c r="A42" s="2563" t="s">
        <v>3161</v>
      </c>
      <c r="B42" s="774" t="s">
        <v>3295</v>
      </c>
      <c r="C42" s="161">
        <v>20</v>
      </c>
      <c r="D42" s="154" t="s">
        <v>17</v>
      </c>
      <c r="E42" s="663">
        <f t="shared" si="21"/>
        <v>0</v>
      </c>
      <c r="F42" s="154" t="s">
        <v>28</v>
      </c>
      <c r="G42" s="656"/>
      <c r="H42" s="292" t="s">
        <v>28</v>
      </c>
      <c r="I42" s="656"/>
      <c r="J42" s="292" t="s">
        <v>28</v>
      </c>
      <c r="K42" s="656"/>
      <c r="L42" s="292" t="s">
        <v>28</v>
      </c>
      <c r="M42" s="656"/>
      <c r="N42" s="292" t="s">
        <v>28</v>
      </c>
      <c r="O42" s="656"/>
      <c r="P42" s="292" t="s">
        <v>28</v>
      </c>
      <c r="Q42" s="656"/>
      <c r="R42" s="292" t="s">
        <v>28</v>
      </c>
      <c r="S42" s="656"/>
      <c r="T42" s="293" t="s">
        <v>28</v>
      </c>
      <c r="Z42" s="875" t="str">
        <f>BL184</f>
        <v>ID用途面積</v>
      </c>
      <c r="AA42" s="878">
        <f>BS184</f>
        <v>0</v>
      </c>
      <c r="AC42" s="1291">
        <v>20</v>
      </c>
      <c r="AD42" s="1291"/>
      <c r="AE42" s="1290">
        <f t="shared" si="13"/>
        <v>0</v>
      </c>
      <c r="AF42" s="1290">
        <f t="shared" si="14"/>
        <v>0</v>
      </c>
      <c r="AG42" s="1290">
        <f t="shared" si="15"/>
        <v>0</v>
      </c>
      <c r="AH42" s="1290">
        <f t="shared" si="16"/>
        <v>0</v>
      </c>
      <c r="AI42" s="1290">
        <f t="shared" si="17"/>
        <v>0</v>
      </c>
      <c r="AJ42" s="1290">
        <f t="shared" si="18"/>
        <v>0</v>
      </c>
      <c r="AK42" s="1290">
        <f t="shared" si="19"/>
        <v>0</v>
      </c>
      <c r="AL42" s="1290">
        <f t="shared" si="20"/>
        <v>0</v>
      </c>
      <c r="AM42" s="1288">
        <f t="shared" si="23"/>
        <v>0</v>
      </c>
      <c r="AT42" s="1269" t="s">
        <v>4769</v>
      </c>
      <c r="AU42" s="1288" t="str">
        <f t="shared" si="24"/>
        <v/>
      </c>
      <c r="AV42" s="1288" t="str">
        <f t="shared" si="25"/>
        <v/>
      </c>
      <c r="AW42" s="1288" t="str">
        <f t="shared" si="26"/>
        <v/>
      </c>
      <c r="AX42" s="1288" t="str">
        <f t="shared" si="27"/>
        <v/>
      </c>
      <c r="AY42" s="1288" t="str">
        <f t="shared" si="28"/>
        <v/>
      </c>
      <c r="AZ42" s="1288" t="str">
        <f t="shared" si="29"/>
        <v/>
      </c>
      <c r="BA42" s="1288" t="str">
        <f t="shared" si="30"/>
        <v/>
      </c>
    </row>
    <row r="43" spans="1:86">
      <c r="A43" s="2563"/>
      <c r="B43" s="772" t="s">
        <v>3287</v>
      </c>
      <c r="C43" s="159">
        <v>21</v>
      </c>
      <c r="D43" s="152" t="s">
        <v>17</v>
      </c>
      <c r="E43" s="664">
        <f t="shared" ref="E43:E52" si="31">SUM(G43:T43)</f>
        <v>0</v>
      </c>
      <c r="F43" s="152" t="s">
        <v>28</v>
      </c>
      <c r="G43" s="657"/>
      <c r="H43" s="294" t="s">
        <v>28</v>
      </c>
      <c r="I43" s="657"/>
      <c r="J43" s="294" t="s">
        <v>28</v>
      </c>
      <c r="K43" s="657"/>
      <c r="L43" s="294" t="s">
        <v>28</v>
      </c>
      <c r="M43" s="657"/>
      <c r="N43" s="294" t="s">
        <v>28</v>
      </c>
      <c r="O43" s="657"/>
      <c r="P43" s="294" t="s">
        <v>28</v>
      </c>
      <c r="Q43" s="657"/>
      <c r="R43" s="294" t="s">
        <v>28</v>
      </c>
      <c r="S43" s="657"/>
      <c r="T43" s="295" t="s">
        <v>28</v>
      </c>
      <c r="Z43" s="876" t="str">
        <f>BL185</f>
        <v>建築設備対象面積</v>
      </c>
      <c r="AA43" s="879">
        <f>BS185</f>
        <v>0</v>
      </c>
      <c r="AC43" s="1291">
        <v>21</v>
      </c>
      <c r="AD43" s="1291"/>
      <c r="AE43" s="1290">
        <f t="shared" si="13"/>
        <v>0</v>
      </c>
      <c r="AF43" s="1290">
        <f t="shared" si="14"/>
        <v>0</v>
      </c>
      <c r="AG43" s="1290">
        <f t="shared" si="15"/>
        <v>0</v>
      </c>
      <c r="AH43" s="1290">
        <f t="shared" si="16"/>
        <v>0</v>
      </c>
      <c r="AI43" s="1290">
        <f t="shared" si="17"/>
        <v>0</v>
      </c>
      <c r="AJ43" s="1290">
        <f t="shared" si="18"/>
        <v>0</v>
      </c>
      <c r="AK43" s="1290">
        <f t="shared" si="19"/>
        <v>0</v>
      </c>
      <c r="AL43" s="1290">
        <f t="shared" si="20"/>
        <v>0</v>
      </c>
      <c r="AM43" s="1288">
        <f t="shared" si="23"/>
        <v>0</v>
      </c>
      <c r="AT43" s="1269" t="s">
        <v>4768</v>
      </c>
      <c r="AU43" s="1288" t="str">
        <f t="shared" si="24"/>
        <v/>
      </c>
      <c r="AV43" s="1288" t="str">
        <f t="shared" si="25"/>
        <v/>
      </c>
      <c r="AW43" s="1288" t="str">
        <f t="shared" si="26"/>
        <v/>
      </c>
      <c r="AX43" s="1288" t="str">
        <f t="shared" si="27"/>
        <v/>
      </c>
      <c r="AY43" s="1288" t="str">
        <f t="shared" si="28"/>
        <v/>
      </c>
      <c r="AZ43" s="1288" t="str">
        <f t="shared" si="29"/>
        <v/>
      </c>
      <c r="BA43" s="1288" t="str">
        <f t="shared" si="30"/>
        <v/>
      </c>
      <c r="BL43" s="1267" t="s">
        <v>4764</v>
      </c>
      <c r="BM43" s="1267" t="s">
        <v>4767</v>
      </c>
      <c r="BN43" s="1297">
        <v>500</v>
      </c>
      <c r="BO43" s="1297">
        <v>500</v>
      </c>
      <c r="BP43" s="1297">
        <v>500</v>
      </c>
      <c r="BQ43" s="1297">
        <v>500</v>
      </c>
      <c r="BR43" s="1297">
        <v>1000</v>
      </c>
      <c r="BS43" s="1297">
        <v>1000</v>
      </c>
      <c r="BT43" s="1297">
        <v>500</v>
      </c>
      <c r="BU43" s="1297">
        <v>500</v>
      </c>
      <c r="BV43" s="1297">
        <v>1000</v>
      </c>
      <c r="BW43" s="1297">
        <v>1000</v>
      </c>
      <c r="BX43" s="1297">
        <v>1000</v>
      </c>
      <c r="BY43" s="1297">
        <v>1000</v>
      </c>
      <c r="BZ43" s="1297">
        <v>500</v>
      </c>
      <c r="CA43" s="1297">
        <v>500</v>
      </c>
      <c r="CB43" s="1297">
        <v>500</v>
      </c>
      <c r="CC43" s="1297">
        <v>500</v>
      </c>
      <c r="CD43" s="1297">
        <v>1000</v>
      </c>
      <c r="CE43" s="1297">
        <v>1000</v>
      </c>
      <c r="CF43" s="1297"/>
      <c r="CG43" s="1297"/>
      <c r="CH43" s="1297">
        <v>1500</v>
      </c>
    </row>
    <row r="44" spans="1:86">
      <c r="A44" s="2563"/>
      <c r="B44" s="772" t="s">
        <v>3288</v>
      </c>
      <c r="C44" s="160">
        <v>22</v>
      </c>
      <c r="D44" s="153" t="s">
        <v>17</v>
      </c>
      <c r="E44" s="661">
        <f t="shared" si="31"/>
        <v>0</v>
      </c>
      <c r="F44" s="153" t="s">
        <v>28</v>
      </c>
      <c r="G44" s="654"/>
      <c r="H44" s="288" t="s">
        <v>28</v>
      </c>
      <c r="I44" s="654"/>
      <c r="J44" s="288" t="s">
        <v>28</v>
      </c>
      <c r="K44" s="654"/>
      <c r="L44" s="288" t="s">
        <v>28</v>
      </c>
      <c r="M44" s="654"/>
      <c r="N44" s="288" t="s">
        <v>28</v>
      </c>
      <c r="O44" s="654"/>
      <c r="P44" s="288" t="s">
        <v>28</v>
      </c>
      <c r="Q44" s="654"/>
      <c r="R44" s="288" t="s">
        <v>28</v>
      </c>
      <c r="S44" s="654"/>
      <c r="T44" s="289" t="s">
        <v>28</v>
      </c>
      <c r="Z44" s="876" t="str">
        <f>BL186</f>
        <v>建築設備対象用途ID記号</v>
      </c>
      <c r="AA44" s="879" t="str">
        <f>BS186</f>
        <v/>
      </c>
      <c r="AC44" s="1291">
        <v>22</v>
      </c>
      <c r="AD44" s="1291"/>
      <c r="AE44" s="1290">
        <f t="shared" si="13"/>
        <v>0</v>
      </c>
      <c r="AF44" s="1290">
        <f t="shared" si="14"/>
        <v>0</v>
      </c>
      <c r="AG44" s="1290">
        <f t="shared" si="15"/>
        <v>0</v>
      </c>
      <c r="AH44" s="1290">
        <f t="shared" si="16"/>
        <v>0</v>
      </c>
      <c r="AI44" s="1290">
        <f t="shared" si="17"/>
        <v>0</v>
      </c>
      <c r="AJ44" s="1290">
        <f t="shared" si="18"/>
        <v>0</v>
      </c>
      <c r="AK44" s="1290">
        <f t="shared" si="19"/>
        <v>0</v>
      </c>
      <c r="AL44" s="1290">
        <f t="shared" si="20"/>
        <v>0</v>
      </c>
      <c r="AM44" s="1288">
        <f t="shared" si="23"/>
        <v>0</v>
      </c>
      <c r="AT44" s="1269" t="s">
        <v>4766</v>
      </c>
      <c r="AU44" s="1288" t="str">
        <f t="shared" si="24"/>
        <v/>
      </c>
      <c r="AV44" s="1288" t="str">
        <f t="shared" si="25"/>
        <v/>
      </c>
      <c r="AW44" s="1288" t="str">
        <f t="shared" si="26"/>
        <v/>
      </c>
      <c r="AX44" s="1288" t="str">
        <f t="shared" si="27"/>
        <v/>
      </c>
      <c r="AY44" s="1288" t="str">
        <f t="shared" si="28"/>
        <v/>
      </c>
      <c r="AZ44" s="1288" t="str">
        <f t="shared" si="29"/>
        <v/>
      </c>
      <c r="BA44" s="1288" t="str">
        <f t="shared" si="30"/>
        <v/>
      </c>
    </row>
    <row r="45" spans="1:86">
      <c r="A45" s="774" t="s">
        <v>5414</v>
      </c>
      <c r="B45" s="772" t="s">
        <v>323</v>
      </c>
      <c r="C45" s="160">
        <v>23</v>
      </c>
      <c r="D45" s="153" t="s">
        <v>17</v>
      </c>
      <c r="E45" s="661">
        <f t="shared" si="31"/>
        <v>0</v>
      </c>
      <c r="F45" s="153" t="s">
        <v>28</v>
      </c>
      <c r="G45" s="654"/>
      <c r="H45" s="288" t="s">
        <v>28</v>
      </c>
      <c r="I45" s="654"/>
      <c r="J45" s="288" t="s">
        <v>28</v>
      </c>
      <c r="K45" s="654"/>
      <c r="L45" s="288" t="s">
        <v>28</v>
      </c>
      <c r="M45" s="654"/>
      <c r="N45" s="288" t="s">
        <v>28</v>
      </c>
      <c r="O45" s="654"/>
      <c r="P45" s="288" t="s">
        <v>28</v>
      </c>
      <c r="Q45" s="654"/>
      <c r="R45" s="288" t="s">
        <v>28</v>
      </c>
      <c r="S45" s="654"/>
      <c r="T45" s="289" t="s">
        <v>28</v>
      </c>
      <c r="Z45" s="876" t="str">
        <f>BL187</f>
        <v>特殊建築物面積</v>
      </c>
      <c r="AA45" s="879">
        <f>BS187</f>
        <v>0</v>
      </c>
      <c r="AC45" s="1291">
        <v>23</v>
      </c>
      <c r="AD45" s="1291"/>
      <c r="AE45" s="1290">
        <f t="shared" si="13"/>
        <v>0</v>
      </c>
      <c r="AF45" s="1290">
        <f t="shared" si="14"/>
        <v>0</v>
      </c>
      <c r="AG45" s="1290">
        <f t="shared" si="15"/>
        <v>0</v>
      </c>
      <c r="AH45" s="1290">
        <f t="shared" si="16"/>
        <v>0</v>
      </c>
      <c r="AI45" s="1290">
        <f t="shared" si="17"/>
        <v>0</v>
      </c>
      <c r="AJ45" s="1290">
        <f t="shared" si="18"/>
        <v>0</v>
      </c>
      <c r="AK45" s="1290">
        <f t="shared" si="19"/>
        <v>0</v>
      </c>
      <c r="AL45" s="1290">
        <f t="shared" si="20"/>
        <v>0</v>
      </c>
      <c r="AM45" s="1288">
        <f t="shared" si="23"/>
        <v>0</v>
      </c>
      <c r="AT45" s="1269" t="s">
        <v>4765</v>
      </c>
      <c r="AU45" s="1288" t="str">
        <f t="shared" si="24"/>
        <v/>
      </c>
      <c r="AV45" s="1288" t="str">
        <f t="shared" si="25"/>
        <v/>
      </c>
      <c r="AW45" s="1288" t="str">
        <f t="shared" si="26"/>
        <v/>
      </c>
      <c r="AX45" s="1288" t="str">
        <f t="shared" si="27"/>
        <v/>
      </c>
      <c r="AY45" s="1288" t="str">
        <f t="shared" si="28"/>
        <v/>
      </c>
      <c r="AZ45" s="1288" t="str">
        <f t="shared" si="29"/>
        <v/>
      </c>
      <c r="BA45" s="1288" t="str">
        <f t="shared" si="30"/>
        <v/>
      </c>
      <c r="BL45" s="1267" t="s">
        <v>4764</v>
      </c>
      <c r="BM45" s="1267" t="s">
        <v>4688</v>
      </c>
      <c r="BN45" s="1297" t="s">
        <v>4755</v>
      </c>
      <c r="BO45" s="1297" t="s">
        <v>4755</v>
      </c>
      <c r="BP45" s="1297" t="s">
        <v>4755</v>
      </c>
      <c r="BQ45" s="1297" t="s">
        <v>4755</v>
      </c>
      <c r="BR45" s="1297" t="s">
        <v>4755</v>
      </c>
      <c r="BS45" s="1297" t="s">
        <v>4755</v>
      </c>
      <c r="BT45" s="1297" t="s">
        <v>4755</v>
      </c>
      <c r="BU45" s="1297" t="s">
        <v>4755</v>
      </c>
      <c r="BV45" s="1297" t="s">
        <v>4755</v>
      </c>
      <c r="BW45" s="1297" t="s">
        <v>4755</v>
      </c>
      <c r="BX45" s="1297" t="s">
        <v>4755</v>
      </c>
      <c r="BY45" s="1297" t="s">
        <v>4755</v>
      </c>
      <c r="BZ45" s="1297" t="s">
        <v>4755</v>
      </c>
      <c r="CA45" s="1297" t="s">
        <v>4755</v>
      </c>
      <c r="CB45" s="1297" t="s">
        <v>4755</v>
      </c>
      <c r="CC45" s="1297" t="s">
        <v>4755</v>
      </c>
      <c r="CD45" s="1297" t="s">
        <v>4755</v>
      </c>
      <c r="CE45" s="1297" t="s">
        <v>4755</v>
      </c>
      <c r="CF45" s="1297"/>
      <c r="CG45" s="1297"/>
      <c r="CH45" s="1297" t="s">
        <v>4755</v>
      </c>
    </row>
    <row r="46" spans="1:86">
      <c r="A46" s="772" t="s">
        <v>3237</v>
      </c>
      <c r="B46" s="775" t="s">
        <v>3289</v>
      </c>
      <c r="C46" s="160">
        <v>24</v>
      </c>
      <c r="D46" s="153" t="s">
        <v>17</v>
      </c>
      <c r="E46" s="661">
        <f>SUM(G46:T46)</f>
        <v>0</v>
      </c>
      <c r="F46" s="153" t="s">
        <v>28</v>
      </c>
      <c r="G46" s="654"/>
      <c r="H46" s="288" t="s">
        <v>28</v>
      </c>
      <c r="I46" s="654"/>
      <c r="J46" s="288" t="s">
        <v>28</v>
      </c>
      <c r="K46" s="654"/>
      <c r="L46" s="288" t="s">
        <v>28</v>
      </c>
      <c r="M46" s="654"/>
      <c r="N46" s="288" t="s">
        <v>28</v>
      </c>
      <c r="O46" s="654"/>
      <c r="P46" s="288" t="s">
        <v>28</v>
      </c>
      <c r="Q46" s="654"/>
      <c r="R46" s="288" t="s">
        <v>28</v>
      </c>
      <c r="S46" s="654"/>
      <c r="T46" s="289" t="s">
        <v>28</v>
      </c>
      <c r="Z46" s="877" t="str">
        <f>BL189</f>
        <v>指定根拠コード</v>
      </c>
      <c r="AA46" s="880" t="str">
        <f>BS189</f>
        <v/>
      </c>
      <c r="AC46" s="1291">
        <v>24</v>
      </c>
      <c r="AD46" s="1291"/>
      <c r="AE46" s="1290">
        <f t="shared" si="13"/>
        <v>0</v>
      </c>
      <c r="AF46" s="1290">
        <f t="shared" si="14"/>
        <v>0</v>
      </c>
      <c r="AG46" s="1290">
        <f t="shared" si="15"/>
        <v>0</v>
      </c>
      <c r="AH46" s="1290">
        <f t="shared" si="16"/>
        <v>0</v>
      </c>
      <c r="AI46" s="1290">
        <f t="shared" si="17"/>
        <v>0</v>
      </c>
      <c r="AJ46" s="1290">
        <f t="shared" si="18"/>
        <v>0</v>
      </c>
      <c r="AK46" s="1290">
        <f t="shared" si="19"/>
        <v>0</v>
      </c>
      <c r="AL46" s="1290">
        <f t="shared" si="20"/>
        <v>0</v>
      </c>
      <c r="AM46" s="1288">
        <f t="shared" si="23"/>
        <v>0</v>
      </c>
      <c r="AT46" s="1269" t="s">
        <v>4763</v>
      </c>
      <c r="AU46" s="1288" t="str">
        <f t="shared" si="24"/>
        <v/>
      </c>
      <c r="AV46" s="1288" t="str">
        <f t="shared" si="25"/>
        <v/>
      </c>
      <c r="AW46" s="1288" t="str">
        <f t="shared" si="26"/>
        <v/>
      </c>
      <c r="AX46" s="1288" t="str">
        <f t="shared" si="27"/>
        <v/>
      </c>
      <c r="AY46" s="1288" t="str">
        <f t="shared" si="28"/>
        <v/>
      </c>
      <c r="AZ46" s="1288" t="str">
        <f t="shared" si="29"/>
        <v/>
      </c>
      <c r="BA46" s="1288" t="str">
        <f t="shared" si="30"/>
        <v/>
      </c>
    </row>
    <row r="47" spans="1:86">
      <c r="A47" s="772" t="s">
        <v>3238</v>
      </c>
      <c r="B47" s="775" t="s">
        <v>3159</v>
      </c>
      <c r="C47" s="161">
        <v>25</v>
      </c>
      <c r="D47" s="154" t="s">
        <v>17</v>
      </c>
      <c r="E47" s="663">
        <f t="shared" si="31"/>
        <v>0</v>
      </c>
      <c r="F47" s="154" t="s">
        <v>28</v>
      </c>
      <c r="G47" s="656"/>
      <c r="H47" s="292" t="s">
        <v>28</v>
      </c>
      <c r="I47" s="656"/>
      <c r="J47" s="292" t="s">
        <v>28</v>
      </c>
      <c r="K47" s="656"/>
      <c r="L47" s="292" t="s">
        <v>28</v>
      </c>
      <c r="M47" s="656"/>
      <c r="N47" s="292" t="s">
        <v>28</v>
      </c>
      <c r="O47" s="656"/>
      <c r="P47" s="292" t="s">
        <v>28</v>
      </c>
      <c r="Q47" s="656"/>
      <c r="R47" s="292" t="s">
        <v>28</v>
      </c>
      <c r="S47" s="656"/>
      <c r="T47" s="293" t="s">
        <v>28</v>
      </c>
      <c r="AC47" s="1291">
        <v>25</v>
      </c>
      <c r="AD47" s="1291"/>
      <c r="AE47" s="1290">
        <f t="shared" si="13"/>
        <v>0</v>
      </c>
      <c r="AF47" s="1290">
        <f t="shared" si="14"/>
        <v>0</v>
      </c>
      <c r="AG47" s="1290">
        <f t="shared" si="15"/>
        <v>0</v>
      </c>
      <c r="AH47" s="1290">
        <f t="shared" si="16"/>
        <v>0</v>
      </c>
      <c r="AI47" s="1290">
        <f t="shared" si="17"/>
        <v>0</v>
      </c>
      <c r="AJ47" s="1290">
        <f t="shared" si="18"/>
        <v>0</v>
      </c>
      <c r="AK47" s="1290">
        <f t="shared" si="19"/>
        <v>0</v>
      </c>
      <c r="AL47" s="1290">
        <f t="shared" si="20"/>
        <v>0</v>
      </c>
      <c r="AM47" s="1288">
        <f t="shared" si="23"/>
        <v>0</v>
      </c>
      <c r="AT47" s="1269" t="s">
        <v>4762</v>
      </c>
      <c r="AU47" s="1288" t="str">
        <f t="shared" si="24"/>
        <v/>
      </c>
      <c r="AV47" s="1288" t="str">
        <f t="shared" si="25"/>
        <v/>
      </c>
      <c r="AW47" s="1288" t="str">
        <f t="shared" si="26"/>
        <v/>
      </c>
      <c r="AX47" s="1288" t="str">
        <f t="shared" si="27"/>
        <v/>
      </c>
      <c r="AY47" s="1288" t="str">
        <f t="shared" si="28"/>
        <v/>
      </c>
      <c r="AZ47" s="1288" t="str">
        <f t="shared" si="29"/>
        <v/>
      </c>
      <c r="BA47" s="1288" t="str">
        <f t="shared" si="30"/>
        <v/>
      </c>
      <c r="BK47" s="1267" t="s">
        <v>4683</v>
      </c>
      <c r="BL47" s="1267" t="s">
        <v>4764</v>
      </c>
      <c r="BM47" s="1267" t="s">
        <v>4767</v>
      </c>
      <c r="BN47" s="1297">
        <v>1500</v>
      </c>
      <c r="BO47" s="1297">
        <v>1500</v>
      </c>
      <c r="BP47" s="1297">
        <v>1500</v>
      </c>
      <c r="BQ47" s="1297">
        <v>1000</v>
      </c>
      <c r="BR47" s="1297"/>
      <c r="BS47" s="1297"/>
      <c r="BT47" s="1297">
        <v>1500</v>
      </c>
      <c r="BU47" s="1297">
        <v>1500</v>
      </c>
      <c r="BV47" s="1297">
        <v>1500</v>
      </c>
      <c r="BW47" s="1297">
        <v>1500</v>
      </c>
      <c r="BX47" s="1297">
        <v>1500</v>
      </c>
      <c r="BY47" s="1297">
        <v>1500</v>
      </c>
      <c r="BZ47" s="1297">
        <v>1500</v>
      </c>
      <c r="CA47" s="1297">
        <v>1500</v>
      </c>
      <c r="CB47" s="1297">
        <v>1500</v>
      </c>
      <c r="CC47" s="1297">
        <v>1500</v>
      </c>
      <c r="CD47" s="1297">
        <v>1500</v>
      </c>
      <c r="CE47" s="1297">
        <v>1500</v>
      </c>
      <c r="CF47" s="1297"/>
      <c r="CG47" s="1297"/>
      <c r="CH47" s="1297">
        <v>1500</v>
      </c>
    </row>
    <row r="48" spans="1:86" ht="13.5" customHeight="1">
      <c r="A48" s="772" t="s">
        <v>3239</v>
      </c>
      <c r="B48" s="776" t="s">
        <v>3290</v>
      </c>
      <c r="C48" s="162">
        <v>26</v>
      </c>
      <c r="D48" s="152" t="s">
        <v>17</v>
      </c>
      <c r="E48" s="664">
        <f t="shared" si="31"/>
        <v>0</v>
      </c>
      <c r="F48" s="152" t="s">
        <v>28</v>
      </c>
      <c r="G48" s="657"/>
      <c r="H48" s="294" t="s">
        <v>28</v>
      </c>
      <c r="I48" s="657"/>
      <c r="J48" s="294" t="s">
        <v>28</v>
      </c>
      <c r="K48" s="657"/>
      <c r="L48" s="294" t="s">
        <v>28</v>
      </c>
      <c r="M48" s="657"/>
      <c r="N48" s="294" t="s">
        <v>28</v>
      </c>
      <c r="O48" s="657"/>
      <c r="P48" s="294" t="s">
        <v>28</v>
      </c>
      <c r="Q48" s="657"/>
      <c r="R48" s="294" t="s">
        <v>28</v>
      </c>
      <c r="S48" s="657"/>
      <c r="T48" s="295" t="s">
        <v>28</v>
      </c>
      <c r="AC48" s="1291">
        <v>26</v>
      </c>
      <c r="AD48" s="1291"/>
      <c r="AE48" s="1290">
        <f t="shared" si="13"/>
        <v>0</v>
      </c>
      <c r="AF48" s="1290">
        <f t="shared" si="14"/>
        <v>0</v>
      </c>
      <c r="AG48" s="1290">
        <f t="shared" si="15"/>
        <v>0</v>
      </c>
      <c r="AH48" s="1290">
        <f t="shared" si="16"/>
        <v>0</v>
      </c>
      <c r="AI48" s="1290">
        <f t="shared" si="17"/>
        <v>0</v>
      </c>
      <c r="AJ48" s="1290">
        <f t="shared" si="18"/>
        <v>0</v>
      </c>
      <c r="AK48" s="1290">
        <f t="shared" si="19"/>
        <v>0</v>
      </c>
      <c r="AL48" s="1290">
        <f t="shared" si="20"/>
        <v>0</v>
      </c>
      <c r="AM48" s="1288">
        <f t="shared" si="23"/>
        <v>0</v>
      </c>
      <c r="AT48" s="1269" t="s">
        <v>4759</v>
      </c>
      <c r="AU48" s="1288" t="str">
        <f t="shared" si="24"/>
        <v/>
      </c>
      <c r="AV48" s="1288" t="str">
        <f t="shared" si="25"/>
        <v/>
      </c>
      <c r="AW48" s="1288" t="str">
        <f t="shared" si="26"/>
        <v/>
      </c>
      <c r="AX48" s="1288" t="str">
        <f t="shared" si="27"/>
        <v/>
      </c>
      <c r="AY48" s="1288" t="str">
        <f t="shared" si="28"/>
        <v/>
      </c>
      <c r="AZ48" s="1288" t="str">
        <f t="shared" si="29"/>
        <v/>
      </c>
      <c r="BA48" s="1288" t="str">
        <f t="shared" si="30"/>
        <v/>
      </c>
    </row>
    <row r="49" spans="1:88" ht="13.5" customHeight="1">
      <c r="A49" s="772" t="s">
        <v>3240</v>
      </c>
      <c r="B49" s="777" t="s">
        <v>3291</v>
      </c>
      <c r="C49" s="160">
        <v>27</v>
      </c>
      <c r="D49" s="153" t="s">
        <v>17</v>
      </c>
      <c r="E49" s="661">
        <f t="shared" si="31"/>
        <v>0</v>
      </c>
      <c r="F49" s="153" t="s">
        <v>28</v>
      </c>
      <c r="G49" s="654"/>
      <c r="H49" s="288" t="s">
        <v>28</v>
      </c>
      <c r="I49" s="654"/>
      <c r="J49" s="288" t="s">
        <v>28</v>
      </c>
      <c r="K49" s="654"/>
      <c r="L49" s="288" t="s">
        <v>28</v>
      </c>
      <c r="M49" s="654"/>
      <c r="N49" s="288" t="s">
        <v>28</v>
      </c>
      <c r="O49" s="654"/>
      <c r="P49" s="288" t="s">
        <v>28</v>
      </c>
      <c r="Q49" s="654"/>
      <c r="R49" s="288" t="s">
        <v>28</v>
      </c>
      <c r="S49" s="654"/>
      <c r="T49" s="289" t="s">
        <v>28</v>
      </c>
      <c r="AC49" s="1291">
        <v>27</v>
      </c>
      <c r="AD49" s="1291"/>
      <c r="AE49" s="1290">
        <f t="shared" si="13"/>
        <v>0</v>
      </c>
      <c r="AF49" s="1290">
        <f t="shared" si="14"/>
        <v>0</v>
      </c>
      <c r="AG49" s="1290">
        <f t="shared" si="15"/>
        <v>0</v>
      </c>
      <c r="AH49" s="1290">
        <f t="shared" si="16"/>
        <v>0</v>
      </c>
      <c r="AI49" s="1290">
        <f t="shared" si="17"/>
        <v>0</v>
      </c>
      <c r="AJ49" s="1290">
        <f t="shared" si="18"/>
        <v>0</v>
      </c>
      <c r="AK49" s="1290">
        <f t="shared" si="19"/>
        <v>0</v>
      </c>
      <c r="AL49" s="1290">
        <f t="shared" si="20"/>
        <v>0</v>
      </c>
      <c r="AM49" s="1288">
        <f t="shared" si="23"/>
        <v>0</v>
      </c>
      <c r="AT49" s="1269" t="s">
        <v>4758</v>
      </c>
      <c r="AU49" s="1288" t="str">
        <f t="shared" si="24"/>
        <v/>
      </c>
      <c r="AV49" s="1288" t="str">
        <f t="shared" si="25"/>
        <v/>
      </c>
      <c r="AW49" s="1288" t="str">
        <f t="shared" si="26"/>
        <v/>
      </c>
      <c r="AX49" s="1288" t="str">
        <f t="shared" si="27"/>
        <v/>
      </c>
      <c r="AY49" s="1288" t="str">
        <f t="shared" si="28"/>
        <v/>
      </c>
      <c r="AZ49" s="1288" t="str">
        <f t="shared" si="29"/>
        <v/>
      </c>
      <c r="BA49" s="1288" t="str">
        <f t="shared" si="30"/>
        <v/>
      </c>
      <c r="BL49" s="1267" t="s">
        <v>4764</v>
      </c>
      <c r="BM49" s="1267" t="s">
        <v>4688</v>
      </c>
      <c r="BN49" s="1297" t="s">
        <v>4755</v>
      </c>
      <c r="BO49" s="1297" t="s">
        <v>4755</v>
      </c>
      <c r="BP49" s="1297" t="s">
        <v>4755</v>
      </c>
      <c r="BQ49" s="1297" t="s">
        <v>4755</v>
      </c>
      <c r="BR49" s="1297"/>
      <c r="BS49" s="1297"/>
      <c r="BT49" s="1297" t="s">
        <v>4755</v>
      </c>
      <c r="BU49" s="1297" t="s">
        <v>4755</v>
      </c>
      <c r="BV49" s="1297" t="s">
        <v>4755</v>
      </c>
      <c r="BW49" s="1297" t="s">
        <v>4755</v>
      </c>
      <c r="BX49" s="1297" t="s">
        <v>4755</v>
      </c>
      <c r="BY49" s="1297" t="s">
        <v>4755</v>
      </c>
      <c r="BZ49" s="1297" t="s">
        <v>4755</v>
      </c>
      <c r="CA49" s="1297" t="s">
        <v>4755</v>
      </c>
      <c r="CB49" s="1297" t="s">
        <v>4755</v>
      </c>
      <c r="CC49" s="1297" t="s">
        <v>4755</v>
      </c>
      <c r="CD49" s="1297" t="s">
        <v>4755</v>
      </c>
      <c r="CE49" s="1297" t="s">
        <v>4755</v>
      </c>
      <c r="CF49" s="1297"/>
      <c r="CG49" s="1297"/>
      <c r="CH49" s="1297" t="s">
        <v>4755</v>
      </c>
    </row>
    <row r="50" spans="1:88">
      <c r="A50" s="772" t="s">
        <v>3241</v>
      </c>
      <c r="B50" s="776" t="s">
        <v>3292</v>
      </c>
      <c r="C50" s="160">
        <v>28</v>
      </c>
      <c r="D50" s="153" t="s">
        <v>17</v>
      </c>
      <c r="E50" s="661">
        <f t="shared" si="31"/>
        <v>0</v>
      </c>
      <c r="F50" s="153" t="s">
        <v>28</v>
      </c>
      <c r="G50" s="654"/>
      <c r="H50" s="288" t="s">
        <v>28</v>
      </c>
      <c r="I50" s="654"/>
      <c r="J50" s="288" t="s">
        <v>28</v>
      </c>
      <c r="K50" s="654"/>
      <c r="L50" s="288" t="s">
        <v>28</v>
      </c>
      <c r="M50" s="654"/>
      <c r="N50" s="288" t="s">
        <v>28</v>
      </c>
      <c r="O50" s="654"/>
      <c r="P50" s="288" t="s">
        <v>28</v>
      </c>
      <c r="Q50" s="654"/>
      <c r="R50" s="288" t="s">
        <v>28</v>
      </c>
      <c r="S50" s="654"/>
      <c r="T50" s="289" t="s">
        <v>28</v>
      </c>
      <c r="AC50" s="1291">
        <v>28</v>
      </c>
      <c r="AD50" s="1291"/>
      <c r="AE50" s="1290">
        <f t="shared" si="13"/>
        <v>0</v>
      </c>
      <c r="AF50" s="1290">
        <f t="shared" si="14"/>
        <v>0</v>
      </c>
      <c r="AG50" s="1290">
        <f t="shared" si="15"/>
        <v>0</v>
      </c>
      <c r="AH50" s="1290">
        <f t="shared" si="16"/>
        <v>0</v>
      </c>
      <c r="AI50" s="1290">
        <f t="shared" si="17"/>
        <v>0</v>
      </c>
      <c r="AJ50" s="1290">
        <f t="shared" si="18"/>
        <v>0</v>
      </c>
      <c r="AK50" s="1290">
        <f t="shared" si="19"/>
        <v>0</v>
      </c>
      <c r="AL50" s="1290">
        <f t="shared" si="20"/>
        <v>0</v>
      </c>
      <c r="AM50" s="1288">
        <f t="shared" si="23"/>
        <v>0</v>
      </c>
      <c r="AT50" s="1269" t="s">
        <v>4754</v>
      </c>
      <c r="AU50" s="1288" t="str">
        <f t="shared" si="24"/>
        <v/>
      </c>
      <c r="AV50" s="1288" t="str">
        <f t="shared" si="25"/>
        <v/>
      </c>
      <c r="AW50" s="1288" t="str">
        <f t="shared" si="26"/>
        <v/>
      </c>
      <c r="AX50" s="1288" t="str">
        <f t="shared" si="27"/>
        <v/>
      </c>
      <c r="AY50" s="1288" t="str">
        <f t="shared" si="28"/>
        <v/>
      </c>
      <c r="AZ50" s="1288" t="str">
        <f t="shared" si="29"/>
        <v/>
      </c>
      <c r="BA50" s="1288" t="str">
        <f t="shared" si="30"/>
        <v/>
      </c>
    </row>
    <row r="51" spans="1:88" ht="13.5" customHeight="1">
      <c r="A51" s="772" t="s">
        <v>3242</v>
      </c>
      <c r="B51" s="777" t="s">
        <v>3151</v>
      </c>
      <c r="C51" s="160">
        <v>29</v>
      </c>
      <c r="D51" s="153" t="s">
        <v>17</v>
      </c>
      <c r="E51" s="661">
        <f t="shared" si="31"/>
        <v>0</v>
      </c>
      <c r="F51" s="153" t="s">
        <v>28</v>
      </c>
      <c r="G51" s="654"/>
      <c r="H51" s="288" t="s">
        <v>28</v>
      </c>
      <c r="I51" s="654"/>
      <c r="J51" s="288" t="s">
        <v>28</v>
      </c>
      <c r="K51" s="654"/>
      <c r="L51" s="288" t="s">
        <v>28</v>
      </c>
      <c r="M51" s="654"/>
      <c r="N51" s="288" t="s">
        <v>28</v>
      </c>
      <c r="O51" s="654"/>
      <c r="P51" s="288" t="s">
        <v>28</v>
      </c>
      <c r="Q51" s="654"/>
      <c r="R51" s="288" t="s">
        <v>28</v>
      </c>
      <c r="S51" s="654"/>
      <c r="T51" s="289" t="s">
        <v>28</v>
      </c>
      <c r="AC51" s="1291">
        <v>29</v>
      </c>
      <c r="AD51" s="1291"/>
      <c r="AE51" s="1290">
        <f t="shared" si="13"/>
        <v>0</v>
      </c>
      <c r="AF51" s="1290">
        <f t="shared" si="14"/>
        <v>0</v>
      </c>
      <c r="AG51" s="1290">
        <f t="shared" si="15"/>
        <v>0</v>
      </c>
      <c r="AH51" s="1290">
        <f t="shared" si="16"/>
        <v>0</v>
      </c>
      <c r="AI51" s="1290">
        <f t="shared" si="17"/>
        <v>0</v>
      </c>
      <c r="AJ51" s="1290">
        <f t="shared" si="18"/>
        <v>0</v>
      </c>
      <c r="AK51" s="1290">
        <f t="shared" si="19"/>
        <v>0</v>
      </c>
      <c r="AL51" s="1290">
        <f t="shared" si="20"/>
        <v>0</v>
      </c>
      <c r="AM51" s="1288">
        <f t="shared" si="23"/>
        <v>0</v>
      </c>
      <c r="AT51" s="1269" t="s">
        <v>4745</v>
      </c>
      <c r="AU51" s="1288" t="str">
        <f t="shared" si="24"/>
        <v/>
      </c>
      <c r="AV51" s="1288" t="str">
        <f t="shared" si="25"/>
        <v/>
      </c>
      <c r="AW51" s="1288" t="str">
        <f t="shared" si="26"/>
        <v/>
      </c>
      <c r="AX51" s="1288" t="str">
        <f t="shared" si="27"/>
        <v/>
      </c>
      <c r="AY51" s="1288" t="str">
        <f t="shared" si="28"/>
        <v/>
      </c>
      <c r="AZ51" s="1288" t="str">
        <f t="shared" si="29"/>
        <v/>
      </c>
      <c r="BA51" s="1288" t="str">
        <f t="shared" si="30"/>
        <v/>
      </c>
      <c r="BK51" s="1267" t="s">
        <v>4761</v>
      </c>
      <c r="BL51" s="1267" t="s">
        <v>4757</v>
      </c>
      <c r="BM51" s="1267" t="s">
        <v>4760</v>
      </c>
      <c r="BN51" s="1297"/>
      <c r="BO51" s="1297"/>
      <c r="BP51" s="1297">
        <v>200</v>
      </c>
      <c r="BQ51" s="1297"/>
      <c r="BR51" s="1297"/>
      <c r="BS51" s="1297"/>
      <c r="BT51" s="1297"/>
      <c r="BU51" s="1297">
        <v>200</v>
      </c>
      <c r="BV51" s="1297"/>
      <c r="BW51" s="1297"/>
      <c r="BX51" s="1297"/>
      <c r="BY51" s="1297"/>
      <c r="BZ51" s="1297"/>
      <c r="CA51" s="1297"/>
      <c r="CB51" s="1297"/>
      <c r="CC51" s="1297"/>
      <c r="CD51" s="1297"/>
      <c r="CE51" s="1297"/>
      <c r="CF51" s="1297"/>
      <c r="CG51" s="1297"/>
    </row>
    <row r="52" spans="1:88" ht="13.5" customHeight="1">
      <c r="A52" s="772" t="s">
        <v>3243</v>
      </c>
      <c r="B52" s="777" t="s">
        <v>3154</v>
      </c>
      <c r="C52" s="161">
        <v>30</v>
      </c>
      <c r="D52" s="154" t="s">
        <v>17</v>
      </c>
      <c r="E52" s="663">
        <f t="shared" si="31"/>
        <v>0</v>
      </c>
      <c r="F52" s="154" t="s">
        <v>28</v>
      </c>
      <c r="G52" s="656"/>
      <c r="H52" s="292" t="s">
        <v>28</v>
      </c>
      <c r="I52" s="656"/>
      <c r="J52" s="292" t="s">
        <v>28</v>
      </c>
      <c r="K52" s="656"/>
      <c r="L52" s="292" t="s">
        <v>28</v>
      </c>
      <c r="M52" s="656"/>
      <c r="N52" s="292" t="s">
        <v>28</v>
      </c>
      <c r="O52" s="656"/>
      <c r="P52" s="292" t="s">
        <v>28</v>
      </c>
      <c r="Q52" s="656"/>
      <c r="R52" s="292" t="s">
        <v>28</v>
      </c>
      <c r="S52" s="656"/>
      <c r="T52" s="293" t="s">
        <v>28</v>
      </c>
      <c r="AC52" s="1291">
        <v>30</v>
      </c>
      <c r="AD52" s="1291"/>
      <c r="AE52" s="1290">
        <f t="shared" si="13"/>
        <v>0</v>
      </c>
      <c r="AF52" s="1290">
        <f t="shared" si="14"/>
        <v>0</v>
      </c>
      <c r="AG52" s="1290">
        <f t="shared" si="15"/>
        <v>0</v>
      </c>
      <c r="AH52" s="1290">
        <f t="shared" si="16"/>
        <v>0</v>
      </c>
      <c r="AI52" s="1290">
        <f t="shared" si="17"/>
        <v>0</v>
      </c>
      <c r="AJ52" s="1290">
        <f t="shared" si="18"/>
        <v>0</v>
      </c>
      <c r="AK52" s="1290">
        <f t="shared" si="19"/>
        <v>0</v>
      </c>
      <c r="AL52" s="1290">
        <f t="shared" si="20"/>
        <v>0</v>
      </c>
      <c r="AM52" s="1288">
        <f t="shared" si="23"/>
        <v>0</v>
      </c>
      <c r="AT52" s="1269" t="s">
        <v>4743</v>
      </c>
      <c r="AU52" s="1288" t="str">
        <f t="shared" si="24"/>
        <v/>
      </c>
      <c r="AV52" s="1288" t="str">
        <f t="shared" si="25"/>
        <v/>
      </c>
      <c r="AW52" s="1288" t="str">
        <f t="shared" si="26"/>
        <v/>
      </c>
      <c r="AX52" s="1288" t="str">
        <f t="shared" si="27"/>
        <v/>
      </c>
      <c r="AY52" s="1288" t="str">
        <f t="shared" si="28"/>
        <v/>
      </c>
      <c r="AZ52" s="1288" t="str">
        <f t="shared" si="29"/>
        <v/>
      </c>
      <c r="BA52" s="1288" t="str">
        <f t="shared" si="30"/>
        <v/>
      </c>
    </row>
    <row r="53" spans="1:88">
      <c r="A53" s="772" t="s">
        <v>3244</v>
      </c>
      <c r="B53" s="777" t="s">
        <v>3155</v>
      </c>
      <c r="C53" s="162">
        <v>31</v>
      </c>
      <c r="D53" s="152" t="s">
        <v>17</v>
      </c>
      <c r="E53" s="664">
        <f t="shared" ref="E53:E62" si="32">SUM(G53:T53)</f>
        <v>0</v>
      </c>
      <c r="F53" s="152" t="s">
        <v>28</v>
      </c>
      <c r="G53" s="657"/>
      <c r="H53" s="294" t="s">
        <v>28</v>
      </c>
      <c r="I53" s="657"/>
      <c r="J53" s="294" t="s">
        <v>28</v>
      </c>
      <c r="K53" s="657"/>
      <c r="L53" s="294" t="s">
        <v>28</v>
      </c>
      <c r="M53" s="657"/>
      <c r="N53" s="294" t="s">
        <v>28</v>
      </c>
      <c r="O53" s="657"/>
      <c r="P53" s="294" t="s">
        <v>28</v>
      </c>
      <c r="Q53" s="657"/>
      <c r="R53" s="294" t="s">
        <v>28</v>
      </c>
      <c r="S53" s="657"/>
      <c r="T53" s="295" t="s">
        <v>28</v>
      </c>
      <c r="AC53" s="1291">
        <v>31</v>
      </c>
      <c r="AD53" s="1291"/>
      <c r="AE53" s="1290">
        <f t="shared" si="13"/>
        <v>0</v>
      </c>
      <c r="AF53" s="1290">
        <f t="shared" si="14"/>
        <v>0</v>
      </c>
      <c r="AG53" s="1290">
        <f t="shared" si="15"/>
        <v>0</v>
      </c>
      <c r="AH53" s="1290">
        <f t="shared" si="16"/>
        <v>0</v>
      </c>
      <c r="AI53" s="1290">
        <f t="shared" si="17"/>
        <v>0</v>
      </c>
      <c r="AJ53" s="1290">
        <f t="shared" si="18"/>
        <v>0</v>
      </c>
      <c r="AK53" s="1290">
        <f t="shared" si="19"/>
        <v>0</v>
      </c>
      <c r="AL53" s="1290">
        <f t="shared" si="20"/>
        <v>0</v>
      </c>
      <c r="AM53" s="1288">
        <f t="shared" si="23"/>
        <v>0</v>
      </c>
      <c r="AT53" s="1269" t="s">
        <v>4741</v>
      </c>
      <c r="AU53" s="1288" t="str">
        <f t="shared" si="24"/>
        <v/>
      </c>
      <c r="AV53" s="1288" t="str">
        <f t="shared" si="25"/>
        <v/>
      </c>
      <c r="AW53" s="1288" t="str">
        <f t="shared" si="26"/>
        <v/>
      </c>
      <c r="AX53" s="1288" t="str">
        <f t="shared" si="27"/>
        <v/>
      </c>
      <c r="AY53" s="1288" t="str">
        <f t="shared" si="28"/>
        <v/>
      </c>
      <c r="AZ53" s="1288" t="str">
        <f t="shared" si="29"/>
        <v/>
      </c>
      <c r="BA53" s="1288" t="str">
        <f t="shared" si="30"/>
        <v/>
      </c>
      <c r="BL53" s="1267" t="s">
        <v>4757</v>
      </c>
      <c r="BM53" s="1267" t="s">
        <v>4756</v>
      </c>
      <c r="BN53" s="1297"/>
      <c r="BO53" s="1297"/>
      <c r="BP53" s="1297" t="s">
        <v>4755</v>
      </c>
      <c r="BQ53" s="1297"/>
      <c r="BR53" s="1297"/>
      <c r="BS53" s="1297"/>
      <c r="BT53" s="1297"/>
      <c r="BU53" s="1297" t="s">
        <v>4755</v>
      </c>
      <c r="BV53" s="1297"/>
      <c r="BW53" s="1297"/>
      <c r="BX53" s="1297"/>
      <c r="BY53" s="1297"/>
      <c r="BZ53" s="1297"/>
      <c r="CA53" s="1297"/>
      <c r="CB53" s="1297"/>
      <c r="CC53" s="1297"/>
      <c r="CD53" s="1297"/>
      <c r="CE53" s="1297"/>
      <c r="CF53" s="1297"/>
      <c r="CG53" s="1297"/>
    </row>
    <row r="54" spans="1:88">
      <c r="A54" s="772" t="s">
        <v>3245</v>
      </c>
      <c r="C54" s="160">
        <v>32</v>
      </c>
      <c r="D54" s="153" t="s">
        <v>17</v>
      </c>
      <c r="E54" s="661">
        <f t="shared" si="32"/>
        <v>0</v>
      </c>
      <c r="F54" s="153" t="s">
        <v>28</v>
      </c>
      <c r="G54" s="654"/>
      <c r="H54" s="288" t="s">
        <v>28</v>
      </c>
      <c r="I54" s="654"/>
      <c r="J54" s="288" t="s">
        <v>28</v>
      </c>
      <c r="K54" s="654"/>
      <c r="L54" s="288" t="s">
        <v>28</v>
      </c>
      <c r="M54" s="654"/>
      <c r="N54" s="288" t="s">
        <v>28</v>
      </c>
      <c r="O54" s="654"/>
      <c r="P54" s="288" t="s">
        <v>28</v>
      </c>
      <c r="Q54" s="654"/>
      <c r="R54" s="288" t="s">
        <v>28</v>
      </c>
      <c r="S54" s="654"/>
      <c r="T54" s="289" t="s">
        <v>28</v>
      </c>
      <c r="AC54" s="1291">
        <v>32</v>
      </c>
      <c r="AD54" s="1291"/>
      <c r="AE54" s="1290">
        <f t="shared" si="13"/>
        <v>0</v>
      </c>
      <c r="AF54" s="1290">
        <f t="shared" si="14"/>
        <v>0</v>
      </c>
      <c r="AG54" s="1290">
        <f t="shared" si="15"/>
        <v>0</v>
      </c>
      <c r="AH54" s="1290">
        <f t="shared" si="16"/>
        <v>0</v>
      </c>
      <c r="AI54" s="1290">
        <f t="shared" si="17"/>
        <v>0</v>
      </c>
      <c r="AJ54" s="1290">
        <f t="shared" si="18"/>
        <v>0</v>
      </c>
      <c r="AK54" s="1290">
        <f t="shared" si="19"/>
        <v>0</v>
      </c>
      <c r="AL54" s="1290">
        <f t="shared" si="20"/>
        <v>0</v>
      </c>
      <c r="AM54" s="1288">
        <f t="shared" si="23"/>
        <v>0</v>
      </c>
      <c r="AT54" s="1269" t="s">
        <v>4739</v>
      </c>
      <c r="AU54" s="1288" t="str">
        <f t="shared" si="24"/>
        <v/>
      </c>
      <c r="AV54" s="1288" t="str">
        <f t="shared" si="25"/>
        <v/>
      </c>
      <c r="AW54" s="1288" t="str">
        <f t="shared" si="26"/>
        <v/>
      </c>
      <c r="AX54" s="1288" t="str">
        <f t="shared" si="27"/>
        <v/>
      </c>
      <c r="AY54" s="1288" t="str">
        <f t="shared" si="28"/>
        <v/>
      </c>
      <c r="AZ54" s="1288" t="str">
        <f t="shared" si="29"/>
        <v/>
      </c>
      <c r="BA54" s="1288" t="str">
        <f t="shared" si="30"/>
        <v/>
      </c>
      <c r="BC54" s="1267" t="s">
        <v>4753</v>
      </c>
      <c r="BD54" s="1267" t="s">
        <v>4752</v>
      </c>
      <c r="BE54" s="1267" t="s">
        <v>4751</v>
      </c>
      <c r="BF54" s="1267" t="s">
        <v>4750</v>
      </c>
      <c r="BG54" s="1267" t="s">
        <v>4749</v>
      </c>
      <c r="BH54" s="1267" t="s">
        <v>4748</v>
      </c>
      <c r="BI54" s="1267" t="s">
        <v>4747</v>
      </c>
      <c r="BJ54" s="1267" t="s">
        <v>4746</v>
      </c>
      <c r="BK54" s="1267" t="s">
        <v>4841</v>
      </c>
    </row>
    <row r="55" spans="1:88">
      <c r="A55" s="772" t="s">
        <v>3246</v>
      </c>
      <c r="C55" s="160">
        <v>33</v>
      </c>
      <c r="D55" s="153" t="s">
        <v>17</v>
      </c>
      <c r="E55" s="661">
        <f t="shared" si="32"/>
        <v>0</v>
      </c>
      <c r="F55" s="153" t="s">
        <v>28</v>
      </c>
      <c r="G55" s="654"/>
      <c r="H55" s="288" t="s">
        <v>28</v>
      </c>
      <c r="I55" s="654"/>
      <c r="J55" s="288" t="s">
        <v>28</v>
      </c>
      <c r="K55" s="654"/>
      <c r="L55" s="288" t="s">
        <v>28</v>
      </c>
      <c r="M55" s="654"/>
      <c r="N55" s="288" t="s">
        <v>28</v>
      </c>
      <c r="O55" s="654"/>
      <c r="P55" s="288" t="s">
        <v>28</v>
      </c>
      <c r="Q55" s="654"/>
      <c r="R55" s="288" t="s">
        <v>28</v>
      </c>
      <c r="S55" s="654"/>
      <c r="T55" s="289" t="s">
        <v>28</v>
      </c>
      <c r="AC55" s="1291">
        <v>33</v>
      </c>
      <c r="AD55" s="1291"/>
      <c r="AE55" s="1290">
        <f t="shared" si="13"/>
        <v>0</v>
      </c>
      <c r="AF55" s="1290">
        <f t="shared" si="14"/>
        <v>0</v>
      </c>
      <c r="AG55" s="1290">
        <f t="shared" si="15"/>
        <v>0</v>
      </c>
      <c r="AH55" s="1290">
        <f t="shared" si="16"/>
        <v>0</v>
      </c>
      <c r="AI55" s="1290">
        <f t="shared" si="17"/>
        <v>0</v>
      </c>
      <c r="AJ55" s="1290">
        <f t="shared" si="18"/>
        <v>0</v>
      </c>
      <c r="AK55" s="1290">
        <f t="shared" si="19"/>
        <v>0</v>
      </c>
      <c r="AL55" s="1290">
        <f t="shared" si="20"/>
        <v>0</v>
      </c>
      <c r="AM55" s="1288">
        <f t="shared" ref="AM55:AM72" si="33">IF(SUMPRODUCT(($AF$11:$AL$11=$CE$2)*($AF55:$AL55&lt;&gt;0))&gt;0,1,0)</f>
        <v>0</v>
      </c>
      <c r="AT55" s="1269" t="s">
        <v>4737</v>
      </c>
      <c r="AU55" s="1288" t="str">
        <f t="shared" ref="AU55:AU72" si="34">IF(AF55=0,AU54,AU54&amp;$AT55)</f>
        <v/>
      </c>
      <c r="AV55" s="1288" t="str">
        <f t="shared" ref="AV55:AV72" si="35">IF(AG55=0,AV54,AV54&amp;$AT55)</f>
        <v/>
      </c>
      <c r="AW55" s="1288" t="str">
        <f t="shared" ref="AW55:AW72" si="36">IF(AH55=0,AW54,AW54&amp;$AT55)</f>
        <v/>
      </c>
      <c r="AX55" s="1288" t="str">
        <f t="shared" ref="AX55:AX72" si="37">IF(AI55=0,AX54,AX54&amp;$AT55)</f>
        <v/>
      </c>
      <c r="AY55" s="1288" t="str">
        <f t="shared" ref="AY55:AY72" si="38">IF(AJ55=0,AY54,AY54&amp;$AT55)</f>
        <v/>
      </c>
      <c r="AZ55" s="1288" t="str">
        <f t="shared" ref="AZ55:AZ72" si="39">IF(AK55=0,AZ54,AZ54&amp;$AT55)</f>
        <v/>
      </c>
      <c r="BA55" s="1288" t="str">
        <f t="shared" ref="BA55:BA72" si="40">IF(AL55=0,BA54,BA54&amp;$AT55)</f>
        <v/>
      </c>
      <c r="BC55" s="1267" t="s">
        <v>4744</v>
      </c>
      <c r="BD55" s="1288" t="str">
        <f t="shared" ref="BD55:BJ55" si="41">AF11</f>
        <v/>
      </c>
      <c r="BE55" s="1288" t="str">
        <f t="shared" si="41"/>
        <v/>
      </c>
      <c r="BF55" s="1288" t="str">
        <f t="shared" si="41"/>
        <v/>
      </c>
      <c r="BG55" s="1288" t="str">
        <f t="shared" si="41"/>
        <v/>
      </c>
      <c r="BH55" s="1288" t="str">
        <f t="shared" si="41"/>
        <v/>
      </c>
      <c r="BI55" s="1288" t="str">
        <f t="shared" si="41"/>
        <v/>
      </c>
      <c r="BJ55" s="1288" t="str">
        <f t="shared" si="41"/>
        <v/>
      </c>
      <c r="BN55" s="1287" t="str">
        <f t="shared" ref="BN55:CH55" si="42">BN2</f>
        <v>Aa</v>
      </c>
      <c r="BO55" s="1287" t="str">
        <f t="shared" si="42"/>
        <v>Ab</v>
      </c>
      <c r="BP55" s="1287" t="str">
        <f t="shared" si="42"/>
        <v>Ba</v>
      </c>
      <c r="BQ55" s="1287" t="str">
        <f t="shared" si="42"/>
        <v>Ca</v>
      </c>
      <c r="BR55" s="1287" t="str">
        <f t="shared" si="42"/>
        <v>Da</v>
      </c>
      <c r="BS55" s="1287" t="str">
        <f t="shared" si="42"/>
        <v>Db</v>
      </c>
      <c r="BT55" s="1287" t="str">
        <f t="shared" si="42"/>
        <v>Ea</v>
      </c>
      <c r="BU55" s="1287" t="str">
        <f t="shared" si="42"/>
        <v>Eb</v>
      </c>
      <c r="BV55" s="1287" t="str">
        <f t="shared" si="42"/>
        <v>Fa</v>
      </c>
      <c r="BW55" s="1287" t="str">
        <f t="shared" si="42"/>
        <v>Fb</v>
      </c>
      <c r="BX55" s="1287" t="str">
        <f t="shared" si="42"/>
        <v>Fc</v>
      </c>
      <c r="BY55" s="1287" t="str">
        <f t="shared" si="42"/>
        <v>Fd</v>
      </c>
      <c r="BZ55" s="1287" t="str">
        <f t="shared" si="42"/>
        <v>Ga</v>
      </c>
      <c r="CA55" s="1287" t="str">
        <f t="shared" si="42"/>
        <v>Gb</v>
      </c>
      <c r="CB55" s="1287" t="str">
        <f t="shared" si="42"/>
        <v>Ha</v>
      </c>
      <c r="CC55" s="1287" t="str">
        <f t="shared" si="42"/>
        <v>Hb</v>
      </c>
      <c r="CD55" s="1287" t="str">
        <f t="shared" si="42"/>
        <v>Ia</v>
      </c>
      <c r="CE55" s="1287" t="str">
        <f t="shared" si="42"/>
        <v>Ja</v>
      </c>
      <c r="CF55" s="1287" t="str">
        <f t="shared" si="42"/>
        <v>Ya</v>
      </c>
      <c r="CG55" s="1287" t="str">
        <f t="shared" si="42"/>
        <v>Za</v>
      </c>
      <c r="CH55" s="1287" t="str">
        <f t="shared" si="42"/>
        <v>Ka</v>
      </c>
    </row>
    <row r="56" spans="1:88">
      <c r="A56" s="2563" t="s">
        <v>3162</v>
      </c>
      <c r="C56" s="160">
        <v>34</v>
      </c>
      <c r="D56" s="153" t="s">
        <v>17</v>
      </c>
      <c r="E56" s="661">
        <f t="shared" si="32"/>
        <v>0</v>
      </c>
      <c r="F56" s="153" t="s">
        <v>28</v>
      </c>
      <c r="G56" s="654"/>
      <c r="H56" s="288" t="s">
        <v>28</v>
      </c>
      <c r="I56" s="654"/>
      <c r="J56" s="288" t="s">
        <v>28</v>
      </c>
      <c r="K56" s="654"/>
      <c r="L56" s="288" t="s">
        <v>28</v>
      </c>
      <c r="M56" s="654"/>
      <c r="N56" s="288" t="s">
        <v>28</v>
      </c>
      <c r="O56" s="654"/>
      <c r="P56" s="288" t="s">
        <v>28</v>
      </c>
      <c r="Q56" s="654"/>
      <c r="R56" s="288" t="s">
        <v>28</v>
      </c>
      <c r="S56" s="654"/>
      <c r="T56" s="289" t="s">
        <v>28</v>
      </c>
      <c r="AC56" s="1291">
        <v>34</v>
      </c>
      <c r="AD56" s="1291"/>
      <c r="AE56" s="1290">
        <f t="shared" si="13"/>
        <v>0</v>
      </c>
      <c r="AF56" s="1290">
        <f t="shared" si="14"/>
        <v>0</v>
      </c>
      <c r="AG56" s="1290">
        <f t="shared" si="15"/>
        <v>0</v>
      </c>
      <c r="AH56" s="1290">
        <f t="shared" si="16"/>
        <v>0</v>
      </c>
      <c r="AI56" s="1290">
        <f t="shared" si="17"/>
        <v>0</v>
      </c>
      <c r="AJ56" s="1290">
        <f t="shared" si="18"/>
        <v>0</v>
      </c>
      <c r="AK56" s="1290">
        <f t="shared" si="19"/>
        <v>0</v>
      </c>
      <c r="AL56" s="1290">
        <f t="shared" si="20"/>
        <v>0</v>
      </c>
      <c r="AM56" s="1288">
        <f t="shared" si="33"/>
        <v>0</v>
      </c>
      <c r="AT56" s="1269" t="s">
        <v>4735</v>
      </c>
      <c r="AU56" s="1288" t="str">
        <f t="shared" si="34"/>
        <v/>
      </c>
      <c r="AV56" s="1288" t="str">
        <f t="shared" si="35"/>
        <v/>
      </c>
      <c r="AW56" s="1288" t="str">
        <f t="shared" si="36"/>
        <v/>
      </c>
      <c r="AX56" s="1288" t="str">
        <f t="shared" si="37"/>
        <v/>
      </c>
      <c r="AY56" s="1288" t="str">
        <f t="shared" si="38"/>
        <v/>
      </c>
      <c r="AZ56" s="1288" t="str">
        <f t="shared" si="39"/>
        <v/>
      </c>
      <c r="BA56" s="1288" t="str">
        <f t="shared" si="40"/>
        <v/>
      </c>
      <c r="BC56" s="1267" t="s">
        <v>4742</v>
      </c>
      <c r="BD56" s="1288">
        <f t="shared" ref="BD56:BJ56" si="43">AF75+AF76</f>
        <v>0</v>
      </c>
      <c r="BE56" s="1288">
        <f t="shared" si="43"/>
        <v>0</v>
      </c>
      <c r="BF56" s="1288">
        <f t="shared" si="43"/>
        <v>0</v>
      </c>
      <c r="BG56" s="1288">
        <f t="shared" si="43"/>
        <v>0</v>
      </c>
      <c r="BH56" s="1288">
        <f t="shared" si="43"/>
        <v>0</v>
      </c>
      <c r="BI56" s="1288">
        <f t="shared" si="43"/>
        <v>0</v>
      </c>
      <c r="BJ56" s="1288">
        <f t="shared" si="43"/>
        <v>0</v>
      </c>
      <c r="BM56" s="1267" t="s">
        <v>4717</v>
      </c>
      <c r="BN56" s="1288">
        <f t="shared" ref="BN56:BW60" si="44">SUMPRODUCT(($BD$55:$BJ$55=BN$55)*$BD56:$BJ56)</f>
        <v>0</v>
      </c>
      <c r="BO56" s="1288">
        <f t="shared" si="44"/>
        <v>0</v>
      </c>
      <c r="BP56" s="1288">
        <f t="shared" si="44"/>
        <v>0</v>
      </c>
      <c r="BQ56" s="1288">
        <f t="shared" si="44"/>
        <v>0</v>
      </c>
      <c r="BR56" s="1288">
        <f t="shared" si="44"/>
        <v>0</v>
      </c>
      <c r="BS56" s="1288">
        <f t="shared" si="44"/>
        <v>0</v>
      </c>
      <c r="BT56" s="1288">
        <f t="shared" si="44"/>
        <v>0</v>
      </c>
      <c r="BU56" s="1288">
        <f t="shared" si="44"/>
        <v>0</v>
      </c>
      <c r="BV56" s="1288">
        <f t="shared" si="44"/>
        <v>0</v>
      </c>
      <c r="BW56" s="1288">
        <f t="shared" si="44"/>
        <v>0</v>
      </c>
      <c r="BX56" s="1288">
        <f t="shared" ref="BX56:CG60" si="45">SUMPRODUCT(($BD$55:$BJ$55=BX$55)*$BD56:$BJ56)</f>
        <v>0</v>
      </c>
      <c r="BY56" s="1288">
        <f t="shared" si="45"/>
        <v>0</v>
      </c>
      <c r="BZ56" s="1288">
        <f t="shared" si="45"/>
        <v>0</v>
      </c>
      <c r="CA56" s="1288">
        <f t="shared" si="45"/>
        <v>0</v>
      </c>
      <c r="CB56" s="1288">
        <f t="shared" si="45"/>
        <v>0</v>
      </c>
      <c r="CC56" s="1288">
        <f t="shared" si="45"/>
        <v>0</v>
      </c>
      <c r="CD56" s="1288">
        <f t="shared" si="45"/>
        <v>0</v>
      </c>
      <c r="CE56" s="1288">
        <f t="shared" si="45"/>
        <v>0</v>
      </c>
      <c r="CF56" s="1288">
        <f t="shared" si="45"/>
        <v>0</v>
      </c>
      <c r="CG56" s="1288">
        <f t="shared" si="45"/>
        <v>0</v>
      </c>
      <c r="CH56" s="1269"/>
    </row>
    <row r="57" spans="1:88">
      <c r="A57" s="2563"/>
      <c r="C57" s="161">
        <v>35</v>
      </c>
      <c r="D57" s="154" t="s">
        <v>17</v>
      </c>
      <c r="E57" s="663">
        <f t="shared" si="32"/>
        <v>0</v>
      </c>
      <c r="F57" s="154" t="s">
        <v>28</v>
      </c>
      <c r="G57" s="656"/>
      <c r="H57" s="292" t="s">
        <v>28</v>
      </c>
      <c r="I57" s="656"/>
      <c r="J57" s="292" t="s">
        <v>28</v>
      </c>
      <c r="K57" s="656"/>
      <c r="L57" s="292" t="s">
        <v>28</v>
      </c>
      <c r="M57" s="656"/>
      <c r="N57" s="292" t="s">
        <v>28</v>
      </c>
      <c r="O57" s="656"/>
      <c r="P57" s="292" t="s">
        <v>28</v>
      </c>
      <c r="Q57" s="656"/>
      <c r="R57" s="292" t="s">
        <v>28</v>
      </c>
      <c r="S57" s="656"/>
      <c r="T57" s="293" t="s">
        <v>28</v>
      </c>
      <c r="AC57" s="1291">
        <v>35</v>
      </c>
      <c r="AD57" s="1291"/>
      <c r="AE57" s="1290">
        <f t="shared" si="13"/>
        <v>0</v>
      </c>
      <c r="AF57" s="1290">
        <f t="shared" si="14"/>
        <v>0</v>
      </c>
      <c r="AG57" s="1290">
        <f t="shared" si="15"/>
        <v>0</v>
      </c>
      <c r="AH57" s="1290">
        <f t="shared" si="16"/>
        <v>0</v>
      </c>
      <c r="AI57" s="1290">
        <f t="shared" si="17"/>
        <v>0</v>
      </c>
      <c r="AJ57" s="1290">
        <f t="shared" si="18"/>
        <v>0</v>
      </c>
      <c r="AK57" s="1290">
        <f t="shared" si="19"/>
        <v>0</v>
      </c>
      <c r="AL57" s="1290">
        <f t="shared" si="20"/>
        <v>0</v>
      </c>
      <c r="AM57" s="1288">
        <f t="shared" si="33"/>
        <v>0</v>
      </c>
      <c r="AT57" s="1269" t="s">
        <v>4733</v>
      </c>
      <c r="AU57" s="1288" t="str">
        <f t="shared" si="34"/>
        <v/>
      </c>
      <c r="AV57" s="1288" t="str">
        <f t="shared" si="35"/>
        <v/>
      </c>
      <c r="AW57" s="1288" t="str">
        <f t="shared" si="36"/>
        <v/>
      </c>
      <c r="AX57" s="1288" t="str">
        <f t="shared" si="37"/>
        <v/>
      </c>
      <c r="AY57" s="1288" t="str">
        <f t="shared" si="38"/>
        <v/>
      </c>
      <c r="AZ57" s="1288" t="str">
        <f t="shared" si="39"/>
        <v/>
      </c>
      <c r="BA57" s="1288" t="str">
        <f t="shared" si="40"/>
        <v/>
      </c>
      <c r="BC57" s="1267" t="s">
        <v>4740</v>
      </c>
      <c r="BD57" s="1288">
        <f t="shared" ref="BD57:BJ58" si="46">AF78</f>
        <v>0</v>
      </c>
      <c r="BE57" s="1288">
        <f t="shared" si="46"/>
        <v>0</v>
      </c>
      <c r="BF57" s="1288">
        <f t="shared" si="46"/>
        <v>0</v>
      </c>
      <c r="BG57" s="1288">
        <f t="shared" si="46"/>
        <v>0</v>
      </c>
      <c r="BH57" s="1288">
        <f t="shared" si="46"/>
        <v>0</v>
      </c>
      <c r="BI57" s="1288">
        <f t="shared" si="46"/>
        <v>0</v>
      </c>
      <c r="BJ57" s="1288">
        <f t="shared" si="46"/>
        <v>0</v>
      </c>
      <c r="BM57" s="1267" t="s">
        <v>4715</v>
      </c>
      <c r="BN57" s="1288">
        <f t="shared" si="44"/>
        <v>0</v>
      </c>
      <c r="BO57" s="1288">
        <f t="shared" si="44"/>
        <v>0</v>
      </c>
      <c r="BP57" s="1288">
        <f t="shared" si="44"/>
        <v>0</v>
      </c>
      <c r="BQ57" s="1288">
        <f t="shared" si="44"/>
        <v>0</v>
      </c>
      <c r="BR57" s="1288">
        <f t="shared" si="44"/>
        <v>0</v>
      </c>
      <c r="BS57" s="1288">
        <f t="shared" si="44"/>
        <v>0</v>
      </c>
      <c r="BT57" s="1288">
        <f t="shared" si="44"/>
        <v>0</v>
      </c>
      <c r="BU57" s="1288">
        <f t="shared" si="44"/>
        <v>0</v>
      </c>
      <c r="BV57" s="1288">
        <f t="shared" si="44"/>
        <v>0</v>
      </c>
      <c r="BW57" s="1288">
        <f t="shared" si="44"/>
        <v>0</v>
      </c>
      <c r="BX57" s="1288">
        <f t="shared" si="45"/>
        <v>0</v>
      </c>
      <c r="BY57" s="1288">
        <f t="shared" si="45"/>
        <v>0</v>
      </c>
      <c r="BZ57" s="1288">
        <f t="shared" si="45"/>
        <v>0</v>
      </c>
      <c r="CA57" s="1288">
        <f t="shared" si="45"/>
        <v>0</v>
      </c>
      <c r="CB57" s="1288">
        <f t="shared" si="45"/>
        <v>0</v>
      </c>
      <c r="CC57" s="1288">
        <f t="shared" si="45"/>
        <v>0</v>
      </c>
      <c r="CD57" s="1288">
        <f t="shared" si="45"/>
        <v>0</v>
      </c>
      <c r="CE57" s="1288">
        <f t="shared" si="45"/>
        <v>0</v>
      </c>
      <c r="CF57" s="1288">
        <f t="shared" si="45"/>
        <v>0</v>
      </c>
      <c r="CG57" s="1288">
        <f t="shared" si="45"/>
        <v>0</v>
      </c>
      <c r="CH57" s="1269"/>
    </row>
    <row r="58" spans="1:88">
      <c r="A58" s="773" t="s">
        <v>3247</v>
      </c>
      <c r="C58" s="162">
        <v>36</v>
      </c>
      <c r="D58" s="152" t="s">
        <v>17</v>
      </c>
      <c r="E58" s="664">
        <f t="shared" si="32"/>
        <v>0</v>
      </c>
      <c r="F58" s="152" t="s">
        <v>28</v>
      </c>
      <c r="G58" s="657"/>
      <c r="H58" s="294" t="s">
        <v>28</v>
      </c>
      <c r="I58" s="657"/>
      <c r="J58" s="294" t="s">
        <v>28</v>
      </c>
      <c r="K58" s="657"/>
      <c r="L58" s="294" t="s">
        <v>28</v>
      </c>
      <c r="M58" s="657"/>
      <c r="N58" s="294" t="s">
        <v>28</v>
      </c>
      <c r="O58" s="657"/>
      <c r="P58" s="294" t="s">
        <v>28</v>
      </c>
      <c r="Q58" s="657"/>
      <c r="R58" s="294" t="s">
        <v>28</v>
      </c>
      <c r="S58" s="657"/>
      <c r="T58" s="295" t="s">
        <v>28</v>
      </c>
      <c r="AC58" s="1291">
        <v>36</v>
      </c>
      <c r="AD58" s="1291"/>
      <c r="AE58" s="1290">
        <f t="shared" si="13"/>
        <v>0</v>
      </c>
      <c r="AF58" s="1290">
        <f t="shared" si="14"/>
        <v>0</v>
      </c>
      <c r="AG58" s="1290">
        <f t="shared" si="15"/>
        <v>0</v>
      </c>
      <c r="AH58" s="1290">
        <f t="shared" si="16"/>
        <v>0</v>
      </c>
      <c r="AI58" s="1290">
        <f t="shared" si="17"/>
        <v>0</v>
      </c>
      <c r="AJ58" s="1290">
        <f t="shared" si="18"/>
        <v>0</v>
      </c>
      <c r="AK58" s="1290">
        <f t="shared" si="19"/>
        <v>0</v>
      </c>
      <c r="AL58" s="1290">
        <f t="shared" si="20"/>
        <v>0</v>
      </c>
      <c r="AM58" s="1288">
        <f t="shared" si="33"/>
        <v>0</v>
      </c>
      <c r="AT58" s="1269" t="s">
        <v>4732</v>
      </c>
      <c r="AU58" s="1288" t="str">
        <f t="shared" si="34"/>
        <v/>
      </c>
      <c r="AV58" s="1288" t="str">
        <f t="shared" si="35"/>
        <v/>
      </c>
      <c r="AW58" s="1288" t="str">
        <f t="shared" si="36"/>
        <v/>
      </c>
      <c r="AX58" s="1288" t="str">
        <f t="shared" si="37"/>
        <v/>
      </c>
      <c r="AY58" s="1288" t="str">
        <f t="shared" si="38"/>
        <v/>
      </c>
      <c r="AZ58" s="1288" t="str">
        <f t="shared" si="39"/>
        <v/>
      </c>
      <c r="BA58" s="1288" t="str">
        <f t="shared" si="40"/>
        <v/>
      </c>
      <c r="BC58" s="1267" t="s">
        <v>4713</v>
      </c>
      <c r="BD58" s="1288">
        <f t="shared" si="46"/>
        <v>0</v>
      </c>
      <c r="BE58" s="1288">
        <f t="shared" si="46"/>
        <v>0</v>
      </c>
      <c r="BF58" s="1288">
        <f t="shared" si="46"/>
        <v>0</v>
      </c>
      <c r="BG58" s="1288">
        <f t="shared" si="46"/>
        <v>0</v>
      </c>
      <c r="BH58" s="1288">
        <f t="shared" si="46"/>
        <v>0</v>
      </c>
      <c r="BI58" s="1288">
        <f t="shared" si="46"/>
        <v>0</v>
      </c>
      <c r="BJ58" s="1288">
        <f t="shared" si="46"/>
        <v>0</v>
      </c>
      <c r="BM58" s="1267" t="s">
        <v>4738</v>
      </c>
      <c r="BN58" s="1288">
        <f t="shared" si="44"/>
        <v>0</v>
      </c>
      <c r="BO58" s="1288">
        <f t="shared" si="44"/>
        <v>0</v>
      </c>
      <c r="BP58" s="1288">
        <f t="shared" si="44"/>
        <v>0</v>
      </c>
      <c r="BQ58" s="1288">
        <f t="shared" si="44"/>
        <v>0</v>
      </c>
      <c r="BR58" s="1288">
        <f t="shared" si="44"/>
        <v>0</v>
      </c>
      <c r="BS58" s="1288">
        <f t="shared" si="44"/>
        <v>0</v>
      </c>
      <c r="BT58" s="1288">
        <f t="shared" si="44"/>
        <v>0</v>
      </c>
      <c r="BU58" s="1288">
        <f t="shared" si="44"/>
        <v>0</v>
      </c>
      <c r="BV58" s="1288">
        <f t="shared" si="44"/>
        <v>0</v>
      </c>
      <c r="BW58" s="1288">
        <f t="shared" si="44"/>
        <v>0</v>
      </c>
      <c r="BX58" s="1288">
        <f t="shared" si="45"/>
        <v>0</v>
      </c>
      <c r="BY58" s="1288">
        <f t="shared" si="45"/>
        <v>0</v>
      </c>
      <c r="BZ58" s="1288">
        <f t="shared" si="45"/>
        <v>0</v>
      </c>
      <c r="CA58" s="1288">
        <f t="shared" si="45"/>
        <v>0</v>
      </c>
      <c r="CB58" s="1288">
        <f t="shared" si="45"/>
        <v>0</v>
      </c>
      <c r="CC58" s="1288">
        <f t="shared" si="45"/>
        <v>0</v>
      </c>
      <c r="CD58" s="1288">
        <f t="shared" si="45"/>
        <v>0</v>
      </c>
      <c r="CE58" s="1288">
        <f t="shared" si="45"/>
        <v>0</v>
      </c>
      <c r="CF58" s="1288">
        <f t="shared" si="45"/>
        <v>0</v>
      </c>
      <c r="CG58" s="1288">
        <f t="shared" si="45"/>
        <v>0</v>
      </c>
      <c r="CH58" s="1269"/>
    </row>
    <row r="59" spans="1:88">
      <c r="A59" s="773" t="s">
        <v>3248</v>
      </c>
      <c r="C59" s="160">
        <v>37</v>
      </c>
      <c r="D59" s="153" t="s">
        <v>17</v>
      </c>
      <c r="E59" s="661">
        <f t="shared" si="32"/>
        <v>0</v>
      </c>
      <c r="F59" s="153" t="s">
        <v>28</v>
      </c>
      <c r="G59" s="654"/>
      <c r="H59" s="288" t="s">
        <v>28</v>
      </c>
      <c r="I59" s="654"/>
      <c r="J59" s="288" t="s">
        <v>28</v>
      </c>
      <c r="K59" s="654"/>
      <c r="L59" s="288" t="s">
        <v>28</v>
      </c>
      <c r="M59" s="654"/>
      <c r="N59" s="288" t="s">
        <v>28</v>
      </c>
      <c r="O59" s="654"/>
      <c r="P59" s="288" t="s">
        <v>28</v>
      </c>
      <c r="Q59" s="654"/>
      <c r="R59" s="288" t="s">
        <v>28</v>
      </c>
      <c r="S59" s="654"/>
      <c r="T59" s="289" t="s">
        <v>28</v>
      </c>
      <c r="AC59" s="1291">
        <v>37</v>
      </c>
      <c r="AD59" s="1291"/>
      <c r="AE59" s="1290">
        <f t="shared" si="13"/>
        <v>0</v>
      </c>
      <c r="AF59" s="1290">
        <f t="shared" si="14"/>
        <v>0</v>
      </c>
      <c r="AG59" s="1290">
        <f t="shared" si="15"/>
        <v>0</v>
      </c>
      <c r="AH59" s="1290">
        <f t="shared" si="16"/>
        <v>0</v>
      </c>
      <c r="AI59" s="1290">
        <f t="shared" si="17"/>
        <v>0</v>
      </c>
      <c r="AJ59" s="1290">
        <f t="shared" si="18"/>
        <v>0</v>
      </c>
      <c r="AK59" s="1290">
        <f t="shared" si="19"/>
        <v>0</v>
      </c>
      <c r="AL59" s="1290">
        <f t="shared" si="20"/>
        <v>0</v>
      </c>
      <c r="AM59" s="1288">
        <f t="shared" si="33"/>
        <v>0</v>
      </c>
      <c r="AT59" s="1269" t="s">
        <v>4729</v>
      </c>
      <c r="AU59" s="1288" t="str">
        <f t="shared" si="34"/>
        <v/>
      </c>
      <c r="AV59" s="1288" t="str">
        <f t="shared" si="35"/>
        <v/>
      </c>
      <c r="AW59" s="1288" t="str">
        <f t="shared" si="36"/>
        <v/>
      </c>
      <c r="AX59" s="1288" t="str">
        <f t="shared" si="37"/>
        <v/>
      </c>
      <c r="AY59" s="1288" t="str">
        <f t="shared" si="38"/>
        <v/>
      </c>
      <c r="AZ59" s="1288" t="str">
        <f t="shared" si="39"/>
        <v/>
      </c>
      <c r="BA59" s="1288" t="str">
        <f t="shared" si="40"/>
        <v/>
      </c>
      <c r="BC59" s="1267" t="s">
        <v>4736</v>
      </c>
      <c r="BD59" s="1288">
        <f t="shared" ref="BD59:BJ59" si="47">AF13</f>
        <v>0</v>
      </c>
      <c r="BE59" s="1288">
        <f t="shared" si="47"/>
        <v>0</v>
      </c>
      <c r="BF59" s="1288">
        <f t="shared" si="47"/>
        <v>0</v>
      </c>
      <c r="BG59" s="1288">
        <f t="shared" si="47"/>
        <v>0</v>
      </c>
      <c r="BH59" s="1288">
        <f t="shared" si="47"/>
        <v>0</v>
      </c>
      <c r="BI59" s="1288">
        <f t="shared" si="47"/>
        <v>0</v>
      </c>
      <c r="BJ59" s="1288">
        <f t="shared" si="47"/>
        <v>0</v>
      </c>
      <c r="BM59" s="1267" t="s">
        <v>4711</v>
      </c>
      <c r="BN59" s="1288">
        <f t="shared" si="44"/>
        <v>0</v>
      </c>
      <c r="BO59" s="1288">
        <f t="shared" si="44"/>
        <v>0</v>
      </c>
      <c r="BP59" s="1288">
        <f t="shared" si="44"/>
        <v>0</v>
      </c>
      <c r="BQ59" s="1288">
        <f t="shared" si="44"/>
        <v>0</v>
      </c>
      <c r="BR59" s="1288">
        <f t="shared" si="44"/>
        <v>0</v>
      </c>
      <c r="BS59" s="1288">
        <f t="shared" si="44"/>
        <v>0</v>
      </c>
      <c r="BT59" s="1288">
        <f t="shared" si="44"/>
        <v>0</v>
      </c>
      <c r="BU59" s="1288">
        <f t="shared" si="44"/>
        <v>0</v>
      </c>
      <c r="BV59" s="1288">
        <f t="shared" si="44"/>
        <v>0</v>
      </c>
      <c r="BW59" s="1288">
        <f t="shared" si="44"/>
        <v>0</v>
      </c>
      <c r="BX59" s="1288">
        <f t="shared" si="45"/>
        <v>0</v>
      </c>
      <c r="BY59" s="1288">
        <f t="shared" si="45"/>
        <v>0</v>
      </c>
      <c r="BZ59" s="1288">
        <f t="shared" si="45"/>
        <v>0</v>
      </c>
      <c r="CA59" s="1288">
        <f t="shared" si="45"/>
        <v>0</v>
      </c>
      <c r="CB59" s="1288">
        <f t="shared" si="45"/>
        <v>0</v>
      </c>
      <c r="CC59" s="1288">
        <f t="shared" si="45"/>
        <v>0</v>
      </c>
      <c r="CD59" s="1288">
        <f t="shared" si="45"/>
        <v>0</v>
      </c>
      <c r="CE59" s="1288">
        <f t="shared" si="45"/>
        <v>0</v>
      </c>
      <c r="CF59" s="1288">
        <f t="shared" si="45"/>
        <v>0</v>
      </c>
      <c r="CG59" s="1288">
        <f t="shared" si="45"/>
        <v>0</v>
      </c>
      <c r="CH59" s="1269"/>
    </row>
    <row r="60" spans="1:88">
      <c r="A60" s="772" t="s">
        <v>3249</v>
      </c>
      <c r="C60" s="160">
        <v>38</v>
      </c>
      <c r="D60" s="153" t="s">
        <v>17</v>
      </c>
      <c r="E60" s="661">
        <f t="shared" si="32"/>
        <v>0</v>
      </c>
      <c r="F60" s="153" t="s">
        <v>28</v>
      </c>
      <c r="G60" s="654"/>
      <c r="H60" s="288" t="s">
        <v>28</v>
      </c>
      <c r="I60" s="654"/>
      <c r="J60" s="288" t="s">
        <v>28</v>
      </c>
      <c r="K60" s="654"/>
      <c r="L60" s="288" t="s">
        <v>28</v>
      </c>
      <c r="M60" s="654"/>
      <c r="N60" s="288" t="s">
        <v>28</v>
      </c>
      <c r="O60" s="654"/>
      <c r="P60" s="288" t="s">
        <v>28</v>
      </c>
      <c r="Q60" s="654"/>
      <c r="R60" s="288" t="s">
        <v>28</v>
      </c>
      <c r="S60" s="654"/>
      <c r="T60" s="289" t="s">
        <v>28</v>
      </c>
      <c r="AC60" s="1291">
        <v>38</v>
      </c>
      <c r="AD60" s="1291"/>
      <c r="AE60" s="1290">
        <f t="shared" si="13"/>
        <v>0</v>
      </c>
      <c r="AF60" s="1290">
        <f t="shared" si="14"/>
        <v>0</v>
      </c>
      <c r="AG60" s="1290">
        <f t="shared" si="15"/>
        <v>0</v>
      </c>
      <c r="AH60" s="1290">
        <f t="shared" si="16"/>
        <v>0</v>
      </c>
      <c r="AI60" s="1290">
        <f t="shared" si="17"/>
        <v>0</v>
      </c>
      <c r="AJ60" s="1290">
        <f t="shared" si="18"/>
        <v>0</v>
      </c>
      <c r="AK60" s="1290">
        <f t="shared" si="19"/>
        <v>0</v>
      </c>
      <c r="AL60" s="1290">
        <f t="shared" si="20"/>
        <v>0</v>
      </c>
      <c r="AM60" s="1288">
        <f t="shared" si="33"/>
        <v>0</v>
      </c>
      <c r="AT60" s="1269" t="s">
        <v>4728</v>
      </c>
      <c r="AU60" s="1288" t="str">
        <f t="shared" si="34"/>
        <v/>
      </c>
      <c r="AV60" s="1288" t="str">
        <f t="shared" si="35"/>
        <v/>
      </c>
      <c r="AW60" s="1288" t="str">
        <f t="shared" si="36"/>
        <v/>
      </c>
      <c r="AX60" s="1288" t="str">
        <f t="shared" si="37"/>
        <v/>
      </c>
      <c r="AY60" s="1288" t="str">
        <f t="shared" si="38"/>
        <v/>
      </c>
      <c r="AZ60" s="1288" t="str">
        <f t="shared" si="39"/>
        <v/>
      </c>
      <c r="BA60" s="1288" t="str">
        <f t="shared" si="40"/>
        <v/>
      </c>
      <c r="BC60" s="1267" t="s">
        <v>4734</v>
      </c>
      <c r="BD60" s="1288">
        <f t="shared" ref="BD60:BJ60" si="48">SUMPRODUCT(($AD$14:$AD$17="○")*AF14:AF17)+SUMPRODUCT(($AD$23:$AD$27="○")*AF23:AF27)</f>
        <v>0</v>
      </c>
      <c r="BE60" s="1288">
        <f t="shared" si="48"/>
        <v>0</v>
      </c>
      <c r="BF60" s="1288">
        <f t="shared" si="48"/>
        <v>0</v>
      </c>
      <c r="BG60" s="1288">
        <f t="shared" si="48"/>
        <v>0</v>
      </c>
      <c r="BH60" s="1288">
        <f t="shared" si="48"/>
        <v>0</v>
      </c>
      <c r="BI60" s="1288">
        <f t="shared" si="48"/>
        <v>0</v>
      </c>
      <c r="BJ60" s="1288">
        <f t="shared" si="48"/>
        <v>0</v>
      </c>
      <c r="BM60" s="1267" t="s">
        <v>4734</v>
      </c>
      <c r="BN60" s="1288">
        <f t="shared" si="44"/>
        <v>0</v>
      </c>
      <c r="BO60" s="1288">
        <f t="shared" si="44"/>
        <v>0</v>
      </c>
      <c r="BP60" s="1288">
        <f t="shared" si="44"/>
        <v>0</v>
      </c>
      <c r="BQ60" s="1288">
        <f t="shared" si="44"/>
        <v>0</v>
      </c>
      <c r="BR60" s="1288">
        <f t="shared" si="44"/>
        <v>0</v>
      </c>
      <c r="BS60" s="1288">
        <f t="shared" si="44"/>
        <v>0</v>
      </c>
      <c r="BT60" s="1288">
        <f t="shared" si="44"/>
        <v>0</v>
      </c>
      <c r="BU60" s="1288">
        <f t="shared" si="44"/>
        <v>0</v>
      </c>
      <c r="BV60" s="1288">
        <f t="shared" si="44"/>
        <v>0</v>
      </c>
      <c r="BW60" s="1288">
        <f t="shared" si="44"/>
        <v>0</v>
      </c>
      <c r="BX60" s="1288">
        <f t="shared" si="45"/>
        <v>0</v>
      </c>
      <c r="BY60" s="1288">
        <f t="shared" si="45"/>
        <v>0</v>
      </c>
      <c r="BZ60" s="1288">
        <f t="shared" si="45"/>
        <v>0</v>
      </c>
      <c r="CA60" s="1288">
        <f t="shared" si="45"/>
        <v>0</v>
      </c>
      <c r="CB60" s="1288">
        <f t="shared" si="45"/>
        <v>0</v>
      </c>
      <c r="CC60" s="1288">
        <f t="shared" si="45"/>
        <v>0</v>
      </c>
      <c r="CD60" s="1288">
        <f t="shared" si="45"/>
        <v>0</v>
      </c>
      <c r="CE60" s="1288">
        <f t="shared" si="45"/>
        <v>0</v>
      </c>
      <c r="CF60" s="1288">
        <f t="shared" si="45"/>
        <v>0</v>
      </c>
      <c r="CG60" s="1288">
        <f t="shared" si="45"/>
        <v>0</v>
      </c>
      <c r="CH60" s="1269"/>
    </row>
    <row r="61" spans="1:88">
      <c r="A61" s="772" t="s">
        <v>3250</v>
      </c>
      <c r="C61" s="160">
        <v>39</v>
      </c>
      <c r="D61" s="153" t="s">
        <v>17</v>
      </c>
      <c r="E61" s="661">
        <f t="shared" si="32"/>
        <v>0</v>
      </c>
      <c r="F61" s="153" t="s">
        <v>28</v>
      </c>
      <c r="G61" s="654"/>
      <c r="H61" s="288" t="s">
        <v>28</v>
      </c>
      <c r="I61" s="654"/>
      <c r="J61" s="288" t="s">
        <v>28</v>
      </c>
      <c r="K61" s="654"/>
      <c r="L61" s="288" t="s">
        <v>28</v>
      </c>
      <c r="M61" s="654"/>
      <c r="N61" s="288" t="s">
        <v>28</v>
      </c>
      <c r="O61" s="654"/>
      <c r="P61" s="288" t="s">
        <v>28</v>
      </c>
      <c r="Q61" s="654"/>
      <c r="R61" s="288" t="s">
        <v>28</v>
      </c>
      <c r="S61" s="654"/>
      <c r="T61" s="289" t="s">
        <v>28</v>
      </c>
      <c r="AC61" s="1291">
        <v>39</v>
      </c>
      <c r="AD61" s="1291"/>
      <c r="AE61" s="1290">
        <f t="shared" si="13"/>
        <v>0</v>
      </c>
      <c r="AF61" s="1290">
        <f t="shared" si="14"/>
        <v>0</v>
      </c>
      <c r="AG61" s="1290">
        <f t="shared" si="15"/>
        <v>0</v>
      </c>
      <c r="AH61" s="1290">
        <f t="shared" si="16"/>
        <v>0</v>
      </c>
      <c r="AI61" s="1290">
        <f t="shared" si="17"/>
        <v>0</v>
      </c>
      <c r="AJ61" s="1290">
        <f t="shared" si="18"/>
        <v>0</v>
      </c>
      <c r="AK61" s="1290">
        <f t="shared" si="19"/>
        <v>0</v>
      </c>
      <c r="AL61" s="1290">
        <f t="shared" si="20"/>
        <v>0</v>
      </c>
      <c r="AM61" s="1288">
        <f t="shared" si="33"/>
        <v>0</v>
      </c>
      <c r="AT61" s="1269" t="s">
        <v>4726</v>
      </c>
      <c r="AU61" s="1288" t="str">
        <f t="shared" si="34"/>
        <v/>
      </c>
      <c r="AV61" s="1288" t="str">
        <f t="shared" si="35"/>
        <v/>
      </c>
      <c r="AW61" s="1288" t="str">
        <f t="shared" si="36"/>
        <v/>
      </c>
      <c r="AX61" s="1288" t="str">
        <f t="shared" si="37"/>
        <v/>
      </c>
      <c r="AY61" s="1288" t="str">
        <f t="shared" si="38"/>
        <v/>
      </c>
      <c r="AZ61" s="1288" t="str">
        <f t="shared" si="39"/>
        <v/>
      </c>
      <c r="BA61" s="1288" t="str">
        <f t="shared" si="40"/>
        <v/>
      </c>
      <c r="BK61" s="1267" t="s">
        <v>4842</v>
      </c>
      <c r="CJ61" s="381" t="s">
        <v>4852</v>
      </c>
    </row>
    <row r="62" spans="1:88">
      <c r="A62" s="772" t="s">
        <v>3251</v>
      </c>
      <c r="C62" s="161">
        <v>40</v>
      </c>
      <c r="D62" s="154" t="s">
        <v>17</v>
      </c>
      <c r="E62" s="663">
        <f t="shared" si="32"/>
        <v>0</v>
      </c>
      <c r="F62" s="154" t="s">
        <v>28</v>
      </c>
      <c r="G62" s="656"/>
      <c r="H62" s="292" t="s">
        <v>28</v>
      </c>
      <c r="I62" s="656"/>
      <c r="J62" s="292" t="s">
        <v>28</v>
      </c>
      <c r="K62" s="656"/>
      <c r="L62" s="292" t="s">
        <v>28</v>
      </c>
      <c r="M62" s="656"/>
      <c r="N62" s="292" t="s">
        <v>28</v>
      </c>
      <c r="O62" s="656"/>
      <c r="P62" s="292" t="s">
        <v>28</v>
      </c>
      <c r="Q62" s="656"/>
      <c r="R62" s="292" t="s">
        <v>28</v>
      </c>
      <c r="S62" s="656"/>
      <c r="T62" s="293" t="s">
        <v>28</v>
      </c>
      <c r="AC62" s="1291">
        <v>40</v>
      </c>
      <c r="AD62" s="1291"/>
      <c r="AE62" s="1290">
        <f t="shared" si="13"/>
        <v>0</v>
      </c>
      <c r="AF62" s="1290">
        <f t="shared" si="14"/>
        <v>0</v>
      </c>
      <c r="AG62" s="1290">
        <f t="shared" si="15"/>
        <v>0</v>
      </c>
      <c r="AH62" s="1290">
        <f t="shared" si="16"/>
        <v>0</v>
      </c>
      <c r="AI62" s="1290">
        <f t="shared" si="17"/>
        <v>0</v>
      </c>
      <c r="AJ62" s="1290">
        <f t="shared" si="18"/>
        <v>0</v>
      </c>
      <c r="AK62" s="1290">
        <f t="shared" si="19"/>
        <v>0</v>
      </c>
      <c r="AL62" s="1290">
        <f t="shared" si="20"/>
        <v>0</v>
      </c>
      <c r="AM62" s="1288">
        <f t="shared" si="33"/>
        <v>0</v>
      </c>
      <c r="AT62" s="1269" t="s">
        <v>4725</v>
      </c>
      <c r="AU62" s="1288" t="str">
        <f t="shared" si="34"/>
        <v/>
      </c>
      <c r="AV62" s="1288" t="str">
        <f t="shared" si="35"/>
        <v/>
      </c>
      <c r="AW62" s="1288" t="str">
        <f t="shared" si="36"/>
        <v/>
      </c>
      <c r="AX62" s="1288" t="str">
        <f t="shared" si="37"/>
        <v/>
      </c>
      <c r="AY62" s="1288" t="str">
        <f t="shared" si="38"/>
        <v/>
      </c>
      <c r="AZ62" s="1288" t="str">
        <f t="shared" si="39"/>
        <v/>
      </c>
      <c r="BA62" s="1288" t="str">
        <f t="shared" si="40"/>
        <v/>
      </c>
      <c r="BN62" s="1288" t="str">
        <f>IF(BN59&gt;0,BN55,"")</f>
        <v/>
      </c>
      <c r="BO62" s="1288" t="str">
        <f t="shared" ref="BO62:CG62" si="49">IF(BO59&gt;0,BO55,"")</f>
        <v/>
      </c>
      <c r="BP62" s="1288" t="str">
        <f t="shared" si="49"/>
        <v/>
      </c>
      <c r="BQ62" s="1288" t="str">
        <f t="shared" si="49"/>
        <v/>
      </c>
      <c r="BR62" s="1288" t="str">
        <f t="shared" si="49"/>
        <v/>
      </c>
      <c r="BS62" s="1288" t="str">
        <f t="shared" si="49"/>
        <v/>
      </c>
      <c r="BT62" s="1288" t="str">
        <f t="shared" si="49"/>
        <v/>
      </c>
      <c r="BU62" s="1288" t="str">
        <f t="shared" si="49"/>
        <v/>
      </c>
      <c r="BV62" s="1288" t="str">
        <f t="shared" si="49"/>
        <v/>
      </c>
      <c r="BW62" s="1288" t="str">
        <f t="shared" si="49"/>
        <v/>
      </c>
      <c r="BX62" s="1288" t="str">
        <f t="shared" si="49"/>
        <v/>
      </c>
      <c r="BY62" s="1288" t="str">
        <f t="shared" si="49"/>
        <v/>
      </c>
      <c r="BZ62" s="1288" t="str">
        <f t="shared" si="49"/>
        <v/>
      </c>
      <c r="CA62" s="1288" t="str">
        <f t="shared" si="49"/>
        <v/>
      </c>
      <c r="CB62" s="1288" t="str">
        <f t="shared" si="49"/>
        <v/>
      </c>
      <c r="CC62" s="1288" t="str">
        <f t="shared" si="49"/>
        <v/>
      </c>
      <c r="CD62" s="1288" t="str">
        <f t="shared" si="49"/>
        <v/>
      </c>
      <c r="CE62" s="1288" t="str">
        <f t="shared" si="49"/>
        <v/>
      </c>
      <c r="CF62" s="1288" t="str">
        <f t="shared" si="49"/>
        <v/>
      </c>
      <c r="CG62" s="1288" t="str">
        <f t="shared" si="49"/>
        <v/>
      </c>
      <c r="CH62" s="1269"/>
      <c r="CJ62" s="870" t="str">
        <f>CONCATENATE(BN62,BO62,BP62,BQ62,BR62,BS62,BT62,BU62,BV62,BW62,BX62,BY62,BZ62,CA62,CB62,CC62,CD62,CE62,CF62,CG62,CH62)</f>
        <v/>
      </c>
    </row>
    <row r="63" spans="1:88">
      <c r="A63" s="772" t="s">
        <v>3252</v>
      </c>
      <c r="C63" s="162">
        <v>41</v>
      </c>
      <c r="D63" s="152" t="s">
        <v>17</v>
      </c>
      <c r="E63" s="664">
        <f t="shared" ref="E63:E72" si="50">SUM(G63:T63)</f>
        <v>0</v>
      </c>
      <c r="F63" s="152" t="s">
        <v>28</v>
      </c>
      <c r="G63" s="657"/>
      <c r="H63" s="294" t="s">
        <v>28</v>
      </c>
      <c r="I63" s="657"/>
      <c r="J63" s="294" t="s">
        <v>28</v>
      </c>
      <c r="K63" s="657"/>
      <c r="L63" s="294" t="s">
        <v>28</v>
      </c>
      <c r="M63" s="657"/>
      <c r="N63" s="294" t="s">
        <v>28</v>
      </c>
      <c r="O63" s="657"/>
      <c r="P63" s="294" t="s">
        <v>28</v>
      </c>
      <c r="Q63" s="657"/>
      <c r="R63" s="294" t="s">
        <v>28</v>
      </c>
      <c r="S63" s="657"/>
      <c r="T63" s="295" t="s">
        <v>28</v>
      </c>
      <c r="AC63" s="1291">
        <v>41</v>
      </c>
      <c r="AD63" s="1291"/>
      <c r="AE63" s="1290">
        <f t="shared" si="13"/>
        <v>0</v>
      </c>
      <c r="AF63" s="1290">
        <f t="shared" si="14"/>
        <v>0</v>
      </c>
      <c r="AG63" s="1290">
        <f t="shared" si="15"/>
        <v>0</v>
      </c>
      <c r="AH63" s="1290">
        <f t="shared" si="16"/>
        <v>0</v>
      </c>
      <c r="AI63" s="1290">
        <f t="shared" si="17"/>
        <v>0</v>
      </c>
      <c r="AJ63" s="1290">
        <f t="shared" si="18"/>
        <v>0</v>
      </c>
      <c r="AK63" s="1290">
        <f t="shared" si="19"/>
        <v>0</v>
      </c>
      <c r="AL63" s="1290">
        <f t="shared" si="20"/>
        <v>0</v>
      </c>
      <c r="AM63" s="1288">
        <f t="shared" si="33"/>
        <v>0</v>
      </c>
      <c r="AT63" s="1269" t="s">
        <v>4723</v>
      </c>
      <c r="AU63" s="1288" t="str">
        <f t="shared" si="34"/>
        <v/>
      </c>
      <c r="AV63" s="1288" t="str">
        <f t="shared" si="35"/>
        <v/>
      </c>
      <c r="AW63" s="1288" t="str">
        <f t="shared" si="36"/>
        <v/>
      </c>
      <c r="AX63" s="1288" t="str">
        <f t="shared" si="37"/>
        <v/>
      </c>
      <c r="AY63" s="1288" t="str">
        <f t="shared" si="38"/>
        <v/>
      </c>
      <c r="AZ63" s="1288" t="str">
        <f t="shared" si="39"/>
        <v/>
      </c>
      <c r="BA63" s="1288" t="str">
        <f t="shared" si="40"/>
        <v/>
      </c>
    </row>
    <row r="64" spans="1:88">
      <c r="A64" s="772" t="s">
        <v>3253</v>
      </c>
      <c r="C64" s="160">
        <v>42</v>
      </c>
      <c r="D64" s="153" t="s">
        <v>17</v>
      </c>
      <c r="E64" s="661">
        <f t="shared" si="50"/>
        <v>0</v>
      </c>
      <c r="F64" s="153" t="s">
        <v>28</v>
      </c>
      <c r="G64" s="654"/>
      <c r="H64" s="288" t="s">
        <v>28</v>
      </c>
      <c r="I64" s="654"/>
      <c r="J64" s="288" t="s">
        <v>28</v>
      </c>
      <c r="K64" s="654"/>
      <c r="L64" s="288" t="s">
        <v>28</v>
      </c>
      <c r="M64" s="654"/>
      <c r="N64" s="288" t="s">
        <v>28</v>
      </c>
      <c r="O64" s="654"/>
      <c r="P64" s="288" t="s">
        <v>28</v>
      </c>
      <c r="Q64" s="654"/>
      <c r="R64" s="288" t="s">
        <v>28</v>
      </c>
      <c r="S64" s="654"/>
      <c r="T64" s="289" t="s">
        <v>28</v>
      </c>
      <c r="AC64" s="1291">
        <v>42</v>
      </c>
      <c r="AD64" s="1291"/>
      <c r="AE64" s="1290">
        <f t="shared" si="13"/>
        <v>0</v>
      </c>
      <c r="AF64" s="1290">
        <f t="shared" si="14"/>
        <v>0</v>
      </c>
      <c r="AG64" s="1290">
        <f t="shared" si="15"/>
        <v>0</v>
      </c>
      <c r="AH64" s="1290">
        <f t="shared" si="16"/>
        <v>0</v>
      </c>
      <c r="AI64" s="1290">
        <f t="shared" si="17"/>
        <v>0</v>
      </c>
      <c r="AJ64" s="1290">
        <f t="shared" si="18"/>
        <v>0</v>
      </c>
      <c r="AK64" s="1290">
        <f t="shared" si="19"/>
        <v>0</v>
      </c>
      <c r="AL64" s="1290">
        <f t="shared" si="20"/>
        <v>0</v>
      </c>
      <c r="AM64" s="1288">
        <f t="shared" si="33"/>
        <v>0</v>
      </c>
      <c r="AT64" s="1269" t="s">
        <v>4722</v>
      </c>
      <c r="AU64" s="1288" t="str">
        <f t="shared" si="34"/>
        <v/>
      </c>
      <c r="AV64" s="1288" t="str">
        <f t="shared" si="35"/>
        <v/>
      </c>
      <c r="AW64" s="1288" t="str">
        <f t="shared" si="36"/>
        <v/>
      </c>
      <c r="AX64" s="1288" t="str">
        <f t="shared" si="37"/>
        <v/>
      </c>
      <c r="AY64" s="1288" t="str">
        <f t="shared" si="38"/>
        <v/>
      </c>
      <c r="AZ64" s="1288" t="str">
        <f t="shared" si="39"/>
        <v/>
      </c>
      <c r="BA64" s="1288" t="str">
        <f t="shared" si="40"/>
        <v/>
      </c>
      <c r="BK64" s="1267" t="s">
        <v>4731</v>
      </c>
      <c r="BL64" s="1267" t="s">
        <v>4730</v>
      </c>
    </row>
    <row r="65" spans="1:85">
      <c r="A65" s="2563" t="s">
        <v>3163</v>
      </c>
      <c r="C65" s="160">
        <v>43</v>
      </c>
      <c r="D65" s="153" t="s">
        <v>17</v>
      </c>
      <c r="E65" s="661">
        <f t="shared" si="50"/>
        <v>0</v>
      </c>
      <c r="F65" s="153" t="s">
        <v>28</v>
      </c>
      <c r="G65" s="654"/>
      <c r="H65" s="288" t="s">
        <v>28</v>
      </c>
      <c r="I65" s="654"/>
      <c r="J65" s="288" t="s">
        <v>28</v>
      </c>
      <c r="K65" s="654"/>
      <c r="L65" s="288" t="s">
        <v>28</v>
      </c>
      <c r="M65" s="654"/>
      <c r="N65" s="288" t="s">
        <v>28</v>
      </c>
      <c r="O65" s="654"/>
      <c r="P65" s="288" t="s">
        <v>28</v>
      </c>
      <c r="Q65" s="654"/>
      <c r="R65" s="288" t="s">
        <v>28</v>
      </c>
      <c r="S65" s="654"/>
      <c r="T65" s="289" t="s">
        <v>28</v>
      </c>
      <c r="AC65" s="1291">
        <v>43</v>
      </c>
      <c r="AD65" s="1291"/>
      <c r="AE65" s="1290">
        <f t="shared" si="13"/>
        <v>0</v>
      </c>
      <c r="AF65" s="1290">
        <f t="shared" si="14"/>
        <v>0</v>
      </c>
      <c r="AG65" s="1290">
        <f t="shared" si="15"/>
        <v>0</v>
      </c>
      <c r="AH65" s="1290">
        <f t="shared" si="16"/>
        <v>0</v>
      </c>
      <c r="AI65" s="1290">
        <f t="shared" si="17"/>
        <v>0</v>
      </c>
      <c r="AJ65" s="1290">
        <f t="shared" si="18"/>
        <v>0</v>
      </c>
      <c r="AK65" s="1290">
        <f t="shared" si="19"/>
        <v>0</v>
      </c>
      <c r="AL65" s="1290">
        <f t="shared" si="20"/>
        <v>0</v>
      </c>
      <c r="AM65" s="1288">
        <f t="shared" si="33"/>
        <v>0</v>
      </c>
      <c r="AT65" s="1269" t="s">
        <v>4720</v>
      </c>
      <c r="AU65" s="1288" t="str">
        <f t="shared" si="34"/>
        <v/>
      </c>
      <c r="AV65" s="1288" t="str">
        <f t="shared" si="35"/>
        <v/>
      </c>
      <c r="AW65" s="1288" t="str">
        <f t="shared" si="36"/>
        <v/>
      </c>
      <c r="AX65" s="1288" t="str">
        <f t="shared" si="37"/>
        <v/>
      </c>
      <c r="AY65" s="1288" t="str">
        <f t="shared" si="38"/>
        <v/>
      </c>
      <c r="AZ65" s="1288" t="str">
        <f t="shared" si="39"/>
        <v/>
      </c>
      <c r="BA65" s="1288" t="str">
        <f t="shared" si="40"/>
        <v/>
      </c>
      <c r="BM65" s="1288">
        <f>SUM(BN65:CG65)</f>
        <v>0</v>
      </c>
      <c r="BN65" s="1288">
        <f t="shared" ref="BN65:CD65" si="51">BN$59</f>
        <v>0</v>
      </c>
      <c r="BO65" s="1288">
        <f t="shared" si="51"/>
        <v>0</v>
      </c>
      <c r="BP65" s="1288">
        <f t="shared" si="51"/>
        <v>0</v>
      </c>
      <c r="BQ65" s="1288">
        <f t="shared" si="51"/>
        <v>0</v>
      </c>
      <c r="BR65" s="1288">
        <f t="shared" si="51"/>
        <v>0</v>
      </c>
      <c r="BS65" s="1288">
        <f t="shared" si="51"/>
        <v>0</v>
      </c>
      <c r="BT65" s="1288">
        <f t="shared" si="51"/>
        <v>0</v>
      </c>
      <c r="BU65" s="1288">
        <f t="shared" si="51"/>
        <v>0</v>
      </c>
      <c r="BV65" s="1288">
        <f t="shared" si="51"/>
        <v>0</v>
      </c>
      <c r="BW65" s="1288">
        <f t="shared" si="51"/>
        <v>0</v>
      </c>
      <c r="BX65" s="1288">
        <f t="shared" si="51"/>
        <v>0</v>
      </c>
      <c r="BY65" s="1288">
        <f t="shared" si="51"/>
        <v>0</v>
      </c>
      <c r="BZ65" s="1288">
        <f t="shared" si="51"/>
        <v>0</v>
      </c>
      <c r="CA65" s="1288">
        <f t="shared" si="51"/>
        <v>0</v>
      </c>
      <c r="CB65" s="1288">
        <f t="shared" si="51"/>
        <v>0</v>
      </c>
      <c r="CC65" s="1288">
        <f t="shared" si="51"/>
        <v>0</v>
      </c>
      <c r="CD65" s="1288">
        <f t="shared" si="51"/>
        <v>0</v>
      </c>
      <c r="CE65" s="1269"/>
      <c r="CF65" s="1288">
        <f>CF$59</f>
        <v>0</v>
      </c>
      <c r="CG65" s="1269"/>
    </row>
    <row r="66" spans="1:85">
      <c r="A66" s="2563"/>
      <c r="C66" s="160">
        <v>44</v>
      </c>
      <c r="D66" s="153" t="s">
        <v>17</v>
      </c>
      <c r="E66" s="661">
        <f t="shared" si="50"/>
        <v>0</v>
      </c>
      <c r="F66" s="153" t="s">
        <v>28</v>
      </c>
      <c r="G66" s="654"/>
      <c r="H66" s="288" t="s">
        <v>28</v>
      </c>
      <c r="I66" s="654"/>
      <c r="J66" s="288" t="s">
        <v>28</v>
      </c>
      <c r="K66" s="654"/>
      <c r="L66" s="288" t="s">
        <v>28</v>
      </c>
      <c r="M66" s="654"/>
      <c r="N66" s="288" t="s">
        <v>28</v>
      </c>
      <c r="O66" s="654"/>
      <c r="P66" s="288" t="s">
        <v>28</v>
      </c>
      <c r="Q66" s="654"/>
      <c r="R66" s="288" t="s">
        <v>28</v>
      </c>
      <c r="S66" s="654"/>
      <c r="T66" s="289" t="s">
        <v>28</v>
      </c>
      <c r="AC66" s="1291">
        <v>44</v>
      </c>
      <c r="AD66" s="1291"/>
      <c r="AE66" s="1290">
        <f t="shared" si="13"/>
        <v>0</v>
      </c>
      <c r="AF66" s="1290">
        <f t="shared" si="14"/>
        <v>0</v>
      </c>
      <c r="AG66" s="1290">
        <f t="shared" si="15"/>
        <v>0</v>
      </c>
      <c r="AH66" s="1290">
        <f t="shared" si="16"/>
        <v>0</v>
      </c>
      <c r="AI66" s="1290">
        <f t="shared" si="17"/>
        <v>0</v>
      </c>
      <c r="AJ66" s="1290">
        <f t="shared" si="18"/>
        <v>0</v>
      </c>
      <c r="AK66" s="1290">
        <f t="shared" si="19"/>
        <v>0</v>
      </c>
      <c r="AL66" s="1290">
        <f t="shared" si="20"/>
        <v>0</v>
      </c>
      <c r="AM66" s="1288">
        <f t="shared" si="33"/>
        <v>0</v>
      </c>
      <c r="AT66" s="1269" t="s">
        <v>4719</v>
      </c>
      <c r="AU66" s="1288" t="str">
        <f t="shared" si="34"/>
        <v/>
      </c>
      <c r="AV66" s="1288" t="str">
        <f t="shared" si="35"/>
        <v/>
      </c>
      <c r="AW66" s="1288" t="str">
        <f t="shared" si="36"/>
        <v/>
      </c>
      <c r="AX66" s="1288" t="str">
        <f t="shared" si="37"/>
        <v/>
      </c>
      <c r="AY66" s="1288" t="str">
        <f t="shared" si="38"/>
        <v/>
      </c>
      <c r="AZ66" s="1288" t="str">
        <f t="shared" si="39"/>
        <v/>
      </c>
      <c r="BA66" s="1288" t="str">
        <f t="shared" si="40"/>
        <v/>
      </c>
      <c r="BL66" s="1267" t="s">
        <v>4727</v>
      </c>
    </row>
    <row r="67" spans="1:85">
      <c r="A67" s="2563"/>
      <c r="C67" s="161">
        <v>45</v>
      </c>
      <c r="D67" s="154" t="s">
        <v>17</v>
      </c>
      <c r="E67" s="663">
        <f t="shared" si="50"/>
        <v>0</v>
      </c>
      <c r="F67" s="154" t="s">
        <v>28</v>
      </c>
      <c r="G67" s="656"/>
      <c r="H67" s="292" t="s">
        <v>28</v>
      </c>
      <c r="I67" s="656"/>
      <c r="J67" s="292" t="s">
        <v>28</v>
      </c>
      <c r="K67" s="656"/>
      <c r="L67" s="292" t="s">
        <v>28</v>
      </c>
      <c r="M67" s="656"/>
      <c r="N67" s="292" t="s">
        <v>28</v>
      </c>
      <c r="O67" s="656"/>
      <c r="P67" s="292" t="s">
        <v>28</v>
      </c>
      <c r="Q67" s="656"/>
      <c r="R67" s="292" t="s">
        <v>28</v>
      </c>
      <c r="S67" s="656"/>
      <c r="T67" s="293" t="s">
        <v>28</v>
      </c>
      <c r="AC67" s="1291">
        <v>45</v>
      </c>
      <c r="AD67" s="1291"/>
      <c r="AE67" s="1290">
        <f t="shared" si="13"/>
        <v>0</v>
      </c>
      <c r="AF67" s="1290">
        <f t="shared" si="14"/>
        <v>0</v>
      </c>
      <c r="AG67" s="1290">
        <f t="shared" si="15"/>
        <v>0</v>
      </c>
      <c r="AH67" s="1290">
        <f t="shared" si="16"/>
        <v>0</v>
      </c>
      <c r="AI67" s="1290">
        <f t="shared" si="17"/>
        <v>0</v>
      </c>
      <c r="AJ67" s="1290">
        <f t="shared" si="18"/>
        <v>0</v>
      </c>
      <c r="AK67" s="1290">
        <f t="shared" si="19"/>
        <v>0</v>
      </c>
      <c r="AL67" s="1290">
        <f t="shared" si="20"/>
        <v>0</v>
      </c>
      <c r="AM67" s="1288">
        <f t="shared" si="33"/>
        <v>0</v>
      </c>
      <c r="AT67" s="1269" t="s">
        <v>4718</v>
      </c>
      <c r="AU67" s="1288" t="str">
        <f t="shared" si="34"/>
        <v/>
      </c>
      <c r="AV67" s="1288" t="str">
        <f t="shared" si="35"/>
        <v/>
      </c>
      <c r="AW67" s="1288" t="str">
        <f t="shared" si="36"/>
        <v/>
      </c>
      <c r="AX67" s="1288" t="str">
        <f t="shared" si="37"/>
        <v/>
      </c>
      <c r="AY67" s="1288" t="str">
        <f t="shared" si="38"/>
        <v/>
      </c>
      <c r="AZ67" s="1288" t="str">
        <f t="shared" si="39"/>
        <v/>
      </c>
      <c r="BA67" s="1288" t="str">
        <f t="shared" si="40"/>
        <v/>
      </c>
      <c r="BM67" s="1288" t="b">
        <f>BM65&gt;200</f>
        <v>0</v>
      </c>
    </row>
    <row r="68" spans="1:85">
      <c r="A68" s="2563" t="s">
        <v>3254</v>
      </c>
      <c r="C68" s="162">
        <v>46</v>
      </c>
      <c r="D68" s="152" t="s">
        <v>17</v>
      </c>
      <c r="E68" s="664">
        <f t="shared" si="50"/>
        <v>0</v>
      </c>
      <c r="F68" s="152" t="s">
        <v>28</v>
      </c>
      <c r="G68" s="657"/>
      <c r="H68" s="294" t="s">
        <v>28</v>
      </c>
      <c r="I68" s="657"/>
      <c r="J68" s="294" t="s">
        <v>28</v>
      </c>
      <c r="K68" s="657"/>
      <c r="L68" s="294" t="s">
        <v>28</v>
      </c>
      <c r="M68" s="657"/>
      <c r="N68" s="294" t="s">
        <v>28</v>
      </c>
      <c r="O68" s="657"/>
      <c r="P68" s="294" t="s">
        <v>28</v>
      </c>
      <c r="Q68" s="657"/>
      <c r="R68" s="294" t="s">
        <v>28</v>
      </c>
      <c r="S68" s="657"/>
      <c r="T68" s="295" t="s">
        <v>28</v>
      </c>
      <c r="AC68" s="1291">
        <v>46</v>
      </c>
      <c r="AD68" s="1291"/>
      <c r="AE68" s="1290">
        <f t="shared" si="13"/>
        <v>0</v>
      </c>
      <c r="AF68" s="1290">
        <f t="shared" si="14"/>
        <v>0</v>
      </c>
      <c r="AG68" s="1290">
        <f t="shared" si="15"/>
        <v>0</v>
      </c>
      <c r="AH68" s="1290">
        <f t="shared" si="16"/>
        <v>0</v>
      </c>
      <c r="AI68" s="1290">
        <f t="shared" si="17"/>
        <v>0</v>
      </c>
      <c r="AJ68" s="1290">
        <f t="shared" si="18"/>
        <v>0</v>
      </c>
      <c r="AK68" s="1290">
        <f t="shared" si="19"/>
        <v>0</v>
      </c>
      <c r="AL68" s="1290">
        <f t="shared" si="20"/>
        <v>0</v>
      </c>
      <c r="AM68" s="1288">
        <f t="shared" si="33"/>
        <v>0</v>
      </c>
      <c r="AT68" s="1269" t="s">
        <v>4716</v>
      </c>
      <c r="AU68" s="1288" t="str">
        <f t="shared" si="34"/>
        <v/>
      </c>
      <c r="AV68" s="1288" t="str">
        <f t="shared" si="35"/>
        <v/>
      </c>
      <c r="AW68" s="1288" t="str">
        <f t="shared" si="36"/>
        <v/>
      </c>
      <c r="AX68" s="1288" t="str">
        <f t="shared" si="37"/>
        <v/>
      </c>
      <c r="AY68" s="1288" t="str">
        <f t="shared" si="38"/>
        <v/>
      </c>
      <c r="AZ68" s="1288" t="str">
        <f t="shared" si="39"/>
        <v/>
      </c>
      <c r="BA68" s="1288" t="str">
        <f t="shared" si="40"/>
        <v/>
      </c>
      <c r="BL68" s="1267" t="s">
        <v>4724</v>
      </c>
    </row>
    <row r="69" spans="1:85">
      <c r="A69" s="2563"/>
      <c r="C69" s="160">
        <v>47</v>
      </c>
      <c r="D69" s="153" t="s">
        <v>17</v>
      </c>
      <c r="E69" s="661">
        <f t="shared" si="50"/>
        <v>0</v>
      </c>
      <c r="F69" s="153" t="s">
        <v>28</v>
      </c>
      <c r="G69" s="654"/>
      <c r="H69" s="288" t="s">
        <v>28</v>
      </c>
      <c r="I69" s="654"/>
      <c r="J69" s="288" t="s">
        <v>28</v>
      </c>
      <c r="K69" s="654"/>
      <c r="L69" s="288" t="s">
        <v>28</v>
      </c>
      <c r="M69" s="654"/>
      <c r="N69" s="288" t="s">
        <v>28</v>
      </c>
      <c r="O69" s="654"/>
      <c r="P69" s="288" t="s">
        <v>28</v>
      </c>
      <c r="Q69" s="654"/>
      <c r="R69" s="288" t="s">
        <v>28</v>
      </c>
      <c r="S69" s="654"/>
      <c r="T69" s="289" t="s">
        <v>28</v>
      </c>
      <c r="AC69" s="1291">
        <v>47</v>
      </c>
      <c r="AD69" s="1291"/>
      <c r="AE69" s="1290">
        <f t="shared" si="13"/>
        <v>0</v>
      </c>
      <c r="AF69" s="1290">
        <f t="shared" si="14"/>
        <v>0</v>
      </c>
      <c r="AG69" s="1290">
        <f t="shared" si="15"/>
        <v>0</v>
      </c>
      <c r="AH69" s="1290">
        <f t="shared" si="16"/>
        <v>0</v>
      </c>
      <c r="AI69" s="1290">
        <f t="shared" si="17"/>
        <v>0</v>
      </c>
      <c r="AJ69" s="1290">
        <f t="shared" si="18"/>
        <v>0</v>
      </c>
      <c r="AK69" s="1290">
        <f t="shared" si="19"/>
        <v>0</v>
      </c>
      <c r="AL69" s="1290">
        <f t="shared" si="20"/>
        <v>0</v>
      </c>
      <c r="AM69" s="1288">
        <f t="shared" si="33"/>
        <v>0</v>
      </c>
      <c r="AT69" s="1269" t="s">
        <v>4714</v>
      </c>
      <c r="AU69" s="1288" t="str">
        <f t="shared" si="34"/>
        <v/>
      </c>
      <c r="AV69" s="1288" t="str">
        <f t="shared" si="35"/>
        <v/>
      </c>
      <c r="AW69" s="1288" t="str">
        <f t="shared" si="36"/>
        <v/>
      </c>
      <c r="AX69" s="1288" t="str">
        <f t="shared" si="37"/>
        <v/>
      </c>
      <c r="AY69" s="1288" t="str">
        <f t="shared" si="38"/>
        <v/>
      </c>
      <c r="AZ69" s="1288" t="str">
        <f t="shared" si="39"/>
        <v/>
      </c>
      <c r="BA69" s="1288" t="str">
        <f t="shared" si="40"/>
        <v/>
      </c>
      <c r="BM69" s="1288" t="b">
        <f>AND(AE81&gt;=3,BM65&gt;100,NOT(BM67))</f>
        <v>0</v>
      </c>
    </row>
    <row r="70" spans="1:85">
      <c r="A70" s="2563"/>
      <c r="C70" s="160">
        <v>48</v>
      </c>
      <c r="D70" s="153" t="s">
        <v>17</v>
      </c>
      <c r="E70" s="661">
        <f t="shared" si="50"/>
        <v>0</v>
      </c>
      <c r="F70" s="153" t="s">
        <v>28</v>
      </c>
      <c r="G70" s="654"/>
      <c r="H70" s="288" t="s">
        <v>28</v>
      </c>
      <c r="I70" s="654"/>
      <c r="J70" s="288" t="s">
        <v>28</v>
      </c>
      <c r="K70" s="654"/>
      <c r="L70" s="288" t="s">
        <v>28</v>
      </c>
      <c r="M70" s="654"/>
      <c r="N70" s="288" t="s">
        <v>28</v>
      </c>
      <c r="O70" s="654"/>
      <c r="P70" s="288" t="s">
        <v>28</v>
      </c>
      <c r="Q70" s="654"/>
      <c r="R70" s="288" t="s">
        <v>28</v>
      </c>
      <c r="S70" s="654"/>
      <c r="T70" s="289" t="s">
        <v>28</v>
      </c>
      <c r="AC70" s="1291">
        <v>48</v>
      </c>
      <c r="AD70" s="1291"/>
      <c r="AE70" s="1290">
        <f t="shared" si="13"/>
        <v>0</v>
      </c>
      <c r="AF70" s="1290">
        <f t="shared" si="14"/>
        <v>0</v>
      </c>
      <c r="AG70" s="1290">
        <f t="shared" si="15"/>
        <v>0</v>
      </c>
      <c r="AH70" s="1290">
        <f t="shared" si="16"/>
        <v>0</v>
      </c>
      <c r="AI70" s="1290">
        <f t="shared" si="17"/>
        <v>0</v>
      </c>
      <c r="AJ70" s="1290">
        <f t="shared" si="18"/>
        <v>0</v>
      </c>
      <c r="AK70" s="1290">
        <f t="shared" si="19"/>
        <v>0</v>
      </c>
      <c r="AL70" s="1290">
        <f t="shared" si="20"/>
        <v>0</v>
      </c>
      <c r="AM70" s="1288">
        <f t="shared" si="33"/>
        <v>0</v>
      </c>
      <c r="AT70" s="1269" t="s">
        <v>4712</v>
      </c>
      <c r="AU70" s="1288" t="str">
        <f t="shared" si="34"/>
        <v/>
      </c>
      <c r="AV70" s="1288" t="str">
        <f t="shared" si="35"/>
        <v/>
      </c>
      <c r="AW70" s="1288" t="str">
        <f t="shared" si="36"/>
        <v/>
      </c>
      <c r="AX70" s="1288" t="str">
        <f t="shared" si="37"/>
        <v/>
      </c>
      <c r="AY70" s="1288" t="str">
        <f t="shared" si="38"/>
        <v/>
      </c>
      <c r="AZ70" s="1288" t="str">
        <f t="shared" si="39"/>
        <v/>
      </c>
      <c r="BA70" s="1288" t="str">
        <f t="shared" si="40"/>
        <v/>
      </c>
      <c r="BL70" s="1267" t="s">
        <v>4721</v>
      </c>
    </row>
    <row r="71" spans="1:85">
      <c r="A71" s="261"/>
      <c r="C71" s="160">
        <v>49</v>
      </c>
      <c r="D71" s="153" t="s">
        <v>17</v>
      </c>
      <c r="E71" s="661">
        <f t="shared" si="50"/>
        <v>0</v>
      </c>
      <c r="F71" s="153" t="s">
        <v>28</v>
      </c>
      <c r="G71" s="654"/>
      <c r="H71" s="288" t="s">
        <v>28</v>
      </c>
      <c r="I71" s="654"/>
      <c r="J71" s="288" t="s">
        <v>28</v>
      </c>
      <c r="K71" s="654"/>
      <c r="L71" s="288" t="s">
        <v>28</v>
      </c>
      <c r="M71" s="654"/>
      <c r="N71" s="288" t="s">
        <v>28</v>
      </c>
      <c r="O71" s="654"/>
      <c r="P71" s="288" t="s">
        <v>28</v>
      </c>
      <c r="Q71" s="654"/>
      <c r="R71" s="288" t="s">
        <v>28</v>
      </c>
      <c r="S71" s="654"/>
      <c r="T71" s="289" t="s">
        <v>28</v>
      </c>
      <c r="AC71" s="1291">
        <v>49</v>
      </c>
      <c r="AD71" s="1291"/>
      <c r="AE71" s="1290">
        <f t="shared" si="13"/>
        <v>0</v>
      </c>
      <c r="AF71" s="1290">
        <f t="shared" si="14"/>
        <v>0</v>
      </c>
      <c r="AG71" s="1290">
        <f t="shared" si="15"/>
        <v>0</v>
      </c>
      <c r="AH71" s="1290">
        <f t="shared" si="16"/>
        <v>0</v>
      </c>
      <c r="AI71" s="1290">
        <f t="shared" si="17"/>
        <v>0</v>
      </c>
      <c r="AJ71" s="1290">
        <f t="shared" si="18"/>
        <v>0</v>
      </c>
      <c r="AK71" s="1290">
        <f t="shared" si="19"/>
        <v>0</v>
      </c>
      <c r="AL71" s="1290">
        <f t="shared" si="20"/>
        <v>0</v>
      </c>
      <c r="AM71" s="1288">
        <f t="shared" si="33"/>
        <v>0</v>
      </c>
      <c r="AT71" s="1269" t="s">
        <v>4710</v>
      </c>
      <c r="AU71" s="1288" t="str">
        <f t="shared" si="34"/>
        <v/>
      </c>
      <c r="AV71" s="1288" t="str">
        <f t="shared" si="35"/>
        <v/>
      </c>
      <c r="AW71" s="1288" t="str">
        <f t="shared" si="36"/>
        <v/>
      </c>
      <c r="AX71" s="1288" t="str">
        <f t="shared" si="37"/>
        <v/>
      </c>
      <c r="AY71" s="1288" t="str">
        <f t="shared" si="38"/>
        <v/>
      </c>
      <c r="AZ71" s="1288" t="str">
        <f t="shared" si="39"/>
        <v/>
      </c>
      <c r="BA71" s="1288" t="str">
        <f t="shared" si="40"/>
        <v/>
      </c>
      <c r="BM71" s="1288" t="b">
        <f>SUM(BN71:CC71)&lt;&gt;0</f>
        <v>0</v>
      </c>
      <c r="BN71" s="1288">
        <f t="shared" ref="BN71:CC71" si="52">BN59-BN60</f>
        <v>0</v>
      </c>
      <c r="BO71" s="1288">
        <f t="shared" si="52"/>
        <v>0</v>
      </c>
      <c r="BP71" s="1288">
        <f t="shared" si="52"/>
        <v>0</v>
      </c>
      <c r="BQ71" s="1288">
        <f t="shared" si="52"/>
        <v>0</v>
      </c>
      <c r="BR71" s="1288">
        <f t="shared" si="52"/>
        <v>0</v>
      </c>
      <c r="BS71" s="1288">
        <f t="shared" si="52"/>
        <v>0</v>
      </c>
      <c r="BT71" s="1288">
        <f t="shared" si="52"/>
        <v>0</v>
      </c>
      <c r="BU71" s="1288">
        <f t="shared" si="52"/>
        <v>0</v>
      </c>
      <c r="BV71" s="1288">
        <f t="shared" si="52"/>
        <v>0</v>
      </c>
      <c r="BW71" s="1288">
        <f t="shared" si="52"/>
        <v>0</v>
      </c>
      <c r="BX71" s="1288">
        <f t="shared" si="52"/>
        <v>0</v>
      </c>
      <c r="BY71" s="1288">
        <f t="shared" si="52"/>
        <v>0</v>
      </c>
      <c r="BZ71" s="1288">
        <f t="shared" si="52"/>
        <v>0</v>
      </c>
      <c r="CA71" s="1288">
        <f t="shared" si="52"/>
        <v>0</v>
      </c>
      <c r="CB71" s="1288">
        <f t="shared" si="52"/>
        <v>0</v>
      </c>
      <c r="CC71" s="1288">
        <f t="shared" si="52"/>
        <v>0</v>
      </c>
      <c r="CD71" s="1269"/>
      <c r="CE71" s="1269"/>
    </row>
    <row r="72" spans="1:85">
      <c r="A72" s="21"/>
      <c r="C72" s="161">
        <v>50</v>
      </c>
      <c r="D72" s="154" t="s">
        <v>17</v>
      </c>
      <c r="E72" s="663">
        <f t="shared" si="50"/>
        <v>0</v>
      </c>
      <c r="F72" s="154" t="s">
        <v>28</v>
      </c>
      <c r="G72" s="656"/>
      <c r="H72" s="292" t="s">
        <v>28</v>
      </c>
      <c r="I72" s="656"/>
      <c r="J72" s="292" t="s">
        <v>28</v>
      </c>
      <c r="K72" s="656"/>
      <c r="L72" s="292" t="s">
        <v>28</v>
      </c>
      <c r="M72" s="656"/>
      <c r="N72" s="292" t="s">
        <v>28</v>
      </c>
      <c r="O72" s="656"/>
      <c r="P72" s="292" t="s">
        <v>28</v>
      </c>
      <c r="Q72" s="656"/>
      <c r="R72" s="292" t="s">
        <v>28</v>
      </c>
      <c r="S72" s="656"/>
      <c r="T72" s="293" t="s">
        <v>28</v>
      </c>
      <c r="AC72" s="1291">
        <v>50</v>
      </c>
      <c r="AD72" s="1291"/>
      <c r="AE72" s="1290">
        <f t="shared" si="13"/>
        <v>0</v>
      </c>
      <c r="AF72" s="1290">
        <f t="shared" si="14"/>
        <v>0</v>
      </c>
      <c r="AG72" s="1290">
        <f t="shared" si="15"/>
        <v>0</v>
      </c>
      <c r="AH72" s="1290">
        <f t="shared" si="16"/>
        <v>0</v>
      </c>
      <c r="AI72" s="1290">
        <f t="shared" si="17"/>
        <v>0</v>
      </c>
      <c r="AJ72" s="1290">
        <f t="shared" si="18"/>
        <v>0</v>
      </c>
      <c r="AK72" s="1290">
        <f t="shared" si="19"/>
        <v>0</v>
      </c>
      <c r="AL72" s="1290">
        <f t="shared" si="20"/>
        <v>0</v>
      </c>
      <c r="AM72" s="1288">
        <f t="shared" si="33"/>
        <v>0</v>
      </c>
      <c r="AT72" s="1269" t="s">
        <v>4708</v>
      </c>
      <c r="AU72" s="1288" t="str">
        <f t="shared" si="34"/>
        <v/>
      </c>
      <c r="AV72" s="1288" t="str">
        <f t="shared" si="35"/>
        <v/>
      </c>
      <c r="AW72" s="1288" t="str">
        <f t="shared" si="36"/>
        <v/>
      </c>
      <c r="AX72" s="1288" t="str">
        <f t="shared" si="37"/>
        <v/>
      </c>
      <c r="AY72" s="1288" t="str">
        <f t="shared" si="38"/>
        <v/>
      </c>
      <c r="AZ72" s="1288" t="str">
        <f t="shared" si="39"/>
        <v/>
      </c>
      <c r="BA72" s="1288" t="str">
        <f t="shared" si="40"/>
        <v/>
      </c>
      <c r="BL72" s="1267" t="s">
        <v>4706</v>
      </c>
    </row>
    <row r="73" spans="1:85">
      <c r="A73" s="785" t="s">
        <v>3341</v>
      </c>
      <c r="B73" s="786"/>
      <c r="AT73" s="1289" t="s">
        <v>4707</v>
      </c>
      <c r="AU73" s="1288" t="str">
        <f t="shared" ref="AU73:BA76" si="53">IF(AF18=0,AU72,AU72&amp;$AT73)</f>
        <v/>
      </c>
      <c r="AV73" s="1288" t="str">
        <f t="shared" si="53"/>
        <v/>
      </c>
      <c r="AW73" s="1288" t="str">
        <f t="shared" si="53"/>
        <v/>
      </c>
      <c r="AX73" s="1288" t="str">
        <f t="shared" si="53"/>
        <v/>
      </c>
      <c r="AY73" s="1288" t="str">
        <f t="shared" si="53"/>
        <v/>
      </c>
      <c r="AZ73" s="1288" t="str">
        <f t="shared" si="53"/>
        <v/>
      </c>
      <c r="BA73" s="1288" t="str">
        <f t="shared" si="53"/>
        <v/>
      </c>
      <c r="BN73" s="1288" t="b">
        <f>AP11="1階以外"</f>
        <v>0</v>
      </c>
      <c r="BO73" s="1269" t="b">
        <v>0</v>
      </c>
      <c r="BP73" s="1269" t="b">
        <v>0</v>
      </c>
      <c r="BQ73" s="1269" t="b">
        <v>0</v>
      </c>
      <c r="BR73" s="1269" t="b">
        <v>0</v>
      </c>
      <c r="BS73" s="1269" t="b">
        <v>0</v>
      </c>
      <c r="BT73" s="1269" t="b">
        <v>0</v>
      </c>
      <c r="BU73" s="1269" t="b">
        <v>0</v>
      </c>
      <c r="BV73" s="1269" t="b">
        <v>0</v>
      </c>
      <c r="BW73" s="1269" t="b">
        <v>0</v>
      </c>
      <c r="BX73" s="1269" t="b">
        <v>0</v>
      </c>
      <c r="BY73" s="1269" t="b">
        <v>0</v>
      </c>
      <c r="BZ73" s="1269" t="b">
        <v>0</v>
      </c>
      <c r="CA73" s="1269" t="b">
        <v>0</v>
      </c>
      <c r="CB73" s="1269" t="b">
        <v>0</v>
      </c>
      <c r="CC73" s="1269" t="b">
        <v>0</v>
      </c>
      <c r="CD73" s="1269"/>
      <c r="CE73" s="1269"/>
    </row>
    <row r="74" spans="1:85">
      <c r="A74" s="785" t="s">
        <v>3345</v>
      </c>
      <c r="B74" s="786"/>
      <c r="AC74" s="1267" t="s">
        <v>4705</v>
      </c>
      <c r="AT74" s="1289" t="s">
        <v>4704</v>
      </c>
      <c r="AU74" s="1288" t="str">
        <f t="shared" si="53"/>
        <v/>
      </c>
      <c r="AV74" s="1288" t="str">
        <f t="shared" si="53"/>
        <v/>
      </c>
      <c r="AW74" s="1288" t="str">
        <f t="shared" si="53"/>
        <v/>
      </c>
      <c r="AX74" s="1288" t="str">
        <f t="shared" si="53"/>
        <v/>
      </c>
      <c r="AY74" s="1288" t="str">
        <f t="shared" si="53"/>
        <v/>
      </c>
      <c r="AZ74" s="1288" t="str">
        <f t="shared" si="53"/>
        <v/>
      </c>
      <c r="BA74" s="1288" t="str">
        <f t="shared" si="53"/>
        <v/>
      </c>
      <c r="BL74" s="1267" t="s">
        <v>4709</v>
      </c>
    </row>
    <row r="75" spans="1:85">
      <c r="A75" s="785"/>
      <c r="B75" s="786"/>
      <c r="AC75" s="1267" t="s">
        <v>4703</v>
      </c>
      <c r="AF75" s="1298">
        <f t="shared" ref="AF75:AL75" si="54">SUM(AF15:AF17)</f>
        <v>0</v>
      </c>
      <c r="AG75" s="1298">
        <f t="shared" si="54"/>
        <v>0</v>
      </c>
      <c r="AH75" s="1298">
        <f t="shared" si="54"/>
        <v>0</v>
      </c>
      <c r="AI75" s="1298">
        <f t="shared" si="54"/>
        <v>0</v>
      </c>
      <c r="AJ75" s="1298">
        <f t="shared" si="54"/>
        <v>0</v>
      </c>
      <c r="AK75" s="1298">
        <f t="shared" si="54"/>
        <v>0</v>
      </c>
      <c r="AL75" s="1298">
        <f t="shared" si="54"/>
        <v>0</v>
      </c>
      <c r="AT75" s="1289" t="s">
        <v>4702</v>
      </c>
      <c r="AU75" s="1288" t="str">
        <f>IF(AF20=0,AU74,AU74&amp;$AT75)</f>
        <v/>
      </c>
      <c r="AV75" s="1288" t="str">
        <f t="shared" si="53"/>
        <v/>
      </c>
      <c r="AW75" s="1288" t="str">
        <f t="shared" si="53"/>
        <v/>
      </c>
      <c r="AX75" s="1288" t="str">
        <f t="shared" si="53"/>
        <v/>
      </c>
      <c r="AY75" s="1288" t="str">
        <f t="shared" si="53"/>
        <v/>
      </c>
      <c r="AZ75" s="1288" t="str">
        <f t="shared" si="53"/>
        <v/>
      </c>
      <c r="BA75" s="1288" t="str">
        <f t="shared" si="53"/>
        <v/>
      </c>
      <c r="BN75" s="1288" t="b">
        <f>AQ11="200㎡以上"</f>
        <v>0</v>
      </c>
      <c r="BO75" s="1269" t="b">
        <v>0</v>
      </c>
      <c r="BP75" s="1269" t="b">
        <v>0</v>
      </c>
      <c r="BQ75" s="1269" t="b">
        <v>0</v>
      </c>
      <c r="BR75" s="1269" t="b">
        <v>0</v>
      </c>
      <c r="BS75" s="1269" t="b">
        <v>0</v>
      </c>
      <c r="BT75" s="1269" t="b">
        <v>0</v>
      </c>
      <c r="BU75" s="1269" t="b">
        <v>0</v>
      </c>
      <c r="BV75" s="1269" t="b">
        <v>0</v>
      </c>
      <c r="BW75" s="1269" t="b">
        <v>0</v>
      </c>
      <c r="BX75" s="1269" t="b">
        <v>0</v>
      </c>
      <c r="BY75" s="1269" t="b">
        <v>0</v>
      </c>
      <c r="BZ75" s="1269" t="b">
        <v>0</v>
      </c>
      <c r="CA75" s="1269" t="b">
        <v>0</v>
      </c>
      <c r="CB75" s="1269" t="b">
        <v>0</v>
      </c>
      <c r="CC75" s="1269" t="b">
        <v>0</v>
      </c>
      <c r="CD75" s="1269"/>
      <c r="CE75" s="1269"/>
    </row>
    <row r="76" spans="1:85">
      <c r="A76" s="785" t="s">
        <v>3347</v>
      </c>
      <c r="B76" s="786"/>
      <c r="AC76" s="1267" t="s">
        <v>4700</v>
      </c>
      <c r="AF76" s="1299">
        <f t="shared" ref="AF76:AL76" si="55">AF14</f>
        <v>0</v>
      </c>
      <c r="AG76" s="1299">
        <f t="shared" si="55"/>
        <v>0</v>
      </c>
      <c r="AH76" s="1299">
        <f t="shared" si="55"/>
        <v>0</v>
      </c>
      <c r="AI76" s="1299">
        <f t="shared" si="55"/>
        <v>0</v>
      </c>
      <c r="AJ76" s="1299">
        <f t="shared" si="55"/>
        <v>0</v>
      </c>
      <c r="AK76" s="1299">
        <f t="shared" si="55"/>
        <v>0</v>
      </c>
      <c r="AL76" s="1299">
        <f t="shared" si="55"/>
        <v>0</v>
      </c>
      <c r="AT76" s="1289" t="s">
        <v>4699</v>
      </c>
      <c r="AU76" s="1288" t="str">
        <f>IF(AF21=0,AU75,AU75&amp;$AT76)</f>
        <v/>
      </c>
      <c r="AV76" s="1288" t="str">
        <f t="shared" si="53"/>
        <v/>
      </c>
      <c r="AW76" s="1288" t="str">
        <f t="shared" si="53"/>
        <v/>
      </c>
      <c r="AX76" s="1288" t="str">
        <f t="shared" si="53"/>
        <v/>
      </c>
      <c r="AY76" s="1288" t="str">
        <f t="shared" si="53"/>
        <v/>
      </c>
      <c r="AZ76" s="1288" t="str">
        <f t="shared" si="53"/>
        <v/>
      </c>
      <c r="BA76" s="1288" t="str">
        <f t="shared" si="53"/>
        <v/>
      </c>
    </row>
    <row r="77" spans="1:85">
      <c r="A77" s="785" t="s">
        <v>3339</v>
      </c>
      <c r="B77" s="786"/>
      <c r="AC77" s="1267" t="s">
        <v>4698</v>
      </c>
      <c r="AF77" s="1299">
        <f t="shared" ref="AF77:AL77" si="56">AF23+IF(SUM($AE$23:$AE$72)=0,AF18,0)</f>
        <v>0</v>
      </c>
      <c r="AG77" s="1299">
        <f t="shared" si="56"/>
        <v>0</v>
      </c>
      <c r="AH77" s="1299">
        <f t="shared" si="56"/>
        <v>0</v>
      </c>
      <c r="AI77" s="1299">
        <f t="shared" si="56"/>
        <v>0</v>
      </c>
      <c r="AJ77" s="1299">
        <f t="shared" si="56"/>
        <v>0</v>
      </c>
      <c r="AK77" s="1299">
        <f t="shared" si="56"/>
        <v>0</v>
      </c>
      <c r="AL77" s="1299">
        <f t="shared" si="56"/>
        <v>0</v>
      </c>
      <c r="AT77" s="1289" t="s">
        <v>4697</v>
      </c>
      <c r="AU77" s="1300" t="str">
        <f>IF(AF22=0,AU76,AU76&amp;$AT77)</f>
        <v/>
      </c>
      <c r="AV77" s="1300" t="str">
        <f t="shared" ref="AV77:BA77" si="57">IF(AG22=0,AV76,AV76&amp;$AT77)</f>
        <v/>
      </c>
      <c r="AW77" s="1300" t="str">
        <f t="shared" si="57"/>
        <v/>
      </c>
      <c r="AX77" s="1300" t="str">
        <f t="shared" si="57"/>
        <v/>
      </c>
      <c r="AY77" s="1300" t="str">
        <f t="shared" si="57"/>
        <v/>
      </c>
      <c r="AZ77" s="1300" t="str">
        <f t="shared" si="57"/>
        <v/>
      </c>
      <c r="BA77" s="1300" t="str">
        <f t="shared" si="57"/>
        <v/>
      </c>
      <c r="BL77" s="1267" t="s">
        <v>4847</v>
      </c>
    </row>
    <row r="78" spans="1:85">
      <c r="A78" s="785" t="s">
        <v>3340</v>
      </c>
      <c r="B78" s="786"/>
      <c r="AC78" s="1267" t="s">
        <v>4696</v>
      </c>
      <c r="AF78" s="1299">
        <f t="shared" ref="AF78:AL78" si="58">AF24+IF(SUM($AE$23:$AE$72)=0,AF19,IF(SUM($AE$24:$AE$72)=0,AF18,0))</f>
        <v>0</v>
      </c>
      <c r="AG78" s="1299">
        <f t="shared" si="58"/>
        <v>0</v>
      </c>
      <c r="AH78" s="1299">
        <f t="shared" si="58"/>
        <v>0</v>
      </c>
      <c r="AI78" s="1299">
        <f t="shared" si="58"/>
        <v>0</v>
      </c>
      <c r="AJ78" s="1299">
        <f t="shared" si="58"/>
        <v>0</v>
      </c>
      <c r="AK78" s="1299">
        <f t="shared" si="58"/>
        <v>0</v>
      </c>
      <c r="AL78" s="1299">
        <f t="shared" si="58"/>
        <v>0</v>
      </c>
      <c r="AT78" s="1270"/>
      <c r="AU78" s="1270"/>
      <c r="AV78" s="1270"/>
      <c r="AW78" s="1270"/>
      <c r="AX78" s="1270"/>
      <c r="AY78" s="1270"/>
      <c r="AZ78" s="1270"/>
      <c r="BA78" s="1270"/>
      <c r="BN78" s="1296">
        <v>1</v>
      </c>
      <c r="BO78" s="1296">
        <v>1</v>
      </c>
      <c r="BP78" s="1296">
        <v>2</v>
      </c>
      <c r="BQ78" s="1296">
        <v>3</v>
      </c>
      <c r="BR78" s="1296">
        <v>4</v>
      </c>
      <c r="BS78" s="1296">
        <v>5</v>
      </c>
      <c r="BT78" s="1296">
        <v>6</v>
      </c>
      <c r="BU78" s="1296">
        <v>7</v>
      </c>
      <c r="BV78" s="1296">
        <v>8</v>
      </c>
      <c r="BW78" s="1296">
        <v>9</v>
      </c>
      <c r="BX78" s="1296">
        <v>9</v>
      </c>
      <c r="BY78" s="1296">
        <v>9</v>
      </c>
      <c r="BZ78" s="1296">
        <v>10</v>
      </c>
      <c r="CA78" s="1296">
        <v>10</v>
      </c>
      <c r="CB78" s="1296">
        <v>11</v>
      </c>
      <c r="CC78" s="1296">
        <v>11</v>
      </c>
      <c r="CD78" s="1296"/>
      <c r="CE78" s="1296"/>
    </row>
    <row r="79" spans="1:85">
      <c r="A79" s="785" t="s">
        <v>3348</v>
      </c>
      <c r="B79" s="786"/>
      <c r="AC79" s="1267" t="s">
        <v>4694</v>
      </c>
      <c r="AF79" s="1301">
        <f t="shared" ref="AF79:AL79" si="59">SUM(AF25:AF72)+IF(SUM($AE$23:$AE$72)=0,SUM(AF20:AF22),IF(SUM($AE$24:$AE$72)=0,SUM(AF19:AF22),SUM(AF18:AF22)))</f>
        <v>0</v>
      </c>
      <c r="AG79" s="1301">
        <f t="shared" si="59"/>
        <v>0</v>
      </c>
      <c r="AH79" s="1301">
        <f t="shared" si="59"/>
        <v>0</v>
      </c>
      <c r="AI79" s="1301">
        <f t="shared" si="59"/>
        <v>0</v>
      </c>
      <c r="AJ79" s="1301">
        <f t="shared" si="59"/>
        <v>0</v>
      </c>
      <c r="AK79" s="1301">
        <f t="shared" si="59"/>
        <v>0</v>
      </c>
      <c r="AL79" s="1301">
        <f t="shared" si="59"/>
        <v>0</v>
      </c>
      <c r="AT79" s="1270"/>
      <c r="AU79" s="1270"/>
      <c r="AV79" s="1270"/>
      <c r="AW79" s="1270"/>
      <c r="AX79" s="1270"/>
      <c r="AY79" s="1270"/>
      <c r="AZ79" s="1270"/>
      <c r="BA79" s="1270"/>
      <c r="BN79" s="870" t="b">
        <f t="shared" ref="BN79:CC79" si="60">SUMPRODUCT(MAX($BN$59:$CE$59*($BN78:$CE78=BN78)))=BN$59</f>
        <v>1</v>
      </c>
      <c r="BO79" s="870" t="b">
        <f t="shared" si="60"/>
        <v>1</v>
      </c>
      <c r="BP79" s="870" t="b">
        <f t="shared" si="60"/>
        <v>1</v>
      </c>
      <c r="BQ79" s="870" t="b">
        <f t="shared" si="60"/>
        <v>1</v>
      </c>
      <c r="BR79" s="870" t="b">
        <f t="shared" si="60"/>
        <v>1</v>
      </c>
      <c r="BS79" s="870" t="b">
        <f t="shared" si="60"/>
        <v>1</v>
      </c>
      <c r="BT79" s="870" t="b">
        <f t="shared" si="60"/>
        <v>1</v>
      </c>
      <c r="BU79" s="870" t="b">
        <f t="shared" si="60"/>
        <v>1</v>
      </c>
      <c r="BV79" s="870" t="b">
        <f t="shared" si="60"/>
        <v>1</v>
      </c>
      <c r="BW79" s="870" t="b">
        <f t="shared" si="60"/>
        <v>1</v>
      </c>
      <c r="BX79" s="870" t="b">
        <f t="shared" si="60"/>
        <v>1</v>
      </c>
      <c r="BY79" s="870" t="b">
        <f t="shared" si="60"/>
        <v>1</v>
      </c>
      <c r="BZ79" s="870" t="b">
        <f t="shared" si="60"/>
        <v>1</v>
      </c>
      <c r="CA79" s="870" t="b">
        <f t="shared" si="60"/>
        <v>1</v>
      </c>
      <c r="CB79" s="870" t="b">
        <f t="shared" si="60"/>
        <v>1</v>
      </c>
      <c r="CC79" s="870" t="b">
        <f t="shared" si="60"/>
        <v>1</v>
      </c>
      <c r="CD79" s="1296"/>
      <c r="CE79" s="1296"/>
    </row>
    <row r="80" spans="1:85">
      <c r="A80" s="785" t="s">
        <v>3342</v>
      </c>
      <c r="B80" s="786"/>
      <c r="AT80" s="1270"/>
      <c r="AU80" s="1270"/>
      <c r="AV80" s="1270"/>
      <c r="AW80" s="1270"/>
      <c r="AX80" s="1270"/>
      <c r="AY80" s="1270"/>
      <c r="AZ80" s="1270"/>
      <c r="BA80" s="1270"/>
      <c r="BN80" s="870">
        <f>BN78*BN79</f>
        <v>1</v>
      </c>
      <c r="BO80" s="870">
        <f t="shared" ref="BO80:CC80" si="61">BO78*BO79</f>
        <v>1</v>
      </c>
      <c r="BP80" s="870">
        <f t="shared" si="61"/>
        <v>2</v>
      </c>
      <c r="BQ80" s="870">
        <f t="shared" si="61"/>
        <v>3</v>
      </c>
      <c r="BR80" s="870">
        <f t="shared" si="61"/>
        <v>4</v>
      </c>
      <c r="BS80" s="870">
        <f t="shared" si="61"/>
        <v>5</v>
      </c>
      <c r="BT80" s="870">
        <f t="shared" si="61"/>
        <v>6</v>
      </c>
      <c r="BU80" s="870">
        <f t="shared" si="61"/>
        <v>7</v>
      </c>
      <c r="BV80" s="870">
        <f t="shared" si="61"/>
        <v>8</v>
      </c>
      <c r="BW80" s="870">
        <f t="shared" si="61"/>
        <v>9</v>
      </c>
      <c r="BX80" s="870">
        <f t="shared" si="61"/>
        <v>9</v>
      </c>
      <c r="BY80" s="870">
        <f t="shared" si="61"/>
        <v>9</v>
      </c>
      <c r="BZ80" s="870">
        <f t="shared" si="61"/>
        <v>10</v>
      </c>
      <c r="CA80" s="870">
        <f t="shared" si="61"/>
        <v>10</v>
      </c>
      <c r="CB80" s="870">
        <f t="shared" si="61"/>
        <v>11</v>
      </c>
      <c r="CC80" s="870">
        <f t="shared" si="61"/>
        <v>11</v>
      </c>
      <c r="CD80" s="1296"/>
      <c r="CE80" s="1296"/>
    </row>
    <row r="81" spans="1:85">
      <c r="A81" s="785"/>
      <c r="B81" s="786"/>
      <c r="AC81" s="1267" t="s">
        <v>4692</v>
      </c>
      <c r="AE81" s="1288">
        <f>COUNTIF(AE14:AE72,"&lt;&gt;0")</f>
        <v>0</v>
      </c>
      <c r="BN81" s="1302" t="b">
        <f t="shared" ref="BN81:CC81" si="62">AND(BN79,MATCH(BN78*BN79,$BN80:$CE80,0)=BN$1)</f>
        <v>1</v>
      </c>
      <c r="BO81" s="1302" t="b">
        <f t="shared" si="62"/>
        <v>0</v>
      </c>
      <c r="BP81" s="1302" t="b">
        <f t="shared" si="62"/>
        <v>1</v>
      </c>
      <c r="BQ81" s="1302" t="b">
        <f t="shared" si="62"/>
        <v>1</v>
      </c>
      <c r="BR81" s="1302" t="b">
        <f t="shared" si="62"/>
        <v>1</v>
      </c>
      <c r="BS81" s="1302" t="b">
        <f t="shared" si="62"/>
        <v>1</v>
      </c>
      <c r="BT81" s="1302" t="b">
        <f t="shared" si="62"/>
        <v>1</v>
      </c>
      <c r="BU81" s="1302" t="b">
        <f t="shared" si="62"/>
        <v>1</v>
      </c>
      <c r="BV81" s="1302" t="b">
        <f t="shared" si="62"/>
        <v>1</v>
      </c>
      <c r="BW81" s="1302" t="b">
        <f t="shared" si="62"/>
        <v>1</v>
      </c>
      <c r="BX81" s="1302" t="b">
        <f t="shared" si="62"/>
        <v>0</v>
      </c>
      <c r="BY81" s="1302" t="b">
        <f t="shared" si="62"/>
        <v>0</v>
      </c>
      <c r="BZ81" s="1302" t="b">
        <f t="shared" si="62"/>
        <v>1</v>
      </c>
      <c r="CA81" s="1302" t="b">
        <f t="shared" si="62"/>
        <v>0</v>
      </c>
      <c r="CB81" s="1302" t="b">
        <f t="shared" si="62"/>
        <v>1</v>
      </c>
      <c r="CC81" s="1302" t="b">
        <f t="shared" si="62"/>
        <v>0</v>
      </c>
      <c r="CD81" s="1296"/>
      <c r="CE81" s="1296"/>
    </row>
    <row r="82" spans="1:85">
      <c r="A82" s="785" t="s">
        <v>3346</v>
      </c>
      <c r="B82" s="786"/>
      <c r="AC82" s="1267" t="s">
        <v>4691</v>
      </c>
      <c r="AE82" s="1288" t="str">
        <f>IF(COUNTIF(AF82:AL82,"1階以外")&gt;0,"1階以外",IF(COUNTIF(AF82:AL82,"1階")&gt;0,"1階",""))</f>
        <v/>
      </c>
      <c r="AF82" s="1288" t="str">
        <f t="shared" ref="AF82:AL82" si="63">IF(AF11&lt;&gt;$BN$2,"",IF(MAX(AF14:AF72)&gt;AF23,"1階以外","1階"))</f>
        <v/>
      </c>
      <c r="AG82" s="1288" t="str">
        <f t="shared" si="63"/>
        <v/>
      </c>
      <c r="AH82" s="1288" t="str">
        <f t="shared" si="63"/>
        <v/>
      </c>
      <c r="AI82" s="1288" t="str">
        <f t="shared" si="63"/>
        <v/>
      </c>
      <c r="AJ82" s="1288" t="str">
        <f t="shared" si="63"/>
        <v/>
      </c>
      <c r="AK82" s="1288" t="str">
        <f t="shared" si="63"/>
        <v/>
      </c>
      <c r="AL82" s="1288" t="str">
        <f t="shared" si="63"/>
        <v/>
      </c>
      <c r="BL82" s="1267" t="s">
        <v>4843</v>
      </c>
      <c r="BM82" s="1303"/>
      <c r="BN82" s="1303"/>
      <c r="BO82" s="1303"/>
      <c r="BP82" s="1303"/>
      <c r="BQ82" s="1303"/>
      <c r="BR82" s="1303"/>
      <c r="BS82" s="1303"/>
      <c r="BT82" s="1303"/>
      <c r="BU82" s="1303"/>
      <c r="BV82" s="1303"/>
      <c r="BW82" s="1303"/>
      <c r="BX82" s="1303"/>
      <c r="BY82" s="1303"/>
      <c r="BZ82" s="1303"/>
      <c r="CA82" s="1303"/>
      <c r="CB82" s="1303"/>
      <c r="CC82" s="1303"/>
      <c r="CD82" s="1303"/>
      <c r="CE82" s="1303"/>
      <c r="CF82" s="1303"/>
      <c r="CG82" s="1303"/>
    </row>
    <row r="83" spans="1:85">
      <c r="A83" s="785" t="s">
        <v>3338</v>
      </c>
      <c r="B83" s="786"/>
      <c r="AD83" s="1304" t="e">
        <f>'1_入力シート【基本情報】'!$EB$186</f>
        <v>#N/A</v>
      </c>
      <c r="BM83" s="1303" t="s">
        <v>4717</v>
      </c>
      <c r="BN83" s="1305">
        <f t="shared" ref="BN83:CC83" si="64">SUMPRODUCT(($BN$78:$CE$78=BN$78)*$BN56:$CE56)*BN$81</f>
        <v>0</v>
      </c>
      <c r="BO83" s="1305">
        <f t="shared" si="64"/>
        <v>0</v>
      </c>
      <c r="BP83" s="1305">
        <f t="shared" si="64"/>
        <v>0</v>
      </c>
      <c r="BQ83" s="1305">
        <f t="shared" si="64"/>
        <v>0</v>
      </c>
      <c r="BR83" s="1305">
        <f t="shared" si="64"/>
        <v>0</v>
      </c>
      <c r="BS83" s="1305">
        <f t="shared" si="64"/>
        <v>0</v>
      </c>
      <c r="BT83" s="1305">
        <f t="shared" si="64"/>
        <v>0</v>
      </c>
      <c r="BU83" s="1305">
        <f t="shared" si="64"/>
        <v>0</v>
      </c>
      <c r="BV83" s="1305">
        <f t="shared" si="64"/>
        <v>0</v>
      </c>
      <c r="BW83" s="1305">
        <f t="shared" si="64"/>
        <v>0</v>
      </c>
      <c r="BX83" s="1305">
        <f t="shared" si="64"/>
        <v>0</v>
      </c>
      <c r="BY83" s="1305">
        <f t="shared" si="64"/>
        <v>0</v>
      </c>
      <c r="BZ83" s="1305">
        <f t="shared" si="64"/>
        <v>0</v>
      </c>
      <c r="CA83" s="1305">
        <f t="shared" si="64"/>
        <v>0</v>
      </c>
      <c r="CB83" s="1305">
        <f t="shared" si="64"/>
        <v>0</v>
      </c>
      <c r="CC83" s="1305">
        <f t="shared" si="64"/>
        <v>0</v>
      </c>
      <c r="CD83" s="1296"/>
      <c r="CE83" s="1296"/>
      <c r="CF83" s="1303"/>
      <c r="CG83" s="1303"/>
    </row>
    <row r="84" spans="1:85">
      <c r="A84" s="785" t="s">
        <v>3349</v>
      </c>
      <c r="B84" s="786"/>
      <c r="AC84" s="1267" t="s">
        <v>4690</v>
      </c>
      <c r="AE84" s="1288" t="e">
        <f>IF(AD83=0,"",IF(AD83&lt;=DATE(1981,5,31),"旧耐震","新耐震"))</f>
        <v>#N/A</v>
      </c>
      <c r="BM84" s="1303" t="s">
        <v>4715</v>
      </c>
      <c r="BN84" s="1305">
        <f t="shared" ref="BN84:CC84" si="65">SUMPRODUCT(($BN$78:$CE$78=BN$78)*$BN57:$CE57)*BN$81</f>
        <v>0</v>
      </c>
      <c r="BO84" s="1305">
        <f t="shared" si="65"/>
        <v>0</v>
      </c>
      <c r="BP84" s="1305">
        <f t="shared" si="65"/>
        <v>0</v>
      </c>
      <c r="BQ84" s="1305">
        <f t="shared" si="65"/>
        <v>0</v>
      </c>
      <c r="BR84" s="1305">
        <f t="shared" si="65"/>
        <v>0</v>
      </c>
      <c r="BS84" s="1305">
        <f t="shared" si="65"/>
        <v>0</v>
      </c>
      <c r="BT84" s="1305">
        <f t="shared" si="65"/>
        <v>0</v>
      </c>
      <c r="BU84" s="1305">
        <f t="shared" si="65"/>
        <v>0</v>
      </c>
      <c r="BV84" s="1305">
        <f t="shared" si="65"/>
        <v>0</v>
      </c>
      <c r="BW84" s="1305">
        <f t="shared" si="65"/>
        <v>0</v>
      </c>
      <c r="BX84" s="1305">
        <f t="shared" si="65"/>
        <v>0</v>
      </c>
      <c r="BY84" s="1305">
        <f t="shared" si="65"/>
        <v>0</v>
      </c>
      <c r="BZ84" s="1305">
        <f t="shared" si="65"/>
        <v>0</v>
      </c>
      <c r="CA84" s="1305">
        <f t="shared" si="65"/>
        <v>0</v>
      </c>
      <c r="CB84" s="1305">
        <f t="shared" si="65"/>
        <v>0</v>
      </c>
      <c r="CC84" s="1305">
        <f t="shared" si="65"/>
        <v>0</v>
      </c>
      <c r="CD84" s="1296"/>
      <c r="CE84" s="1296"/>
      <c r="CF84" s="1303"/>
      <c r="CG84" s="1303"/>
    </row>
    <row r="85" spans="1:85">
      <c r="A85" s="785" t="s">
        <v>3343</v>
      </c>
      <c r="B85" s="784"/>
      <c r="AC85" s="1267" t="s">
        <v>4689</v>
      </c>
      <c r="AM85" s="1288" t="b">
        <f>SUM(AM14:AM72)&gt;=5</f>
        <v>0</v>
      </c>
      <c r="BM85" s="1303" t="s">
        <v>4713</v>
      </c>
      <c r="BN85" s="1305">
        <f t="shared" ref="BN85:CC85" si="66">SUMPRODUCT(($BN$78:$CE$78=BN$78)*$BN58:$CE58)*BN$81</f>
        <v>0</v>
      </c>
      <c r="BO85" s="1305">
        <f t="shared" si="66"/>
        <v>0</v>
      </c>
      <c r="BP85" s="1305">
        <f t="shared" si="66"/>
        <v>0</v>
      </c>
      <c r="BQ85" s="1305">
        <f t="shared" si="66"/>
        <v>0</v>
      </c>
      <c r="BR85" s="1305">
        <f t="shared" si="66"/>
        <v>0</v>
      </c>
      <c r="BS85" s="1305">
        <f t="shared" si="66"/>
        <v>0</v>
      </c>
      <c r="BT85" s="1305">
        <f t="shared" si="66"/>
        <v>0</v>
      </c>
      <c r="BU85" s="1305">
        <f t="shared" si="66"/>
        <v>0</v>
      </c>
      <c r="BV85" s="1305">
        <f t="shared" si="66"/>
        <v>0</v>
      </c>
      <c r="BW85" s="1305">
        <f t="shared" si="66"/>
        <v>0</v>
      </c>
      <c r="BX85" s="1305">
        <f t="shared" si="66"/>
        <v>0</v>
      </c>
      <c r="BY85" s="1305">
        <f t="shared" si="66"/>
        <v>0</v>
      </c>
      <c r="BZ85" s="1305">
        <f t="shared" si="66"/>
        <v>0</v>
      </c>
      <c r="CA85" s="1305">
        <f t="shared" si="66"/>
        <v>0</v>
      </c>
      <c r="CB85" s="1305">
        <f t="shared" si="66"/>
        <v>0</v>
      </c>
      <c r="CC85" s="1305">
        <f t="shared" si="66"/>
        <v>0</v>
      </c>
      <c r="CD85" s="1296"/>
      <c r="CE85" s="1296"/>
      <c r="CF85" s="1303"/>
      <c r="CG85" s="1303"/>
    </row>
    <row r="86" spans="1:85">
      <c r="A86" s="785" t="s">
        <v>3344</v>
      </c>
      <c r="B86" s="784"/>
      <c r="BM86" s="1303" t="s">
        <v>4711</v>
      </c>
      <c r="BN86" s="1305">
        <f t="shared" ref="BN86:CC86" si="67">SUMPRODUCT(($BN$78:$CE$78=BN$78)*$BN59:$CE59)*BN$81</f>
        <v>0</v>
      </c>
      <c r="BO86" s="1305">
        <f t="shared" si="67"/>
        <v>0</v>
      </c>
      <c r="BP86" s="1305">
        <f t="shared" si="67"/>
        <v>0</v>
      </c>
      <c r="BQ86" s="1305">
        <f t="shared" si="67"/>
        <v>0</v>
      </c>
      <c r="BR86" s="1305">
        <f t="shared" si="67"/>
        <v>0</v>
      </c>
      <c r="BS86" s="1305">
        <f t="shared" si="67"/>
        <v>0</v>
      </c>
      <c r="BT86" s="1305">
        <f t="shared" si="67"/>
        <v>0</v>
      </c>
      <c r="BU86" s="1305">
        <f t="shared" si="67"/>
        <v>0</v>
      </c>
      <c r="BV86" s="1305">
        <f t="shared" si="67"/>
        <v>0</v>
      </c>
      <c r="BW86" s="1305">
        <f t="shared" si="67"/>
        <v>0</v>
      </c>
      <c r="BX86" s="1305">
        <f t="shared" si="67"/>
        <v>0</v>
      </c>
      <c r="BY86" s="1305">
        <f t="shared" si="67"/>
        <v>0</v>
      </c>
      <c r="BZ86" s="1305">
        <f t="shared" si="67"/>
        <v>0</v>
      </c>
      <c r="CA86" s="1305">
        <f t="shared" si="67"/>
        <v>0</v>
      </c>
      <c r="CB86" s="1305">
        <f t="shared" si="67"/>
        <v>0</v>
      </c>
      <c r="CC86" s="1305">
        <f t="shared" si="67"/>
        <v>0</v>
      </c>
      <c r="CD86" s="1296"/>
      <c r="CE86" s="1296"/>
      <c r="CF86" s="1303"/>
      <c r="CG86" s="1303"/>
    </row>
    <row r="87" spans="1:85">
      <c r="A87" s="261"/>
      <c r="BL87" s="1267" t="s">
        <v>4845</v>
      </c>
      <c r="BM87" s="1303"/>
      <c r="BN87" s="1303"/>
      <c r="BO87" s="1303"/>
      <c r="BP87" s="1303"/>
      <c r="BQ87" s="1303"/>
      <c r="BR87" s="1303"/>
      <c r="BS87" s="1303"/>
      <c r="BT87" s="1303"/>
      <c r="BU87" s="1303"/>
      <c r="BV87" s="1303"/>
      <c r="BW87" s="1303"/>
      <c r="BX87" s="1303"/>
      <c r="BY87" s="1303"/>
      <c r="BZ87" s="1303"/>
      <c r="CA87" s="1303"/>
      <c r="CB87" s="1303"/>
      <c r="CC87" s="1303"/>
      <c r="CD87" s="1303"/>
      <c r="CE87" s="1303"/>
      <c r="CF87" s="1303"/>
      <c r="CG87" s="1303"/>
    </row>
    <row r="88" spans="1:85">
      <c r="A88" s="21"/>
      <c r="BM88" s="1267" t="s">
        <v>4717</v>
      </c>
      <c r="BN88" s="1288" t="b">
        <f t="shared" ref="BN88:CC88" si="68">IF(BN38="&gt;",BN83&gt;BN33,IF(BN38="&gt;=",BN83&gt;=BN33,FALSE))</f>
        <v>0</v>
      </c>
      <c r="BO88" s="1288" t="b">
        <f t="shared" si="68"/>
        <v>0</v>
      </c>
      <c r="BP88" s="1288" t="b">
        <f t="shared" si="68"/>
        <v>0</v>
      </c>
      <c r="BQ88" s="1288" t="b">
        <f t="shared" si="68"/>
        <v>0</v>
      </c>
      <c r="BR88" s="1288" t="b">
        <f t="shared" si="68"/>
        <v>0</v>
      </c>
      <c r="BS88" s="1288" t="b">
        <f t="shared" si="68"/>
        <v>0</v>
      </c>
      <c r="BT88" s="1288" t="b">
        <f t="shared" si="68"/>
        <v>0</v>
      </c>
      <c r="BU88" s="1288" t="b">
        <f t="shared" si="68"/>
        <v>0</v>
      </c>
      <c r="BV88" s="1288" t="b">
        <f t="shared" si="68"/>
        <v>0</v>
      </c>
      <c r="BW88" s="1288" t="b">
        <f t="shared" si="68"/>
        <v>0</v>
      </c>
      <c r="BX88" s="1288" t="b">
        <f t="shared" si="68"/>
        <v>0</v>
      </c>
      <c r="BY88" s="1288" t="b">
        <f t="shared" si="68"/>
        <v>0</v>
      </c>
      <c r="BZ88" s="1288" t="b">
        <f t="shared" si="68"/>
        <v>0</v>
      </c>
      <c r="CA88" s="1288" t="b">
        <f t="shared" si="68"/>
        <v>0</v>
      </c>
      <c r="CB88" s="1288" t="b">
        <f t="shared" si="68"/>
        <v>0</v>
      </c>
      <c r="CC88" s="1288" t="b">
        <f t="shared" si="68"/>
        <v>0</v>
      </c>
      <c r="CD88" s="1269"/>
      <c r="CE88" s="1269"/>
    </row>
    <row r="89" spans="1:85">
      <c r="A89" s="21"/>
      <c r="BM89" s="1267" t="s">
        <v>4715</v>
      </c>
      <c r="BN89" s="1288" t="b">
        <f t="shared" ref="BN89:CC89" si="69">IF(BN39="&gt;",BN84&gt;BN34,IF(BN39="&gt;=",BN84&gt;=BN34,FALSE))</f>
        <v>0</v>
      </c>
      <c r="BO89" s="1288" t="b">
        <f t="shared" si="69"/>
        <v>0</v>
      </c>
      <c r="BP89" s="1288" t="b">
        <f t="shared" si="69"/>
        <v>0</v>
      </c>
      <c r="BQ89" s="1288" t="b">
        <f t="shared" si="69"/>
        <v>0</v>
      </c>
      <c r="BR89" s="1288" t="b">
        <f t="shared" si="69"/>
        <v>0</v>
      </c>
      <c r="BS89" s="1288" t="b">
        <f t="shared" si="69"/>
        <v>0</v>
      </c>
      <c r="BT89" s="1288" t="b">
        <f t="shared" si="69"/>
        <v>0</v>
      </c>
      <c r="BU89" s="1288" t="b">
        <f t="shared" si="69"/>
        <v>0</v>
      </c>
      <c r="BV89" s="1288" t="b">
        <f t="shared" si="69"/>
        <v>0</v>
      </c>
      <c r="BW89" s="1288" t="b">
        <f t="shared" si="69"/>
        <v>0</v>
      </c>
      <c r="BX89" s="1288" t="b">
        <f t="shared" si="69"/>
        <v>0</v>
      </c>
      <c r="BY89" s="1288" t="b">
        <f t="shared" si="69"/>
        <v>0</v>
      </c>
      <c r="BZ89" s="1288" t="b">
        <f t="shared" si="69"/>
        <v>0</v>
      </c>
      <c r="CA89" s="1288" t="b">
        <f t="shared" si="69"/>
        <v>0</v>
      </c>
      <c r="CB89" s="1288" t="b">
        <f t="shared" si="69"/>
        <v>0</v>
      </c>
      <c r="CC89" s="1288" t="b">
        <f t="shared" si="69"/>
        <v>0</v>
      </c>
      <c r="CD89" s="1269"/>
      <c r="CE89" s="1269"/>
    </row>
    <row r="90" spans="1:85">
      <c r="A90" s="21"/>
      <c r="BM90" s="1267" t="s">
        <v>4713</v>
      </c>
      <c r="BN90" s="1288" t="b">
        <f t="shared" ref="BN90:CC90" si="70">IF(BN40="&gt;",BN85&gt;BN35,IF(BN40="&gt;=",BN85&gt;=BN35,FALSE))</f>
        <v>0</v>
      </c>
      <c r="BO90" s="1288" t="b">
        <f t="shared" si="70"/>
        <v>0</v>
      </c>
      <c r="BP90" s="1288" t="b">
        <f t="shared" si="70"/>
        <v>0</v>
      </c>
      <c r="BQ90" s="1288" t="b">
        <f t="shared" si="70"/>
        <v>0</v>
      </c>
      <c r="BR90" s="1288" t="b">
        <f t="shared" si="70"/>
        <v>0</v>
      </c>
      <c r="BS90" s="1288" t="b">
        <f t="shared" si="70"/>
        <v>0</v>
      </c>
      <c r="BT90" s="1288" t="b">
        <f t="shared" si="70"/>
        <v>0</v>
      </c>
      <c r="BU90" s="1288" t="b">
        <f t="shared" si="70"/>
        <v>0</v>
      </c>
      <c r="BV90" s="1288" t="b">
        <f t="shared" si="70"/>
        <v>0</v>
      </c>
      <c r="BW90" s="1288" t="b">
        <f t="shared" si="70"/>
        <v>0</v>
      </c>
      <c r="BX90" s="1288" t="b">
        <f t="shared" si="70"/>
        <v>0</v>
      </c>
      <c r="BY90" s="1288" t="b">
        <f t="shared" si="70"/>
        <v>0</v>
      </c>
      <c r="BZ90" s="1288" t="b">
        <f t="shared" si="70"/>
        <v>0</v>
      </c>
      <c r="CA90" s="1288" t="b">
        <f t="shared" si="70"/>
        <v>0</v>
      </c>
      <c r="CB90" s="1288" t="b">
        <f t="shared" si="70"/>
        <v>0</v>
      </c>
      <c r="CC90" s="1288" t="b">
        <f t="shared" si="70"/>
        <v>0</v>
      </c>
      <c r="CD90" s="1269"/>
      <c r="CE90" s="1269"/>
    </row>
    <row r="91" spans="1:85">
      <c r="A91" s="262"/>
      <c r="BM91" s="1267" t="s">
        <v>4711</v>
      </c>
      <c r="BN91" s="1288" t="b">
        <f t="shared" ref="BN91:CC91" si="71">IF(BN41="&gt;",BN86&gt;BN36,IF(BN41="&gt;=",BN86&gt;=BN36,FALSE))</f>
        <v>0</v>
      </c>
      <c r="BO91" s="1288" t="b">
        <f t="shared" si="71"/>
        <v>0</v>
      </c>
      <c r="BP91" s="1288" t="b">
        <f t="shared" si="71"/>
        <v>0</v>
      </c>
      <c r="BQ91" s="1288" t="b">
        <f t="shared" si="71"/>
        <v>0</v>
      </c>
      <c r="BR91" s="1288" t="b">
        <f t="shared" si="71"/>
        <v>0</v>
      </c>
      <c r="BS91" s="1288" t="b">
        <f t="shared" si="71"/>
        <v>0</v>
      </c>
      <c r="BT91" s="1288" t="b">
        <f t="shared" si="71"/>
        <v>0</v>
      </c>
      <c r="BU91" s="1288" t="b">
        <f t="shared" si="71"/>
        <v>0</v>
      </c>
      <c r="BV91" s="1288" t="b">
        <f t="shared" si="71"/>
        <v>0</v>
      </c>
      <c r="BW91" s="1288" t="b">
        <f t="shared" si="71"/>
        <v>0</v>
      </c>
      <c r="BX91" s="1288" t="b">
        <f t="shared" si="71"/>
        <v>0</v>
      </c>
      <c r="BY91" s="1288" t="b">
        <f t="shared" si="71"/>
        <v>0</v>
      </c>
      <c r="BZ91" s="1288" t="b">
        <f t="shared" si="71"/>
        <v>0</v>
      </c>
      <c r="CA91" s="1288" t="b">
        <f t="shared" si="71"/>
        <v>0</v>
      </c>
      <c r="CB91" s="1288" t="b">
        <f t="shared" si="71"/>
        <v>0</v>
      </c>
      <c r="CC91" s="1288" t="b">
        <f t="shared" si="71"/>
        <v>0</v>
      </c>
      <c r="CD91" s="1269"/>
      <c r="CE91" s="1269"/>
    </row>
    <row r="92" spans="1:85">
      <c r="A92" s="261"/>
      <c r="BL92" s="1267" t="s">
        <v>4701</v>
      </c>
    </row>
    <row r="93" spans="1:85">
      <c r="A93" s="21"/>
      <c r="BN93" s="1288" t="b">
        <f t="shared" ref="BN93:CC93" si="72">AND($BM$71,OR(BN88:BN91,BN75,BN73)*BN81)</f>
        <v>0</v>
      </c>
      <c r="BO93" s="1288" t="b">
        <f t="shared" si="72"/>
        <v>0</v>
      </c>
      <c r="BP93" s="1288" t="b">
        <f t="shared" si="72"/>
        <v>0</v>
      </c>
      <c r="BQ93" s="1288" t="b">
        <f t="shared" si="72"/>
        <v>0</v>
      </c>
      <c r="BR93" s="1288" t="b">
        <f t="shared" si="72"/>
        <v>0</v>
      </c>
      <c r="BS93" s="1288" t="b">
        <f t="shared" si="72"/>
        <v>0</v>
      </c>
      <c r="BT93" s="1288" t="b">
        <f t="shared" si="72"/>
        <v>0</v>
      </c>
      <c r="BU93" s="1288" t="b">
        <f t="shared" si="72"/>
        <v>0</v>
      </c>
      <c r="BV93" s="1288" t="b">
        <f t="shared" si="72"/>
        <v>0</v>
      </c>
      <c r="BW93" s="1288" t="b">
        <f t="shared" si="72"/>
        <v>0</v>
      </c>
      <c r="BX93" s="1288" t="b">
        <f t="shared" si="72"/>
        <v>0</v>
      </c>
      <c r="BY93" s="1288" t="b">
        <f t="shared" si="72"/>
        <v>0</v>
      </c>
      <c r="BZ93" s="1288" t="b">
        <f t="shared" si="72"/>
        <v>0</v>
      </c>
      <c r="CA93" s="1288" t="b">
        <f t="shared" si="72"/>
        <v>0</v>
      </c>
      <c r="CB93" s="1288" t="b">
        <f t="shared" si="72"/>
        <v>0</v>
      </c>
      <c r="CC93" s="1288" t="b">
        <f t="shared" si="72"/>
        <v>0</v>
      </c>
      <c r="CD93" s="1269"/>
      <c r="CE93" s="1269"/>
    </row>
    <row r="94" spans="1:85">
      <c r="A94" s="21"/>
    </row>
    <row r="95" spans="1:85">
      <c r="A95" s="261"/>
      <c r="BL95" s="1267" t="s">
        <v>4695</v>
      </c>
    </row>
    <row r="96" spans="1:85">
      <c r="A96" s="194"/>
      <c r="BN96" s="1269" t="b">
        <v>1</v>
      </c>
      <c r="BO96" s="1269" t="b">
        <v>1</v>
      </c>
      <c r="BP96" s="1269" t="b">
        <v>1</v>
      </c>
      <c r="BQ96" s="1269" t="b">
        <v>1</v>
      </c>
      <c r="BR96" s="1288" t="b">
        <f>$AR$11="旧耐震"</f>
        <v>0</v>
      </c>
      <c r="BS96" s="1288" t="b">
        <f>$AR$11="旧耐震"</f>
        <v>0</v>
      </c>
      <c r="BT96" s="1269" t="b">
        <v>1</v>
      </c>
      <c r="BU96" s="1269" t="b">
        <v>1</v>
      </c>
      <c r="BV96" s="1269" t="b">
        <v>1</v>
      </c>
      <c r="BW96" s="1269" t="b">
        <v>1</v>
      </c>
      <c r="BX96" s="1269" t="b">
        <v>1</v>
      </c>
      <c r="BY96" s="1269" t="b">
        <v>1</v>
      </c>
      <c r="BZ96" s="1269" t="b">
        <v>1</v>
      </c>
      <c r="CA96" s="1269" t="b">
        <v>1</v>
      </c>
      <c r="CB96" s="1269" t="b">
        <v>1</v>
      </c>
      <c r="CC96" s="1269" t="b">
        <v>1</v>
      </c>
      <c r="CD96" s="1269" t="b">
        <v>1</v>
      </c>
      <c r="CE96" s="1269" t="b">
        <v>1</v>
      </c>
    </row>
    <row r="97" spans="1:88">
      <c r="A97" s="194"/>
      <c r="BL97" s="1267" t="s">
        <v>4693</v>
      </c>
    </row>
    <row r="98" spans="1:88">
      <c r="BN98" s="1269" t="b">
        <v>1</v>
      </c>
      <c r="BO98" s="1269" t="b">
        <v>1</v>
      </c>
      <c r="BP98" s="1269" t="b">
        <v>1</v>
      </c>
      <c r="BQ98" s="1269" t="b">
        <v>1</v>
      </c>
      <c r="BR98" s="1269" t="b">
        <v>1</v>
      </c>
      <c r="BS98" s="1269" t="b">
        <v>1</v>
      </c>
      <c r="BT98" s="1269" t="b">
        <v>1</v>
      </c>
      <c r="BU98" s="1269" t="b">
        <v>1</v>
      </c>
      <c r="BV98" s="1269" t="b">
        <v>1</v>
      </c>
      <c r="BW98" s="1269" t="b">
        <v>1</v>
      </c>
      <c r="BX98" s="1269" t="b">
        <v>1</v>
      </c>
      <c r="BY98" s="1269" t="b">
        <v>1</v>
      </c>
      <c r="BZ98" s="1269" t="b">
        <v>1</v>
      </c>
      <c r="CA98" s="1269" t="b">
        <v>1</v>
      </c>
      <c r="CB98" s="1269" t="b">
        <v>1</v>
      </c>
      <c r="CC98" s="1269" t="b">
        <v>1</v>
      </c>
      <c r="CD98" s="1269" t="b">
        <v>1</v>
      </c>
      <c r="CE98" s="1287" t="b">
        <f>AM85</f>
        <v>0</v>
      </c>
    </row>
    <row r="99" spans="1:88">
      <c r="BL99" s="1267" t="s">
        <v>4848</v>
      </c>
    </row>
    <row r="100" spans="1:88">
      <c r="BN100" s="1296">
        <v>1</v>
      </c>
      <c r="BO100" s="1296">
        <v>1</v>
      </c>
      <c r="BP100" s="1296">
        <v>2</v>
      </c>
      <c r="BQ100" s="1296">
        <v>3</v>
      </c>
      <c r="BR100" s="1296">
        <v>4</v>
      </c>
      <c r="BS100" s="1296">
        <v>4</v>
      </c>
      <c r="BT100" s="1296">
        <v>5</v>
      </c>
      <c r="BU100" s="1296">
        <v>5</v>
      </c>
      <c r="BV100" s="1296">
        <v>6</v>
      </c>
      <c r="BW100" s="1296">
        <v>6</v>
      </c>
      <c r="BX100" s="1296">
        <v>6</v>
      </c>
      <c r="BY100" s="1296">
        <v>6</v>
      </c>
      <c r="BZ100" s="1296">
        <v>7</v>
      </c>
      <c r="CA100" s="1296">
        <v>7</v>
      </c>
      <c r="CB100" s="1296">
        <v>8</v>
      </c>
      <c r="CC100" s="1296">
        <v>8</v>
      </c>
      <c r="CD100" s="1296">
        <v>9</v>
      </c>
      <c r="CE100" s="1296">
        <v>10</v>
      </c>
      <c r="CF100" s="1303"/>
    </row>
    <row r="101" spans="1:88">
      <c r="BN101" s="870" t="b">
        <f t="shared" ref="BN101:CE101" si="73">SUMPRODUCT(MAX($BN$59:$CE$59*($BN100:$CE100=BN100)))=BN$59</f>
        <v>1</v>
      </c>
      <c r="BO101" s="870" t="b">
        <f t="shared" si="73"/>
        <v>1</v>
      </c>
      <c r="BP101" s="870" t="b">
        <f t="shared" si="73"/>
        <v>1</v>
      </c>
      <c r="BQ101" s="870" t="b">
        <f t="shared" si="73"/>
        <v>1</v>
      </c>
      <c r="BR101" s="870" t="b">
        <f t="shared" si="73"/>
        <v>1</v>
      </c>
      <c r="BS101" s="870" t="b">
        <f t="shared" si="73"/>
        <v>1</v>
      </c>
      <c r="BT101" s="870" t="b">
        <f t="shared" si="73"/>
        <v>1</v>
      </c>
      <c r="BU101" s="870" t="b">
        <f t="shared" si="73"/>
        <v>1</v>
      </c>
      <c r="BV101" s="870" t="b">
        <f t="shared" si="73"/>
        <v>1</v>
      </c>
      <c r="BW101" s="870" t="b">
        <f t="shared" si="73"/>
        <v>1</v>
      </c>
      <c r="BX101" s="870" t="b">
        <f t="shared" si="73"/>
        <v>1</v>
      </c>
      <c r="BY101" s="870" t="b">
        <f t="shared" si="73"/>
        <v>1</v>
      </c>
      <c r="BZ101" s="870" t="b">
        <f t="shared" si="73"/>
        <v>1</v>
      </c>
      <c r="CA101" s="870" t="b">
        <f t="shared" si="73"/>
        <v>1</v>
      </c>
      <c r="CB101" s="870" t="b">
        <f t="shared" si="73"/>
        <v>1</v>
      </c>
      <c r="CC101" s="870" t="b">
        <f t="shared" si="73"/>
        <v>1</v>
      </c>
      <c r="CD101" s="870" t="b">
        <f t="shared" si="73"/>
        <v>1</v>
      </c>
      <c r="CE101" s="870" t="b">
        <f t="shared" si="73"/>
        <v>1</v>
      </c>
    </row>
    <row r="102" spans="1:88">
      <c r="BN102" s="870">
        <f>BN100*BN101</f>
        <v>1</v>
      </c>
      <c r="BO102" s="870">
        <f t="shared" ref="BO102:CE102" si="74">BO100*BO101</f>
        <v>1</v>
      </c>
      <c r="BP102" s="870">
        <f t="shared" si="74"/>
        <v>2</v>
      </c>
      <c r="BQ102" s="870">
        <f t="shared" si="74"/>
        <v>3</v>
      </c>
      <c r="BR102" s="870">
        <f t="shared" si="74"/>
        <v>4</v>
      </c>
      <c r="BS102" s="870">
        <f t="shared" si="74"/>
        <v>4</v>
      </c>
      <c r="BT102" s="870">
        <f t="shared" si="74"/>
        <v>5</v>
      </c>
      <c r="BU102" s="870">
        <f t="shared" si="74"/>
        <v>5</v>
      </c>
      <c r="BV102" s="870">
        <f t="shared" si="74"/>
        <v>6</v>
      </c>
      <c r="BW102" s="870">
        <f t="shared" si="74"/>
        <v>6</v>
      </c>
      <c r="BX102" s="870">
        <f t="shared" si="74"/>
        <v>6</v>
      </c>
      <c r="BY102" s="870">
        <f t="shared" si="74"/>
        <v>6</v>
      </c>
      <c r="BZ102" s="870">
        <f t="shared" si="74"/>
        <v>7</v>
      </c>
      <c r="CA102" s="870">
        <f t="shared" si="74"/>
        <v>7</v>
      </c>
      <c r="CB102" s="870">
        <f t="shared" si="74"/>
        <v>8</v>
      </c>
      <c r="CC102" s="870">
        <f t="shared" si="74"/>
        <v>8</v>
      </c>
      <c r="CD102" s="870">
        <f t="shared" si="74"/>
        <v>9</v>
      </c>
      <c r="CE102" s="870">
        <f t="shared" si="74"/>
        <v>10</v>
      </c>
    </row>
    <row r="103" spans="1:88">
      <c r="BN103" s="1302" t="b">
        <f t="shared" ref="BN103:CE103" si="75">AND(BN101,MATCH(BN100*BN101,$BN102:$CE102,0)=BN$1)</f>
        <v>1</v>
      </c>
      <c r="BO103" s="1302" t="b">
        <f t="shared" si="75"/>
        <v>0</v>
      </c>
      <c r="BP103" s="1302" t="b">
        <f t="shared" si="75"/>
        <v>1</v>
      </c>
      <c r="BQ103" s="1302" t="b">
        <f t="shared" si="75"/>
        <v>1</v>
      </c>
      <c r="BR103" s="1302" t="b">
        <f t="shared" si="75"/>
        <v>1</v>
      </c>
      <c r="BS103" s="1302" t="b">
        <f t="shared" si="75"/>
        <v>0</v>
      </c>
      <c r="BT103" s="1302" t="b">
        <f t="shared" si="75"/>
        <v>1</v>
      </c>
      <c r="BU103" s="1302" t="b">
        <f t="shared" si="75"/>
        <v>0</v>
      </c>
      <c r="BV103" s="1302" t="b">
        <f t="shared" si="75"/>
        <v>1</v>
      </c>
      <c r="BW103" s="1302" t="b">
        <f t="shared" si="75"/>
        <v>0</v>
      </c>
      <c r="BX103" s="1302" t="b">
        <f t="shared" si="75"/>
        <v>0</v>
      </c>
      <c r="BY103" s="1302" t="b">
        <f t="shared" si="75"/>
        <v>0</v>
      </c>
      <c r="BZ103" s="1302" t="b">
        <f t="shared" si="75"/>
        <v>1</v>
      </c>
      <c r="CA103" s="1302" t="b">
        <f t="shared" si="75"/>
        <v>0</v>
      </c>
      <c r="CB103" s="1302" t="b">
        <f t="shared" si="75"/>
        <v>1</v>
      </c>
      <c r="CC103" s="1302" t="b">
        <f t="shared" si="75"/>
        <v>0</v>
      </c>
      <c r="CD103" s="1302" t="b">
        <f t="shared" si="75"/>
        <v>1</v>
      </c>
      <c r="CE103" s="1302" t="b">
        <f t="shared" si="75"/>
        <v>1</v>
      </c>
    </row>
    <row r="104" spans="1:88">
      <c r="BL104" s="1267" t="s">
        <v>4844</v>
      </c>
    </row>
    <row r="105" spans="1:88">
      <c r="BM105" s="1267" t="s">
        <v>4688</v>
      </c>
      <c r="BN105" s="1288">
        <f t="shared" ref="BN105:CE105" si="76">BN96*BN98*SUMPRODUCT(($BN$100:$CE$100=BN$100)*$BN59:$CE59)*BN$103</f>
        <v>0</v>
      </c>
      <c r="BO105" s="1288">
        <f t="shared" si="76"/>
        <v>0</v>
      </c>
      <c r="BP105" s="1288">
        <f t="shared" si="76"/>
        <v>0</v>
      </c>
      <c r="BQ105" s="1288">
        <f t="shared" si="76"/>
        <v>0</v>
      </c>
      <c r="BR105" s="1288">
        <f t="shared" si="76"/>
        <v>0</v>
      </c>
      <c r="BS105" s="1288">
        <f t="shared" si="76"/>
        <v>0</v>
      </c>
      <c r="BT105" s="1288">
        <f t="shared" si="76"/>
        <v>0</v>
      </c>
      <c r="BU105" s="1288">
        <f t="shared" si="76"/>
        <v>0</v>
      </c>
      <c r="BV105" s="1288">
        <f t="shared" si="76"/>
        <v>0</v>
      </c>
      <c r="BW105" s="1288">
        <f t="shared" si="76"/>
        <v>0</v>
      </c>
      <c r="BX105" s="1288">
        <f t="shared" si="76"/>
        <v>0</v>
      </c>
      <c r="BY105" s="1288">
        <f t="shared" si="76"/>
        <v>0</v>
      </c>
      <c r="BZ105" s="1288">
        <f t="shared" si="76"/>
        <v>0</v>
      </c>
      <c r="CA105" s="1288">
        <f t="shared" si="76"/>
        <v>0</v>
      </c>
      <c r="CB105" s="1288">
        <f t="shared" si="76"/>
        <v>0</v>
      </c>
      <c r="CC105" s="1288">
        <f t="shared" si="76"/>
        <v>0</v>
      </c>
      <c r="CD105" s="1288">
        <f t="shared" si="76"/>
        <v>0</v>
      </c>
      <c r="CE105" s="1288">
        <f t="shared" si="76"/>
        <v>0</v>
      </c>
      <c r="CH105" s="1288">
        <f>SUM(BN105:CE105)</f>
        <v>0</v>
      </c>
    </row>
    <row r="106" spans="1:88">
      <c r="BL106" s="1267" t="s">
        <v>4846</v>
      </c>
    </row>
    <row r="107" spans="1:88">
      <c r="BM107" s="1267" t="s">
        <v>4688</v>
      </c>
      <c r="BN107" s="1288" t="b">
        <f t="shared" ref="BN107:CE107" si="77">IF(BN45="&gt;",BN105&gt;BN43,IF(BN45="&gt;=",BN105&gt;=BN43,FALSE))</f>
        <v>0</v>
      </c>
      <c r="BO107" s="1288" t="b">
        <f t="shared" si="77"/>
        <v>0</v>
      </c>
      <c r="BP107" s="1288" t="b">
        <f t="shared" si="77"/>
        <v>0</v>
      </c>
      <c r="BQ107" s="1288" t="b">
        <f t="shared" si="77"/>
        <v>0</v>
      </c>
      <c r="BR107" s="1288" t="b">
        <f t="shared" si="77"/>
        <v>0</v>
      </c>
      <c r="BS107" s="1288" t="b">
        <f t="shared" si="77"/>
        <v>0</v>
      </c>
      <c r="BT107" s="1288" t="b">
        <f t="shared" si="77"/>
        <v>0</v>
      </c>
      <c r="BU107" s="1288" t="b">
        <f t="shared" si="77"/>
        <v>0</v>
      </c>
      <c r="BV107" s="1288" t="b">
        <f t="shared" si="77"/>
        <v>0</v>
      </c>
      <c r="BW107" s="1288" t="b">
        <f t="shared" si="77"/>
        <v>0</v>
      </c>
      <c r="BX107" s="1288" t="b">
        <f t="shared" si="77"/>
        <v>0</v>
      </c>
      <c r="BY107" s="1288" t="b">
        <f t="shared" si="77"/>
        <v>0</v>
      </c>
      <c r="BZ107" s="1288" t="b">
        <f t="shared" si="77"/>
        <v>0</v>
      </c>
      <c r="CA107" s="1288" t="b">
        <f t="shared" si="77"/>
        <v>0</v>
      </c>
      <c r="CB107" s="1288" t="b">
        <f t="shared" si="77"/>
        <v>0</v>
      </c>
      <c r="CC107" s="1288" t="b">
        <f t="shared" si="77"/>
        <v>0</v>
      </c>
      <c r="CD107" s="1288" t="b">
        <f t="shared" si="77"/>
        <v>0</v>
      </c>
      <c r="CE107" s="1288" t="b">
        <f t="shared" si="77"/>
        <v>0</v>
      </c>
      <c r="CH107" s="1288" t="b">
        <f>IF(CH45="&gt;",CH105&gt;CH43,IF(CH45="&gt;=",CH105&gt;=CH43,FALSE))</f>
        <v>0</v>
      </c>
    </row>
    <row r="109" spans="1:88">
      <c r="BL109" s="1267" t="s">
        <v>4678</v>
      </c>
    </row>
    <row r="110" spans="1:88">
      <c r="BM110" s="1267" t="s">
        <v>4849</v>
      </c>
      <c r="BN110" s="1288" t="b">
        <f t="shared" ref="BN110:CC110" si="78">AND($BM67,BN$93)</f>
        <v>0</v>
      </c>
      <c r="BO110" s="1288" t="b">
        <f t="shared" si="78"/>
        <v>0</v>
      </c>
      <c r="BP110" s="1288" t="b">
        <f t="shared" si="78"/>
        <v>0</v>
      </c>
      <c r="BQ110" s="1288" t="b">
        <f t="shared" si="78"/>
        <v>0</v>
      </c>
      <c r="BR110" s="1288" t="b">
        <f t="shared" si="78"/>
        <v>0</v>
      </c>
      <c r="BS110" s="1288" t="b">
        <f t="shared" si="78"/>
        <v>0</v>
      </c>
      <c r="BT110" s="1288" t="b">
        <f t="shared" si="78"/>
        <v>0</v>
      </c>
      <c r="BU110" s="1288" t="b">
        <f t="shared" si="78"/>
        <v>0</v>
      </c>
      <c r="BV110" s="1288" t="b">
        <f t="shared" si="78"/>
        <v>0</v>
      </c>
      <c r="BW110" s="1288" t="b">
        <f t="shared" si="78"/>
        <v>0</v>
      </c>
      <c r="BX110" s="1288" t="b">
        <f t="shared" si="78"/>
        <v>0</v>
      </c>
      <c r="BY110" s="1288" t="b">
        <f t="shared" si="78"/>
        <v>0</v>
      </c>
      <c r="BZ110" s="1288" t="b">
        <f t="shared" si="78"/>
        <v>0</v>
      </c>
      <c r="CA110" s="1288" t="b">
        <f t="shared" si="78"/>
        <v>0</v>
      </c>
      <c r="CB110" s="1288" t="b">
        <f t="shared" si="78"/>
        <v>0</v>
      </c>
      <c r="CC110" s="1288" t="b">
        <f t="shared" si="78"/>
        <v>0</v>
      </c>
      <c r="CD110" s="1269" t="b">
        <v>0</v>
      </c>
      <c r="CE110" s="1269" t="b">
        <v>0</v>
      </c>
      <c r="CF110" s="1269"/>
      <c r="CG110" s="1269"/>
      <c r="CH110" s="1269" t="b">
        <v>0</v>
      </c>
      <c r="CJ110" s="381" t="s">
        <v>4853</v>
      </c>
    </row>
    <row r="111" spans="1:88">
      <c r="BM111" s="1267" t="s">
        <v>4850</v>
      </c>
      <c r="BN111" s="1288" t="str">
        <f t="shared" ref="BN111:CC111" si="79">IF(BN110,BN$2,"")</f>
        <v/>
      </c>
      <c r="BO111" s="1288" t="str">
        <f t="shared" si="79"/>
        <v/>
      </c>
      <c r="BP111" s="1288" t="str">
        <f t="shared" si="79"/>
        <v/>
      </c>
      <c r="BQ111" s="1288" t="str">
        <f t="shared" si="79"/>
        <v/>
      </c>
      <c r="BR111" s="1288" t="str">
        <f t="shared" si="79"/>
        <v/>
      </c>
      <c r="BS111" s="1288" t="str">
        <f t="shared" si="79"/>
        <v/>
      </c>
      <c r="BT111" s="1288" t="str">
        <f t="shared" si="79"/>
        <v/>
      </c>
      <c r="BU111" s="1288" t="str">
        <f t="shared" si="79"/>
        <v/>
      </c>
      <c r="BV111" s="1288" t="str">
        <f t="shared" si="79"/>
        <v/>
      </c>
      <c r="BW111" s="1288" t="str">
        <f t="shared" si="79"/>
        <v/>
      </c>
      <c r="BX111" s="1288" t="str">
        <f t="shared" si="79"/>
        <v/>
      </c>
      <c r="BY111" s="1288" t="str">
        <f t="shared" si="79"/>
        <v/>
      </c>
      <c r="BZ111" s="1288" t="str">
        <f t="shared" si="79"/>
        <v/>
      </c>
      <c r="CA111" s="1288" t="str">
        <f t="shared" si="79"/>
        <v/>
      </c>
      <c r="CB111" s="1288" t="str">
        <f t="shared" si="79"/>
        <v/>
      </c>
      <c r="CC111" s="1288" t="str">
        <f t="shared" si="79"/>
        <v/>
      </c>
      <c r="CD111" s="1269"/>
      <c r="CE111" s="1269"/>
      <c r="CF111" s="1269"/>
      <c r="CG111" s="1269"/>
      <c r="CH111" s="1269"/>
      <c r="CJ111" s="870" t="str">
        <f>CONCATENATE(BN111,BO111,BP111,BQ111,BR111,BS111,BT111,BU111,BV111,BW111,BX111,BY111,BZ111,CA111,CB111,CC111,CD111,CE111,CF111,CG111,CH111)</f>
        <v/>
      </c>
    </row>
    <row r="112" spans="1:88">
      <c r="BL112" s="1267" t="s">
        <v>4687</v>
      </c>
    </row>
    <row r="113" spans="64:88">
      <c r="BM113" s="1267" t="s">
        <v>4849</v>
      </c>
      <c r="BN113" s="1288" t="b">
        <f t="shared" ref="BN113:CC113" si="80">AND($BM69,BN$93)</f>
        <v>0</v>
      </c>
      <c r="BO113" s="1288" t="b">
        <f t="shared" si="80"/>
        <v>0</v>
      </c>
      <c r="BP113" s="1288" t="b">
        <f t="shared" si="80"/>
        <v>0</v>
      </c>
      <c r="BQ113" s="1288" t="b">
        <f t="shared" si="80"/>
        <v>0</v>
      </c>
      <c r="BR113" s="1288" t="b">
        <f t="shared" si="80"/>
        <v>0</v>
      </c>
      <c r="BS113" s="1288" t="b">
        <f t="shared" si="80"/>
        <v>0</v>
      </c>
      <c r="BT113" s="1288" t="b">
        <f t="shared" si="80"/>
        <v>0</v>
      </c>
      <c r="BU113" s="1288" t="b">
        <f t="shared" si="80"/>
        <v>0</v>
      </c>
      <c r="BV113" s="1288" t="b">
        <f t="shared" si="80"/>
        <v>0</v>
      </c>
      <c r="BW113" s="1288" t="b">
        <f t="shared" si="80"/>
        <v>0</v>
      </c>
      <c r="BX113" s="1288" t="b">
        <f t="shared" si="80"/>
        <v>0</v>
      </c>
      <c r="BY113" s="1288" t="b">
        <f t="shared" si="80"/>
        <v>0</v>
      </c>
      <c r="BZ113" s="1288" t="b">
        <f t="shared" si="80"/>
        <v>0</v>
      </c>
      <c r="CA113" s="1288" t="b">
        <f t="shared" si="80"/>
        <v>0</v>
      </c>
      <c r="CB113" s="1288" t="b">
        <f t="shared" si="80"/>
        <v>0</v>
      </c>
      <c r="CC113" s="1288" t="b">
        <f t="shared" si="80"/>
        <v>0</v>
      </c>
      <c r="CD113" s="1269" t="b">
        <v>0</v>
      </c>
      <c r="CE113" s="1269" t="b">
        <v>0</v>
      </c>
      <c r="CF113" s="1269"/>
      <c r="CG113" s="1269"/>
      <c r="CH113" s="1269" t="b">
        <v>0</v>
      </c>
      <c r="CJ113" s="381" t="s">
        <v>4854</v>
      </c>
    </row>
    <row r="114" spans="64:88">
      <c r="BM114" s="1267" t="s">
        <v>4850</v>
      </c>
      <c r="BN114" s="1288" t="str">
        <f t="shared" ref="BN114:CC114" si="81">IF(BN113,BN$2,"")</f>
        <v/>
      </c>
      <c r="BO114" s="1288" t="str">
        <f t="shared" si="81"/>
        <v/>
      </c>
      <c r="BP114" s="1288" t="str">
        <f t="shared" si="81"/>
        <v/>
      </c>
      <c r="BQ114" s="1288" t="str">
        <f t="shared" si="81"/>
        <v/>
      </c>
      <c r="BR114" s="1288" t="str">
        <f t="shared" si="81"/>
        <v/>
      </c>
      <c r="BS114" s="1288" t="str">
        <f t="shared" si="81"/>
        <v/>
      </c>
      <c r="BT114" s="1288" t="str">
        <f t="shared" si="81"/>
        <v/>
      </c>
      <c r="BU114" s="1288" t="str">
        <f t="shared" si="81"/>
        <v/>
      </c>
      <c r="BV114" s="1288" t="str">
        <f t="shared" si="81"/>
        <v/>
      </c>
      <c r="BW114" s="1288" t="str">
        <f t="shared" si="81"/>
        <v/>
      </c>
      <c r="BX114" s="1288" t="str">
        <f t="shared" si="81"/>
        <v/>
      </c>
      <c r="BY114" s="1288" t="str">
        <f t="shared" si="81"/>
        <v/>
      </c>
      <c r="BZ114" s="1288" t="str">
        <f t="shared" si="81"/>
        <v/>
      </c>
      <c r="CA114" s="1288" t="str">
        <f t="shared" si="81"/>
        <v/>
      </c>
      <c r="CB114" s="1288" t="str">
        <f t="shared" si="81"/>
        <v/>
      </c>
      <c r="CC114" s="1288" t="str">
        <f t="shared" si="81"/>
        <v/>
      </c>
      <c r="CD114" s="1269"/>
      <c r="CE114" s="1269"/>
      <c r="CF114" s="1269"/>
      <c r="CG114" s="1269"/>
      <c r="CH114" s="1269"/>
      <c r="CJ114" s="870" t="str">
        <f>CONCATENATE(BN114,BO114,BP114,BQ114,BR114,BS114,BT114,BU114,BV114,BW114,BX114,BY114,BZ114,CA114,CB114,CC114,CD114,CE114,CF114,CG114,CH114)</f>
        <v/>
      </c>
    </row>
    <row r="115" spans="64:88">
      <c r="BL115" s="1267" t="s">
        <v>4686</v>
      </c>
    </row>
    <row r="116" spans="64:88">
      <c r="BM116" s="1267" t="s">
        <v>4849</v>
      </c>
      <c r="BN116" s="1287" t="b">
        <f t="shared" ref="BN116:CE116" si="82">BN107</f>
        <v>0</v>
      </c>
      <c r="BO116" s="1287" t="b">
        <f t="shared" si="82"/>
        <v>0</v>
      </c>
      <c r="BP116" s="1287" t="b">
        <f t="shared" si="82"/>
        <v>0</v>
      </c>
      <c r="BQ116" s="1287" t="b">
        <f t="shared" si="82"/>
        <v>0</v>
      </c>
      <c r="BR116" s="1287" t="b">
        <f t="shared" si="82"/>
        <v>0</v>
      </c>
      <c r="BS116" s="1287" t="b">
        <f t="shared" si="82"/>
        <v>0</v>
      </c>
      <c r="BT116" s="1287" t="b">
        <f t="shared" si="82"/>
        <v>0</v>
      </c>
      <c r="BU116" s="1287" t="b">
        <f t="shared" si="82"/>
        <v>0</v>
      </c>
      <c r="BV116" s="1287" t="b">
        <f t="shared" si="82"/>
        <v>0</v>
      </c>
      <c r="BW116" s="1287" t="b">
        <f t="shared" si="82"/>
        <v>0</v>
      </c>
      <c r="BX116" s="1287" t="b">
        <f t="shared" si="82"/>
        <v>0</v>
      </c>
      <c r="BY116" s="1287" t="b">
        <f t="shared" si="82"/>
        <v>0</v>
      </c>
      <c r="BZ116" s="1287" t="b">
        <f t="shared" si="82"/>
        <v>0</v>
      </c>
      <c r="CA116" s="1287" t="b">
        <f t="shared" si="82"/>
        <v>0</v>
      </c>
      <c r="CB116" s="1287" t="b">
        <f t="shared" si="82"/>
        <v>0</v>
      </c>
      <c r="CC116" s="1287" t="b">
        <f t="shared" si="82"/>
        <v>0</v>
      </c>
      <c r="CD116" s="1287" t="b">
        <f t="shared" si="82"/>
        <v>0</v>
      </c>
      <c r="CE116" s="1287" t="b">
        <f t="shared" si="82"/>
        <v>0</v>
      </c>
      <c r="CF116" s="1269"/>
      <c r="CG116" s="1269"/>
      <c r="CH116" s="1287" t="b">
        <f>CH107</f>
        <v>0</v>
      </c>
      <c r="CJ116" s="381" t="s">
        <v>4855</v>
      </c>
    </row>
    <row r="117" spans="64:88">
      <c r="BM117" s="1267" t="s">
        <v>4850</v>
      </c>
      <c r="BN117" s="1288" t="str">
        <f t="shared" ref="BN117:CE117" si="83">IF(BN116,BN$2,"")</f>
        <v/>
      </c>
      <c r="BO117" s="1288" t="str">
        <f t="shared" si="83"/>
        <v/>
      </c>
      <c r="BP117" s="1288" t="str">
        <f t="shared" si="83"/>
        <v/>
      </c>
      <c r="BQ117" s="1288" t="str">
        <f t="shared" si="83"/>
        <v/>
      </c>
      <c r="BR117" s="1288" t="str">
        <f t="shared" si="83"/>
        <v/>
      </c>
      <c r="BS117" s="1288" t="str">
        <f t="shared" si="83"/>
        <v/>
      </c>
      <c r="BT117" s="1288" t="str">
        <f t="shared" si="83"/>
        <v/>
      </c>
      <c r="BU117" s="1288" t="str">
        <f t="shared" si="83"/>
        <v/>
      </c>
      <c r="BV117" s="1288" t="str">
        <f t="shared" si="83"/>
        <v/>
      </c>
      <c r="BW117" s="1288" t="str">
        <f t="shared" si="83"/>
        <v/>
      </c>
      <c r="BX117" s="1288" t="str">
        <f t="shared" si="83"/>
        <v/>
      </c>
      <c r="BY117" s="1288" t="str">
        <f t="shared" si="83"/>
        <v/>
      </c>
      <c r="BZ117" s="1288" t="str">
        <f t="shared" si="83"/>
        <v/>
      </c>
      <c r="CA117" s="1288" t="str">
        <f t="shared" si="83"/>
        <v/>
      </c>
      <c r="CB117" s="1288" t="str">
        <f t="shared" si="83"/>
        <v/>
      </c>
      <c r="CC117" s="1288" t="str">
        <f t="shared" si="83"/>
        <v/>
      </c>
      <c r="CD117" s="1288" t="str">
        <f t="shared" si="83"/>
        <v/>
      </c>
      <c r="CE117" s="1288" t="str">
        <f t="shared" si="83"/>
        <v/>
      </c>
      <c r="CF117" s="1269"/>
      <c r="CG117" s="1269"/>
      <c r="CH117" s="1288" t="str">
        <f>IF(CH116,CH$2,"")</f>
        <v/>
      </c>
      <c r="CJ117" s="870" t="str">
        <f>CONCATENATE(BN117,BO117,BP117,BQ117,BR117,BS117,BT117,BU117,BV117,BW117,BX117,BY117,BZ117,CA117,CB117,CC117,CD117,CE117,CF117,CG117,CH117)</f>
        <v/>
      </c>
    </row>
    <row r="118" spans="64:88">
      <c r="BL118" s="1267" t="s">
        <v>4685</v>
      </c>
    </row>
    <row r="119" spans="64:88">
      <c r="BM119" s="1267" t="s">
        <v>4849</v>
      </c>
      <c r="BN119" s="1288" t="b">
        <f t="shared" ref="BN119:CE119" si="84">OR(BN113,BN116)</f>
        <v>0</v>
      </c>
      <c r="BO119" s="1288" t="b">
        <f t="shared" si="84"/>
        <v>0</v>
      </c>
      <c r="BP119" s="1288" t="b">
        <f t="shared" si="84"/>
        <v>0</v>
      </c>
      <c r="BQ119" s="1288" t="b">
        <f t="shared" si="84"/>
        <v>0</v>
      </c>
      <c r="BR119" s="1288" t="b">
        <f t="shared" si="84"/>
        <v>0</v>
      </c>
      <c r="BS119" s="1288" t="b">
        <f t="shared" si="84"/>
        <v>0</v>
      </c>
      <c r="BT119" s="1288" t="b">
        <f t="shared" si="84"/>
        <v>0</v>
      </c>
      <c r="BU119" s="1288" t="b">
        <f t="shared" si="84"/>
        <v>0</v>
      </c>
      <c r="BV119" s="1288" t="b">
        <f t="shared" si="84"/>
        <v>0</v>
      </c>
      <c r="BW119" s="1288" t="b">
        <f t="shared" si="84"/>
        <v>0</v>
      </c>
      <c r="BX119" s="1288" t="b">
        <f t="shared" si="84"/>
        <v>0</v>
      </c>
      <c r="BY119" s="1288" t="b">
        <f t="shared" si="84"/>
        <v>0</v>
      </c>
      <c r="BZ119" s="1288" t="b">
        <f t="shared" si="84"/>
        <v>0</v>
      </c>
      <c r="CA119" s="1288" t="b">
        <f t="shared" si="84"/>
        <v>0</v>
      </c>
      <c r="CB119" s="1288" t="b">
        <f t="shared" si="84"/>
        <v>0</v>
      </c>
      <c r="CC119" s="1288" t="b">
        <f t="shared" si="84"/>
        <v>0</v>
      </c>
      <c r="CD119" s="1288" t="b">
        <f t="shared" si="84"/>
        <v>0</v>
      </c>
      <c r="CE119" s="1288" t="b">
        <f t="shared" si="84"/>
        <v>0</v>
      </c>
      <c r="CF119" s="1269"/>
      <c r="CG119" s="1269"/>
      <c r="CH119" s="1288" t="b">
        <f>OR(CH113,CH116)</f>
        <v>0</v>
      </c>
      <c r="CJ119" s="381" t="s">
        <v>4856</v>
      </c>
    </row>
    <row r="120" spans="64:88">
      <c r="BM120" s="1267" t="s">
        <v>4850</v>
      </c>
      <c r="BN120" s="1288" t="str">
        <f t="shared" ref="BN120:CE120" si="85">IF(BN119,BN$2,"")</f>
        <v/>
      </c>
      <c r="BO120" s="1288" t="str">
        <f t="shared" si="85"/>
        <v/>
      </c>
      <c r="BP120" s="1288" t="str">
        <f t="shared" si="85"/>
        <v/>
      </c>
      <c r="BQ120" s="1288" t="str">
        <f t="shared" si="85"/>
        <v/>
      </c>
      <c r="BR120" s="1288" t="str">
        <f t="shared" si="85"/>
        <v/>
      </c>
      <c r="BS120" s="1288" t="str">
        <f t="shared" si="85"/>
        <v/>
      </c>
      <c r="BT120" s="1288" t="str">
        <f t="shared" si="85"/>
        <v/>
      </c>
      <c r="BU120" s="1288" t="str">
        <f t="shared" si="85"/>
        <v/>
      </c>
      <c r="BV120" s="1288" t="str">
        <f t="shared" si="85"/>
        <v/>
      </c>
      <c r="BW120" s="1288" t="str">
        <f t="shared" si="85"/>
        <v/>
      </c>
      <c r="BX120" s="1288" t="str">
        <f t="shared" si="85"/>
        <v/>
      </c>
      <c r="BY120" s="1288" t="str">
        <f t="shared" si="85"/>
        <v/>
      </c>
      <c r="BZ120" s="1288" t="str">
        <f t="shared" si="85"/>
        <v/>
      </c>
      <c r="CA120" s="1288" t="str">
        <f t="shared" si="85"/>
        <v/>
      </c>
      <c r="CB120" s="1288" t="str">
        <f t="shared" si="85"/>
        <v/>
      </c>
      <c r="CC120" s="1288" t="str">
        <f t="shared" si="85"/>
        <v/>
      </c>
      <c r="CD120" s="1288" t="str">
        <f t="shared" si="85"/>
        <v/>
      </c>
      <c r="CE120" s="1288" t="str">
        <f t="shared" si="85"/>
        <v/>
      </c>
      <c r="CF120" s="1269"/>
      <c r="CG120" s="1269"/>
      <c r="CH120" s="1288" t="str">
        <f>IF(CH119,CH$2,"")</f>
        <v/>
      </c>
      <c r="CJ120" s="870" t="str">
        <f>CONCATENATE(BN120,BO120,BP120,BQ120,BR120,BS120,BT120,BU120,BV120,BW120,BX120,BY120,BZ120,CA120,CB120,CC120,CD120,CE120,CF120,CG120,CH120)</f>
        <v/>
      </c>
    </row>
    <row r="121" spans="64:88">
      <c r="BL121" s="1267" t="s">
        <v>4851</v>
      </c>
    </row>
    <row r="122" spans="64:88">
      <c r="BM122" s="1267" t="s">
        <v>4849</v>
      </c>
      <c r="BN122" s="1288" t="b">
        <f t="shared" ref="BN122:CE122" si="86">OR(BN110,BN119)</f>
        <v>0</v>
      </c>
      <c r="BO122" s="1288" t="b">
        <f t="shared" si="86"/>
        <v>0</v>
      </c>
      <c r="BP122" s="1288" t="b">
        <f t="shared" si="86"/>
        <v>0</v>
      </c>
      <c r="BQ122" s="1288" t="b">
        <f t="shared" si="86"/>
        <v>0</v>
      </c>
      <c r="BR122" s="1288" t="b">
        <f t="shared" si="86"/>
        <v>0</v>
      </c>
      <c r="BS122" s="1288" t="b">
        <f t="shared" si="86"/>
        <v>0</v>
      </c>
      <c r="BT122" s="1288" t="b">
        <f t="shared" si="86"/>
        <v>0</v>
      </c>
      <c r="BU122" s="1288" t="b">
        <f t="shared" si="86"/>
        <v>0</v>
      </c>
      <c r="BV122" s="1288" t="b">
        <f t="shared" si="86"/>
        <v>0</v>
      </c>
      <c r="BW122" s="1288" t="b">
        <f t="shared" si="86"/>
        <v>0</v>
      </c>
      <c r="BX122" s="1288" t="b">
        <f t="shared" si="86"/>
        <v>0</v>
      </c>
      <c r="BY122" s="1288" t="b">
        <f t="shared" si="86"/>
        <v>0</v>
      </c>
      <c r="BZ122" s="1288" t="b">
        <f t="shared" si="86"/>
        <v>0</v>
      </c>
      <c r="CA122" s="1288" t="b">
        <f t="shared" si="86"/>
        <v>0</v>
      </c>
      <c r="CB122" s="1288" t="b">
        <f t="shared" si="86"/>
        <v>0</v>
      </c>
      <c r="CC122" s="1288" t="b">
        <f t="shared" si="86"/>
        <v>0</v>
      </c>
      <c r="CD122" s="1288" t="b">
        <f t="shared" si="86"/>
        <v>0</v>
      </c>
      <c r="CE122" s="1288" t="b">
        <f t="shared" si="86"/>
        <v>0</v>
      </c>
      <c r="CF122" s="1269"/>
      <c r="CG122" s="1269"/>
      <c r="CH122" s="1288" t="b">
        <f>OR(CH110,CH119)</f>
        <v>0</v>
      </c>
      <c r="CJ122" s="381" t="s">
        <v>4857</v>
      </c>
    </row>
    <row r="123" spans="64:88">
      <c r="BM123" s="1267" t="s">
        <v>4850</v>
      </c>
      <c r="BN123" s="1288" t="str">
        <f t="shared" ref="BN123:CE123" si="87">IF(BN122,BN$2,"")</f>
        <v/>
      </c>
      <c r="BO123" s="1288" t="str">
        <f t="shared" si="87"/>
        <v/>
      </c>
      <c r="BP123" s="1288" t="str">
        <f t="shared" si="87"/>
        <v/>
      </c>
      <c r="BQ123" s="1288" t="str">
        <f t="shared" si="87"/>
        <v/>
      </c>
      <c r="BR123" s="1288" t="str">
        <f t="shared" si="87"/>
        <v/>
      </c>
      <c r="BS123" s="1288" t="str">
        <f t="shared" si="87"/>
        <v/>
      </c>
      <c r="BT123" s="1288" t="str">
        <f t="shared" si="87"/>
        <v/>
      </c>
      <c r="BU123" s="1288" t="str">
        <f t="shared" si="87"/>
        <v/>
      </c>
      <c r="BV123" s="1288" t="str">
        <f t="shared" si="87"/>
        <v/>
      </c>
      <c r="BW123" s="1288" t="str">
        <f t="shared" si="87"/>
        <v/>
      </c>
      <c r="BX123" s="1288" t="str">
        <f t="shared" si="87"/>
        <v/>
      </c>
      <c r="BY123" s="1288" t="str">
        <f t="shared" si="87"/>
        <v/>
      </c>
      <c r="BZ123" s="1288" t="str">
        <f t="shared" si="87"/>
        <v/>
      </c>
      <c r="CA123" s="1288" t="str">
        <f t="shared" si="87"/>
        <v/>
      </c>
      <c r="CB123" s="1288" t="str">
        <f t="shared" si="87"/>
        <v/>
      </c>
      <c r="CC123" s="1288" t="str">
        <f t="shared" si="87"/>
        <v/>
      </c>
      <c r="CD123" s="1288" t="str">
        <f t="shared" si="87"/>
        <v/>
      </c>
      <c r="CE123" s="1288" t="str">
        <f t="shared" si="87"/>
        <v/>
      </c>
      <c r="CF123" s="1269"/>
      <c r="CG123" s="1269"/>
      <c r="CH123" s="1288" t="str">
        <f>IF(CH122,CH$2,"")</f>
        <v/>
      </c>
      <c r="CJ123" s="870" t="str">
        <f>CONCATENATE(BN123,BO123,BP123,BQ123,BR123,BS123,BT123,BU123,BV123,BW123,BX123,BY123,BZ123,CA123,CB123,CC123,CD123,CE123,CF123,CG123,CH123)</f>
        <v/>
      </c>
    </row>
    <row r="124" spans="64:88">
      <c r="BL124" s="1267" t="s">
        <v>4684</v>
      </c>
    </row>
    <row r="125" spans="64:88">
      <c r="BM125" s="1267" t="s">
        <v>4885</v>
      </c>
      <c r="BN125" s="1288" t="str">
        <f>IF(BN122,LEFT(BN2,1),"")</f>
        <v/>
      </c>
      <c r="BO125" s="1288" t="str">
        <f t="shared" ref="BO125:CE125" si="88">IF(BO122,LEFT(BO2,1),"")</f>
        <v/>
      </c>
      <c r="BP125" s="1288" t="str">
        <f t="shared" si="88"/>
        <v/>
      </c>
      <c r="BQ125" s="1288" t="str">
        <f t="shared" si="88"/>
        <v/>
      </c>
      <c r="BR125" s="1288" t="str">
        <f t="shared" si="88"/>
        <v/>
      </c>
      <c r="BS125" s="1288" t="str">
        <f t="shared" si="88"/>
        <v/>
      </c>
      <c r="BT125" s="1288" t="str">
        <f t="shared" si="88"/>
        <v/>
      </c>
      <c r="BU125" s="1288" t="str">
        <f t="shared" si="88"/>
        <v/>
      </c>
      <c r="BV125" s="1288" t="str">
        <f t="shared" si="88"/>
        <v/>
      </c>
      <c r="BW125" s="1288" t="str">
        <f t="shared" si="88"/>
        <v/>
      </c>
      <c r="BX125" s="1288" t="str">
        <f t="shared" si="88"/>
        <v/>
      </c>
      <c r="BY125" s="1288" t="str">
        <f t="shared" si="88"/>
        <v/>
      </c>
      <c r="BZ125" s="1288" t="str">
        <f t="shared" si="88"/>
        <v/>
      </c>
      <c r="CA125" s="1288" t="str">
        <f t="shared" si="88"/>
        <v/>
      </c>
      <c r="CB125" s="1288" t="str">
        <f t="shared" si="88"/>
        <v/>
      </c>
      <c r="CC125" s="1288" t="str">
        <f t="shared" si="88"/>
        <v/>
      </c>
      <c r="CD125" s="1288" t="str">
        <f t="shared" si="88"/>
        <v/>
      </c>
      <c r="CE125" s="1288" t="str">
        <f t="shared" si="88"/>
        <v/>
      </c>
      <c r="CF125" s="1269"/>
      <c r="CG125" s="1269"/>
      <c r="CH125" s="1288" t="str">
        <f t="shared" ref="CH125" si="89">IF(CH122,LEFT(CH2,1),"")</f>
        <v/>
      </c>
      <c r="CJ125" s="381" t="s">
        <v>5669</v>
      </c>
    </row>
    <row r="126" spans="64:88">
      <c r="BM126" s="1267" t="s">
        <v>4886</v>
      </c>
      <c r="BN126" s="1288" t="str">
        <f>IF(BN122,BN125&amp;" / ","")</f>
        <v/>
      </c>
      <c r="BO126" s="1288" t="str">
        <f t="shared" ref="BO126:CE126" si="90">IF(BO122,BO125&amp;" / ","")</f>
        <v/>
      </c>
      <c r="BP126" s="1288" t="str">
        <f t="shared" si="90"/>
        <v/>
      </c>
      <c r="BQ126" s="1288" t="str">
        <f t="shared" si="90"/>
        <v/>
      </c>
      <c r="BR126" s="1288" t="str">
        <f t="shared" si="90"/>
        <v/>
      </c>
      <c r="BS126" s="1288" t="str">
        <f t="shared" si="90"/>
        <v/>
      </c>
      <c r="BT126" s="1288" t="str">
        <f t="shared" si="90"/>
        <v/>
      </c>
      <c r="BU126" s="1288" t="str">
        <f t="shared" si="90"/>
        <v/>
      </c>
      <c r="BV126" s="1288" t="str">
        <f t="shared" si="90"/>
        <v/>
      </c>
      <c r="BW126" s="1288" t="str">
        <f t="shared" si="90"/>
        <v/>
      </c>
      <c r="BX126" s="1288" t="str">
        <f t="shared" si="90"/>
        <v/>
      </c>
      <c r="BY126" s="1288" t="str">
        <f t="shared" si="90"/>
        <v/>
      </c>
      <c r="BZ126" s="1288" t="str">
        <f t="shared" si="90"/>
        <v/>
      </c>
      <c r="CA126" s="1288" t="str">
        <f t="shared" si="90"/>
        <v/>
      </c>
      <c r="CB126" s="1288" t="str">
        <f t="shared" si="90"/>
        <v/>
      </c>
      <c r="CC126" s="1288" t="str">
        <f t="shared" si="90"/>
        <v/>
      </c>
      <c r="CD126" s="1288" t="str">
        <f t="shared" si="90"/>
        <v/>
      </c>
      <c r="CE126" s="1288" t="str">
        <f t="shared" si="90"/>
        <v/>
      </c>
      <c r="CF126" s="1269"/>
      <c r="CG126" s="1269"/>
      <c r="CH126" s="1288" t="str">
        <f t="shared" ref="CH126" si="91">IF(CH122,CH125&amp;" / ","")</f>
        <v/>
      </c>
      <c r="CJ126" s="870" t="str">
        <f>CONCATENATE(BN126,BO126,BP126,BQ126,BR126,BS126,BT126,BU126,BV126,BW126,BX126,BY126,BZ126,CA126,CB126,CC126,CD126,CE126,CF126,CG126,CH126)</f>
        <v/>
      </c>
    </row>
    <row r="127" spans="64:88">
      <c r="CI127" s="381" t="s">
        <v>5671</v>
      </c>
      <c r="CJ127" s="381" t="s">
        <v>5670</v>
      </c>
    </row>
    <row r="128" spans="64:88">
      <c r="CI128" s="871">
        <f>AQ14</f>
        <v>0</v>
      </c>
      <c r="CJ128" s="870" t="str">
        <f>IF(COUNTIF(CJ126,"*"&amp;CI128&amp;"*")&gt;0,"OK","NG")</f>
        <v>NG</v>
      </c>
    </row>
    <row r="129" spans="63:88">
      <c r="BM129" s="1267" t="s">
        <v>4888</v>
      </c>
      <c r="BN129" s="1288">
        <f>IF(OR(BN110,BN113),BN86,IF(BN116,BN105,0))</f>
        <v>0</v>
      </c>
      <c r="BO129" s="1288">
        <f t="shared" ref="BO129:CE129" si="92">IF(OR(BO110,BO113),BO86,IF(BO116,BO105,0))</f>
        <v>0</v>
      </c>
      <c r="BP129" s="1288">
        <f t="shared" si="92"/>
        <v>0</v>
      </c>
      <c r="BQ129" s="1288">
        <f t="shared" si="92"/>
        <v>0</v>
      </c>
      <c r="BR129" s="1288">
        <f t="shared" si="92"/>
        <v>0</v>
      </c>
      <c r="BS129" s="1288">
        <f t="shared" si="92"/>
        <v>0</v>
      </c>
      <c r="BT129" s="1288">
        <f t="shared" si="92"/>
        <v>0</v>
      </c>
      <c r="BU129" s="1288">
        <f t="shared" si="92"/>
        <v>0</v>
      </c>
      <c r="BV129" s="1288">
        <f t="shared" si="92"/>
        <v>0</v>
      </c>
      <c r="BW129" s="1288">
        <f t="shared" si="92"/>
        <v>0</v>
      </c>
      <c r="BX129" s="1288">
        <f t="shared" si="92"/>
        <v>0</v>
      </c>
      <c r="BY129" s="1288">
        <f t="shared" si="92"/>
        <v>0</v>
      </c>
      <c r="BZ129" s="1288">
        <f t="shared" si="92"/>
        <v>0</v>
      </c>
      <c r="CA129" s="1288">
        <f t="shared" si="92"/>
        <v>0</v>
      </c>
      <c r="CB129" s="1288">
        <f t="shared" si="92"/>
        <v>0</v>
      </c>
      <c r="CC129" s="1288">
        <f t="shared" si="92"/>
        <v>0</v>
      </c>
      <c r="CD129" s="1288">
        <f t="shared" si="92"/>
        <v>0</v>
      </c>
      <c r="CE129" s="1288">
        <f t="shared" si="92"/>
        <v>0</v>
      </c>
    </row>
    <row r="130" spans="63:88">
      <c r="BM130" s="1267" t="s">
        <v>4891</v>
      </c>
      <c r="BN130" s="1288" t="str">
        <f>IF(MAX($BN129:$CE129)=BN129,BN125,"")</f>
        <v/>
      </c>
      <c r="BO130" s="1288" t="str">
        <f t="shared" ref="BO130:CE130" si="93">IF(MAX($BN129:$CE129)=BO129,BO125,"")</f>
        <v/>
      </c>
      <c r="BP130" s="1288" t="str">
        <f t="shared" si="93"/>
        <v/>
      </c>
      <c r="BQ130" s="1288" t="str">
        <f t="shared" si="93"/>
        <v/>
      </c>
      <c r="BR130" s="1288" t="str">
        <f t="shared" si="93"/>
        <v/>
      </c>
      <c r="BS130" s="1288" t="str">
        <f t="shared" si="93"/>
        <v/>
      </c>
      <c r="BT130" s="1288" t="str">
        <f t="shared" si="93"/>
        <v/>
      </c>
      <c r="BU130" s="1288" t="str">
        <f t="shared" si="93"/>
        <v/>
      </c>
      <c r="BV130" s="1288" t="str">
        <f t="shared" si="93"/>
        <v/>
      </c>
      <c r="BW130" s="1288" t="str">
        <f t="shared" si="93"/>
        <v/>
      </c>
      <c r="BX130" s="1288" t="str">
        <f t="shared" si="93"/>
        <v/>
      </c>
      <c r="BY130" s="1288" t="str">
        <f t="shared" si="93"/>
        <v/>
      </c>
      <c r="BZ130" s="1288" t="str">
        <f t="shared" si="93"/>
        <v/>
      </c>
      <c r="CA130" s="1288" t="str">
        <f t="shared" si="93"/>
        <v/>
      </c>
      <c r="CB130" s="1288" t="str">
        <f t="shared" si="93"/>
        <v/>
      </c>
      <c r="CC130" s="1288" t="str">
        <f t="shared" si="93"/>
        <v/>
      </c>
      <c r="CD130" s="1288" t="str">
        <f t="shared" si="93"/>
        <v/>
      </c>
      <c r="CE130" s="1288" t="str">
        <f t="shared" si="93"/>
        <v/>
      </c>
      <c r="CJ130" s="870" t="str">
        <f>CONCATENATE(BN130,BO130,BP130,BQ130,BR130,BS130,BT130,BU130,BV130,BW130,BX130,BY130,BZ130,CA130,CB130,CC130,CD130,CE130,CF130,CG130,CH130)</f>
        <v/>
      </c>
    </row>
    <row r="131" spans="63:88">
      <c r="CJ131" s="381" t="s">
        <v>5668</v>
      </c>
    </row>
    <row r="132" spans="63:88">
      <c r="CJ132" s="870" t="str">
        <f>IF(CJ130&lt;&gt;"",CJ130,CH125)</f>
        <v/>
      </c>
    </row>
    <row r="133" spans="63:88">
      <c r="BL133" s="1267" t="s">
        <v>4862</v>
      </c>
      <c r="CJ133" s="381" t="s">
        <v>4862</v>
      </c>
    </row>
    <row r="134" spans="63:88">
      <c r="BM134" s="1269">
        <v>1</v>
      </c>
      <c r="BN134" s="1288" t="b">
        <f t="shared" ref="BN134:CE134" si="94">AND(BN$125&lt;&gt;"",BN29)</f>
        <v>0</v>
      </c>
      <c r="BO134" s="1288" t="b">
        <f t="shared" si="94"/>
        <v>0</v>
      </c>
      <c r="BP134" s="1288" t="b">
        <f t="shared" si="94"/>
        <v>0</v>
      </c>
      <c r="BQ134" s="1288" t="b">
        <f t="shared" si="94"/>
        <v>0</v>
      </c>
      <c r="BR134" s="1288" t="b">
        <f t="shared" si="94"/>
        <v>0</v>
      </c>
      <c r="BS134" s="1288" t="b">
        <f t="shared" si="94"/>
        <v>0</v>
      </c>
      <c r="BT134" s="1288" t="b">
        <f t="shared" si="94"/>
        <v>0</v>
      </c>
      <c r="BU134" s="1288" t="b">
        <f t="shared" si="94"/>
        <v>0</v>
      </c>
      <c r="BV134" s="1288" t="b">
        <f t="shared" si="94"/>
        <v>0</v>
      </c>
      <c r="BW134" s="1288" t="b">
        <f t="shared" si="94"/>
        <v>0</v>
      </c>
      <c r="BX134" s="1288" t="b">
        <f t="shared" si="94"/>
        <v>0</v>
      </c>
      <c r="BY134" s="1288" t="b">
        <f t="shared" si="94"/>
        <v>0</v>
      </c>
      <c r="BZ134" s="1288" t="b">
        <f t="shared" si="94"/>
        <v>0</v>
      </c>
      <c r="CA134" s="1288" t="b">
        <f t="shared" si="94"/>
        <v>0</v>
      </c>
      <c r="CB134" s="1288" t="b">
        <f t="shared" si="94"/>
        <v>0</v>
      </c>
      <c r="CC134" s="1288" t="b">
        <f t="shared" si="94"/>
        <v>0</v>
      </c>
      <c r="CD134" s="1288" t="b">
        <f t="shared" si="94"/>
        <v>0</v>
      </c>
      <c r="CE134" s="1288" t="b">
        <f t="shared" si="94"/>
        <v>0</v>
      </c>
      <c r="CF134" s="1269"/>
      <c r="CG134" s="1269"/>
      <c r="CH134" s="1288" t="b">
        <f>AND(CH$125&lt;&gt;"",CH29)</f>
        <v>0</v>
      </c>
      <c r="CJ134" s="870" t="b">
        <f>OR(BN134,BO134,BP134,BQ134,BR134,BS134,BT134,BU134,BV134,BW134,BX134,BY134,BZ134,CA134,CB134,CC134,CD134,CE134,CF134,CG134,CH134)</f>
        <v>0</v>
      </c>
    </row>
    <row r="135" spans="63:88">
      <c r="BM135" s="1269">
        <v>2</v>
      </c>
      <c r="BN135" s="1288" t="b">
        <f t="shared" ref="BN135:CE135" si="95">AND(BN$125&lt;&gt;"",BN30)</f>
        <v>0</v>
      </c>
      <c r="BO135" s="1288" t="b">
        <f t="shared" si="95"/>
        <v>0</v>
      </c>
      <c r="BP135" s="1288" t="b">
        <f t="shared" si="95"/>
        <v>0</v>
      </c>
      <c r="BQ135" s="1288" t="b">
        <f t="shared" si="95"/>
        <v>0</v>
      </c>
      <c r="BR135" s="1288" t="b">
        <f t="shared" si="95"/>
        <v>0</v>
      </c>
      <c r="BS135" s="1288" t="b">
        <f t="shared" si="95"/>
        <v>0</v>
      </c>
      <c r="BT135" s="1288" t="b">
        <f t="shared" si="95"/>
        <v>0</v>
      </c>
      <c r="BU135" s="1288" t="b">
        <f t="shared" si="95"/>
        <v>0</v>
      </c>
      <c r="BV135" s="1288" t="b">
        <f t="shared" si="95"/>
        <v>0</v>
      </c>
      <c r="BW135" s="1288" t="b">
        <f t="shared" si="95"/>
        <v>0</v>
      </c>
      <c r="BX135" s="1288" t="b">
        <f t="shared" si="95"/>
        <v>0</v>
      </c>
      <c r="BY135" s="1288" t="b">
        <f t="shared" si="95"/>
        <v>0</v>
      </c>
      <c r="BZ135" s="1288" t="b">
        <f t="shared" si="95"/>
        <v>0</v>
      </c>
      <c r="CA135" s="1288" t="b">
        <f t="shared" si="95"/>
        <v>0</v>
      </c>
      <c r="CB135" s="1288" t="b">
        <f t="shared" si="95"/>
        <v>0</v>
      </c>
      <c r="CC135" s="1288" t="b">
        <f t="shared" si="95"/>
        <v>0</v>
      </c>
      <c r="CD135" s="1288" t="b">
        <f t="shared" si="95"/>
        <v>0</v>
      </c>
      <c r="CE135" s="1288" t="b">
        <f t="shared" si="95"/>
        <v>0</v>
      </c>
      <c r="CF135" s="1269"/>
      <c r="CG135" s="1269"/>
      <c r="CH135" s="1288" t="b">
        <f>AND(CH$125&lt;&gt;"",CH30)</f>
        <v>0</v>
      </c>
      <c r="CJ135" s="870" t="b">
        <f t="shared" ref="CJ135:CJ136" si="96">OR(BN135,BO135,BP135,BQ135,BR135,BS135,BT135,BU135,BV135,BW135,BX135,BY135,BZ135,CA135,CB135,CC135,CD135,CE135,CF135,CG135,CH135)</f>
        <v>0</v>
      </c>
    </row>
    <row r="136" spans="63:88">
      <c r="BM136" s="1269">
        <v>3</v>
      </c>
      <c r="BN136" s="1288" t="b">
        <f t="shared" ref="BN136:CE136" si="97">AND(BN$125&lt;&gt;"",BN31)</f>
        <v>0</v>
      </c>
      <c r="BO136" s="1288" t="b">
        <f t="shared" si="97"/>
        <v>0</v>
      </c>
      <c r="BP136" s="1288" t="b">
        <f t="shared" si="97"/>
        <v>0</v>
      </c>
      <c r="BQ136" s="1288" t="b">
        <f t="shared" si="97"/>
        <v>0</v>
      </c>
      <c r="BR136" s="1288" t="b">
        <f t="shared" si="97"/>
        <v>0</v>
      </c>
      <c r="BS136" s="1288" t="b">
        <f t="shared" si="97"/>
        <v>0</v>
      </c>
      <c r="BT136" s="1288" t="b">
        <f t="shared" si="97"/>
        <v>0</v>
      </c>
      <c r="BU136" s="1288" t="b">
        <f t="shared" si="97"/>
        <v>0</v>
      </c>
      <c r="BV136" s="1288" t="b">
        <f t="shared" si="97"/>
        <v>0</v>
      </c>
      <c r="BW136" s="1288" t="b">
        <f t="shared" si="97"/>
        <v>0</v>
      </c>
      <c r="BX136" s="1288" t="b">
        <f t="shared" si="97"/>
        <v>0</v>
      </c>
      <c r="BY136" s="1288" t="b">
        <f t="shared" si="97"/>
        <v>0</v>
      </c>
      <c r="BZ136" s="1288" t="b">
        <f t="shared" si="97"/>
        <v>0</v>
      </c>
      <c r="CA136" s="1288" t="b">
        <f t="shared" si="97"/>
        <v>0</v>
      </c>
      <c r="CB136" s="1288" t="b">
        <f t="shared" si="97"/>
        <v>0</v>
      </c>
      <c r="CC136" s="1288" t="b">
        <f t="shared" si="97"/>
        <v>0</v>
      </c>
      <c r="CD136" s="1288" t="b">
        <f t="shared" si="97"/>
        <v>0</v>
      </c>
      <c r="CE136" s="1288" t="b">
        <f t="shared" si="97"/>
        <v>0</v>
      </c>
      <c r="CF136" s="1269"/>
      <c r="CG136" s="1269"/>
      <c r="CH136" s="1288" t="b">
        <f>AND(CH$125&lt;&gt;"",CH31)</f>
        <v>0</v>
      </c>
      <c r="CJ136" s="870" t="b">
        <f t="shared" si="96"/>
        <v>0</v>
      </c>
    </row>
    <row r="137" spans="63:88">
      <c r="BM137" s="1267" t="s">
        <v>4875</v>
      </c>
      <c r="CJ137" s="870" t="str">
        <f>IF(CJ134,BM134&amp;"/","")&amp;IF(CJ135,BM135&amp;"/","")&amp;IF(CJ136,BM136&amp;"/","")</f>
        <v/>
      </c>
    </row>
    <row r="138" spans="63:88">
      <c r="CH138" s="381"/>
      <c r="CI138" s="381" t="s">
        <v>4901</v>
      </c>
      <c r="CJ138" s="381" t="s">
        <v>4863</v>
      </c>
    </row>
    <row r="139" spans="63:88">
      <c r="CH139" s="381"/>
      <c r="CI139" s="870">
        <f>VLOOKUP(AO14,AO15:AP17,2,FALSE)+'1_入力シート【基本情報】'!M4</f>
        <v>2018</v>
      </c>
      <c r="CJ139" s="870" t="str">
        <f>IF(INDEX(CJ134:CJ136,MOD(CI139,3)+1),"OK","NG")</f>
        <v>NG</v>
      </c>
    </row>
    <row r="141" spans="63:88">
      <c r="BK141" s="1267" t="s">
        <v>4683</v>
      </c>
      <c r="BL141" s="1267" t="s">
        <v>4844</v>
      </c>
    </row>
    <row r="142" spans="63:88">
      <c r="BM142" s="1267" t="s">
        <v>4887</v>
      </c>
      <c r="BN142" s="1269" t="b">
        <v>1</v>
      </c>
      <c r="BO142" s="1269" t="b">
        <v>1</v>
      </c>
      <c r="BP142" s="1269" t="b">
        <v>1</v>
      </c>
      <c r="BQ142" s="1269" t="b">
        <v>1</v>
      </c>
      <c r="BR142" s="1269" t="b">
        <v>0</v>
      </c>
      <c r="BS142" s="1269" t="b">
        <v>0</v>
      </c>
      <c r="BT142" s="1269" t="b">
        <v>1</v>
      </c>
      <c r="BU142" s="1269" t="b">
        <v>1</v>
      </c>
      <c r="BV142" s="1269" t="b">
        <v>1</v>
      </c>
      <c r="BW142" s="1269" t="b">
        <v>1</v>
      </c>
      <c r="BX142" s="1269" t="b">
        <v>1</v>
      </c>
      <c r="BY142" s="1269" t="b">
        <v>1</v>
      </c>
      <c r="BZ142" s="1269" t="b">
        <v>1</v>
      </c>
      <c r="CA142" s="1269" t="b">
        <v>1</v>
      </c>
      <c r="CB142" s="1269" t="b">
        <v>1</v>
      </c>
      <c r="CC142" s="1269" t="b">
        <v>1</v>
      </c>
      <c r="CD142" s="1269" t="b">
        <v>1</v>
      </c>
      <c r="CE142" s="1269" t="b">
        <v>1</v>
      </c>
    </row>
    <row r="143" spans="63:88">
      <c r="BM143" s="1267" t="s">
        <v>4688</v>
      </c>
      <c r="BN143" s="1288">
        <f t="shared" ref="BN143:CE143" si="98">BN105*BN142</f>
        <v>0</v>
      </c>
      <c r="BO143" s="1288">
        <f t="shared" si="98"/>
        <v>0</v>
      </c>
      <c r="BP143" s="1288">
        <f t="shared" si="98"/>
        <v>0</v>
      </c>
      <c r="BQ143" s="1288">
        <f t="shared" si="98"/>
        <v>0</v>
      </c>
      <c r="BR143" s="1288">
        <f t="shared" si="98"/>
        <v>0</v>
      </c>
      <c r="BS143" s="1288">
        <f t="shared" si="98"/>
        <v>0</v>
      </c>
      <c r="BT143" s="1288">
        <f t="shared" si="98"/>
        <v>0</v>
      </c>
      <c r="BU143" s="1288">
        <f t="shared" si="98"/>
        <v>0</v>
      </c>
      <c r="BV143" s="1288">
        <f t="shared" si="98"/>
        <v>0</v>
      </c>
      <c r="BW143" s="1288">
        <f t="shared" si="98"/>
        <v>0</v>
      </c>
      <c r="BX143" s="1288">
        <f t="shared" si="98"/>
        <v>0</v>
      </c>
      <c r="BY143" s="1288">
        <f t="shared" si="98"/>
        <v>0</v>
      </c>
      <c r="BZ143" s="1288">
        <f t="shared" si="98"/>
        <v>0</v>
      </c>
      <c r="CA143" s="1288">
        <f t="shared" si="98"/>
        <v>0</v>
      </c>
      <c r="CB143" s="1288">
        <f t="shared" si="98"/>
        <v>0</v>
      </c>
      <c r="CC143" s="1288">
        <f t="shared" si="98"/>
        <v>0</v>
      </c>
      <c r="CD143" s="1288">
        <f t="shared" si="98"/>
        <v>0</v>
      </c>
      <c r="CE143" s="1288">
        <f t="shared" si="98"/>
        <v>0</v>
      </c>
      <c r="CH143" s="1288">
        <f>SUM(BN143:CE143)</f>
        <v>0</v>
      </c>
    </row>
    <row r="144" spans="63:88">
      <c r="BL144" s="1267" t="s">
        <v>4682</v>
      </c>
    </row>
    <row r="145" spans="63:88">
      <c r="BM145" s="1267" t="s">
        <v>4849</v>
      </c>
      <c r="BN145" s="1288" t="b">
        <f t="shared" ref="BN145:CE145" si="99">IF(BN49="&gt;",BN143&gt;BN47,IF(BN49="&gt;=",BN143&gt;=BN47,FALSE))</f>
        <v>0</v>
      </c>
      <c r="BO145" s="1288" t="b">
        <f t="shared" si="99"/>
        <v>0</v>
      </c>
      <c r="BP145" s="1288" t="b">
        <f t="shared" si="99"/>
        <v>0</v>
      </c>
      <c r="BQ145" s="1288" t="b">
        <f t="shared" si="99"/>
        <v>0</v>
      </c>
      <c r="BR145" s="1288" t="b">
        <f t="shared" si="99"/>
        <v>0</v>
      </c>
      <c r="BS145" s="1288" t="b">
        <f t="shared" si="99"/>
        <v>0</v>
      </c>
      <c r="BT145" s="1288" t="b">
        <f t="shared" si="99"/>
        <v>0</v>
      </c>
      <c r="BU145" s="1288" t="b">
        <f t="shared" si="99"/>
        <v>0</v>
      </c>
      <c r="BV145" s="1288" t="b">
        <f t="shared" si="99"/>
        <v>0</v>
      </c>
      <c r="BW145" s="1288" t="b">
        <f t="shared" si="99"/>
        <v>0</v>
      </c>
      <c r="BX145" s="1288" t="b">
        <f t="shared" si="99"/>
        <v>0</v>
      </c>
      <c r="BY145" s="1288" t="b">
        <f t="shared" si="99"/>
        <v>0</v>
      </c>
      <c r="BZ145" s="1288" t="b">
        <f t="shared" si="99"/>
        <v>0</v>
      </c>
      <c r="CA145" s="1288" t="b">
        <f t="shared" si="99"/>
        <v>0</v>
      </c>
      <c r="CB145" s="1288" t="b">
        <f t="shared" si="99"/>
        <v>0</v>
      </c>
      <c r="CC145" s="1288" t="b">
        <f t="shared" si="99"/>
        <v>0</v>
      </c>
      <c r="CD145" s="1288" t="b">
        <f t="shared" si="99"/>
        <v>0</v>
      </c>
      <c r="CE145" s="1288" t="b">
        <f t="shared" si="99"/>
        <v>0</v>
      </c>
      <c r="CF145" s="1269" t="b">
        <v>0</v>
      </c>
      <c r="CG145" s="1269" t="b">
        <v>0</v>
      </c>
      <c r="CH145" s="1288" t="b">
        <f>IF(CH49="&gt;",CH143&gt;CH47,IF(CH49="&gt;=",CH143&gt;=CH47,FALSE))</f>
        <v>0</v>
      </c>
      <c r="CJ145" s="381" t="s">
        <v>4858</v>
      </c>
    </row>
    <row r="146" spans="63:88">
      <c r="BM146" s="1267" t="s">
        <v>4850</v>
      </c>
      <c r="BN146" s="1288" t="str">
        <f t="shared" ref="BN146:CE146" si="100">IF(BN145,BN$2,"")</f>
        <v/>
      </c>
      <c r="BO146" s="1288" t="str">
        <f t="shared" si="100"/>
        <v/>
      </c>
      <c r="BP146" s="1288" t="str">
        <f t="shared" si="100"/>
        <v/>
      </c>
      <c r="BQ146" s="1288" t="str">
        <f t="shared" si="100"/>
        <v/>
      </c>
      <c r="BR146" s="1288" t="str">
        <f t="shared" si="100"/>
        <v/>
      </c>
      <c r="BS146" s="1288" t="str">
        <f t="shared" si="100"/>
        <v/>
      </c>
      <c r="BT146" s="1288" t="str">
        <f t="shared" si="100"/>
        <v/>
      </c>
      <c r="BU146" s="1288" t="str">
        <f t="shared" si="100"/>
        <v/>
      </c>
      <c r="BV146" s="1288" t="str">
        <f t="shared" si="100"/>
        <v/>
      </c>
      <c r="BW146" s="1288" t="str">
        <f t="shared" si="100"/>
        <v/>
      </c>
      <c r="BX146" s="1288" t="str">
        <f t="shared" si="100"/>
        <v/>
      </c>
      <c r="BY146" s="1288" t="str">
        <f t="shared" si="100"/>
        <v/>
      </c>
      <c r="BZ146" s="1288" t="str">
        <f t="shared" si="100"/>
        <v/>
      </c>
      <c r="CA146" s="1288" t="str">
        <f t="shared" si="100"/>
        <v/>
      </c>
      <c r="CB146" s="1288" t="str">
        <f t="shared" si="100"/>
        <v/>
      </c>
      <c r="CC146" s="1288" t="str">
        <f t="shared" si="100"/>
        <v/>
      </c>
      <c r="CD146" s="1288" t="str">
        <f t="shared" si="100"/>
        <v/>
      </c>
      <c r="CE146" s="1288" t="str">
        <f t="shared" si="100"/>
        <v/>
      </c>
      <c r="CF146" s="1269"/>
      <c r="CG146" s="1269"/>
      <c r="CH146" s="1288" t="str">
        <f>IF(CH145,CH$2,"")</f>
        <v/>
      </c>
      <c r="CJ146" s="870" t="str">
        <f>CONCATENATE(BN146,BO146,BP146,BQ146,BR146,BS146,BT146,BU146,BV146,BW146,BX146,BY146,BZ146,CA146,CB146,CC146,CD146,CE146,CF146,CG146,CH146)</f>
        <v/>
      </c>
    </row>
    <row r="147" spans="63:88">
      <c r="BL147" s="1267" t="s">
        <v>4889</v>
      </c>
    </row>
    <row r="148" spans="63:88">
      <c r="BM148" s="1267" t="s">
        <v>4890</v>
      </c>
      <c r="BN148" s="1288" t="str">
        <f t="shared" ref="BN148:CE148" si="101">IF(BN145,LEFT(BN2,1),"")</f>
        <v/>
      </c>
      <c r="BO148" s="1288" t="str">
        <f t="shared" si="101"/>
        <v/>
      </c>
      <c r="BP148" s="1288" t="str">
        <f t="shared" si="101"/>
        <v/>
      </c>
      <c r="BQ148" s="1288" t="str">
        <f t="shared" si="101"/>
        <v/>
      </c>
      <c r="BR148" s="1288" t="str">
        <f t="shared" si="101"/>
        <v/>
      </c>
      <c r="BS148" s="1288" t="str">
        <f t="shared" si="101"/>
        <v/>
      </c>
      <c r="BT148" s="1288" t="str">
        <f t="shared" si="101"/>
        <v/>
      </c>
      <c r="BU148" s="1288" t="str">
        <f t="shared" si="101"/>
        <v/>
      </c>
      <c r="BV148" s="1288" t="str">
        <f t="shared" si="101"/>
        <v/>
      </c>
      <c r="BW148" s="1288" t="str">
        <f t="shared" si="101"/>
        <v/>
      </c>
      <c r="BX148" s="1288" t="str">
        <f t="shared" si="101"/>
        <v/>
      </c>
      <c r="BY148" s="1288" t="str">
        <f t="shared" si="101"/>
        <v/>
      </c>
      <c r="BZ148" s="1288" t="str">
        <f t="shared" si="101"/>
        <v/>
      </c>
      <c r="CA148" s="1288" t="str">
        <f t="shared" si="101"/>
        <v/>
      </c>
      <c r="CB148" s="1288" t="str">
        <f t="shared" si="101"/>
        <v/>
      </c>
      <c r="CC148" s="1288" t="str">
        <f t="shared" si="101"/>
        <v/>
      </c>
      <c r="CD148" s="1288" t="str">
        <f t="shared" si="101"/>
        <v/>
      </c>
      <c r="CE148" s="1288" t="str">
        <f t="shared" si="101"/>
        <v/>
      </c>
      <c r="CF148" s="1269"/>
      <c r="CG148" s="1269"/>
      <c r="CH148" s="1288" t="str">
        <f>IF(CH145,LEFT(CH2,1),"")</f>
        <v/>
      </c>
    </row>
    <row r="149" spans="63:88">
      <c r="BM149" s="1267" t="s">
        <v>4888</v>
      </c>
      <c r="BN149" s="1288">
        <f t="shared" ref="BN149:CE149" si="102">BN143*BN145</f>
        <v>0</v>
      </c>
      <c r="BO149" s="1288">
        <f t="shared" si="102"/>
        <v>0</v>
      </c>
      <c r="BP149" s="1288">
        <f t="shared" si="102"/>
        <v>0</v>
      </c>
      <c r="BQ149" s="1288">
        <f t="shared" si="102"/>
        <v>0</v>
      </c>
      <c r="BR149" s="1288">
        <f t="shared" si="102"/>
        <v>0</v>
      </c>
      <c r="BS149" s="1288">
        <f t="shared" si="102"/>
        <v>0</v>
      </c>
      <c r="BT149" s="1288">
        <f t="shared" si="102"/>
        <v>0</v>
      </c>
      <c r="BU149" s="1288">
        <f t="shared" si="102"/>
        <v>0</v>
      </c>
      <c r="BV149" s="1288">
        <f t="shared" si="102"/>
        <v>0</v>
      </c>
      <c r="BW149" s="1288">
        <f t="shared" si="102"/>
        <v>0</v>
      </c>
      <c r="BX149" s="1288">
        <f t="shared" si="102"/>
        <v>0</v>
      </c>
      <c r="BY149" s="1288">
        <f t="shared" si="102"/>
        <v>0</v>
      </c>
      <c r="BZ149" s="1288">
        <f t="shared" si="102"/>
        <v>0</v>
      </c>
      <c r="CA149" s="1288">
        <f t="shared" si="102"/>
        <v>0</v>
      </c>
      <c r="CB149" s="1288">
        <f t="shared" si="102"/>
        <v>0</v>
      </c>
      <c r="CC149" s="1288">
        <f t="shared" si="102"/>
        <v>0</v>
      </c>
      <c r="CD149" s="1288">
        <f t="shared" si="102"/>
        <v>0</v>
      </c>
      <c r="CE149" s="1288">
        <f t="shared" si="102"/>
        <v>0</v>
      </c>
      <c r="CF149" s="1269"/>
      <c r="CG149" s="1269"/>
      <c r="CH149" s="1288">
        <f>CH143*CH145</f>
        <v>0</v>
      </c>
    </row>
    <row r="150" spans="63:88">
      <c r="BM150" s="1267" t="s">
        <v>4891</v>
      </c>
      <c r="BN150" s="1288" t="str">
        <f t="shared" ref="BN150:CE150" si="103">IF(MAX($BN149:$CE149)=BN149,BN148,"")</f>
        <v/>
      </c>
      <c r="BO150" s="1288" t="str">
        <f t="shared" si="103"/>
        <v/>
      </c>
      <c r="BP150" s="1288" t="str">
        <f t="shared" si="103"/>
        <v/>
      </c>
      <c r="BQ150" s="1288" t="str">
        <f t="shared" si="103"/>
        <v/>
      </c>
      <c r="BR150" s="1288" t="str">
        <f t="shared" si="103"/>
        <v/>
      </c>
      <c r="BS150" s="1288" t="str">
        <f t="shared" si="103"/>
        <v/>
      </c>
      <c r="BT150" s="1288" t="str">
        <f t="shared" si="103"/>
        <v/>
      </c>
      <c r="BU150" s="1288" t="str">
        <f t="shared" si="103"/>
        <v/>
      </c>
      <c r="BV150" s="1288" t="str">
        <f t="shared" si="103"/>
        <v/>
      </c>
      <c r="BW150" s="1288" t="str">
        <f t="shared" si="103"/>
        <v/>
      </c>
      <c r="BX150" s="1288" t="str">
        <f t="shared" si="103"/>
        <v/>
      </c>
      <c r="BY150" s="1288" t="str">
        <f t="shared" si="103"/>
        <v/>
      </c>
      <c r="BZ150" s="1288" t="str">
        <f t="shared" si="103"/>
        <v/>
      </c>
      <c r="CA150" s="1288" t="str">
        <f t="shared" si="103"/>
        <v/>
      </c>
      <c r="CB150" s="1288" t="str">
        <f t="shared" si="103"/>
        <v/>
      </c>
      <c r="CC150" s="1288" t="str">
        <f t="shared" si="103"/>
        <v/>
      </c>
      <c r="CD150" s="1288" t="str">
        <f t="shared" si="103"/>
        <v/>
      </c>
      <c r="CE150" s="1288" t="str">
        <f t="shared" si="103"/>
        <v/>
      </c>
      <c r="CJ150" s="870" t="str">
        <f>CONCATENATE(BN150,BO150,BP150,BQ150,BR150,BS150,BT150,BU150,BV150,BW150,BX150,BY150,BZ150,CA150,CB150,CC150,CD150,CE150,CF150,CG150,CH150)</f>
        <v/>
      </c>
    </row>
    <row r="152" spans="63:88">
      <c r="BK152" s="1267" t="s">
        <v>4681</v>
      </c>
      <c r="BL152" s="1267" t="s">
        <v>4680</v>
      </c>
    </row>
    <row r="153" spans="63:88">
      <c r="BN153" s="1288" t="b">
        <f t="shared" ref="BN153:CC153" si="104">BN110</f>
        <v>0</v>
      </c>
      <c r="BO153" s="1288" t="b">
        <f t="shared" si="104"/>
        <v>0</v>
      </c>
      <c r="BP153" s="1288" t="b">
        <f t="shared" si="104"/>
        <v>0</v>
      </c>
      <c r="BQ153" s="1288" t="b">
        <f t="shared" si="104"/>
        <v>0</v>
      </c>
      <c r="BR153" s="1288" t="b">
        <f t="shared" si="104"/>
        <v>0</v>
      </c>
      <c r="BS153" s="1288" t="b">
        <f t="shared" si="104"/>
        <v>0</v>
      </c>
      <c r="BT153" s="1288" t="b">
        <f t="shared" si="104"/>
        <v>0</v>
      </c>
      <c r="BU153" s="1288" t="b">
        <f t="shared" si="104"/>
        <v>0</v>
      </c>
      <c r="BV153" s="1288" t="b">
        <f t="shared" si="104"/>
        <v>0</v>
      </c>
      <c r="BW153" s="1288" t="b">
        <f t="shared" si="104"/>
        <v>0</v>
      </c>
      <c r="BX153" s="1288" t="b">
        <f t="shared" si="104"/>
        <v>0</v>
      </c>
      <c r="BY153" s="1288" t="b">
        <f t="shared" si="104"/>
        <v>0</v>
      </c>
      <c r="BZ153" s="1288" t="b">
        <f t="shared" si="104"/>
        <v>0</v>
      </c>
      <c r="CA153" s="1288" t="b">
        <f t="shared" si="104"/>
        <v>0</v>
      </c>
      <c r="CB153" s="1288" t="b">
        <f t="shared" si="104"/>
        <v>0</v>
      </c>
      <c r="CC153" s="1288" t="b">
        <f t="shared" si="104"/>
        <v>0</v>
      </c>
    </row>
    <row r="154" spans="63:88">
      <c r="BL154" s="1267" t="s">
        <v>4679</v>
      </c>
    </row>
    <row r="155" spans="63:88">
      <c r="BN155" s="1269" t="b">
        <v>0</v>
      </c>
      <c r="BO155" s="1269" t="b">
        <v>0</v>
      </c>
      <c r="BP155" s="1288" t="b">
        <f>IF(BP53="&gt;",BP59&gt;BP51,IF(BP53="&gt;=",BP59&gt;=BP51,FALSE))</f>
        <v>0</v>
      </c>
      <c r="BQ155" s="1269" t="b">
        <v>0</v>
      </c>
      <c r="BR155" s="1269" t="b">
        <v>0</v>
      </c>
      <c r="BS155" s="1269" t="b">
        <v>0</v>
      </c>
      <c r="BT155" s="1269" t="b">
        <v>0</v>
      </c>
      <c r="BU155" s="1288" t="b">
        <f>IF(BU53="&gt;",BU59&gt;BU51,IF(BU53="&gt;=",BU59&gt;=BU51,FALSE))</f>
        <v>0</v>
      </c>
      <c r="BV155" s="1269" t="b">
        <v>0</v>
      </c>
      <c r="BW155" s="1269" t="b">
        <v>0</v>
      </c>
      <c r="BX155" s="1269" t="b">
        <v>0</v>
      </c>
      <c r="BY155" s="1269" t="b">
        <v>0</v>
      </c>
      <c r="BZ155" s="1269" t="b">
        <v>0</v>
      </c>
      <c r="CA155" s="1269" t="b">
        <v>0</v>
      </c>
      <c r="CB155" s="1269" t="b">
        <v>0</v>
      </c>
      <c r="CC155" s="1269" t="b">
        <v>0</v>
      </c>
    </row>
    <row r="157" spans="63:88">
      <c r="BL157" s="1267" t="s">
        <v>4678</v>
      </c>
    </row>
    <row r="158" spans="63:88">
      <c r="BM158" s="1267" t="s">
        <v>4849</v>
      </c>
      <c r="BN158" s="1288" t="b">
        <f t="shared" ref="BN158:CC158" si="105">OR(BN153,BN155)</f>
        <v>0</v>
      </c>
      <c r="BO158" s="1288" t="b">
        <f t="shared" si="105"/>
        <v>0</v>
      </c>
      <c r="BP158" s="1288" t="b">
        <f t="shared" si="105"/>
        <v>0</v>
      </c>
      <c r="BQ158" s="1288" t="b">
        <f t="shared" si="105"/>
        <v>0</v>
      </c>
      <c r="BR158" s="1288" t="b">
        <f t="shared" si="105"/>
        <v>0</v>
      </c>
      <c r="BS158" s="1288" t="b">
        <f t="shared" si="105"/>
        <v>0</v>
      </c>
      <c r="BT158" s="1288" t="b">
        <f t="shared" si="105"/>
        <v>0</v>
      </c>
      <c r="BU158" s="1288" t="b">
        <f t="shared" si="105"/>
        <v>0</v>
      </c>
      <c r="BV158" s="1288" t="b">
        <f t="shared" si="105"/>
        <v>0</v>
      </c>
      <c r="BW158" s="1288" t="b">
        <f t="shared" si="105"/>
        <v>0</v>
      </c>
      <c r="BX158" s="1288" t="b">
        <f t="shared" si="105"/>
        <v>0</v>
      </c>
      <c r="BY158" s="1288" t="b">
        <f t="shared" si="105"/>
        <v>0</v>
      </c>
      <c r="BZ158" s="1288" t="b">
        <f t="shared" si="105"/>
        <v>0</v>
      </c>
      <c r="CA158" s="1288" t="b">
        <f t="shared" si="105"/>
        <v>0</v>
      </c>
      <c r="CB158" s="1288" t="b">
        <f t="shared" si="105"/>
        <v>0</v>
      </c>
      <c r="CC158" s="1288" t="b">
        <f t="shared" si="105"/>
        <v>0</v>
      </c>
      <c r="CD158" s="1269" t="b">
        <v>0</v>
      </c>
      <c r="CE158" s="1269" t="b">
        <v>0</v>
      </c>
      <c r="CF158" s="1269" t="b">
        <v>0</v>
      </c>
      <c r="CG158" s="1269" t="b">
        <v>0</v>
      </c>
      <c r="CH158" s="1269" t="b">
        <v>0</v>
      </c>
      <c r="CJ158" s="381" t="s">
        <v>4859</v>
      </c>
    </row>
    <row r="159" spans="63:88">
      <c r="BM159" s="1267" t="s">
        <v>4850</v>
      </c>
      <c r="BN159" s="1288" t="str">
        <f t="shared" ref="BN159:CC159" si="106">IF(BN158,BN$2,"")</f>
        <v/>
      </c>
      <c r="BO159" s="1288" t="str">
        <f t="shared" si="106"/>
        <v/>
      </c>
      <c r="BP159" s="1288" t="str">
        <f t="shared" si="106"/>
        <v/>
      </c>
      <c r="BQ159" s="1288" t="str">
        <f t="shared" si="106"/>
        <v/>
      </c>
      <c r="BR159" s="1288" t="str">
        <f t="shared" si="106"/>
        <v/>
      </c>
      <c r="BS159" s="1288" t="str">
        <f t="shared" si="106"/>
        <v/>
      </c>
      <c r="BT159" s="1288" t="str">
        <f t="shared" si="106"/>
        <v/>
      </c>
      <c r="BU159" s="1288" t="str">
        <f t="shared" si="106"/>
        <v/>
      </c>
      <c r="BV159" s="1288" t="str">
        <f t="shared" si="106"/>
        <v/>
      </c>
      <c r="BW159" s="1288" t="str">
        <f t="shared" si="106"/>
        <v/>
      </c>
      <c r="BX159" s="1288" t="str">
        <f t="shared" si="106"/>
        <v/>
      </c>
      <c r="BY159" s="1288" t="str">
        <f t="shared" si="106"/>
        <v/>
      </c>
      <c r="BZ159" s="1288" t="str">
        <f t="shared" si="106"/>
        <v/>
      </c>
      <c r="CA159" s="1288" t="str">
        <f t="shared" si="106"/>
        <v/>
      </c>
      <c r="CB159" s="1288" t="str">
        <f t="shared" si="106"/>
        <v/>
      </c>
      <c r="CC159" s="1288" t="str">
        <f t="shared" si="106"/>
        <v/>
      </c>
      <c r="CD159" s="1269"/>
      <c r="CE159" s="1269"/>
      <c r="CF159" s="1269"/>
      <c r="CG159" s="1269"/>
      <c r="CH159" s="1269"/>
      <c r="CJ159" s="870" t="str">
        <f>CONCATENATE(BN159,BO159,BP159,BQ159,BR159,BS159,BT159,BU159,BV159,BW159,BX159,BY159,BZ159,CA159,CB159,CC159,CD159,CE159,CF159,CG159,CH159)</f>
        <v/>
      </c>
    </row>
    <row r="160" spans="63:88">
      <c r="BL160" s="1267" t="s">
        <v>4677</v>
      </c>
    </row>
    <row r="161" spans="63:88">
      <c r="BM161" s="1267" t="s">
        <v>4849</v>
      </c>
      <c r="BN161" s="1287" t="b">
        <f t="shared" ref="BN161:CE161" si="107">BN113</f>
        <v>0</v>
      </c>
      <c r="BO161" s="1287" t="b">
        <f t="shared" si="107"/>
        <v>0</v>
      </c>
      <c r="BP161" s="1287" t="b">
        <f t="shared" si="107"/>
        <v>0</v>
      </c>
      <c r="BQ161" s="1287" t="b">
        <f t="shared" si="107"/>
        <v>0</v>
      </c>
      <c r="BR161" s="1287" t="b">
        <f t="shared" si="107"/>
        <v>0</v>
      </c>
      <c r="BS161" s="1287" t="b">
        <f t="shared" si="107"/>
        <v>0</v>
      </c>
      <c r="BT161" s="1287" t="b">
        <f t="shared" si="107"/>
        <v>0</v>
      </c>
      <c r="BU161" s="1287" t="b">
        <f t="shared" si="107"/>
        <v>0</v>
      </c>
      <c r="BV161" s="1287" t="b">
        <f t="shared" si="107"/>
        <v>0</v>
      </c>
      <c r="BW161" s="1287" t="b">
        <f t="shared" si="107"/>
        <v>0</v>
      </c>
      <c r="BX161" s="1287" t="b">
        <f t="shared" si="107"/>
        <v>0</v>
      </c>
      <c r="BY161" s="1287" t="b">
        <f t="shared" si="107"/>
        <v>0</v>
      </c>
      <c r="BZ161" s="1287" t="b">
        <f t="shared" si="107"/>
        <v>0</v>
      </c>
      <c r="CA161" s="1287" t="b">
        <f t="shared" si="107"/>
        <v>0</v>
      </c>
      <c r="CB161" s="1287" t="b">
        <f t="shared" si="107"/>
        <v>0</v>
      </c>
      <c r="CC161" s="1287" t="b">
        <f t="shared" si="107"/>
        <v>0</v>
      </c>
      <c r="CD161" s="1287" t="b">
        <f t="shared" si="107"/>
        <v>0</v>
      </c>
      <c r="CE161" s="1287" t="b">
        <f t="shared" si="107"/>
        <v>0</v>
      </c>
      <c r="CF161" s="1269" t="b">
        <v>0</v>
      </c>
      <c r="CG161" s="1269" t="b">
        <v>0</v>
      </c>
      <c r="CH161" s="1269" t="b">
        <v>0</v>
      </c>
      <c r="CJ161" s="381" t="s">
        <v>4860</v>
      </c>
    </row>
    <row r="162" spans="63:88">
      <c r="BM162" s="1267" t="s">
        <v>4850</v>
      </c>
      <c r="BN162" s="1288" t="str">
        <f t="shared" ref="BN162:CE162" si="108">IF(BN161,BN$2,"")</f>
        <v/>
      </c>
      <c r="BO162" s="1288" t="str">
        <f t="shared" si="108"/>
        <v/>
      </c>
      <c r="BP162" s="1288" t="str">
        <f t="shared" si="108"/>
        <v/>
      </c>
      <c r="BQ162" s="1288" t="str">
        <f t="shared" si="108"/>
        <v/>
      </c>
      <c r="BR162" s="1288" t="str">
        <f t="shared" si="108"/>
        <v/>
      </c>
      <c r="BS162" s="1288" t="str">
        <f t="shared" si="108"/>
        <v/>
      </c>
      <c r="BT162" s="1288" t="str">
        <f t="shared" si="108"/>
        <v/>
      </c>
      <c r="BU162" s="1288" t="str">
        <f t="shared" si="108"/>
        <v/>
      </c>
      <c r="BV162" s="1288" t="str">
        <f t="shared" si="108"/>
        <v/>
      </c>
      <c r="BW162" s="1288" t="str">
        <f t="shared" si="108"/>
        <v/>
      </c>
      <c r="BX162" s="1288" t="str">
        <f t="shared" si="108"/>
        <v/>
      </c>
      <c r="BY162" s="1288" t="str">
        <f t="shared" si="108"/>
        <v/>
      </c>
      <c r="BZ162" s="1288" t="str">
        <f t="shared" si="108"/>
        <v/>
      </c>
      <c r="CA162" s="1288" t="str">
        <f t="shared" si="108"/>
        <v/>
      </c>
      <c r="CB162" s="1288" t="str">
        <f t="shared" si="108"/>
        <v/>
      </c>
      <c r="CC162" s="1288" t="str">
        <f t="shared" si="108"/>
        <v/>
      </c>
      <c r="CD162" s="1288" t="str">
        <f t="shared" si="108"/>
        <v/>
      </c>
      <c r="CE162" s="1288" t="str">
        <f t="shared" si="108"/>
        <v/>
      </c>
      <c r="CF162" s="1269"/>
      <c r="CG162" s="1269"/>
      <c r="CH162" s="1269"/>
      <c r="CJ162" s="870" t="str">
        <f>CONCATENATE(BN162,BO162,BP162,BQ162,BR162,BS162,BT162,BU162,BV162,BW162,BX162,BY162,BZ162,CA162,CB162,CC162,CD162,CE162,CF162,CG162,CH162)</f>
        <v/>
      </c>
    </row>
    <row r="163" spans="63:88">
      <c r="BL163" s="1267" t="s">
        <v>4865</v>
      </c>
    </row>
    <row r="164" spans="63:88">
      <c r="BM164" s="1267" t="s">
        <v>4849</v>
      </c>
      <c r="BN164" s="1288" t="b">
        <f>OR(BN158,BN161)</f>
        <v>0</v>
      </c>
      <c r="BO164" s="1288" t="b">
        <f t="shared" ref="BO164:CE164" si="109">OR(BO158,BO161)</f>
        <v>0</v>
      </c>
      <c r="BP164" s="1288" t="b">
        <f t="shared" si="109"/>
        <v>0</v>
      </c>
      <c r="BQ164" s="1288" t="b">
        <f t="shared" si="109"/>
        <v>0</v>
      </c>
      <c r="BR164" s="1288" t="b">
        <f t="shared" si="109"/>
        <v>0</v>
      </c>
      <c r="BS164" s="1288" t="b">
        <f t="shared" si="109"/>
        <v>0</v>
      </c>
      <c r="BT164" s="1288" t="b">
        <f t="shared" si="109"/>
        <v>0</v>
      </c>
      <c r="BU164" s="1288" t="b">
        <f t="shared" si="109"/>
        <v>0</v>
      </c>
      <c r="BV164" s="1288" t="b">
        <f t="shared" si="109"/>
        <v>0</v>
      </c>
      <c r="BW164" s="1288" t="b">
        <f t="shared" si="109"/>
        <v>0</v>
      </c>
      <c r="BX164" s="1288" t="b">
        <f t="shared" si="109"/>
        <v>0</v>
      </c>
      <c r="BY164" s="1288" t="b">
        <f t="shared" si="109"/>
        <v>0</v>
      </c>
      <c r="BZ164" s="1288" t="b">
        <f t="shared" si="109"/>
        <v>0</v>
      </c>
      <c r="CA164" s="1288" t="b">
        <f t="shared" si="109"/>
        <v>0</v>
      </c>
      <c r="CB164" s="1288" t="b">
        <f t="shared" si="109"/>
        <v>0</v>
      </c>
      <c r="CC164" s="1288" t="b">
        <f t="shared" si="109"/>
        <v>0</v>
      </c>
      <c r="CD164" s="1288" t="b">
        <f t="shared" si="109"/>
        <v>0</v>
      </c>
      <c r="CE164" s="1288" t="b">
        <f t="shared" si="109"/>
        <v>0</v>
      </c>
      <c r="CF164" s="1269" t="b">
        <v>0</v>
      </c>
      <c r="CG164" s="1269" t="b">
        <v>0</v>
      </c>
      <c r="CH164" s="1269" t="b">
        <v>0</v>
      </c>
      <c r="CJ164" s="381" t="s">
        <v>4866</v>
      </c>
    </row>
    <row r="165" spans="63:88">
      <c r="BM165" s="1267" t="s">
        <v>4850</v>
      </c>
      <c r="BN165" s="1288" t="str">
        <f t="shared" ref="BN165:CE165" si="110">IF(BN164,BN$2,"")</f>
        <v/>
      </c>
      <c r="BO165" s="1288" t="str">
        <f t="shared" si="110"/>
        <v/>
      </c>
      <c r="BP165" s="1288" t="str">
        <f t="shared" si="110"/>
        <v/>
      </c>
      <c r="BQ165" s="1288" t="str">
        <f t="shared" si="110"/>
        <v/>
      </c>
      <c r="BR165" s="1288" t="str">
        <f t="shared" si="110"/>
        <v/>
      </c>
      <c r="BS165" s="1288" t="str">
        <f t="shared" si="110"/>
        <v/>
      </c>
      <c r="BT165" s="1288" t="str">
        <f t="shared" si="110"/>
        <v/>
      </c>
      <c r="BU165" s="1288" t="str">
        <f t="shared" si="110"/>
        <v/>
      </c>
      <c r="BV165" s="1288" t="str">
        <f t="shared" si="110"/>
        <v/>
      </c>
      <c r="BW165" s="1288" t="str">
        <f t="shared" si="110"/>
        <v/>
      </c>
      <c r="BX165" s="1288" t="str">
        <f t="shared" si="110"/>
        <v/>
      </c>
      <c r="BY165" s="1288" t="str">
        <f t="shared" si="110"/>
        <v/>
      </c>
      <c r="BZ165" s="1288" t="str">
        <f t="shared" si="110"/>
        <v/>
      </c>
      <c r="CA165" s="1288" t="str">
        <f t="shared" si="110"/>
        <v/>
      </c>
      <c r="CB165" s="1288" t="str">
        <f t="shared" si="110"/>
        <v/>
      </c>
      <c r="CC165" s="1288" t="str">
        <f t="shared" si="110"/>
        <v/>
      </c>
      <c r="CD165" s="1288" t="str">
        <f t="shared" si="110"/>
        <v/>
      </c>
      <c r="CE165" s="1288" t="str">
        <f t="shared" si="110"/>
        <v/>
      </c>
      <c r="CF165" s="1269"/>
      <c r="CG165" s="1269"/>
      <c r="CH165" s="1269"/>
      <c r="CJ165" s="870" t="str">
        <f>CONCATENATE(BN165,BO165,BP165,BQ165,BR165,BS165,BT165,BU165,BV165,BW165,BX165,BY165,BZ165,CA165,CB165,CC165,CD165,CE165,CF165,CG165,CH165)</f>
        <v/>
      </c>
    </row>
    <row r="167" spans="63:88">
      <c r="BK167" s="1267" t="s">
        <v>5667</v>
      </c>
    </row>
    <row r="168" spans="63:88">
      <c r="BN168" s="1306" t="s">
        <v>4873</v>
      </c>
      <c r="BO168" s="1306" t="s">
        <v>2017</v>
      </c>
      <c r="BP168" s="1306" t="s">
        <v>732</v>
      </c>
      <c r="BQ168" s="1306" t="s">
        <v>5681</v>
      </c>
      <c r="BR168" s="1306" t="s">
        <v>5664</v>
      </c>
      <c r="BS168" s="1306" t="s">
        <v>4874</v>
      </c>
    </row>
    <row r="169" spans="63:88">
      <c r="BN169" s="1297" t="b">
        <v>1</v>
      </c>
      <c r="BO169" s="1297" t="b">
        <v>0</v>
      </c>
      <c r="BP169" s="1297" t="b">
        <v>0</v>
      </c>
      <c r="BQ169" s="1297">
        <v>1</v>
      </c>
      <c r="BR169" s="1297">
        <v>1</v>
      </c>
      <c r="BS169" s="1297" t="s">
        <v>4867</v>
      </c>
    </row>
    <row r="170" spans="63:88">
      <c r="BN170" s="1297" t="b">
        <v>1</v>
      </c>
      <c r="BO170" s="1297" t="b">
        <v>1</v>
      </c>
      <c r="BP170" s="1297" t="b">
        <v>0</v>
      </c>
      <c r="BQ170" s="1297">
        <v>3</v>
      </c>
      <c r="BR170" s="1297">
        <v>2</v>
      </c>
      <c r="BS170" s="1297" t="s">
        <v>4868</v>
      </c>
    </row>
    <row r="171" spans="63:88">
      <c r="BN171" s="1297" t="b">
        <v>1</v>
      </c>
      <c r="BO171" s="1297" t="b">
        <v>1</v>
      </c>
      <c r="BP171" s="1297" t="b">
        <v>1</v>
      </c>
      <c r="BQ171" s="1297">
        <v>7</v>
      </c>
      <c r="BR171" s="1297">
        <v>3</v>
      </c>
      <c r="BS171" s="1297" t="s">
        <v>4869</v>
      </c>
    </row>
    <row r="172" spans="63:88">
      <c r="BN172" s="1297" t="b">
        <v>1</v>
      </c>
      <c r="BO172" s="1297" t="b">
        <v>0</v>
      </c>
      <c r="BP172" s="1297" t="b">
        <v>1</v>
      </c>
      <c r="BQ172" s="1297">
        <v>5</v>
      </c>
      <c r="BR172" s="1297">
        <v>4</v>
      </c>
      <c r="BS172" s="1297" t="s">
        <v>4870</v>
      </c>
    </row>
    <row r="173" spans="63:88">
      <c r="BN173" s="1297" t="b">
        <v>0</v>
      </c>
      <c r="BO173" s="1297" t="b">
        <v>0</v>
      </c>
      <c r="BP173" s="1297" t="b">
        <v>1</v>
      </c>
      <c r="BQ173" s="1297">
        <v>4</v>
      </c>
      <c r="BR173" s="1297">
        <v>5</v>
      </c>
      <c r="BS173" s="1297" t="s">
        <v>4871</v>
      </c>
    </row>
    <row r="174" spans="63:88">
      <c r="BN174" s="1297" t="b">
        <v>0</v>
      </c>
      <c r="BO174" s="1297" t="b">
        <v>1</v>
      </c>
      <c r="BP174" s="1297" t="b">
        <v>1</v>
      </c>
      <c r="BQ174" s="1297"/>
      <c r="BR174" s="1297"/>
      <c r="BS174" s="1297"/>
    </row>
    <row r="175" spans="63:88">
      <c r="BN175" s="1297" t="b">
        <v>0</v>
      </c>
      <c r="BO175" s="1297" t="b">
        <v>1</v>
      </c>
      <c r="BP175" s="1297" t="b">
        <v>0</v>
      </c>
      <c r="BQ175" s="1297"/>
      <c r="BR175" s="1297"/>
      <c r="BS175" s="1297"/>
    </row>
    <row r="176" spans="63:88">
      <c r="BN176" s="1297" t="b">
        <v>0</v>
      </c>
      <c r="BO176" s="1297" t="b">
        <v>0</v>
      </c>
      <c r="BP176" s="1297" t="b">
        <v>0</v>
      </c>
      <c r="BQ176" s="1297">
        <v>0</v>
      </c>
      <c r="BR176" s="1297" t="str">
        <f>""</f>
        <v/>
      </c>
      <c r="BS176" s="1297" t="s">
        <v>4872</v>
      </c>
    </row>
    <row r="177" spans="63:71">
      <c r="BN177" s="1288" t="b">
        <f>CJ123&lt;&gt;""</f>
        <v>0</v>
      </c>
      <c r="BO177" s="1288" t="b">
        <f>CJ146&lt;&gt;""</f>
        <v>0</v>
      </c>
      <c r="BP177" s="1288" t="b">
        <f>CJ165&lt;&gt;""</f>
        <v>0</v>
      </c>
      <c r="BQ177" s="1288">
        <f t="shared" ref="BQ177" si="111">BN177*1+BO177*2+BP177*4</f>
        <v>0</v>
      </c>
      <c r="BR177" s="1288" t="str">
        <f>VLOOKUP($BQ$177,$BQ$169:$BR$176,2,FALSE)</f>
        <v/>
      </c>
      <c r="BS177" s="1288" t="str">
        <f>VLOOKUP($BQ$177,$BQ$169:$BS$176,3,FALSE)</f>
        <v>対象外</v>
      </c>
    </row>
    <row r="178" spans="63:71">
      <c r="BO178" s="1267" t="s">
        <v>5678</v>
      </c>
      <c r="BP178" s="1267" t="s">
        <v>5680</v>
      </c>
      <c r="BR178" s="1267" t="s">
        <v>5665</v>
      </c>
    </row>
    <row r="179" spans="63:71">
      <c r="BO179" s="1287" t="str">
        <f>AR19</f>
        <v/>
      </c>
      <c r="BP179" s="1287" t="str">
        <f>AR21</f>
        <v/>
      </c>
      <c r="BR179" s="1287">
        <f>AR14</f>
        <v>0</v>
      </c>
    </row>
    <row r="180" spans="63:71">
      <c r="BO180" s="1267" t="s">
        <v>5677</v>
      </c>
      <c r="BP180" s="1267" t="s">
        <v>5679</v>
      </c>
      <c r="BR180" s="1267" t="s">
        <v>5666</v>
      </c>
    </row>
    <row r="181" spans="63:71">
      <c r="BO181" s="1288" t="str">
        <f>IF(BO179="","",IF(BO177=BO179,"OK","NG"))</f>
        <v/>
      </c>
      <c r="BP181" s="1288" t="str">
        <f>IF(BP179="","",IF(BP177=BP179,"OK","NG"))</f>
        <v/>
      </c>
      <c r="BR181" s="1288" t="str">
        <f>IF(BR177=BR179,"OK","NG")</f>
        <v>NG</v>
      </c>
    </row>
    <row r="183" spans="63:71">
      <c r="BK183" s="1267" t="s">
        <v>4877</v>
      </c>
    </row>
    <row r="184" spans="63:71">
      <c r="BL184" s="1267" t="s">
        <v>4879</v>
      </c>
      <c r="BS184" s="1288">
        <f>IF(CJ111&lt;&gt;"",SUMPRODUCT((AQ14=BN125:CC125)*BN86:CC86),SUMPRODUCT((AQ14=BN125:CH125)*BN105:CH105))</f>
        <v>0</v>
      </c>
    </row>
    <row r="185" spans="63:71">
      <c r="BL185" s="1267" t="s">
        <v>4881</v>
      </c>
      <c r="BS185" s="1288">
        <f>IF(CJ150&lt;&gt;"",INDEX(BN149:CE149,1,MATCH(CJ150,BN150:CE150,0)),CH149)</f>
        <v>0</v>
      </c>
    </row>
    <row r="186" spans="63:71">
      <c r="BL186" s="1267" t="s">
        <v>4902</v>
      </c>
      <c r="BS186" s="1288" t="str">
        <f>IF(CJ150&lt;&gt;"",CJ150,CH148)</f>
        <v/>
      </c>
    </row>
    <row r="187" spans="63:71">
      <c r="BL187" s="1267" t="s">
        <v>4883</v>
      </c>
      <c r="BS187" s="1287">
        <f>BM65</f>
        <v>0</v>
      </c>
    </row>
    <row r="188" spans="63:71">
      <c r="BN188" s="1269">
        <v>1</v>
      </c>
      <c r="BO188" s="1269">
        <v>2</v>
      </c>
      <c r="BP188" s="1269">
        <v>3</v>
      </c>
      <c r="BQ188" s="1269">
        <v>4</v>
      </c>
      <c r="BR188" s="1269">
        <v>5</v>
      </c>
    </row>
    <row r="189" spans="63:71">
      <c r="BL189" s="1267" t="s">
        <v>5674</v>
      </c>
      <c r="BN189" s="1288" t="str">
        <f>IF(CJ120="","",BN188)</f>
        <v/>
      </c>
      <c r="BO189" s="1288" t="str">
        <f>IF(CJ146="","",BO188)</f>
        <v/>
      </c>
      <c r="BP189" s="1288" t="str">
        <f>IF(CJ111="","",BP188)</f>
        <v/>
      </c>
      <c r="BQ189" s="1288" t="str">
        <f>IF(CJ159="","",BQ188)</f>
        <v/>
      </c>
      <c r="BR189" s="1288" t="str">
        <f>IF(CJ162="","",BR188)</f>
        <v/>
      </c>
      <c r="BS189" s="1288" t="str">
        <f>CONCATENATE(BN189,BO189,BP189,BQ189,BR189)</f>
        <v/>
      </c>
    </row>
  </sheetData>
  <sheetProtection algorithmName="SHA-512" hashValue="YB++BIqQufkDZjLmyPiXrJc8ZaOsd+M1I1H4Tc8cluvFxXHkmMeor7hHsDWRgFzPlRRFlXd4yLG/TTwyI36xig==" saltValue="XrGc+sUanikyXQMu47lW6g==" spinCount="100000" sheet="1" objects="1" scenarios="1"/>
  <mergeCells count="40">
    <mergeCell ref="A1:B1"/>
    <mergeCell ref="C1:T1"/>
    <mergeCell ref="A3:B3"/>
    <mergeCell ref="E8:E12"/>
    <mergeCell ref="C3:D7"/>
    <mergeCell ref="C8:D12"/>
    <mergeCell ref="E3:E7"/>
    <mergeCell ref="S4:T6"/>
    <mergeCell ref="G4:H6"/>
    <mergeCell ref="I4:J6"/>
    <mergeCell ref="K4:L6"/>
    <mergeCell ref="F4:F6"/>
    <mergeCell ref="G3:T3"/>
    <mergeCell ref="M4:N6"/>
    <mergeCell ref="O4:P6"/>
    <mergeCell ref="Q4:R6"/>
    <mergeCell ref="G7:H11"/>
    <mergeCell ref="A32:A33"/>
    <mergeCell ref="A35:A36"/>
    <mergeCell ref="A37:A38"/>
    <mergeCell ref="F7:F11"/>
    <mergeCell ref="C13:D13"/>
    <mergeCell ref="G12:H12"/>
    <mergeCell ref="S7:T11"/>
    <mergeCell ref="I12:J12"/>
    <mergeCell ref="K12:L12"/>
    <mergeCell ref="M12:N12"/>
    <mergeCell ref="O12:P12"/>
    <mergeCell ref="Q12:R12"/>
    <mergeCell ref="S12:T12"/>
    <mergeCell ref="Q7:R11"/>
    <mergeCell ref="I7:J11"/>
    <mergeCell ref="K7:L11"/>
    <mergeCell ref="M7:N11"/>
    <mergeCell ref="O7:P11"/>
    <mergeCell ref="A68:A70"/>
    <mergeCell ref="A65:A67"/>
    <mergeCell ref="A56:A57"/>
    <mergeCell ref="A42:A44"/>
    <mergeCell ref="A39:A41"/>
  </mergeCells>
  <phoneticPr fontId="3"/>
  <conditionalFormatting sqref="G7:H12">
    <cfRule type="cellIs" dxfId="58" priority="24" operator="equal">
      <formula>""</formula>
    </cfRule>
  </conditionalFormatting>
  <conditionalFormatting sqref="I4:T6">
    <cfRule type="expression" dxfId="57" priority="2">
      <formula>AND(I$7&lt;&gt;"",I$4="")</formula>
    </cfRule>
    <cfRule type="cellIs" dxfId="56" priority="14" operator="equal">
      <formula>""</formula>
    </cfRule>
  </conditionalFormatting>
  <conditionalFormatting sqref="I7:T11">
    <cfRule type="expression" dxfId="55" priority="10">
      <formula>AND(I$4&lt;&gt;"",I$7="")</formula>
    </cfRule>
  </conditionalFormatting>
  <conditionalFormatting sqref="G4:H6">
    <cfRule type="cellIs" dxfId="54" priority="12" operator="equal">
      <formula>""</formula>
    </cfRule>
  </conditionalFormatting>
  <conditionalFormatting sqref="G14:G72 I14:I72 K14:K72 M14:M72 O14:O72 Q14:Q72 S14:S72">
    <cfRule type="cellIs" dxfId="53" priority="11" operator="equal">
      <formula>""</formula>
    </cfRule>
  </conditionalFormatting>
  <conditionalFormatting sqref="AD23:AD27">
    <cfRule type="cellIs" dxfId="52" priority="9" operator="notEqual">
      <formula>""</formula>
    </cfRule>
  </conditionalFormatting>
  <conditionalFormatting sqref="AD14:AD17">
    <cfRule type="cellIs" dxfId="51" priority="8" operator="notEqual">
      <formula>""</formula>
    </cfRule>
  </conditionalFormatting>
  <conditionalFormatting sqref="AA3:AA4">
    <cfRule type="cellIs" dxfId="50" priority="7" operator="notEqual">
      <formula>""</formula>
    </cfRule>
  </conditionalFormatting>
  <conditionalFormatting sqref="AF9:AL9 AP8:AR8">
    <cfRule type="cellIs" dxfId="49" priority="6" operator="notEqual">
      <formula>""</formula>
    </cfRule>
  </conditionalFormatting>
  <conditionalFormatting sqref="AA19:AA20 AA25">
    <cfRule type="cellIs" dxfId="48" priority="5" operator="notEqual">
      <formula>"OK"</formula>
    </cfRule>
  </conditionalFormatting>
  <conditionalFormatting sqref="AA30 AA28">
    <cfRule type="cellIs" dxfId="47" priority="4" operator="equal">
      <formula>"NG"</formula>
    </cfRule>
  </conditionalFormatting>
  <conditionalFormatting sqref="AR10">
    <cfRule type="expression" dxfId="46" priority="3">
      <formula>ISERROR($AR$9)</formula>
    </cfRule>
  </conditionalFormatting>
  <conditionalFormatting sqref="I12:T12">
    <cfRule type="expression" dxfId="45" priority="1">
      <formula>AND(OR(I$4&lt;&gt;"",I$7&lt;&gt;""),I$12="")</formula>
    </cfRule>
  </conditionalFormatting>
  <dataValidations disablePrompts="1" count="6">
    <dataValidation type="decimal" operator="greaterThan" allowBlank="1" showInputMessage="1" showErrorMessage="1" sqref="G14:G72 I14:I72 K14:K72 Q14:Q72 S14:S72 M14:M72 O14:O72" xr:uid="{00000000-0002-0000-0100-000000000000}">
      <formula1>0</formula1>
    </dataValidation>
    <dataValidation type="list" allowBlank="1" showInputMessage="1" showErrorMessage="1" sqref="AQ10" xr:uid="{52DF456A-467A-46C3-818A-392A8E742F74}">
      <formula1>"200㎡以上,200㎡未満"</formula1>
    </dataValidation>
    <dataValidation type="list" allowBlank="1" showInputMessage="1" showErrorMessage="1" sqref="AR10" xr:uid="{1A115FD6-D7C8-4089-9558-B47C432F284A}">
      <formula1>"新耐震,旧耐震"</formula1>
    </dataValidation>
    <dataValidation type="list" allowBlank="1" showInputMessage="1" showErrorMessage="1" sqref="AP10" xr:uid="{388FDC99-1B7E-4798-897C-3352A4166000}">
      <formula1>"1階,1階以外"</formula1>
    </dataValidation>
    <dataValidation type="list" allowBlank="1" showInputMessage="1" showErrorMessage="1" sqref="AD14:AD17 AD23:AD27" xr:uid="{288D70FD-3780-414F-A2BB-F93F6994B56C}">
      <formula1>"○"</formula1>
    </dataValidation>
    <dataValidation type="list" allowBlank="1" showInputMessage="1" showErrorMessage="1" sqref="AF10:AL10" xr:uid="{251A601C-097B-46D2-9843-906B8A43C178}">
      <formula1>$BN$3:$CG$3</formula1>
    </dataValidation>
  </dataValidations>
  <hyperlinks>
    <hyperlink ref="AA5" location="CSVシート!A3" display="CSVシート" xr:uid="{C527C2AA-F60B-4677-B506-63C4528F9FB4}"/>
  </hyperlinks>
  <pageMargins left="0.23622047244094491" right="0.23622047244094491" top="0.39370078740157483" bottom="0.39370078740157483" header="0.31496062992125984" footer="0.31496062992125984"/>
  <pageSetup paperSize="9" scale="67" orientation="portrait" r:id="rId1"/>
  <extLst>
    <ext xmlns:x14="http://schemas.microsoft.com/office/spreadsheetml/2009/9/main" uri="{CCE6A557-97BC-4b89-ADB6-D9C93CAAB3DF}">
      <x14:dataValidations xmlns:xm="http://schemas.microsoft.com/office/excel/2006/main" disablePrompts="1" count="3">
        <x14:dataValidation type="list" allowBlank="1" showInputMessage="1" xr:uid="{00000000-0002-0000-0100-000001000000}">
          <x14:formula1>
            <xm:f>INDIRECT(HLOOKUP(G$4,プルダウン選択肢!$AC$2:$AV$3,2,FALSE))</xm:f>
          </x14:formula1>
          <xm:sqref>M7 O7 S7 Q7 K7 G7:J11</xm:sqref>
        </x14:dataValidation>
        <x14:dataValidation type="list" allowBlank="1" showInputMessage="1" showErrorMessage="1" xr:uid="{B47606F9-A1B6-4253-B5B5-AE72D198B4D4}">
          <x14:formula1>
            <xm:f>プルダウン選択肢!$AA$3:$AA$22</xm:f>
          </x14:formula1>
          <xm:sqref>G4:T6</xm:sqref>
        </x14:dataValidation>
        <x14:dataValidation type="list" allowBlank="1" showInputMessage="1" showErrorMessage="1" xr:uid="{6CBFAB84-25C3-431D-9E07-1FA39AFE8FC4}">
          <x14:formula1>
            <xm:f>プルダウン選択肢!$AX$3:$AX$9</xm:f>
          </x14:formula1>
          <xm:sqref>G12:T12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8">
    <tabColor rgb="FFFFFF66"/>
  </sheetPr>
  <dimension ref="A1:BT604"/>
  <sheetViews>
    <sheetView zoomScaleNormal="100" workbookViewId="0">
      <pane ySplit="2" topLeftCell="A6" activePane="bottomLeft" state="frozen"/>
      <selection pane="bottomLeft" sqref="A1:U2"/>
    </sheetView>
  </sheetViews>
  <sheetFormatPr defaultColWidth="1.90625" defaultRowHeight="12.75" customHeight="1"/>
  <cols>
    <col min="1" max="3" width="1.90625" style="197" customWidth="1"/>
    <col min="4" max="8" width="1.90625" style="197"/>
    <col min="9" max="11" width="1.90625" style="197" customWidth="1"/>
    <col min="12" max="25" width="1.90625" style="197"/>
    <col min="26" max="26" width="2.26953125" style="197" bestFit="1" customWidth="1"/>
    <col min="27" max="34" width="1.90625" style="197"/>
    <col min="35" max="36" width="1.90625" style="197" customWidth="1"/>
    <col min="37" max="48" width="1.90625" style="197"/>
    <col min="49" max="50" width="3.08984375" style="197" customWidth="1"/>
    <col min="51" max="52" width="3.08984375" style="381" customWidth="1"/>
    <col min="53" max="72" width="1.90625" style="381" hidden="1" customWidth="1"/>
    <col min="73" max="16384" width="1.90625" style="197"/>
  </cols>
  <sheetData>
    <row r="1" spans="1:72" ht="15.75" customHeight="1">
      <c r="A1" s="2630" t="s">
        <v>2722</v>
      </c>
      <c r="B1" s="2630"/>
      <c r="C1" s="2630"/>
      <c r="D1" s="2630"/>
      <c r="E1" s="2630"/>
      <c r="F1" s="2630"/>
      <c r="G1" s="2630"/>
      <c r="H1" s="2630"/>
      <c r="I1" s="2630"/>
      <c r="J1" s="2630"/>
      <c r="K1" s="2630"/>
      <c r="L1" s="2630"/>
      <c r="M1" s="2630"/>
      <c r="N1" s="2630"/>
      <c r="O1" s="2630"/>
      <c r="P1" s="2630"/>
      <c r="Q1" s="2630"/>
      <c r="R1" s="2630"/>
      <c r="S1" s="2630"/>
      <c r="T1" s="2630"/>
      <c r="U1" s="2630"/>
      <c r="V1" s="673"/>
      <c r="W1" s="673"/>
      <c r="X1" s="673"/>
      <c r="Y1" s="673"/>
      <c r="Z1" s="673"/>
      <c r="AA1" s="674" t="s">
        <v>2667</v>
      </c>
      <c r="AB1" s="2632" t="str">
        <f>IFERROR(HYPERLINK("#"&amp;BA2&amp;":"&amp;BA3&amp;"",BA4),"")</f>
        <v/>
      </c>
      <c r="AC1" s="2632"/>
      <c r="AD1" s="2632" t="str">
        <f>IFERROR(HYPERLINK("#"&amp;BB2&amp;":"&amp;BB3&amp;"",BB4),"")</f>
        <v/>
      </c>
      <c r="AE1" s="2633"/>
      <c r="AF1" s="2632" t="str">
        <f>IFERROR(HYPERLINK("#"&amp;BC2&amp;":"&amp;BC3&amp;"",BC4),"")</f>
        <v/>
      </c>
      <c r="AG1" s="2633"/>
      <c r="AH1" s="2632" t="str">
        <f>IFERROR(HYPERLINK("#"&amp;BD2&amp;":"&amp;BD3&amp;"",BD4),"")</f>
        <v/>
      </c>
      <c r="AI1" s="2633"/>
      <c r="AJ1" s="2632" t="str">
        <f>IFERROR(HYPERLINK("#"&amp;BE2&amp;":"&amp;BE3&amp;"",BE4),"")</f>
        <v/>
      </c>
      <c r="AK1" s="2633"/>
      <c r="AL1" s="2632" t="str">
        <f>IFERROR(HYPERLINK("#"&amp;BF2&amp;":"&amp;BF3&amp;"",BF4),"")</f>
        <v/>
      </c>
      <c r="AM1" s="2633"/>
      <c r="AN1" s="2632" t="str">
        <f>IFERROR(HYPERLINK("#"&amp;BG2&amp;":"&amp;BG3&amp;"",BG4),"")</f>
        <v/>
      </c>
      <c r="AO1" s="2633"/>
      <c r="AP1" s="2632" t="str">
        <f>IFERROR(HYPERLINK("#"&amp;BH2&amp;":"&amp;BH3&amp;"",BH4),"")</f>
        <v/>
      </c>
      <c r="AQ1" s="2633"/>
      <c r="AR1" s="2632" t="str">
        <f>IFERROR(HYPERLINK("#"&amp;BI2&amp;":"&amp;BI3&amp;"",BI4),"")</f>
        <v/>
      </c>
      <c r="AS1" s="2633"/>
      <c r="AT1" s="2632" t="str">
        <f>IFERROR(HYPERLINK("#"&amp;BJ2&amp;":"&amp;BJ3&amp;"",BJ4),"")</f>
        <v/>
      </c>
      <c r="AU1" s="2633"/>
      <c r="AW1" s="2605" t="str">
        <f>HYPERLINK("#'使用方法'!F29:F37","シート一覧へ")</f>
        <v>シート一覧へ</v>
      </c>
      <c r="AX1" s="2605"/>
      <c r="AY1" s="2605"/>
      <c r="AZ1" s="2605"/>
      <c r="BA1" s="381" t="e">
        <f>MATCH(1,'1_入力シート【基本情報】'!DU307:'1_入力シート【基本情報】'!DU526,0)</f>
        <v>#N/A</v>
      </c>
      <c r="BB1" s="381" t="e">
        <f>MATCH(2,'1_入力シート【基本情報】'!DU307:'1_入力シート【基本情報】'!DU526,0)</f>
        <v>#N/A</v>
      </c>
      <c r="BC1" s="381" t="e">
        <f>MATCH(3,'1_入力シート【基本情報】'!DU307:'1_入力シート【基本情報】'!DU526,0)</f>
        <v>#N/A</v>
      </c>
      <c r="BD1" s="381" t="e">
        <f>MATCH(4,'1_入力シート【基本情報】'!DU307:'1_入力シート【基本情報】'!DU526,0)</f>
        <v>#N/A</v>
      </c>
      <c r="BE1" s="381" t="e">
        <f>MATCH(5,'1_入力シート【基本情報】'!DU307:'1_入力シート【基本情報】'!DU526,0)</f>
        <v>#N/A</v>
      </c>
      <c r="BF1" s="381" t="e">
        <f>MATCH(6,'1_入力シート【基本情報】'!DU307:'1_入力シート【基本情報】'!DU526,0)</f>
        <v>#N/A</v>
      </c>
      <c r="BG1" s="381" t="e">
        <f>MATCH(7,'1_入力シート【基本情報】'!DU307:'1_入力シート【基本情報】'!DU526,0)</f>
        <v>#N/A</v>
      </c>
      <c r="BH1" s="381" t="e">
        <f>MATCH(8,'1_入力シート【基本情報】'!DU307:'1_入力シート【基本情報】'!DU526,0)</f>
        <v>#N/A</v>
      </c>
      <c r="BI1" s="381" t="e">
        <f>MATCH(9,'1_入力シート【基本情報】'!DU307:'1_入力シート【基本情報】'!DU526,0)</f>
        <v>#N/A</v>
      </c>
      <c r="BJ1" s="381" t="e">
        <f>MATCH(10,'1_入力シート【基本情報】'!DU307:'1_入力シート【基本情報】'!DU526,0)</f>
        <v>#N/A</v>
      </c>
      <c r="BK1" s="381" t="e">
        <f>MATCH(11,'1_入力シート【基本情報】'!DU307:'1_入力シート【基本情報】'!DU526,0)</f>
        <v>#N/A</v>
      </c>
      <c r="BL1" s="381" t="e">
        <f>MATCH(12,'1_入力シート【基本情報】'!DU307:'1_入力シート【基本情報】'!DU526,0)</f>
        <v>#N/A</v>
      </c>
      <c r="BM1" s="381" t="e">
        <f>MATCH(13,'1_入力シート【基本情報】'!DU307:'1_入力シート【基本情報】'!DU526,0)</f>
        <v>#N/A</v>
      </c>
      <c r="BN1" s="381" t="e">
        <f>MATCH(14,'1_入力シート【基本情報】'!DU307:'1_入力シート【基本情報】'!DU526,0)</f>
        <v>#N/A</v>
      </c>
      <c r="BO1" s="381" t="e">
        <f>MATCH(15,'1_入力シート【基本情報】'!DU307:'1_入力シート【基本情報】'!DU526,0)</f>
        <v>#N/A</v>
      </c>
      <c r="BP1" s="381" t="e">
        <f>MATCH(16,'1_入力シート【基本情報】'!DU307:'1_入力シート【基本情報】'!DU526,0)</f>
        <v>#N/A</v>
      </c>
      <c r="BQ1" s="381" t="e">
        <f>MATCH(17,'1_入力シート【基本情報】'!DU307:'1_入力シート【基本情報】'!DU526,0)</f>
        <v>#N/A</v>
      </c>
      <c r="BR1" s="381" t="e">
        <f>MATCH(18,'1_入力シート【基本情報】'!DU307:'1_入力シート【基本情報】'!DU526,0)</f>
        <v>#N/A</v>
      </c>
      <c r="BS1" s="381" t="e">
        <f>MATCH(19,'1_入力シート【基本情報】'!DU307:'1_入力シート【基本情報】'!DU526,0)</f>
        <v>#N/A</v>
      </c>
      <c r="BT1" s="381" t="e">
        <f>MATCH(20,'1_入力シート【基本情報】'!DU307:'1_入力シート【基本情報】'!DU526,0)</f>
        <v>#N/A</v>
      </c>
    </row>
    <row r="2" spans="1:72" s="619" customFormat="1" ht="15.75" customHeight="1">
      <c r="A2" s="2630"/>
      <c r="B2" s="2630"/>
      <c r="C2" s="2630"/>
      <c r="D2" s="2630"/>
      <c r="E2" s="2630"/>
      <c r="F2" s="2630"/>
      <c r="G2" s="2630"/>
      <c r="H2" s="2630"/>
      <c r="I2" s="2630"/>
      <c r="J2" s="2630"/>
      <c r="K2" s="2630"/>
      <c r="L2" s="2630"/>
      <c r="M2" s="2630"/>
      <c r="N2" s="2630"/>
      <c r="O2" s="2630"/>
      <c r="P2" s="2630"/>
      <c r="Q2" s="2630"/>
      <c r="R2" s="2630"/>
      <c r="S2" s="2630"/>
      <c r="T2" s="2630"/>
      <c r="U2" s="2630"/>
      <c r="V2" s="673"/>
      <c r="W2" s="673"/>
      <c r="X2" s="673"/>
      <c r="Y2" s="673"/>
      <c r="Z2" s="673"/>
      <c r="AA2" s="673"/>
      <c r="AB2" s="2632" t="str">
        <f>IFERROR(HYPERLINK("#"&amp;BK2&amp;":"&amp;BK3&amp;"",BK4),"")</f>
        <v/>
      </c>
      <c r="AC2" s="2633"/>
      <c r="AD2" s="2632" t="str">
        <f>IFERROR(HYPERLINK("#"&amp;BL2&amp;":"&amp;BL3&amp;"",BL4),"")</f>
        <v/>
      </c>
      <c r="AE2" s="2633"/>
      <c r="AF2" s="2632" t="str">
        <f>IFERROR(HYPERLINK("#"&amp;BM2&amp;":"&amp;BM3&amp;"",BM4),"")</f>
        <v/>
      </c>
      <c r="AG2" s="2633"/>
      <c r="AH2" s="2632" t="str">
        <f>IFERROR(HYPERLINK("#"&amp;BN2&amp;":"&amp;BN3&amp;"",BN4),"")</f>
        <v/>
      </c>
      <c r="AI2" s="2633"/>
      <c r="AJ2" s="2632" t="str">
        <f>IFERROR(HYPERLINK("#"&amp;BO2&amp;":"&amp;BO3&amp;"",BO4),"")</f>
        <v/>
      </c>
      <c r="AK2" s="2633"/>
      <c r="AL2" s="2632" t="str">
        <f>IFERROR(HYPERLINK("#"&amp;BP2&amp;":"&amp;BP3&amp;"",BP4),"")</f>
        <v/>
      </c>
      <c r="AM2" s="2633"/>
      <c r="AN2" s="2632" t="str">
        <f>IFERROR(HYPERLINK("#"&amp;BQ2&amp;":"&amp;BQ3&amp;"",BQ4),"")</f>
        <v/>
      </c>
      <c r="AO2" s="2633"/>
      <c r="AP2" s="2632" t="str">
        <f>IFERROR(HYPERLINK("#"&amp;BR2&amp;":"&amp;BR3&amp;"",BR4),"")</f>
        <v/>
      </c>
      <c r="AQ2" s="2633"/>
      <c r="AR2" s="2632" t="str">
        <f>IFERROR(HYPERLINK("#"&amp;BS2&amp;":"&amp;BS3&amp;"",BS4),"")</f>
        <v/>
      </c>
      <c r="AS2" s="2633"/>
      <c r="AT2" s="2632" t="str">
        <f>IFERROR(HYPERLINK("#"&amp;BT2&amp;":"&amp;BT3&amp;"",BT4),"")</f>
        <v/>
      </c>
      <c r="AU2" s="2633"/>
      <c r="AV2" s="620"/>
      <c r="AW2" s="620"/>
      <c r="AX2" s="620"/>
      <c r="AY2" s="381"/>
      <c r="AZ2" s="381"/>
      <c r="BA2" s="381" t="e" cm="1">
        <f t="array" ref="BA2">INDEX('1_入力シート【基本情報】'!EM307:'1_入力シート【基本情報】'!EM526,BA1)</f>
        <v>#N/A</v>
      </c>
      <c r="BB2" s="381" t="e" cm="1">
        <f t="array" ref="BB2">INDEX('1_入力シート【基本情報】'!EM307:'1_入力シート【基本情報】'!EM526,BB1)</f>
        <v>#N/A</v>
      </c>
      <c r="BC2" s="381" t="e" cm="1">
        <f t="array" ref="BC2">INDEX('1_入力シート【基本情報】'!EM307:'1_入力シート【基本情報】'!EM526,BC1)</f>
        <v>#N/A</v>
      </c>
      <c r="BD2" s="381" t="e" cm="1">
        <f t="array" ref="BD2">INDEX('1_入力シート【基本情報】'!EM307:'1_入力シート【基本情報】'!EM526,BD1)</f>
        <v>#N/A</v>
      </c>
      <c r="BE2" s="381" t="e" cm="1">
        <f t="array" ref="BE2">INDEX('1_入力シート【基本情報】'!EM307:'1_入力シート【基本情報】'!EM526,BE1)</f>
        <v>#N/A</v>
      </c>
      <c r="BF2" s="381" t="e" cm="1">
        <f t="array" ref="BF2">INDEX('1_入力シート【基本情報】'!EM307:'1_入力シート【基本情報】'!EM526,BF1)</f>
        <v>#N/A</v>
      </c>
      <c r="BG2" s="381" t="e" cm="1">
        <f t="array" ref="BG2">INDEX('1_入力シート【基本情報】'!EM307:'1_入力シート【基本情報】'!EM526,BG1)</f>
        <v>#N/A</v>
      </c>
      <c r="BH2" s="381" t="e" cm="1">
        <f t="array" ref="BH2">INDEX('1_入力シート【基本情報】'!EM307:'1_入力シート【基本情報】'!EM526,BH1)</f>
        <v>#N/A</v>
      </c>
      <c r="BI2" s="381" t="e" cm="1">
        <f t="array" ref="BI2">INDEX('1_入力シート【基本情報】'!EM307:'1_入力シート【基本情報】'!EM526,BI1)</f>
        <v>#N/A</v>
      </c>
      <c r="BJ2" s="381" t="e" cm="1">
        <f t="array" ref="BJ2">INDEX('1_入力シート【基本情報】'!EM307:'1_入力シート【基本情報】'!EM526,BJ1)</f>
        <v>#N/A</v>
      </c>
      <c r="BK2" s="381" t="e" cm="1">
        <f t="array" ref="BK2">INDEX('1_入力シート【基本情報】'!EM307:'1_入力シート【基本情報】'!EM526,BK1)</f>
        <v>#N/A</v>
      </c>
      <c r="BL2" s="381" t="e" cm="1">
        <f t="array" ref="BL2">INDEX('1_入力シート【基本情報】'!EM307:'1_入力シート【基本情報】'!EM526,BL1)</f>
        <v>#N/A</v>
      </c>
      <c r="BM2" s="381" t="e" cm="1">
        <f t="array" ref="BM2">INDEX('1_入力シート【基本情報】'!EM307:'1_入力シート【基本情報】'!EM526,BM1)</f>
        <v>#N/A</v>
      </c>
      <c r="BN2" s="381" t="e" cm="1">
        <f t="array" ref="BN2">INDEX('1_入力シート【基本情報】'!EM307:'1_入力シート【基本情報】'!EM526,BN1)</f>
        <v>#N/A</v>
      </c>
      <c r="BO2" s="381" t="e" cm="1">
        <f t="array" ref="BO2">INDEX('1_入力シート【基本情報】'!EM307:'1_入力シート【基本情報】'!EM526,BO1)</f>
        <v>#N/A</v>
      </c>
      <c r="BP2" s="381" t="e" cm="1">
        <f t="array" ref="BP2">INDEX('1_入力シート【基本情報】'!EM307:'1_入力シート【基本情報】'!EM526,BP1)</f>
        <v>#N/A</v>
      </c>
      <c r="BQ2" s="381" t="e" cm="1">
        <f t="array" ref="BQ2">INDEX('1_入力シート【基本情報】'!EM307:'1_入力シート【基本情報】'!EM526,BQ1)</f>
        <v>#N/A</v>
      </c>
      <c r="BR2" s="381" t="e" cm="1">
        <f t="array" ref="BR2">INDEX('1_入力シート【基本情報】'!EM307:'1_入力シート【基本情報】'!EM526,BR1)</f>
        <v>#N/A</v>
      </c>
      <c r="BS2" s="381" t="e" cm="1">
        <f t="array" ref="BS2">INDEX('1_入力シート【基本情報】'!EM307:'1_入力シート【基本情報】'!EM526,BS1)</f>
        <v>#N/A</v>
      </c>
      <c r="BT2" s="381" t="e" cm="1">
        <f t="array" ref="BT2">INDEX('1_入力シート【基本情報】'!EM307:'1_入力シート【基本情報】'!EM526,BT1)</f>
        <v>#N/A</v>
      </c>
    </row>
    <row r="3" spans="1:72" s="619" customFormat="1" ht="12.75" customHeight="1">
      <c r="A3" s="671"/>
      <c r="B3" s="670"/>
      <c r="C3" s="671"/>
      <c r="D3" s="671"/>
      <c r="E3" s="671"/>
      <c r="F3" s="671"/>
      <c r="G3" s="671"/>
      <c r="H3" s="671"/>
      <c r="I3" s="671"/>
      <c r="J3" s="671"/>
      <c r="K3" s="671"/>
      <c r="L3" s="671"/>
      <c r="M3" s="671"/>
      <c r="N3" s="671"/>
      <c r="O3" s="671"/>
      <c r="P3" s="671"/>
      <c r="Q3" s="671"/>
      <c r="R3" s="671"/>
      <c r="S3" s="671"/>
      <c r="T3" s="671"/>
      <c r="U3" s="671"/>
      <c r="V3" s="671"/>
      <c r="W3" s="671"/>
      <c r="X3" s="671"/>
      <c r="Y3" s="671"/>
      <c r="Z3" s="620"/>
      <c r="AA3" s="620"/>
      <c r="AB3" s="620"/>
      <c r="AC3" s="620"/>
      <c r="AD3" s="620"/>
      <c r="AE3" s="620"/>
      <c r="AF3" s="620"/>
      <c r="AG3" s="620"/>
      <c r="AH3" s="620"/>
      <c r="AI3" s="620"/>
      <c r="AJ3" s="620"/>
      <c r="AK3" s="620"/>
      <c r="AL3" s="620"/>
      <c r="AM3" s="620"/>
      <c r="AN3" s="620"/>
      <c r="AO3" s="620"/>
      <c r="AP3" s="620"/>
      <c r="AQ3" s="620"/>
      <c r="AR3" s="620"/>
      <c r="AS3" s="620"/>
      <c r="AT3" s="620"/>
      <c r="AU3" s="620"/>
      <c r="AV3" s="620"/>
      <c r="AW3" s="620"/>
      <c r="AX3" s="620"/>
      <c r="AY3" s="381"/>
      <c r="AZ3" s="381"/>
      <c r="BA3" s="381" t="e" cm="1">
        <f t="array" ref="BA3">INDEX('1_入力シート【基本情報】'!EN307:'1_入力シート【基本情報】'!EN526,BA1)</f>
        <v>#N/A</v>
      </c>
      <c r="BB3" s="381" t="e" cm="1">
        <f t="array" ref="BB3">INDEX('1_入力シート【基本情報】'!EN307:'1_入力シート【基本情報】'!EN526,BB1)</f>
        <v>#N/A</v>
      </c>
      <c r="BC3" s="381" t="e" cm="1">
        <f t="array" ref="BC3">INDEX('1_入力シート【基本情報】'!EN307:'1_入力シート【基本情報】'!EN526,BC1)</f>
        <v>#N/A</v>
      </c>
      <c r="BD3" s="381" t="e" cm="1">
        <f t="array" ref="BD3">INDEX('1_入力シート【基本情報】'!EN307:'1_入力シート【基本情報】'!EN526,BD1)</f>
        <v>#N/A</v>
      </c>
      <c r="BE3" s="381" t="e" cm="1">
        <f t="array" ref="BE3">INDEX('1_入力シート【基本情報】'!EN307:'1_入力シート【基本情報】'!EN526,BE1)</f>
        <v>#N/A</v>
      </c>
      <c r="BF3" s="381" t="e" cm="1">
        <f t="array" ref="BF3">INDEX('1_入力シート【基本情報】'!EN307:'1_入力シート【基本情報】'!EN526,BF1)</f>
        <v>#N/A</v>
      </c>
      <c r="BG3" s="381" t="e" cm="1">
        <f t="array" ref="BG3">INDEX('1_入力シート【基本情報】'!EN307:'1_入力シート【基本情報】'!EN526,BG1)</f>
        <v>#N/A</v>
      </c>
      <c r="BH3" s="381" t="e" cm="1">
        <f t="array" ref="BH3">INDEX('1_入力シート【基本情報】'!EN307:'1_入力シート【基本情報】'!EN526,BH1)</f>
        <v>#N/A</v>
      </c>
      <c r="BI3" s="381" t="e" cm="1">
        <f t="array" ref="BI3">INDEX('1_入力シート【基本情報】'!EN307:'1_入力シート【基本情報】'!EN526,BI1)</f>
        <v>#N/A</v>
      </c>
      <c r="BJ3" s="381" t="e" cm="1">
        <f t="array" ref="BJ3">INDEX('1_入力シート【基本情報】'!EN307:'1_入力シート【基本情報】'!EN526,BJ1)</f>
        <v>#N/A</v>
      </c>
      <c r="BK3" s="381" t="e" cm="1">
        <f t="array" ref="BK3">INDEX('1_入力シート【基本情報】'!EN307:'1_入力シート【基本情報】'!EN526,BK1)</f>
        <v>#N/A</v>
      </c>
      <c r="BL3" s="381" t="e" cm="1">
        <f t="array" ref="BL3">INDEX('1_入力シート【基本情報】'!EN307:'1_入力シート【基本情報】'!EN526,BL1)</f>
        <v>#N/A</v>
      </c>
      <c r="BM3" s="381" t="e" cm="1">
        <f t="array" ref="BM3">INDEX('1_入力シート【基本情報】'!EN307:'1_入力シート【基本情報】'!EN526,BM1)</f>
        <v>#N/A</v>
      </c>
      <c r="BN3" s="381" t="e" cm="1">
        <f t="array" ref="BN3">INDEX('1_入力シート【基本情報】'!EN307:'1_入力シート【基本情報】'!EN526,BN1)</f>
        <v>#N/A</v>
      </c>
      <c r="BO3" s="381" t="e" cm="1">
        <f t="array" ref="BO3">INDEX('1_入力シート【基本情報】'!EN307:'1_入力シート【基本情報】'!EN526,BO1)</f>
        <v>#N/A</v>
      </c>
      <c r="BP3" s="381" t="e" cm="1">
        <f t="array" ref="BP3">INDEX('1_入力シート【基本情報】'!EN307:'1_入力シート【基本情報】'!EN526,BP1)</f>
        <v>#N/A</v>
      </c>
      <c r="BQ3" s="381" t="e" cm="1">
        <f t="array" ref="BQ3">INDEX('1_入力シート【基本情報】'!EN307:'1_入力シート【基本情報】'!EN526,BQ1)</f>
        <v>#N/A</v>
      </c>
      <c r="BR3" s="381" t="e" cm="1">
        <f t="array" ref="BR3">INDEX('1_入力シート【基本情報】'!EN307:'1_入力シート【基本情報】'!EN526,BR1)</f>
        <v>#N/A</v>
      </c>
      <c r="BS3" s="381" t="e" cm="1">
        <f t="array" ref="BS3">INDEX('1_入力シート【基本情報】'!EN307:'1_入力シート【基本情報】'!EN526,BS1)</f>
        <v>#N/A</v>
      </c>
      <c r="BT3" s="381" t="e" cm="1">
        <f t="array" ref="BT3">INDEX('1_入力シート【基本情報】'!EN307:'1_入力シート【基本情報】'!EN526,BT1)</f>
        <v>#N/A</v>
      </c>
    </row>
    <row r="4" spans="1:72" s="619" customFormat="1" ht="12.75" customHeight="1">
      <c r="A4" s="675" t="s">
        <v>921</v>
      </c>
      <c r="B4" s="675"/>
      <c r="C4" s="675"/>
      <c r="D4" s="675"/>
      <c r="E4" s="672"/>
      <c r="F4" s="672"/>
      <c r="G4" s="672"/>
      <c r="H4" s="672"/>
      <c r="I4" s="672"/>
      <c r="J4" s="672"/>
      <c r="K4" s="672"/>
      <c r="L4" s="672"/>
      <c r="M4" s="672"/>
      <c r="N4" s="672"/>
      <c r="O4" s="672"/>
      <c r="P4" s="672"/>
      <c r="Q4" s="672"/>
      <c r="R4" s="672"/>
      <c r="S4" s="672"/>
      <c r="T4" s="672"/>
      <c r="U4" s="672"/>
      <c r="V4" s="672"/>
      <c r="W4" s="672"/>
      <c r="X4" s="672"/>
      <c r="Y4" s="672"/>
      <c r="Z4" s="672"/>
      <c r="AA4" s="672"/>
      <c r="AB4" s="672"/>
      <c r="AC4" s="672"/>
      <c r="AD4" s="672"/>
      <c r="AE4" s="672"/>
      <c r="AF4" s="672"/>
      <c r="AG4" s="672"/>
      <c r="AH4" s="672"/>
      <c r="AI4" s="672"/>
      <c r="AJ4" s="672"/>
      <c r="AK4" s="672"/>
      <c r="AL4" s="672"/>
      <c r="AM4" s="672"/>
      <c r="AN4" s="672"/>
      <c r="AO4" s="672"/>
      <c r="AP4" s="672"/>
      <c r="AQ4" s="672"/>
      <c r="AR4" s="672"/>
      <c r="AS4" s="672"/>
      <c r="AT4" s="672"/>
      <c r="AU4" s="672"/>
      <c r="AV4" s="620"/>
      <c r="AW4" s="620"/>
      <c r="AX4" s="620"/>
      <c r="AY4" s="381"/>
      <c r="AZ4" s="381"/>
      <c r="BA4" s="381" t="e" cm="1">
        <f t="array" ref="BA4">INDEX('1_入力シート【基本情報】'!DW307:'1_入力シート【基本情報】'!DW526,BA1)</f>
        <v>#N/A</v>
      </c>
      <c r="BB4" s="381" t="e" cm="1">
        <f t="array" ref="BB4">INDEX('1_入力シート【基本情報】'!DW307:'1_入力シート【基本情報】'!DW526,BB1)</f>
        <v>#N/A</v>
      </c>
      <c r="BC4" s="381" t="e" cm="1">
        <f t="array" ref="BC4">INDEX('1_入力シート【基本情報】'!DW307:'1_入力シート【基本情報】'!DW526,BC1)</f>
        <v>#N/A</v>
      </c>
      <c r="BD4" s="381" t="e" cm="1">
        <f t="array" ref="BD4">INDEX('1_入力シート【基本情報】'!DW307:'1_入力シート【基本情報】'!DW526,BD1)</f>
        <v>#N/A</v>
      </c>
      <c r="BE4" s="381" t="e" cm="1">
        <f t="array" ref="BE4">INDEX('1_入力シート【基本情報】'!DW307:'1_入力シート【基本情報】'!DW526,BE1)</f>
        <v>#N/A</v>
      </c>
      <c r="BF4" s="381" t="e" cm="1">
        <f t="array" ref="BF4">INDEX('1_入力シート【基本情報】'!DW307:'1_入力シート【基本情報】'!DW526,BF1)</f>
        <v>#N/A</v>
      </c>
      <c r="BG4" s="381" t="e" cm="1">
        <f t="array" ref="BG4">INDEX('1_入力シート【基本情報】'!DW307:'1_入力シート【基本情報】'!DW526,BG1)</f>
        <v>#N/A</v>
      </c>
      <c r="BH4" s="381" t="e" cm="1">
        <f t="array" ref="BH4">INDEX('1_入力シート【基本情報】'!DW307:'1_入力シート【基本情報】'!DW526,BH1)</f>
        <v>#N/A</v>
      </c>
      <c r="BI4" s="381" t="e" cm="1">
        <f t="array" ref="BI4">INDEX('1_入力シート【基本情報】'!DW307:'1_入力シート【基本情報】'!DW526,BI1)</f>
        <v>#N/A</v>
      </c>
      <c r="BJ4" s="381" t="e" cm="1">
        <f t="array" ref="BJ4">INDEX('1_入力シート【基本情報】'!DW307:'1_入力シート【基本情報】'!DW526,BJ1)</f>
        <v>#N/A</v>
      </c>
      <c r="BK4" s="381" t="e" cm="1">
        <f t="array" ref="BK4">INDEX('1_入力シート【基本情報】'!DW307:'1_入力シート【基本情報】'!DW526,BK1)</f>
        <v>#N/A</v>
      </c>
      <c r="BL4" s="381" t="e" cm="1">
        <f t="array" ref="BL4">INDEX('1_入力シート【基本情報】'!DW307:'1_入力シート【基本情報】'!DW526,BL1)</f>
        <v>#N/A</v>
      </c>
      <c r="BM4" s="381" t="e" cm="1">
        <f t="array" ref="BM4">INDEX('1_入力シート【基本情報】'!DW307:'1_入力シート【基本情報】'!DW526,BM1)</f>
        <v>#N/A</v>
      </c>
      <c r="BN4" s="381" t="e" cm="1">
        <f t="array" ref="BN4">INDEX('1_入力シート【基本情報】'!DW307:'1_入力シート【基本情報】'!DW526,BN1)</f>
        <v>#N/A</v>
      </c>
      <c r="BO4" s="381" t="e" cm="1">
        <f t="array" ref="BO4">INDEX('1_入力シート【基本情報】'!DW307:'1_入力シート【基本情報】'!DW526,BO1)</f>
        <v>#N/A</v>
      </c>
      <c r="BP4" s="381" t="e" cm="1">
        <f t="array" ref="BP4">INDEX('1_入力シート【基本情報】'!DW307:'1_入力シート【基本情報】'!DW526,BP1)</f>
        <v>#N/A</v>
      </c>
      <c r="BQ4" s="381" t="e" cm="1">
        <f t="array" ref="BQ4">INDEX('1_入力シート【基本情報】'!DW307:'1_入力シート【基本情報】'!DW526,BQ1)</f>
        <v>#N/A</v>
      </c>
      <c r="BR4" s="381" t="e" cm="1">
        <f t="array" ref="BR4">INDEX('1_入力シート【基本情報】'!DW307:'1_入力シート【基本情報】'!DW526,BR1)</f>
        <v>#N/A</v>
      </c>
      <c r="BS4" s="381" t="e" cm="1">
        <f t="array" ref="BS4">INDEX('1_入力シート【基本情報】'!DW307:'1_入力シート【基本情報】'!DW526,BS1)</f>
        <v>#N/A</v>
      </c>
      <c r="BT4" s="381" t="e" cm="1">
        <f t="array" ref="BT4">INDEX('1_入力シート【基本情報】'!DW307:'1_入力シート【基本情報】'!DW526,BT1)</f>
        <v>#N/A</v>
      </c>
    </row>
    <row r="5" spans="1:72" s="619" customFormat="1" ht="71.25" customHeight="1">
      <c r="A5" s="672"/>
      <c r="B5" s="2631" t="s">
        <v>3016</v>
      </c>
      <c r="C5" s="2631"/>
      <c r="D5" s="2631"/>
      <c r="E5" s="2631"/>
      <c r="F5" s="2631"/>
      <c r="G5" s="2631"/>
      <c r="H5" s="2631"/>
      <c r="I5" s="2631"/>
      <c r="J5" s="2631"/>
      <c r="K5" s="2631"/>
      <c r="L5" s="2631"/>
      <c r="M5" s="2631"/>
      <c r="N5" s="2631"/>
      <c r="O5" s="2631"/>
      <c r="P5" s="2631"/>
      <c r="Q5" s="2631"/>
      <c r="R5" s="2631"/>
      <c r="S5" s="2631"/>
      <c r="T5" s="2631"/>
      <c r="U5" s="2631"/>
      <c r="V5" s="2631"/>
      <c r="W5" s="2631"/>
      <c r="X5" s="2631"/>
      <c r="Y5" s="2631"/>
      <c r="Z5" s="2631"/>
      <c r="AA5" s="2631"/>
      <c r="AB5" s="2631"/>
      <c r="AC5" s="2631"/>
      <c r="AD5" s="2631"/>
      <c r="AE5" s="2631"/>
      <c r="AF5" s="2631"/>
      <c r="AG5" s="2631"/>
      <c r="AH5" s="2631"/>
      <c r="AI5" s="2631"/>
      <c r="AJ5" s="2631"/>
      <c r="AK5" s="2631"/>
      <c r="AL5" s="2631"/>
      <c r="AM5" s="2631"/>
      <c r="AN5" s="2631"/>
      <c r="AO5" s="2631"/>
      <c r="AP5" s="2631"/>
      <c r="AQ5" s="2631"/>
      <c r="AR5" s="2631"/>
      <c r="AS5" s="2631"/>
      <c r="AT5" s="2631"/>
      <c r="AU5" s="2631"/>
      <c r="AV5" s="620"/>
      <c r="AW5" s="620"/>
      <c r="AX5" s="620"/>
      <c r="AY5" s="381"/>
      <c r="AZ5" s="381"/>
      <c r="BA5" s="381"/>
      <c r="BB5" s="381"/>
      <c r="BC5" s="381"/>
      <c r="BD5" s="381"/>
      <c r="BE5" s="381"/>
      <c r="BF5" s="381"/>
      <c r="BG5" s="381"/>
      <c r="BH5" s="381"/>
      <c r="BI5" s="381"/>
      <c r="BJ5" s="381"/>
      <c r="BK5" s="381"/>
      <c r="BL5" s="381"/>
      <c r="BM5" s="381"/>
      <c r="BN5" s="381"/>
      <c r="BO5" s="381"/>
      <c r="BP5" s="381"/>
      <c r="BQ5" s="381"/>
      <c r="BR5" s="381"/>
      <c r="BS5" s="381"/>
      <c r="BT5" s="381"/>
    </row>
    <row r="6" spans="1:72" ht="12.75" customHeight="1">
      <c r="AW6" s="381"/>
      <c r="AX6" s="381"/>
    </row>
    <row r="7" spans="1:72" ht="12.75" customHeight="1">
      <c r="A7" s="617" t="s">
        <v>18</v>
      </c>
      <c r="B7" s="617" t="s">
        <v>160</v>
      </c>
      <c r="C7" s="617">
        <v>2</v>
      </c>
      <c r="D7" s="617" t="s">
        <v>5</v>
      </c>
      <c r="E7" s="617" t="s">
        <v>6</v>
      </c>
      <c r="F7" s="617"/>
      <c r="G7" s="617" t="s">
        <v>25</v>
      </c>
      <c r="H7" s="617" t="s">
        <v>182</v>
      </c>
      <c r="I7" s="617">
        <v>4</v>
      </c>
      <c r="J7" s="617" t="s">
        <v>22</v>
      </c>
      <c r="AO7" s="758" t="str">
        <f>チェックシート!H3</f>
        <v>Kyoto City(R4.11) ver112</v>
      </c>
      <c r="AP7" s="705" t="str">
        <f>IF('1_入力シート【基本情報】'!$AB$7="","",'1_入力シート【基本情報】'!$AB$7)</f>
        <v/>
      </c>
      <c r="AQ7" s="703" t="str">
        <f>IF('1_入力シート【基本情報】'!$AK$7="","",'1_入力シート【基本情報】'!$AK$7)</f>
        <v/>
      </c>
      <c r="AR7" s="2606" t="str">
        <f>IF('1_入力シート【基本情報】'!$AT$7="","",TEXT('1_入力シート【基本情報】'!$AT$7,"0000"))</f>
        <v/>
      </c>
      <c r="AS7" s="2607"/>
      <c r="AT7" s="2607"/>
      <c r="AU7" s="2608"/>
      <c r="AW7" s="381"/>
      <c r="AX7" s="381"/>
    </row>
    <row r="8" spans="1:72" ht="12.75" customHeight="1">
      <c r="U8" s="2665" t="s">
        <v>181</v>
      </c>
      <c r="V8" s="2665"/>
      <c r="W8" s="2665"/>
      <c r="X8" s="2665"/>
      <c r="Y8" s="2665"/>
      <c r="Z8" s="2665"/>
      <c r="AW8" s="381"/>
      <c r="AX8" s="381"/>
    </row>
    <row r="9" spans="1:72" ht="12.75" customHeight="1">
      <c r="AW9" s="381"/>
      <c r="AX9" s="381"/>
    </row>
    <row r="10" spans="1:72" ht="15.75" customHeight="1">
      <c r="A10" s="2634" t="s">
        <v>161</v>
      </c>
      <c r="B10" s="2635"/>
      <c r="C10" s="2636"/>
      <c r="D10" s="2653" t="s">
        <v>162</v>
      </c>
      <c r="E10" s="2654"/>
      <c r="F10" s="2654"/>
      <c r="G10" s="2654"/>
      <c r="H10" s="2654"/>
      <c r="I10" s="2654"/>
      <c r="J10" s="2655"/>
      <c r="K10" s="621"/>
      <c r="L10" s="622"/>
      <c r="M10" s="622"/>
      <c r="N10" s="622"/>
      <c r="O10" s="622"/>
      <c r="P10" s="622"/>
      <c r="Q10" s="622"/>
      <c r="R10" s="622"/>
      <c r="S10" s="623" t="s">
        <v>7</v>
      </c>
      <c r="T10" s="623" t="s">
        <v>8</v>
      </c>
      <c r="U10" s="623" t="s">
        <v>9</v>
      </c>
      <c r="V10" s="623" t="s">
        <v>163</v>
      </c>
      <c r="W10" s="623"/>
      <c r="X10" s="623"/>
      <c r="Y10" s="623"/>
      <c r="Z10" s="623"/>
      <c r="AA10" s="623"/>
      <c r="AB10" s="623"/>
      <c r="AC10" s="623"/>
      <c r="AD10" s="623"/>
      <c r="AE10" s="623"/>
      <c r="AF10" s="623"/>
      <c r="AG10" s="623"/>
      <c r="AH10" s="623"/>
      <c r="AI10" s="624"/>
      <c r="AJ10" s="625"/>
      <c r="AK10" s="2654" t="s">
        <v>33</v>
      </c>
      <c r="AL10" s="2654"/>
      <c r="AM10" s="2654"/>
      <c r="AN10" s="2654"/>
      <c r="AO10" s="2654"/>
      <c r="AP10" s="2654"/>
      <c r="AQ10" s="2654"/>
      <c r="AR10" s="2654"/>
      <c r="AS10" s="2654"/>
      <c r="AT10" s="2654"/>
      <c r="AU10" s="626"/>
      <c r="AW10" s="381"/>
      <c r="AX10" s="381"/>
    </row>
    <row r="11" spans="1:72" ht="15.75" customHeight="1" thickBot="1">
      <c r="A11" s="2647"/>
      <c r="B11" s="2648"/>
      <c r="C11" s="2649"/>
      <c r="D11" s="2669" t="str">
        <f>IFERROR(VLOOKUP(1,'1_入力シート【基本情報】'!$DU$307:$DX$526,3,FALSE),"")</f>
        <v/>
      </c>
      <c r="E11" s="2670"/>
      <c r="F11" s="2670"/>
      <c r="G11" s="2670"/>
      <c r="H11" s="2670"/>
      <c r="I11" s="2670"/>
      <c r="J11" s="2671"/>
      <c r="K11" s="2656" t="str">
        <f>IFERROR(VLOOKUP(1,'1_入力シート【基本情報】'!$DU$307:$DX$526,4,FALSE),"")</f>
        <v/>
      </c>
      <c r="L11" s="2657"/>
      <c r="M11" s="2657"/>
      <c r="N11" s="2657"/>
      <c r="O11" s="2657"/>
      <c r="P11" s="2657"/>
      <c r="Q11" s="2657"/>
      <c r="R11" s="2657"/>
      <c r="S11" s="2657"/>
      <c r="T11" s="2657"/>
      <c r="U11" s="2657"/>
      <c r="V11" s="2657"/>
      <c r="W11" s="2657"/>
      <c r="X11" s="2657"/>
      <c r="Y11" s="2657"/>
      <c r="Z11" s="2657"/>
      <c r="AA11" s="2657"/>
      <c r="AB11" s="2657"/>
      <c r="AC11" s="2657"/>
      <c r="AD11" s="2657"/>
      <c r="AE11" s="2657"/>
      <c r="AF11" s="2657"/>
      <c r="AG11" s="2657"/>
      <c r="AH11" s="2657"/>
      <c r="AI11" s="2658"/>
      <c r="AJ11" s="195"/>
      <c r="AK11" s="195"/>
      <c r="AL11" s="195"/>
      <c r="AM11" s="195"/>
      <c r="AN11" s="195"/>
      <c r="AO11" s="195"/>
      <c r="AP11" s="195"/>
      <c r="AQ11" s="195"/>
      <c r="AR11" s="195"/>
      <c r="AS11" s="195"/>
      <c r="AT11" s="195"/>
      <c r="AU11" s="200"/>
      <c r="AW11" s="381"/>
      <c r="AX11" s="381"/>
    </row>
    <row r="12" spans="1:72" ht="15.75" customHeight="1" thickBot="1">
      <c r="A12" s="2647"/>
      <c r="B12" s="2648"/>
      <c r="C12" s="2649"/>
      <c r="D12" s="2672"/>
      <c r="E12" s="2673"/>
      <c r="F12" s="2673"/>
      <c r="G12" s="2673"/>
      <c r="H12" s="2673"/>
      <c r="I12" s="2673"/>
      <c r="J12" s="2674"/>
      <c r="K12" s="2659"/>
      <c r="L12" s="2660"/>
      <c r="M12" s="2660"/>
      <c r="N12" s="2660"/>
      <c r="O12" s="2660"/>
      <c r="P12" s="2660"/>
      <c r="Q12" s="2660"/>
      <c r="R12" s="2660"/>
      <c r="S12" s="2660"/>
      <c r="T12" s="2660"/>
      <c r="U12" s="2660"/>
      <c r="V12" s="2660"/>
      <c r="W12" s="2660"/>
      <c r="X12" s="2660"/>
      <c r="Y12" s="2660"/>
      <c r="Z12" s="2660"/>
      <c r="AA12" s="2660"/>
      <c r="AB12" s="2660"/>
      <c r="AC12" s="2660"/>
      <c r="AD12" s="2660"/>
      <c r="AE12" s="2660"/>
      <c r="AF12" s="2660"/>
      <c r="AG12" s="2660"/>
      <c r="AH12" s="2660"/>
      <c r="AI12" s="2661"/>
      <c r="AJ12" s="195"/>
      <c r="AK12" s="665" t="str">
        <f>IF(D11&lt;&gt;"","☑","☐")</f>
        <v>☐</v>
      </c>
      <c r="AL12" s="195" t="s">
        <v>14</v>
      </c>
      <c r="AM12" s="195" t="s">
        <v>21</v>
      </c>
      <c r="AN12" s="195" t="s">
        <v>15</v>
      </c>
      <c r="AO12" s="195"/>
      <c r="AP12" s="783" t="s">
        <v>3319</v>
      </c>
      <c r="AQ12" s="195" t="s">
        <v>27</v>
      </c>
      <c r="AR12" s="195" t="s">
        <v>23</v>
      </c>
      <c r="AS12" s="195" t="s">
        <v>13</v>
      </c>
      <c r="AT12" s="195"/>
      <c r="AU12" s="200"/>
      <c r="AV12" s="627"/>
      <c r="AW12" s="381"/>
      <c r="AX12" s="381"/>
      <c r="BA12" s="802" t="b">
        <f>AP12="☑"</f>
        <v>0</v>
      </c>
    </row>
    <row r="13" spans="1:72" ht="15.75" customHeight="1">
      <c r="A13" s="2650"/>
      <c r="B13" s="2651"/>
      <c r="C13" s="2652"/>
      <c r="D13" s="2675"/>
      <c r="E13" s="2676"/>
      <c r="F13" s="2676"/>
      <c r="G13" s="2676"/>
      <c r="H13" s="2676"/>
      <c r="I13" s="2676"/>
      <c r="J13" s="2677"/>
      <c r="K13" s="2662"/>
      <c r="L13" s="2663"/>
      <c r="M13" s="2663"/>
      <c r="N13" s="2663"/>
      <c r="O13" s="2663"/>
      <c r="P13" s="2663"/>
      <c r="Q13" s="2663"/>
      <c r="R13" s="2663"/>
      <c r="S13" s="2663"/>
      <c r="T13" s="2663"/>
      <c r="U13" s="2663"/>
      <c r="V13" s="2663"/>
      <c r="W13" s="2663"/>
      <c r="X13" s="2663"/>
      <c r="Y13" s="2663"/>
      <c r="Z13" s="2663"/>
      <c r="AA13" s="2663"/>
      <c r="AB13" s="2663"/>
      <c r="AC13" s="2663"/>
      <c r="AD13" s="2663"/>
      <c r="AE13" s="2663"/>
      <c r="AF13" s="2663"/>
      <c r="AG13" s="2663"/>
      <c r="AH13" s="2663"/>
      <c r="AI13" s="2664"/>
      <c r="AJ13" s="196"/>
      <c r="AK13" s="196"/>
      <c r="AL13" s="196"/>
      <c r="AM13" s="196"/>
      <c r="AN13" s="196"/>
      <c r="AO13" s="196"/>
      <c r="AP13" s="196"/>
      <c r="AQ13" s="196"/>
      <c r="AR13" s="196"/>
      <c r="AS13" s="196"/>
      <c r="AT13" s="196"/>
      <c r="AU13" s="201"/>
      <c r="AW13" s="381"/>
      <c r="AX13" s="381"/>
    </row>
    <row r="14" spans="1:72" ht="15.75" customHeight="1">
      <c r="A14" s="8"/>
      <c r="B14" s="616"/>
      <c r="C14" s="616"/>
      <c r="D14" s="616"/>
      <c r="E14" s="616"/>
      <c r="F14" s="616"/>
      <c r="G14" s="616"/>
      <c r="H14" s="616"/>
      <c r="I14" s="616"/>
      <c r="J14" s="616"/>
      <c r="K14" s="616"/>
      <c r="L14" s="616"/>
      <c r="M14" s="616"/>
      <c r="N14" s="616"/>
      <c r="O14" s="616"/>
      <c r="P14" s="616"/>
      <c r="Q14" s="616"/>
      <c r="R14" s="616"/>
      <c r="S14" s="616"/>
      <c r="T14" s="616"/>
      <c r="U14" s="616"/>
      <c r="V14" s="616"/>
      <c r="W14" s="616"/>
      <c r="X14" s="616"/>
      <c r="Y14" s="9"/>
      <c r="Z14" s="140"/>
      <c r="AA14" s="141" t="s">
        <v>11</v>
      </c>
      <c r="AB14" s="141" t="s">
        <v>10</v>
      </c>
      <c r="AC14" s="141" t="s">
        <v>16</v>
      </c>
      <c r="AD14" s="141" t="s">
        <v>9</v>
      </c>
      <c r="AE14" s="141"/>
      <c r="AF14" s="141"/>
      <c r="AG14" s="141"/>
      <c r="AH14" s="141"/>
      <c r="AI14" s="141"/>
      <c r="AJ14" s="142"/>
      <c r="AK14" s="142"/>
      <c r="AL14" s="142"/>
      <c r="AM14" s="142"/>
      <c r="AN14" s="142"/>
      <c r="AO14" s="142"/>
      <c r="AP14" s="142"/>
      <c r="AQ14" s="142"/>
      <c r="AR14" s="142"/>
      <c r="AS14" s="142"/>
      <c r="AT14" s="142"/>
      <c r="AU14" s="143"/>
      <c r="AW14" s="381"/>
      <c r="AX14" s="381"/>
    </row>
    <row r="15" spans="1:72" ht="15.75" customHeight="1">
      <c r="A15" s="8"/>
      <c r="B15" s="616"/>
      <c r="C15" s="616"/>
      <c r="D15" s="616"/>
      <c r="E15" s="616"/>
      <c r="F15" s="616"/>
      <c r="G15" s="616"/>
      <c r="H15" s="616"/>
      <c r="I15" s="616"/>
      <c r="J15" s="616"/>
      <c r="K15" s="616"/>
      <c r="L15" s="616"/>
      <c r="M15" s="616"/>
      <c r="N15" s="616"/>
      <c r="O15" s="616"/>
      <c r="P15" s="616"/>
      <c r="Q15" s="616"/>
      <c r="R15" s="616"/>
      <c r="S15" s="616"/>
      <c r="T15" s="616"/>
      <c r="U15" s="616"/>
      <c r="V15" s="616"/>
      <c r="W15" s="616"/>
      <c r="X15" s="616"/>
      <c r="Y15" s="9"/>
      <c r="Z15" s="2678"/>
      <c r="AA15" s="2679"/>
      <c r="AB15" s="2679"/>
      <c r="AC15" s="2679"/>
      <c r="AD15" s="2679"/>
      <c r="AE15" s="2679"/>
      <c r="AF15" s="2679"/>
      <c r="AG15" s="2679"/>
      <c r="AH15" s="2679"/>
      <c r="AI15" s="2679"/>
      <c r="AJ15" s="2679"/>
      <c r="AK15" s="2679"/>
      <c r="AL15" s="2679"/>
      <c r="AM15" s="2679"/>
      <c r="AN15" s="2679"/>
      <c r="AO15" s="144"/>
      <c r="AP15" s="144"/>
      <c r="AQ15" s="144"/>
      <c r="AR15" s="144"/>
      <c r="AS15" s="144"/>
      <c r="AT15" s="144"/>
      <c r="AU15" s="145"/>
      <c r="AW15" s="381"/>
      <c r="AX15" s="381"/>
    </row>
    <row r="16" spans="1:72" ht="15.75" customHeight="1">
      <c r="A16" s="8"/>
      <c r="B16" s="616"/>
      <c r="C16" s="616"/>
      <c r="D16" s="616"/>
      <c r="E16" s="616"/>
      <c r="F16" s="616"/>
      <c r="G16" s="616"/>
      <c r="H16" s="616"/>
      <c r="I16" s="616"/>
      <c r="J16" s="616"/>
      <c r="K16" s="616"/>
      <c r="L16" s="616"/>
      <c r="M16" s="616"/>
      <c r="N16" s="616"/>
      <c r="O16" s="616"/>
      <c r="P16" s="616"/>
      <c r="Q16" s="616"/>
      <c r="R16" s="616"/>
      <c r="S16" s="616"/>
      <c r="T16" s="616"/>
      <c r="U16" s="616"/>
      <c r="V16" s="616"/>
      <c r="W16" s="616"/>
      <c r="X16" s="616"/>
      <c r="Y16" s="9"/>
      <c r="Z16" s="2611" t="str">
        <f>IFERROR(VLOOKUP(1,'1_入力シート【基本情報】'!$DU$307:$DZ$526,5,FALSE),"")</f>
        <v/>
      </c>
      <c r="AA16" s="2612"/>
      <c r="AB16" s="2612"/>
      <c r="AC16" s="2612"/>
      <c r="AD16" s="2612"/>
      <c r="AE16" s="2612"/>
      <c r="AF16" s="2612"/>
      <c r="AG16" s="2612"/>
      <c r="AH16" s="2612"/>
      <c r="AI16" s="2612"/>
      <c r="AJ16" s="2612"/>
      <c r="AK16" s="2612"/>
      <c r="AL16" s="2612"/>
      <c r="AM16" s="2612"/>
      <c r="AN16" s="2612"/>
      <c r="AO16" s="2612"/>
      <c r="AP16" s="2612"/>
      <c r="AQ16" s="2612"/>
      <c r="AR16" s="2612"/>
      <c r="AS16" s="2612"/>
      <c r="AT16" s="2612"/>
      <c r="AU16" s="2613"/>
      <c r="AW16" s="381"/>
      <c r="AX16" s="381"/>
    </row>
    <row r="17" spans="1:50" ht="15.75" customHeight="1">
      <c r="A17" s="8"/>
      <c r="B17" s="616"/>
      <c r="C17" s="616"/>
      <c r="D17" s="616"/>
      <c r="E17" s="616"/>
      <c r="F17" s="616"/>
      <c r="G17" s="616"/>
      <c r="H17" s="616"/>
      <c r="I17" s="616"/>
      <c r="J17" s="616"/>
      <c r="K17" s="616"/>
      <c r="L17" s="616"/>
      <c r="M17" s="616"/>
      <c r="N17" s="616"/>
      <c r="O17" s="616"/>
      <c r="P17" s="616"/>
      <c r="Q17" s="616"/>
      <c r="R17" s="616"/>
      <c r="S17" s="616"/>
      <c r="T17" s="616"/>
      <c r="U17" s="616"/>
      <c r="V17" s="616"/>
      <c r="W17" s="616"/>
      <c r="X17" s="616"/>
      <c r="Y17" s="9"/>
      <c r="Z17" s="2614"/>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6"/>
      <c r="AW17" s="381"/>
      <c r="AX17" s="381"/>
    </row>
    <row r="18" spans="1:50" ht="15.75" customHeight="1">
      <c r="A18" s="8"/>
      <c r="B18" s="616"/>
      <c r="C18" s="616"/>
      <c r="D18" s="616"/>
      <c r="E18" s="616"/>
      <c r="F18" s="616"/>
      <c r="G18" s="616"/>
      <c r="H18" s="616"/>
      <c r="I18" s="616"/>
      <c r="J18" s="616"/>
      <c r="K18" s="616"/>
      <c r="L18" s="616"/>
      <c r="M18" s="616"/>
      <c r="N18" s="616"/>
      <c r="O18" s="616"/>
      <c r="P18" s="616"/>
      <c r="Q18" s="616"/>
      <c r="R18" s="616"/>
      <c r="S18" s="616"/>
      <c r="T18" s="616"/>
      <c r="U18" s="616"/>
      <c r="V18" s="616"/>
      <c r="W18" s="616"/>
      <c r="X18" s="616"/>
      <c r="Y18" s="9"/>
      <c r="Z18" s="2666"/>
      <c r="AA18" s="2667"/>
      <c r="AB18" s="2667"/>
      <c r="AC18" s="2667"/>
      <c r="AD18" s="2667"/>
      <c r="AE18" s="2667"/>
      <c r="AF18" s="2667"/>
      <c r="AG18" s="2667"/>
      <c r="AH18" s="2667"/>
      <c r="AI18" s="2667"/>
      <c r="AJ18" s="2667"/>
      <c r="AK18" s="2667"/>
      <c r="AL18" s="2667"/>
      <c r="AM18" s="2667"/>
      <c r="AN18" s="2667"/>
      <c r="AO18" s="2667"/>
      <c r="AP18" s="2667"/>
      <c r="AQ18" s="2667"/>
      <c r="AR18" s="2667"/>
      <c r="AS18" s="2667"/>
      <c r="AT18" s="2667"/>
      <c r="AU18" s="2668"/>
      <c r="AW18" s="381"/>
      <c r="AX18" s="381"/>
    </row>
    <row r="19" spans="1:50" ht="15.75" customHeight="1">
      <c r="A19" s="8"/>
      <c r="B19" s="616"/>
      <c r="C19" s="616"/>
      <c r="D19" s="616"/>
      <c r="E19" s="616"/>
      <c r="F19" s="616"/>
      <c r="G19" s="616"/>
      <c r="H19" s="616"/>
      <c r="I19" s="616"/>
      <c r="J19" s="616"/>
      <c r="K19" s="616"/>
      <c r="L19" s="616"/>
      <c r="M19" s="616"/>
      <c r="N19" s="616"/>
      <c r="O19" s="616"/>
      <c r="P19" s="616"/>
      <c r="Q19" s="616"/>
      <c r="R19" s="616"/>
      <c r="S19" s="616"/>
      <c r="T19" s="616"/>
      <c r="U19" s="616"/>
      <c r="V19" s="616"/>
      <c r="W19" s="616"/>
      <c r="X19" s="616"/>
      <c r="Y19" s="9"/>
      <c r="Z19" s="2620"/>
      <c r="AA19" s="2621"/>
      <c r="AB19" s="2621"/>
      <c r="AC19" s="2621"/>
      <c r="AD19" s="2621"/>
      <c r="AE19" s="2621"/>
      <c r="AF19" s="2621"/>
      <c r="AG19" s="2621"/>
      <c r="AH19" s="2621"/>
      <c r="AI19" s="2621"/>
      <c r="AJ19" s="2621"/>
      <c r="AK19" s="2621"/>
      <c r="AL19" s="2621"/>
      <c r="AM19" s="2621"/>
      <c r="AN19" s="2621"/>
      <c r="AO19" s="2621"/>
      <c r="AP19" s="2621"/>
      <c r="AQ19" s="2621"/>
      <c r="AR19" s="2621"/>
      <c r="AS19" s="2621"/>
      <c r="AT19" s="2621"/>
      <c r="AU19" s="2622"/>
      <c r="AW19" s="381"/>
      <c r="AX19" s="381"/>
    </row>
    <row r="20" spans="1:50" ht="15.75" customHeight="1">
      <c r="A20" s="8"/>
      <c r="B20" s="616"/>
      <c r="C20" s="616"/>
      <c r="D20" s="616"/>
      <c r="E20" s="616"/>
      <c r="F20" s="616"/>
      <c r="G20" s="616"/>
      <c r="H20" s="616"/>
      <c r="I20" s="616"/>
      <c r="J20" s="616"/>
      <c r="K20" s="616"/>
      <c r="L20" s="616"/>
      <c r="M20" s="616"/>
      <c r="N20" s="616"/>
      <c r="O20" s="616"/>
      <c r="P20" s="616"/>
      <c r="Q20" s="616"/>
      <c r="R20" s="616"/>
      <c r="S20" s="616"/>
      <c r="T20" s="616"/>
      <c r="U20" s="616"/>
      <c r="V20" s="616"/>
      <c r="W20" s="616"/>
      <c r="X20" s="616"/>
      <c r="Y20" s="9"/>
      <c r="Z20" s="2620"/>
      <c r="AA20" s="2621"/>
      <c r="AB20" s="2621"/>
      <c r="AC20" s="2621"/>
      <c r="AD20" s="2621"/>
      <c r="AE20" s="2621"/>
      <c r="AF20" s="2621"/>
      <c r="AG20" s="2621"/>
      <c r="AH20" s="2621"/>
      <c r="AI20" s="2621"/>
      <c r="AJ20" s="2621"/>
      <c r="AK20" s="2621"/>
      <c r="AL20" s="2621"/>
      <c r="AM20" s="2621"/>
      <c r="AN20" s="2621"/>
      <c r="AO20" s="2621"/>
      <c r="AP20" s="2621"/>
      <c r="AQ20" s="2621"/>
      <c r="AR20" s="2621"/>
      <c r="AS20" s="2621"/>
      <c r="AT20" s="2621"/>
      <c r="AU20" s="2622"/>
      <c r="AW20" s="381"/>
      <c r="AX20" s="381"/>
    </row>
    <row r="21" spans="1:50" ht="15.75" customHeight="1">
      <c r="A21" s="8"/>
      <c r="B21" s="616"/>
      <c r="C21" s="616"/>
      <c r="D21" s="616"/>
      <c r="E21" s="616"/>
      <c r="F21" s="616"/>
      <c r="G21" s="616"/>
      <c r="H21" s="616"/>
      <c r="I21" s="616"/>
      <c r="J21" s="616"/>
      <c r="K21" s="616"/>
      <c r="L21" s="616"/>
      <c r="M21" s="616"/>
      <c r="N21" s="616"/>
      <c r="O21" s="616"/>
      <c r="P21" s="616"/>
      <c r="Q21" s="616"/>
      <c r="R21" s="616"/>
      <c r="S21" s="616"/>
      <c r="T21" s="616"/>
      <c r="U21" s="616"/>
      <c r="V21" s="616"/>
      <c r="W21" s="616"/>
      <c r="X21" s="616"/>
      <c r="Y21" s="9"/>
      <c r="Z21" s="2620"/>
      <c r="AA21" s="2621"/>
      <c r="AB21" s="2621"/>
      <c r="AC21" s="2621"/>
      <c r="AD21" s="2621"/>
      <c r="AE21" s="2621"/>
      <c r="AF21" s="2621"/>
      <c r="AG21" s="2621"/>
      <c r="AH21" s="2621"/>
      <c r="AI21" s="2621"/>
      <c r="AJ21" s="2621"/>
      <c r="AK21" s="2621"/>
      <c r="AL21" s="2621"/>
      <c r="AM21" s="2621"/>
      <c r="AN21" s="2621"/>
      <c r="AO21" s="2621"/>
      <c r="AP21" s="2621"/>
      <c r="AQ21" s="2621"/>
      <c r="AR21" s="2621"/>
      <c r="AS21" s="2621"/>
      <c r="AT21" s="2621"/>
      <c r="AU21" s="2622"/>
      <c r="AW21" s="381"/>
      <c r="AX21" s="381"/>
    </row>
    <row r="22" spans="1:50" ht="15.75" customHeight="1">
      <c r="A22" s="8"/>
      <c r="B22" s="616"/>
      <c r="C22" s="616"/>
      <c r="D22" s="616"/>
      <c r="E22" s="616"/>
      <c r="F22" s="616"/>
      <c r="G22" s="616"/>
      <c r="H22" s="616"/>
      <c r="I22" s="616"/>
      <c r="J22" s="616"/>
      <c r="K22" s="2629" t="s">
        <v>164</v>
      </c>
      <c r="L22" s="2629"/>
      <c r="M22" s="2629"/>
      <c r="N22" s="2629"/>
      <c r="O22" s="2629"/>
      <c r="P22" s="2629"/>
      <c r="Q22" s="616"/>
      <c r="R22" s="616"/>
      <c r="S22" s="616"/>
      <c r="T22" s="616"/>
      <c r="U22" s="616"/>
      <c r="V22" s="616"/>
      <c r="W22" s="616"/>
      <c r="X22" s="616"/>
      <c r="Y22" s="9"/>
      <c r="Z22" s="2620"/>
      <c r="AA22" s="2621"/>
      <c r="AB22" s="2621"/>
      <c r="AC22" s="2621"/>
      <c r="AD22" s="2621"/>
      <c r="AE22" s="2621"/>
      <c r="AF22" s="2621"/>
      <c r="AG22" s="2621"/>
      <c r="AH22" s="2621"/>
      <c r="AI22" s="2621"/>
      <c r="AJ22" s="2621"/>
      <c r="AK22" s="2621"/>
      <c r="AL22" s="2621"/>
      <c r="AM22" s="2621"/>
      <c r="AN22" s="2621"/>
      <c r="AO22" s="2621"/>
      <c r="AP22" s="2621"/>
      <c r="AQ22" s="2621"/>
      <c r="AR22" s="2621"/>
      <c r="AS22" s="2621"/>
      <c r="AT22" s="2621"/>
      <c r="AU22" s="2622"/>
      <c r="AW22" s="381"/>
      <c r="AX22" s="381"/>
    </row>
    <row r="23" spans="1:50" ht="15.75" customHeight="1">
      <c r="A23" s="8"/>
      <c r="B23" s="616"/>
      <c r="C23" s="616"/>
      <c r="D23" s="616"/>
      <c r="E23" s="616"/>
      <c r="F23" s="616"/>
      <c r="G23" s="616"/>
      <c r="H23" s="616"/>
      <c r="I23" s="616"/>
      <c r="J23" s="616"/>
      <c r="K23" s="616"/>
      <c r="L23" s="616"/>
      <c r="M23" s="616"/>
      <c r="N23" s="616"/>
      <c r="O23" s="616"/>
      <c r="P23" s="616"/>
      <c r="Q23" s="616"/>
      <c r="R23" s="616"/>
      <c r="S23" s="616"/>
      <c r="T23" s="616"/>
      <c r="U23" s="616"/>
      <c r="V23" s="616"/>
      <c r="W23" s="616"/>
      <c r="X23" s="616"/>
      <c r="Y23" s="9"/>
      <c r="Z23" s="2620"/>
      <c r="AA23" s="2621"/>
      <c r="AB23" s="2621"/>
      <c r="AC23" s="2621"/>
      <c r="AD23" s="2621"/>
      <c r="AE23" s="2621"/>
      <c r="AF23" s="2621"/>
      <c r="AG23" s="2621"/>
      <c r="AH23" s="2621"/>
      <c r="AI23" s="2621"/>
      <c r="AJ23" s="2621"/>
      <c r="AK23" s="2621"/>
      <c r="AL23" s="2621"/>
      <c r="AM23" s="2621"/>
      <c r="AN23" s="2621"/>
      <c r="AO23" s="2621"/>
      <c r="AP23" s="2621"/>
      <c r="AQ23" s="2621"/>
      <c r="AR23" s="2621"/>
      <c r="AS23" s="2621"/>
      <c r="AT23" s="2621"/>
      <c r="AU23" s="2622"/>
      <c r="AW23" s="381"/>
      <c r="AX23" s="381"/>
    </row>
    <row r="24" spans="1:50" ht="15.75" customHeight="1">
      <c r="A24" s="8"/>
      <c r="B24" s="616"/>
      <c r="C24" s="616"/>
      <c r="D24" s="616"/>
      <c r="E24" s="616"/>
      <c r="F24" s="616"/>
      <c r="G24" s="616"/>
      <c r="H24" s="616"/>
      <c r="I24" s="616"/>
      <c r="J24" s="616"/>
      <c r="K24" s="616"/>
      <c r="L24" s="616"/>
      <c r="M24" s="616"/>
      <c r="N24" s="616"/>
      <c r="O24" s="616"/>
      <c r="P24" s="616"/>
      <c r="Q24" s="616"/>
      <c r="R24" s="616"/>
      <c r="S24" s="616"/>
      <c r="T24" s="616"/>
      <c r="U24" s="616"/>
      <c r="V24" s="616"/>
      <c r="W24" s="616"/>
      <c r="X24" s="616"/>
      <c r="Y24" s="9"/>
      <c r="Z24" s="2620"/>
      <c r="AA24" s="2621"/>
      <c r="AB24" s="2621"/>
      <c r="AC24" s="2621"/>
      <c r="AD24" s="2621"/>
      <c r="AE24" s="2621"/>
      <c r="AF24" s="2621"/>
      <c r="AG24" s="2621"/>
      <c r="AH24" s="2621"/>
      <c r="AI24" s="2621"/>
      <c r="AJ24" s="2621"/>
      <c r="AK24" s="2621"/>
      <c r="AL24" s="2621"/>
      <c r="AM24" s="2621"/>
      <c r="AN24" s="2621"/>
      <c r="AO24" s="2621"/>
      <c r="AP24" s="2621"/>
      <c r="AQ24" s="2621"/>
      <c r="AR24" s="2621"/>
      <c r="AS24" s="2621"/>
      <c r="AT24" s="2621"/>
      <c r="AU24" s="2622"/>
      <c r="AW24" s="381"/>
      <c r="AX24" s="381"/>
    </row>
    <row r="25" spans="1:50" ht="15.75" customHeight="1">
      <c r="A25" s="8"/>
      <c r="B25" s="616"/>
      <c r="C25" s="616"/>
      <c r="D25" s="616"/>
      <c r="E25" s="616"/>
      <c r="F25" s="616"/>
      <c r="G25" s="616"/>
      <c r="H25" s="616"/>
      <c r="I25" s="616"/>
      <c r="J25" s="616"/>
      <c r="K25" s="616"/>
      <c r="L25" s="616"/>
      <c r="M25" s="616"/>
      <c r="N25" s="616"/>
      <c r="O25" s="616"/>
      <c r="P25" s="616"/>
      <c r="Q25" s="616"/>
      <c r="R25" s="616"/>
      <c r="S25" s="616"/>
      <c r="T25" s="616"/>
      <c r="U25" s="616"/>
      <c r="V25" s="616"/>
      <c r="W25" s="616"/>
      <c r="X25" s="616"/>
      <c r="Y25" s="9"/>
      <c r="Z25" s="2620"/>
      <c r="AA25" s="2621"/>
      <c r="AB25" s="2621"/>
      <c r="AC25" s="2621"/>
      <c r="AD25" s="2621"/>
      <c r="AE25" s="2621"/>
      <c r="AF25" s="2621"/>
      <c r="AG25" s="2621"/>
      <c r="AH25" s="2621"/>
      <c r="AI25" s="2621"/>
      <c r="AJ25" s="2621"/>
      <c r="AK25" s="2621"/>
      <c r="AL25" s="2621"/>
      <c r="AM25" s="2621"/>
      <c r="AN25" s="2621"/>
      <c r="AO25" s="2621"/>
      <c r="AP25" s="2621"/>
      <c r="AQ25" s="2621"/>
      <c r="AR25" s="2621"/>
      <c r="AS25" s="2621"/>
      <c r="AT25" s="2621"/>
      <c r="AU25" s="2622"/>
      <c r="AW25" s="381"/>
      <c r="AX25" s="381"/>
    </row>
    <row r="26" spans="1:50" ht="15.75" customHeight="1">
      <c r="A26" s="8"/>
      <c r="B26" s="616"/>
      <c r="C26" s="616"/>
      <c r="D26" s="616"/>
      <c r="E26" s="616"/>
      <c r="F26" s="616"/>
      <c r="G26" s="616"/>
      <c r="H26" s="616"/>
      <c r="I26" s="616"/>
      <c r="J26" s="616"/>
      <c r="K26" s="616"/>
      <c r="L26" s="616"/>
      <c r="M26" s="616"/>
      <c r="N26" s="616"/>
      <c r="O26" s="616"/>
      <c r="P26" s="616"/>
      <c r="Q26" s="616"/>
      <c r="R26" s="616"/>
      <c r="S26" s="616"/>
      <c r="T26" s="616"/>
      <c r="U26" s="616"/>
      <c r="V26" s="616"/>
      <c r="W26" s="616"/>
      <c r="X26" s="616"/>
      <c r="Y26" s="9"/>
      <c r="Z26" s="2620"/>
      <c r="AA26" s="2621"/>
      <c r="AB26" s="2621"/>
      <c r="AC26" s="2621"/>
      <c r="AD26" s="2621"/>
      <c r="AE26" s="2621"/>
      <c r="AF26" s="2621"/>
      <c r="AG26" s="2621"/>
      <c r="AH26" s="2621"/>
      <c r="AI26" s="2621"/>
      <c r="AJ26" s="2621"/>
      <c r="AK26" s="2621"/>
      <c r="AL26" s="2621"/>
      <c r="AM26" s="2621"/>
      <c r="AN26" s="2621"/>
      <c r="AO26" s="2621"/>
      <c r="AP26" s="2621"/>
      <c r="AQ26" s="2621"/>
      <c r="AR26" s="2621"/>
      <c r="AS26" s="2621"/>
      <c r="AT26" s="2621"/>
      <c r="AU26" s="2622"/>
      <c r="AW26" s="381"/>
      <c r="AX26" s="381"/>
    </row>
    <row r="27" spans="1:50" ht="15.75" customHeight="1">
      <c r="A27" s="8"/>
      <c r="B27" s="616"/>
      <c r="C27" s="616"/>
      <c r="D27" s="616"/>
      <c r="E27" s="616"/>
      <c r="F27" s="616"/>
      <c r="G27" s="616"/>
      <c r="H27" s="616"/>
      <c r="I27" s="616"/>
      <c r="J27" s="616"/>
      <c r="K27" s="616"/>
      <c r="L27" s="616"/>
      <c r="M27" s="616"/>
      <c r="N27" s="616"/>
      <c r="O27" s="616"/>
      <c r="P27" s="616"/>
      <c r="Q27" s="616"/>
      <c r="R27" s="616"/>
      <c r="S27" s="616"/>
      <c r="T27" s="616"/>
      <c r="U27" s="616"/>
      <c r="V27" s="616"/>
      <c r="W27" s="616"/>
      <c r="X27" s="616"/>
      <c r="Y27" s="9"/>
      <c r="Z27" s="2620"/>
      <c r="AA27" s="2621"/>
      <c r="AB27" s="2621"/>
      <c r="AC27" s="2621"/>
      <c r="AD27" s="2621"/>
      <c r="AE27" s="2621"/>
      <c r="AF27" s="2621"/>
      <c r="AG27" s="2621"/>
      <c r="AH27" s="2621"/>
      <c r="AI27" s="2621"/>
      <c r="AJ27" s="2621"/>
      <c r="AK27" s="2621"/>
      <c r="AL27" s="2621"/>
      <c r="AM27" s="2621"/>
      <c r="AN27" s="2621"/>
      <c r="AO27" s="2621"/>
      <c r="AP27" s="2621"/>
      <c r="AQ27" s="2621"/>
      <c r="AR27" s="2621"/>
      <c r="AS27" s="2621"/>
      <c r="AT27" s="2621"/>
      <c r="AU27" s="2622"/>
      <c r="AW27" s="381"/>
      <c r="AX27" s="381"/>
    </row>
    <row r="28" spans="1:50" ht="15.75" customHeight="1">
      <c r="A28" s="8"/>
      <c r="B28" s="616"/>
      <c r="C28" s="616"/>
      <c r="D28" s="616"/>
      <c r="E28" s="616"/>
      <c r="F28" s="616"/>
      <c r="G28" s="616"/>
      <c r="H28" s="616"/>
      <c r="I28" s="616"/>
      <c r="J28" s="616"/>
      <c r="K28" s="616"/>
      <c r="L28" s="616"/>
      <c r="M28" s="616"/>
      <c r="N28" s="616"/>
      <c r="O28" s="616"/>
      <c r="P28" s="616"/>
      <c r="Q28" s="616"/>
      <c r="R28" s="616"/>
      <c r="S28" s="616"/>
      <c r="T28" s="616"/>
      <c r="U28" s="616"/>
      <c r="V28" s="616"/>
      <c r="W28" s="616"/>
      <c r="X28" s="616"/>
      <c r="Y28" s="9"/>
      <c r="Z28" s="2620"/>
      <c r="AA28" s="2621"/>
      <c r="AB28" s="2621"/>
      <c r="AC28" s="2621"/>
      <c r="AD28" s="2621"/>
      <c r="AE28" s="2621"/>
      <c r="AF28" s="2621"/>
      <c r="AG28" s="2621"/>
      <c r="AH28" s="2621"/>
      <c r="AI28" s="2621"/>
      <c r="AJ28" s="2621"/>
      <c r="AK28" s="2621"/>
      <c r="AL28" s="2621"/>
      <c r="AM28" s="2621"/>
      <c r="AN28" s="2621"/>
      <c r="AO28" s="2621"/>
      <c r="AP28" s="2621"/>
      <c r="AQ28" s="2621"/>
      <c r="AR28" s="2621"/>
      <c r="AS28" s="2621"/>
      <c r="AT28" s="2621"/>
      <c r="AU28" s="2622"/>
      <c r="AW28" s="381"/>
      <c r="AX28" s="381"/>
    </row>
    <row r="29" spans="1:50" ht="15.75" customHeight="1">
      <c r="A29" s="8"/>
      <c r="B29" s="616"/>
      <c r="C29" s="616"/>
      <c r="D29" s="616"/>
      <c r="E29" s="616"/>
      <c r="F29" s="616"/>
      <c r="G29" s="616"/>
      <c r="H29" s="616"/>
      <c r="I29" s="616"/>
      <c r="J29" s="616"/>
      <c r="K29" s="616"/>
      <c r="L29" s="616"/>
      <c r="M29" s="616"/>
      <c r="N29" s="616"/>
      <c r="O29" s="616"/>
      <c r="P29" s="616"/>
      <c r="Q29" s="616"/>
      <c r="R29" s="616"/>
      <c r="S29" s="616"/>
      <c r="T29" s="616"/>
      <c r="U29" s="616"/>
      <c r="V29" s="616"/>
      <c r="W29" s="616"/>
      <c r="X29" s="616"/>
      <c r="Y29" s="9"/>
      <c r="Z29" s="2620"/>
      <c r="AA29" s="2621"/>
      <c r="AB29" s="2621"/>
      <c r="AC29" s="2621"/>
      <c r="AD29" s="2621"/>
      <c r="AE29" s="2621"/>
      <c r="AF29" s="2621"/>
      <c r="AG29" s="2621"/>
      <c r="AH29" s="2621"/>
      <c r="AI29" s="2621"/>
      <c r="AJ29" s="2621"/>
      <c r="AK29" s="2621"/>
      <c r="AL29" s="2621"/>
      <c r="AM29" s="2621"/>
      <c r="AN29" s="2621"/>
      <c r="AO29" s="2621"/>
      <c r="AP29" s="2621"/>
      <c r="AQ29" s="2621"/>
      <c r="AR29" s="2621"/>
      <c r="AS29" s="2621"/>
      <c r="AT29" s="2621"/>
      <c r="AU29" s="2622"/>
      <c r="AW29" s="381"/>
      <c r="AX29" s="381"/>
    </row>
    <row r="30" spans="1:50" ht="15.75" customHeight="1">
      <c r="A30" s="8"/>
      <c r="B30" s="616"/>
      <c r="C30" s="616"/>
      <c r="D30" s="616"/>
      <c r="E30" s="616"/>
      <c r="F30" s="616"/>
      <c r="G30" s="616"/>
      <c r="H30" s="616"/>
      <c r="I30" s="616"/>
      <c r="J30" s="616"/>
      <c r="K30" s="616"/>
      <c r="L30" s="616"/>
      <c r="M30" s="616"/>
      <c r="N30" s="616"/>
      <c r="O30" s="616"/>
      <c r="P30" s="616"/>
      <c r="Q30" s="616"/>
      <c r="R30" s="616"/>
      <c r="S30" s="616"/>
      <c r="T30" s="616"/>
      <c r="U30" s="616"/>
      <c r="V30" s="616"/>
      <c r="W30" s="616"/>
      <c r="X30" s="616"/>
      <c r="Y30" s="9"/>
      <c r="Z30" s="2620"/>
      <c r="AA30" s="2621"/>
      <c r="AB30" s="2621"/>
      <c r="AC30" s="2621"/>
      <c r="AD30" s="2621"/>
      <c r="AE30" s="2621"/>
      <c r="AF30" s="2621"/>
      <c r="AG30" s="2621"/>
      <c r="AH30" s="2621"/>
      <c r="AI30" s="2621"/>
      <c r="AJ30" s="2621"/>
      <c r="AK30" s="2621"/>
      <c r="AL30" s="2621"/>
      <c r="AM30" s="2621"/>
      <c r="AN30" s="2621"/>
      <c r="AO30" s="2621"/>
      <c r="AP30" s="2621"/>
      <c r="AQ30" s="2621"/>
      <c r="AR30" s="2621"/>
      <c r="AS30" s="2621"/>
      <c r="AT30" s="2621"/>
      <c r="AU30" s="2622"/>
      <c r="AW30" s="381"/>
      <c r="AX30" s="381"/>
    </row>
    <row r="31" spans="1:50" ht="15.75" customHeight="1">
      <c r="A31" s="12"/>
      <c r="B31" s="10"/>
      <c r="C31" s="10"/>
      <c r="D31" s="10"/>
      <c r="E31" s="10"/>
      <c r="F31" s="10"/>
      <c r="G31" s="10"/>
      <c r="H31" s="10"/>
      <c r="I31" s="10"/>
      <c r="J31" s="10"/>
      <c r="K31" s="10"/>
      <c r="L31" s="10"/>
      <c r="M31" s="10"/>
      <c r="N31" s="10"/>
      <c r="O31" s="10"/>
      <c r="P31" s="10"/>
      <c r="Q31" s="10"/>
      <c r="R31" s="10"/>
      <c r="S31" s="10"/>
      <c r="T31" s="10"/>
      <c r="U31" s="10"/>
      <c r="V31" s="10"/>
      <c r="W31" s="10"/>
      <c r="X31" s="10"/>
      <c r="Y31" s="11"/>
      <c r="Z31" s="2623"/>
      <c r="AA31" s="2624"/>
      <c r="AB31" s="2624"/>
      <c r="AC31" s="2624"/>
      <c r="AD31" s="2624"/>
      <c r="AE31" s="2624"/>
      <c r="AF31" s="2624"/>
      <c r="AG31" s="2624"/>
      <c r="AH31" s="2624"/>
      <c r="AI31" s="2624"/>
      <c r="AJ31" s="2624"/>
      <c r="AK31" s="2624"/>
      <c r="AL31" s="2624"/>
      <c r="AM31" s="2624"/>
      <c r="AN31" s="2624"/>
      <c r="AO31" s="2624"/>
      <c r="AP31" s="2624"/>
      <c r="AQ31" s="2624"/>
      <c r="AR31" s="2624"/>
      <c r="AS31" s="2624"/>
      <c r="AT31" s="2624"/>
      <c r="AU31" s="2625"/>
      <c r="AW31" s="381"/>
      <c r="AX31" s="381"/>
    </row>
    <row r="32" spans="1:50" ht="12.75" customHeight="1">
      <c r="AW32" s="381"/>
      <c r="AX32" s="381"/>
    </row>
    <row r="33" spans="1:53" ht="15.75" customHeight="1">
      <c r="A33" s="2634" t="s">
        <v>161</v>
      </c>
      <c r="B33" s="2635"/>
      <c r="C33" s="2636"/>
      <c r="D33" s="2653" t="s">
        <v>162</v>
      </c>
      <c r="E33" s="2654"/>
      <c r="F33" s="2654"/>
      <c r="G33" s="2654"/>
      <c r="H33" s="2654"/>
      <c r="I33" s="2654"/>
      <c r="J33" s="2655"/>
      <c r="K33" s="625"/>
      <c r="L33" s="622"/>
      <c r="M33" s="622"/>
      <c r="N33" s="622"/>
      <c r="O33" s="622"/>
      <c r="P33" s="622"/>
      <c r="Q33" s="622"/>
      <c r="R33" s="622"/>
      <c r="S33" s="623" t="s">
        <v>7</v>
      </c>
      <c r="T33" s="623" t="s">
        <v>8</v>
      </c>
      <c r="U33" s="623" t="s">
        <v>9</v>
      </c>
      <c r="V33" s="623" t="s">
        <v>163</v>
      </c>
      <c r="W33" s="623"/>
      <c r="X33" s="623"/>
      <c r="Y33" s="623"/>
      <c r="Z33" s="623"/>
      <c r="AA33" s="623"/>
      <c r="AB33" s="623"/>
      <c r="AC33" s="623"/>
      <c r="AD33" s="623"/>
      <c r="AE33" s="623"/>
      <c r="AF33" s="623"/>
      <c r="AG33" s="623"/>
      <c r="AH33" s="623"/>
      <c r="AI33" s="624"/>
      <c r="AJ33" s="625"/>
      <c r="AK33" s="2654" t="s">
        <v>33</v>
      </c>
      <c r="AL33" s="2654"/>
      <c r="AM33" s="2654"/>
      <c r="AN33" s="2654"/>
      <c r="AO33" s="2654"/>
      <c r="AP33" s="2654"/>
      <c r="AQ33" s="2654"/>
      <c r="AR33" s="2654"/>
      <c r="AS33" s="2654"/>
      <c r="AT33" s="2654"/>
      <c r="AU33" s="626"/>
      <c r="AW33" s="381"/>
      <c r="AX33" s="381"/>
    </row>
    <row r="34" spans="1:53" ht="15.75" customHeight="1" thickBot="1">
      <c r="A34" s="2647"/>
      <c r="B34" s="2648"/>
      <c r="C34" s="2649"/>
      <c r="D34" s="2634" t="str">
        <f>IFERROR(VLOOKUP(2,'1_入力シート【基本情報】'!$DU$307:$DX$526,3,FALSE),"")</f>
        <v/>
      </c>
      <c r="E34" s="2635"/>
      <c r="F34" s="2635"/>
      <c r="G34" s="2635"/>
      <c r="H34" s="2635"/>
      <c r="I34" s="2635"/>
      <c r="J34" s="2636"/>
      <c r="K34" s="2611" t="str">
        <f>IFERROR(VLOOKUP(2,'1_入力シート【基本情報】'!$DU$307:$DX$526,4,FALSE),"")</f>
        <v/>
      </c>
      <c r="L34" s="2612"/>
      <c r="M34" s="2612"/>
      <c r="N34" s="2612"/>
      <c r="O34" s="2612"/>
      <c r="P34" s="2612"/>
      <c r="Q34" s="2612"/>
      <c r="R34" s="2612"/>
      <c r="S34" s="2612"/>
      <c r="T34" s="2612"/>
      <c r="U34" s="2612"/>
      <c r="V34" s="2612"/>
      <c r="W34" s="2612"/>
      <c r="X34" s="2612"/>
      <c r="Y34" s="2612"/>
      <c r="Z34" s="2612"/>
      <c r="AA34" s="2612"/>
      <c r="AB34" s="2612"/>
      <c r="AC34" s="2612"/>
      <c r="AD34" s="2612"/>
      <c r="AE34" s="2612"/>
      <c r="AF34" s="2612"/>
      <c r="AG34" s="2612"/>
      <c r="AH34" s="2612"/>
      <c r="AI34" s="2613"/>
      <c r="AJ34" s="665"/>
      <c r="AK34" s="665"/>
      <c r="AL34" s="665"/>
      <c r="AM34" s="665"/>
      <c r="AN34" s="665"/>
      <c r="AO34" s="665"/>
      <c r="AP34" s="665"/>
      <c r="AQ34" s="665"/>
      <c r="AR34" s="665"/>
      <c r="AS34" s="665"/>
      <c r="AT34" s="665"/>
      <c r="AU34" s="666"/>
      <c r="AW34" s="381"/>
      <c r="AX34" s="381"/>
    </row>
    <row r="35" spans="1:53" ht="15.75" customHeight="1" thickBot="1">
      <c r="A35" s="2647"/>
      <c r="B35" s="2648"/>
      <c r="C35" s="2649"/>
      <c r="D35" s="2637"/>
      <c r="E35" s="2638"/>
      <c r="F35" s="2638"/>
      <c r="G35" s="2638"/>
      <c r="H35" s="2638"/>
      <c r="I35" s="2638"/>
      <c r="J35" s="2639"/>
      <c r="K35" s="2614"/>
      <c r="L35" s="2615"/>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6"/>
      <c r="AJ35" s="665"/>
      <c r="AK35" s="665" t="str">
        <f>IF(D34&lt;&gt;"","☑","☐")</f>
        <v>☐</v>
      </c>
      <c r="AL35" s="665" t="s">
        <v>14</v>
      </c>
      <c r="AM35" s="665" t="s">
        <v>21</v>
      </c>
      <c r="AN35" s="665" t="s">
        <v>15</v>
      </c>
      <c r="AO35" s="665"/>
      <c r="AP35" s="783" t="s">
        <v>186</v>
      </c>
      <c r="AQ35" s="665" t="s">
        <v>27</v>
      </c>
      <c r="AR35" s="665" t="s">
        <v>23</v>
      </c>
      <c r="AS35" s="665" t="s">
        <v>13</v>
      </c>
      <c r="AT35" s="665"/>
      <c r="AU35" s="666"/>
      <c r="AW35" s="381"/>
      <c r="AX35" s="381"/>
      <c r="BA35" s="802" t="b">
        <f>AP35="☑"</f>
        <v>0</v>
      </c>
    </row>
    <row r="36" spans="1:53" ht="15.75" customHeight="1">
      <c r="A36" s="2650"/>
      <c r="B36" s="2651"/>
      <c r="C36" s="2652"/>
      <c r="D36" s="2640"/>
      <c r="E36" s="2641"/>
      <c r="F36" s="2641"/>
      <c r="G36" s="2641"/>
      <c r="H36" s="2641"/>
      <c r="I36" s="2641"/>
      <c r="J36" s="2642"/>
      <c r="K36" s="2644"/>
      <c r="L36" s="2645"/>
      <c r="M36" s="2645"/>
      <c r="N36" s="2645"/>
      <c r="O36" s="2645"/>
      <c r="P36" s="2645"/>
      <c r="Q36" s="2645"/>
      <c r="R36" s="2645"/>
      <c r="S36" s="2645"/>
      <c r="T36" s="2645"/>
      <c r="U36" s="2645"/>
      <c r="V36" s="2645"/>
      <c r="W36" s="2645"/>
      <c r="X36" s="2645"/>
      <c r="Y36" s="2645"/>
      <c r="Z36" s="2645"/>
      <c r="AA36" s="2645"/>
      <c r="AB36" s="2645"/>
      <c r="AC36" s="2645"/>
      <c r="AD36" s="2645"/>
      <c r="AE36" s="2645"/>
      <c r="AF36" s="2645"/>
      <c r="AG36" s="2645"/>
      <c r="AH36" s="2645"/>
      <c r="AI36" s="2646"/>
      <c r="AJ36" s="667"/>
      <c r="AK36" s="667"/>
      <c r="AL36" s="667"/>
      <c r="AM36" s="667"/>
      <c r="AN36" s="667"/>
      <c r="AO36" s="667"/>
      <c r="AP36" s="667"/>
      <c r="AQ36" s="667"/>
      <c r="AR36" s="667"/>
      <c r="AS36" s="667"/>
      <c r="AT36" s="667"/>
      <c r="AU36" s="668"/>
      <c r="AW36" s="381"/>
      <c r="AX36" s="381"/>
    </row>
    <row r="37" spans="1:53" ht="15.75" customHeight="1">
      <c r="A37" s="8"/>
      <c r="B37" s="616"/>
      <c r="C37" s="616"/>
      <c r="D37" s="616"/>
      <c r="E37" s="616"/>
      <c r="F37" s="616"/>
      <c r="G37" s="616"/>
      <c r="H37" s="616"/>
      <c r="I37" s="616"/>
      <c r="J37" s="616"/>
      <c r="K37" s="616"/>
      <c r="L37" s="616"/>
      <c r="M37" s="616"/>
      <c r="N37" s="616"/>
      <c r="O37" s="616"/>
      <c r="P37" s="616"/>
      <c r="Q37" s="616"/>
      <c r="R37" s="616"/>
      <c r="S37" s="616"/>
      <c r="T37" s="616"/>
      <c r="U37" s="616"/>
      <c r="V37" s="616"/>
      <c r="W37" s="616"/>
      <c r="X37" s="616"/>
      <c r="Y37" s="9"/>
      <c r="Z37" s="140"/>
      <c r="AA37" s="141" t="s">
        <v>11</v>
      </c>
      <c r="AB37" s="141" t="s">
        <v>10</v>
      </c>
      <c r="AC37" s="141" t="s">
        <v>16</v>
      </c>
      <c r="AD37" s="141" t="s">
        <v>9</v>
      </c>
      <c r="AE37" s="141"/>
      <c r="AF37" s="141"/>
      <c r="AG37" s="141"/>
      <c r="AH37" s="141"/>
      <c r="AI37" s="141"/>
      <c r="AJ37" s="142"/>
      <c r="AK37" s="142"/>
      <c r="AL37" s="142"/>
      <c r="AM37" s="142"/>
      <c r="AN37" s="142"/>
      <c r="AO37" s="142"/>
      <c r="AP37" s="142"/>
      <c r="AQ37" s="142"/>
      <c r="AR37" s="142"/>
      <c r="AS37" s="142"/>
      <c r="AT37" s="142"/>
      <c r="AU37" s="615"/>
      <c r="AW37" s="381"/>
      <c r="AX37" s="381"/>
    </row>
    <row r="38" spans="1:53" ht="15.75" customHeight="1">
      <c r="A38" s="8"/>
      <c r="B38" s="616"/>
      <c r="C38" s="616"/>
      <c r="D38" s="616"/>
      <c r="E38" s="616"/>
      <c r="F38" s="616"/>
      <c r="G38" s="616"/>
      <c r="H38" s="616"/>
      <c r="I38" s="616"/>
      <c r="J38" s="616"/>
      <c r="K38" s="616"/>
      <c r="L38" s="616"/>
      <c r="M38" s="616"/>
      <c r="N38" s="616"/>
      <c r="O38" s="616"/>
      <c r="P38" s="616"/>
      <c r="Q38" s="616"/>
      <c r="R38" s="616"/>
      <c r="S38" s="616"/>
      <c r="T38" s="616"/>
      <c r="U38" s="616"/>
      <c r="V38" s="616"/>
      <c r="W38" s="616"/>
      <c r="X38" s="616"/>
      <c r="Y38" s="9"/>
      <c r="Z38" s="2626"/>
      <c r="AA38" s="2627"/>
      <c r="AB38" s="2627"/>
      <c r="AC38" s="2627"/>
      <c r="AD38" s="2627"/>
      <c r="AE38" s="2627"/>
      <c r="AF38" s="2627"/>
      <c r="AG38" s="2627"/>
      <c r="AH38" s="2627"/>
      <c r="AI38" s="2627"/>
      <c r="AJ38" s="2627"/>
      <c r="AK38" s="2627"/>
      <c r="AL38" s="2627"/>
      <c r="AM38" s="2627"/>
      <c r="AN38" s="2627"/>
      <c r="AO38" s="198"/>
      <c r="AP38" s="198"/>
      <c r="AQ38" s="198"/>
      <c r="AR38" s="198"/>
      <c r="AS38" s="198"/>
      <c r="AT38" s="198"/>
      <c r="AU38" s="199"/>
      <c r="AW38" s="381"/>
      <c r="AX38" s="381"/>
    </row>
    <row r="39" spans="1:53" ht="15.75" customHeight="1">
      <c r="A39" s="8"/>
      <c r="B39" s="616"/>
      <c r="C39" s="616"/>
      <c r="D39" s="616"/>
      <c r="E39" s="616"/>
      <c r="F39" s="616"/>
      <c r="G39" s="616"/>
      <c r="H39" s="616"/>
      <c r="I39" s="616"/>
      <c r="J39" s="616"/>
      <c r="K39" s="616"/>
      <c r="L39" s="616"/>
      <c r="M39" s="616"/>
      <c r="N39" s="616"/>
      <c r="O39" s="616"/>
      <c r="P39" s="616"/>
      <c r="Q39" s="616"/>
      <c r="R39" s="616"/>
      <c r="S39" s="616"/>
      <c r="T39" s="616"/>
      <c r="U39" s="616"/>
      <c r="V39" s="616"/>
      <c r="W39" s="616"/>
      <c r="X39" s="616"/>
      <c r="Y39" s="9"/>
      <c r="Z39" s="2611" t="str">
        <f>IFERROR(VLOOKUP(2,'1_入力シート【基本情報】'!$DU$307:$DZ$526,5,FALSE),"")</f>
        <v/>
      </c>
      <c r="AA39" s="2612"/>
      <c r="AB39" s="2612"/>
      <c r="AC39" s="2612"/>
      <c r="AD39" s="2612"/>
      <c r="AE39" s="2612"/>
      <c r="AF39" s="2612"/>
      <c r="AG39" s="2612"/>
      <c r="AH39" s="2612"/>
      <c r="AI39" s="2612"/>
      <c r="AJ39" s="2612"/>
      <c r="AK39" s="2612"/>
      <c r="AL39" s="2612"/>
      <c r="AM39" s="2612"/>
      <c r="AN39" s="2612"/>
      <c r="AO39" s="2612"/>
      <c r="AP39" s="2612"/>
      <c r="AQ39" s="2612"/>
      <c r="AR39" s="2612"/>
      <c r="AS39" s="2612"/>
      <c r="AT39" s="2612"/>
      <c r="AU39" s="2613"/>
      <c r="AW39" s="381"/>
      <c r="AX39" s="381"/>
    </row>
    <row r="40" spans="1:53" ht="15.75" customHeight="1">
      <c r="A40" s="8"/>
      <c r="B40" s="616"/>
      <c r="C40" s="616"/>
      <c r="D40" s="616"/>
      <c r="E40" s="616"/>
      <c r="F40" s="616"/>
      <c r="G40" s="616"/>
      <c r="H40" s="616"/>
      <c r="I40" s="616"/>
      <c r="J40" s="616"/>
      <c r="K40" s="616"/>
      <c r="L40" s="616"/>
      <c r="M40" s="616"/>
      <c r="N40" s="616"/>
      <c r="O40" s="616"/>
      <c r="P40" s="616"/>
      <c r="Q40" s="616"/>
      <c r="R40" s="616"/>
      <c r="S40" s="616"/>
      <c r="T40" s="616"/>
      <c r="U40" s="616"/>
      <c r="V40" s="616"/>
      <c r="W40" s="616"/>
      <c r="X40" s="616"/>
      <c r="Y40" s="9"/>
      <c r="Z40" s="2614"/>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6"/>
      <c r="AW40" s="381"/>
      <c r="AX40" s="381"/>
    </row>
    <row r="41" spans="1:53" ht="15.75" customHeight="1">
      <c r="A41" s="8"/>
      <c r="B41" s="616"/>
      <c r="C41" s="616"/>
      <c r="D41" s="616"/>
      <c r="E41" s="616"/>
      <c r="F41" s="616"/>
      <c r="G41" s="616"/>
      <c r="H41" s="616"/>
      <c r="I41" s="616"/>
      <c r="J41" s="616"/>
      <c r="K41" s="616"/>
      <c r="L41" s="616"/>
      <c r="M41" s="616"/>
      <c r="N41" s="616"/>
      <c r="O41" s="616"/>
      <c r="P41" s="616"/>
      <c r="Q41" s="616"/>
      <c r="R41" s="616"/>
      <c r="S41" s="616"/>
      <c r="T41" s="616"/>
      <c r="U41" s="616"/>
      <c r="V41" s="616"/>
      <c r="W41" s="616"/>
      <c r="X41" s="616"/>
      <c r="Y41" s="9"/>
      <c r="Z41" s="2666"/>
      <c r="AA41" s="2667"/>
      <c r="AB41" s="2667"/>
      <c r="AC41" s="2667"/>
      <c r="AD41" s="2667"/>
      <c r="AE41" s="2667"/>
      <c r="AF41" s="2667"/>
      <c r="AG41" s="2667"/>
      <c r="AH41" s="2667"/>
      <c r="AI41" s="2667"/>
      <c r="AJ41" s="2667"/>
      <c r="AK41" s="2667"/>
      <c r="AL41" s="2667"/>
      <c r="AM41" s="2667"/>
      <c r="AN41" s="2667"/>
      <c r="AO41" s="2667"/>
      <c r="AP41" s="2667"/>
      <c r="AQ41" s="2667"/>
      <c r="AR41" s="2667"/>
      <c r="AS41" s="2667"/>
      <c r="AT41" s="2667"/>
      <c r="AU41" s="2668"/>
      <c r="AW41" s="381"/>
      <c r="AX41" s="381"/>
    </row>
    <row r="42" spans="1:53" ht="15.75" customHeight="1">
      <c r="A42" s="8"/>
      <c r="B42" s="669"/>
      <c r="C42" s="669"/>
      <c r="D42" s="669"/>
      <c r="E42" s="669"/>
      <c r="F42" s="669"/>
      <c r="G42" s="669"/>
      <c r="H42" s="669"/>
      <c r="I42" s="669"/>
      <c r="J42" s="669"/>
      <c r="K42" s="669"/>
      <c r="L42" s="669"/>
      <c r="M42" s="669"/>
      <c r="N42" s="669"/>
      <c r="O42" s="669"/>
      <c r="P42" s="669"/>
      <c r="Q42" s="669"/>
      <c r="R42" s="669"/>
      <c r="S42" s="669"/>
      <c r="T42" s="669"/>
      <c r="U42" s="669"/>
      <c r="V42" s="669"/>
      <c r="W42" s="669"/>
      <c r="X42" s="669"/>
      <c r="Y42" s="9"/>
      <c r="Z42" s="2620"/>
      <c r="AA42" s="2621"/>
      <c r="AB42" s="2621"/>
      <c r="AC42" s="2621"/>
      <c r="AD42" s="2621"/>
      <c r="AE42" s="2621"/>
      <c r="AF42" s="2621"/>
      <c r="AG42" s="2621"/>
      <c r="AH42" s="2621"/>
      <c r="AI42" s="2621"/>
      <c r="AJ42" s="2621"/>
      <c r="AK42" s="2621"/>
      <c r="AL42" s="2621"/>
      <c r="AM42" s="2621"/>
      <c r="AN42" s="2621"/>
      <c r="AO42" s="2621"/>
      <c r="AP42" s="2621"/>
      <c r="AQ42" s="2621"/>
      <c r="AR42" s="2621"/>
      <c r="AS42" s="2621"/>
      <c r="AT42" s="2621"/>
      <c r="AU42" s="2622"/>
      <c r="AW42" s="381"/>
      <c r="AX42" s="381"/>
    </row>
    <row r="43" spans="1:53" ht="15.75" customHeight="1">
      <c r="A43" s="8"/>
      <c r="B43" s="669"/>
      <c r="C43" s="669"/>
      <c r="D43" s="669"/>
      <c r="E43" s="669"/>
      <c r="F43" s="669"/>
      <c r="G43" s="669"/>
      <c r="H43" s="669"/>
      <c r="I43" s="669"/>
      <c r="J43" s="669"/>
      <c r="K43" s="669"/>
      <c r="L43" s="669"/>
      <c r="M43" s="669"/>
      <c r="N43" s="669"/>
      <c r="O43" s="669"/>
      <c r="P43" s="669"/>
      <c r="Q43" s="669"/>
      <c r="R43" s="669"/>
      <c r="S43" s="669"/>
      <c r="T43" s="669"/>
      <c r="U43" s="669"/>
      <c r="V43" s="669"/>
      <c r="W43" s="669"/>
      <c r="X43" s="669"/>
      <c r="Y43" s="9"/>
      <c r="Z43" s="2620"/>
      <c r="AA43" s="2621"/>
      <c r="AB43" s="2621"/>
      <c r="AC43" s="2621"/>
      <c r="AD43" s="2621"/>
      <c r="AE43" s="2621"/>
      <c r="AF43" s="2621"/>
      <c r="AG43" s="2621"/>
      <c r="AH43" s="2621"/>
      <c r="AI43" s="2621"/>
      <c r="AJ43" s="2621"/>
      <c r="AK43" s="2621"/>
      <c r="AL43" s="2621"/>
      <c r="AM43" s="2621"/>
      <c r="AN43" s="2621"/>
      <c r="AO43" s="2621"/>
      <c r="AP43" s="2621"/>
      <c r="AQ43" s="2621"/>
      <c r="AR43" s="2621"/>
      <c r="AS43" s="2621"/>
      <c r="AT43" s="2621"/>
      <c r="AU43" s="2622"/>
      <c r="AW43" s="381"/>
      <c r="AX43" s="381"/>
    </row>
    <row r="44" spans="1:53" ht="15.75" customHeight="1">
      <c r="A44" s="8"/>
      <c r="B44" s="669"/>
      <c r="C44" s="669"/>
      <c r="D44" s="669"/>
      <c r="E44" s="669"/>
      <c r="F44" s="669"/>
      <c r="G44" s="669"/>
      <c r="H44" s="669"/>
      <c r="I44" s="669"/>
      <c r="J44" s="669"/>
      <c r="K44" s="669"/>
      <c r="L44" s="669"/>
      <c r="M44" s="669"/>
      <c r="N44" s="669"/>
      <c r="O44" s="669"/>
      <c r="P44" s="669"/>
      <c r="Q44" s="669"/>
      <c r="R44" s="669"/>
      <c r="S44" s="669"/>
      <c r="T44" s="669"/>
      <c r="U44" s="669"/>
      <c r="V44" s="669"/>
      <c r="W44" s="669"/>
      <c r="X44" s="669"/>
      <c r="Y44" s="9"/>
      <c r="Z44" s="2620"/>
      <c r="AA44" s="2621"/>
      <c r="AB44" s="2621"/>
      <c r="AC44" s="2621"/>
      <c r="AD44" s="2621"/>
      <c r="AE44" s="2621"/>
      <c r="AF44" s="2621"/>
      <c r="AG44" s="2621"/>
      <c r="AH44" s="2621"/>
      <c r="AI44" s="2621"/>
      <c r="AJ44" s="2621"/>
      <c r="AK44" s="2621"/>
      <c r="AL44" s="2621"/>
      <c r="AM44" s="2621"/>
      <c r="AN44" s="2621"/>
      <c r="AO44" s="2621"/>
      <c r="AP44" s="2621"/>
      <c r="AQ44" s="2621"/>
      <c r="AR44" s="2621"/>
      <c r="AS44" s="2621"/>
      <c r="AT44" s="2621"/>
      <c r="AU44" s="2622"/>
      <c r="AW44" s="381"/>
      <c r="AX44" s="381"/>
    </row>
    <row r="45" spans="1:53" ht="15.75" customHeight="1">
      <c r="A45" s="8"/>
      <c r="B45" s="669"/>
      <c r="C45" s="669"/>
      <c r="D45" s="669"/>
      <c r="E45" s="669"/>
      <c r="F45" s="669"/>
      <c r="G45" s="669"/>
      <c r="H45" s="669"/>
      <c r="I45" s="669"/>
      <c r="J45" s="669"/>
      <c r="K45" s="2629" t="s">
        <v>164</v>
      </c>
      <c r="L45" s="2629"/>
      <c r="M45" s="2629"/>
      <c r="N45" s="2629"/>
      <c r="O45" s="2629"/>
      <c r="P45" s="2629"/>
      <c r="Q45" s="669"/>
      <c r="R45" s="669"/>
      <c r="S45" s="669"/>
      <c r="T45" s="669"/>
      <c r="U45" s="669"/>
      <c r="V45" s="669"/>
      <c r="W45" s="669"/>
      <c r="X45" s="669"/>
      <c r="Y45" s="9"/>
      <c r="Z45" s="2620"/>
      <c r="AA45" s="2621"/>
      <c r="AB45" s="2621"/>
      <c r="AC45" s="2621"/>
      <c r="AD45" s="2621"/>
      <c r="AE45" s="2621"/>
      <c r="AF45" s="2621"/>
      <c r="AG45" s="2621"/>
      <c r="AH45" s="2621"/>
      <c r="AI45" s="2621"/>
      <c r="AJ45" s="2621"/>
      <c r="AK45" s="2621"/>
      <c r="AL45" s="2621"/>
      <c r="AM45" s="2621"/>
      <c r="AN45" s="2621"/>
      <c r="AO45" s="2621"/>
      <c r="AP45" s="2621"/>
      <c r="AQ45" s="2621"/>
      <c r="AR45" s="2621"/>
      <c r="AS45" s="2621"/>
      <c r="AT45" s="2621"/>
      <c r="AU45" s="2622"/>
      <c r="AW45" s="381"/>
      <c r="AX45" s="381"/>
    </row>
    <row r="46" spans="1:53" ht="15.75" customHeight="1">
      <c r="A46" s="8"/>
      <c r="B46" s="669"/>
      <c r="C46" s="669"/>
      <c r="D46" s="669"/>
      <c r="E46" s="669"/>
      <c r="F46" s="669"/>
      <c r="G46" s="669"/>
      <c r="H46" s="669"/>
      <c r="I46" s="669"/>
      <c r="J46" s="669"/>
      <c r="K46" s="669"/>
      <c r="L46" s="669"/>
      <c r="M46" s="669"/>
      <c r="N46" s="669"/>
      <c r="O46" s="669"/>
      <c r="P46" s="669"/>
      <c r="Q46" s="669"/>
      <c r="R46" s="669"/>
      <c r="S46" s="669"/>
      <c r="T46" s="669"/>
      <c r="U46" s="669"/>
      <c r="V46" s="669"/>
      <c r="W46" s="669"/>
      <c r="X46" s="669"/>
      <c r="Y46" s="9"/>
      <c r="Z46" s="2620"/>
      <c r="AA46" s="2621"/>
      <c r="AB46" s="2621"/>
      <c r="AC46" s="2621"/>
      <c r="AD46" s="2621"/>
      <c r="AE46" s="2621"/>
      <c r="AF46" s="2621"/>
      <c r="AG46" s="2621"/>
      <c r="AH46" s="2621"/>
      <c r="AI46" s="2621"/>
      <c r="AJ46" s="2621"/>
      <c r="AK46" s="2621"/>
      <c r="AL46" s="2621"/>
      <c r="AM46" s="2621"/>
      <c r="AN46" s="2621"/>
      <c r="AO46" s="2621"/>
      <c r="AP46" s="2621"/>
      <c r="AQ46" s="2621"/>
      <c r="AR46" s="2621"/>
      <c r="AS46" s="2621"/>
      <c r="AT46" s="2621"/>
      <c r="AU46" s="2622"/>
      <c r="AW46" s="381"/>
      <c r="AX46" s="381"/>
    </row>
    <row r="47" spans="1:53" ht="15.75" customHeight="1">
      <c r="A47" s="8"/>
      <c r="B47" s="669"/>
      <c r="C47" s="669"/>
      <c r="D47" s="669"/>
      <c r="E47" s="669"/>
      <c r="F47" s="669"/>
      <c r="G47" s="669"/>
      <c r="H47" s="669"/>
      <c r="I47" s="669"/>
      <c r="J47" s="669"/>
      <c r="K47" s="669"/>
      <c r="L47" s="669"/>
      <c r="M47" s="669"/>
      <c r="N47" s="669"/>
      <c r="O47" s="669"/>
      <c r="P47" s="669"/>
      <c r="Q47" s="669"/>
      <c r="R47" s="669"/>
      <c r="S47" s="669"/>
      <c r="T47" s="669"/>
      <c r="U47" s="669"/>
      <c r="V47" s="669"/>
      <c r="W47" s="669"/>
      <c r="X47" s="669"/>
      <c r="Y47" s="9"/>
      <c r="Z47" s="2620"/>
      <c r="AA47" s="2621"/>
      <c r="AB47" s="2621"/>
      <c r="AC47" s="2621"/>
      <c r="AD47" s="2621"/>
      <c r="AE47" s="2621"/>
      <c r="AF47" s="2621"/>
      <c r="AG47" s="2621"/>
      <c r="AH47" s="2621"/>
      <c r="AI47" s="2621"/>
      <c r="AJ47" s="2621"/>
      <c r="AK47" s="2621"/>
      <c r="AL47" s="2621"/>
      <c r="AM47" s="2621"/>
      <c r="AN47" s="2621"/>
      <c r="AO47" s="2621"/>
      <c r="AP47" s="2621"/>
      <c r="AQ47" s="2621"/>
      <c r="AR47" s="2621"/>
      <c r="AS47" s="2621"/>
      <c r="AT47" s="2621"/>
      <c r="AU47" s="2622"/>
      <c r="AW47" s="381"/>
      <c r="AX47" s="381"/>
    </row>
    <row r="48" spans="1:53" ht="15.75" customHeight="1">
      <c r="A48" s="8"/>
      <c r="B48" s="669"/>
      <c r="C48" s="669"/>
      <c r="D48" s="669"/>
      <c r="E48" s="669"/>
      <c r="F48" s="669"/>
      <c r="G48" s="669"/>
      <c r="H48" s="669"/>
      <c r="I48" s="669"/>
      <c r="J48" s="669"/>
      <c r="K48" s="669"/>
      <c r="L48" s="669"/>
      <c r="M48" s="669"/>
      <c r="N48" s="669"/>
      <c r="O48" s="669"/>
      <c r="P48" s="669"/>
      <c r="Q48" s="669"/>
      <c r="R48" s="669"/>
      <c r="S48" s="669"/>
      <c r="T48" s="669"/>
      <c r="U48" s="669"/>
      <c r="V48" s="669"/>
      <c r="W48" s="669"/>
      <c r="X48" s="669"/>
      <c r="Y48" s="9"/>
      <c r="Z48" s="2620"/>
      <c r="AA48" s="2621"/>
      <c r="AB48" s="2621"/>
      <c r="AC48" s="2621"/>
      <c r="AD48" s="2621"/>
      <c r="AE48" s="2621"/>
      <c r="AF48" s="2621"/>
      <c r="AG48" s="2621"/>
      <c r="AH48" s="2621"/>
      <c r="AI48" s="2621"/>
      <c r="AJ48" s="2621"/>
      <c r="AK48" s="2621"/>
      <c r="AL48" s="2621"/>
      <c r="AM48" s="2621"/>
      <c r="AN48" s="2621"/>
      <c r="AO48" s="2621"/>
      <c r="AP48" s="2621"/>
      <c r="AQ48" s="2621"/>
      <c r="AR48" s="2621"/>
      <c r="AS48" s="2621"/>
      <c r="AT48" s="2621"/>
      <c r="AU48" s="2622"/>
      <c r="AW48" s="381"/>
      <c r="AX48" s="381"/>
    </row>
    <row r="49" spans="1:50" ht="15.75" customHeight="1">
      <c r="A49" s="8"/>
      <c r="B49" s="669"/>
      <c r="C49" s="669"/>
      <c r="D49" s="669"/>
      <c r="E49" s="669"/>
      <c r="F49" s="669"/>
      <c r="G49" s="669"/>
      <c r="H49" s="669"/>
      <c r="I49" s="669"/>
      <c r="J49" s="669"/>
      <c r="K49" s="669"/>
      <c r="L49" s="669"/>
      <c r="M49" s="669"/>
      <c r="N49" s="669"/>
      <c r="O49" s="669"/>
      <c r="P49" s="669"/>
      <c r="Q49" s="669"/>
      <c r="R49" s="669"/>
      <c r="S49" s="669"/>
      <c r="T49" s="669"/>
      <c r="U49" s="669"/>
      <c r="V49" s="669"/>
      <c r="W49" s="669"/>
      <c r="X49" s="669"/>
      <c r="Y49" s="9"/>
      <c r="Z49" s="2620"/>
      <c r="AA49" s="2621"/>
      <c r="AB49" s="2621"/>
      <c r="AC49" s="2621"/>
      <c r="AD49" s="2621"/>
      <c r="AE49" s="2621"/>
      <c r="AF49" s="2621"/>
      <c r="AG49" s="2621"/>
      <c r="AH49" s="2621"/>
      <c r="AI49" s="2621"/>
      <c r="AJ49" s="2621"/>
      <c r="AK49" s="2621"/>
      <c r="AL49" s="2621"/>
      <c r="AM49" s="2621"/>
      <c r="AN49" s="2621"/>
      <c r="AO49" s="2621"/>
      <c r="AP49" s="2621"/>
      <c r="AQ49" s="2621"/>
      <c r="AR49" s="2621"/>
      <c r="AS49" s="2621"/>
      <c r="AT49" s="2621"/>
      <c r="AU49" s="2622"/>
      <c r="AW49" s="381"/>
      <c r="AX49" s="381"/>
    </row>
    <row r="50" spans="1:50" ht="15.75" customHeight="1">
      <c r="A50" s="8"/>
      <c r="B50" s="669"/>
      <c r="C50" s="669"/>
      <c r="D50" s="669"/>
      <c r="E50" s="669"/>
      <c r="F50" s="669"/>
      <c r="G50" s="669"/>
      <c r="H50" s="669"/>
      <c r="I50" s="669"/>
      <c r="J50" s="669"/>
      <c r="K50" s="669"/>
      <c r="L50" s="669"/>
      <c r="M50" s="669"/>
      <c r="N50" s="669"/>
      <c r="O50" s="669"/>
      <c r="P50" s="669"/>
      <c r="Q50" s="669"/>
      <c r="R50" s="669"/>
      <c r="S50" s="669"/>
      <c r="T50" s="669"/>
      <c r="U50" s="669"/>
      <c r="V50" s="669"/>
      <c r="W50" s="669"/>
      <c r="X50" s="669"/>
      <c r="Y50" s="9"/>
      <c r="Z50" s="2620"/>
      <c r="AA50" s="2621"/>
      <c r="AB50" s="2621"/>
      <c r="AC50" s="2621"/>
      <c r="AD50" s="2621"/>
      <c r="AE50" s="2621"/>
      <c r="AF50" s="2621"/>
      <c r="AG50" s="2621"/>
      <c r="AH50" s="2621"/>
      <c r="AI50" s="2621"/>
      <c r="AJ50" s="2621"/>
      <c r="AK50" s="2621"/>
      <c r="AL50" s="2621"/>
      <c r="AM50" s="2621"/>
      <c r="AN50" s="2621"/>
      <c r="AO50" s="2621"/>
      <c r="AP50" s="2621"/>
      <c r="AQ50" s="2621"/>
      <c r="AR50" s="2621"/>
      <c r="AS50" s="2621"/>
      <c r="AT50" s="2621"/>
      <c r="AU50" s="2622"/>
      <c r="AW50" s="381"/>
      <c r="AX50" s="381"/>
    </row>
    <row r="51" spans="1:50" ht="15.75" customHeight="1">
      <c r="A51" s="8"/>
      <c r="B51" s="669"/>
      <c r="C51" s="669"/>
      <c r="D51" s="669"/>
      <c r="E51" s="669"/>
      <c r="F51" s="669"/>
      <c r="G51" s="669"/>
      <c r="H51" s="669"/>
      <c r="I51" s="669"/>
      <c r="J51" s="669"/>
      <c r="K51" s="669"/>
      <c r="L51" s="669"/>
      <c r="M51" s="669"/>
      <c r="N51" s="669"/>
      <c r="O51" s="669"/>
      <c r="P51" s="669"/>
      <c r="Q51" s="669"/>
      <c r="R51" s="669"/>
      <c r="S51" s="669"/>
      <c r="T51" s="669"/>
      <c r="U51" s="669"/>
      <c r="V51" s="669"/>
      <c r="W51" s="669"/>
      <c r="X51" s="669"/>
      <c r="Y51" s="9"/>
      <c r="Z51" s="2620"/>
      <c r="AA51" s="2621"/>
      <c r="AB51" s="2621"/>
      <c r="AC51" s="2621"/>
      <c r="AD51" s="2621"/>
      <c r="AE51" s="2621"/>
      <c r="AF51" s="2621"/>
      <c r="AG51" s="2621"/>
      <c r="AH51" s="2621"/>
      <c r="AI51" s="2621"/>
      <c r="AJ51" s="2621"/>
      <c r="AK51" s="2621"/>
      <c r="AL51" s="2621"/>
      <c r="AM51" s="2621"/>
      <c r="AN51" s="2621"/>
      <c r="AO51" s="2621"/>
      <c r="AP51" s="2621"/>
      <c r="AQ51" s="2621"/>
      <c r="AR51" s="2621"/>
      <c r="AS51" s="2621"/>
      <c r="AT51" s="2621"/>
      <c r="AU51" s="2622"/>
      <c r="AW51" s="381"/>
      <c r="AX51" s="381"/>
    </row>
    <row r="52" spans="1:50" ht="15.75" customHeight="1">
      <c r="A52" s="8"/>
      <c r="B52" s="669"/>
      <c r="C52" s="669"/>
      <c r="D52" s="669"/>
      <c r="E52" s="669"/>
      <c r="F52" s="669"/>
      <c r="G52" s="669"/>
      <c r="H52" s="669"/>
      <c r="I52" s="669"/>
      <c r="J52" s="669"/>
      <c r="K52" s="669"/>
      <c r="L52" s="669"/>
      <c r="M52" s="669"/>
      <c r="N52" s="669"/>
      <c r="O52" s="669"/>
      <c r="P52" s="669"/>
      <c r="Q52" s="669"/>
      <c r="R52" s="669"/>
      <c r="S52" s="669"/>
      <c r="T52" s="669"/>
      <c r="U52" s="669"/>
      <c r="V52" s="669"/>
      <c r="W52" s="669"/>
      <c r="X52" s="669"/>
      <c r="Y52" s="9"/>
      <c r="Z52" s="2620"/>
      <c r="AA52" s="2621"/>
      <c r="AB52" s="2621"/>
      <c r="AC52" s="2621"/>
      <c r="AD52" s="2621"/>
      <c r="AE52" s="2621"/>
      <c r="AF52" s="2621"/>
      <c r="AG52" s="2621"/>
      <c r="AH52" s="2621"/>
      <c r="AI52" s="2621"/>
      <c r="AJ52" s="2621"/>
      <c r="AK52" s="2621"/>
      <c r="AL52" s="2621"/>
      <c r="AM52" s="2621"/>
      <c r="AN52" s="2621"/>
      <c r="AO52" s="2621"/>
      <c r="AP52" s="2621"/>
      <c r="AQ52" s="2621"/>
      <c r="AR52" s="2621"/>
      <c r="AS52" s="2621"/>
      <c r="AT52" s="2621"/>
      <c r="AU52" s="2622"/>
      <c r="AW52" s="381"/>
      <c r="AX52" s="381"/>
    </row>
    <row r="53" spans="1:50" ht="15.75" customHeight="1">
      <c r="A53" s="8"/>
      <c r="B53" s="669"/>
      <c r="C53" s="669"/>
      <c r="D53" s="669"/>
      <c r="E53" s="669"/>
      <c r="F53" s="669"/>
      <c r="G53" s="669"/>
      <c r="H53" s="669"/>
      <c r="I53" s="669"/>
      <c r="J53" s="669"/>
      <c r="K53" s="669"/>
      <c r="L53" s="669"/>
      <c r="M53" s="669"/>
      <c r="N53" s="669"/>
      <c r="O53" s="669"/>
      <c r="P53" s="669"/>
      <c r="Q53" s="669"/>
      <c r="R53" s="669"/>
      <c r="S53" s="669"/>
      <c r="T53" s="669"/>
      <c r="U53" s="669"/>
      <c r="V53" s="669"/>
      <c r="W53" s="669"/>
      <c r="X53" s="669"/>
      <c r="Y53" s="9"/>
      <c r="Z53" s="2620"/>
      <c r="AA53" s="2621"/>
      <c r="AB53" s="2621"/>
      <c r="AC53" s="2621"/>
      <c r="AD53" s="2621"/>
      <c r="AE53" s="2621"/>
      <c r="AF53" s="2621"/>
      <c r="AG53" s="2621"/>
      <c r="AH53" s="2621"/>
      <c r="AI53" s="2621"/>
      <c r="AJ53" s="2621"/>
      <c r="AK53" s="2621"/>
      <c r="AL53" s="2621"/>
      <c r="AM53" s="2621"/>
      <c r="AN53" s="2621"/>
      <c r="AO53" s="2621"/>
      <c r="AP53" s="2621"/>
      <c r="AQ53" s="2621"/>
      <c r="AR53" s="2621"/>
      <c r="AS53" s="2621"/>
      <c r="AT53" s="2621"/>
      <c r="AU53" s="2622"/>
      <c r="AW53" s="381"/>
      <c r="AX53" s="381"/>
    </row>
    <row r="54" spans="1:50" ht="15.75" customHeight="1">
      <c r="A54" s="12"/>
      <c r="B54" s="10"/>
      <c r="C54" s="10"/>
      <c r="D54" s="10"/>
      <c r="E54" s="10"/>
      <c r="F54" s="10"/>
      <c r="G54" s="10"/>
      <c r="H54" s="10"/>
      <c r="I54" s="10"/>
      <c r="J54" s="10"/>
      <c r="K54" s="10"/>
      <c r="L54" s="10"/>
      <c r="M54" s="10"/>
      <c r="N54" s="10"/>
      <c r="O54" s="10"/>
      <c r="P54" s="10"/>
      <c r="Q54" s="10"/>
      <c r="R54" s="10"/>
      <c r="S54" s="10"/>
      <c r="T54" s="10"/>
      <c r="U54" s="10"/>
      <c r="V54" s="10"/>
      <c r="W54" s="10"/>
      <c r="X54" s="10"/>
      <c r="Y54" s="11"/>
      <c r="Z54" s="2623"/>
      <c r="AA54" s="2624"/>
      <c r="AB54" s="2624"/>
      <c r="AC54" s="2624"/>
      <c r="AD54" s="2624"/>
      <c r="AE54" s="2624"/>
      <c r="AF54" s="2624"/>
      <c r="AG54" s="2624"/>
      <c r="AH54" s="2624"/>
      <c r="AI54" s="2624"/>
      <c r="AJ54" s="2624"/>
      <c r="AK54" s="2624"/>
      <c r="AL54" s="2624"/>
      <c r="AM54" s="2624"/>
      <c r="AN54" s="2624"/>
      <c r="AO54" s="2624"/>
      <c r="AP54" s="2624"/>
      <c r="AQ54" s="2624"/>
      <c r="AR54" s="2624"/>
      <c r="AS54" s="2624"/>
      <c r="AT54" s="2624"/>
      <c r="AU54" s="2625"/>
      <c r="AW54" s="381"/>
      <c r="AX54" s="381"/>
    </row>
    <row r="55" spans="1:50" ht="12.75" customHeight="1">
      <c r="AW55" s="381"/>
      <c r="AX55" s="381"/>
    </row>
    <row r="56" spans="1:50" ht="12.75" customHeight="1">
      <c r="A56" s="2643" t="s">
        <v>157</v>
      </c>
      <c r="B56" s="2643"/>
      <c r="C56" s="2643"/>
      <c r="D56" s="2643"/>
      <c r="AU56" s="618"/>
      <c r="AW56" s="381"/>
      <c r="AX56" s="381"/>
    </row>
    <row r="57" spans="1:50" ht="12.75" customHeight="1">
      <c r="B57" s="619" t="s">
        <v>158</v>
      </c>
      <c r="C57" s="2609" t="s">
        <v>176</v>
      </c>
      <c r="D57" s="2628"/>
      <c r="E57" s="2628"/>
      <c r="F57" s="2628"/>
      <c r="G57" s="2628"/>
      <c r="H57" s="2628"/>
      <c r="I57" s="2628"/>
      <c r="J57" s="2628"/>
      <c r="K57" s="2628"/>
      <c r="L57" s="2628"/>
      <c r="M57" s="2628"/>
      <c r="N57" s="2628"/>
      <c r="O57" s="2628"/>
      <c r="P57" s="2628"/>
      <c r="Q57" s="2628"/>
      <c r="R57" s="2628"/>
      <c r="S57" s="2628"/>
      <c r="T57" s="2628"/>
      <c r="U57" s="2628"/>
      <c r="V57" s="2628"/>
      <c r="W57" s="2628"/>
      <c r="X57" s="2628"/>
      <c r="Y57" s="2628"/>
      <c r="Z57" s="2628"/>
      <c r="AA57" s="2628"/>
      <c r="AB57" s="2628"/>
      <c r="AC57" s="2628"/>
      <c r="AD57" s="2628"/>
      <c r="AE57" s="2628"/>
      <c r="AF57" s="2628"/>
      <c r="AG57" s="2628"/>
      <c r="AH57" s="2628"/>
      <c r="AI57" s="2628"/>
      <c r="AJ57" s="2628"/>
      <c r="AK57" s="2628"/>
      <c r="AL57" s="2628"/>
      <c r="AM57" s="2628"/>
      <c r="AN57" s="2628"/>
      <c r="AO57" s="2628"/>
      <c r="AP57" s="2628"/>
      <c r="AQ57" s="2628"/>
      <c r="AR57" s="2628"/>
      <c r="AS57" s="2628"/>
      <c r="AT57" s="2628"/>
      <c r="AU57" s="618"/>
      <c r="AW57" s="381"/>
      <c r="AX57" s="381"/>
    </row>
    <row r="58" spans="1:50" ht="12.75" customHeight="1">
      <c r="B58" s="619"/>
      <c r="C58" s="2610" t="s">
        <v>177</v>
      </c>
      <c r="D58" s="2610"/>
      <c r="E58" s="2610"/>
      <c r="F58" s="2610"/>
      <c r="G58" s="2610"/>
      <c r="H58" s="2610"/>
      <c r="I58" s="2610"/>
      <c r="J58" s="2610"/>
      <c r="K58" s="2610"/>
      <c r="L58" s="2610"/>
      <c r="M58" s="2610"/>
      <c r="N58" s="2610"/>
      <c r="O58" s="2610"/>
      <c r="P58" s="2610"/>
      <c r="Q58" s="2610"/>
      <c r="R58" s="2610"/>
      <c r="S58" s="2610"/>
      <c r="T58" s="2610"/>
      <c r="U58" s="2610"/>
      <c r="V58" s="2610"/>
      <c r="W58" s="2610"/>
      <c r="X58" s="2610"/>
      <c r="Y58" s="2610"/>
      <c r="Z58" s="2610"/>
      <c r="AA58" s="2610"/>
      <c r="AB58" s="2610"/>
      <c r="AC58" s="2610"/>
      <c r="AD58" s="2610"/>
      <c r="AE58" s="2610"/>
      <c r="AF58" s="2610"/>
      <c r="AG58" s="2610"/>
      <c r="AH58" s="2610"/>
      <c r="AI58" s="2610"/>
      <c r="AJ58" s="2610"/>
      <c r="AK58" s="2610"/>
      <c r="AL58" s="2610"/>
      <c r="AM58" s="2610"/>
      <c r="AN58" s="2610"/>
      <c r="AO58" s="2610"/>
      <c r="AP58" s="2610"/>
      <c r="AQ58" s="2610"/>
      <c r="AR58" s="2610"/>
      <c r="AS58" s="2610"/>
      <c r="AT58" s="2610"/>
      <c r="AU58" s="618"/>
      <c r="AW58" s="381"/>
      <c r="AX58" s="381"/>
    </row>
    <row r="59" spans="1:50" ht="12.75" customHeight="1">
      <c r="B59" s="619"/>
      <c r="C59" s="2610" t="s">
        <v>178</v>
      </c>
      <c r="D59" s="2610"/>
      <c r="E59" s="2610"/>
      <c r="F59" s="2610"/>
      <c r="G59" s="2610"/>
      <c r="H59" s="2610"/>
      <c r="I59" s="2610"/>
      <c r="J59" s="2610"/>
      <c r="K59" s="2610"/>
      <c r="L59" s="2610"/>
      <c r="M59" s="2610"/>
      <c r="N59" s="2610"/>
      <c r="O59" s="2610"/>
      <c r="P59" s="2610"/>
      <c r="Q59" s="2610"/>
      <c r="R59" s="2610"/>
      <c r="S59" s="2610"/>
      <c r="T59" s="2610"/>
      <c r="U59" s="2610"/>
      <c r="V59" s="2610"/>
      <c r="W59" s="2610"/>
      <c r="X59" s="2610"/>
      <c r="Y59" s="2610"/>
      <c r="Z59" s="2610"/>
      <c r="AA59" s="2610"/>
      <c r="AB59" s="2610"/>
      <c r="AC59" s="2610"/>
      <c r="AD59" s="2610"/>
      <c r="AE59" s="2610"/>
      <c r="AF59" s="2610"/>
      <c r="AG59" s="2610"/>
      <c r="AH59" s="2610"/>
      <c r="AI59" s="2610"/>
      <c r="AJ59" s="2610"/>
      <c r="AK59" s="2610"/>
      <c r="AL59" s="2610"/>
      <c r="AM59" s="2610"/>
      <c r="AN59" s="2610"/>
      <c r="AO59" s="2610"/>
      <c r="AP59" s="2610"/>
      <c r="AQ59" s="2610"/>
      <c r="AR59" s="2610"/>
      <c r="AS59" s="2610"/>
      <c r="AT59" s="2610"/>
      <c r="AU59" s="618"/>
      <c r="AW59" s="381"/>
      <c r="AX59" s="381"/>
    </row>
    <row r="60" spans="1:50" ht="12.75" customHeight="1">
      <c r="B60" s="619" t="s">
        <v>165</v>
      </c>
      <c r="C60" s="2610" t="s">
        <v>166</v>
      </c>
      <c r="D60" s="2610"/>
      <c r="E60" s="2610"/>
      <c r="F60" s="2610"/>
      <c r="G60" s="2610"/>
      <c r="H60" s="2610"/>
      <c r="I60" s="2610"/>
      <c r="J60" s="2610"/>
      <c r="K60" s="2610"/>
      <c r="L60" s="2610"/>
      <c r="M60" s="2610"/>
      <c r="N60" s="2610"/>
      <c r="O60" s="2610"/>
      <c r="P60" s="2610"/>
      <c r="Q60" s="2610"/>
      <c r="R60" s="2610"/>
      <c r="S60" s="2610"/>
      <c r="T60" s="2610"/>
      <c r="U60" s="2610"/>
      <c r="V60" s="2610"/>
      <c r="W60" s="2610"/>
      <c r="X60" s="2610"/>
      <c r="Y60" s="2610"/>
      <c r="Z60" s="2610"/>
      <c r="AA60" s="2610"/>
      <c r="AB60" s="2610"/>
      <c r="AC60" s="2610"/>
      <c r="AD60" s="2610"/>
      <c r="AE60" s="2610"/>
      <c r="AF60" s="2610"/>
      <c r="AG60" s="2610"/>
      <c r="AH60" s="2610"/>
      <c r="AI60" s="2610"/>
      <c r="AJ60" s="2610"/>
      <c r="AK60" s="2610"/>
      <c r="AL60" s="2610"/>
      <c r="AM60" s="2610"/>
      <c r="AN60" s="2610"/>
      <c r="AO60" s="2610"/>
      <c r="AP60" s="2610"/>
      <c r="AQ60" s="2610"/>
      <c r="AR60" s="2610"/>
      <c r="AS60" s="2610"/>
      <c r="AT60" s="2610"/>
      <c r="AU60" s="618"/>
      <c r="AW60" s="381"/>
      <c r="AX60" s="381"/>
    </row>
    <row r="61" spans="1:50" ht="12.75" customHeight="1">
      <c r="B61" s="619" t="s">
        <v>159</v>
      </c>
      <c r="C61" s="2610" t="s">
        <v>0</v>
      </c>
      <c r="D61" s="2610"/>
      <c r="E61" s="2610"/>
      <c r="F61" s="2610"/>
      <c r="G61" s="2610"/>
      <c r="H61" s="2610"/>
      <c r="I61" s="2610"/>
      <c r="J61" s="2610"/>
      <c r="K61" s="2610"/>
      <c r="L61" s="2610"/>
      <c r="M61" s="2610"/>
      <c r="N61" s="2610"/>
      <c r="O61" s="2610"/>
      <c r="P61" s="2610"/>
      <c r="Q61" s="2610"/>
      <c r="R61" s="2610"/>
      <c r="S61" s="2610"/>
      <c r="T61" s="2610"/>
      <c r="U61" s="2610"/>
      <c r="V61" s="2610"/>
      <c r="W61" s="2610"/>
      <c r="X61" s="2610"/>
      <c r="Y61" s="2610"/>
      <c r="Z61" s="2610"/>
      <c r="AA61" s="2610"/>
      <c r="AB61" s="2610"/>
      <c r="AC61" s="2610"/>
      <c r="AD61" s="2610"/>
      <c r="AE61" s="2610"/>
      <c r="AF61" s="2610"/>
      <c r="AG61" s="2610"/>
      <c r="AH61" s="2610"/>
      <c r="AI61" s="2610"/>
      <c r="AJ61" s="2610"/>
      <c r="AK61" s="2610"/>
      <c r="AL61" s="2610"/>
      <c r="AM61" s="2610"/>
      <c r="AN61" s="2610"/>
      <c r="AO61" s="2610"/>
      <c r="AP61" s="2610"/>
      <c r="AQ61" s="2610"/>
      <c r="AR61" s="2610"/>
      <c r="AS61" s="2610"/>
      <c r="AT61" s="2610"/>
      <c r="AW61" s="381"/>
      <c r="AX61" s="381"/>
    </row>
    <row r="62" spans="1:50" ht="12.75" customHeight="1">
      <c r="B62" s="619" t="s">
        <v>167</v>
      </c>
      <c r="C62" s="2610" t="s">
        <v>179</v>
      </c>
      <c r="D62" s="2610"/>
      <c r="E62" s="2610"/>
      <c r="F62" s="2610"/>
      <c r="G62" s="2610"/>
      <c r="H62" s="2610"/>
      <c r="I62" s="2610"/>
      <c r="J62" s="2610"/>
      <c r="K62" s="2610"/>
      <c r="L62" s="2610"/>
      <c r="M62" s="2610"/>
      <c r="N62" s="2610"/>
      <c r="O62" s="2610"/>
      <c r="P62" s="2610"/>
      <c r="Q62" s="2610"/>
      <c r="R62" s="2610"/>
      <c r="S62" s="2610"/>
      <c r="T62" s="2610"/>
      <c r="U62" s="2610"/>
      <c r="V62" s="2610"/>
      <c r="W62" s="2610"/>
      <c r="X62" s="2610"/>
      <c r="Y62" s="2610"/>
      <c r="Z62" s="2610"/>
      <c r="AA62" s="2610"/>
      <c r="AB62" s="2610"/>
      <c r="AC62" s="2610"/>
      <c r="AD62" s="2610"/>
      <c r="AE62" s="2610"/>
      <c r="AF62" s="2610"/>
      <c r="AG62" s="2610"/>
      <c r="AH62" s="2610"/>
      <c r="AI62" s="2610"/>
      <c r="AJ62" s="2610"/>
      <c r="AK62" s="2610"/>
      <c r="AL62" s="2610"/>
      <c r="AM62" s="2610"/>
      <c r="AN62" s="2610"/>
      <c r="AO62" s="2610"/>
      <c r="AP62" s="2610"/>
      <c r="AQ62" s="2610"/>
      <c r="AR62" s="2610"/>
      <c r="AS62" s="2610"/>
      <c r="AT62" s="2610"/>
      <c r="AU62" s="618"/>
      <c r="AW62" s="381"/>
      <c r="AX62" s="381"/>
    </row>
    <row r="63" spans="1:50" ht="12.75" customHeight="1">
      <c r="C63" s="2610" t="s">
        <v>180</v>
      </c>
      <c r="D63" s="2610"/>
      <c r="E63" s="2610"/>
      <c r="F63" s="2610"/>
      <c r="G63" s="2610"/>
      <c r="H63" s="2610"/>
      <c r="I63" s="2610"/>
      <c r="J63" s="2610"/>
      <c r="K63" s="2610"/>
      <c r="L63" s="2610"/>
      <c r="M63" s="2610"/>
      <c r="N63" s="2610"/>
      <c r="O63" s="2610"/>
      <c r="P63" s="2610"/>
      <c r="Q63" s="2610"/>
      <c r="R63" s="2610"/>
      <c r="S63" s="2610"/>
      <c r="T63" s="2610"/>
      <c r="U63" s="2610"/>
      <c r="V63" s="2610"/>
      <c r="W63" s="2610"/>
      <c r="X63" s="2610"/>
      <c r="Y63" s="2610"/>
      <c r="Z63" s="2610"/>
      <c r="AA63" s="2610"/>
      <c r="AB63" s="2610"/>
      <c r="AC63" s="2610"/>
      <c r="AD63" s="2610"/>
      <c r="AE63" s="2610"/>
      <c r="AF63" s="2610"/>
      <c r="AG63" s="2610"/>
      <c r="AH63" s="2610"/>
      <c r="AI63" s="2610"/>
      <c r="AJ63" s="2610"/>
      <c r="AK63" s="2610"/>
      <c r="AL63" s="2610"/>
      <c r="AM63" s="2610"/>
      <c r="AN63" s="2610"/>
      <c r="AO63" s="2610"/>
      <c r="AP63" s="2610"/>
      <c r="AQ63" s="2610"/>
      <c r="AR63" s="2610"/>
      <c r="AS63" s="2610"/>
      <c r="AT63" s="2610"/>
      <c r="AU63" s="618"/>
      <c r="AW63" s="381"/>
      <c r="AX63" s="381"/>
    </row>
    <row r="64" spans="1:50" ht="12.75" customHeight="1">
      <c r="B64" s="619" t="s">
        <v>1</v>
      </c>
      <c r="C64" s="2610" t="s">
        <v>2</v>
      </c>
      <c r="D64" s="2610"/>
      <c r="E64" s="2610"/>
      <c r="F64" s="2610"/>
      <c r="G64" s="2610"/>
      <c r="H64" s="2610"/>
      <c r="I64" s="2610"/>
      <c r="J64" s="2610"/>
      <c r="K64" s="2610"/>
      <c r="L64" s="2610"/>
      <c r="M64" s="2610"/>
      <c r="N64" s="2610"/>
      <c r="O64" s="2610"/>
      <c r="P64" s="2610"/>
      <c r="Q64" s="2610"/>
      <c r="R64" s="2610"/>
      <c r="S64" s="2610"/>
      <c r="T64" s="2610"/>
      <c r="U64" s="2610"/>
      <c r="V64" s="2610"/>
      <c r="W64" s="2610"/>
      <c r="X64" s="2610"/>
      <c r="Y64" s="2610"/>
      <c r="Z64" s="2610"/>
      <c r="AA64" s="2610"/>
      <c r="AB64" s="2610"/>
      <c r="AC64" s="2610"/>
      <c r="AD64" s="2610"/>
      <c r="AE64" s="2610"/>
      <c r="AF64" s="2610"/>
      <c r="AG64" s="2610"/>
      <c r="AH64" s="2610"/>
      <c r="AI64" s="2610"/>
      <c r="AJ64" s="2610"/>
      <c r="AK64" s="2610"/>
      <c r="AL64" s="2610"/>
      <c r="AM64" s="2610"/>
      <c r="AN64" s="2610"/>
      <c r="AO64" s="2610"/>
      <c r="AP64" s="2610"/>
      <c r="AQ64" s="2610"/>
      <c r="AR64" s="2610"/>
      <c r="AS64" s="2610"/>
      <c r="AT64" s="2610"/>
      <c r="AU64" s="618"/>
      <c r="AW64" s="381"/>
      <c r="AX64" s="381"/>
    </row>
    <row r="65" spans="1:53" ht="12.75" customHeight="1">
      <c r="AG65" s="618"/>
      <c r="AH65" s="618"/>
      <c r="AI65" s="618"/>
      <c r="AJ65" s="618"/>
      <c r="AK65" s="618"/>
      <c r="AL65" s="618"/>
      <c r="AM65" s="618"/>
      <c r="AN65" s="618"/>
      <c r="AO65" s="618"/>
      <c r="AP65" s="618"/>
      <c r="AQ65" s="618"/>
      <c r="AR65" s="618"/>
      <c r="AS65" s="618"/>
      <c r="AT65" s="618"/>
      <c r="AW65" s="381"/>
      <c r="AX65" s="381"/>
    </row>
    <row r="66" spans="1:53" ht="12.75" customHeight="1">
      <c r="A66" s="617" t="s">
        <v>18</v>
      </c>
      <c r="B66" s="617" t="s">
        <v>160</v>
      </c>
      <c r="C66" s="617">
        <v>2</v>
      </c>
      <c r="D66" s="617" t="s">
        <v>5</v>
      </c>
      <c r="E66" s="617" t="s">
        <v>6</v>
      </c>
      <c r="F66" s="617"/>
      <c r="G66" s="617" t="s">
        <v>25</v>
      </c>
      <c r="H66" s="617" t="s">
        <v>182</v>
      </c>
      <c r="I66" s="617">
        <v>4</v>
      </c>
      <c r="J66" s="617" t="s">
        <v>22</v>
      </c>
      <c r="AO66" s="758" t="str">
        <f>$AO$7</f>
        <v>Kyoto City(R4.11) ver112</v>
      </c>
      <c r="AP66" s="705" t="str">
        <f>IF('1_入力シート【基本情報】'!$AB$7="","",'1_入力シート【基本情報】'!$AB$7)</f>
        <v/>
      </c>
      <c r="AQ66" s="703" t="str">
        <f>IF('1_入力シート【基本情報】'!$AK$7="","",'1_入力シート【基本情報】'!$AK$7)</f>
        <v/>
      </c>
      <c r="AR66" s="2606" t="str">
        <f>IF('1_入力シート【基本情報】'!$AT$7="","",TEXT('1_入力シート【基本情報】'!$AT$7,"0000"))</f>
        <v/>
      </c>
      <c r="AS66" s="2607"/>
      <c r="AT66" s="2607"/>
      <c r="AU66" s="2608"/>
      <c r="AW66" s="381"/>
      <c r="AX66" s="381"/>
    </row>
    <row r="67" spans="1:53" ht="12.75" customHeight="1">
      <c r="U67" s="2665" t="s">
        <v>181</v>
      </c>
      <c r="V67" s="2665"/>
      <c r="W67" s="2665"/>
      <c r="X67" s="2665"/>
      <c r="Y67" s="2665"/>
      <c r="Z67" s="2665"/>
      <c r="AW67" s="381"/>
      <c r="AX67" s="381"/>
    </row>
    <row r="68" spans="1:53" ht="12.75" customHeight="1">
      <c r="AW68" s="381"/>
      <c r="AX68" s="381"/>
    </row>
    <row r="69" spans="1:53" ht="15.75" customHeight="1">
      <c r="A69" s="2634" t="s">
        <v>161</v>
      </c>
      <c r="B69" s="2635"/>
      <c r="C69" s="2636"/>
      <c r="D69" s="2653" t="s">
        <v>162</v>
      </c>
      <c r="E69" s="2654"/>
      <c r="F69" s="2654"/>
      <c r="G69" s="2654"/>
      <c r="H69" s="2654"/>
      <c r="I69" s="2654"/>
      <c r="J69" s="2655"/>
      <c r="K69" s="621"/>
      <c r="L69" s="622"/>
      <c r="M69" s="622"/>
      <c r="N69" s="622"/>
      <c r="O69" s="622"/>
      <c r="P69" s="622"/>
      <c r="Q69" s="622"/>
      <c r="R69" s="622"/>
      <c r="S69" s="623" t="s">
        <v>7</v>
      </c>
      <c r="T69" s="623" t="s">
        <v>8</v>
      </c>
      <c r="U69" s="623" t="s">
        <v>9</v>
      </c>
      <c r="V69" s="623" t="s">
        <v>163</v>
      </c>
      <c r="W69" s="623"/>
      <c r="X69" s="623"/>
      <c r="Y69" s="623"/>
      <c r="Z69" s="623"/>
      <c r="AA69" s="623"/>
      <c r="AB69" s="623"/>
      <c r="AC69" s="623"/>
      <c r="AD69" s="623"/>
      <c r="AE69" s="623"/>
      <c r="AF69" s="623"/>
      <c r="AG69" s="623"/>
      <c r="AH69" s="623"/>
      <c r="AI69" s="624"/>
      <c r="AJ69" s="625"/>
      <c r="AK69" s="2654" t="s">
        <v>33</v>
      </c>
      <c r="AL69" s="2654"/>
      <c r="AM69" s="2654"/>
      <c r="AN69" s="2654"/>
      <c r="AO69" s="2654"/>
      <c r="AP69" s="2654"/>
      <c r="AQ69" s="2654"/>
      <c r="AR69" s="2654"/>
      <c r="AS69" s="2654"/>
      <c r="AT69" s="2654"/>
      <c r="AU69" s="626"/>
      <c r="AW69" s="381"/>
      <c r="AX69" s="381"/>
    </row>
    <row r="70" spans="1:53" ht="15.75" customHeight="1" thickBot="1">
      <c r="A70" s="2647"/>
      <c r="B70" s="2648"/>
      <c r="C70" s="2649"/>
      <c r="D70" s="2634" t="str">
        <f>IFERROR(VLOOKUP(3,'1_入力シート【基本情報】'!$DU$307:$DX$526,3,FALSE),"")</f>
        <v/>
      </c>
      <c r="E70" s="2635"/>
      <c r="F70" s="2635"/>
      <c r="G70" s="2635"/>
      <c r="H70" s="2635"/>
      <c r="I70" s="2635"/>
      <c r="J70" s="2636"/>
      <c r="K70" s="2611" t="str">
        <f>IFERROR(VLOOKUP(3,'1_入力シート【基本情報】'!$DU$307:$DX$526,4,FALSE),"")</f>
        <v/>
      </c>
      <c r="L70" s="2612"/>
      <c r="M70" s="2612"/>
      <c r="N70" s="2612"/>
      <c r="O70" s="2612"/>
      <c r="P70" s="2612"/>
      <c r="Q70" s="2612"/>
      <c r="R70" s="2612"/>
      <c r="S70" s="2612"/>
      <c r="T70" s="2612"/>
      <c r="U70" s="2612"/>
      <c r="V70" s="2612"/>
      <c r="W70" s="2612"/>
      <c r="X70" s="2612"/>
      <c r="Y70" s="2612"/>
      <c r="Z70" s="2612"/>
      <c r="AA70" s="2612"/>
      <c r="AB70" s="2612"/>
      <c r="AC70" s="2612"/>
      <c r="AD70" s="2612"/>
      <c r="AE70" s="2612"/>
      <c r="AF70" s="2612"/>
      <c r="AG70" s="2612"/>
      <c r="AH70" s="2612"/>
      <c r="AI70" s="2613"/>
      <c r="AJ70" s="665"/>
      <c r="AK70" s="665"/>
      <c r="AL70" s="665"/>
      <c r="AM70" s="665"/>
      <c r="AN70" s="665"/>
      <c r="AO70" s="665"/>
      <c r="AP70" s="665"/>
      <c r="AQ70" s="665"/>
      <c r="AR70" s="665"/>
      <c r="AS70" s="665"/>
      <c r="AT70" s="665"/>
      <c r="AU70" s="666"/>
      <c r="AW70" s="381"/>
      <c r="AX70" s="381"/>
    </row>
    <row r="71" spans="1:53" ht="15.75" customHeight="1" thickBot="1">
      <c r="A71" s="2647"/>
      <c r="B71" s="2648"/>
      <c r="C71" s="2649"/>
      <c r="D71" s="2637"/>
      <c r="E71" s="2638"/>
      <c r="F71" s="2638"/>
      <c r="G71" s="2638"/>
      <c r="H71" s="2638"/>
      <c r="I71" s="2638"/>
      <c r="J71" s="2639"/>
      <c r="K71" s="2614"/>
      <c r="L71" s="2615"/>
      <c r="M71" s="2615"/>
      <c r="N71" s="2615"/>
      <c r="O71" s="2615"/>
      <c r="P71" s="2615"/>
      <c r="Q71" s="2615"/>
      <c r="R71" s="2615"/>
      <c r="S71" s="2615"/>
      <c r="T71" s="2615"/>
      <c r="U71" s="2615"/>
      <c r="V71" s="2615"/>
      <c r="W71" s="2615"/>
      <c r="X71" s="2615"/>
      <c r="Y71" s="2615"/>
      <c r="Z71" s="2615"/>
      <c r="AA71" s="2615"/>
      <c r="AB71" s="2615"/>
      <c r="AC71" s="2615"/>
      <c r="AD71" s="2615"/>
      <c r="AE71" s="2615"/>
      <c r="AF71" s="2615"/>
      <c r="AG71" s="2615"/>
      <c r="AH71" s="2615"/>
      <c r="AI71" s="2616"/>
      <c r="AJ71" s="665"/>
      <c r="AK71" s="665" t="str">
        <f>IF(D70&lt;&gt;"","☑","☐")</f>
        <v>☐</v>
      </c>
      <c r="AL71" s="665" t="s">
        <v>14</v>
      </c>
      <c r="AM71" s="665" t="s">
        <v>21</v>
      </c>
      <c r="AN71" s="665" t="s">
        <v>15</v>
      </c>
      <c r="AO71" s="665"/>
      <c r="AP71" s="783" t="s">
        <v>186</v>
      </c>
      <c r="AQ71" s="665" t="s">
        <v>27</v>
      </c>
      <c r="AR71" s="665" t="s">
        <v>23</v>
      </c>
      <c r="AS71" s="665" t="s">
        <v>13</v>
      </c>
      <c r="AT71" s="665"/>
      <c r="AU71" s="666"/>
      <c r="AV71" s="627"/>
      <c r="AW71" s="381"/>
      <c r="AX71" s="381"/>
      <c r="BA71" s="802" t="b">
        <f>AP71="☑"</f>
        <v>0</v>
      </c>
    </row>
    <row r="72" spans="1:53" ht="15.75" customHeight="1">
      <c r="A72" s="2650"/>
      <c r="B72" s="2651"/>
      <c r="C72" s="2652"/>
      <c r="D72" s="2640"/>
      <c r="E72" s="2641"/>
      <c r="F72" s="2641"/>
      <c r="G72" s="2641"/>
      <c r="H72" s="2641"/>
      <c r="I72" s="2641"/>
      <c r="J72" s="2642"/>
      <c r="K72" s="2644"/>
      <c r="L72" s="2645"/>
      <c r="M72" s="2645"/>
      <c r="N72" s="2645"/>
      <c r="O72" s="2645"/>
      <c r="P72" s="2645"/>
      <c r="Q72" s="2645"/>
      <c r="R72" s="2645"/>
      <c r="S72" s="2645"/>
      <c r="T72" s="2645"/>
      <c r="U72" s="2645"/>
      <c r="V72" s="2645"/>
      <c r="W72" s="2645"/>
      <c r="X72" s="2645"/>
      <c r="Y72" s="2645"/>
      <c r="Z72" s="2645"/>
      <c r="AA72" s="2645"/>
      <c r="AB72" s="2645"/>
      <c r="AC72" s="2645"/>
      <c r="AD72" s="2645"/>
      <c r="AE72" s="2645"/>
      <c r="AF72" s="2645"/>
      <c r="AG72" s="2645"/>
      <c r="AH72" s="2645"/>
      <c r="AI72" s="2646"/>
      <c r="AJ72" s="667"/>
      <c r="AK72" s="667"/>
      <c r="AL72" s="667"/>
      <c r="AM72" s="667"/>
      <c r="AN72" s="667"/>
      <c r="AO72" s="667"/>
      <c r="AP72" s="667"/>
      <c r="AQ72" s="667"/>
      <c r="AR72" s="667"/>
      <c r="AS72" s="667"/>
      <c r="AT72" s="667"/>
      <c r="AU72" s="668"/>
      <c r="AW72" s="381"/>
      <c r="AX72" s="381"/>
    </row>
    <row r="73" spans="1:53" ht="15.75" customHeight="1">
      <c r="A73" s="8"/>
      <c r="B73" s="616"/>
      <c r="C73" s="616"/>
      <c r="D73" s="616"/>
      <c r="E73" s="616"/>
      <c r="F73" s="616"/>
      <c r="G73" s="616"/>
      <c r="H73" s="616"/>
      <c r="I73" s="616"/>
      <c r="J73" s="616"/>
      <c r="K73" s="616"/>
      <c r="L73" s="616"/>
      <c r="M73" s="616"/>
      <c r="N73" s="616"/>
      <c r="O73" s="616"/>
      <c r="P73" s="616"/>
      <c r="Q73" s="616"/>
      <c r="R73" s="616"/>
      <c r="S73" s="616"/>
      <c r="T73" s="616"/>
      <c r="U73" s="616"/>
      <c r="V73" s="616"/>
      <c r="W73" s="616"/>
      <c r="X73" s="616"/>
      <c r="Y73" s="9"/>
      <c r="Z73" s="140"/>
      <c r="AA73" s="141" t="s">
        <v>11</v>
      </c>
      <c r="AB73" s="141" t="s">
        <v>10</v>
      </c>
      <c r="AC73" s="141" t="s">
        <v>16</v>
      </c>
      <c r="AD73" s="141" t="s">
        <v>9</v>
      </c>
      <c r="AE73" s="141"/>
      <c r="AF73" s="141"/>
      <c r="AG73" s="141"/>
      <c r="AH73" s="141"/>
      <c r="AI73" s="141"/>
      <c r="AJ73" s="142"/>
      <c r="AK73" s="142"/>
      <c r="AL73" s="142"/>
      <c r="AM73" s="142"/>
      <c r="AN73" s="142"/>
      <c r="AO73" s="142"/>
      <c r="AP73" s="142"/>
      <c r="AQ73" s="142"/>
      <c r="AR73" s="142"/>
      <c r="AS73" s="142"/>
      <c r="AT73" s="142"/>
      <c r="AU73" s="143"/>
      <c r="AW73" s="381"/>
      <c r="AX73" s="381"/>
    </row>
    <row r="74" spans="1:53" ht="15.75" customHeight="1">
      <c r="A74" s="8"/>
      <c r="B74" s="616"/>
      <c r="C74" s="616"/>
      <c r="D74" s="616"/>
      <c r="E74" s="616"/>
      <c r="F74" s="616"/>
      <c r="G74" s="616"/>
      <c r="H74" s="616"/>
      <c r="I74" s="616"/>
      <c r="J74" s="616"/>
      <c r="K74" s="616"/>
      <c r="L74" s="616"/>
      <c r="M74" s="616"/>
      <c r="N74" s="616"/>
      <c r="O74" s="616"/>
      <c r="P74" s="616"/>
      <c r="Q74" s="616"/>
      <c r="R74" s="616"/>
      <c r="S74" s="616"/>
      <c r="T74" s="616"/>
      <c r="U74" s="616"/>
      <c r="V74" s="616"/>
      <c r="W74" s="616"/>
      <c r="X74" s="616"/>
      <c r="Y74" s="9"/>
      <c r="Z74" s="2626"/>
      <c r="AA74" s="2627"/>
      <c r="AB74" s="2627"/>
      <c r="AC74" s="2627"/>
      <c r="AD74" s="2627"/>
      <c r="AE74" s="2627"/>
      <c r="AF74" s="2627"/>
      <c r="AG74" s="2627"/>
      <c r="AH74" s="2627"/>
      <c r="AI74" s="2627"/>
      <c r="AJ74" s="2627"/>
      <c r="AK74" s="2627"/>
      <c r="AL74" s="2627"/>
      <c r="AM74" s="2627"/>
      <c r="AN74" s="2627"/>
      <c r="AO74" s="198"/>
      <c r="AP74" s="198"/>
      <c r="AQ74" s="198"/>
      <c r="AR74" s="198"/>
      <c r="AS74" s="198"/>
      <c r="AT74" s="198"/>
      <c r="AU74" s="199"/>
      <c r="AW74" s="381"/>
      <c r="AX74" s="381"/>
    </row>
    <row r="75" spans="1:53" ht="15.75" customHeight="1">
      <c r="A75" s="8"/>
      <c r="B75" s="616"/>
      <c r="C75" s="616"/>
      <c r="D75" s="616"/>
      <c r="E75" s="616"/>
      <c r="F75" s="616"/>
      <c r="G75" s="616"/>
      <c r="H75" s="616"/>
      <c r="I75" s="616"/>
      <c r="J75" s="616"/>
      <c r="K75" s="616"/>
      <c r="L75" s="616"/>
      <c r="M75" s="616"/>
      <c r="N75" s="616"/>
      <c r="O75" s="616"/>
      <c r="P75" s="616"/>
      <c r="Q75" s="616"/>
      <c r="R75" s="616"/>
      <c r="S75" s="616"/>
      <c r="T75" s="616"/>
      <c r="U75" s="616"/>
      <c r="V75" s="616"/>
      <c r="W75" s="616"/>
      <c r="X75" s="616"/>
      <c r="Y75" s="9"/>
      <c r="Z75" s="2611" t="str">
        <f>IFERROR(VLOOKUP(3,'1_入力シート【基本情報】'!$DU$307:$DZ$526,5,FALSE),"")</f>
        <v/>
      </c>
      <c r="AA75" s="2612"/>
      <c r="AB75" s="2612"/>
      <c r="AC75" s="2612"/>
      <c r="AD75" s="2612"/>
      <c r="AE75" s="2612"/>
      <c r="AF75" s="2612"/>
      <c r="AG75" s="2612"/>
      <c r="AH75" s="2612"/>
      <c r="AI75" s="2612"/>
      <c r="AJ75" s="2612"/>
      <c r="AK75" s="2612"/>
      <c r="AL75" s="2612"/>
      <c r="AM75" s="2612"/>
      <c r="AN75" s="2612"/>
      <c r="AO75" s="2612"/>
      <c r="AP75" s="2612"/>
      <c r="AQ75" s="2612"/>
      <c r="AR75" s="2612"/>
      <c r="AS75" s="2612"/>
      <c r="AT75" s="2612"/>
      <c r="AU75" s="2613"/>
      <c r="AW75" s="381"/>
      <c r="AX75" s="381"/>
    </row>
    <row r="76" spans="1:53" ht="15.75" customHeight="1">
      <c r="A76" s="8"/>
      <c r="B76" s="616"/>
      <c r="C76" s="616"/>
      <c r="D76" s="616"/>
      <c r="E76" s="616"/>
      <c r="F76" s="616"/>
      <c r="G76" s="616"/>
      <c r="H76" s="616"/>
      <c r="I76" s="616"/>
      <c r="J76" s="616"/>
      <c r="K76" s="616"/>
      <c r="L76" s="616"/>
      <c r="M76" s="616"/>
      <c r="N76" s="616"/>
      <c r="O76" s="616"/>
      <c r="P76" s="616"/>
      <c r="Q76" s="616"/>
      <c r="R76" s="616"/>
      <c r="S76" s="616"/>
      <c r="T76" s="616"/>
      <c r="U76" s="616"/>
      <c r="V76" s="616"/>
      <c r="W76" s="616"/>
      <c r="X76" s="616"/>
      <c r="Y76" s="9"/>
      <c r="Z76" s="2614"/>
      <c r="AA76" s="2615"/>
      <c r="AB76" s="2615"/>
      <c r="AC76" s="2615"/>
      <c r="AD76" s="2615"/>
      <c r="AE76" s="2615"/>
      <c r="AF76" s="2615"/>
      <c r="AG76" s="2615"/>
      <c r="AH76" s="2615"/>
      <c r="AI76" s="2615"/>
      <c r="AJ76" s="2615"/>
      <c r="AK76" s="2615"/>
      <c r="AL76" s="2615"/>
      <c r="AM76" s="2615"/>
      <c r="AN76" s="2615"/>
      <c r="AO76" s="2615"/>
      <c r="AP76" s="2615"/>
      <c r="AQ76" s="2615"/>
      <c r="AR76" s="2615"/>
      <c r="AS76" s="2615"/>
      <c r="AT76" s="2615"/>
      <c r="AU76" s="2616"/>
      <c r="AW76" s="381"/>
      <c r="AX76" s="381"/>
    </row>
    <row r="77" spans="1:53" ht="15.75" customHeight="1">
      <c r="A77" s="8"/>
      <c r="B77" s="616"/>
      <c r="C77" s="616"/>
      <c r="D77" s="616"/>
      <c r="E77" s="616"/>
      <c r="F77" s="616"/>
      <c r="G77" s="616"/>
      <c r="H77" s="616"/>
      <c r="I77" s="616"/>
      <c r="J77" s="616"/>
      <c r="K77" s="616"/>
      <c r="L77" s="616"/>
      <c r="M77" s="616"/>
      <c r="N77" s="616"/>
      <c r="O77" s="616"/>
      <c r="P77" s="616"/>
      <c r="Q77" s="616"/>
      <c r="R77" s="616"/>
      <c r="S77" s="616"/>
      <c r="T77" s="616"/>
      <c r="U77" s="616"/>
      <c r="V77" s="616"/>
      <c r="W77" s="616"/>
      <c r="X77" s="616"/>
      <c r="Y77" s="9"/>
      <c r="Z77" s="2617"/>
      <c r="AA77" s="2618"/>
      <c r="AB77" s="2618"/>
      <c r="AC77" s="2618"/>
      <c r="AD77" s="2618"/>
      <c r="AE77" s="2618"/>
      <c r="AF77" s="2618"/>
      <c r="AG77" s="2618"/>
      <c r="AH77" s="2618"/>
      <c r="AI77" s="2618"/>
      <c r="AJ77" s="2618"/>
      <c r="AK77" s="2618"/>
      <c r="AL77" s="2618"/>
      <c r="AM77" s="2618"/>
      <c r="AN77" s="2618"/>
      <c r="AO77" s="2618"/>
      <c r="AP77" s="2618"/>
      <c r="AQ77" s="2618"/>
      <c r="AR77" s="2618"/>
      <c r="AS77" s="2618"/>
      <c r="AT77" s="2618"/>
      <c r="AU77" s="2619"/>
      <c r="AW77" s="381"/>
      <c r="AX77" s="381"/>
    </row>
    <row r="78" spans="1:53" ht="15.75" customHeight="1">
      <c r="A78" s="8"/>
      <c r="B78" s="669"/>
      <c r="C78" s="669"/>
      <c r="D78" s="669"/>
      <c r="E78" s="669"/>
      <c r="F78" s="669"/>
      <c r="G78" s="669"/>
      <c r="H78" s="669"/>
      <c r="I78" s="669"/>
      <c r="J78" s="669"/>
      <c r="K78" s="669"/>
      <c r="L78" s="669"/>
      <c r="M78" s="669"/>
      <c r="N78" s="669"/>
      <c r="O78" s="669"/>
      <c r="P78" s="669"/>
      <c r="Q78" s="669"/>
      <c r="R78" s="669"/>
      <c r="S78" s="669"/>
      <c r="T78" s="669"/>
      <c r="U78" s="669"/>
      <c r="V78" s="669"/>
      <c r="W78" s="669"/>
      <c r="X78" s="669"/>
      <c r="Y78" s="9"/>
      <c r="Z78" s="2620"/>
      <c r="AA78" s="2621"/>
      <c r="AB78" s="2621"/>
      <c r="AC78" s="2621"/>
      <c r="AD78" s="2621"/>
      <c r="AE78" s="2621"/>
      <c r="AF78" s="2621"/>
      <c r="AG78" s="2621"/>
      <c r="AH78" s="2621"/>
      <c r="AI78" s="2621"/>
      <c r="AJ78" s="2621"/>
      <c r="AK78" s="2621"/>
      <c r="AL78" s="2621"/>
      <c r="AM78" s="2621"/>
      <c r="AN78" s="2621"/>
      <c r="AO78" s="2621"/>
      <c r="AP78" s="2621"/>
      <c r="AQ78" s="2621"/>
      <c r="AR78" s="2621"/>
      <c r="AS78" s="2621"/>
      <c r="AT78" s="2621"/>
      <c r="AU78" s="2622"/>
      <c r="AW78" s="381"/>
      <c r="AX78" s="381"/>
    </row>
    <row r="79" spans="1:53" ht="15.75" customHeight="1">
      <c r="A79" s="8"/>
      <c r="B79" s="669"/>
      <c r="C79" s="669"/>
      <c r="D79" s="669"/>
      <c r="E79" s="669"/>
      <c r="F79" s="669"/>
      <c r="G79" s="669"/>
      <c r="H79" s="669"/>
      <c r="I79" s="669"/>
      <c r="J79" s="669"/>
      <c r="K79" s="669"/>
      <c r="L79" s="669"/>
      <c r="M79" s="669"/>
      <c r="N79" s="669"/>
      <c r="O79" s="669"/>
      <c r="P79" s="669"/>
      <c r="Q79" s="669"/>
      <c r="R79" s="669"/>
      <c r="S79" s="669"/>
      <c r="T79" s="669"/>
      <c r="U79" s="669"/>
      <c r="V79" s="669"/>
      <c r="W79" s="669"/>
      <c r="X79" s="669"/>
      <c r="Y79" s="9"/>
      <c r="Z79" s="2620"/>
      <c r="AA79" s="2621"/>
      <c r="AB79" s="2621"/>
      <c r="AC79" s="2621"/>
      <c r="AD79" s="2621"/>
      <c r="AE79" s="2621"/>
      <c r="AF79" s="2621"/>
      <c r="AG79" s="2621"/>
      <c r="AH79" s="2621"/>
      <c r="AI79" s="2621"/>
      <c r="AJ79" s="2621"/>
      <c r="AK79" s="2621"/>
      <c r="AL79" s="2621"/>
      <c r="AM79" s="2621"/>
      <c r="AN79" s="2621"/>
      <c r="AO79" s="2621"/>
      <c r="AP79" s="2621"/>
      <c r="AQ79" s="2621"/>
      <c r="AR79" s="2621"/>
      <c r="AS79" s="2621"/>
      <c r="AT79" s="2621"/>
      <c r="AU79" s="2622"/>
      <c r="AW79" s="381"/>
      <c r="AX79" s="381"/>
    </row>
    <row r="80" spans="1:53" ht="15.75" customHeight="1">
      <c r="A80" s="8"/>
      <c r="B80" s="669"/>
      <c r="C80" s="669"/>
      <c r="D80" s="669"/>
      <c r="E80" s="669"/>
      <c r="F80" s="669"/>
      <c r="G80" s="669"/>
      <c r="H80" s="669"/>
      <c r="I80" s="669"/>
      <c r="J80" s="669"/>
      <c r="K80" s="669"/>
      <c r="L80" s="669"/>
      <c r="M80" s="669"/>
      <c r="N80" s="669"/>
      <c r="O80" s="669"/>
      <c r="P80" s="669"/>
      <c r="Q80" s="669"/>
      <c r="R80" s="669"/>
      <c r="S80" s="669"/>
      <c r="T80" s="669"/>
      <c r="U80" s="669"/>
      <c r="V80" s="669"/>
      <c r="W80" s="669"/>
      <c r="X80" s="669"/>
      <c r="Y80" s="9"/>
      <c r="Z80" s="2620"/>
      <c r="AA80" s="2621"/>
      <c r="AB80" s="2621"/>
      <c r="AC80" s="2621"/>
      <c r="AD80" s="2621"/>
      <c r="AE80" s="2621"/>
      <c r="AF80" s="2621"/>
      <c r="AG80" s="2621"/>
      <c r="AH80" s="2621"/>
      <c r="AI80" s="2621"/>
      <c r="AJ80" s="2621"/>
      <c r="AK80" s="2621"/>
      <c r="AL80" s="2621"/>
      <c r="AM80" s="2621"/>
      <c r="AN80" s="2621"/>
      <c r="AO80" s="2621"/>
      <c r="AP80" s="2621"/>
      <c r="AQ80" s="2621"/>
      <c r="AR80" s="2621"/>
      <c r="AS80" s="2621"/>
      <c r="AT80" s="2621"/>
      <c r="AU80" s="2622"/>
      <c r="AW80" s="381"/>
      <c r="AX80" s="381"/>
    </row>
    <row r="81" spans="1:53" ht="15.75" customHeight="1">
      <c r="A81" s="8"/>
      <c r="B81" s="669"/>
      <c r="C81" s="669"/>
      <c r="D81" s="669"/>
      <c r="E81" s="669"/>
      <c r="F81" s="669"/>
      <c r="G81" s="669"/>
      <c r="H81" s="669"/>
      <c r="I81" s="669"/>
      <c r="J81" s="669"/>
      <c r="K81" s="2629" t="s">
        <v>164</v>
      </c>
      <c r="L81" s="2629"/>
      <c r="M81" s="2629"/>
      <c r="N81" s="2629"/>
      <c r="O81" s="2629"/>
      <c r="P81" s="2629"/>
      <c r="Q81" s="669"/>
      <c r="R81" s="669"/>
      <c r="S81" s="669"/>
      <c r="T81" s="669"/>
      <c r="U81" s="669"/>
      <c r="V81" s="669"/>
      <c r="W81" s="669"/>
      <c r="X81" s="669"/>
      <c r="Y81" s="9"/>
      <c r="Z81" s="2620"/>
      <c r="AA81" s="2621"/>
      <c r="AB81" s="2621"/>
      <c r="AC81" s="2621"/>
      <c r="AD81" s="2621"/>
      <c r="AE81" s="2621"/>
      <c r="AF81" s="2621"/>
      <c r="AG81" s="2621"/>
      <c r="AH81" s="2621"/>
      <c r="AI81" s="2621"/>
      <c r="AJ81" s="2621"/>
      <c r="AK81" s="2621"/>
      <c r="AL81" s="2621"/>
      <c r="AM81" s="2621"/>
      <c r="AN81" s="2621"/>
      <c r="AO81" s="2621"/>
      <c r="AP81" s="2621"/>
      <c r="AQ81" s="2621"/>
      <c r="AR81" s="2621"/>
      <c r="AS81" s="2621"/>
      <c r="AT81" s="2621"/>
      <c r="AU81" s="2622"/>
      <c r="AW81" s="381"/>
      <c r="AX81" s="381"/>
    </row>
    <row r="82" spans="1:53" ht="15.75" customHeight="1">
      <c r="A82" s="8"/>
      <c r="B82" s="669"/>
      <c r="C82" s="669"/>
      <c r="D82" s="669"/>
      <c r="E82" s="669"/>
      <c r="F82" s="669"/>
      <c r="G82" s="669"/>
      <c r="H82" s="669"/>
      <c r="I82" s="669"/>
      <c r="J82" s="669"/>
      <c r="K82" s="669"/>
      <c r="L82" s="669"/>
      <c r="M82" s="669"/>
      <c r="N82" s="669"/>
      <c r="O82" s="669"/>
      <c r="P82" s="669"/>
      <c r="Q82" s="669"/>
      <c r="R82" s="669"/>
      <c r="S82" s="669"/>
      <c r="T82" s="669"/>
      <c r="U82" s="669"/>
      <c r="V82" s="669"/>
      <c r="W82" s="669"/>
      <c r="X82" s="669"/>
      <c r="Y82" s="9"/>
      <c r="Z82" s="2620"/>
      <c r="AA82" s="2621"/>
      <c r="AB82" s="2621"/>
      <c r="AC82" s="2621"/>
      <c r="AD82" s="2621"/>
      <c r="AE82" s="2621"/>
      <c r="AF82" s="2621"/>
      <c r="AG82" s="2621"/>
      <c r="AH82" s="2621"/>
      <c r="AI82" s="2621"/>
      <c r="AJ82" s="2621"/>
      <c r="AK82" s="2621"/>
      <c r="AL82" s="2621"/>
      <c r="AM82" s="2621"/>
      <c r="AN82" s="2621"/>
      <c r="AO82" s="2621"/>
      <c r="AP82" s="2621"/>
      <c r="AQ82" s="2621"/>
      <c r="AR82" s="2621"/>
      <c r="AS82" s="2621"/>
      <c r="AT82" s="2621"/>
      <c r="AU82" s="2622"/>
      <c r="AW82" s="381"/>
      <c r="AX82" s="381"/>
    </row>
    <row r="83" spans="1:53" ht="15.75" customHeight="1">
      <c r="A83" s="8"/>
      <c r="B83" s="669"/>
      <c r="C83" s="669"/>
      <c r="D83" s="669"/>
      <c r="E83" s="669"/>
      <c r="F83" s="669"/>
      <c r="G83" s="669"/>
      <c r="H83" s="669"/>
      <c r="I83" s="669"/>
      <c r="J83" s="669"/>
      <c r="K83" s="669"/>
      <c r="L83" s="669"/>
      <c r="M83" s="669"/>
      <c r="N83" s="669"/>
      <c r="O83" s="669"/>
      <c r="P83" s="669"/>
      <c r="Q83" s="669"/>
      <c r="R83" s="669"/>
      <c r="S83" s="669"/>
      <c r="T83" s="669"/>
      <c r="U83" s="669"/>
      <c r="V83" s="669"/>
      <c r="W83" s="669"/>
      <c r="X83" s="669"/>
      <c r="Y83" s="9"/>
      <c r="Z83" s="2620"/>
      <c r="AA83" s="2621"/>
      <c r="AB83" s="2621"/>
      <c r="AC83" s="2621"/>
      <c r="AD83" s="2621"/>
      <c r="AE83" s="2621"/>
      <c r="AF83" s="2621"/>
      <c r="AG83" s="2621"/>
      <c r="AH83" s="2621"/>
      <c r="AI83" s="2621"/>
      <c r="AJ83" s="2621"/>
      <c r="AK83" s="2621"/>
      <c r="AL83" s="2621"/>
      <c r="AM83" s="2621"/>
      <c r="AN83" s="2621"/>
      <c r="AO83" s="2621"/>
      <c r="AP83" s="2621"/>
      <c r="AQ83" s="2621"/>
      <c r="AR83" s="2621"/>
      <c r="AS83" s="2621"/>
      <c r="AT83" s="2621"/>
      <c r="AU83" s="2622"/>
      <c r="AW83" s="381"/>
      <c r="AX83" s="381"/>
    </row>
    <row r="84" spans="1:53" ht="15.75" customHeight="1">
      <c r="A84" s="8"/>
      <c r="B84" s="669"/>
      <c r="C84" s="669"/>
      <c r="D84" s="669"/>
      <c r="E84" s="669"/>
      <c r="F84" s="669"/>
      <c r="G84" s="669"/>
      <c r="H84" s="669"/>
      <c r="I84" s="669"/>
      <c r="J84" s="669"/>
      <c r="K84" s="669"/>
      <c r="L84" s="669"/>
      <c r="M84" s="669"/>
      <c r="N84" s="669"/>
      <c r="O84" s="669"/>
      <c r="P84" s="669"/>
      <c r="Q84" s="669"/>
      <c r="R84" s="669"/>
      <c r="S84" s="669"/>
      <c r="T84" s="669"/>
      <c r="U84" s="669"/>
      <c r="V84" s="669"/>
      <c r="W84" s="669"/>
      <c r="X84" s="669"/>
      <c r="Y84" s="9"/>
      <c r="Z84" s="2620"/>
      <c r="AA84" s="2621"/>
      <c r="AB84" s="2621"/>
      <c r="AC84" s="2621"/>
      <c r="AD84" s="2621"/>
      <c r="AE84" s="2621"/>
      <c r="AF84" s="2621"/>
      <c r="AG84" s="2621"/>
      <c r="AH84" s="2621"/>
      <c r="AI84" s="2621"/>
      <c r="AJ84" s="2621"/>
      <c r="AK84" s="2621"/>
      <c r="AL84" s="2621"/>
      <c r="AM84" s="2621"/>
      <c r="AN84" s="2621"/>
      <c r="AO84" s="2621"/>
      <c r="AP84" s="2621"/>
      <c r="AQ84" s="2621"/>
      <c r="AR84" s="2621"/>
      <c r="AS84" s="2621"/>
      <c r="AT84" s="2621"/>
      <c r="AU84" s="2622"/>
      <c r="AW84" s="381"/>
      <c r="AX84" s="381"/>
    </row>
    <row r="85" spans="1:53" ht="15.75" customHeight="1">
      <c r="A85" s="8"/>
      <c r="B85" s="669"/>
      <c r="C85" s="669"/>
      <c r="D85" s="669"/>
      <c r="E85" s="669"/>
      <c r="F85" s="669"/>
      <c r="G85" s="669"/>
      <c r="H85" s="669"/>
      <c r="I85" s="669"/>
      <c r="J85" s="669"/>
      <c r="K85" s="669"/>
      <c r="L85" s="669"/>
      <c r="M85" s="669"/>
      <c r="N85" s="669"/>
      <c r="O85" s="669"/>
      <c r="P85" s="669"/>
      <c r="Q85" s="669"/>
      <c r="R85" s="669"/>
      <c r="S85" s="669"/>
      <c r="T85" s="669"/>
      <c r="U85" s="669"/>
      <c r="V85" s="669"/>
      <c r="W85" s="669"/>
      <c r="X85" s="669"/>
      <c r="Y85" s="9"/>
      <c r="Z85" s="2620"/>
      <c r="AA85" s="2621"/>
      <c r="AB85" s="2621"/>
      <c r="AC85" s="2621"/>
      <c r="AD85" s="2621"/>
      <c r="AE85" s="2621"/>
      <c r="AF85" s="2621"/>
      <c r="AG85" s="2621"/>
      <c r="AH85" s="2621"/>
      <c r="AI85" s="2621"/>
      <c r="AJ85" s="2621"/>
      <c r="AK85" s="2621"/>
      <c r="AL85" s="2621"/>
      <c r="AM85" s="2621"/>
      <c r="AN85" s="2621"/>
      <c r="AO85" s="2621"/>
      <c r="AP85" s="2621"/>
      <c r="AQ85" s="2621"/>
      <c r="AR85" s="2621"/>
      <c r="AS85" s="2621"/>
      <c r="AT85" s="2621"/>
      <c r="AU85" s="2622"/>
      <c r="AW85" s="381"/>
      <c r="AX85" s="381"/>
    </row>
    <row r="86" spans="1:53" ht="15.75" customHeight="1">
      <c r="A86" s="8"/>
      <c r="B86" s="669"/>
      <c r="C86" s="669"/>
      <c r="D86" s="669"/>
      <c r="E86" s="669"/>
      <c r="F86" s="669"/>
      <c r="G86" s="669"/>
      <c r="H86" s="669"/>
      <c r="I86" s="669"/>
      <c r="J86" s="669"/>
      <c r="K86" s="669"/>
      <c r="L86" s="669"/>
      <c r="M86" s="669"/>
      <c r="N86" s="669"/>
      <c r="O86" s="669"/>
      <c r="P86" s="669"/>
      <c r="Q86" s="669"/>
      <c r="R86" s="669"/>
      <c r="S86" s="669"/>
      <c r="T86" s="669"/>
      <c r="U86" s="669"/>
      <c r="V86" s="669"/>
      <c r="W86" s="669"/>
      <c r="X86" s="669"/>
      <c r="Y86" s="9"/>
      <c r="Z86" s="2620"/>
      <c r="AA86" s="2621"/>
      <c r="AB86" s="2621"/>
      <c r="AC86" s="2621"/>
      <c r="AD86" s="2621"/>
      <c r="AE86" s="2621"/>
      <c r="AF86" s="2621"/>
      <c r="AG86" s="2621"/>
      <c r="AH86" s="2621"/>
      <c r="AI86" s="2621"/>
      <c r="AJ86" s="2621"/>
      <c r="AK86" s="2621"/>
      <c r="AL86" s="2621"/>
      <c r="AM86" s="2621"/>
      <c r="AN86" s="2621"/>
      <c r="AO86" s="2621"/>
      <c r="AP86" s="2621"/>
      <c r="AQ86" s="2621"/>
      <c r="AR86" s="2621"/>
      <c r="AS86" s="2621"/>
      <c r="AT86" s="2621"/>
      <c r="AU86" s="2622"/>
      <c r="AW86" s="381"/>
      <c r="AX86" s="381"/>
    </row>
    <row r="87" spans="1:53" ht="15.75" customHeight="1">
      <c r="A87" s="8"/>
      <c r="B87" s="669"/>
      <c r="C87" s="669"/>
      <c r="D87" s="669"/>
      <c r="E87" s="669"/>
      <c r="F87" s="669"/>
      <c r="G87" s="669"/>
      <c r="H87" s="669"/>
      <c r="I87" s="669"/>
      <c r="J87" s="669"/>
      <c r="K87" s="669"/>
      <c r="L87" s="669"/>
      <c r="M87" s="669"/>
      <c r="N87" s="669"/>
      <c r="O87" s="669"/>
      <c r="P87" s="669"/>
      <c r="Q87" s="669"/>
      <c r="R87" s="669"/>
      <c r="S87" s="669"/>
      <c r="T87" s="669"/>
      <c r="U87" s="669"/>
      <c r="V87" s="669"/>
      <c r="W87" s="669"/>
      <c r="X87" s="669"/>
      <c r="Y87" s="9"/>
      <c r="Z87" s="2620"/>
      <c r="AA87" s="2621"/>
      <c r="AB87" s="2621"/>
      <c r="AC87" s="2621"/>
      <c r="AD87" s="2621"/>
      <c r="AE87" s="2621"/>
      <c r="AF87" s="2621"/>
      <c r="AG87" s="2621"/>
      <c r="AH87" s="2621"/>
      <c r="AI87" s="2621"/>
      <c r="AJ87" s="2621"/>
      <c r="AK87" s="2621"/>
      <c r="AL87" s="2621"/>
      <c r="AM87" s="2621"/>
      <c r="AN87" s="2621"/>
      <c r="AO87" s="2621"/>
      <c r="AP87" s="2621"/>
      <c r="AQ87" s="2621"/>
      <c r="AR87" s="2621"/>
      <c r="AS87" s="2621"/>
      <c r="AT87" s="2621"/>
      <c r="AU87" s="2622"/>
      <c r="AW87" s="381"/>
      <c r="AX87" s="381"/>
    </row>
    <row r="88" spans="1:53" ht="15.75" customHeight="1">
      <c r="A88" s="8"/>
      <c r="B88" s="669"/>
      <c r="C88" s="669"/>
      <c r="D88" s="669"/>
      <c r="E88" s="669"/>
      <c r="F88" s="669"/>
      <c r="G88" s="669"/>
      <c r="H88" s="669"/>
      <c r="I88" s="669"/>
      <c r="J88" s="669"/>
      <c r="K88" s="669"/>
      <c r="L88" s="669"/>
      <c r="M88" s="669"/>
      <c r="N88" s="669"/>
      <c r="O88" s="669"/>
      <c r="P88" s="669"/>
      <c r="Q88" s="669"/>
      <c r="R88" s="669"/>
      <c r="S88" s="669"/>
      <c r="T88" s="669"/>
      <c r="U88" s="669"/>
      <c r="V88" s="669"/>
      <c r="W88" s="669"/>
      <c r="X88" s="669"/>
      <c r="Y88" s="9"/>
      <c r="Z88" s="2620"/>
      <c r="AA88" s="2621"/>
      <c r="AB88" s="2621"/>
      <c r="AC88" s="2621"/>
      <c r="AD88" s="2621"/>
      <c r="AE88" s="2621"/>
      <c r="AF88" s="2621"/>
      <c r="AG88" s="2621"/>
      <c r="AH88" s="2621"/>
      <c r="AI88" s="2621"/>
      <c r="AJ88" s="2621"/>
      <c r="AK88" s="2621"/>
      <c r="AL88" s="2621"/>
      <c r="AM88" s="2621"/>
      <c r="AN88" s="2621"/>
      <c r="AO88" s="2621"/>
      <c r="AP88" s="2621"/>
      <c r="AQ88" s="2621"/>
      <c r="AR88" s="2621"/>
      <c r="AS88" s="2621"/>
      <c r="AT88" s="2621"/>
      <c r="AU88" s="2622"/>
      <c r="AW88" s="381"/>
      <c r="AX88" s="381"/>
    </row>
    <row r="89" spans="1:53" ht="15.75" customHeight="1">
      <c r="A89" s="8"/>
      <c r="B89" s="669"/>
      <c r="C89" s="669"/>
      <c r="D89" s="669"/>
      <c r="E89" s="669"/>
      <c r="F89" s="669"/>
      <c r="G89" s="669"/>
      <c r="H89" s="669"/>
      <c r="I89" s="669"/>
      <c r="J89" s="669"/>
      <c r="K89" s="669"/>
      <c r="L89" s="669"/>
      <c r="M89" s="669"/>
      <c r="N89" s="669"/>
      <c r="O89" s="669"/>
      <c r="P89" s="669"/>
      <c r="Q89" s="669"/>
      <c r="R89" s="669"/>
      <c r="S89" s="669"/>
      <c r="T89" s="669"/>
      <c r="U89" s="669"/>
      <c r="V89" s="669"/>
      <c r="W89" s="669"/>
      <c r="X89" s="669"/>
      <c r="Y89" s="9"/>
      <c r="Z89" s="2620"/>
      <c r="AA89" s="2621"/>
      <c r="AB89" s="2621"/>
      <c r="AC89" s="2621"/>
      <c r="AD89" s="2621"/>
      <c r="AE89" s="2621"/>
      <c r="AF89" s="2621"/>
      <c r="AG89" s="2621"/>
      <c r="AH89" s="2621"/>
      <c r="AI89" s="2621"/>
      <c r="AJ89" s="2621"/>
      <c r="AK89" s="2621"/>
      <c r="AL89" s="2621"/>
      <c r="AM89" s="2621"/>
      <c r="AN89" s="2621"/>
      <c r="AO89" s="2621"/>
      <c r="AP89" s="2621"/>
      <c r="AQ89" s="2621"/>
      <c r="AR89" s="2621"/>
      <c r="AS89" s="2621"/>
      <c r="AT89" s="2621"/>
      <c r="AU89" s="2622"/>
      <c r="AW89" s="381"/>
      <c r="AX89" s="381"/>
    </row>
    <row r="90" spans="1:53" ht="15.75" customHeight="1">
      <c r="A90" s="12"/>
      <c r="B90" s="10"/>
      <c r="C90" s="10"/>
      <c r="D90" s="10"/>
      <c r="E90" s="10"/>
      <c r="F90" s="10"/>
      <c r="G90" s="10"/>
      <c r="H90" s="10"/>
      <c r="I90" s="10"/>
      <c r="J90" s="10"/>
      <c r="K90" s="10"/>
      <c r="L90" s="10"/>
      <c r="M90" s="10"/>
      <c r="N90" s="10"/>
      <c r="O90" s="10"/>
      <c r="P90" s="10"/>
      <c r="Q90" s="10"/>
      <c r="R90" s="10"/>
      <c r="S90" s="10"/>
      <c r="T90" s="10"/>
      <c r="U90" s="10"/>
      <c r="V90" s="10"/>
      <c r="W90" s="10"/>
      <c r="X90" s="10"/>
      <c r="Y90" s="11"/>
      <c r="Z90" s="2623"/>
      <c r="AA90" s="2624"/>
      <c r="AB90" s="2624"/>
      <c r="AC90" s="2624"/>
      <c r="AD90" s="2624"/>
      <c r="AE90" s="2624"/>
      <c r="AF90" s="2624"/>
      <c r="AG90" s="2624"/>
      <c r="AH90" s="2624"/>
      <c r="AI90" s="2624"/>
      <c r="AJ90" s="2624"/>
      <c r="AK90" s="2624"/>
      <c r="AL90" s="2624"/>
      <c r="AM90" s="2624"/>
      <c r="AN90" s="2624"/>
      <c r="AO90" s="2624"/>
      <c r="AP90" s="2624"/>
      <c r="AQ90" s="2624"/>
      <c r="AR90" s="2624"/>
      <c r="AS90" s="2624"/>
      <c r="AT90" s="2624"/>
      <c r="AU90" s="2625"/>
      <c r="AW90" s="381"/>
      <c r="AX90" s="381"/>
    </row>
    <row r="91" spans="1:53" ht="12.75" customHeight="1">
      <c r="AW91" s="381"/>
      <c r="AX91" s="381"/>
    </row>
    <row r="92" spans="1:53" ht="15.75" customHeight="1">
      <c r="A92" s="2634" t="s">
        <v>161</v>
      </c>
      <c r="B92" s="2635"/>
      <c r="C92" s="2636"/>
      <c r="D92" s="2653" t="s">
        <v>162</v>
      </c>
      <c r="E92" s="2654"/>
      <c r="F92" s="2654"/>
      <c r="G92" s="2654"/>
      <c r="H92" s="2654"/>
      <c r="I92" s="2654"/>
      <c r="J92" s="2655"/>
      <c r="K92" s="625"/>
      <c r="L92" s="622"/>
      <c r="M92" s="622"/>
      <c r="N92" s="622"/>
      <c r="O92" s="622"/>
      <c r="P92" s="622"/>
      <c r="Q92" s="622"/>
      <c r="R92" s="622"/>
      <c r="S92" s="623" t="s">
        <v>7</v>
      </c>
      <c r="T92" s="623" t="s">
        <v>8</v>
      </c>
      <c r="U92" s="623" t="s">
        <v>9</v>
      </c>
      <c r="V92" s="623" t="s">
        <v>163</v>
      </c>
      <c r="W92" s="623"/>
      <c r="X92" s="623"/>
      <c r="Y92" s="623"/>
      <c r="Z92" s="623"/>
      <c r="AA92" s="623"/>
      <c r="AB92" s="623"/>
      <c r="AC92" s="623"/>
      <c r="AD92" s="623"/>
      <c r="AE92" s="623"/>
      <c r="AF92" s="623"/>
      <c r="AG92" s="623"/>
      <c r="AH92" s="623"/>
      <c r="AI92" s="624"/>
      <c r="AJ92" s="625"/>
      <c r="AK92" s="2654" t="s">
        <v>33</v>
      </c>
      <c r="AL92" s="2654"/>
      <c r="AM92" s="2654"/>
      <c r="AN92" s="2654"/>
      <c r="AO92" s="2654"/>
      <c r="AP92" s="2654"/>
      <c r="AQ92" s="2654"/>
      <c r="AR92" s="2654"/>
      <c r="AS92" s="2654"/>
      <c r="AT92" s="2654"/>
      <c r="AU92" s="626"/>
      <c r="AW92" s="381"/>
      <c r="AX92" s="381"/>
    </row>
    <row r="93" spans="1:53" ht="15.75" customHeight="1" thickBot="1">
      <c r="A93" s="2647"/>
      <c r="B93" s="2648"/>
      <c r="C93" s="2649"/>
      <c r="D93" s="2634" t="str">
        <f>IFERROR(VLOOKUP(4,'1_入力シート【基本情報】'!$DU$307:$DX$526,3,FALSE),"")</f>
        <v/>
      </c>
      <c r="E93" s="2635"/>
      <c r="F93" s="2635"/>
      <c r="G93" s="2635"/>
      <c r="H93" s="2635"/>
      <c r="I93" s="2635"/>
      <c r="J93" s="2636"/>
      <c r="K93" s="2611" t="str">
        <f>IFERROR(VLOOKUP(4,'1_入力シート【基本情報】'!$DU$307:$DX$526,4,FALSE),"")</f>
        <v/>
      </c>
      <c r="L93" s="2612"/>
      <c r="M93" s="2612"/>
      <c r="N93" s="2612"/>
      <c r="O93" s="2612"/>
      <c r="P93" s="2612"/>
      <c r="Q93" s="2612"/>
      <c r="R93" s="2612"/>
      <c r="S93" s="2612"/>
      <c r="T93" s="2612"/>
      <c r="U93" s="2612"/>
      <c r="V93" s="2612"/>
      <c r="W93" s="2612"/>
      <c r="X93" s="2612"/>
      <c r="Y93" s="2612"/>
      <c r="Z93" s="2612"/>
      <c r="AA93" s="2612"/>
      <c r="AB93" s="2612"/>
      <c r="AC93" s="2612"/>
      <c r="AD93" s="2612"/>
      <c r="AE93" s="2612"/>
      <c r="AF93" s="2612"/>
      <c r="AG93" s="2612"/>
      <c r="AH93" s="2612"/>
      <c r="AI93" s="2613"/>
      <c r="AJ93" s="665"/>
      <c r="AK93" s="665"/>
      <c r="AL93" s="665"/>
      <c r="AM93" s="665"/>
      <c r="AN93" s="665"/>
      <c r="AO93" s="665"/>
      <c r="AP93" s="665"/>
      <c r="AQ93" s="665"/>
      <c r="AR93" s="665"/>
      <c r="AS93" s="665"/>
      <c r="AT93" s="665"/>
      <c r="AU93" s="666"/>
      <c r="AW93" s="381"/>
      <c r="AX93" s="381"/>
    </row>
    <row r="94" spans="1:53" ht="15.75" customHeight="1" thickBot="1">
      <c r="A94" s="2647"/>
      <c r="B94" s="2648"/>
      <c r="C94" s="2649"/>
      <c r="D94" s="2637"/>
      <c r="E94" s="2638"/>
      <c r="F94" s="2638"/>
      <c r="G94" s="2638"/>
      <c r="H94" s="2638"/>
      <c r="I94" s="2638"/>
      <c r="J94" s="2639"/>
      <c r="K94" s="2614"/>
      <c r="L94" s="2615"/>
      <c r="M94" s="2615"/>
      <c r="N94" s="2615"/>
      <c r="O94" s="2615"/>
      <c r="P94" s="2615"/>
      <c r="Q94" s="2615"/>
      <c r="R94" s="2615"/>
      <c r="S94" s="2615"/>
      <c r="T94" s="2615"/>
      <c r="U94" s="2615"/>
      <c r="V94" s="2615"/>
      <c r="W94" s="2615"/>
      <c r="X94" s="2615"/>
      <c r="Y94" s="2615"/>
      <c r="Z94" s="2615"/>
      <c r="AA94" s="2615"/>
      <c r="AB94" s="2615"/>
      <c r="AC94" s="2615"/>
      <c r="AD94" s="2615"/>
      <c r="AE94" s="2615"/>
      <c r="AF94" s="2615"/>
      <c r="AG94" s="2615"/>
      <c r="AH94" s="2615"/>
      <c r="AI94" s="2616"/>
      <c r="AJ94" s="665"/>
      <c r="AK94" s="665" t="str">
        <f>IF(D93&lt;&gt;"","☑","☐")</f>
        <v>☐</v>
      </c>
      <c r="AL94" s="665" t="s">
        <v>14</v>
      </c>
      <c r="AM94" s="665" t="s">
        <v>21</v>
      </c>
      <c r="AN94" s="665" t="s">
        <v>15</v>
      </c>
      <c r="AO94" s="665"/>
      <c r="AP94" s="783" t="s">
        <v>186</v>
      </c>
      <c r="AQ94" s="665" t="s">
        <v>27</v>
      </c>
      <c r="AR94" s="665" t="s">
        <v>23</v>
      </c>
      <c r="AS94" s="665" t="s">
        <v>13</v>
      </c>
      <c r="AT94" s="665"/>
      <c r="AU94" s="666"/>
      <c r="AW94" s="381"/>
      <c r="AX94" s="381"/>
      <c r="BA94" s="802" t="b">
        <f>AP94="☑"</f>
        <v>0</v>
      </c>
    </row>
    <row r="95" spans="1:53" ht="15.75" customHeight="1">
      <c r="A95" s="2650"/>
      <c r="B95" s="2651"/>
      <c r="C95" s="2652"/>
      <c r="D95" s="2640"/>
      <c r="E95" s="2641"/>
      <c r="F95" s="2641"/>
      <c r="G95" s="2641"/>
      <c r="H95" s="2641"/>
      <c r="I95" s="2641"/>
      <c r="J95" s="2642"/>
      <c r="K95" s="2644"/>
      <c r="L95" s="2645"/>
      <c r="M95" s="2645"/>
      <c r="N95" s="2645"/>
      <c r="O95" s="2645"/>
      <c r="P95" s="2645"/>
      <c r="Q95" s="2645"/>
      <c r="R95" s="2645"/>
      <c r="S95" s="2645"/>
      <c r="T95" s="2645"/>
      <c r="U95" s="2645"/>
      <c r="V95" s="2645"/>
      <c r="W95" s="2645"/>
      <c r="X95" s="2645"/>
      <c r="Y95" s="2645"/>
      <c r="Z95" s="2645"/>
      <c r="AA95" s="2645"/>
      <c r="AB95" s="2645"/>
      <c r="AC95" s="2645"/>
      <c r="AD95" s="2645"/>
      <c r="AE95" s="2645"/>
      <c r="AF95" s="2645"/>
      <c r="AG95" s="2645"/>
      <c r="AH95" s="2645"/>
      <c r="AI95" s="2646"/>
      <c r="AJ95" s="667"/>
      <c r="AK95" s="667"/>
      <c r="AL95" s="667"/>
      <c r="AM95" s="667"/>
      <c r="AN95" s="667"/>
      <c r="AO95" s="667"/>
      <c r="AP95" s="667"/>
      <c r="AQ95" s="667"/>
      <c r="AR95" s="667"/>
      <c r="AS95" s="667"/>
      <c r="AT95" s="667"/>
      <c r="AU95" s="668"/>
      <c r="AW95" s="381"/>
      <c r="AX95" s="381"/>
    </row>
    <row r="96" spans="1:53" ht="15.75" customHeight="1">
      <c r="A96" s="8"/>
      <c r="B96" s="616"/>
      <c r="C96" s="616"/>
      <c r="D96" s="616"/>
      <c r="E96" s="616"/>
      <c r="F96" s="616"/>
      <c r="G96" s="616"/>
      <c r="H96" s="616"/>
      <c r="I96" s="616"/>
      <c r="J96" s="616"/>
      <c r="K96" s="616"/>
      <c r="L96" s="616"/>
      <c r="M96" s="616"/>
      <c r="N96" s="616"/>
      <c r="O96" s="616"/>
      <c r="P96" s="616"/>
      <c r="Q96" s="616"/>
      <c r="R96" s="616"/>
      <c r="S96" s="616"/>
      <c r="T96" s="616"/>
      <c r="U96" s="616"/>
      <c r="V96" s="616"/>
      <c r="W96" s="616"/>
      <c r="X96" s="616"/>
      <c r="Y96" s="9"/>
      <c r="Z96" s="140"/>
      <c r="AA96" s="141" t="s">
        <v>11</v>
      </c>
      <c r="AB96" s="141" t="s">
        <v>10</v>
      </c>
      <c r="AC96" s="141" t="s">
        <v>16</v>
      </c>
      <c r="AD96" s="141" t="s">
        <v>9</v>
      </c>
      <c r="AE96" s="141"/>
      <c r="AF96" s="141"/>
      <c r="AG96" s="141"/>
      <c r="AH96" s="141"/>
      <c r="AI96" s="141"/>
      <c r="AJ96" s="142"/>
      <c r="AK96" s="142"/>
      <c r="AL96" s="142"/>
      <c r="AM96" s="142"/>
      <c r="AN96" s="142"/>
      <c r="AO96" s="142"/>
      <c r="AP96" s="142"/>
      <c r="AQ96" s="142"/>
      <c r="AR96" s="142"/>
      <c r="AS96" s="142"/>
      <c r="AT96" s="142"/>
      <c r="AU96" s="615"/>
      <c r="AW96" s="381"/>
      <c r="AX96" s="381"/>
    </row>
    <row r="97" spans="1:50" ht="15.75" customHeight="1">
      <c r="A97" s="8"/>
      <c r="B97" s="616"/>
      <c r="C97" s="616"/>
      <c r="D97" s="616"/>
      <c r="E97" s="616"/>
      <c r="F97" s="616"/>
      <c r="G97" s="616"/>
      <c r="H97" s="616"/>
      <c r="I97" s="616"/>
      <c r="J97" s="616"/>
      <c r="K97" s="616"/>
      <c r="L97" s="616"/>
      <c r="M97" s="616"/>
      <c r="N97" s="616"/>
      <c r="O97" s="616"/>
      <c r="P97" s="616"/>
      <c r="Q97" s="616"/>
      <c r="R97" s="616"/>
      <c r="S97" s="616"/>
      <c r="T97" s="616"/>
      <c r="U97" s="616"/>
      <c r="V97" s="616"/>
      <c r="W97" s="616"/>
      <c r="X97" s="616"/>
      <c r="Y97" s="9"/>
      <c r="Z97" s="2626"/>
      <c r="AA97" s="2627"/>
      <c r="AB97" s="2627"/>
      <c r="AC97" s="2627"/>
      <c r="AD97" s="2627"/>
      <c r="AE97" s="2627"/>
      <c r="AF97" s="2627"/>
      <c r="AG97" s="2627"/>
      <c r="AH97" s="2627"/>
      <c r="AI97" s="2627"/>
      <c r="AJ97" s="2627"/>
      <c r="AK97" s="2627"/>
      <c r="AL97" s="2627"/>
      <c r="AM97" s="2627"/>
      <c r="AN97" s="2627"/>
      <c r="AO97" s="198"/>
      <c r="AP97" s="198"/>
      <c r="AQ97" s="198"/>
      <c r="AR97" s="198"/>
      <c r="AS97" s="198"/>
      <c r="AT97" s="198"/>
      <c r="AU97" s="199"/>
      <c r="AW97" s="381"/>
      <c r="AX97" s="381"/>
    </row>
    <row r="98" spans="1:50" ht="15.75" customHeight="1">
      <c r="A98" s="8"/>
      <c r="B98" s="616"/>
      <c r="C98" s="616"/>
      <c r="D98" s="616"/>
      <c r="E98" s="616"/>
      <c r="F98" s="616"/>
      <c r="G98" s="616"/>
      <c r="H98" s="616"/>
      <c r="I98" s="616"/>
      <c r="J98" s="616"/>
      <c r="K98" s="616"/>
      <c r="L98" s="616"/>
      <c r="M98" s="616"/>
      <c r="N98" s="616"/>
      <c r="O98" s="616"/>
      <c r="P98" s="616"/>
      <c r="Q98" s="616"/>
      <c r="R98" s="616"/>
      <c r="S98" s="616"/>
      <c r="T98" s="616"/>
      <c r="U98" s="616"/>
      <c r="V98" s="616"/>
      <c r="W98" s="616"/>
      <c r="X98" s="616"/>
      <c r="Y98" s="9"/>
      <c r="Z98" s="2611" t="str">
        <f>IFERROR(VLOOKUP(4,'1_入力シート【基本情報】'!$DU$307:$DZ$526,5,FALSE),"")</f>
        <v/>
      </c>
      <c r="AA98" s="2612"/>
      <c r="AB98" s="2612"/>
      <c r="AC98" s="2612"/>
      <c r="AD98" s="2612"/>
      <c r="AE98" s="2612"/>
      <c r="AF98" s="2612"/>
      <c r="AG98" s="2612"/>
      <c r="AH98" s="2612"/>
      <c r="AI98" s="2612"/>
      <c r="AJ98" s="2612"/>
      <c r="AK98" s="2612"/>
      <c r="AL98" s="2612"/>
      <c r="AM98" s="2612"/>
      <c r="AN98" s="2612"/>
      <c r="AO98" s="2612"/>
      <c r="AP98" s="2612"/>
      <c r="AQ98" s="2612"/>
      <c r="AR98" s="2612"/>
      <c r="AS98" s="2612"/>
      <c r="AT98" s="2612"/>
      <c r="AU98" s="2613"/>
      <c r="AW98" s="381"/>
      <c r="AX98" s="381"/>
    </row>
    <row r="99" spans="1:50" ht="15.75" customHeight="1">
      <c r="A99" s="8"/>
      <c r="B99" s="616"/>
      <c r="C99" s="616"/>
      <c r="D99" s="616"/>
      <c r="E99" s="616"/>
      <c r="F99" s="616"/>
      <c r="G99" s="616"/>
      <c r="H99" s="616"/>
      <c r="I99" s="616"/>
      <c r="J99" s="616"/>
      <c r="K99" s="616"/>
      <c r="L99" s="616"/>
      <c r="M99" s="616"/>
      <c r="N99" s="616"/>
      <c r="O99" s="616"/>
      <c r="P99" s="616"/>
      <c r="Q99" s="616"/>
      <c r="R99" s="616"/>
      <c r="S99" s="616"/>
      <c r="T99" s="616"/>
      <c r="U99" s="616"/>
      <c r="V99" s="616"/>
      <c r="W99" s="616"/>
      <c r="X99" s="616"/>
      <c r="Y99" s="9"/>
      <c r="Z99" s="2614"/>
      <c r="AA99" s="2615"/>
      <c r="AB99" s="2615"/>
      <c r="AC99" s="2615"/>
      <c r="AD99" s="2615"/>
      <c r="AE99" s="2615"/>
      <c r="AF99" s="2615"/>
      <c r="AG99" s="2615"/>
      <c r="AH99" s="2615"/>
      <c r="AI99" s="2615"/>
      <c r="AJ99" s="2615"/>
      <c r="AK99" s="2615"/>
      <c r="AL99" s="2615"/>
      <c r="AM99" s="2615"/>
      <c r="AN99" s="2615"/>
      <c r="AO99" s="2615"/>
      <c r="AP99" s="2615"/>
      <c r="AQ99" s="2615"/>
      <c r="AR99" s="2615"/>
      <c r="AS99" s="2615"/>
      <c r="AT99" s="2615"/>
      <c r="AU99" s="2616"/>
      <c r="AW99" s="381"/>
      <c r="AX99" s="381"/>
    </row>
    <row r="100" spans="1:50" ht="15.75" customHeight="1">
      <c r="A100" s="8"/>
      <c r="B100" s="616"/>
      <c r="C100" s="616"/>
      <c r="D100" s="616"/>
      <c r="E100" s="616"/>
      <c r="F100" s="616"/>
      <c r="G100" s="616"/>
      <c r="H100" s="616"/>
      <c r="I100" s="616"/>
      <c r="J100" s="616"/>
      <c r="K100" s="616"/>
      <c r="L100" s="616"/>
      <c r="M100" s="616"/>
      <c r="N100" s="616"/>
      <c r="O100" s="616"/>
      <c r="P100" s="616"/>
      <c r="Q100" s="616"/>
      <c r="R100" s="616"/>
      <c r="S100" s="616"/>
      <c r="T100" s="616"/>
      <c r="U100" s="616"/>
      <c r="V100" s="616"/>
      <c r="W100" s="616"/>
      <c r="X100" s="616"/>
      <c r="Y100" s="9"/>
      <c r="Z100" s="2617"/>
      <c r="AA100" s="2618"/>
      <c r="AB100" s="2618"/>
      <c r="AC100" s="2618"/>
      <c r="AD100" s="2618"/>
      <c r="AE100" s="2618"/>
      <c r="AF100" s="2618"/>
      <c r="AG100" s="2618"/>
      <c r="AH100" s="2618"/>
      <c r="AI100" s="2618"/>
      <c r="AJ100" s="2618"/>
      <c r="AK100" s="2618"/>
      <c r="AL100" s="2618"/>
      <c r="AM100" s="2618"/>
      <c r="AN100" s="2618"/>
      <c r="AO100" s="2618"/>
      <c r="AP100" s="2618"/>
      <c r="AQ100" s="2618"/>
      <c r="AR100" s="2618"/>
      <c r="AS100" s="2618"/>
      <c r="AT100" s="2618"/>
      <c r="AU100" s="2619"/>
      <c r="AW100" s="381"/>
      <c r="AX100" s="381"/>
    </row>
    <row r="101" spans="1:50" ht="15.75" customHeight="1">
      <c r="A101" s="8"/>
      <c r="B101" s="669"/>
      <c r="C101" s="669"/>
      <c r="D101" s="669"/>
      <c r="E101" s="669"/>
      <c r="F101" s="669"/>
      <c r="G101" s="669"/>
      <c r="H101" s="669"/>
      <c r="I101" s="669"/>
      <c r="J101" s="669"/>
      <c r="K101" s="669"/>
      <c r="L101" s="669"/>
      <c r="M101" s="669"/>
      <c r="N101" s="669"/>
      <c r="O101" s="669"/>
      <c r="P101" s="669"/>
      <c r="Q101" s="669"/>
      <c r="R101" s="669"/>
      <c r="S101" s="669"/>
      <c r="T101" s="669"/>
      <c r="U101" s="669"/>
      <c r="V101" s="669"/>
      <c r="W101" s="669"/>
      <c r="X101" s="669"/>
      <c r="Y101" s="9"/>
      <c r="Z101" s="2620"/>
      <c r="AA101" s="2621"/>
      <c r="AB101" s="2621"/>
      <c r="AC101" s="2621"/>
      <c r="AD101" s="2621"/>
      <c r="AE101" s="2621"/>
      <c r="AF101" s="2621"/>
      <c r="AG101" s="2621"/>
      <c r="AH101" s="2621"/>
      <c r="AI101" s="2621"/>
      <c r="AJ101" s="2621"/>
      <c r="AK101" s="2621"/>
      <c r="AL101" s="2621"/>
      <c r="AM101" s="2621"/>
      <c r="AN101" s="2621"/>
      <c r="AO101" s="2621"/>
      <c r="AP101" s="2621"/>
      <c r="AQ101" s="2621"/>
      <c r="AR101" s="2621"/>
      <c r="AS101" s="2621"/>
      <c r="AT101" s="2621"/>
      <c r="AU101" s="2622"/>
      <c r="AW101" s="381"/>
      <c r="AX101" s="381"/>
    </row>
    <row r="102" spans="1:50" ht="15.75" customHeight="1">
      <c r="A102" s="8"/>
      <c r="B102" s="669"/>
      <c r="C102" s="669"/>
      <c r="D102" s="669"/>
      <c r="E102" s="669"/>
      <c r="F102" s="669"/>
      <c r="G102" s="669"/>
      <c r="H102" s="669"/>
      <c r="I102" s="669"/>
      <c r="J102" s="669"/>
      <c r="K102" s="669"/>
      <c r="L102" s="669"/>
      <c r="M102" s="669"/>
      <c r="N102" s="669"/>
      <c r="O102" s="669"/>
      <c r="P102" s="669"/>
      <c r="Q102" s="669"/>
      <c r="R102" s="669"/>
      <c r="S102" s="669"/>
      <c r="T102" s="669"/>
      <c r="U102" s="669"/>
      <c r="V102" s="669"/>
      <c r="W102" s="669"/>
      <c r="X102" s="669"/>
      <c r="Y102" s="9"/>
      <c r="Z102" s="2620"/>
      <c r="AA102" s="2621"/>
      <c r="AB102" s="2621"/>
      <c r="AC102" s="2621"/>
      <c r="AD102" s="2621"/>
      <c r="AE102" s="2621"/>
      <c r="AF102" s="2621"/>
      <c r="AG102" s="2621"/>
      <c r="AH102" s="2621"/>
      <c r="AI102" s="2621"/>
      <c r="AJ102" s="2621"/>
      <c r="AK102" s="2621"/>
      <c r="AL102" s="2621"/>
      <c r="AM102" s="2621"/>
      <c r="AN102" s="2621"/>
      <c r="AO102" s="2621"/>
      <c r="AP102" s="2621"/>
      <c r="AQ102" s="2621"/>
      <c r="AR102" s="2621"/>
      <c r="AS102" s="2621"/>
      <c r="AT102" s="2621"/>
      <c r="AU102" s="2622"/>
      <c r="AW102" s="381"/>
      <c r="AX102" s="381"/>
    </row>
    <row r="103" spans="1:50" ht="15.75" customHeight="1">
      <c r="A103" s="8"/>
      <c r="B103" s="669"/>
      <c r="C103" s="669"/>
      <c r="D103" s="669"/>
      <c r="E103" s="669"/>
      <c r="F103" s="669"/>
      <c r="G103" s="669"/>
      <c r="H103" s="669"/>
      <c r="I103" s="669"/>
      <c r="J103" s="669"/>
      <c r="K103" s="669"/>
      <c r="L103" s="669"/>
      <c r="M103" s="669"/>
      <c r="N103" s="669"/>
      <c r="O103" s="669"/>
      <c r="P103" s="669"/>
      <c r="Q103" s="669"/>
      <c r="R103" s="669"/>
      <c r="S103" s="669"/>
      <c r="T103" s="669"/>
      <c r="U103" s="669"/>
      <c r="V103" s="669"/>
      <c r="W103" s="669"/>
      <c r="X103" s="669"/>
      <c r="Y103" s="9"/>
      <c r="Z103" s="2620"/>
      <c r="AA103" s="2621"/>
      <c r="AB103" s="2621"/>
      <c r="AC103" s="2621"/>
      <c r="AD103" s="2621"/>
      <c r="AE103" s="2621"/>
      <c r="AF103" s="2621"/>
      <c r="AG103" s="2621"/>
      <c r="AH103" s="2621"/>
      <c r="AI103" s="2621"/>
      <c r="AJ103" s="2621"/>
      <c r="AK103" s="2621"/>
      <c r="AL103" s="2621"/>
      <c r="AM103" s="2621"/>
      <c r="AN103" s="2621"/>
      <c r="AO103" s="2621"/>
      <c r="AP103" s="2621"/>
      <c r="AQ103" s="2621"/>
      <c r="AR103" s="2621"/>
      <c r="AS103" s="2621"/>
      <c r="AT103" s="2621"/>
      <c r="AU103" s="2622"/>
      <c r="AW103" s="381"/>
      <c r="AX103" s="381"/>
    </row>
    <row r="104" spans="1:50" ht="15.75" customHeight="1">
      <c r="A104" s="8"/>
      <c r="B104" s="669"/>
      <c r="C104" s="669"/>
      <c r="D104" s="669"/>
      <c r="E104" s="669"/>
      <c r="F104" s="669"/>
      <c r="G104" s="669"/>
      <c r="H104" s="669"/>
      <c r="I104" s="669"/>
      <c r="J104" s="669"/>
      <c r="K104" s="2629" t="s">
        <v>164</v>
      </c>
      <c r="L104" s="2629"/>
      <c r="M104" s="2629"/>
      <c r="N104" s="2629"/>
      <c r="O104" s="2629"/>
      <c r="P104" s="2629"/>
      <c r="Q104" s="669"/>
      <c r="R104" s="669"/>
      <c r="S104" s="669"/>
      <c r="T104" s="669"/>
      <c r="U104" s="669"/>
      <c r="V104" s="669"/>
      <c r="W104" s="669"/>
      <c r="X104" s="669"/>
      <c r="Y104" s="9"/>
      <c r="Z104" s="2620"/>
      <c r="AA104" s="2621"/>
      <c r="AB104" s="2621"/>
      <c r="AC104" s="2621"/>
      <c r="AD104" s="2621"/>
      <c r="AE104" s="2621"/>
      <c r="AF104" s="2621"/>
      <c r="AG104" s="2621"/>
      <c r="AH104" s="2621"/>
      <c r="AI104" s="2621"/>
      <c r="AJ104" s="2621"/>
      <c r="AK104" s="2621"/>
      <c r="AL104" s="2621"/>
      <c r="AM104" s="2621"/>
      <c r="AN104" s="2621"/>
      <c r="AO104" s="2621"/>
      <c r="AP104" s="2621"/>
      <c r="AQ104" s="2621"/>
      <c r="AR104" s="2621"/>
      <c r="AS104" s="2621"/>
      <c r="AT104" s="2621"/>
      <c r="AU104" s="2622"/>
      <c r="AW104" s="381"/>
      <c r="AX104" s="381"/>
    </row>
    <row r="105" spans="1:50" ht="15.75" customHeight="1">
      <c r="A105" s="8"/>
      <c r="B105" s="669"/>
      <c r="C105" s="669"/>
      <c r="D105" s="669"/>
      <c r="E105" s="669"/>
      <c r="F105" s="669"/>
      <c r="G105" s="669"/>
      <c r="H105" s="669"/>
      <c r="I105" s="669"/>
      <c r="J105" s="669"/>
      <c r="K105" s="669"/>
      <c r="L105" s="669"/>
      <c r="M105" s="669"/>
      <c r="N105" s="669"/>
      <c r="O105" s="669"/>
      <c r="P105" s="669"/>
      <c r="Q105" s="669"/>
      <c r="R105" s="669"/>
      <c r="S105" s="669"/>
      <c r="T105" s="669"/>
      <c r="U105" s="669"/>
      <c r="V105" s="669"/>
      <c r="W105" s="669"/>
      <c r="X105" s="669"/>
      <c r="Y105" s="9"/>
      <c r="Z105" s="2620"/>
      <c r="AA105" s="2621"/>
      <c r="AB105" s="2621"/>
      <c r="AC105" s="2621"/>
      <c r="AD105" s="2621"/>
      <c r="AE105" s="2621"/>
      <c r="AF105" s="2621"/>
      <c r="AG105" s="2621"/>
      <c r="AH105" s="2621"/>
      <c r="AI105" s="2621"/>
      <c r="AJ105" s="2621"/>
      <c r="AK105" s="2621"/>
      <c r="AL105" s="2621"/>
      <c r="AM105" s="2621"/>
      <c r="AN105" s="2621"/>
      <c r="AO105" s="2621"/>
      <c r="AP105" s="2621"/>
      <c r="AQ105" s="2621"/>
      <c r="AR105" s="2621"/>
      <c r="AS105" s="2621"/>
      <c r="AT105" s="2621"/>
      <c r="AU105" s="2622"/>
      <c r="AW105" s="381"/>
      <c r="AX105" s="381"/>
    </row>
    <row r="106" spans="1:50" ht="15.75" customHeight="1">
      <c r="A106" s="8"/>
      <c r="B106" s="669"/>
      <c r="C106" s="669"/>
      <c r="D106" s="669"/>
      <c r="E106" s="669"/>
      <c r="F106" s="669"/>
      <c r="G106" s="669"/>
      <c r="H106" s="669"/>
      <c r="I106" s="669"/>
      <c r="J106" s="669"/>
      <c r="K106" s="669"/>
      <c r="L106" s="669"/>
      <c r="M106" s="669"/>
      <c r="N106" s="669"/>
      <c r="O106" s="669"/>
      <c r="P106" s="669"/>
      <c r="Q106" s="669"/>
      <c r="R106" s="669"/>
      <c r="S106" s="669"/>
      <c r="T106" s="669"/>
      <c r="U106" s="669"/>
      <c r="V106" s="669"/>
      <c r="W106" s="669"/>
      <c r="X106" s="669"/>
      <c r="Y106" s="9"/>
      <c r="Z106" s="2620"/>
      <c r="AA106" s="2621"/>
      <c r="AB106" s="2621"/>
      <c r="AC106" s="2621"/>
      <c r="AD106" s="2621"/>
      <c r="AE106" s="2621"/>
      <c r="AF106" s="2621"/>
      <c r="AG106" s="2621"/>
      <c r="AH106" s="2621"/>
      <c r="AI106" s="2621"/>
      <c r="AJ106" s="2621"/>
      <c r="AK106" s="2621"/>
      <c r="AL106" s="2621"/>
      <c r="AM106" s="2621"/>
      <c r="AN106" s="2621"/>
      <c r="AO106" s="2621"/>
      <c r="AP106" s="2621"/>
      <c r="AQ106" s="2621"/>
      <c r="AR106" s="2621"/>
      <c r="AS106" s="2621"/>
      <c r="AT106" s="2621"/>
      <c r="AU106" s="2622"/>
      <c r="AW106" s="381"/>
      <c r="AX106" s="381"/>
    </row>
    <row r="107" spans="1:50" ht="15.75" customHeight="1">
      <c r="A107" s="8"/>
      <c r="B107" s="669"/>
      <c r="C107" s="669"/>
      <c r="D107" s="669"/>
      <c r="E107" s="669"/>
      <c r="F107" s="669"/>
      <c r="G107" s="669"/>
      <c r="H107" s="669"/>
      <c r="I107" s="669"/>
      <c r="J107" s="669"/>
      <c r="K107" s="669"/>
      <c r="L107" s="669"/>
      <c r="M107" s="669"/>
      <c r="N107" s="669"/>
      <c r="O107" s="669"/>
      <c r="P107" s="669"/>
      <c r="Q107" s="669"/>
      <c r="R107" s="669"/>
      <c r="S107" s="669"/>
      <c r="T107" s="669"/>
      <c r="U107" s="669"/>
      <c r="V107" s="669"/>
      <c r="W107" s="669"/>
      <c r="X107" s="669"/>
      <c r="Y107" s="9"/>
      <c r="Z107" s="2620"/>
      <c r="AA107" s="2621"/>
      <c r="AB107" s="2621"/>
      <c r="AC107" s="2621"/>
      <c r="AD107" s="2621"/>
      <c r="AE107" s="2621"/>
      <c r="AF107" s="2621"/>
      <c r="AG107" s="2621"/>
      <c r="AH107" s="2621"/>
      <c r="AI107" s="2621"/>
      <c r="AJ107" s="2621"/>
      <c r="AK107" s="2621"/>
      <c r="AL107" s="2621"/>
      <c r="AM107" s="2621"/>
      <c r="AN107" s="2621"/>
      <c r="AO107" s="2621"/>
      <c r="AP107" s="2621"/>
      <c r="AQ107" s="2621"/>
      <c r="AR107" s="2621"/>
      <c r="AS107" s="2621"/>
      <c r="AT107" s="2621"/>
      <c r="AU107" s="2622"/>
      <c r="AW107" s="381"/>
      <c r="AX107" s="381"/>
    </row>
    <row r="108" spans="1:50" ht="15.75" customHeight="1">
      <c r="A108" s="8"/>
      <c r="B108" s="669"/>
      <c r="C108" s="669"/>
      <c r="D108" s="669"/>
      <c r="E108" s="669"/>
      <c r="F108" s="669"/>
      <c r="G108" s="669"/>
      <c r="H108" s="669"/>
      <c r="I108" s="669"/>
      <c r="J108" s="669"/>
      <c r="K108" s="669"/>
      <c r="L108" s="669"/>
      <c r="M108" s="669"/>
      <c r="N108" s="669"/>
      <c r="O108" s="669"/>
      <c r="P108" s="669"/>
      <c r="Q108" s="669"/>
      <c r="R108" s="669"/>
      <c r="S108" s="669"/>
      <c r="T108" s="669"/>
      <c r="U108" s="669"/>
      <c r="V108" s="669"/>
      <c r="W108" s="669"/>
      <c r="X108" s="669"/>
      <c r="Y108" s="9"/>
      <c r="Z108" s="2620"/>
      <c r="AA108" s="2621"/>
      <c r="AB108" s="2621"/>
      <c r="AC108" s="2621"/>
      <c r="AD108" s="2621"/>
      <c r="AE108" s="2621"/>
      <c r="AF108" s="2621"/>
      <c r="AG108" s="2621"/>
      <c r="AH108" s="2621"/>
      <c r="AI108" s="2621"/>
      <c r="AJ108" s="2621"/>
      <c r="AK108" s="2621"/>
      <c r="AL108" s="2621"/>
      <c r="AM108" s="2621"/>
      <c r="AN108" s="2621"/>
      <c r="AO108" s="2621"/>
      <c r="AP108" s="2621"/>
      <c r="AQ108" s="2621"/>
      <c r="AR108" s="2621"/>
      <c r="AS108" s="2621"/>
      <c r="AT108" s="2621"/>
      <c r="AU108" s="2622"/>
      <c r="AW108" s="381"/>
      <c r="AX108" s="381"/>
    </row>
    <row r="109" spans="1:50" ht="15.75" customHeight="1">
      <c r="A109" s="8"/>
      <c r="B109" s="669"/>
      <c r="C109" s="669"/>
      <c r="D109" s="669"/>
      <c r="E109" s="669"/>
      <c r="F109" s="669"/>
      <c r="G109" s="669"/>
      <c r="H109" s="669"/>
      <c r="I109" s="669"/>
      <c r="J109" s="669"/>
      <c r="K109" s="669"/>
      <c r="L109" s="669"/>
      <c r="M109" s="669"/>
      <c r="N109" s="669"/>
      <c r="O109" s="669"/>
      <c r="P109" s="669"/>
      <c r="Q109" s="669"/>
      <c r="R109" s="669"/>
      <c r="S109" s="669"/>
      <c r="T109" s="669"/>
      <c r="U109" s="669"/>
      <c r="V109" s="669"/>
      <c r="W109" s="669"/>
      <c r="X109" s="669"/>
      <c r="Y109" s="9"/>
      <c r="Z109" s="2620"/>
      <c r="AA109" s="2621"/>
      <c r="AB109" s="2621"/>
      <c r="AC109" s="2621"/>
      <c r="AD109" s="2621"/>
      <c r="AE109" s="2621"/>
      <c r="AF109" s="2621"/>
      <c r="AG109" s="2621"/>
      <c r="AH109" s="2621"/>
      <c r="AI109" s="2621"/>
      <c r="AJ109" s="2621"/>
      <c r="AK109" s="2621"/>
      <c r="AL109" s="2621"/>
      <c r="AM109" s="2621"/>
      <c r="AN109" s="2621"/>
      <c r="AO109" s="2621"/>
      <c r="AP109" s="2621"/>
      <c r="AQ109" s="2621"/>
      <c r="AR109" s="2621"/>
      <c r="AS109" s="2621"/>
      <c r="AT109" s="2621"/>
      <c r="AU109" s="2622"/>
      <c r="AW109" s="381"/>
      <c r="AX109" s="381"/>
    </row>
    <row r="110" spans="1:50" ht="15.75" customHeight="1">
      <c r="A110" s="8"/>
      <c r="B110" s="669"/>
      <c r="C110" s="669"/>
      <c r="D110" s="669"/>
      <c r="E110" s="669"/>
      <c r="F110" s="669"/>
      <c r="G110" s="669"/>
      <c r="H110" s="669"/>
      <c r="I110" s="669"/>
      <c r="J110" s="669"/>
      <c r="K110" s="669"/>
      <c r="L110" s="669"/>
      <c r="M110" s="669"/>
      <c r="N110" s="669"/>
      <c r="O110" s="669"/>
      <c r="P110" s="669"/>
      <c r="Q110" s="669"/>
      <c r="R110" s="669"/>
      <c r="S110" s="669"/>
      <c r="T110" s="669"/>
      <c r="U110" s="669"/>
      <c r="V110" s="669"/>
      <c r="W110" s="669"/>
      <c r="X110" s="669"/>
      <c r="Y110" s="9"/>
      <c r="Z110" s="2620"/>
      <c r="AA110" s="2621"/>
      <c r="AB110" s="2621"/>
      <c r="AC110" s="2621"/>
      <c r="AD110" s="2621"/>
      <c r="AE110" s="2621"/>
      <c r="AF110" s="2621"/>
      <c r="AG110" s="2621"/>
      <c r="AH110" s="2621"/>
      <c r="AI110" s="2621"/>
      <c r="AJ110" s="2621"/>
      <c r="AK110" s="2621"/>
      <c r="AL110" s="2621"/>
      <c r="AM110" s="2621"/>
      <c r="AN110" s="2621"/>
      <c r="AO110" s="2621"/>
      <c r="AP110" s="2621"/>
      <c r="AQ110" s="2621"/>
      <c r="AR110" s="2621"/>
      <c r="AS110" s="2621"/>
      <c r="AT110" s="2621"/>
      <c r="AU110" s="2622"/>
      <c r="AW110" s="381"/>
      <c r="AX110" s="381"/>
    </row>
    <row r="111" spans="1:50" ht="15.75" customHeight="1">
      <c r="A111" s="8"/>
      <c r="B111" s="669"/>
      <c r="C111" s="669"/>
      <c r="D111" s="669"/>
      <c r="E111" s="669"/>
      <c r="F111" s="669"/>
      <c r="G111" s="669"/>
      <c r="H111" s="669"/>
      <c r="I111" s="669"/>
      <c r="J111" s="669"/>
      <c r="K111" s="669"/>
      <c r="L111" s="669"/>
      <c r="M111" s="669"/>
      <c r="N111" s="669"/>
      <c r="O111" s="669"/>
      <c r="P111" s="669"/>
      <c r="Q111" s="669"/>
      <c r="R111" s="669"/>
      <c r="S111" s="669"/>
      <c r="T111" s="669"/>
      <c r="U111" s="669"/>
      <c r="V111" s="669"/>
      <c r="W111" s="669"/>
      <c r="X111" s="669"/>
      <c r="Y111" s="9"/>
      <c r="Z111" s="2620"/>
      <c r="AA111" s="2621"/>
      <c r="AB111" s="2621"/>
      <c r="AC111" s="2621"/>
      <c r="AD111" s="2621"/>
      <c r="AE111" s="2621"/>
      <c r="AF111" s="2621"/>
      <c r="AG111" s="2621"/>
      <c r="AH111" s="2621"/>
      <c r="AI111" s="2621"/>
      <c r="AJ111" s="2621"/>
      <c r="AK111" s="2621"/>
      <c r="AL111" s="2621"/>
      <c r="AM111" s="2621"/>
      <c r="AN111" s="2621"/>
      <c r="AO111" s="2621"/>
      <c r="AP111" s="2621"/>
      <c r="AQ111" s="2621"/>
      <c r="AR111" s="2621"/>
      <c r="AS111" s="2621"/>
      <c r="AT111" s="2621"/>
      <c r="AU111" s="2622"/>
      <c r="AW111" s="381"/>
      <c r="AX111" s="381"/>
    </row>
    <row r="112" spans="1:50" ht="15.75" customHeight="1">
      <c r="A112" s="8"/>
      <c r="B112" s="669"/>
      <c r="C112" s="669"/>
      <c r="D112" s="669"/>
      <c r="E112" s="669"/>
      <c r="F112" s="669"/>
      <c r="G112" s="669"/>
      <c r="H112" s="669"/>
      <c r="I112" s="669"/>
      <c r="J112" s="669"/>
      <c r="K112" s="669"/>
      <c r="L112" s="669"/>
      <c r="M112" s="669"/>
      <c r="N112" s="669"/>
      <c r="O112" s="669"/>
      <c r="P112" s="669"/>
      <c r="Q112" s="669"/>
      <c r="R112" s="669"/>
      <c r="S112" s="669"/>
      <c r="T112" s="669"/>
      <c r="U112" s="669"/>
      <c r="V112" s="669"/>
      <c r="W112" s="669"/>
      <c r="X112" s="669"/>
      <c r="Y112" s="9"/>
      <c r="Z112" s="2620"/>
      <c r="AA112" s="2621"/>
      <c r="AB112" s="2621"/>
      <c r="AC112" s="2621"/>
      <c r="AD112" s="2621"/>
      <c r="AE112" s="2621"/>
      <c r="AF112" s="2621"/>
      <c r="AG112" s="2621"/>
      <c r="AH112" s="2621"/>
      <c r="AI112" s="2621"/>
      <c r="AJ112" s="2621"/>
      <c r="AK112" s="2621"/>
      <c r="AL112" s="2621"/>
      <c r="AM112" s="2621"/>
      <c r="AN112" s="2621"/>
      <c r="AO112" s="2621"/>
      <c r="AP112" s="2621"/>
      <c r="AQ112" s="2621"/>
      <c r="AR112" s="2621"/>
      <c r="AS112" s="2621"/>
      <c r="AT112" s="2621"/>
      <c r="AU112" s="2622"/>
      <c r="AW112" s="381"/>
      <c r="AX112" s="381"/>
    </row>
    <row r="113" spans="1:50" ht="15.75" customHeight="1">
      <c r="A113" s="12"/>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1"/>
      <c r="Z113" s="2623"/>
      <c r="AA113" s="2624"/>
      <c r="AB113" s="2624"/>
      <c r="AC113" s="2624"/>
      <c r="AD113" s="2624"/>
      <c r="AE113" s="2624"/>
      <c r="AF113" s="2624"/>
      <c r="AG113" s="2624"/>
      <c r="AH113" s="2624"/>
      <c r="AI113" s="2624"/>
      <c r="AJ113" s="2624"/>
      <c r="AK113" s="2624"/>
      <c r="AL113" s="2624"/>
      <c r="AM113" s="2624"/>
      <c r="AN113" s="2624"/>
      <c r="AO113" s="2624"/>
      <c r="AP113" s="2624"/>
      <c r="AQ113" s="2624"/>
      <c r="AR113" s="2624"/>
      <c r="AS113" s="2624"/>
      <c r="AT113" s="2624"/>
      <c r="AU113" s="2625"/>
      <c r="AW113" s="381"/>
      <c r="AX113" s="381"/>
    </row>
    <row r="114" spans="1:50" ht="12.75" customHeight="1">
      <c r="AW114" s="381"/>
      <c r="AX114" s="381"/>
    </row>
    <row r="115" spans="1:50" ht="12.75" customHeight="1">
      <c r="A115" s="2643" t="s">
        <v>157</v>
      </c>
      <c r="B115" s="2643"/>
      <c r="C115" s="2643"/>
      <c r="D115" s="2643"/>
      <c r="AU115" s="618"/>
      <c r="AW115" s="381"/>
      <c r="AX115" s="381"/>
    </row>
    <row r="116" spans="1:50" ht="12.75" customHeight="1">
      <c r="B116" s="619" t="s">
        <v>158</v>
      </c>
      <c r="C116" s="2609" t="s">
        <v>176</v>
      </c>
      <c r="D116" s="2628"/>
      <c r="E116" s="2628"/>
      <c r="F116" s="2628"/>
      <c r="G116" s="2628"/>
      <c r="H116" s="2628"/>
      <c r="I116" s="2628"/>
      <c r="J116" s="2628"/>
      <c r="K116" s="2628"/>
      <c r="L116" s="2628"/>
      <c r="M116" s="2628"/>
      <c r="N116" s="2628"/>
      <c r="O116" s="2628"/>
      <c r="P116" s="2628"/>
      <c r="Q116" s="2628"/>
      <c r="R116" s="2628"/>
      <c r="S116" s="2628"/>
      <c r="T116" s="2628"/>
      <c r="U116" s="2628"/>
      <c r="V116" s="2628"/>
      <c r="W116" s="2628"/>
      <c r="X116" s="2628"/>
      <c r="Y116" s="2628"/>
      <c r="Z116" s="2628"/>
      <c r="AA116" s="2628"/>
      <c r="AB116" s="2628"/>
      <c r="AC116" s="2628"/>
      <c r="AD116" s="2628"/>
      <c r="AE116" s="2628"/>
      <c r="AF116" s="2628"/>
      <c r="AG116" s="2628"/>
      <c r="AH116" s="2628"/>
      <c r="AI116" s="2628"/>
      <c r="AJ116" s="2628"/>
      <c r="AK116" s="2628"/>
      <c r="AL116" s="2628"/>
      <c r="AM116" s="2628"/>
      <c r="AN116" s="2628"/>
      <c r="AO116" s="2628"/>
      <c r="AP116" s="2628"/>
      <c r="AQ116" s="2628"/>
      <c r="AR116" s="2628"/>
      <c r="AS116" s="2628"/>
      <c r="AT116" s="2628"/>
      <c r="AU116" s="618"/>
      <c r="AW116" s="381"/>
      <c r="AX116" s="381"/>
    </row>
    <row r="117" spans="1:50" ht="12.75" customHeight="1">
      <c r="B117" s="619"/>
      <c r="C117" s="2610" t="s">
        <v>177</v>
      </c>
      <c r="D117" s="2610"/>
      <c r="E117" s="2610"/>
      <c r="F117" s="2610"/>
      <c r="G117" s="2610"/>
      <c r="H117" s="2610"/>
      <c r="I117" s="2610"/>
      <c r="J117" s="2610"/>
      <c r="K117" s="2610"/>
      <c r="L117" s="2610"/>
      <c r="M117" s="2610"/>
      <c r="N117" s="2610"/>
      <c r="O117" s="2610"/>
      <c r="P117" s="2610"/>
      <c r="Q117" s="2610"/>
      <c r="R117" s="2610"/>
      <c r="S117" s="2610"/>
      <c r="T117" s="2610"/>
      <c r="U117" s="2610"/>
      <c r="V117" s="2610"/>
      <c r="W117" s="2610"/>
      <c r="X117" s="2610"/>
      <c r="Y117" s="2610"/>
      <c r="Z117" s="2610"/>
      <c r="AA117" s="2610"/>
      <c r="AB117" s="2610"/>
      <c r="AC117" s="2610"/>
      <c r="AD117" s="2610"/>
      <c r="AE117" s="2610"/>
      <c r="AF117" s="2610"/>
      <c r="AG117" s="2610"/>
      <c r="AH117" s="2610"/>
      <c r="AI117" s="2610"/>
      <c r="AJ117" s="2610"/>
      <c r="AK117" s="2610"/>
      <c r="AL117" s="2610"/>
      <c r="AM117" s="2610"/>
      <c r="AN117" s="2610"/>
      <c r="AO117" s="2610"/>
      <c r="AP117" s="2610"/>
      <c r="AQ117" s="2610"/>
      <c r="AR117" s="2610"/>
      <c r="AS117" s="2610"/>
      <c r="AT117" s="2610"/>
      <c r="AU117" s="618"/>
      <c r="AW117" s="381"/>
      <c r="AX117" s="381"/>
    </row>
    <row r="118" spans="1:50" ht="12.75" customHeight="1">
      <c r="B118" s="619"/>
      <c r="C118" s="2610" t="s">
        <v>178</v>
      </c>
      <c r="D118" s="2610"/>
      <c r="E118" s="2610"/>
      <c r="F118" s="2610"/>
      <c r="G118" s="2610"/>
      <c r="H118" s="2610"/>
      <c r="I118" s="2610"/>
      <c r="J118" s="2610"/>
      <c r="K118" s="2610"/>
      <c r="L118" s="2610"/>
      <c r="M118" s="2610"/>
      <c r="N118" s="2610"/>
      <c r="O118" s="2610"/>
      <c r="P118" s="2610"/>
      <c r="Q118" s="2610"/>
      <c r="R118" s="2610"/>
      <c r="S118" s="2610"/>
      <c r="T118" s="2610"/>
      <c r="U118" s="2610"/>
      <c r="V118" s="2610"/>
      <c r="W118" s="2610"/>
      <c r="X118" s="2610"/>
      <c r="Y118" s="2610"/>
      <c r="Z118" s="2610"/>
      <c r="AA118" s="2610"/>
      <c r="AB118" s="2610"/>
      <c r="AC118" s="2610"/>
      <c r="AD118" s="2610"/>
      <c r="AE118" s="2610"/>
      <c r="AF118" s="2610"/>
      <c r="AG118" s="2610"/>
      <c r="AH118" s="2610"/>
      <c r="AI118" s="2610"/>
      <c r="AJ118" s="2610"/>
      <c r="AK118" s="2610"/>
      <c r="AL118" s="2610"/>
      <c r="AM118" s="2610"/>
      <c r="AN118" s="2610"/>
      <c r="AO118" s="2610"/>
      <c r="AP118" s="2610"/>
      <c r="AQ118" s="2610"/>
      <c r="AR118" s="2610"/>
      <c r="AS118" s="2610"/>
      <c r="AT118" s="2610"/>
      <c r="AU118" s="618"/>
      <c r="AW118" s="381"/>
      <c r="AX118" s="381"/>
    </row>
    <row r="119" spans="1:50" ht="12.75" customHeight="1">
      <c r="B119" s="619" t="s">
        <v>165</v>
      </c>
      <c r="C119" s="2610" t="s">
        <v>166</v>
      </c>
      <c r="D119" s="2610"/>
      <c r="E119" s="2610"/>
      <c r="F119" s="2610"/>
      <c r="G119" s="2610"/>
      <c r="H119" s="2610"/>
      <c r="I119" s="2610"/>
      <c r="J119" s="2610"/>
      <c r="K119" s="2610"/>
      <c r="L119" s="2610"/>
      <c r="M119" s="2610"/>
      <c r="N119" s="2610"/>
      <c r="O119" s="2610"/>
      <c r="P119" s="2610"/>
      <c r="Q119" s="2610"/>
      <c r="R119" s="2610"/>
      <c r="S119" s="2610"/>
      <c r="T119" s="2610"/>
      <c r="U119" s="2610"/>
      <c r="V119" s="2610"/>
      <c r="W119" s="2610"/>
      <c r="X119" s="2610"/>
      <c r="Y119" s="2610"/>
      <c r="Z119" s="2610"/>
      <c r="AA119" s="2610"/>
      <c r="AB119" s="2610"/>
      <c r="AC119" s="2610"/>
      <c r="AD119" s="2610"/>
      <c r="AE119" s="2610"/>
      <c r="AF119" s="2610"/>
      <c r="AG119" s="2610"/>
      <c r="AH119" s="2610"/>
      <c r="AI119" s="2610"/>
      <c r="AJ119" s="2610"/>
      <c r="AK119" s="2610"/>
      <c r="AL119" s="2610"/>
      <c r="AM119" s="2610"/>
      <c r="AN119" s="2610"/>
      <c r="AO119" s="2610"/>
      <c r="AP119" s="2610"/>
      <c r="AQ119" s="2610"/>
      <c r="AR119" s="2610"/>
      <c r="AS119" s="2610"/>
      <c r="AT119" s="2610"/>
      <c r="AU119" s="618"/>
      <c r="AW119" s="381"/>
      <c r="AX119" s="381"/>
    </row>
    <row r="120" spans="1:50" ht="12.75" customHeight="1">
      <c r="B120" s="619" t="s">
        <v>159</v>
      </c>
      <c r="C120" s="2610" t="s">
        <v>0</v>
      </c>
      <c r="D120" s="2610"/>
      <c r="E120" s="2610"/>
      <c r="F120" s="2610"/>
      <c r="G120" s="2610"/>
      <c r="H120" s="2610"/>
      <c r="I120" s="2610"/>
      <c r="J120" s="2610"/>
      <c r="K120" s="2610"/>
      <c r="L120" s="2610"/>
      <c r="M120" s="2610"/>
      <c r="N120" s="2610"/>
      <c r="O120" s="2610"/>
      <c r="P120" s="2610"/>
      <c r="Q120" s="2610"/>
      <c r="R120" s="2610"/>
      <c r="S120" s="2610"/>
      <c r="T120" s="2610"/>
      <c r="U120" s="2610"/>
      <c r="V120" s="2610"/>
      <c r="W120" s="2610"/>
      <c r="X120" s="2610"/>
      <c r="Y120" s="2610"/>
      <c r="Z120" s="2610"/>
      <c r="AA120" s="2610"/>
      <c r="AB120" s="2610"/>
      <c r="AC120" s="2610"/>
      <c r="AD120" s="2610"/>
      <c r="AE120" s="2610"/>
      <c r="AF120" s="2610"/>
      <c r="AG120" s="2610"/>
      <c r="AH120" s="2610"/>
      <c r="AI120" s="2610"/>
      <c r="AJ120" s="2610"/>
      <c r="AK120" s="2610"/>
      <c r="AL120" s="2610"/>
      <c r="AM120" s="2610"/>
      <c r="AN120" s="2610"/>
      <c r="AO120" s="2610"/>
      <c r="AP120" s="2610"/>
      <c r="AQ120" s="2610"/>
      <c r="AR120" s="2610"/>
      <c r="AS120" s="2610"/>
      <c r="AT120" s="2610"/>
      <c r="AW120" s="381"/>
      <c r="AX120" s="381"/>
    </row>
    <row r="121" spans="1:50" ht="12.75" customHeight="1">
      <c r="B121" s="619" t="s">
        <v>167</v>
      </c>
      <c r="C121" s="2610" t="s">
        <v>179</v>
      </c>
      <c r="D121" s="2610"/>
      <c r="E121" s="2610"/>
      <c r="F121" s="2610"/>
      <c r="G121" s="2610"/>
      <c r="H121" s="2610"/>
      <c r="I121" s="2610"/>
      <c r="J121" s="2610"/>
      <c r="K121" s="2610"/>
      <c r="L121" s="2610"/>
      <c r="M121" s="2610"/>
      <c r="N121" s="2610"/>
      <c r="O121" s="2610"/>
      <c r="P121" s="2610"/>
      <c r="Q121" s="2610"/>
      <c r="R121" s="2610"/>
      <c r="S121" s="2610"/>
      <c r="T121" s="2610"/>
      <c r="U121" s="2610"/>
      <c r="V121" s="2610"/>
      <c r="W121" s="2610"/>
      <c r="X121" s="2610"/>
      <c r="Y121" s="2610"/>
      <c r="Z121" s="2610"/>
      <c r="AA121" s="2610"/>
      <c r="AB121" s="2610"/>
      <c r="AC121" s="2610"/>
      <c r="AD121" s="2610"/>
      <c r="AE121" s="2610"/>
      <c r="AF121" s="2610"/>
      <c r="AG121" s="2610"/>
      <c r="AH121" s="2610"/>
      <c r="AI121" s="2610"/>
      <c r="AJ121" s="2610"/>
      <c r="AK121" s="2610"/>
      <c r="AL121" s="2610"/>
      <c r="AM121" s="2610"/>
      <c r="AN121" s="2610"/>
      <c r="AO121" s="2610"/>
      <c r="AP121" s="2610"/>
      <c r="AQ121" s="2610"/>
      <c r="AR121" s="2610"/>
      <c r="AS121" s="2610"/>
      <c r="AT121" s="2610"/>
      <c r="AU121" s="618"/>
      <c r="AW121" s="381"/>
      <c r="AX121" s="381"/>
    </row>
    <row r="122" spans="1:50" ht="12.75" customHeight="1">
      <c r="C122" s="2610" t="s">
        <v>180</v>
      </c>
      <c r="D122" s="2610"/>
      <c r="E122" s="2610"/>
      <c r="F122" s="2610"/>
      <c r="G122" s="2610"/>
      <c r="H122" s="2610"/>
      <c r="I122" s="2610"/>
      <c r="J122" s="2610"/>
      <c r="K122" s="2610"/>
      <c r="L122" s="2610"/>
      <c r="M122" s="2610"/>
      <c r="N122" s="2610"/>
      <c r="O122" s="2610"/>
      <c r="P122" s="2610"/>
      <c r="Q122" s="2610"/>
      <c r="R122" s="2610"/>
      <c r="S122" s="2610"/>
      <c r="T122" s="2610"/>
      <c r="U122" s="2610"/>
      <c r="V122" s="2610"/>
      <c r="W122" s="2610"/>
      <c r="X122" s="2610"/>
      <c r="Y122" s="2610"/>
      <c r="Z122" s="2610"/>
      <c r="AA122" s="2610"/>
      <c r="AB122" s="2610"/>
      <c r="AC122" s="2610"/>
      <c r="AD122" s="2610"/>
      <c r="AE122" s="2610"/>
      <c r="AF122" s="2610"/>
      <c r="AG122" s="2610"/>
      <c r="AH122" s="2610"/>
      <c r="AI122" s="2610"/>
      <c r="AJ122" s="2610"/>
      <c r="AK122" s="2610"/>
      <c r="AL122" s="2610"/>
      <c r="AM122" s="2610"/>
      <c r="AN122" s="2610"/>
      <c r="AO122" s="2610"/>
      <c r="AP122" s="2610"/>
      <c r="AQ122" s="2610"/>
      <c r="AR122" s="2610"/>
      <c r="AS122" s="2610"/>
      <c r="AT122" s="2610"/>
      <c r="AU122" s="618"/>
      <c r="AW122" s="381"/>
      <c r="AX122" s="381"/>
    </row>
    <row r="123" spans="1:50" ht="12.75" customHeight="1">
      <c r="B123" s="619" t="s">
        <v>1</v>
      </c>
      <c r="C123" s="2610" t="s">
        <v>2</v>
      </c>
      <c r="D123" s="2610"/>
      <c r="E123" s="2610"/>
      <c r="F123" s="2610"/>
      <c r="G123" s="2610"/>
      <c r="H123" s="2610"/>
      <c r="I123" s="2610"/>
      <c r="J123" s="2610"/>
      <c r="K123" s="2610"/>
      <c r="L123" s="2610"/>
      <c r="M123" s="2610"/>
      <c r="N123" s="2610"/>
      <c r="O123" s="2610"/>
      <c r="P123" s="2610"/>
      <c r="Q123" s="2610"/>
      <c r="R123" s="2610"/>
      <c r="S123" s="2610"/>
      <c r="T123" s="2610"/>
      <c r="U123" s="2610"/>
      <c r="V123" s="2610"/>
      <c r="W123" s="2610"/>
      <c r="X123" s="2610"/>
      <c r="Y123" s="2610"/>
      <c r="Z123" s="2610"/>
      <c r="AA123" s="2610"/>
      <c r="AB123" s="2610"/>
      <c r="AC123" s="2610"/>
      <c r="AD123" s="2610"/>
      <c r="AE123" s="2610"/>
      <c r="AF123" s="2610"/>
      <c r="AG123" s="2610"/>
      <c r="AH123" s="2610"/>
      <c r="AI123" s="2610"/>
      <c r="AJ123" s="2610"/>
      <c r="AK123" s="2610"/>
      <c r="AL123" s="2610"/>
      <c r="AM123" s="2610"/>
      <c r="AN123" s="2610"/>
      <c r="AO123" s="2610"/>
      <c r="AP123" s="2610"/>
      <c r="AQ123" s="2610"/>
      <c r="AR123" s="2610"/>
      <c r="AS123" s="2610"/>
      <c r="AT123" s="2610"/>
      <c r="AU123" s="618"/>
      <c r="AW123" s="381"/>
      <c r="AX123" s="381"/>
    </row>
    <row r="124" spans="1:50" ht="12.75" customHeight="1">
      <c r="AG124" s="618"/>
      <c r="AH124" s="618"/>
      <c r="AI124" s="618"/>
      <c r="AJ124" s="618"/>
      <c r="AK124" s="618"/>
      <c r="AL124" s="618"/>
      <c r="AM124" s="618"/>
      <c r="AN124" s="618"/>
      <c r="AO124" s="618"/>
      <c r="AP124" s="618"/>
      <c r="AQ124" s="618"/>
      <c r="AR124" s="618"/>
      <c r="AS124" s="618"/>
      <c r="AT124" s="618"/>
      <c r="AW124" s="381"/>
      <c r="AX124" s="381"/>
    </row>
    <row r="125" spans="1:50" ht="12.75" customHeight="1">
      <c r="AW125" s="381"/>
      <c r="AX125" s="381"/>
    </row>
    <row r="126" spans="1:50" ht="12.75" customHeight="1">
      <c r="A126" s="617" t="s">
        <v>18</v>
      </c>
      <c r="B126" s="617" t="s">
        <v>160</v>
      </c>
      <c r="C126" s="617">
        <v>2</v>
      </c>
      <c r="D126" s="617" t="s">
        <v>5</v>
      </c>
      <c r="E126" s="617" t="s">
        <v>6</v>
      </c>
      <c r="F126" s="617"/>
      <c r="G126" s="617" t="s">
        <v>25</v>
      </c>
      <c r="H126" s="617" t="s">
        <v>182</v>
      </c>
      <c r="I126" s="617">
        <v>4</v>
      </c>
      <c r="J126" s="617" t="s">
        <v>22</v>
      </c>
      <c r="AO126" s="758" t="str">
        <f>$AO$7</f>
        <v>Kyoto City(R4.11) ver112</v>
      </c>
      <c r="AP126" s="705" t="str">
        <f>IF('1_入力シート【基本情報】'!$AB$7="","",'1_入力シート【基本情報】'!$AB$7)</f>
        <v/>
      </c>
      <c r="AQ126" s="703" t="str">
        <f>IF('1_入力シート【基本情報】'!$AK$7="","",'1_入力シート【基本情報】'!$AK$7)</f>
        <v/>
      </c>
      <c r="AR126" s="2606" t="str">
        <f>IF('1_入力シート【基本情報】'!$AT$7="","",TEXT('1_入力シート【基本情報】'!$AT$7,"0000"))</f>
        <v/>
      </c>
      <c r="AS126" s="2607"/>
      <c r="AT126" s="2607"/>
      <c r="AU126" s="2608"/>
      <c r="AW126" s="381"/>
      <c r="AX126" s="381"/>
    </row>
    <row r="127" spans="1:50" ht="12.75" customHeight="1">
      <c r="U127" s="2665" t="s">
        <v>181</v>
      </c>
      <c r="V127" s="2665"/>
      <c r="W127" s="2665"/>
      <c r="X127" s="2665"/>
      <c r="Y127" s="2665"/>
      <c r="Z127" s="2665"/>
      <c r="AW127" s="381"/>
      <c r="AX127" s="381"/>
    </row>
    <row r="128" spans="1:50" ht="12.75" customHeight="1">
      <c r="AW128" s="381"/>
      <c r="AX128" s="381"/>
    </row>
    <row r="129" spans="1:53" ht="15.75" customHeight="1">
      <c r="A129" s="2634" t="s">
        <v>161</v>
      </c>
      <c r="B129" s="2635"/>
      <c r="C129" s="2636"/>
      <c r="D129" s="2653" t="s">
        <v>162</v>
      </c>
      <c r="E129" s="2654"/>
      <c r="F129" s="2654"/>
      <c r="G129" s="2654"/>
      <c r="H129" s="2654"/>
      <c r="I129" s="2654"/>
      <c r="J129" s="2655"/>
      <c r="K129" s="621"/>
      <c r="L129" s="622"/>
      <c r="M129" s="622"/>
      <c r="N129" s="622"/>
      <c r="O129" s="622"/>
      <c r="P129" s="622"/>
      <c r="Q129" s="622"/>
      <c r="R129" s="622"/>
      <c r="S129" s="623" t="s">
        <v>7</v>
      </c>
      <c r="T129" s="623" t="s">
        <v>8</v>
      </c>
      <c r="U129" s="623" t="s">
        <v>9</v>
      </c>
      <c r="V129" s="623" t="s">
        <v>163</v>
      </c>
      <c r="W129" s="623"/>
      <c r="X129" s="623"/>
      <c r="Y129" s="623"/>
      <c r="Z129" s="623"/>
      <c r="AA129" s="623"/>
      <c r="AB129" s="623"/>
      <c r="AC129" s="623"/>
      <c r="AD129" s="623"/>
      <c r="AE129" s="623"/>
      <c r="AF129" s="623"/>
      <c r="AG129" s="623"/>
      <c r="AH129" s="623"/>
      <c r="AI129" s="624"/>
      <c r="AJ129" s="625"/>
      <c r="AK129" s="2654" t="s">
        <v>33</v>
      </c>
      <c r="AL129" s="2654"/>
      <c r="AM129" s="2654"/>
      <c r="AN129" s="2654"/>
      <c r="AO129" s="2654"/>
      <c r="AP129" s="2654"/>
      <c r="AQ129" s="2654"/>
      <c r="AR129" s="2654"/>
      <c r="AS129" s="2654"/>
      <c r="AT129" s="2654"/>
      <c r="AU129" s="626"/>
      <c r="AW129" s="381"/>
      <c r="AX129" s="381"/>
    </row>
    <row r="130" spans="1:53" ht="15.75" customHeight="1" thickBot="1">
      <c r="A130" s="2647"/>
      <c r="B130" s="2648"/>
      <c r="C130" s="2649"/>
      <c r="D130" s="2634" t="str">
        <f>IFERROR(VLOOKUP(5,'1_入力シート【基本情報】'!$DU$307:$DX$526,3,FALSE),"")</f>
        <v/>
      </c>
      <c r="E130" s="2635"/>
      <c r="F130" s="2635"/>
      <c r="G130" s="2635"/>
      <c r="H130" s="2635"/>
      <c r="I130" s="2635"/>
      <c r="J130" s="2636"/>
      <c r="K130" s="2611" t="str">
        <f>IFERROR(VLOOKUP(5,'1_入力シート【基本情報】'!$DU$307:$DX$526,4,FALSE),"")</f>
        <v/>
      </c>
      <c r="L130" s="2612"/>
      <c r="M130" s="2612"/>
      <c r="N130" s="2612"/>
      <c r="O130" s="2612"/>
      <c r="P130" s="2612"/>
      <c r="Q130" s="2612"/>
      <c r="R130" s="2612"/>
      <c r="S130" s="2612"/>
      <c r="T130" s="2612"/>
      <c r="U130" s="2612"/>
      <c r="V130" s="2612"/>
      <c r="W130" s="2612"/>
      <c r="X130" s="2612"/>
      <c r="Y130" s="2612"/>
      <c r="Z130" s="2612"/>
      <c r="AA130" s="2612"/>
      <c r="AB130" s="2612"/>
      <c r="AC130" s="2612"/>
      <c r="AD130" s="2612"/>
      <c r="AE130" s="2612"/>
      <c r="AF130" s="2612"/>
      <c r="AG130" s="2612"/>
      <c r="AH130" s="2612"/>
      <c r="AI130" s="2613"/>
      <c r="AJ130" s="665"/>
      <c r="AK130" s="665"/>
      <c r="AL130" s="665"/>
      <c r="AM130" s="665"/>
      <c r="AN130" s="665"/>
      <c r="AO130" s="665"/>
      <c r="AP130" s="665"/>
      <c r="AQ130" s="665"/>
      <c r="AR130" s="665"/>
      <c r="AS130" s="665"/>
      <c r="AT130" s="665"/>
      <c r="AU130" s="666"/>
      <c r="AW130" s="381"/>
      <c r="AX130" s="381"/>
    </row>
    <row r="131" spans="1:53" ht="15.75" customHeight="1" thickBot="1">
      <c r="A131" s="2647"/>
      <c r="B131" s="2648"/>
      <c r="C131" s="2649"/>
      <c r="D131" s="2637"/>
      <c r="E131" s="2638"/>
      <c r="F131" s="2638"/>
      <c r="G131" s="2638"/>
      <c r="H131" s="2638"/>
      <c r="I131" s="2638"/>
      <c r="J131" s="2639"/>
      <c r="K131" s="2614"/>
      <c r="L131" s="2615"/>
      <c r="M131" s="2615"/>
      <c r="N131" s="2615"/>
      <c r="O131" s="2615"/>
      <c r="P131" s="2615"/>
      <c r="Q131" s="2615"/>
      <c r="R131" s="2615"/>
      <c r="S131" s="2615"/>
      <c r="T131" s="2615"/>
      <c r="U131" s="2615"/>
      <c r="V131" s="2615"/>
      <c r="W131" s="2615"/>
      <c r="X131" s="2615"/>
      <c r="Y131" s="2615"/>
      <c r="Z131" s="2615"/>
      <c r="AA131" s="2615"/>
      <c r="AB131" s="2615"/>
      <c r="AC131" s="2615"/>
      <c r="AD131" s="2615"/>
      <c r="AE131" s="2615"/>
      <c r="AF131" s="2615"/>
      <c r="AG131" s="2615"/>
      <c r="AH131" s="2615"/>
      <c r="AI131" s="2616"/>
      <c r="AJ131" s="665"/>
      <c r="AK131" s="665" t="str">
        <f>IF(D130&lt;&gt;"","☑","☐")</f>
        <v>☐</v>
      </c>
      <c r="AL131" s="665" t="s">
        <v>14</v>
      </c>
      <c r="AM131" s="665" t="s">
        <v>21</v>
      </c>
      <c r="AN131" s="665" t="s">
        <v>15</v>
      </c>
      <c r="AO131" s="665"/>
      <c r="AP131" s="783" t="s">
        <v>186</v>
      </c>
      <c r="AQ131" s="665" t="s">
        <v>27</v>
      </c>
      <c r="AR131" s="665" t="s">
        <v>23</v>
      </c>
      <c r="AS131" s="665" t="s">
        <v>13</v>
      </c>
      <c r="AT131" s="665"/>
      <c r="AU131" s="666"/>
      <c r="AV131" s="627"/>
      <c r="AW131" s="381"/>
      <c r="AX131" s="381"/>
      <c r="BA131" s="802" t="b">
        <f>AP131="☑"</f>
        <v>0</v>
      </c>
    </row>
    <row r="132" spans="1:53" ht="15.75" customHeight="1">
      <c r="A132" s="2650"/>
      <c r="B132" s="2651"/>
      <c r="C132" s="2652"/>
      <c r="D132" s="2640"/>
      <c r="E132" s="2641"/>
      <c r="F132" s="2641"/>
      <c r="G132" s="2641"/>
      <c r="H132" s="2641"/>
      <c r="I132" s="2641"/>
      <c r="J132" s="2642"/>
      <c r="K132" s="2644"/>
      <c r="L132" s="2645"/>
      <c r="M132" s="2645"/>
      <c r="N132" s="2645"/>
      <c r="O132" s="2645"/>
      <c r="P132" s="2645"/>
      <c r="Q132" s="2645"/>
      <c r="R132" s="2645"/>
      <c r="S132" s="2645"/>
      <c r="T132" s="2645"/>
      <c r="U132" s="2645"/>
      <c r="V132" s="2645"/>
      <c r="W132" s="2645"/>
      <c r="X132" s="2645"/>
      <c r="Y132" s="2645"/>
      <c r="Z132" s="2645"/>
      <c r="AA132" s="2645"/>
      <c r="AB132" s="2645"/>
      <c r="AC132" s="2645"/>
      <c r="AD132" s="2645"/>
      <c r="AE132" s="2645"/>
      <c r="AF132" s="2645"/>
      <c r="AG132" s="2645"/>
      <c r="AH132" s="2645"/>
      <c r="AI132" s="2646"/>
      <c r="AJ132" s="667"/>
      <c r="AK132" s="667"/>
      <c r="AL132" s="667"/>
      <c r="AM132" s="667"/>
      <c r="AN132" s="667"/>
      <c r="AO132" s="667"/>
      <c r="AP132" s="667"/>
      <c r="AQ132" s="667"/>
      <c r="AR132" s="667"/>
      <c r="AS132" s="667"/>
      <c r="AT132" s="667"/>
      <c r="AU132" s="668"/>
      <c r="AW132" s="381"/>
      <c r="AX132" s="381"/>
    </row>
    <row r="133" spans="1:53" ht="15.75" customHeight="1">
      <c r="A133" s="8"/>
      <c r="B133" s="616"/>
      <c r="C133" s="616"/>
      <c r="D133" s="616"/>
      <c r="E133" s="616"/>
      <c r="F133" s="616"/>
      <c r="G133" s="616"/>
      <c r="H133" s="616"/>
      <c r="I133" s="616"/>
      <c r="J133" s="616"/>
      <c r="K133" s="616"/>
      <c r="L133" s="616"/>
      <c r="M133" s="616"/>
      <c r="N133" s="616"/>
      <c r="O133" s="616"/>
      <c r="P133" s="616"/>
      <c r="Q133" s="616"/>
      <c r="R133" s="616"/>
      <c r="S133" s="616"/>
      <c r="T133" s="616"/>
      <c r="U133" s="616"/>
      <c r="V133" s="616"/>
      <c r="W133" s="616"/>
      <c r="X133" s="616"/>
      <c r="Y133" s="9"/>
      <c r="Z133" s="140"/>
      <c r="AA133" s="141" t="s">
        <v>11</v>
      </c>
      <c r="AB133" s="141" t="s">
        <v>10</v>
      </c>
      <c r="AC133" s="141" t="s">
        <v>16</v>
      </c>
      <c r="AD133" s="141" t="s">
        <v>9</v>
      </c>
      <c r="AE133" s="141"/>
      <c r="AF133" s="141"/>
      <c r="AG133" s="141"/>
      <c r="AH133" s="141"/>
      <c r="AI133" s="141"/>
      <c r="AJ133" s="142"/>
      <c r="AK133" s="142"/>
      <c r="AL133" s="142"/>
      <c r="AM133" s="142"/>
      <c r="AN133" s="142"/>
      <c r="AO133" s="142"/>
      <c r="AP133" s="142"/>
      <c r="AQ133" s="142"/>
      <c r="AR133" s="142"/>
      <c r="AS133" s="142"/>
      <c r="AT133" s="142"/>
      <c r="AU133" s="143"/>
      <c r="AW133" s="381"/>
      <c r="AX133" s="381"/>
    </row>
    <row r="134" spans="1:53" ht="15.75" customHeight="1">
      <c r="A134" s="8"/>
      <c r="B134" s="616"/>
      <c r="C134" s="616"/>
      <c r="D134" s="616"/>
      <c r="E134" s="616"/>
      <c r="F134" s="616"/>
      <c r="G134" s="616"/>
      <c r="H134" s="616"/>
      <c r="I134" s="616"/>
      <c r="J134" s="616"/>
      <c r="K134" s="616"/>
      <c r="L134" s="616"/>
      <c r="M134" s="616"/>
      <c r="N134" s="616"/>
      <c r="O134" s="616"/>
      <c r="P134" s="616"/>
      <c r="Q134" s="616"/>
      <c r="R134" s="616"/>
      <c r="S134" s="616"/>
      <c r="T134" s="616"/>
      <c r="U134" s="616"/>
      <c r="V134" s="616"/>
      <c r="W134" s="616"/>
      <c r="X134" s="616"/>
      <c r="Y134" s="9"/>
      <c r="Z134" s="2626"/>
      <c r="AA134" s="2627"/>
      <c r="AB134" s="2627"/>
      <c r="AC134" s="2627"/>
      <c r="AD134" s="2627"/>
      <c r="AE134" s="2627"/>
      <c r="AF134" s="2627"/>
      <c r="AG134" s="2627"/>
      <c r="AH134" s="2627"/>
      <c r="AI134" s="2627"/>
      <c r="AJ134" s="2627"/>
      <c r="AK134" s="2627"/>
      <c r="AL134" s="2627"/>
      <c r="AM134" s="2627"/>
      <c r="AN134" s="2627"/>
      <c r="AO134" s="198"/>
      <c r="AP134" s="198"/>
      <c r="AQ134" s="198"/>
      <c r="AR134" s="198"/>
      <c r="AS134" s="198"/>
      <c r="AT134" s="198"/>
      <c r="AU134" s="199"/>
      <c r="AW134" s="381"/>
      <c r="AX134" s="381"/>
    </row>
    <row r="135" spans="1:53" ht="15.75" customHeight="1">
      <c r="A135" s="8"/>
      <c r="B135" s="616"/>
      <c r="C135" s="616"/>
      <c r="D135" s="616"/>
      <c r="E135" s="616"/>
      <c r="F135" s="616"/>
      <c r="G135" s="616"/>
      <c r="H135" s="616"/>
      <c r="I135" s="616"/>
      <c r="J135" s="616"/>
      <c r="K135" s="616"/>
      <c r="L135" s="616"/>
      <c r="M135" s="616"/>
      <c r="N135" s="616"/>
      <c r="O135" s="616"/>
      <c r="P135" s="616"/>
      <c r="Q135" s="616"/>
      <c r="R135" s="616"/>
      <c r="S135" s="616"/>
      <c r="T135" s="616"/>
      <c r="U135" s="616"/>
      <c r="V135" s="616"/>
      <c r="W135" s="616"/>
      <c r="X135" s="616"/>
      <c r="Y135" s="9"/>
      <c r="Z135" s="2611" t="str">
        <f>IFERROR(VLOOKUP(5,'1_入力シート【基本情報】'!$DU$307:$DZ$526,5,FALSE),"")</f>
        <v/>
      </c>
      <c r="AA135" s="2612"/>
      <c r="AB135" s="2612"/>
      <c r="AC135" s="2612"/>
      <c r="AD135" s="2612"/>
      <c r="AE135" s="2612"/>
      <c r="AF135" s="2612"/>
      <c r="AG135" s="2612"/>
      <c r="AH135" s="2612"/>
      <c r="AI135" s="2612"/>
      <c r="AJ135" s="2612"/>
      <c r="AK135" s="2612"/>
      <c r="AL135" s="2612"/>
      <c r="AM135" s="2612"/>
      <c r="AN135" s="2612"/>
      <c r="AO135" s="2612"/>
      <c r="AP135" s="2612"/>
      <c r="AQ135" s="2612"/>
      <c r="AR135" s="2612"/>
      <c r="AS135" s="2612"/>
      <c r="AT135" s="2612"/>
      <c r="AU135" s="2613"/>
      <c r="AW135" s="381"/>
      <c r="AX135" s="381"/>
    </row>
    <row r="136" spans="1:53" ht="15.75" customHeight="1">
      <c r="A136" s="8"/>
      <c r="B136" s="616"/>
      <c r="C136" s="616"/>
      <c r="D136" s="616"/>
      <c r="E136" s="616"/>
      <c r="F136" s="616"/>
      <c r="G136" s="616"/>
      <c r="H136" s="616"/>
      <c r="I136" s="616"/>
      <c r="J136" s="616"/>
      <c r="K136" s="616"/>
      <c r="L136" s="616"/>
      <c r="M136" s="616"/>
      <c r="N136" s="616"/>
      <c r="O136" s="616"/>
      <c r="P136" s="616"/>
      <c r="Q136" s="616"/>
      <c r="R136" s="616"/>
      <c r="S136" s="616"/>
      <c r="T136" s="616"/>
      <c r="U136" s="616"/>
      <c r="V136" s="616"/>
      <c r="W136" s="616"/>
      <c r="X136" s="616"/>
      <c r="Y136" s="9"/>
      <c r="Z136" s="2614"/>
      <c r="AA136" s="2615"/>
      <c r="AB136" s="2615"/>
      <c r="AC136" s="2615"/>
      <c r="AD136" s="2615"/>
      <c r="AE136" s="2615"/>
      <c r="AF136" s="2615"/>
      <c r="AG136" s="2615"/>
      <c r="AH136" s="2615"/>
      <c r="AI136" s="2615"/>
      <c r="AJ136" s="2615"/>
      <c r="AK136" s="2615"/>
      <c r="AL136" s="2615"/>
      <c r="AM136" s="2615"/>
      <c r="AN136" s="2615"/>
      <c r="AO136" s="2615"/>
      <c r="AP136" s="2615"/>
      <c r="AQ136" s="2615"/>
      <c r="AR136" s="2615"/>
      <c r="AS136" s="2615"/>
      <c r="AT136" s="2615"/>
      <c r="AU136" s="2616"/>
      <c r="AW136" s="381"/>
      <c r="AX136" s="381"/>
    </row>
    <row r="137" spans="1:53" ht="15.75" customHeight="1">
      <c r="A137" s="8"/>
      <c r="B137" s="616"/>
      <c r="C137" s="616"/>
      <c r="D137" s="616"/>
      <c r="E137" s="616"/>
      <c r="F137" s="616"/>
      <c r="G137" s="616"/>
      <c r="H137" s="616"/>
      <c r="I137" s="616"/>
      <c r="J137" s="616"/>
      <c r="K137" s="616"/>
      <c r="L137" s="616"/>
      <c r="M137" s="616"/>
      <c r="N137" s="616"/>
      <c r="O137" s="616"/>
      <c r="P137" s="616"/>
      <c r="Q137" s="616"/>
      <c r="R137" s="616"/>
      <c r="S137" s="616"/>
      <c r="T137" s="616"/>
      <c r="U137" s="616"/>
      <c r="V137" s="616"/>
      <c r="W137" s="616"/>
      <c r="X137" s="616"/>
      <c r="Y137" s="9"/>
      <c r="Z137" s="2617"/>
      <c r="AA137" s="2618"/>
      <c r="AB137" s="2618"/>
      <c r="AC137" s="2618"/>
      <c r="AD137" s="2618"/>
      <c r="AE137" s="2618"/>
      <c r="AF137" s="2618"/>
      <c r="AG137" s="2618"/>
      <c r="AH137" s="2618"/>
      <c r="AI137" s="2618"/>
      <c r="AJ137" s="2618"/>
      <c r="AK137" s="2618"/>
      <c r="AL137" s="2618"/>
      <c r="AM137" s="2618"/>
      <c r="AN137" s="2618"/>
      <c r="AO137" s="2618"/>
      <c r="AP137" s="2618"/>
      <c r="AQ137" s="2618"/>
      <c r="AR137" s="2618"/>
      <c r="AS137" s="2618"/>
      <c r="AT137" s="2618"/>
      <c r="AU137" s="2619"/>
      <c r="AW137" s="381"/>
      <c r="AX137" s="381"/>
    </row>
    <row r="138" spans="1:53" ht="15.75" customHeight="1">
      <c r="A138" s="8"/>
      <c r="B138" s="669"/>
      <c r="C138" s="669"/>
      <c r="D138" s="669"/>
      <c r="E138" s="669"/>
      <c r="F138" s="669"/>
      <c r="G138" s="669"/>
      <c r="H138" s="669"/>
      <c r="I138" s="669"/>
      <c r="J138" s="669"/>
      <c r="K138" s="669"/>
      <c r="L138" s="669"/>
      <c r="M138" s="669"/>
      <c r="N138" s="669"/>
      <c r="O138" s="669"/>
      <c r="P138" s="669"/>
      <c r="Q138" s="669"/>
      <c r="R138" s="669"/>
      <c r="S138" s="669"/>
      <c r="T138" s="669"/>
      <c r="U138" s="669"/>
      <c r="V138" s="669"/>
      <c r="W138" s="669"/>
      <c r="X138" s="669"/>
      <c r="Y138" s="9"/>
      <c r="Z138" s="2620"/>
      <c r="AA138" s="2621"/>
      <c r="AB138" s="2621"/>
      <c r="AC138" s="2621"/>
      <c r="AD138" s="2621"/>
      <c r="AE138" s="2621"/>
      <c r="AF138" s="2621"/>
      <c r="AG138" s="2621"/>
      <c r="AH138" s="2621"/>
      <c r="AI138" s="2621"/>
      <c r="AJ138" s="2621"/>
      <c r="AK138" s="2621"/>
      <c r="AL138" s="2621"/>
      <c r="AM138" s="2621"/>
      <c r="AN138" s="2621"/>
      <c r="AO138" s="2621"/>
      <c r="AP138" s="2621"/>
      <c r="AQ138" s="2621"/>
      <c r="AR138" s="2621"/>
      <c r="AS138" s="2621"/>
      <c r="AT138" s="2621"/>
      <c r="AU138" s="2622"/>
      <c r="AW138" s="381"/>
      <c r="AX138" s="381"/>
    </row>
    <row r="139" spans="1:53" ht="15.75" customHeight="1">
      <c r="A139" s="8"/>
      <c r="B139" s="669"/>
      <c r="C139" s="669"/>
      <c r="D139" s="669"/>
      <c r="E139" s="669"/>
      <c r="F139" s="669"/>
      <c r="G139" s="669"/>
      <c r="H139" s="669"/>
      <c r="I139" s="669"/>
      <c r="J139" s="669"/>
      <c r="K139" s="669"/>
      <c r="L139" s="669"/>
      <c r="M139" s="669"/>
      <c r="N139" s="669"/>
      <c r="O139" s="669"/>
      <c r="P139" s="669"/>
      <c r="Q139" s="669"/>
      <c r="R139" s="669"/>
      <c r="S139" s="669"/>
      <c r="T139" s="669"/>
      <c r="U139" s="669"/>
      <c r="V139" s="669"/>
      <c r="W139" s="669"/>
      <c r="X139" s="669"/>
      <c r="Y139" s="9"/>
      <c r="Z139" s="2620"/>
      <c r="AA139" s="2621"/>
      <c r="AB139" s="2621"/>
      <c r="AC139" s="2621"/>
      <c r="AD139" s="2621"/>
      <c r="AE139" s="2621"/>
      <c r="AF139" s="2621"/>
      <c r="AG139" s="2621"/>
      <c r="AH139" s="2621"/>
      <c r="AI139" s="2621"/>
      <c r="AJ139" s="2621"/>
      <c r="AK139" s="2621"/>
      <c r="AL139" s="2621"/>
      <c r="AM139" s="2621"/>
      <c r="AN139" s="2621"/>
      <c r="AO139" s="2621"/>
      <c r="AP139" s="2621"/>
      <c r="AQ139" s="2621"/>
      <c r="AR139" s="2621"/>
      <c r="AS139" s="2621"/>
      <c r="AT139" s="2621"/>
      <c r="AU139" s="2622"/>
      <c r="AW139" s="381"/>
      <c r="AX139" s="381"/>
    </row>
    <row r="140" spans="1:53" ht="15.75" customHeight="1">
      <c r="A140" s="8"/>
      <c r="B140" s="669"/>
      <c r="C140" s="669"/>
      <c r="D140" s="669"/>
      <c r="E140" s="669"/>
      <c r="F140" s="669"/>
      <c r="G140" s="669"/>
      <c r="H140" s="669"/>
      <c r="I140" s="669"/>
      <c r="J140" s="669"/>
      <c r="K140" s="669"/>
      <c r="L140" s="669"/>
      <c r="M140" s="669"/>
      <c r="N140" s="669"/>
      <c r="O140" s="669"/>
      <c r="P140" s="669"/>
      <c r="Q140" s="669"/>
      <c r="R140" s="669"/>
      <c r="S140" s="669"/>
      <c r="T140" s="669"/>
      <c r="U140" s="669"/>
      <c r="V140" s="669"/>
      <c r="W140" s="669"/>
      <c r="X140" s="669"/>
      <c r="Y140" s="9"/>
      <c r="Z140" s="2620"/>
      <c r="AA140" s="2621"/>
      <c r="AB140" s="2621"/>
      <c r="AC140" s="2621"/>
      <c r="AD140" s="2621"/>
      <c r="AE140" s="2621"/>
      <c r="AF140" s="2621"/>
      <c r="AG140" s="2621"/>
      <c r="AH140" s="2621"/>
      <c r="AI140" s="2621"/>
      <c r="AJ140" s="2621"/>
      <c r="AK140" s="2621"/>
      <c r="AL140" s="2621"/>
      <c r="AM140" s="2621"/>
      <c r="AN140" s="2621"/>
      <c r="AO140" s="2621"/>
      <c r="AP140" s="2621"/>
      <c r="AQ140" s="2621"/>
      <c r="AR140" s="2621"/>
      <c r="AS140" s="2621"/>
      <c r="AT140" s="2621"/>
      <c r="AU140" s="2622"/>
      <c r="AW140" s="381"/>
      <c r="AX140" s="381"/>
    </row>
    <row r="141" spans="1:53" ht="15.75" customHeight="1">
      <c r="A141" s="8"/>
      <c r="B141" s="669"/>
      <c r="C141" s="669"/>
      <c r="D141" s="669"/>
      <c r="E141" s="669"/>
      <c r="F141" s="669"/>
      <c r="G141" s="669"/>
      <c r="H141" s="669"/>
      <c r="I141" s="669"/>
      <c r="J141" s="669"/>
      <c r="K141" s="2629" t="s">
        <v>164</v>
      </c>
      <c r="L141" s="2629"/>
      <c r="M141" s="2629"/>
      <c r="N141" s="2629"/>
      <c r="O141" s="2629"/>
      <c r="P141" s="2629"/>
      <c r="Q141" s="669"/>
      <c r="R141" s="669"/>
      <c r="S141" s="669"/>
      <c r="T141" s="669"/>
      <c r="U141" s="669"/>
      <c r="V141" s="669"/>
      <c r="W141" s="669"/>
      <c r="X141" s="669"/>
      <c r="Y141" s="9"/>
      <c r="Z141" s="2620"/>
      <c r="AA141" s="2621"/>
      <c r="AB141" s="2621"/>
      <c r="AC141" s="2621"/>
      <c r="AD141" s="2621"/>
      <c r="AE141" s="2621"/>
      <c r="AF141" s="2621"/>
      <c r="AG141" s="2621"/>
      <c r="AH141" s="2621"/>
      <c r="AI141" s="2621"/>
      <c r="AJ141" s="2621"/>
      <c r="AK141" s="2621"/>
      <c r="AL141" s="2621"/>
      <c r="AM141" s="2621"/>
      <c r="AN141" s="2621"/>
      <c r="AO141" s="2621"/>
      <c r="AP141" s="2621"/>
      <c r="AQ141" s="2621"/>
      <c r="AR141" s="2621"/>
      <c r="AS141" s="2621"/>
      <c r="AT141" s="2621"/>
      <c r="AU141" s="2622"/>
      <c r="AW141" s="381"/>
      <c r="AX141" s="381"/>
    </row>
    <row r="142" spans="1:53" ht="15.75" customHeight="1">
      <c r="A142" s="8"/>
      <c r="B142" s="669"/>
      <c r="C142" s="669"/>
      <c r="D142" s="669"/>
      <c r="E142" s="669"/>
      <c r="F142" s="669"/>
      <c r="G142" s="669"/>
      <c r="H142" s="669"/>
      <c r="I142" s="669"/>
      <c r="J142" s="669"/>
      <c r="K142" s="669"/>
      <c r="L142" s="669"/>
      <c r="M142" s="669"/>
      <c r="N142" s="669"/>
      <c r="O142" s="669"/>
      <c r="P142" s="669"/>
      <c r="Q142" s="669"/>
      <c r="R142" s="669"/>
      <c r="S142" s="669"/>
      <c r="T142" s="669"/>
      <c r="U142" s="669"/>
      <c r="V142" s="669"/>
      <c r="W142" s="669"/>
      <c r="X142" s="669"/>
      <c r="Y142" s="9"/>
      <c r="Z142" s="2620"/>
      <c r="AA142" s="2621"/>
      <c r="AB142" s="2621"/>
      <c r="AC142" s="2621"/>
      <c r="AD142" s="2621"/>
      <c r="AE142" s="2621"/>
      <c r="AF142" s="2621"/>
      <c r="AG142" s="2621"/>
      <c r="AH142" s="2621"/>
      <c r="AI142" s="2621"/>
      <c r="AJ142" s="2621"/>
      <c r="AK142" s="2621"/>
      <c r="AL142" s="2621"/>
      <c r="AM142" s="2621"/>
      <c r="AN142" s="2621"/>
      <c r="AO142" s="2621"/>
      <c r="AP142" s="2621"/>
      <c r="AQ142" s="2621"/>
      <c r="AR142" s="2621"/>
      <c r="AS142" s="2621"/>
      <c r="AT142" s="2621"/>
      <c r="AU142" s="2622"/>
      <c r="AW142" s="381"/>
      <c r="AX142" s="381"/>
    </row>
    <row r="143" spans="1:53" ht="15.75" customHeight="1">
      <c r="A143" s="8"/>
      <c r="B143" s="669"/>
      <c r="C143" s="669"/>
      <c r="D143" s="669"/>
      <c r="E143" s="669"/>
      <c r="F143" s="669"/>
      <c r="G143" s="669"/>
      <c r="H143" s="669"/>
      <c r="I143" s="669"/>
      <c r="J143" s="669"/>
      <c r="K143" s="669"/>
      <c r="L143" s="669"/>
      <c r="M143" s="669"/>
      <c r="N143" s="669"/>
      <c r="O143" s="669"/>
      <c r="P143" s="669"/>
      <c r="Q143" s="669"/>
      <c r="R143" s="669"/>
      <c r="S143" s="669"/>
      <c r="T143" s="669"/>
      <c r="U143" s="669"/>
      <c r="V143" s="669"/>
      <c r="W143" s="669"/>
      <c r="X143" s="669"/>
      <c r="Y143" s="9"/>
      <c r="Z143" s="2620"/>
      <c r="AA143" s="2621"/>
      <c r="AB143" s="2621"/>
      <c r="AC143" s="2621"/>
      <c r="AD143" s="2621"/>
      <c r="AE143" s="2621"/>
      <c r="AF143" s="2621"/>
      <c r="AG143" s="2621"/>
      <c r="AH143" s="2621"/>
      <c r="AI143" s="2621"/>
      <c r="AJ143" s="2621"/>
      <c r="AK143" s="2621"/>
      <c r="AL143" s="2621"/>
      <c r="AM143" s="2621"/>
      <c r="AN143" s="2621"/>
      <c r="AO143" s="2621"/>
      <c r="AP143" s="2621"/>
      <c r="AQ143" s="2621"/>
      <c r="AR143" s="2621"/>
      <c r="AS143" s="2621"/>
      <c r="AT143" s="2621"/>
      <c r="AU143" s="2622"/>
      <c r="AW143" s="381"/>
      <c r="AX143" s="381"/>
    </row>
    <row r="144" spans="1:53" ht="15.75" customHeight="1">
      <c r="A144" s="8"/>
      <c r="B144" s="669"/>
      <c r="C144" s="669"/>
      <c r="D144" s="669"/>
      <c r="E144" s="669"/>
      <c r="F144" s="669"/>
      <c r="G144" s="669"/>
      <c r="H144" s="669"/>
      <c r="I144" s="669"/>
      <c r="J144" s="669"/>
      <c r="K144" s="669"/>
      <c r="L144" s="669"/>
      <c r="M144" s="669"/>
      <c r="N144" s="669"/>
      <c r="O144" s="669"/>
      <c r="P144" s="669"/>
      <c r="Q144" s="669"/>
      <c r="R144" s="669"/>
      <c r="S144" s="669"/>
      <c r="T144" s="669"/>
      <c r="U144" s="669"/>
      <c r="V144" s="669"/>
      <c r="W144" s="669"/>
      <c r="X144" s="669"/>
      <c r="Y144" s="9"/>
      <c r="Z144" s="2620"/>
      <c r="AA144" s="2621"/>
      <c r="AB144" s="2621"/>
      <c r="AC144" s="2621"/>
      <c r="AD144" s="2621"/>
      <c r="AE144" s="2621"/>
      <c r="AF144" s="2621"/>
      <c r="AG144" s="2621"/>
      <c r="AH144" s="2621"/>
      <c r="AI144" s="2621"/>
      <c r="AJ144" s="2621"/>
      <c r="AK144" s="2621"/>
      <c r="AL144" s="2621"/>
      <c r="AM144" s="2621"/>
      <c r="AN144" s="2621"/>
      <c r="AO144" s="2621"/>
      <c r="AP144" s="2621"/>
      <c r="AQ144" s="2621"/>
      <c r="AR144" s="2621"/>
      <c r="AS144" s="2621"/>
      <c r="AT144" s="2621"/>
      <c r="AU144" s="2622"/>
      <c r="AW144" s="381"/>
      <c r="AX144" s="381"/>
    </row>
    <row r="145" spans="1:53" ht="15.75" customHeight="1">
      <c r="A145" s="8"/>
      <c r="B145" s="669"/>
      <c r="C145" s="669"/>
      <c r="D145" s="669"/>
      <c r="E145" s="669"/>
      <c r="F145" s="669"/>
      <c r="G145" s="669"/>
      <c r="H145" s="669"/>
      <c r="I145" s="669"/>
      <c r="J145" s="669"/>
      <c r="K145" s="669"/>
      <c r="L145" s="669"/>
      <c r="M145" s="669"/>
      <c r="N145" s="669"/>
      <c r="O145" s="669"/>
      <c r="P145" s="669"/>
      <c r="Q145" s="669"/>
      <c r="R145" s="669"/>
      <c r="S145" s="669"/>
      <c r="T145" s="669"/>
      <c r="U145" s="669"/>
      <c r="V145" s="669"/>
      <c r="W145" s="669"/>
      <c r="X145" s="669"/>
      <c r="Y145" s="9"/>
      <c r="Z145" s="2620"/>
      <c r="AA145" s="2621"/>
      <c r="AB145" s="2621"/>
      <c r="AC145" s="2621"/>
      <c r="AD145" s="2621"/>
      <c r="AE145" s="2621"/>
      <c r="AF145" s="2621"/>
      <c r="AG145" s="2621"/>
      <c r="AH145" s="2621"/>
      <c r="AI145" s="2621"/>
      <c r="AJ145" s="2621"/>
      <c r="AK145" s="2621"/>
      <c r="AL145" s="2621"/>
      <c r="AM145" s="2621"/>
      <c r="AN145" s="2621"/>
      <c r="AO145" s="2621"/>
      <c r="AP145" s="2621"/>
      <c r="AQ145" s="2621"/>
      <c r="AR145" s="2621"/>
      <c r="AS145" s="2621"/>
      <c r="AT145" s="2621"/>
      <c r="AU145" s="2622"/>
      <c r="AW145" s="381"/>
      <c r="AX145" s="381"/>
    </row>
    <row r="146" spans="1:53" ht="15.75" customHeight="1">
      <c r="A146" s="8"/>
      <c r="B146" s="669"/>
      <c r="C146" s="669"/>
      <c r="D146" s="669"/>
      <c r="E146" s="669"/>
      <c r="F146" s="669"/>
      <c r="G146" s="669"/>
      <c r="H146" s="669"/>
      <c r="I146" s="669"/>
      <c r="J146" s="669"/>
      <c r="K146" s="669"/>
      <c r="L146" s="669"/>
      <c r="M146" s="669"/>
      <c r="N146" s="669"/>
      <c r="O146" s="669"/>
      <c r="P146" s="669"/>
      <c r="Q146" s="669"/>
      <c r="R146" s="669"/>
      <c r="S146" s="669"/>
      <c r="T146" s="669"/>
      <c r="U146" s="669"/>
      <c r="V146" s="669"/>
      <c r="W146" s="669"/>
      <c r="X146" s="669"/>
      <c r="Y146" s="9"/>
      <c r="Z146" s="2620"/>
      <c r="AA146" s="2621"/>
      <c r="AB146" s="2621"/>
      <c r="AC146" s="2621"/>
      <c r="AD146" s="2621"/>
      <c r="AE146" s="2621"/>
      <c r="AF146" s="2621"/>
      <c r="AG146" s="2621"/>
      <c r="AH146" s="2621"/>
      <c r="AI146" s="2621"/>
      <c r="AJ146" s="2621"/>
      <c r="AK146" s="2621"/>
      <c r="AL146" s="2621"/>
      <c r="AM146" s="2621"/>
      <c r="AN146" s="2621"/>
      <c r="AO146" s="2621"/>
      <c r="AP146" s="2621"/>
      <c r="AQ146" s="2621"/>
      <c r="AR146" s="2621"/>
      <c r="AS146" s="2621"/>
      <c r="AT146" s="2621"/>
      <c r="AU146" s="2622"/>
      <c r="AW146" s="381"/>
      <c r="AX146" s="381"/>
    </row>
    <row r="147" spans="1:53" ht="15.75" customHeight="1">
      <c r="A147" s="8"/>
      <c r="B147" s="669"/>
      <c r="C147" s="669"/>
      <c r="D147" s="669"/>
      <c r="E147" s="669"/>
      <c r="F147" s="669"/>
      <c r="G147" s="669"/>
      <c r="H147" s="669"/>
      <c r="I147" s="669"/>
      <c r="J147" s="669"/>
      <c r="K147" s="669"/>
      <c r="L147" s="669"/>
      <c r="M147" s="669"/>
      <c r="N147" s="669"/>
      <c r="O147" s="669"/>
      <c r="P147" s="669"/>
      <c r="Q147" s="669"/>
      <c r="R147" s="669"/>
      <c r="S147" s="669"/>
      <c r="T147" s="669"/>
      <c r="U147" s="669"/>
      <c r="V147" s="669"/>
      <c r="W147" s="669"/>
      <c r="X147" s="669"/>
      <c r="Y147" s="9"/>
      <c r="Z147" s="2620"/>
      <c r="AA147" s="2621"/>
      <c r="AB147" s="2621"/>
      <c r="AC147" s="2621"/>
      <c r="AD147" s="2621"/>
      <c r="AE147" s="2621"/>
      <c r="AF147" s="2621"/>
      <c r="AG147" s="2621"/>
      <c r="AH147" s="2621"/>
      <c r="AI147" s="2621"/>
      <c r="AJ147" s="2621"/>
      <c r="AK147" s="2621"/>
      <c r="AL147" s="2621"/>
      <c r="AM147" s="2621"/>
      <c r="AN147" s="2621"/>
      <c r="AO147" s="2621"/>
      <c r="AP147" s="2621"/>
      <c r="AQ147" s="2621"/>
      <c r="AR147" s="2621"/>
      <c r="AS147" s="2621"/>
      <c r="AT147" s="2621"/>
      <c r="AU147" s="2622"/>
      <c r="AW147" s="381"/>
      <c r="AX147" s="381"/>
    </row>
    <row r="148" spans="1:53" ht="15.75" customHeight="1">
      <c r="A148" s="8"/>
      <c r="B148" s="669"/>
      <c r="C148" s="669"/>
      <c r="D148" s="669"/>
      <c r="E148" s="669"/>
      <c r="F148" s="669"/>
      <c r="G148" s="669"/>
      <c r="H148" s="669"/>
      <c r="I148" s="669"/>
      <c r="J148" s="669"/>
      <c r="K148" s="669"/>
      <c r="L148" s="669"/>
      <c r="M148" s="669"/>
      <c r="N148" s="669"/>
      <c r="O148" s="669"/>
      <c r="P148" s="669"/>
      <c r="Q148" s="669"/>
      <c r="R148" s="669"/>
      <c r="S148" s="669"/>
      <c r="T148" s="669"/>
      <c r="U148" s="669"/>
      <c r="V148" s="669"/>
      <c r="W148" s="669"/>
      <c r="X148" s="669"/>
      <c r="Y148" s="9"/>
      <c r="Z148" s="2620"/>
      <c r="AA148" s="2621"/>
      <c r="AB148" s="2621"/>
      <c r="AC148" s="2621"/>
      <c r="AD148" s="2621"/>
      <c r="AE148" s="2621"/>
      <c r="AF148" s="2621"/>
      <c r="AG148" s="2621"/>
      <c r="AH148" s="2621"/>
      <c r="AI148" s="2621"/>
      <c r="AJ148" s="2621"/>
      <c r="AK148" s="2621"/>
      <c r="AL148" s="2621"/>
      <c r="AM148" s="2621"/>
      <c r="AN148" s="2621"/>
      <c r="AO148" s="2621"/>
      <c r="AP148" s="2621"/>
      <c r="AQ148" s="2621"/>
      <c r="AR148" s="2621"/>
      <c r="AS148" s="2621"/>
      <c r="AT148" s="2621"/>
      <c r="AU148" s="2622"/>
      <c r="AW148" s="381"/>
      <c r="AX148" s="381"/>
    </row>
    <row r="149" spans="1:53" ht="15.75" customHeight="1">
      <c r="A149" s="8"/>
      <c r="B149" s="669"/>
      <c r="C149" s="669"/>
      <c r="D149" s="669"/>
      <c r="E149" s="669"/>
      <c r="F149" s="669"/>
      <c r="G149" s="669"/>
      <c r="H149" s="669"/>
      <c r="I149" s="669"/>
      <c r="J149" s="669"/>
      <c r="K149" s="669"/>
      <c r="L149" s="669"/>
      <c r="M149" s="669"/>
      <c r="N149" s="669"/>
      <c r="O149" s="669"/>
      <c r="P149" s="669"/>
      <c r="Q149" s="669"/>
      <c r="R149" s="669"/>
      <c r="S149" s="669"/>
      <c r="T149" s="669"/>
      <c r="U149" s="669"/>
      <c r="V149" s="669"/>
      <c r="W149" s="669"/>
      <c r="X149" s="669"/>
      <c r="Y149" s="9"/>
      <c r="Z149" s="2620"/>
      <c r="AA149" s="2621"/>
      <c r="AB149" s="2621"/>
      <c r="AC149" s="2621"/>
      <c r="AD149" s="2621"/>
      <c r="AE149" s="2621"/>
      <c r="AF149" s="2621"/>
      <c r="AG149" s="2621"/>
      <c r="AH149" s="2621"/>
      <c r="AI149" s="2621"/>
      <c r="AJ149" s="2621"/>
      <c r="AK149" s="2621"/>
      <c r="AL149" s="2621"/>
      <c r="AM149" s="2621"/>
      <c r="AN149" s="2621"/>
      <c r="AO149" s="2621"/>
      <c r="AP149" s="2621"/>
      <c r="AQ149" s="2621"/>
      <c r="AR149" s="2621"/>
      <c r="AS149" s="2621"/>
      <c r="AT149" s="2621"/>
      <c r="AU149" s="2622"/>
      <c r="AW149" s="381"/>
      <c r="AX149" s="381"/>
    </row>
    <row r="150" spans="1:53" ht="15.75" customHeight="1">
      <c r="A150" s="12"/>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1"/>
      <c r="Z150" s="2623"/>
      <c r="AA150" s="2624"/>
      <c r="AB150" s="2624"/>
      <c r="AC150" s="2624"/>
      <c r="AD150" s="2624"/>
      <c r="AE150" s="2624"/>
      <c r="AF150" s="2624"/>
      <c r="AG150" s="2624"/>
      <c r="AH150" s="2624"/>
      <c r="AI150" s="2624"/>
      <c r="AJ150" s="2624"/>
      <c r="AK150" s="2624"/>
      <c r="AL150" s="2624"/>
      <c r="AM150" s="2624"/>
      <c r="AN150" s="2624"/>
      <c r="AO150" s="2624"/>
      <c r="AP150" s="2624"/>
      <c r="AQ150" s="2624"/>
      <c r="AR150" s="2624"/>
      <c r="AS150" s="2624"/>
      <c r="AT150" s="2624"/>
      <c r="AU150" s="2625"/>
      <c r="AW150" s="381"/>
      <c r="AX150" s="381"/>
    </row>
    <row r="151" spans="1:53" ht="12.75" customHeight="1">
      <c r="AW151" s="381"/>
      <c r="AX151" s="381"/>
    </row>
    <row r="152" spans="1:53" ht="15.75" customHeight="1">
      <c r="A152" s="2634" t="s">
        <v>161</v>
      </c>
      <c r="B152" s="2635"/>
      <c r="C152" s="2636"/>
      <c r="D152" s="2653" t="s">
        <v>162</v>
      </c>
      <c r="E152" s="2654"/>
      <c r="F152" s="2654"/>
      <c r="G152" s="2654"/>
      <c r="H152" s="2654"/>
      <c r="I152" s="2654"/>
      <c r="J152" s="2655"/>
      <c r="K152" s="625"/>
      <c r="L152" s="622"/>
      <c r="M152" s="622"/>
      <c r="N152" s="622"/>
      <c r="O152" s="622"/>
      <c r="P152" s="622"/>
      <c r="Q152" s="622"/>
      <c r="R152" s="622"/>
      <c r="S152" s="623" t="s">
        <v>7</v>
      </c>
      <c r="T152" s="623" t="s">
        <v>8</v>
      </c>
      <c r="U152" s="623" t="s">
        <v>9</v>
      </c>
      <c r="V152" s="623" t="s">
        <v>163</v>
      </c>
      <c r="W152" s="623"/>
      <c r="X152" s="623"/>
      <c r="Y152" s="623"/>
      <c r="Z152" s="623"/>
      <c r="AA152" s="623"/>
      <c r="AB152" s="623"/>
      <c r="AC152" s="623"/>
      <c r="AD152" s="623"/>
      <c r="AE152" s="623"/>
      <c r="AF152" s="623"/>
      <c r="AG152" s="623"/>
      <c r="AH152" s="623"/>
      <c r="AI152" s="624"/>
      <c r="AJ152" s="625"/>
      <c r="AK152" s="2654" t="s">
        <v>33</v>
      </c>
      <c r="AL152" s="2654"/>
      <c r="AM152" s="2654"/>
      <c r="AN152" s="2654"/>
      <c r="AO152" s="2654"/>
      <c r="AP152" s="2654"/>
      <c r="AQ152" s="2654"/>
      <c r="AR152" s="2654"/>
      <c r="AS152" s="2654"/>
      <c r="AT152" s="2654"/>
      <c r="AU152" s="626"/>
      <c r="AW152" s="381"/>
      <c r="AX152" s="381"/>
    </row>
    <row r="153" spans="1:53" ht="15.75" customHeight="1" thickBot="1">
      <c r="A153" s="2647"/>
      <c r="B153" s="2648"/>
      <c r="C153" s="2649"/>
      <c r="D153" s="2634" t="str">
        <f>IFERROR(VLOOKUP(6,'1_入力シート【基本情報】'!$DU$307:$DX$526,3,FALSE),"")</f>
        <v/>
      </c>
      <c r="E153" s="2635"/>
      <c r="F153" s="2635"/>
      <c r="G153" s="2635"/>
      <c r="H153" s="2635"/>
      <c r="I153" s="2635"/>
      <c r="J153" s="2636"/>
      <c r="K153" s="2611" t="str">
        <f>IFERROR(VLOOKUP(6,'1_入力シート【基本情報】'!$DU$307:$DX$526,4,FALSE),"")</f>
        <v/>
      </c>
      <c r="L153" s="2612"/>
      <c r="M153" s="2612"/>
      <c r="N153" s="2612"/>
      <c r="O153" s="2612"/>
      <c r="P153" s="2612"/>
      <c r="Q153" s="2612"/>
      <c r="R153" s="2612"/>
      <c r="S153" s="2612"/>
      <c r="T153" s="2612"/>
      <c r="U153" s="2612"/>
      <c r="V153" s="2612"/>
      <c r="W153" s="2612"/>
      <c r="X153" s="2612"/>
      <c r="Y153" s="2612"/>
      <c r="Z153" s="2612"/>
      <c r="AA153" s="2612"/>
      <c r="AB153" s="2612"/>
      <c r="AC153" s="2612"/>
      <c r="AD153" s="2612"/>
      <c r="AE153" s="2612"/>
      <c r="AF153" s="2612"/>
      <c r="AG153" s="2612"/>
      <c r="AH153" s="2612"/>
      <c r="AI153" s="2613"/>
      <c r="AJ153" s="665"/>
      <c r="AK153" s="665"/>
      <c r="AL153" s="665"/>
      <c r="AM153" s="665"/>
      <c r="AN153" s="665"/>
      <c r="AO153" s="665"/>
      <c r="AP153" s="665"/>
      <c r="AQ153" s="665"/>
      <c r="AR153" s="665"/>
      <c r="AS153" s="665"/>
      <c r="AT153" s="665"/>
      <c r="AU153" s="666"/>
      <c r="AW153" s="381"/>
      <c r="AX153" s="381"/>
    </row>
    <row r="154" spans="1:53" ht="15.75" customHeight="1" thickBot="1">
      <c r="A154" s="2647"/>
      <c r="B154" s="2648"/>
      <c r="C154" s="2649"/>
      <c r="D154" s="2637"/>
      <c r="E154" s="2638"/>
      <c r="F154" s="2638"/>
      <c r="G154" s="2638"/>
      <c r="H154" s="2638"/>
      <c r="I154" s="2638"/>
      <c r="J154" s="2639"/>
      <c r="K154" s="2614"/>
      <c r="L154" s="2615"/>
      <c r="M154" s="2615"/>
      <c r="N154" s="2615"/>
      <c r="O154" s="2615"/>
      <c r="P154" s="2615"/>
      <c r="Q154" s="2615"/>
      <c r="R154" s="2615"/>
      <c r="S154" s="2615"/>
      <c r="T154" s="2615"/>
      <c r="U154" s="2615"/>
      <c r="V154" s="2615"/>
      <c r="W154" s="2615"/>
      <c r="X154" s="2615"/>
      <c r="Y154" s="2615"/>
      <c r="Z154" s="2615"/>
      <c r="AA154" s="2615"/>
      <c r="AB154" s="2615"/>
      <c r="AC154" s="2615"/>
      <c r="AD154" s="2615"/>
      <c r="AE154" s="2615"/>
      <c r="AF154" s="2615"/>
      <c r="AG154" s="2615"/>
      <c r="AH154" s="2615"/>
      <c r="AI154" s="2616"/>
      <c r="AJ154" s="665"/>
      <c r="AK154" s="665" t="str">
        <f>IF(D153&lt;&gt;"","☑","☐")</f>
        <v>☐</v>
      </c>
      <c r="AL154" s="665" t="s">
        <v>14</v>
      </c>
      <c r="AM154" s="665" t="s">
        <v>21</v>
      </c>
      <c r="AN154" s="665" t="s">
        <v>15</v>
      </c>
      <c r="AO154" s="665"/>
      <c r="AP154" s="783" t="s">
        <v>186</v>
      </c>
      <c r="AQ154" s="665" t="s">
        <v>27</v>
      </c>
      <c r="AR154" s="665" t="s">
        <v>23</v>
      </c>
      <c r="AS154" s="665" t="s">
        <v>13</v>
      </c>
      <c r="AT154" s="665"/>
      <c r="AU154" s="666"/>
      <c r="AW154" s="381"/>
      <c r="AX154" s="381"/>
      <c r="BA154" s="802" t="b">
        <f>AP154="☑"</f>
        <v>0</v>
      </c>
    </row>
    <row r="155" spans="1:53" ht="15.75" customHeight="1">
      <c r="A155" s="2650"/>
      <c r="B155" s="2651"/>
      <c r="C155" s="2652"/>
      <c r="D155" s="2640"/>
      <c r="E155" s="2641"/>
      <c r="F155" s="2641"/>
      <c r="G155" s="2641"/>
      <c r="H155" s="2641"/>
      <c r="I155" s="2641"/>
      <c r="J155" s="2642"/>
      <c r="K155" s="2644"/>
      <c r="L155" s="2645"/>
      <c r="M155" s="2645"/>
      <c r="N155" s="2645"/>
      <c r="O155" s="2645"/>
      <c r="P155" s="2645"/>
      <c r="Q155" s="2645"/>
      <c r="R155" s="2645"/>
      <c r="S155" s="2645"/>
      <c r="T155" s="2645"/>
      <c r="U155" s="2645"/>
      <c r="V155" s="2645"/>
      <c r="W155" s="2645"/>
      <c r="X155" s="2645"/>
      <c r="Y155" s="2645"/>
      <c r="Z155" s="2645"/>
      <c r="AA155" s="2645"/>
      <c r="AB155" s="2645"/>
      <c r="AC155" s="2645"/>
      <c r="AD155" s="2645"/>
      <c r="AE155" s="2645"/>
      <c r="AF155" s="2645"/>
      <c r="AG155" s="2645"/>
      <c r="AH155" s="2645"/>
      <c r="AI155" s="2646"/>
      <c r="AJ155" s="667"/>
      <c r="AK155" s="667"/>
      <c r="AL155" s="667"/>
      <c r="AM155" s="667"/>
      <c r="AN155" s="667"/>
      <c r="AO155" s="667"/>
      <c r="AP155" s="667"/>
      <c r="AQ155" s="667"/>
      <c r="AR155" s="667"/>
      <c r="AS155" s="667"/>
      <c r="AT155" s="667"/>
      <c r="AU155" s="668"/>
      <c r="AW155" s="381"/>
      <c r="AX155" s="381"/>
    </row>
    <row r="156" spans="1:53" ht="15.75" customHeight="1">
      <c r="A156" s="8"/>
      <c r="B156" s="616"/>
      <c r="C156" s="616"/>
      <c r="D156" s="616"/>
      <c r="E156" s="616"/>
      <c r="F156" s="616"/>
      <c r="G156" s="616"/>
      <c r="H156" s="616"/>
      <c r="I156" s="616"/>
      <c r="J156" s="616"/>
      <c r="K156" s="616"/>
      <c r="L156" s="616"/>
      <c r="M156" s="616"/>
      <c r="N156" s="616"/>
      <c r="O156" s="616"/>
      <c r="P156" s="616"/>
      <c r="Q156" s="616"/>
      <c r="R156" s="616"/>
      <c r="S156" s="616"/>
      <c r="T156" s="616"/>
      <c r="U156" s="616"/>
      <c r="V156" s="616"/>
      <c r="W156" s="616"/>
      <c r="X156" s="616"/>
      <c r="Y156" s="9"/>
      <c r="Z156" s="140"/>
      <c r="AA156" s="141" t="s">
        <v>11</v>
      </c>
      <c r="AB156" s="141" t="s">
        <v>10</v>
      </c>
      <c r="AC156" s="141" t="s">
        <v>16</v>
      </c>
      <c r="AD156" s="141" t="s">
        <v>9</v>
      </c>
      <c r="AE156" s="141"/>
      <c r="AF156" s="141"/>
      <c r="AG156" s="141"/>
      <c r="AH156" s="141"/>
      <c r="AI156" s="141"/>
      <c r="AJ156" s="142"/>
      <c r="AK156" s="142"/>
      <c r="AL156" s="142"/>
      <c r="AM156" s="142"/>
      <c r="AN156" s="142"/>
      <c r="AO156" s="142"/>
      <c r="AP156" s="142"/>
      <c r="AQ156" s="142"/>
      <c r="AR156" s="142"/>
      <c r="AS156" s="142"/>
      <c r="AT156" s="142"/>
      <c r="AU156" s="615"/>
      <c r="AW156" s="381"/>
      <c r="AX156" s="381"/>
    </row>
    <row r="157" spans="1:53" ht="15.75" customHeight="1">
      <c r="A157" s="8"/>
      <c r="B157" s="616"/>
      <c r="C157" s="616"/>
      <c r="D157" s="616"/>
      <c r="E157" s="616"/>
      <c r="F157" s="616"/>
      <c r="G157" s="616"/>
      <c r="H157" s="616"/>
      <c r="I157" s="616"/>
      <c r="J157" s="616"/>
      <c r="K157" s="616"/>
      <c r="L157" s="616"/>
      <c r="M157" s="616"/>
      <c r="N157" s="616"/>
      <c r="O157" s="616"/>
      <c r="P157" s="616"/>
      <c r="Q157" s="616"/>
      <c r="R157" s="616"/>
      <c r="S157" s="616"/>
      <c r="T157" s="616"/>
      <c r="U157" s="616"/>
      <c r="V157" s="616"/>
      <c r="W157" s="616"/>
      <c r="X157" s="616"/>
      <c r="Y157" s="9"/>
      <c r="Z157" s="2626"/>
      <c r="AA157" s="2627"/>
      <c r="AB157" s="2627"/>
      <c r="AC157" s="2627"/>
      <c r="AD157" s="2627"/>
      <c r="AE157" s="2627"/>
      <c r="AF157" s="2627"/>
      <c r="AG157" s="2627"/>
      <c r="AH157" s="2627"/>
      <c r="AI157" s="2627"/>
      <c r="AJ157" s="2627"/>
      <c r="AK157" s="2627"/>
      <c r="AL157" s="2627"/>
      <c r="AM157" s="2627"/>
      <c r="AN157" s="2627"/>
      <c r="AO157" s="198"/>
      <c r="AP157" s="198"/>
      <c r="AQ157" s="198"/>
      <c r="AR157" s="198"/>
      <c r="AS157" s="198"/>
      <c r="AT157" s="198"/>
      <c r="AU157" s="199"/>
      <c r="AW157" s="381"/>
      <c r="AX157" s="381"/>
    </row>
    <row r="158" spans="1:53" ht="15.75" customHeight="1">
      <c r="A158" s="8"/>
      <c r="B158" s="616"/>
      <c r="C158" s="616"/>
      <c r="D158" s="616"/>
      <c r="E158" s="616"/>
      <c r="F158" s="616"/>
      <c r="G158" s="616"/>
      <c r="H158" s="616"/>
      <c r="I158" s="616"/>
      <c r="J158" s="616"/>
      <c r="K158" s="616"/>
      <c r="L158" s="616"/>
      <c r="M158" s="616"/>
      <c r="N158" s="616"/>
      <c r="O158" s="616"/>
      <c r="P158" s="616"/>
      <c r="Q158" s="616"/>
      <c r="R158" s="616"/>
      <c r="S158" s="616"/>
      <c r="T158" s="616"/>
      <c r="U158" s="616"/>
      <c r="V158" s="616"/>
      <c r="W158" s="616"/>
      <c r="X158" s="616"/>
      <c r="Y158" s="9"/>
      <c r="Z158" s="2611" t="str">
        <f>IFERROR(VLOOKUP(6,'1_入力シート【基本情報】'!$DU$307:$DZ$526,5,FALSE),"")</f>
        <v/>
      </c>
      <c r="AA158" s="2612"/>
      <c r="AB158" s="2612"/>
      <c r="AC158" s="2612"/>
      <c r="AD158" s="2612"/>
      <c r="AE158" s="2612"/>
      <c r="AF158" s="2612"/>
      <c r="AG158" s="2612"/>
      <c r="AH158" s="2612"/>
      <c r="AI158" s="2612"/>
      <c r="AJ158" s="2612"/>
      <c r="AK158" s="2612"/>
      <c r="AL158" s="2612"/>
      <c r="AM158" s="2612"/>
      <c r="AN158" s="2612"/>
      <c r="AO158" s="2612"/>
      <c r="AP158" s="2612"/>
      <c r="AQ158" s="2612"/>
      <c r="AR158" s="2612"/>
      <c r="AS158" s="2612"/>
      <c r="AT158" s="2612"/>
      <c r="AU158" s="2613"/>
      <c r="AW158" s="381"/>
      <c r="AX158" s="381"/>
    </row>
    <row r="159" spans="1:53" ht="15.75" customHeight="1">
      <c r="A159" s="8"/>
      <c r="B159" s="616"/>
      <c r="C159" s="616"/>
      <c r="D159" s="616"/>
      <c r="E159" s="616"/>
      <c r="F159" s="616"/>
      <c r="G159" s="616"/>
      <c r="H159" s="616"/>
      <c r="I159" s="616"/>
      <c r="J159" s="616"/>
      <c r="K159" s="616"/>
      <c r="L159" s="616"/>
      <c r="M159" s="616"/>
      <c r="N159" s="616"/>
      <c r="O159" s="616"/>
      <c r="P159" s="616"/>
      <c r="Q159" s="616"/>
      <c r="R159" s="616"/>
      <c r="S159" s="616"/>
      <c r="T159" s="616"/>
      <c r="U159" s="616"/>
      <c r="V159" s="616"/>
      <c r="W159" s="616"/>
      <c r="X159" s="616"/>
      <c r="Y159" s="9"/>
      <c r="Z159" s="2614"/>
      <c r="AA159" s="2615"/>
      <c r="AB159" s="2615"/>
      <c r="AC159" s="2615"/>
      <c r="AD159" s="2615"/>
      <c r="AE159" s="2615"/>
      <c r="AF159" s="2615"/>
      <c r="AG159" s="2615"/>
      <c r="AH159" s="2615"/>
      <c r="AI159" s="2615"/>
      <c r="AJ159" s="2615"/>
      <c r="AK159" s="2615"/>
      <c r="AL159" s="2615"/>
      <c r="AM159" s="2615"/>
      <c r="AN159" s="2615"/>
      <c r="AO159" s="2615"/>
      <c r="AP159" s="2615"/>
      <c r="AQ159" s="2615"/>
      <c r="AR159" s="2615"/>
      <c r="AS159" s="2615"/>
      <c r="AT159" s="2615"/>
      <c r="AU159" s="2616"/>
      <c r="AW159" s="381"/>
      <c r="AX159" s="381"/>
    </row>
    <row r="160" spans="1:53" ht="15.75" customHeight="1">
      <c r="A160" s="8"/>
      <c r="B160" s="616"/>
      <c r="C160" s="616"/>
      <c r="D160" s="616"/>
      <c r="E160" s="616"/>
      <c r="F160" s="616"/>
      <c r="G160" s="616"/>
      <c r="H160" s="616"/>
      <c r="I160" s="616"/>
      <c r="J160" s="616"/>
      <c r="K160" s="616"/>
      <c r="L160" s="616"/>
      <c r="M160" s="616"/>
      <c r="N160" s="616"/>
      <c r="O160" s="616"/>
      <c r="P160" s="616"/>
      <c r="Q160" s="616"/>
      <c r="R160" s="616"/>
      <c r="S160" s="616"/>
      <c r="T160" s="616"/>
      <c r="U160" s="616"/>
      <c r="V160" s="616"/>
      <c r="W160" s="616"/>
      <c r="X160" s="616"/>
      <c r="Y160" s="9"/>
      <c r="Z160" s="2617"/>
      <c r="AA160" s="2618"/>
      <c r="AB160" s="2618"/>
      <c r="AC160" s="2618"/>
      <c r="AD160" s="2618"/>
      <c r="AE160" s="2618"/>
      <c r="AF160" s="2618"/>
      <c r="AG160" s="2618"/>
      <c r="AH160" s="2618"/>
      <c r="AI160" s="2618"/>
      <c r="AJ160" s="2618"/>
      <c r="AK160" s="2618"/>
      <c r="AL160" s="2618"/>
      <c r="AM160" s="2618"/>
      <c r="AN160" s="2618"/>
      <c r="AO160" s="2618"/>
      <c r="AP160" s="2618"/>
      <c r="AQ160" s="2618"/>
      <c r="AR160" s="2618"/>
      <c r="AS160" s="2618"/>
      <c r="AT160" s="2618"/>
      <c r="AU160" s="2619"/>
      <c r="AW160" s="381"/>
      <c r="AX160" s="381"/>
    </row>
    <row r="161" spans="1:50" ht="15.75" customHeight="1">
      <c r="A161" s="8"/>
      <c r="B161" s="669"/>
      <c r="C161" s="669"/>
      <c r="D161" s="669"/>
      <c r="E161" s="669"/>
      <c r="F161" s="669"/>
      <c r="G161" s="669"/>
      <c r="H161" s="669"/>
      <c r="I161" s="669"/>
      <c r="J161" s="669"/>
      <c r="K161" s="669"/>
      <c r="L161" s="669"/>
      <c r="M161" s="669"/>
      <c r="N161" s="669"/>
      <c r="O161" s="669"/>
      <c r="P161" s="669"/>
      <c r="Q161" s="669"/>
      <c r="R161" s="669"/>
      <c r="S161" s="669"/>
      <c r="T161" s="669"/>
      <c r="U161" s="669"/>
      <c r="V161" s="669"/>
      <c r="W161" s="669"/>
      <c r="X161" s="669"/>
      <c r="Y161" s="9"/>
      <c r="Z161" s="2620"/>
      <c r="AA161" s="2621"/>
      <c r="AB161" s="2621"/>
      <c r="AC161" s="2621"/>
      <c r="AD161" s="2621"/>
      <c r="AE161" s="2621"/>
      <c r="AF161" s="2621"/>
      <c r="AG161" s="2621"/>
      <c r="AH161" s="2621"/>
      <c r="AI161" s="2621"/>
      <c r="AJ161" s="2621"/>
      <c r="AK161" s="2621"/>
      <c r="AL161" s="2621"/>
      <c r="AM161" s="2621"/>
      <c r="AN161" s="2621"/>
      <c r="AO161" s="2621"/>
      <c r="AP161" s="2621"/>
      <c r="AQ161" s="2621"/>
      <c r="AR161" s="2621"/>
      <c r="AS161" s="2621"/>
      <c r="AT161" s="2621"/>
      <c r="AU161" s="2622"/>
      <c r="AW161" s="381"/>
      <c r="AX161" s="381"/>
    </row>
    <row r="162" spans="1:50" ht="15.75" customHeight="1">
      <c r="A162" s="8"/>
      <c r="B162" s="669"/>
      <c r="C162" s="669"/>
      <c r="D162" s="669"/>
      <c r="E162" s="669"/>
      <c r="F162" s="669"/>
      <c r="G162" s="669"/>
      <c r="H162" s="669"/>
      <c r="I162" s="669"/>
      <c r="J162" s="669"/>
      <c r="K162" s="669"/>
      <c r="L162" s="669"/>
      <c r="M162" s="669"/>
      <c r="N162" s="669"/>
      <c r="O162" s="669"/>
      <c r="P162" s="669"/>
      <c r="Q162" s="669"/>
      <c r="R162" s="669"/>
      <c r="S162" s="669"/>
      <c r="T162" s="669"/>
      <c r="U162" s="669"/>
      <c r="V162" s="669"/>
      <c r="W162" s="669"/>
      <c r="X162" s="669"/>
      <c r="Y162" s="9"/>
      <c r="Z162" s="2620"/>
      <c r="AA162" s="2621"/>
      <c r="AB162" s="2621"/>
      <c r="AC162" s="2621"/>
      <c r="AD162" s="2621"/>
      <c r="AE162" s="2621"/>
      <c r="AF162" s="2621"/>
      <c r="AG162" s="2621"/>
      <c r="AH162" s="2621"/>
      <c r="AI162" s="2621"/>
      <c r="AJ162" s="2621"/>
      <c r="AK162" s="2621"/>
      <c r="AL162" s="2621"/>
      <c r="AM162" s="2621"/>
      <c r="AN162" s="2621"/>
      <c r="AO162" s="2621"/>
      <c r="AP162" s="2621"/>
      <c r="AQ162" s="2621"/>
      <c r="AR162" s="2621"/>
      <c r="AS162" s="2621"/>
      <c r="AT162" s="2621"/>
      <c r="AU162" s="2622"/>
      <c r="AW162" s="381"/>
      <c r="AX162" s="381"/>
    </row>
    <row r="163" spans="1:50" ht="15.75" customHeight="1">
      <c r="A163" s="8"/>
      <c r="B163" s="669"/>
      <c r="C163" s="669"/>
      <c r="D163" s="669"/>
      <c r="E163" s="669"/>
      <c r="F163" s="669"/>
      <c r="G163" s="669"/>
      <c r="H163" s="669"/>
      <c r="I163" s="669"/>
      <c r="J163" s="669"/>
      <c r="K163" s="669"/>
      <c r="L163" s="669"/>
      <c r="M163" s="669"/>
      <c r="N163" s="669"/>
      <c r="O163" s="669"/>
      <c r="P163" s="669"/>
      <c r="Q163" s="669"/>
      <c r="R163" s="669"/>
      <c r="S163" s="669"/>
      <c r="T163" s="669"/>
      <c r="U163" s="669"/>
      <c r="V163" s="669"/>
      <c r="W163" s="669"/>
      <c r="X163" s="669"/>
      <c r="Y163" s="9"/>
      <c r="Z163" s="2620"/>
      <c r="AA163" s="2621"/>
      <c r="AB163" s="2621"/>
      <c r="AC163" s="2621"/>
      <c r="AD163" s="2621"/>
      <c r="AE163" s="2621"/>
      <c r="AF163" s="2621"/>
      <c r="AG163" s="2621"/>
      <c r="AH163" s="2621"/>
      <c r="AI163" s="2621"/>
      <c r="AJ163" s="2621"/>
      <c r="AK163" s="2621"/>
      <c r="AL163" s="2621"/>
      <c r="AM163" s="2621"/>
      <c r="AN163" s="2621"/>
      <c r="AO163" s="2621"/>
      <c r="AP163" s="2621"/>
      <c r="AQ163" s="2621"/>
      <c r="AR163" s="2621"/>
      <c r="AS163" s="2621"/>
      <c r="AT163" s="2621"/>
      <c r="AU163" s="2622"/>
      <c r="AW163" s="381"/>
      <c r="AX163" s="381"/>
    </row>
    <row r="164" spans="1:50" ht="15.75" customHeight="1">
      <c r="A164" s="8"/>
      <c r="B164" s="669"/>
      <c r="C164" s="669"/>
      <c r="D164" s="669"/>
      <c r="E164" s="669"/>
      <c r="F164" s="669"/>
      <c r="G164" s="669"/>
      <c r="H164" s="669"/>
      <c r="I164" s="669"/>
      <c r="J164" s="669"/>
      <c r="K164" s="2629" t="s">
        <v>164</v>
      </c>
      <c r="L164" s="2629"/>
      <c r="M164" s="2629"/>
      <c r="N164" s="2629"/>
      <c r="O164" s="2629"/>
      <c r="P164" s="2629"/>
      <c r="Q164" s="669"/>
      <c r="R164" s="669"/>
      <c r="S164" s="669"/>
      <c r="T164" s="669"/>
      <c r="U164" s="669"/>
      <c r="V164" s="669"/>
      <c r="W164" s="669"/>
      <c r="X164" s="669"/>
      <c r="Y164" s="9"/>
      <c r="Z164" s="2620"/>
      <c r="AA164" s="2621"/>
      <c r="AB164" s="2621"/>
      <c r="AC164" s="2621"/>
      <c r="AD164" s="2621"/>
      <c r="AE164" s="2621"/>
      <c r="AF164" s="2621"/>
      <c r="AG164" s="2621"/>
      <c r="AH164" s="2621"/>
      <c r="AI164" s="2621"/>
      <c r="AJ164" s="2621"/>
      <c r="AK164" s="2621"/>
      <c r="AL164" s="2621"/>
      <c r="AM164" s="2621"/>
      <c r="AN164" s="2621"/>
      <c r="AO164" s="2621"/>
      <c r="AP164" s="2621"/>
      <c r="AQ164" s="2621"/>
      <c r="AR164" s="2621"/>
      <c r="AS164" s="2621"/>
      <c r="AT164" s="2621"/>
      <c r="AU164" s="2622"/>
      <c r="AW164" s="381"/>
      <c r="AX164" s="381"/>
    </row>
    <row r="165" spans="1:50" ht="15.75" customHeight="1">
      <c r="A165" s="8"/>
      <c r="B165" s="669"/>
      <c r="C165" s="669"/>
      <c r="D165" s="669"/>
      <c r="E165" s="669"/>
      <c r="F165" s="669"/>
      <c r="G165" s="669"/>
      <c r="H165" s="669"/>
      <c r="I165" s="669"/>
      <c r="J165" s="669"/>
      <c r="K165" s="669"/>
      <c r="L165" s="669"/>
      <c r="M165" s="669"/>
      <c r="N165" s="669"/>
      <c r="O165" s="669"/>
      <c r="P165" s="669"/>
      <c r="Q165" s="669"/>
      <c r="R165" s="669"/>
      <c r="S165" s="669"/>
      <c r="T165" s="669"/>
      <c r="U165" s="669"/>
      <c r="V165" s="669"/>
      <c r="W165" s="669"/>
      <c r="X165" s="669"/>
      <c r="Y165" s="9"/>
      <c r="Z165" s="2620"/>
      <c r="AA165" s="2621"/>
      <c r="AB165" s="2621"/>
      <c r="AC165" s="2621"/>
      <c r="AD165" s="2621"/>
      <c r="AE165" s="2621"/>
      <c r="AF165" s="2621"/>
      <c r="AG165" s="2621"/>
      <c r="AH165" s="2621"/>
      <c r="AI165" s="2621"/>
      <c r="AJ165" s="2621"/>
      <c r="AK165" s="2621"/>
      <c r="AL165" s="2621"/>
      <c r="AM165" s="2621"/>
      <c r="AN165" s="2621"/>
      <c r="AO165" s="2621"/>
      <c r="AP165" s="2621"/>
      <c r="AQ165" s="2621"/>
      <c r="AR165" s="2621"/>
      <c r="AS165" s="2621"/>
      <c r="AT165" s="2621"/>
      <c r="AU165" s="2622"/>
      <c r="AW165" s="381"/>
      <c r="AX165" s="381"/>
    </row>
    <row r="166" spans="1:50" ht="15.75" customHeight="1">
      <c r="A166" s="8"/>
      <c r="B166" s="669"/>
      <c r="C166" s="669"/>
      <c r="D166" s="669"/>
      <c r="E166" s="669"/>
      <c r="F166" s="669"/>
      <c r="G166" s="669"/>
      <c r="H166" s="669"/>
      <c r="I166" s="669"/>
      <c r="J166" s="669"/>
      <c r="K166" s="669"/>
      <c r="L166" s="669"/>
      <c r="M166" s="669"/>
      <c r="N166" s="669"/>
      <c r="O166" s="669"/>
      <c r="P166" s="669"/>
      <c r="Q166" s="669"/>
      <c r="R166" s="669"/>
      <c r="S166" s="669"/>
      <c r="T166" s="669"/>
      <c r="U166" s="669"/>
      <c r="V166" s="669"/>
      <c r="W166" s="669"/>
      <c r="X166" s="669"/>
      <c r="Y166" s="9"/>
      <c r="Z166" s="2620"/>
      <c r="AA166" s="2621"/>
      <c r="AB166" s="2621"/>
      <c r="AC166" s="2621"/>
      <c r="AD166" s="2621"/>
      <c r="AE166" s="2621"/>
      <c r="AF166" s="2621"/>
      <c r="AG166" s="2621"/>
      <c r="AH166" s="2621"/>
      <c r="AI166" s="2621"/>
      <c r="AJ166" s="2621"/>
      <c r="AK166" s="2621"/>
      <c r="AL166" s="2621"/>
      <c r="AM166" s="2621"/>
      <c r="AN166" s="2621"/>
      <c r="AO166" s="2621"/>
      <c r="AP166" s="2621"/>
      <c r="AQ166" s="2621"/>
      <c r="AR166" s="2621"/>
      <c r="AS166" s="2621"/>
      <c r="AT166" s="2621"/>
      <c r="AU166" s="2622"/>
      <c r="AW166" s="381"/>
      <c r="AX166" s="381"/>
    </row>
    <row r="167" spans="1:50" ht="15.75" customHeight="1">
      <c r="A167" s="8"/>
      <c r="B167" s="669"/>
      <c r="C167" s="669"/>
      <c r="D167" s="669"/>
      <c r="E167" s="669"/>
      <c r="F167" s="669"/>
      <c r="G167" s="669"/>
      <c r="H167" s="669"/>
      <c r="I167" s="669"/>
      <c r="J167" s="669"/>
      <c r="K167" s="669"/>
      <c r="L167" s="669"/>
      <c r="M167" s="669"/>
      <c r="N167" s="669"/>
      <c r="O167" s="669"/>
      <c r="P167" s="669"/>
      <c r="Q167" s="669"/>
      <c r="R167" s="669"/>
      <c r="S167" s="669"/>
      <c r="T167" s="669"/>
      <c r="U167" s="669"/>
      <c r="V167" s="669"/>
      <c r="W167" s="669"/>
      <c r="X167" s="669"/>
      <c r="Y167" s="9"/>
      <c r="Z167" s="2620"/>
      <c r="AA167" s="2621"/>
      <c r="AB167" s="2621"/>
      <c r="AC167" s="2621"/>
      <c r="AD167" s="2621"/>
      <c r="AE167" s="2621"/>
      <c r="AF167" s="2621"/>
      <c r="AG167" s="2621"/>
      <c r="AH167" s="2621"/>
      <c r="AI167" s="2621"/>
      <c r="AJ167" s="2621"/>
      <c r="AK167" s="2621"/>
      <c r="AL167" s="2621"/>
      <c r="AM167" s="2621"/>
      <c r="AN167" s="2621"/>
      <c r="AO167" s="2621"/>
      <c r="AP167" s="2621"/>
      <c r="AQ167" s="2621"/>
      <c r="AR167" s="2621"/>
      <c r="AS167" s="2621"/>
      <c r="AT167" s="2621"/>
      <c r="AU167" s="2622"/>
      <c r="AW167" s="381"/>
      <c r="AX167" s="381"/>
    </row>
    <row r="168" spans="1:50" ht="15.75" customHeight="1">
      <c r="A168" s="8"/>
      <c r="B168" s="669"/>
      <c r="C168" s="669"/>
      <c r="D168" s="669"/>
      <c r="E168" s="669"/>
      <c r="F168" s="669"/>
      <c r="G168" s="669"/>
      <c r="H168" s="669"/>
      <c r="I168" s="669"/>
      <c r="J168" s="669"/>
      <c r="K168" s="669"/>
      <c r="L168" s="669"/>
      <c r="M168" s="669"/>
      <c r="N168" s="669"/>
      <c r="O168" s="669"/>
      <c r="P168" s="669"/>
      <c r="Q168" s="669"/>
      <c r="R168" s="669"/>
      <c r="S168" s="669"/>
      <c r="T168" s="669"/>
      <c r="U168" s="669"/>
      <c r="V168" s="669"/>
      <c r="W168" s="669"/>
      <c r="X168" s="669"/>
      <c r="Y168" s="9"/>
      <c r="Z168" s="2620"/>
      <c r="AA168" s="2621"/>
      <c r="AB168" s="2621"/>
      <c r="AC168" s="2621"/>
      <c r="AD168" s="2621"/>
      <c r="AE168" s="2621"/>
      <c r="AF168" s="2621"/>
      <c r="AG168" s="2621"/>
      <c r="AH168" s="2621"/>
      <c r="AI168" s="2621"/>
      <c r="AJ168" s="2621"/>
      <c r="AK168" s="2621"/>
      <c r="AL168" s="2621"/>
      <c r="AM168" s="2621"/>
      <c r="AN168" s="2621"/>
      <c r="AO168" s="2621"/>
      <c r="AP168" s="2621"/>
      <c r="AQ168" s="2621"/>
      <c r="AR168" s="2621"/>
      <c r="AS168" s="2621"/>
      <c r="AT168" s="2621"/>
      <c r="AU168" s="2622"/>
      <c r="AW168" s="381"/>
      <c r="AX168" s="381"/>
    </row>
    <row r="169" spans="1:50" ht="15.75" customHeight="1">
      <c r="A169" s="8"/>
      <c r="B169" s="669"/>
      <c r="C169" s="669"/>
      <c r="D169" s="669"/>
      <c r="E169" s="669"/>
      <c r="F169" s="669"/>
      <c r="G169" s="669"/>
      <c r="H169" s="669"/>
      <c r="I169" s="669"/>
      <c r="J169" s="669"/>
      <c r="K169" s="669"/>
      <c r="L169" s="669"/>
      <c r="M169" s="669"/>
      <c r="N169" s="669"/>
      <c r="O169" s="669"/>
      <c r="P169" s="669"/>
      <c r="Q169" s="669"/>
      <c r="R169" s="669"/>
      <c r="S169" s="669"/>
      <c r="T169" s="669"/>
      <c r="U169" s="669"/>
      <c r="V169" s="669"/>
      <c r="W169" s="669"/>
      <c r="X169" s="669"/>
      <c r="Y169" s="9"/>
      <c r="Z169" s="2620"/>
      <c r="AA169" s="2621"/>
      <c r="AB169" s="2621"/>
      <c r="AC169" s="2621"/>
      <c r="AD169" s="2621"/>
      <c r="AE169" s="2621"/>
      <c r="AF169" s="2621"/>
      <c r="AG169" s="2621"/>
      <c r="AH169" s="2621"/>
      <c r="AI169" s="2621"/>
      <c r="AJ169" s="2621"/>
      <c r="AK169" s="2621"/>
      <c r="AL169" s="2621"/>
      <c r="AM169" s="2621"/>
      <c r="AN169" s="2621"/>
      <c r="AO169" s="2621"/>
      <c r="AP169" s="2621"/>
      <c r="AQ169" s="2621"/>
      <c r="AR169" s="2621"/>
      <c r="AS169" s="2621"/>
      <c r="AT169" s="2621"/>
      <c r="AU169" s="2622"/>
      <c r="AW169" s="381"/>
      <c r="AX169" s="381"/>
    </row>
    <row r="170" spans="1:50" ht="15.75" customHeight="1">
      <c r="A170" s="8"/>
      <c r="B170" s="669"/>
      <c r="C170" s="669"/>
      <c r="D170" s="669"/>
      <c r="E170" s="669"/>
      <c r="F170" s="669"/>
      <c r="G170" s="669"/>
      <c r="H170" s="669"/>
      <c r="I170" s="669"/>
      <c r="J170" s="669"/>
      <c r="K170" s="669"/>
      <c r="L170" s="669"/>
      <c r="M170" s="669"/>
      <c r="N170" s="669"/>
      <c r="O170" s="669"/>
      <c r="P170" s="669"/>
      <c r="Q170" s="669"/>
      <c r="R170" s="669"/>
      <c r="S170" s="669"/>
      <c r="T170" s="669"/>
      <c r="U170" s="669"/>
      <c r="V170" s="669"/>
      <c r="W170" s="669"/>
      <c r="X170" s="669"/>
      <c r="Y170" s="9"/>
      <c r="Z170" s="2620"/>
      <c r="AA170" s="2621"/>
      <c r="AB170" s="2621"/>
      <c r="AC170" s="2621"/>
      <c r="AD170" s="2621"/>
      <c r="AE170" s="2621"/>
      <c r="AF170" s="2621"/>
      <c r="AG170" s="2621"/>
      <c r="AH170" s="2621"/>
      <c r="AI170" s="2621"/>
      <c r="AJ170" s="2621"/>
      <c r="AK170" s="2621"/>
      <c r="AL170" s="2621"/>
      <c r="AM170" s="2621"/>
      <c r="AN170" s="2621"/>
      <c r="AO170" s="2621"/>
      <c r="AP170" s="2621"/>
      <c r="AQ170" s="2621"/>
      <c r="AR170" s="2621"/>
      <c r="AS170" s="2621"/>
      <c r="AT170" s="2621"/>
      <c r="AU170" s="2622"/>
      <c r="AW170" s="381"/>
      <c r="AX170" s="381"/>
    </row>
    <row r="171" spans="1:50" ht="15.75" customHeight="1">
      <c r="A171" s="8"/>
      <c r="B171" s="669"/>
      <c r="C171" s="669"/>
      <c r="D171" s="669"/>
      <c r="E171" s="669"/>
      <c r="F171" s="669"/>
      <c r="G171" s="669"/>
      <c r="H171" s="669"/>
      <c r="I171" s="669"/>
      <c r="J171" s="669"/>
      <c r="K171" s="669"/>
      <c r="L171" s="669"/>
      <c r="M171" s="669"/>
      <c r="N171" s="669"/>
      <c r="O171" s="669"/>
      <c r="P171" s="669"/>
      <c r="Q171" s="669"/>
      <c r="R171" s="669"/>
      <c r="S171" s="669"/>
      <c r="T171" s="669"/>
      <c r="U171" s="669"/>
      <c r="V171" s="669"/>
      <c r="W171" s="669"/>
      <c r="X171" s="669"/>
      <c r="Y171" s="9"/>
      <c r="Z171" s="2620"/>
      <c r="AA171" s="2621"/>
      <c r="AB171" s="2621"/>
      <c r="AC171" s="2621"/>
      <c r="AD171" s="2621"/>
      <c r="AE171" s="2621"/>
      <c r="AF171" s="2621"/>
      <c r="AG171" s="2621"/>
      <c r="AH171" s="2621"/>
      <c r="AI171" s="2621"/>
      <c r="AJ171" s="2621"/>
      <c r="AK171" s="2621"/>
      <c r="AL171" s="2621"/>
      <c r="AM171" s="2621"/>
      <c r="AN171" s="2621"/>
      <c r="AO171" s="2621"/>
      <c r="AP171" s="2621"/>
      <c r="AQ171" s="2621"/>
      <c r="AR171" s="2621"/>
      <c r="AS171" s="2621"/>
      <c r="AT171" s="2621"/>
      <c r="AU171" s="2622"/>
      <c r="AW171" s="381"/>
      <c r="AX171" s="381"/>
    </row>
    <row r="172" spans="1:50" ht="15.75" customHeight="1">
      <c r="A172" s="8"/>
      <c r="B172" s="669"/>
      <c r="C172" s="669"/>
      <c r="D172" s="669"/>
      <c r="E172" s="669"/>
      <c r="F172" s="669"/>
      <c r="G172" s="669"/>
      <c r="H172" s="669"/>
      <c r="I172" s="669"/>
      <c r="J172" s="669"/>
      <c r="K172" s="669"/>
      <c r="L172" s="669"/>
      <c r="M172" s="669"/>
      <c r="N172" s="669"/>
      <c r="O172" s="669"/>
      <c r="P172" s="669"/>
      <c r="Q172" s="669"/>
      <c r="R172" s="669"/>
      <c r="S172" s="669"/>
      <c r="T172" s="669"/>
      <c r="U172" s="669"/>
      <c r="V172" s="669"/>
      <c r="W172" s="669"/>
      <c r="X172" s="669"/>
      <c r="Y172" s="9"/>
      <c r="Z172" s="2620"/>
      <c r="AA172" s="2621"/>
      <c r="AB172" s="2621"/>
      <c r="AC172" s="2621"/>
      <c r="AD172" s="2621"/>
      <c r="AE172" s="2621"/>
      <c r="AF172" s="2621"/>
      <c r="AG172" s="2621"/>
      <c r="AH172" s="2621"/>
      <c r="AI172" s="2621"/>
      <c r="AJ172" s="2621"/>
      <c r="AK172" s="2621"/>
      <c r="AL172" s="2621"/>
      <c r="AM172" s="2621"/>
      <c r="AN172" s="2621"/>
      <c r="AO172" s="2621"/>
      <c r="AP172" s="2621"/>
      <c r="AQ172" s="2621"/>
      <c r="AR172" s="2621"/>
      <c r="AS172" s="2621"/>
      <c r="AT172" s="2621"/>
      <c r="AU172" s="2622"/>
      <c r="AW172" s="381"/>
      <c r="AX172" s="381"/>
    </row>
    <row r="173" spans="1:50" ht="15.75" customHeight="1">
      <c r="A173" s="12"/>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1"/>
      <c r="Z173" s="2623"/>
      <c r="AA173" s="2624"/>
      <c r="AB173" s="2624"/>
      <c r="AC173" s="2624"/>
      <c r="AD173" s="2624"/>
      <c r="AE173" s="2624"/>
      <c r="AF173" s="2624"/>
      <c r="AG173" s="2624"/>
      <c r="AH173" s="2624"/>
      <c r="AI173" s="2624"/>
      <c r="AJ173" s="2624"/>
      <c r="AK173" s="2624"/>
      <c r="AL173" s="2624"/>
      <c r="AM173" s="2624"/>
      <c r="AN173" s="2624"/>
      <c r="AO173" s="2624"/>
      <c r="AP173" s="2624"/>
      <c r="AQ173" s="2624"/>
      <c r="AR173" s="2624"/>
      <c r="AS173" s="2624"/>
      <c r="AT173" s="2624"/>
      <c r="AU173" s="2625"/>
      <c r="AW173" s="381"/>
      <c r="AX173" s="381"/>
    </row>
    <row r="174" spans="1:50" ht="12.75" customHeight="1">
      <c r="AW174" s="381"/>
      <c r="AX174" s="381"/>
    </row>
    <row r="175" spans="1:50" ht="12.75" customHeight="1">
      <c r="A175" s="2643" t="s">
        <v>157</v>
      </c>
      <c r="B175" s="2643"/>
      <c r="C175" s="2643"/>
      <c r="D175" s="2643"/>
      <c r="AU175" s="618"/>
      <c r="AW175" s="381"/>
      <c r="AX175" s="381"/>
    </row>
    <row r="176" spans="1:50" ht="12.75" customHeight="1">
      <c r="B176" s="619" t="s">
        <v>158</v>
      </c>
      <c r="C176" s="2609" t="s">
        <v>176</v>
      </c>
      <c r="D176" s="2628"/>
      <c r="E176" s="2628"/>
      <c r="F176" s="2628"/>
      <c r="G176" s="2628"/>
      <c r="H176" s="2628"/>
      <c r="I176" s="2628"/>
      <c r="J176" s="2628"/>
      <c r="K176" s="2628"/>
      <c r="L176" s="2628"/>
      <c r="M176" s="2628"/>
      <c r="N176" s="2628"/>
      <c r="O176" s="2628"/>
      <c r="P176" s="2628"/>
      <c r="Q176" s="2628"/>
      <c r="R176" s="2628"/>
      <c r="S176" s="2628"/>
      <c r="T176" s="2628"/>
      <c r="U176" s="2628"/>
      <c r="V176" s="2628"/>
      <c r="W176" s="2628"/>
      <c r="X176" s="2628"/>
      <c r="Y176" s="2628"/>
      <c r="Z176" s="2628"/>
      <c r="AA176" s="2628"/>
      <c r="AB176" s="2628"/>
      <c r="AC176" s="2628"/>
      <c r="AD176" s="2628"/>
      <c r="AE176" s="2628"/>
      <c r="AF176" s="2628"/>
      <c r="AG176" s="2628"/>
      <c r="AH176" s="2628"/>
      <c r="AI176" s="2628"/>
      <c r="AJ176" s="2628"/>
      <c r="AK176" s="2628"/>
      <c r="AL176" s="2628"/>
      <c r="AM176" s="2628"/>
      <c r="AN176" s="2628"/>
      <c r="AO176" s="2628"/>
      <c r="AP176" s="2628"/>
      <c r="AQ176" s="2628"/>
      <c r="AR176" s="2628"/>
      <c r="AS176" s="2628"/>
      <c r="AT176" s="2628"/>
      <c r="AU176" s="618"/>
      <c r="AW176" s="381"/>
      <c r="AX176" s="381"/>
    </row>
    <row r="177" spans="1:53" ht="12.75" customHeight="1">
      <c r="B177" s="619"/>
      <c r="C177" s="2610" t="s">
        <v>177</v>
      </c>
      <c r="D177" s="2610"/>
      <c r="E177" s="2610"/>
      <c r="F177" s="2610"/>
      <c r="G177" s="2610"/>
      <c r="H177" s="2610"/>
      <c r="I177" s="2610"/>
      <c r="J177" s="2610"/>
      <c r="K177" s="2610"/>
      <c r="L177" s="2610"/>
      <c r="M177" s="2610"/>
      <c r="N177" s="2610"/>
      <c r="O177" s="2610"/>
      <c r="P177" s="2610"/>
      <c r="Q177" s="2610"/>
      <c r="R177" s="2610"/>
      <c r="S177" s="2610"/>
      <c r="T177" s="2610"/>
      <c r="U177" s="2610"/>
      <c r="V177" s="2610"/>
      <c r="W177" s="2610"/>
      <c r="X177" s="2610"/>
      <c r="Y177" s="2610"/>
      <c r="Z177" s="2610"/>
      <c r="AA177" s="2610"/>
      <c r="AB177" s="2610"/>
      <c r="AC177" s="2610"/>
      <c r="AD177" s="2610"/>
      <c r="AE177" s="2610"/>
      <c r="AF177" s="2610"/>
      <c r="AG177" s="2610"/>
      <c r="AH177" s="2610"/>
      <c r="AI177" s="2610"/>
      <c r="AJ177" s="2610"/>
      <c r="AK177" s="2610"/>
      <c r="AL177" s="2610"/>
      <c r="AM177" s="2610"/>
      <c r="AN177" s="2610"/>
      <c r="AO177" s="2610"/>
      <c r="AP177" s="2610"/>
      <c r="AQ177" s="2610"/>
      <c r="AR177" s="2610"/>
      <c r="AS177" s="2610"/>
      <c r="AT177" s="2610"/>
      <c r="AU177" s="618"/>
      <c r="AW177" s="381"/>
      <c r="AX177" s="381"/>
    </row>
    <row r="178" spans="1:53" ht="12.75" customHeight="1">
      <c r="B178" s="619"/>
      <c r="C178" s="2610" t="s">
        <v>178</v>
      </c>
      <c r="D178" s="2610"/>
      <c r="E178" s="2610"/>
      <c r="F178" s="2610"/>
      <c r="G178" s="2610"/>
      <c r="H178" s="2610"/>
      <c r="I178" s="2610"/>
      <c r="J178" s="2610"/>
      <c r="K178" s="2610"/>
      <c r="L178" s="2610"/>
      <c r="M178" s="2610"/>
      <c r="N178" s="2610"/>
      <c r="O178" s="2610"/>
      <c r="P178" s="2610"/>
      <c r="Q178" s="2610"/>
      <c r="R178" s="2610"/>
      <c r="S178" s="2610"/>
      <c r="T178" s="2610"/>
      <c r="U178" s="2610"/>
      <c r="V178" s="2610"/>
      <c r="W178" s="2610"/>
      <c r="X178" s="2610"/>
      <c r="Y178" s="2610"/>
      <c r="Z178" s="2610"/>
      <c r="AA178" s="2610"/>
      <c r="AB178" s="2610"/>
      <c r="AC178" s="2610"/>
      <c r="AD178" s="2610"/>
      <c r="AE178" s="2610"/>
      <c r="AF178" s="2610"/>
      <c r="AG178" s="2610"/>
      <c r="AH178" s="2610"/>
      <c r="AI178" s="2610"/>
      <c r="AJ178" s="2610"/>
      <c r="AK178" s="2610"/>
      <c r="AL178" s="2610"/>
      <c r="AM178" s="2610"/>
      <c r="AN178" s="2610"/>
      <c r="AO178" s="2610"/>
      <c r="AP178" s="2610"/>
      <c r="AQ178" s="2610"/>
      <c r="AR178" s="2610"/>
      <c r="AS178" s="2610"/>
      <c r="AT178" s="2610"/>
      <c r="AU178" s="618"/>
      <c r="AW178" s="381"/>
      <c r="AX178" s="381"/>
    </row>
    <row r="179" spans="1:53" ht="12.75" customHeight="1">
      <c r="B179" s="619" t="s">
        <v>165</v>
      </c>
      <c r="C179" s="2610" t="s">
        <v>166</v>
      </c>
      <c r="D179" s="2610"/>
      <c r="E179" s="2610"/>
      <c r="F179" s="2610"/>
      <c r="G179" s="2610"/>
      <c r="H179" s="2610"/>
      <c r="I179" s="2610"/>
      <c r="J179" s="2610"/>
      <c r="K179" s="2610"/>
      <c r="L179" s="2610"/>
      <c r="M179" s="2610"/>
      <c r="N179" s="2610"/>
      <c r="O179" s="2610"/>
      <c r="P179" s="2610"/>
      <c r="Q179" s="2610"/>
      <c r="R179" s="2610"/>
      <c r="S179" s="2610"/>
      <c r="T179" s="2610"/>
      <c r="U179" s="2610"/>
      <c r="V179" s="2610"/>
      <c r="W179" s="2610"/>
      <c r="X179" s="2610"/>
      <c r="Y179" s="2610"/>
      <c r="Z179" s="2610"/>
      <c r="AA179" s="2610"/>
      <c r="AB179" s="2610"/>
      <c r="AC179" s="2610"/>
      <c r="AD179" s="2610"/>
      <c r="AE179" s="2610"/>
      <c r="AF179" s="2610"/>
      <c r="AG179" s="2610"/>
      <c r="AH179" s="2610"/>
      <c r="AI179" s="2610"/>
      <c r="AJ179" s="2610"/>
      <c r="AK179" s="2610"/>
      <c r="AL179" s="2610"/>
      <c r="AM179" s="2610"/>
      <c r="AN179" s="2610"/>
      <c r="AO179" s="2610"/>
      <c r="AP179" s="2610"/>
      <c r="AQ179" s="2610"/>
      <c r="AR179" s="2610"/>
      <c r="AS179" s="2610"/>
      <c r="AT179" s="2610"/>
      <c r="AU179" s="618"/>
      <c r="AW179" s="381"/>
      <c r="AX179" s="381"/>
    </row>
    <row r="180" spans="1:53" ht="12.75" customHeight="1">
      <c r="B180" s="619" t="s">
        <v>159</v>
      </c>
      <c r="C180" s="2610" t="s">
        <v>0</v>
      </c>
      <c r="D180" s="2610"/>
      <c r="E180" s="2610"/>
      <c r="F180" s="2610"/>
      <c r="G180" s="2610"/>
      <c r="H180" s="2610"/>
      <c r="I180" s="2610"/>
      <c r="J180" s="2610"/>
      <c r="K180" s="2610"/>
      <c r="L180" s="2610"/>
      <c r="M180" s="2610"/>
      <c r="N180" s="2610"/>
      <c r="O180" s="2610"/>
      <c r="P180" s="2610"/>
      <c r="Q180" s="2610"/>
      <c r="R180" s="2610"/>
      <c r="S180" s="2610"/>
      <c r="T180" s="2610"/>
      <c r="U180" s="2610"/>
      <c r="V180" s="2610"/>
      <c r="W180" s="2610"/>
      <c r="X180" s="2610"/>
      <c r="Y180" s="2610"/>
      <c r="Z180" s="2610"/>
      <c r="AA180" s="2610"/>
      <c r="AB180" s="2610"/>
      <c r="AC180" s="2610"/>
      <c r="AD180" s="2610"/>
      <c r="AE180" s="2610"/>
      <c r="AF180" s="2610"/>
      <c r="AG180" s="2610"/>
      <c r="AH180" s="2610"/>
      <c r="AI180" s="2610"/>
      <c r="AJ180" s="2610"/>
      <c r="AK180" s="2610"/>
      <c r="AL180" s="2610"/>
      <c r="AM180" s="2610"/>
      <c r="AN180" s="2610"/>
      <c r="AO180" s="2610"/>
      <c r="AP180" s="2610"/>
      <c r="AQ180" s="2610"/>
      <c r="AR180" s="2610"/>
      <c r="AS180" s="2610"/>
      <c r="AT180" s="2610"/>
      <c r="AW180" s="381"/>
      <c r="AX180" s="381"/>
    </row>
    <row r="181" spans="1:53" ht="12.75" customHeight="1">
      <c r="B181" s="619" t="s">
        <v>167</v>
      </c>
      <c r="C181" s="2610" t="s">
        <v>179</v>
      </c>
      <c r="D181" s="2610"/>
      <c r="E181" s="2610"/>
      <c r="F181" s="2610"/>
      <c r="G181" s="2610"/>
      <c r="H181" s="2610"/>
      <c r="I181" s="2610"/>
      <c r="J181" s="2610"/>
      <c r="K181" s="2610"/>
      <c r="L181" s="2610"/>
      <c r="M181" s="2610"/>
      <c r="N181" s="2610"/>
      <c r="O181" s="2610"/>
      <c r="P181" s="2610"/>
      <c r="Q181" s="2610"/>
      <c r="R181" s="2610"/>
      <c r="S181" s="2610"/>
      <c r="T181" s="2610"/>
      <c r="U181" s="2610"/>
      <c r="V181" s="2610"/>
      <c r="W181" s="2610"/>
      <c r="X181" s="2610"/>
      <c r="Y181" s="2610"/>
      <c r="Z181" s="2610"/>
      <c r="AA181" s="2610"/>
      <c r="AB181" s="2610"/>
      <c r="AC181" s="2610"/>
      <c r="AD181" s="2610"/>
      <c r="AE181" s="2610"/>
      <c r="AF181" s="2610"/>
      <c r="AG181" s="2610"/>
      <c r="AH181" s="2610"/>
      <c r="AI181" s="2610"/>
      <c r="AJ181" s="2610"/>
      <c r="AK181" s="2610"/>
      <c r="AL181" s="2610"/>
      <c r="AM181" s="2610"/>
      <c r="AN181" s="2610"/>
      <c r="AO181" s="2610"/>
      <c r="AP181" s="2610"/>
      <c r="AQ181" s="2610"/>
      <c r="AR181" s="2610"/>
      <c r="AS181" s="2610"/>
      <c r="AT181" s="2610"/>
      <c r="AU181" s="618"/>
      <c r="AW181" s="381"/>
      <c r="AX181" s="381"/>
    </row>
    <row r="182" spans="1:53" ht="12.75" customHeight="1">
      <c r="C182" s="2610" t="s">
        <v>180</v>
      </c>
      <c r="D182" s="2610"/>
      <c r="E182" s="2610"/>
      <c r="F182" s="2610"/>
      <c r="G182" s="2610"/>
      <c r="H182" s="2610"/>
      <c r="I182" s="2610"/>
      <c r="J182" s="2610"/>
      <c r="K182" s="2610"/>
      <c r="L182" s="2610"/>
      <c r="M182" s="2610"/>
      <c r="N182" s="2610"/>
      <c r="O182" s="2610"/>
      <c r="P182" s="2610"/>
      <c r="Q182" s="2610"/>
      <c r="R182" s="2610"/>
      <c r="S182" s="2610"/>
      <c r="T182" s="2610"/>
      <c r="U182" s="2610"/>
      <c r="V182" s="2610"/>
      <c r="W182" s="2610"/>
      <c r="X182" s="2610"/>
      <c r="Y182" s="2610"/>
      <c r="Z182" s="2610"/>
      <c r="AA182" s="2610"/>
      <c r="AB182" s="2610"/>
      <c r="AC182" s="2610"/>
      <c r="AD182" s="2610"/>
      <c r="AE182" s="2610"/>
      <c r="AF182" s="2610"/>
      <c r="AG182" s="2610"/>
      <c r="AH182" s="2610"/>
      <c r="AI182" s="2610"/>
      <c r="AJ182" s="2610"/>
      <c r="AK182" s="2610"/>
      <c r="AL182" s="2610"/>
      <c r="AM182" s="2610"/>
      <c r="AN182" s="2610"/>
      <c r="AO182" s="2610"/>
      <c r="AP182" s="2610"/>
      <c r="AQ182" s="2610"/>
      <c r="AR182" s="2610"/>
      <c r="AS182" s="2610"/>
      <c r="AT182" s="2610"/>
      <c r="AU182" s="618"/>
      <c r="AW182" s="381"/>
      <c r="AX182" s="381"/>
    </row>
    <row r="183" spans="1:53" ht="12.75" customHeight="1">
      <c r="B183" s="619" t="s">
        <v>1</v>
      </c>
      <c r="C183" s="2610" t="s">
        <v>2</v>
      </c>
      <c r="D183" s="2610"/>
      <c r="E183" s="2610"/>
      <c r="F183" s="2610"/>
      <c r="G183" s="2610"/>
      <c r="H183" s="2610"/>
      <c r="I183" s="2610"/>
      <c r="J183" s="2610"/>
      <c r="K183" s="2610"/>
      <c r="L183" s="2610"/>
      <c r="M183" s="2610"/>
      <c r="N183" s="2610"/>
      <c r="O183" s="2610"/>
      <c r="P183" s="2610"/>
      <c r="Q183" s="2610"/>
      <c r="R183" s="2610"/>
      <c r="S183" s="2610"/>
      <c r="T183" s="2610"/>
      <c r="U183" s="2610"/>
      <c r="V183" s="2610"/>
      <c r="W183" s="2610"/>
      <c r="X183" s="2610"/>
      <c r="Y183" s="2610"/>
      <c r="Z183" s="2610"/>
      <c r="AA183" s="2610"/>
      <c r="AB183" s="2610"/>
      <c r="AC183" s="2610"/>
      <c r="AD183" s="2610"/>
      <c r="AE183" s="2610"/>
      <c r="AF183" s="2610"/>
      <c r="AG183" s="2610"/>
      <c r="AH183" s="2610"/>
      <c r="AI183" s="2610"/>
      <c r="AJ183" s="2610"/>
      <c r="AK183" s="2610"/>
      <c r="AL183" s="2610"/>
      <c r="AM183" s="2610"/>
      <c r="AN183" s="2610"/>
      <c r="AO183" s="2610"/>
      <c r="AP183" s="2610"/>
      <c r="AQ183" s="2610"/>
      <c r="AR183" s="2610"/>
      <c r="AS183" s="2610"/>
      <c r="AT183" s="2610"/>
      <c r="AU183" s="618"/>
      <c r="AW183" s="381"/>
      <c r="AX183" s="381"/>
    </row>
    <row r="184" spans="1:53" ht="12.75" customHeight="1">
      <c r="AG184" s="618"/>
      <c r="AH184" s="618"/>
      <c r="AI184" s="618"/>
      <c r="AJ184" s="618"/>
      <c r="AK184" s="618"/>
      <c r="AL184" s="618"/>
      <c r="AM184" s="618"/>
      <c r="AN184" s="618"/>
      <c r="AO184" s="618"/>
      <c r="AP184" s="618"/>
      <c r="AQ184" s="618"/>
      <c r="AR184" s="618"/>
      <c r="AS184" s="618"/>
      <c r="AT184" s="618"/>
      <c r="AW184" s="381"/>
      <c r="AX184" s="381"/>
    </row>
    <row r="185" spans="1:53" ht="12.75" customHeight="1">
      <c r="AW185" s="381"/>
      <c r="AX185" s="381"/>
    </row>
    <row r="186" spans="1:53" ht="12.75" customHeight="1">
      <c r="A186" s="617" t="s">
        <v>18</v>
      </c>
      <c r="B186" s="617" t="s">
        <v>160</v>
      </c>
      <c r="C186" s="617">
        <v>2</v>
      </c>
      <c r="D186" s="617" t="s">
        <v>5</v>
      </c>
      <c r="E186" s="617" t="s">
        <v>6</v>
      </c>
      <c r="F186" s="617"/>
      <c r="G186" s="617" t="s">
        <v>25</v>
      </c>
      <c r="H186" s="617" t="s">
        <v>182</v>
      </c>
      <c r="I186" s="617">
        <v>4</v>
      </c>
      <c r="J186" s="617" t="s">
        <v>22</v>
      </c>
      <c r="AO186" s="758" t="str">
        <f>$AO$7</f>
        <v>Kyoto City(R4.11) ver112</v>
      </c>
      <c r="AP186" s="705" t="str">
        <f>IF('1_入力シート【基本情報】'!$AB$7="","",'1_入力シート【基本情報】'!$AB$7)</f>
        <v/>
      </c>
      <c r="AQ186" s="703" t="str">
        <f>IF('1_入力シート【基本情報】'!$AK$7="","",'1_入力シート【基本情報】'!$AK$7)</f>
        <v/>
      </c>
      <c r="AR186" s="2606" t="str">
        <f>IF('1_入力シート【基本情報】'!$AT$7="","",TEXT('1_入力シート【基本情報】'!$AT$7,"0000"))</f>
        <v/>
      </c>
      <c r="AS186" s="2607"/>
      <c r="AT186" s="2607"/>
      <c r="AU186" s="2608"/>
      <c r="AW186" s="381"/>
      <c r="AX186" s="381"/>
    </row>
    <row r="187" spans="1:53" ht="12.75" customHeight="1">
      <c r="U187" s="2665" t="s">
        <v>181</v>
      </c>
      <c r="V187" s="2665"/>
      <c r="W187" s="2665"/>
      <c r="X187" s="2665"/>
      <c r="Y187" s="2665"/>
      <c r="Z187" s="2665"/>
      <c r="AW187" s="381"/>
      <c r="AX187" s="381"/>
    </row>
    <row r="188" spans="1:53" ht="12.75" customHeight="1">
      <c r="AW188" s="381"/>
      <c r="AX188" s="381"/>
    </row>
    <row r="189" spans="1:53" ht="15.75" customHeight="1">
      <c r="A189" s="2634" t="s">
        <v>161</v>
      </c>
      <c r="B189" s="2635"/>
      <c r="C189" s="2636"/>
      <c r="D189" s="2653" t="s">
        <v>162</v>
      </c>
      <c r="E189" s="2654"/>
      <c r="F189" s="2654"/>
      <c r="G189" s="2654"/>
      <c r="H189" s="2654"/>
      <c r="I189" s="2654"/>
      <c r="J189" s="2655"/>
      <c r="K189" s="621"/>
      <c r="L189" s="622"/>
      <c r="M189" s="622"/>
      <c r="N189" s="622"/>
      <c r="O189" s="622"/>
      <c r="P189" s="622"/>
      <c r="Q189" s="622"/>
      <c r="R189" s="622"/>
      <c r="S189" s="623" t="s">
        <v>7</v>
      </c>
      <c r="T189" s="623" t="s">
        <v>8</v>
      </c>
      <c r="U189" s="623" t="s">
        <v>9</v>
      </c>
      <c r="V189" s="623" t="s">
        <v>163</v>
      </c>
      <c r="W189" s="623"/>
      <c r="X189" s="623"/>
      <c r="Y189" s="623"/>
      <c r="Z189" s="623"/>
      <c r="AA189" s="623"/>
      <c r="AB189" s="623"/>
      <c r="AC189" s="623"/>
      <c r="AD189" s="623"/>
      <c r="AE189" s="623"/>
      <c r="AF189" s="623"/>
      <c r="AG189" s="623"/>
      <c r="AH189" s="623"/>
      <c r="AI189" s="624"/>
      <c r="AJ189" s="625"/>
      <c r="AK189" s="2654" t="s">
        <v>33</v>
      </c>
      <c r="AL189" s="2654"/>
      <c r="AM189" s="2654"/>
      <c r="AN189" s="2654"/>
      <c r="AO189" s="2654"/>
      <c r="AP189" s="2654"/>
      <c r="AQ189" s="2654"/>
      <c r="AR189" s="2654"/>
      <c r="AS189" s="2654"/>
      <c r="AT189" s="2654"/>
      <c r="AU189" s="626"/>
      <c r="AW189" s="381"/>
      <c r="AX189" s="381"/>
    </row>
    <row r="190" spans="1:53" ht="15.75" customHeight="1" thickBot="1">
      <c r="A190" s="2647"/>
      <c r="B190" s="2648"/>
      <c r="C190" s="2649"/>
      <c r="D190" s="2634" t="str">
        <f>IFERROR(VLOOKUP(7,'1_入力シート【基本情報】'!$DU$307:$DX$526,3,FALSE),"")</f>
        <v/>
      </c>
      <c r="E190" s="2635"/>
      <c r="F190" s="2635"/>
      <c r="G190" s="2635"/>
      <c r="H190" s="2635"/>
      <c r="I190" s="2635"/>
      <c r="J190" s="2636"/>
      <c r="K190" s="2611" t="str">
        <f>IFERROR(VLOOKUP(7,'1_入力シート【基本情報】'!$DU$307:$DX$526,4,FALSE),"")</f>
        <v/>
      </c>
      <c r="L190" s="2612"/>
      <c r="M190" s="2612"/>
      <c r="N190" s="2612"/>
      <c r="O190" s="2612"/>
      <c r="P190" s="2612"/>
      <c r="Q190" s="2612"/>
      <c r="R190" s="2612"/>
      <c r="S190" s="2612"/>
      <c r="T190" s="2612"/>
      <c r="U190" s="2612"/>
      <c r="V190" s="2612"/>
      <c r="W190" s="2612"/>
      <c r="X190" s="2612"/>
      <c r="Y190" s="2612"/>
      <c r="Z190" s="2612"/>
      <c r="AA190" s="2612"/>
      <c r="AB190" s="2612"/>
      <c r="AC190" s="2612"/>
      <c r="AD190" s="2612"/>
      <c r="AE190" s="2612"/>
      <c r="AF190" s="2612"/>
      <c r="AG190" s="2612"/>
      <c r="AH190" s="2612"/>
      <c r="AI190" s="2613"/>
      <c r="AJ190" s="665"/>
      <c r="AK190" s="665"/>
      <c r="AL190" s="665"/>
      <c r="AM190" s="665"/>
      <c r="AN190" s="665"/>
      <c r="AO190" s="665"/>
      <c r="AP190" s="665"/>
      <c r="AQ190" s="665"/>
      <c r="AR190" s="665"/>
      <c r="AS190" s="665"/>
      <c r="AT190" s="665"/>
      <c r="AU190" s="666"/>
      <c r="AW190" s="381"/>
      <c r="AX190" s="381"/>
    </row>
    <row r="191" spans="1:53" ht="15.75" customHeight="1" thickBot="1">
      <c r="A191" s="2647"/>
      <c r="B191" s="2648"/>
      <c r="C191" s="2649"/>
      <c r="D191" s="2637"/>
      <c r="E191" s="2638"/>
      <c r="F191" s="2638"/>
      <c r="G191" s="2638"/>
      <c r="H191" s="2638"/>
      <c r="I191" s="2638"/>
      <c r="J191" s="2639"/>
      <c r="K191" s="2614"/>
      <c r="L191" s="2615"/>
      <c r="M191" s="2615"/>
      <c r="N191" s="2615"/>
      <c r="O191" s="2615"/>
      <c r="P191" s="2615"/>
      <c r="Q191" s="2615"/>
      <c r="R191" s="2615"/>
      <c r="S191" s="2615"/>
      <c r="T191" s="2615"/>
      <c r="U191" s="2615"/>
      <c r="V191" s="2615"/>
      <c r="W191" s="2615"/>
      <c r="X191" s="2615"/>
      <c r="Y191" s="2615"/>
      <c r="Z191" s="2615"/>
      <c r="AA191" s="2615"/>
      <c r="AB191" s="2615"/>
      <c r="AC191" s="2615"/>
      <c r="AD191" s="2615"/>
      <c r="AE191" s="2615"/>
      <c r="AF191" s="2615"/>
      <c r="AG191" s="2615"/>
      <c r="AH191" s="2615"/>
      <c r="AI191" s="2616"/>
      <c r="AJ191" s="665"/>
      <c r="AK191" s="665" t="str">
        <f>IF(D190&lt;&gt;"","☑","☐")</f>
        <v>☐</v>
      </c>
      <c r="AL191" s="665" t="s">
        <v>14</v>
      </c>
      <c r="AM191" s="665" t="s">
        <v>21</v>
      </c>
      <c r="AN191" s="665" t="s">
        <v>15</v>
      </c>
      <c r="AO191" s="665"/>
      <c r="AP191" s="783" t="s">
        <v>186</v>
      </c>
      <c r="AQ191" s="665" t="s">
        <v>27</v>
      </c>
      <c r="AR191" s="665" t="s">
        <v>23</v>
      </c>
      <c r="AS191" s="665" t="s">
        <v>13</v>
      </c>
      <c r="AT191" s="665"/>
      <c r="AU191" s="666"/>
      <c r="AV191" s="627"/>
      <c r="AW191" s="381"/>
      <c r="AX191" s="381"/>
      <c r="BA191" s="802" t="b">
        <f>AP191="☑"</f>
        <v>0</v>
      </c>
    </row>
    <row r="192" spans="1:53" ht="15.75" customHeight="1">
      <c r="A192" s="2650"/>
      <c r="B192" s="2651"/>
      <c r="C192" s="2652"/>
      <c r="D192" s="2640"/>
      <c r="E192" s="2641"/>
      <c r="F192" s="2641"/>
      <c r="G192" s="2641"/>
      <c r="H192" s="2641"/>
      <c r="I192" s="2641"/>
      <c r="J192" s="2642"/>
      <c r="K192" s="2644"/>
      <c r="L192" s="2645"/>
      <c r="M192" s="2645"/>
      <c r="N192" s="2645"/>
      <c r="O192" s="2645"/>
      <c r="P192" s="2645"/>
      <c r="Q192" s="2645"/>
      <c r="R192" s="2645"/>
      <c r="S192" s="2645"/>
      <c r="T192" s="2645"/>
      <c r="U192" s="2645"/>
      <c r="V192" s="2645"/>
      <c r="W192" s="2645"/>
      <c r="X192" s="2645"/>
      <c r="Y192" s="2645"/>
      <c r="Z192" s="2645"/>
      <c r="AA192" s="2645"/>
      <c r="AB192" s="2645"/>
      <c r="AC192" s="2645"/>
      <c r="AD192" s="2645"/>
      <c r="AE192" s="2645"/>
      <c r="AF192" s="2645"/>
      <c r="AG192" s="2645"/>
      <c r="AH192" s="2645"/>
      <c r="AI192" s="2646"/>
      <c r="AJ192" s="667"/>
      <c r="AK192" s="667"/>
      <c r="AL192" s="667"/>
      <c r="AM192" s="667"/>
      <c r="AN192" s="667"/>
      <c r="AO192" s="667"/>
      <c r="AP192" s="667"/>
      <c r="AQ192" s="667"/>
      <c r="AR192" s="667"/>
      <c r="AS192" s="667"/>
      <c r="AT192" s="667"/>
      <c r="AU192" s="668"/>
      <c r="AW192" s="381"/>
      <c r="AX192" s="381"/>
    </row>
    <row r="193" spans="1:50" ht="15.75" customHeight="1">
      <c r="A193" s="8"/>
      <c r="B193" s="616"/>
      <c r="C193" s="616"/>
      <c r="D193" s="616"/>
      <c r="E193" s="616"/>
      <c r="F193" s="616"/>
      <c r="G193" s="616"/>
      <c r="H193" s="616"/>
      <c r="I193" s="616"/>
      <c r="J193" s="616"/>
      <c r="K193" s="616"/>
      <c r="L193" s="616"/>
      <c r="M193" s="616"/>
      <c r="N193" s="616"/>
      <c r="O193" s="616"/>
      <c r="P193" s="616"/>
      <c r="Q193" s="616"/>
      <c r="R193" s="616"/>
      <c r="S193" s="616"/>
      <c r="T193" s="616"/>
      <c r="U193" s="616"/>
      <c r="V193" s="616"/>
      <c r="W193" s="616"/>
      <c r="X193" s="616"/>
      <c r="Y193" s="9"/>
      <c r="Z193" s="140"/>
      <c r="AA193" s="141" t="s">
        <v>11</v>
      </c>
      <c r="AB193" s="141" t="s">
        <v>10</v>
      </c>
      <c r="AC193" s="141" t="s">
        <v>16</v>
      </c>
      <c r="AD193" s="141" t="s">
        <v>9</v>
      </c>
      <c r="AE193" s="141"/>
      <c r="AF193" s="141"/>
      <c r="AG193" s="141"/>
      <c r="AH193" s="141"/>
      <c r="AI193" s="141"/>
      <c r="AJ193" s="142"/>
      <c r="AK193" s="142"/>
      <c r="AL193" s="142"/>
      <c r="AM193" s="142"/>
      <c r="AN193" s="142"/>
      <c r="AO193" s="142"/>
      <c r="AP193" s="142"/>
      <c r="AQ193" s="142"/>
      <c r="AR193" s="142"/>
      <c r="AS193" s="142"/>
      <c r="AT193" s="142"/>
      <c r="AU193" s="143"/>
      <c r="AW193" s="381"/>
      <c r="AX193" s="381"/>
    </row>
    <row r="194" spans="1:50" ht="15.75" customHeight="1">
      <c r="A194" s="8"/>
      <c r="B194" s="616"/>
      <c r="C194" s="616"/>
      <c r="D194" s="616"/>
      <c r="E194" s="616"/>
      <c r="F194" s="616"/>
      <c r="G194" s="616"/>
      <c r="H194" s="616"/>
      <c r="I194" s="616"/>
      <c r="J194" s="616"/>
      <c r="K194" s="616"/>
      <c r="L194" s="616"/>
      <c r="M194" s="616"/>
      <c r="N194" s="616"/>
      <c r="O194" s="616"/>
      <c r="P194" s="616"/>
      <c r="Q194" s="616"/>
      <c r="R194" s="616"/>
      <c r="S194" s="616"/>
      <c r="T194" s="616"/>
      <c r="U194" s="616"/>
      <c r="V194" s="616"/>
      <c r="W194" s="616"/>
      <c r="X194" s="616"/>
      <c r="Y194" s="9"/>
      <c r="Z194" s="2626"/>
      <c r="AA194" s="2627"/>
      <c r="AB194" s="2627"/>
      <c r="AC194" s="2627"/>
      <c r="AD194" s="2627"/>
      <c r="AE194" s="2627"/>
      <c r="AF194" s="2627"/>
      <c r="AG194" s="2627"/>
      <c r="AH194" s="2627"/>
      <c r="AI194" s="2627"/>
      <c r="AJ194" s="2627"/>
      <c r="AK194" s="2627"/>
      <c r="AL194" s="2627"/>
      <c r="AM194" s="2627"/>
      <c r="AN194" s="2627"/>
      <c r="AO194" s="198"/>
      <c r="AP194" s="198"/>
      <c r="AQ194" s="198"/>
      <c r="AR194" s="198"/>
      <c r="AS194" s="198"/>
      <c r="AT194" s="198"/>
      <c r="AU194" s="199"/>
      <c r="AW194" s="381"/>
      <c r="AX194" s="381"/>
    </row>
    <row r="195" spans="1:50" ht="15.75" customHeight="1">
      <c r="A195" s="8"/>
      <c r="B195" s="616"/>
      <c r="C195" s="616"/>
      <c r="D195" s="616"/>
      <c r="E195" s="616"/>
      <c r="F195" s="616"/>
      <c r="G195" s="616"/>
      <c r="H195" s="616"/>
      <c r="I195" s="616"/>
      <c r="J195" s="616"/>
      <c r="K195" s="616"/>
      <c r="L195" s="616"/>
      <c r="M195" s="616"/>
      <c r="N195" s="616"/>
      <c r="O195" s="616"/>
      <c r="P195" s="616"/>
      <c r="Q195" s="616"/>
      <c r="R195" s="616"/>
      <c r="S195" s="616"/>
      <c r="T195" s="616"/>
      <c r="U195" s="616"/>
      <c r="V195" s="616"/>
      <c r="W195" s="616"/>
      <c r="X195" s="616"/>
      <c r="Y195" s="9"/>
      <c r="Z195" s="2611" t="str">
        <f>IFERROR(VLOOKUP(7,'1_入力シート【基本情報】'!$DU$307:$DZ$526,5,FALSE),"")</f>
        <v/>
      </c>
      <c r="AA195" s="2612"/>
      <c r="AB195" s="2612"/>
      <c r="AC195" s="2612"/>
      <c r="AD195" s="2612"/>
      <c r="AE195" s="2612"/>
      <c r="AF195" s="2612"/>
      <c r="AG195" s="2612"/>
      <c r="AH195" s="2612"/>
      <c r="AI195" s="2612"/>
      <c r="AJ195" s="2612"/>
      <c r="AK195" s="2612"/>
      <c r="AL195" s="2612"/>
      <c r="AM195" s="2612"/>
      <c r="AN195" s="2612"/>
      <c r="AO195" s="2612"/>
      <c r="AP195" s="2612"/>
      <c r="AQ195" s="2612"/>
      <c r="AR195" s="2612"/>
      <c r="AS195" s="2612"/>
      <c r="AT195" s="2612"/>
      <c r="AU195" s="2613"/>
      <c r="AW195" s="381"/>
      <c r="AX195" s="381"/>
    </row>
    <row r="196" spans="1:50" ht="15.75" customHeight="1">
      <c r="A196" s="8"/>
      <c r="B196" s="616"/>
      <c r="C196" s="616"/>
      <c r="D196" s="616"/>
      <c r="E196" s="616"/>
      <c r="F196" s="616"/>
      <c r="G196" s="616"/>
      <c r="H196" s="616"/>
      <c r="I196" s="616"/>
      <c r="J196" s="616"/>
      <c r="K196" s="616"/>
      <c r="L196" s="616"/>
      <c r="M196" s="616"/>
      <c r="N196" s="616"/>
      <c r="O196" s="616"/>
      <c r="P196" s="616"/>
      <c r="Q196" s="616"/>
      <c r="R196" s="616"/>
      <c r="S196" s="616"/>
      <c r="T196" s="616"/>
      <c r="U196" s="616"/>
      <c r="V196" s="616"/>
      <c r="W196" s="616"/>
      <c r="X196" s="616"/>
      <c r="Y196" s="9"/>
      <c r="Z196" s="2614"/>
      <c r="AA196" s="2615"/>
      <c r="AB196" s="2615"/>
      <c r="AC196" s="2615"/>
      <c r="AD196" s="2615"/>
      <c r="AE196" s="2615"/>
      <c r="AF196" s="2615"/>
      <c r="AG196" s="2615"/>
      <c r="AH196" s="2615"/>
      <c r="AI196" s="2615"/>
      <c r="AJ196" s="2615"/>
      <c r="AK196" s="2615"/>
      <c r="AL196" s="2615"/>
      <c r="AM196" s="2615"/>
      <c r="AN196" s="2615"/>
      <c r="AO196" s="2615"/>
      <c r="AP196" s="2615"/>
      <c r="AQ196" s="2615"/>
      <c r="AR196" s="2615"/>
      <c r="AS196" s="2615"/>
      <c r="AT196" s="2615"/>
      <c r="AU196" s="2616"/>
      <c r="AW196" s="381"/>
      <c r="AX196" s="381"/>
    </row>
    <row r="197" spans="1:50" ht="15.75" customHeight="1">
      <c r="A197" s="8"/>
      <c r="B197" s="616"/>
      <c r="C197" s="616"/>
      <c r="D197" s="616"/>
      <c r="E197" s="616"/>
      <c r="F197" s="616"/>
      <c r="G197" s="616"/>
      <c r="H197" s="616"/>
      <c r="I197" s="616"/>
      <c r="J197" s="616"/>
      <c r="K197" s="616"/>
      <c r="L197" s="616"/>
      <c r="M197" s="616"/>
      <c r="N197" s="616"/>
      <c r="O197" s="616"/>
      <c r="P197" s="616"/>
      <c r="Q197" s="616"/>
      <c r="R197" s="616"/>
      <c r="S197" s="616"/>
      <c r="T197" s="616"/>
      <c r="U197" s="616"/>
      <c r="V197" s="616"/>
      <c r="W197" s="616"/>
      <c r="X197" s="616"/>
      <c r="Y197" s="9"/>
      <c r="Z197" s="2617"/>
      <c r="AA197" s="2618"/>
      <c r="AB197" s="2618"/>
      <c r="AC197" s="2618"/>
      <c r="AD197" s="2618"/>
      <c r="AE197" s="2618"/>
      <c r="AF197" s="2618"/>
      <c r="AG197" s="2618"/>
      <c r="AH197" s="2618"/>
      <c r="AI197" s="2618"/>
      <c r="AJ197" s="2618"/>
      <c r="AK197" s="2618"/>
      <c r="AL197" s="2618"/>
      <c r="AM197" s="2618"/>
      <c r="AN197" s="2618"/>
      <c r="AO197" s="2618"/>
      <c r="AP197" s="2618"/>
      <c r="AQ197" s="2618"/>
      <c r="AR197" s="2618"/>
      <c r="AS197" s="2618"/>
      <c r="AT197" s="2618"/>
      <c r="AU197" s="2619"/>
      <c r="AW197" s="381"/>
      <c r="AX197" s="381"/>
    </row>
    <row r="198" spans="1:50" ht="15.75" customHeight="1">
      <c r="A198" s="8"/>
      <c r="B198" s="669"/>
      <c r="C198" s="669"/>
      <c r="D198" s="669"/>
      <c r="E198" s="669"/>
      <c r="F198" s="669"/>
      <c r="G198" s="669"/>
      <c r="H198" s="669"/>
      <c r="I198" s="669"/>
      <c r="J198" s="669"/>
      <c r="K198" s="669"/>
      <c r="L198" s="669"/>
      <c r="M198" s="669"/>
      <c r="N198" s="669"/>
      <c r="O198" s="669"/>
      <c r="P198" s="669"/>
      <c r="Q198" s="669"/>
      <c r="R198" s="669"/>
      <c r="S198" s="669"/>
      <c r="T198" s="669"/>
      <c r="U198" s="669"/>
      <c r="V198" s="669"/>
      <c r="W198" s="669"/>
      <c r="X198" s="669"/>
      <c r="Y198" s="9"/>
      <c r="Z198" s="2620"/>
      <c r="AA198" s="2621"/>
      <c r="AB198" s="2621"/>
      <c r="AC198" s="2621"/>
      <c r="AD198" s="2621"/>
      <c r="AE198" s="2621"/>
      <c r="AF198" s="2621"/>
      <c r="AG198" s="2621"/>
      <c r="AH198" s="2621"/>
      <c r="AI198" s="2621"/>
      <c r="AJ198" s="2621"/>
      <c r="AK198" s="2621"/>
      <c r="AL198" s="2621"/>
      <c r="AM198" s="2621"/>
      <c r="AN198" s="2621"/>
      <c r="AO198" s="2621"/>
      <c r="AP198" s="2621"/>
      <c r="AQ198" s="2621"/>
      <c r="AR198" s="2621"/>
      <c r="AS198" s="2621"/>
      <c r="AT198" s="2621"/>
      <c r="AU198" s="2622"/>
      <c r="AW198" s="381"/>
      <c r="AX198" s="381"/>
    </row>
    <row r="199" spans="1:50" ht="15.75" customHeight="1">
      <c r="A199" s="8"/>
      <c r="B199" s="669"/>
      <c r="C199" s="669"/>
      <c r="D199" s="669"/>
      <c r="E199" s="669"/>
      <c r="F199" s="669"/>
      <c r="G199" s="669"/>
      <c r="H199" s="669"/>
      <c r="I199" s="669"/>
      <c r="J199" s="669"/>
      <c r="K199" s="669"/>
      <c r="L199" s="669"/>
      <c r="M199" s="669"/>
      <c r="N199" s="669"/>
      <c r="O199" s="669"/>
      <c r="P199" s="669"/>
      <c r="Q199" s="669"/>
      <c r="R199" s="669"/>
      <c r="S199" s="669"/>
      <c r="T199" s="669"/>
      <c r="U199" s="669"/>
      <c r="V199" s="669"/>
      <c r="W199" s="669"/>
      <c r="X199" s="669"/>
      <c r="Y199" s="9"/>
      <c r="Z199" s="2620"/>
      <c r="AA199" s="2621"/>
      <c r="AB199" s="2621"/>
      <c r="AC199" s="2621"/>
      <c r="AD199" s="2621"/>
      <c r="AE199" s="2621"/>
      <c r="AF199" s="2621"/>
      <c r="AG199" s="2621"/>
      <c r="AH199" s="2621"/>
      <c r="AI199" s="2621"/>
      <c r="AJ199" s="2621"/>
      <c r="AK199" s="2621"/>
      <c r="AL199" s="2621"/>
      <c r="AM199" s="2621"/>
      <c r="AN199" s="2621"/>
      <c r="AO199" s="2621"/>
      <c r="AP199" s="2621"/>
      <c r="AQ199" s="2621"/>
      <c r="AR199" s="2621"/>
      <c r="AS199" s="2621"/>
      <c r="AT199" s="2621"/>
      <c r="AU199" s="2622"/>
      <c r="AW199" s="381"/>
      <c r="AX199" s="381"/>
    </row>
    <row r="200" spans="1:50" ht="15.75" customHeight="1">
      <c r="A200" s="8"/>
      <c r="B200" s="669"/>
      <c r="C200" s="669"/>
      <c r="D200" s="669"/>
      <c r="E200" s="669"/>
      <c r="F200" s="669"/>
      <c r="G200" s="669"/>
      <c r="H200" s="669"/>
      <c r="I200" s="669"/>
      <c r="J200" s="669"/>
      <c r="K200" s="669"/>
      <c r="L200" s="669"/>
      <c r="M200" s="669"/>
      <c r="N200" s="669"/>
      <c r="O200" s="669"/>
      <c r="P200" s="669"/>
      <c r="Q200" s="669"/>
      <c r="R200" s="669"/>
      <c r="S200" s="669"/>
      <c r="T200" s="669"/>
      <c r="U200" s="669"/>
      <c r="V200" s="669"/>
      <c r="W200" s="669"/>
      <c r="X200" s="669"/>
      <c r="Y200" s="9"/>
      <c r="Z200" s="2620"/>
      <c r="AA200" s="2621"/>
      <c r="AB200" s="2621"/>
      <c r="AC200" s="2621"/>
      <c r="AD200" s="2621"/>
      <c r="AE200" s="2621"/>
      <c r="AF200" s="2621"/>
      <c r="AG200" s="2621"/>
      <c r="AH200" s="2621"/>
      <c r="AI200" s="2621"/>
      <c r="AJ200" s="2621"/>
      <c r="AK200" s="2621"/>
      <c r="AL200" s="2621"/>
      <c r="AM200" s="2621"/>
      <c r="AN200" s="2621"/>
      <c r="AO200" s="2621"/>
      <c r="AP200" s="2621"/>
      <c r="AQ200" s="2621"/>
      <c r="AR200" s="2621"/>
      <c r="AS200" s="2621"/>
      <c r="AT200" s="2621"/>
      <c r="AU200" s="2622"/>
      <c r="AW200" s="381"/>
      <c r="AX200" s="381"/>
    </row>
    <row r="201" spans="1:50" ht="15.75" customHeight="1">
      <c r="A201" s="8"/>
      <c r="B201" s="669"/>
      <c r="C201" s="669"/>
      <c r="D201" s="669"/>
      <c r="E201" s="669"/>
      <c r="F201" s="669"/>
      <c r="G201" s="669"/>
      <c r="H201" s="669"/>
      <c r="I201" s="669"/>
      <c r="J201" s="669"/>
      <c r="K201" s="2629" t="s">
        <v>164</v>
      </c>
      <c r="L201" s="2629"/>
      <c r="M201" s="2629"/>
      <c r="N201" s="2629"/>
      <c r="O201" s="2629"/>
      <c r="P201" s="2629"/>
      <c r="Q201" s="669"/>
      <c r="R201" s="669"/>
      <c r="S201" s="669"/>
      <c r="T201" s="669"/>
      <c r="U201" s="669"/>
      <c r="V201" s="669"/>
      <c r="W201" s="669"/>
      <c r="X201" s="669"/>
      <c r="Y201" s="9"/>
      <c r="Z201" s="2620"/>
      <c r="AA201" s="2621"/>
      <c r="AB201" s="2621"/>
      <c r="AC201" s="2621"/>
      <c r="AD201" s="2621"/>
      <c r="AE201" s="2621"/>
      <c r="AF201" s="2621"/>
      <c r="AG201" s="2621"/>
      <c r="AH201" s="2621"/>
      <c r="AI201" s="2621"/>
      <c r="AJ201" s="2621"/>
      <c r="AK201" s="2621"/>
      <c r="AL201" s="2621"/>
      <c r="AM201" s="2621"/>
      <c r="AN201" s="2621"/>
      <c r="AO201" s="2621"/>
      <c r="AP201" s="2621"/>
      <c r="AQ201" s="2621"/>
      <c r="AR201" s="2621"/>
      <c r="AS201" s="2621"/>
      <c r="AT201" s="2621"/>
      <c r="AU201" s="2622"/>
      <c r="AW201" s="381"/>
      <c r="AX201" s="381"/>
    </row>
    <row r="202" spans="1:50" ht="15.75" customHeight="1">
      <c r="A202" s="8"/>
      <c r="B202" s="669"/>
      <c r="C202" s="669"/>
      <c r="D202" s="669"/>
      <c r="E202" s="669"/>
      <c r="F202" s="669"/>
      <c r="G202" s="669"/>
      <c r="H202" s="669"/>
      <c r="I202" s="669"/>
      <c r="J202" s="669"/>
      <c r="K202" s="669"/>
      <c r="L202" s="669"/>
      <c r="M202" s="669"/>
      <c r="N202" s="669"/>
      <c r="O202" s="669"/>
      <c r="P202" s="669"/>
      <c r="Q202" s="669"/>
      <c r="R202" s="669"/>
      <c r="S202" s="669"/>
      <c r="T202" s="669"/>
      <c r="U202" s="669"/>
      <c r="V202" s="669"/>
      <c r="W202" s="669"/>
      <c r="X202" s="669"/>
      <c r="Y202" s="9"/>
      <c r="Z202" s="2620"/>
      <c r="AA202" s="2621"/>
      <c r="AB202" s="2621"/>
      <c r="AC202" s="2621"/>
      <c r="AD202" s="2621"/>
      <c r="AE202" s="2621"/>
      <c r="AF202" s="2621"/>
      <c r="AG202" s="2621"/>
      <c r="AH202" s="2621"/>
      <c r="AI202" s="2621"/>
      <c r="AJ202" s="2621"/>
      <c r="AK202" s="2621"/>
      <c r="AL202" s="2621"/>
      <c r="AM202" s="2621"/>
      <c r="AN202" s="2621"/>
      <c r="AO202" s="2621"/>
      <c r="AP202" s="2621"/>
      <c r="AQ202" s="2621"/>
      <c r="AR202" s="2621"/>
      <c r="AS202" s="2621"/>
      <c r="AT202" s="2621"/>
      <c r="AU202" s="2622"/>
      <c r="AW202" s="381"/>
      <c r="AX202" s="381"/>
    </row>
    <row r="203" spans="1:50" ht="15.75" customHeight="1">
      <c r="A203" s="8"/>
      <c r="B203" s="669"/>
      <c r="C203" s="669"/>
      <c r="D203" s="669"/>
      <c r="E203" s="669"/>
      <c r="F203" s="669"/>
      <c r="G203" s="669"/>
      <c r="H203" s="669"/>
      <c r="I203" s="669"/>
      <c r="J203" s="669"/>
      <c r="K203" s="669"/>
      <c r="L203" s="669"/>
      <c r="M203" s="669"/>
      <c r="N203" s="669"/>
      <c r="O203" s="669"/>
      <c r="P203" s="669"/>
      <c r="Q203" s="669"/>
      <c r="R203" s="669"/>
      <c r="S203" s="669"/>
      <c r="T203" s="669"/>
      <c r="U203" s="669"/>
      <c r="V203" s="669"/>
      <c r="W203" s="669"/>
      <c r="X203" s="669"/>
      <c r="Y203" s="9"/>
      <c r="Z203" s="2620"/>
      <c r="AA203" s="2621"/>
      <c r="AB203" s="2621"/>
      <c r="AC203" s="2621"/>
      <c r="AD203" s="2621"/>
      <c r="AE203" s="2621"/>
      <c r="AF203" s="2621"/>
      <c r="AG203" s="2621"/>
      <c r="AH203" s="2621"/>
      <c r="AI203" s="2621"/>
      <c r="AJ203" s="2621"/>
      <c r="AK203" s="2621"/>
      <c r="AL203" s="2621"/>
      <c r="AM203" s="2621"/>
      <c r="AN203" s="2621"/>
      <c r="AO203" s="2621"/>
      <c r="AP203" s="2621"/>
      <c r="AQ203" s="2621"/>
      <c r="AR203" s="2621"/>
      <c r="AS203" s="2621"/>
      <c r="AT203" s="2621"/>
      <c r="AU203" s="2622"/>
      <c r="AW203" s="381"/>
      <c r="AX203" s="381"/>
    </row>
    <row r="204" spans="1:50" ht="15.75" customHeight="1">
      <c r="A204" s="8"/>
      <c r="B204" s="669"/>
      <c r="C204" s="669"/>
      <c r="D204" s="669"/>
      <c r="E204" s="669"/>
      <c r="F204" s="669"/>
      <c r="G204" s="669"/>
      <c r="H204" s="669"/>
      <c r="I204" s="669"/>
      <c r="J204" s="669"/>
      <c r="K204" s="669"/>
      <c r="L204" s="669"/>
      <c r="M204" s="669"/>
      <c r="N204" s="669"/>
      <c r="O204" s="669"/>
      <c r="P204" s="669"/>
      <c r="Q204" s="669"/>
      <c r="R204" s="669"/>
      <c r="S204" s="669"/>
      <c r="T204" s="669"/>
      <c r="U204" s="669"/>
      <c r="V204" s="669"/>
      <c r="W204" s="669"/>
      <c r="X204" s="669"/>
      <c r="Y204" s="9"/>
      <c r="Z204" s="2620"/>
      <c r="AA204" s="2621"/>
      <c r="AB204" s="2621"/>
      <c r="AC204" s="2621"/>
      <c r="AD204" s="2621"/>
      <c r="AE204" s="2621"/>
      <c r="AF204" s="2621"/>
      <c r="AG204" s="2621"/>
      <c r="AH204" s="2621"/>
      <c r="AI204" s="2621"/>
      <c r="AJ204" s="2621"/>
      <c r="AK204" s="2621"/>
      <c r="AL204" s="2621"/>
      <c r="AM204" s="2621"/>
      <c r="AN204" s="2621"/>
      <c r="AO204" s="2621"/>
      <c r="AP204" s="2621"/>
      <c r="AQ204" s="2621"/>
      <c r="AR204" s="2621"/>
      <c r="AS204" s="2621"/>
      <c r="AT204" s="2621"/>
      <c r="AU204" s="2622"/>
      <c r="AW204" s="381"/>
      <c r="AX204" s="381"/>
    </row>
    <row r="205" spans="1:50" ht="15.75" customHeight="1">
      <c r="A205" s="8"/>
      <c r="B205" s="669"/>
      <c r="C205" s="669"/>
      <c r="D205" s="669"/>
      <c r="E205" s="669"/>
      <c r="F205" s="669"/>
      <c r="G205" s="669"/>
      <c r="H205" s="669"/>
      <c r="I205" s="669"/>
      <c r="J205" s="669"/>
      <c r="K205" s="669"/>
      <c r="L205" s="669"/>
      <c r="M205" s="669"/>
      <c r="N205" s="669"/>
      <c r="O205" s="669"/>
      <c r="P205" s="669"/>
      <c r="Q205" s="669"/>
      <c r="R205" s="669"/>
      <c r="S205" s="669"/>
      <c r="T205" s="669"/>
      <c r="U205" s="669"/>
      <c r="V205" s="669"/>
      <c r="W205" s="669"/>
      <c r="X205" s="669"/>
      <c r="Y205" s="9"/>
      <c r="Z205" s="2620"/>
      <c r="AA205" s="2621"/>
      <c r="AB205" s="2621"/>
      <c r="AC205" s="2621"/>
      <c r="AD205" s="2621"/>
      <c r="AE205" s="2621"/>
      <c r="AF205" s="2621"/>
      <c r="AG205" s="2621"/>
      <c r="AH205" s="2621"/>
      <c r="AI205" s="2621"/>
      <c r="AJ205" s="2621"/>
      <c r="AK205" s="2621"/>
      <c r="AL205" s="2621"/>
      <c r="AM205" s="2621"/>
      <c r="AN205" s="2621"/>
      <c r="AO205" s="2621"/>
      <c r="AP205" s="2621"/>
      <c r="AQ205" s="2621"/>
      <c r="AR205" s="2621"/>
      <c r="AS205" s="2621"/>
      <c r="AT205" s="2621"/>
      <c r="AU205" s="2622"/>
      <c r="AW205" s="381"/>
      <c r="AX205" s="381"/>
    </row>
    <row r="206" spans="1:50" ht="15.75" customHeight="1">
      <c r="A206" s="8"/>
      <c r="B206" s="669"/>
      <c r="C206" s="669"/>
      <c r="D206" s="669"/>
      <c r="E206" s="669"/>
      <c r="F206" s="669"/>
      <c r="G206" s="669"/>
      <c r="H206" s="669"/>
      <c r="I206" s="669"/>
      <c r="J206" s="669"/>
      <c r="K206" s="669"/>
      <c r="L206" s="669"/>
      <c r="M206" s="669"/>
      <c r="N206" s="669"/>
      <c r="O206" s="669"/>
      <c r="P206" s="669"/>
      <c r="Q206" s="669"/>
      <c r="R206" s="669"/>
      <c r="S206" s="669"/>
      <c r="T206" s="669"/>
      <c r="U206" s="669"/>
      <c r="V206" s="669"/>
      <c r="W206" s="669"/>
      <c r="X206" s="669"/>
      <c r="Y206" s="9"/>
      <c r="Z206" s="2620"/>
      <c r="AA206" s="2621"/>
      <c r="AB206" s="2621"/>
      <c r="AC206" s="2621"/>
      <c r="AD206" s="2621"/>
      <c r="AE206" s="2621"/>
      <c r="AF206" s="2621"/>
      <c r="AG206" s="2621"/>
      <c r="AH206" s="2621"/>
      <c r="AI206" s="2621"/>
      <c r="AJ206" s="2621"/>
      <c r="AK206" s="2621"/>
      <c r="AL206" s="2621"/>
      <c r="AM206" s="2621"/>
      <c r="AN206" s="2621"/>
      <c r="AO206" s="2621"/>
      <c r="AP206" s="2621"/>
      <c r="AQ206" s="2621"/>
      <c r="AR206" s="2621"/>
      <c r="AS206" s="2621"/>
      <c r="AT206" s="2621"/>
      <c r="AU206" s="2622"/>
      <c r="AW206" s="381"/>
      <c r="AX206" s="381"/>
    </row>
    <row r="207" spans="1:50" ht="15.75" customHeight="1">
      <c r="A207" s="8"/>
      <c r="B207" s="669"/>
      <c r="C207" s="669"/>
      <c r="D207" s="669"/>
      <c r="E207" s="669"/>
      <c r="F207" s="669"/>
      <c r="G207" s="669"/>
      <c r="H207" s="669"/>
      <c r="I207" s="669"/>
      <c r="J207" s="669"/>
      <c r="K207" s="669"/>
      <c r="L207" s="669"/>
      <c r="M207" s="669"/>
      <c r="N207" s="669"/>
      <c r="O207" s="669"/>
      <c r="P207" s="669"/>
      <c r="Q207" s="669"/>
      <c r="R207" s="669"/>
      <c r="S207" s="669"/>
      <c r="T207" s="669"/>
      <c r="U207" s="669"/>
      <c r="V207" s="669"/>
      <c r="W207" s="669"/>
      <c r="X207" s="669"/>
      <c r="Y207" s="9"/>
      <c r="Z207" s="2620"/>
      <c r="AA207" s="2621"/>
      <c r="AB207" s="2621"/>
      <c r="AC207" s="2621"/>
      <c r="AD207" s="2621"/>
      <c r="AE207" s="2621"/>
      <c r="AF207" s="2621"/>
      <c r="AG207" s="2621"/>
      <c r="AH207" s="2621"/>
      <c r="AI207" s="2621"/>
      <c r="AJ207" s="2621"/>
      <c r="AK207" s="2621"/>
      <c r="AL207" s="2621"/>
      <c r="AM207" s="2621"/>
      <c r="AN207" s="2621"/>
      <c r="AO207" s="2621"/>
      <c r="AP207" s="2621"/>
      <c r="AQ207" s="2621"/>
      <c r="AR207" s="2621"/>
      <c r="AS207" s="2621"/>
      <c r="AT207" s="2621"/>
      <c r="AU207" s="2622"/>
      <c r="AW207" s="381"/>
      <c r="AX207" s="381"/>
    </row>
    <row r="208" spans="1:50" ht="15.75" customHeight="1">
      <c r="A208" s="8"/>
      <c r="B208" s="669"/>
      <c r="C208" s="669"/>
      <c r="D208" s="669"/>
      <c r="E208" s="669"/>
      <c r="F208" s="669"/>
      <c r="G208" s="669"/>
      <c r="H208" s="669"/>
      <c r="I208" s="669"/>
      <c r="J208" s="669"/>
      <c r="K208" s="669"/>
      <c r="L208" s="669"/>
      <c r="M208" s="669"/>
      <c r="N208" s="669"/>
      <c r="O208" s="669"/>
      <c r="P208" s="669"/>
      <c r="Q208" s="669"/>
      <c r="R208" s="669"/>
      <c r="S208" s="669"/>
      <c r="T208" s="669"/>
      <c r="U208" s="669"/>
      <c r="V208" s="669"/>
      <c r="W208" s="669"/>
      <c r="X208" s="669"/>
      <c r="Y208" s="9"/>
      <c r="Z208" s="2620"/>
      <c r="AA208" s="2621"/>
      <c r="AB208" s="2621"/>
      <c r="AC208" s="2621"/>
      <c r="AD208" s="2621"/>
      <c r="AE208" s="2621"/>
      <c r="AF208" s="2621"/>
      <c r="AG208" s="2621"/>
      <c r="AH208" s="2621"/>
      <c r="AI208" s="2621"/>
      <c r="AJ208" s="2621"/>
      <c r="AK208" s="2621"/>
      <c r="AL208" s="2621"/>
      <c r="AM208" s="2621"/>
      <c r="AN208" s="2621"/>
      <c r="AO208" s="2621"/>
      <c r="AP208" s="2621"/>
      <c r="AQ208" s="2621"/>
      <c r="AR208" s="2621"/>
      <c r="AS208" s="2621"/>
      <c r="AT208" s="2621"/>
      <c r="AU208" s="2622"/>
      <c r="AW208" s="381"/>
      <c r="AX208" s="381"/>
    </row>
    <row r="209" spans="1:53" ht="15.75" customHeight="1">
      <c r="A209" s="8"/>
      <c r="B209" s="669"/>
      <c r="C209" s="669"/>
      <c r="D209" s="669"/>
      <c r="E209" s="669"/>
      <c r="F209" s="669"/>
      <c r="G209" s="669"/>
      <c r="H209" s="669"/>
      <c r="I209" s="669"/>
      <c r="J209" s="669"/>
      <c r="K209" s="669"/>
      <c r="L209" s="669"/>
      <c r="M209" s="669"/>
      <c r="N209" s="669"/>
      <c r="O209" s="669"/>
      <c r="P209" s="669"/>
      <c r="Q209" s="669"/>
      <c r="R209" s="669"/>
      <c r="S209" s="669"/>
      <c r="T209" s="669"/>
      <c r="U209" s="669"/>
      <c r="V209" s="669"/>
      <c r="W209" s="669"/>
      <c r="X209" s="669"/>
      <c r="Y209" s="9"/>
      <c r="Z209" s="2620"/>
      <c r="AA209" s="2621"/>
      <c r="AB209" s="2621"/>
      <c r="AC209" s="2621"/>
      <c r="AD209" s="2621"/>
      <c r="AE209" s="2621"/>
      <c r="AF209" s="2621"/>
      <c r="AG209" s="2621"/>
      <c r="AH209" s="2621"/>
      <c r="AI209" s="2621"/>
      <c r="AJ209" s="2621"/>
      <c r="AK209" s="2621"/>
      <c r="AL209" s="2621"/>
      <c r="AM209" s="2621"/>
      <c r="AN209" s="2621"/>
      <c r="AO209" s="2621"/>
      <c r="AP209" s="2621"/>
      <c r="AQ209" s="2621"/>
      <c r="AR209" s="2621"/>
      <c r="AS209" s="2621"/>
      <c r="AT209" s="2621"/>
      <c r="AU209" s="2622"/>
      <c r="AW209" s="381"/>
      <c r="AX209" s="381"/>
    </row>
    <row r="210" spans="1:53" ht="15.75" customHeight="1">
      <c r="A210" s="12"/>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1"/>
      <c r="Z210" s="2623"/>
      <c r="AA210" s="2624"/>
      <c r="AB210" s="2624"/>
      <c r="AC210" s="2624"/>
      <c r="AD210" s="2624"/>
      <c r="AE210" s="2624"/>
      <c r="AF210" s="2624"/>
      <c r="AG210" s="2624"/>
      <c r="AH210" s="2624"/>
      <c r="AI210" s="2624"/>
      <c r="AJ210" s="2624"/>
      <c r="AK210" s="2624"/>
      <c r="AL210" s="2624"/>
      <c r="AM210" s="2624"/>
      <c r="AN210" s="2624"/>
      <c r="AO210" s="2624"/>
      <c r="AP210" s="2624"/>
      <c r="AQ210" s="2624"/>
      <c r="AR210" s="2624"/>
      <c r="AS210" s="2624"/>
      <c r="AT210" s="2624"/>
      <c r="AU210" s="2625"/>
      <c r="AW210" s="381"/>
      <c r="AX210" s="381"/>
    </row>
    <row r="211" spans="1:53" ht="12.75" customHeight="1">
      <c r="AW211" s="381"/>
      <c r="AX211" s="381"/>
    </row>
    <row r="212" spans="1:53" ht="15.75" customHeight="1">
      <c r="A212" s="2634" t="s">
        <v>161</v>
      </c>
      <c r="B212" s="2635"/>
      <c r="C212" s="2636"/>
      <c r="D212" s="2653" t="s">
        <v>162</v>
      </c>
      <c r="E212" s="2654"/>
      <c r="F212" s="2654"/>
      <c r="G212" s="2654"/>
      <c r="H212" s="2654"/>
      <c r="I212" s="2654"/>
      <c r="J212" s="2655"/>
      <c r="K212" s="625"/>
      <c r="L212" s="622"/>
      <c r="M212" s="622"/>
      <c r="N212" s="622"/>
      <c r="O212" s="622"/>
      <c r="P212" s="622"/>
      <c r="Q212" s="622"/>
      <c r="R212" s="622"/>
      <c r="S212" s="623" t="s">
        <v>7</v>
      </c>
      <c r="T212" s="623" t="s">
        <v>8</v>
      </c>
      <c r="U212" s="623" t="s">
        <v>9</v>
      </c>
      <c r="V212" s="623" t="s">
        <v>163</v>
      </c>
      <c r="W212" s="623"/>
      <c r="X212" s="623"/>
      <c r="Y212" s="623"/>
      <c r="Z212" s="623"/>
      <c r="AA212" s="623"/>
      <c r="AB212" s="623"/>
      <c r="AC212" s="623"/>
      <c r="AD212" s="623"/>
      <c r="AE212" s="623"/>
      <c r="AF212" s="623"/>
      <c r="AG212" s="623"/>
      <c r="AH212" s="623"/>
      <c r="AI212" s="624"/>
      <c r="AJ212" s="625"/>
      <c r="AK212" s="2654" t="s">
        <v>33</v>
      </c>
      <c r="AL212" s="2654"/>
      <c r="AM212" s="2654"/>
      <c r="AN212" s="2654"/>
      <c r="AO212" s="2654"/>
      <c r="AP212" s="2654"/>
      <c r="AQ212" s="2654"/>
      <c r="AR212" s="2654"/>
      <c r="AS212" s="2654"/>
      <c r="AT212" s="2654"/>
      <c r="AU212" s="626"/>
      <c r="AW212" s="381"/>
      <c r="AX212" s="381"/>
    </row>
    <row r="213" spans="1:53" ht="15.75" customHeight="1" thickBot="1">
      <c r="A213" s="2647"/>
      <c r="B213" s="2648"/>
      <c r="C213" s="2649"/>
      <c r="D213" s="2634" t="str">
        <f>IFERROR(VLOOKUP(8,'1_入力シート【基本情報】'!$DU$307:$DX$526,3,FALSE),"")</f>
        <v/>
      </c>
      <c r="E213" s="2635"/>
      <c r="F213" s="2635"/>
      <c r="G213" s="2635"/>
      <c r="H213" s="2635"/>
      <c r="I213" s="2635"/>
      <c r="J213" s="2636"/>
      <c r="K213" s="2611" t="str">
        <f>IFERROR(VLOOKUP(8,'1_入力シート【基本情報】'!$DU$307:$DX$526,4,FALSE),"")</f>
        <v/>
      </c>
      <c r="L213" s="2612"/>
      <c r="M213" s="2612"/>
      <c r="N213" s="2612"/>
      <c r="O213" s="2612"/>
      <c r="P213" s="2612"/>
      <c r="Q213" s="2612"/>
      <c r="R213" s="2612"/>
      <c r="S213" s="2612"/>
      <c r="T213" s="2612"/>
      <c r="U213" s="2612"/>
      <c r="V213" s="2612"/>
      <c r="W213" s="2612"/>
      <c r="X213" s="2612"/>
      <c r="Y213" s="2612"/>
      <c r="Z213" s="2612"/>
      <c r="AA213" s="2612"/>
      <c r="AB213" s="2612"/>
      <c r="AC213" s="2612"/>
      <c r="AD213" s="2612"/>
      <c r="AE213" s="2612"/>
      <c r="AF213" s="2612"/>
      <c r="AG213" s="2612"/>
      <c r="AH213" s="2612"/>
      <c r="AI213" s="2613"/>
      <c r="AJ213" s="665"/>
      <c r="AK213" s="665"/>
      <c r="AL213" s="665"/>
      <c r="AM213" s="665"/>
      <c r="AN213" s="665"/>
      <c r="AO213" s="665"/>
      <c r="AP213" s="665"/>
      <c r="AQ213" s="665"/>
      <c r="AR213" s="665"/>
      <c r="AS213" s="665"/>
      <c r="AT213" s="665"/>
      <c r="AU213" s="666"/>
      <c r="AW213" s="381"/>
      <c r="AX213" s="381"/>
    </row>
    <row r="214" spans="1:53" ht="15.75" customHeight="1" thickBot="1">
      <c r="A214" s="2647"/>
      <c r="B214" s="2648"/>
      <c r="C214" s="2649"/>
      <c r="D214" s="2637"/>
      <c r="E214" s="2638"/>
      <c r="F214" s="2638"/>
      <c r="G214" s="2638"/>
      <c r="H214" s="2638"/>
      <c r="I214" s="2638"/>
      <c r="J214" s="2639"/>
      <c r="K214" s="2614"/>
      <c r="L214" s="2615"/>
      <c r="M214" s="2615"/>
      <c r="N214" s="2615"/>
      <c r="O214" s="2615"/>
      <c r="P214" s="2615"/>
      <c r="Q214" s="2615"/>
      <c r="R214" s="2615"/>
      <c r="S214" s="2615"/>
      <c r="T214" s="2615"/>
      <c r="U214" s="2615"/>
      <c r="V214" s="2615"/>
      <c r="W214" s="2615"/>
      <c r="X214" s="2615"/>
      <c r="Y214" s="2615"/>
      <c r="Z214" s="2615"/>
      <c r="AA214" s="2615"/>
      <c r="AB214" s="2615"/>
      <c r="AC214" s="2615"/>
      <c r="AD214" s="2615"/>
      <c r="AE214" s="2615"/>
      <c r="AF214" s="2615"/>
      <c r="AG214" s="2615"/>
      <c r="AH214" s="2615"/>
      <c r="AI214" s="2616"/>
      <c r="AJ214" s="665"/>
      <c r="AK214" s="665" t="str">
        <f>IF(D213&lt;&gt;"","☑","☐")</f>
        <v>☐</v>
      </c>
      <c r="AL214" s="665" t="s">
        <v>14</v>
      </c>
      <c r="AM214" s="665" t="s">
        <v>21</v>
      </c>
      <c r="AN214" s="665" t="s">
        <v>15</v>
      </c>
      <c r="AO214" s="665"/>
      <c r="AP214" s="783" t="s">
        <v>186</v>
      </c>
      <c r="AQ214" s="665" t="s">
        <v>27</v>
      </c>
      <c r="AR214" s="665" t="s">
        <v>23</v>
      </c>
      <c r="AS214" s="665" t="s">
        <v>13</v>
      </c>
      <c r="AT214" s="665"/>
      <c r="AU214" s="666"/>
      <c r="AW214" s="381"/>
      <c r="AX214" s="381"/>
      <c r="BA214" s="802" t="b">
        <f>AP214="☑"</f>
        <v>0</v>
      </c>
    </row>
    <row r="215" spans="1:53" ht="15.75" customHeight="1">
      <c r="A215" s="2650"/>
      <c r="B215" s="2651"/>
      <c r="C215" s="2652"/>
      <c r="D215" s="2640"/>
      <c r="E215" s="2641"/>
      <c r="F215" s="2641"/>
      <c r="G215" s="2641"/>
      <c r="H215" s="2641"/>
      <c r="I215" s="2641"/>
      <c r="J215" s="2642"/>
      <c r="K215" s="2644"/>
      <c r="L215" s="2645"/>
      <c r="M215" s="2645"/>
      <c r="N215" s="2645"/>
      <c r="O215" s="2645"/>
      <c r="P215" s="2645"/>
      <c r="Q215" s="2645"/>
      <c r="R215" s="2645"/>
      <c r="S215" s="2645"/>
      <c r="T215" s="2645"/>
      <c r="U215" s="2645"/>
      <c r="V215" s="2645"/>
      <c r="W215" s="2645"/>
      <c r="X215" s="2645"/>
      <c r="Y215" s="2645"/>
      <c r="Z215" s="2645"/>
      <c r="AA215" s="2645"/>
      <c r="AB215" s="2645"/>
      <c r="AC215" s="2645"/>
      <c r="AD215" s="2645"/>
      <c r="AE215" s="2645"/>
      <c r="AF215" s="2645"/>
      <c r="AG215" s="2645"/>
      <c r="AH215" s="2645"/>
      <c r="AI215" s="2646"/>
      <c r="AJ215" s="667"/>
      <c r="AK215" s="667"/>
      <c r="AL215" s="667"/>
      <c r="AM215" s="667"/>
      <c r="AN215" s="667"/>
      <c r="AO215" s="667"/>
      <c r="AP215" s="667"/>
      <c r="AQ215" s="667"/>
      <c r="AR215" s="667"/>
      <c r="AS215" s="667"/>
      <c r="AT215" s="667"/>
      <c r="AU215" s="668"/>
      <c r="AW215" s="381"/>
      <c r="AX215" s="381"/>
    </row>
    <row r="216" spans="1:53" ht="15.75" customHeight="1">
      <c r="A216" s="8"/>
      <c r="B216" s="616"/>
      <c r="C216" s="616"/>
      <c r="D216" s="616"/>
      <c r="E216" s="616"/>
      <c r="F216" s="616"/>
      <c r="G216" s="616"/>
      <c r="H216" s="616"/>
      <c r="I216" s="616"/>
      <c r="J216" s="616"/>
      <c r="K216" s="616"/>
      <c r="L216" s="616"/>
      <c r="M216" s="616"/>
      <c r="N216" s="616"/>
      <c r="O216" s="616"/>
      <c r="P216" s="616"/>
      <c r="Q216" s="616"/>
      <c r="R216" s="616"/>
      <c r="S216" s="616"/>
      <c r="T216" s="616"/>
      <c r="U216" s="616"/>
      <c r="V216" s="616"/>
      <c r="W216" s="616"/>
      <c r="X216" s="616"/>
      <c r="Y216" s="9"/>
      <c r="Z216" s="140"/>
      <c r="AA216" s="141" t="s">
        <v>11</v>
      </c>
      <c r="AB216" s="141" t="s">
        <v>10</v>
      </c>
      <c r="AC216" s="141" t="s">
        <v>16</v>
      </c>
      <c r="AD216" s="141" t="s">
        <v>9</v>
      </c>
      <c r="AE216" s="141"/>
      <c r="AF216" s="141"/>
      <c r="AG216" s="141"/>
      <c r="AH216" s="141"/>
      <c r="AI216" s="141"/>
      <c r="AJ216" s="142"/>
      <c r="AK216" s="142"/>
      <c r="AL216" s="142"/>
      <c r="AM216" s="142"/>
      <c r="AN216" s="142"/>
      <c r="AO216" s="142"/>
      <c r="AP216" s="142"/>
      <c r="AQ216" s="142"/>
      <c r="AR216" s="142"/>
      <c r="AS216" s="142"/>
      <c r="AT216" s="142"/>
      <c r="AU216" s="615"/>
      <c r="AW216" s="381"/>
      <c r="AX216" s="381"/>
    </row>
    <row r="217" spans="1:53" ht="15.75" customHeight="1">
      <c r="A217" s="8"/>
      <c r="B217" s="616"/>
      <c r="C217" s="616"/>
      <c r="D217" s="616"/>
      <c r="E217" s="616"/>
      <c r="F217" s="616"/>
      <c r="G217" s="616"/>
      <c r="H217" s="616"/>
      <c r="I217" s="616"/>
      <c r="J217" s="616"/>
      <c r="K217" s="616"/>
      <c r="L217" s="616"/>
      <c r="M217" s="616"/>
      <c r="N217" s="616"/>
      <c r="O217" s="616"/>
      <c r="P217" s="616"/>
      <c r="Q217" s="616"/>
      <c r="R217" s="616"/>
      <c r="S217" s="616"/>
      <c r="T217" s="616"/>
      <c r="U217" s="616"/>
      <c r="V217" s="616"/>
      <c r="W217" s="616"/>
      <c r="X217" s="616"/>
      <c r="Y217" s="9"/>
      <c r="Z217" s="2626"/>
      <c r="AA217" s="2627"/>
      <c r="AB217" s="2627"/>
      <c r="AC217" s="2627"/>
      <c r="AD217" s="2627"/>
      <c r="AE217" s="2627"/>
      <c r="AF217" s="2627"/>
      <c r="AG217" s="2627"/>
      <c r="AH217" s="2627"/>
      <c r="AI217" s="2627"/>
      <c r="AJ217" s="2627"/>
      <c r="AK217" s="2627"/>
      <c r="AL217" s="2627"/>
      <c r="AM217" s="2627"/>
      <c r="AN217" s="2627"/>
      <c r="AO217" s="198"/>
      <c r="AP217" s="198"/>
      <c r="AQ217" s="198"/>
      <c r="AR217" s="198"/>
      <c r="AS217" s="198"/>
      <c r="AT217" s="198"/>
      <c r="AU217" s="199"/>
      <c r="AW217" s="381"/>
      <c r="AX217" s="381"/>
    </row>
    <row r="218" spans="1:53" ht="15.75" customHeight="1">
      <c r="A218" s="8"/>
      <c r="B218" s="616"/>
      <c r="C218" s="616"/>
      <c r="D218" s="616"/>
      <c r="E218" s="616"/>
      <c r="F218" s="616"/>
      <c r="G218" s="616"/>
      <c r="H218" s="616"/>
      <c r="I218" s="616"/>
      <c r="J218" s="616"/>
      <c r="K218" s="616"/>
      <c r="L218" s="616"/>
      <c r="M218" s="616"/>
      <c r="N218" s="616"/>
      <c r="O218" s="616"/>
      <c r="P218" s="616"/>
      <c r="Q218" s="616"/>
      <c r="R218" s="616"/>
      <c r="S218" s="616"/>
      <c r="T218" s="616"/>
      <c r="U218" s="616"/>
      <c r="V218" s="616"/>
      <c r="W218" s="616"/>
      <c r="X218" s="616"/>
      <c r="Y218" s="9"/>
      <c r="Z218" s="2611" t="str">
        <f>IFERROR(VLOOKUP(8,'1_入力シート【基本情報】'!$DU$307:$DZ$526,5,FALSE),"")</f>
        <v/>
      </c>
      <c r="AA218" s="2612"/>
      <c r="AB218" s="2612"/>
      <c r="AC218" s="2612"/>
      <c r="AD218" s="2612"/>
      <c r="AE218" s="2612"/>
      <c r="AF218" s="2612"/>
      <c r="AG218" s="2612"/>
      <c r="AH218" s="2612"/>
      <c r="AI218" s="2612"/>
      <c r="AJ218" s="2612"/>
      <c r="AK218" s="2612"/>
      <c r="AL218" s="2612"/>
      <c r="AM218" s="2612"/>
      <c r="AN218" s="2612"/>
      <c r="AO218" s="2612"/>
      <c r="AP218" s="2612"/>
      <c r="AQ218" s="2612"/>
      <c r="AR218" s="2612"/>
      <c r="AS218" s="2612"/>
      <c r="AT218" s="2612"/>
      <c r="AU218" s="2613"/>
      <c r="AW218" s="381"/>
      <c r="AX218" s="381"/>
    </row>
    <row r="219" spans="1:53" ht="15.75" customHeight="1">
      <c r="A219" s="8"/>
      <c r="B219" s="616"/>
      <c r="C219" s="616"/>
      <c r="D219" s="616"/>
      <c r="E219" s="616"/>
      <c r="F219" s="616"/>
      <c r="G219" s="616"/>
      <c r="H219" s="616"/>
      <c r="I219" s="616"/>
      <c r="J219" s="616"/>
      <c r="K219" s="616"/>
      <c r="L219" s="616"/>
      <c r="M219" s="616"/>
      <c r="N219" s="616"/>
      <c r="O219" s="616"/>
      <c r="P219" s="616"/>
      <c r="Q219" s="616"/>
      <c r="R219" s="616"/>
      <c r="S219" s="616"/>
      <c r="T219" s="616"/>
      <c r="U219" s="616"/>
      <c r="V219" s="616"/>
      <c r="W219" s="616"/>
      <c r="X219" s="616"/>
      <c r="Y219" s="9"/>
      <c r="Z219" s="2614"/>
      <c r="AA219" s="2615"/>
      <c r="AB219" s="2615"/>
      <c r="AC219" s="2615"/>
      <c r="AD219" s="2615"/>
      <c r="AE219" s="2615"/>
      <c r="AF219" s="2615"/>
      <c r="AG219" s="2615"/>
      <c r="AH219" s="2615"/>
      <c r="AI219" s="2615"/>
      <c r="AJ219" s="2615"/>
      <c r="AK219" s="2615"/>
      <c r="AL219" s="2615"/>
      <c r="AM219" s="2615"/>
      <c r="AN219" s="2615"/>
      <c r="AO219" s="2615"/>
      <c r="AP219" s="2615"/>
      <c r="AQ219" s="2615"/>
      <c r="AR219" s="2615"/>
      <c r="AS219" s="2615"/>
      <c r="AT219" s="2615"/>
      <c r="AU219" s="2616"/>
      <c r="AW219" s="381"/>
      <c r="AX219" s="381"/>
    </row>
    <row r="220" spans="1:53" ht="15.75" customHeight="1">
      <c r="A220" s="8"/>
      <c r="B220" s="616"/>
      <c r="C220" s="616"/>
      <c r="D220" s="616"/>
      <c r="E220" s="616"/>
      <c r="F220" s="616"/>
      <c r="G220" s="616"/>
      <c r="H220" s="616"/>
      <c r="I220" s="616"/>
      <c r="J220" s="616"/>
      <c r="K220" s="616"/>
      <c r="L220" s="616"/>
      <c r="M220" s="616"/>
      <c r="N220" s="616"/>
      <c r="O220" s="616"/>
      <c r="P220" s="616"/>
      <c r="Q220" s="616"/>
      <c r="R220" s="616"/>
      <c r="S220" s="616"/>
      <c r="T220" s="616"/>
      <c r="U220" s="616"/>
      <c r="V220" s="616"/>
      <c r="W220" s="616"/>
      <c r="X220" s="616"/>
      <c r="Y220" s="9"/>
      <c r="Z220" s="2617"/>
      <c r="AA220" s="2618"/>
      <c r="AB220" s="2618"/>
      <c r="AC220" s="2618"/>
      <c r="AD220" s="2618"/>
      <c r="AE220" s="2618"/>
      <c r="AF220" s="2618"/>
      <c r="AG220" s="2618"/>
      <c r="AH220" s="2618"/>
      <c r="AI220" s="2618"/>
      <c r="AJ220" s="2618"/>
      <c r="AK220" s="2618"/>
      <c r="AL220" s="2618"/>
      <c r="AM220" s="2618"/>
      <c r="AN220" s="2618"/>
      <c r="AO220" s="2618"/>
      <c r="AP220" s="2618"/>
      <c r="AQ220" s="2618"/>
      <c r="AR220" s="2618"/>
      <c r="AS220" s="2618"/>
      <c r="AT220" s="2618"/>
      <c r="AU220" s="2619"/>
      <c r="AW220" s="381"/>
      <c r="AX220" s="381"/>
    </row>
    <row r="221" spans="1:53" ht="15.75" customHeight="1">
      <c r="A221" s="8"/>
      <c r="B221" s="669"/>
      <c r="C221" s="669"/>
      <c r="D221" s="669"/>
      <c r="E221" s="669"/>
      <c r="F221" s="669"/>
      <c r="G221" s="669"/>
      <c r="H221" s="669"/>
      <c r="I221" s="669"/>
      <c r="J221" s="669"/>
      <c r="K221" s="669"/>
      <c r="L221" s="669"/>
      <c r="M221" s="669"/>
      <c r="N221" s="669"/>
      <c r="O221" s="669"/>
      <c r="P221" s="669"/>
      <c r="Q221" s="669"/>
      <c r="R221" s="669"/>
      <c r="S221" s="669"/>
      <c r="T221" s="669"/>
      <c r="U221" s="669"/>
      <c r="V221" s="669"/>
      <c r="W221" s="669"/>
      <c r="X221" s="669"/>
      <c r="Y221" s="9"/>
      <c r="Z221" s="2620"/>
      <c r="AA221" s="2621"/>
      <c r="AB221" s="2621"/>
      <c r="AC221" s="2621"/>
      <c r="AD221" s="2621"/>
      <c r="AE221" s="2621"/>
      <c r="AF221" s="2621"/>
      <c r="AG221" s="2621"/>
      <c r="AH221" s="2621"/>
      <c r="AI221" s="2621"/>
      <c r="AJ221" s="2621"/>
      <c r="AK221" s="2621"/>
      <c r="AL221" s="2621"/>
      <c r="AM221" s="2621"/>
      <c r="AN221" s="2621"/>
      <c r="AO221" s="2621"/>
      <c r="AP221" s="2621"/>
      <c r="AQ221" s="2621"/>
      <c r="AR221" s="2621"/>
      <c r="AS221" s="2621"/>
      <c r="AT221" s="2621"/>
      <c r="AU221" s="2622"/>
      <c r="AW221" s="381"/>
      <c r="AX221" s="381"/>
    </row>
    <row r="222" spans="1:53" ht="15.75" customHeight="1">
      <c r="A222" s="8"/>
      <c r="B222" s="669"/>
      <c r="C222" s="669"/>
      <c r="D222" s="669"/>
      <c r="E222" s="669"/>
      <c r="F222" s="669"/>
      <c r="G222" s="669"/>
      <c r="H222" s="669"/>
      <c r="I222" s="669"/>
      <c r="J222" s="669"/>
      <c r="K222" s="669"/>
      <c r="L222" s="669"/>
      <c r="M222" s="669"/>
      <c r="N222" s="669"/>
      <c r="O222" s="669"/>
      <c r="P222" s="669"/>
      <c r="Q222" s="669"/>
      <c r="R222" s="669"/>
      <c r="S222" s="669"/>
      <c r="T222" s="669"/>
      <c r="U222" s="669"/>
      <c r="V222" s="669"/>
      <c r="W222" s="669"/>
      <c r="X222" s="669"/>
      <c r="Y222" s="9"/>
      <c r="Z222" s="2620"/>
      <c r="AA222" s="2621"/>
      <c r="AB222" s="2621"/>
      <c r="AC222" s="2621"/>
      <c r="AD222" s="2621"/>
      <c r="AE222" s="2621"/>
      <c r="AF222" s="2621"/>
      <c r="AG222" s="2621"/>
      <c r="AH222" s="2621"/>
      <c r="AI222" s="2621"/>
      <c r="AJ222" s="2621"/>
      <c r="AK222" s="2621"/>
      <c r="AL222" s="2621"/>
      <c r="AM222" s="2621"/>
      <c r="AN222" s="2621"/>
      <c r="AO222" s="2621"/>
      <c r="AP222" s="2621"/>
      <c r="AQ222" s="2621"/>
      <c r="AR222" s="2621"/>
      <c r="AS222" s="2621"/>
      <c r="AT222" s="2621"/>
      <c r="AU222" s="2622"/>
      <c r="AW222" s="381"/>
      <c r="AX222" s="381"/>
    </row>
    <row r="223" spans="1:53" ht="15.75" customHeight="1">
      <c r="A223" s="8"/>
      <c r="B223" s="669"/>
      <c r="C223" s="669"/>
      <c r="D223" s="669"/>
      <c r="E223" s="669"/>
      <c r="F223" s="669"/>
      <c r="G223" s="669"/>
      <c r="H223" s="669"/>
      <c r="I223" s="669"/>
      <c r="J223" s="669"/>
      <c r="K223" s="669"/>
      <c r="L223" s="669"/>
      <c r="M223" s="669"/>
      <c r="N223" s="669"/>
      <c r="O223" s="669"/>
      <c r="P223" s="669"/>
      <c r="Q223" s="669"/>
      <c r="R223" s="669"/>
      <c r="S223" s="669"/>
      <c r="T223" s="669"/>
      <c r="U223" s="669"/>
      <c r="V223" s="669"/>
      <c r="W223" s="669"/>
      <c r="X223" s="669"/>
      <c r="Y223" s="9"/>
      <c r="Z223" s="2620"/>
      <c r="AA223" s="2621"/>
      <c r="AB223" s="2621"/>
      <c r="AC223" s="2621"/>
      <c r="AD223" s="2621"/>
      <c r="AE223" s="2621"/>
      <c r="AF223" s="2621"/>
      <c r="AG223" s="2621"/>
      <c r="AH223" s="2621"/>
      <c r="AI223" s="2621"/>
      <c r="AJ223" s="2621"/>
      <c r="AK223" s="2621"/>
      <c r="AL223" s="2621"/>
      <c r="AM223" s="2621"/>
      <c r="AN223" s="2621"/>
      <c r="AO223" s="2621"/>
      <c r="AP223" s="2621"/>
      <c r="AQ223" s="2621"/>
      <c r="AR223" s="2621"/>
      <c r="AS223" s="2621"/>
      <c r="AT223" s="2621"/>
      <c r="AU223" s="2622"/>
      <c r="AW223" s="381"/>
      <c r="AX223" s="381"/>
    </row>
    <row r="224" spans="1:53" ht="15.75" customHeight="1">
      <c r="A224" s="8"/>
      <c r="B224" s="669"/>
      <c r="C224" s="669"/>
      <c r="D224" s="669"/>
      <c r="E224" s="669"/>
      <c r="F224" s="669"/>
      <c r="G224" s="669"/>
      <c r="H224" s="669"/>
      <c r="I224" s="669"/>
      <c r="J224" s="669"/>
      <c r="K224" s="2629" t="s">
        <v>164</v>
      </c>
      <c r="L224" s="2629"/>
      <c r="M224" s="2629"/>
      <c r="N224" s="2629"/>
      <c r="O224" s="2629"/>
      <c r="P224" s="2629"/>
      <c r="Q224" s="669"/>
      <c r="R224" s="669"/>
      <c r="S224" s="669"/>
      <c r="T224" s="669"/>
      <c r="U224" s="669"/>
      <c r="V224" s="669"/>
      <c r="W224" s="669"/>
      <c r="X224" s="669"/>
      <c r="Y224" s="9"/>
      <c r="Z224" s="2620"/>
      <c r="AA224" s="2621"/>
      <c r="AB224" s="2621"/>
      <c r="AC224" s="2621"/>
      <c r="AD224" s="2621"/>
      <c r="AE224" s="2621"/>
      <c r="AF224" s="2621"/>
      <c r="AG224" s="2621"/>
      <c r="AH224" s="2621"/>
      <c r="AI224" s="2621"/>
      <c r="AJ224" s="2621"/>
      <c r="AK224" s="2621"/>
      <c r="AL224" s="2621"/>
      <c r="AM224" s="2621"/>
      <c r="AN224" s="2621"/>
      <c r="AO224" s="2621"/>
      <c r="AP224" s="2621"/>
      <c r="AQ224" s="2621"/>
      <c r="AR224" s="2621"/>
      <c r="AS224" s="2621"/>
      <c r="AT224" s="2621"/>
      <c r="AU224" s="2622"/>
      <c r="AW224" s="381"/>
      <c r="AX224" s="381"/>
    </row>
    <row r="225" spans="1:50" ht="15.75" customHeight="1">
      <c r="A225" s="8"/>
      <c r="B225" s="669"/>
      <c r="C225" s="669"/>
      <c r="D225" s="669"/>
      <c r="E225" s="669"/>
      <c r="F225" s="669"/>
      <c r="G225" s="669"/>
      <c r="H225" s="669"/>
      <c r="I225" s="669"/>
      <c r="J225" s="669"/>
      <c r="K225" s="669"/>
      <c r="L225" s="669"/>
      <c r="M225" s="669"/>
      <c r="N225" s="669"/>
      <c r="O225" s="669"/>
      <c r="P225" s="669"/>
      <c r="Q225" s="669"/>
      <c r="R225" s="669"/>
      <c r="S225" s="669"/>
      <c r="T225" s="669"/>
      <c r="U225" s="669"/>
      <c r="V225" s="669"/>
      <c r="W225" s="669"/>
      <c r="X225" s="669"/>
      <c r="Y225" s="9"/>
      <c r="Z225" s="2620"/>
      <c r="AA225" s="2621"/>
      <c r="AB225" s="2621"/>
      <c r="AC225" s="2621"/>
      <c r="AD225" s="2621"/>
      <c r="AE225" s="2621"/>
      <c r="AF225" s="2621"/>
      <c r="AG225" s="2621"/>
      <c r="AH225" s="2621"/>
      <c r="AI225" s="2621"/>
      <c r="AJ225" s="2621"/>
      <c r="AK225" s="2621"/>
      <c r="AL225" s="2621"/>
      <c r="AM225" s="2621"/>
      <c r="AN225" s="2621"/>
      <c r="AO225" s="2621"/>
      <c r="AP225" s="2621"/>
      <c r="AQ225" s="2621"/>
      <c r="AR225" s="2621"/>
      <c r="AS225" s="2621"/>
      <c r="AT225" s="2621"/>
      <c r="AU225" s="2622"/>
      <c r="AW225" s="381"/>
      <c r="AX225" s="381"/>
    </row>
    <row r="226" spans="1:50" ht="15.75" customHeight="1">
      <c r="A226" s="8"/>
      <c r="B226" s="669"/>
      <c r="C226" s="669"/>
      <c r="D226" s="669"/>
      <c r="E226" s="669"/>
      <c r="F226" s="669"/>
      <c r="G226" s="669"/>
      <c r="H226" s="669"/>
      <c r="I226" s="669"/>
      <c r="J226" s="669"/>
      <c r="K226" s="669"/>
      <c r="L226" s="669"/>
      <c r="M226" s="669"/>
      <c r="N226" s="669"/>
      <c r="O226" s="669"/>
      <c r="P226" s="669"/>
      <c r="Q226" s="669"/>
      <c r="R226" s="669"/>
      <c r="S226" s="669"/>
      <c r="T226" s="669"/>
      <c r="U226" s="669"/>
      <c r="V226" s="669"/>
      <c r="W226" s="669"/>
      <c r="X226" s="669"/>
      <c r="Y226" s="9"/>
      <c r="Z226" s="2620"/>
      <c r="AA226" s="2621"/>
      <c r="AB226" s="2621"/>
      <c r="AC226" s="2621"/>
      <c r="AD226" s="2621"/>
      <c r="AE226" s="2621"/>
      <c r="AF226" s="2621"/>
      <c r="AG226" s="2621"/>
      <c r="AH226" s="2621"/>
      <c r="AI226" s="2621"/>
      <c r="AJ226" s="2621"/>
      <c r="AK226" s="2621"/>
      <c r="AL226" s="2621"/>
      <c r="AM226" s="2621"/>
      <c r="AN226" s="2621"/>
      <c r="AO226" s="2621"/>
      <c r="AP226" s="2621"/>
      <c r="AQ226" s="2621"/>
      <c r="AR226" s="2621"/>
      <c r="AS226" s="2621"/>
      <c r="AT226" s="2621"/>
      <c r="AU226" s="2622"/>
      <c r="AW226" s="381"/>
      <c r="AX226" s="381"/>
    </row>
    <row r="227" spans="1:50" ht="15.75" customHeight="1">
      <c r="A227" s="8"/>
      <c r="B227" s="669"/>
      <c r="C227" s="669"/>
      <c r="D227" s="669"/>
      <c r="E227" s="669"/>
      <c r="F227" s="669"/>
      <c r="G227" s="669"/>
      <c r="H227" s="669"/>
      <c r="I227" s="669"/>
      <c r="J227" s="669"/>
      <c r="K227" s="669"/>
      <c r="L227" s="669"/>
      <c r="M227" s="669"/>
      <c r="N227" s="669"/>
      <c r="O227" s="669"/>
      <c r="P227" s="669"/>
      <c r="Q227" s="669"/>
      <c r="R227" s="669"/>
      <c r="S227" s="669"/>
      <c r="T227" s="669"/>
      <c r="U227" s="669"/>
      <c r="V227" s="669"/>
      <c r="W227" s="669"/>
      <c r="X227" s="669"/>
      <c r="Y227" s="9"/>
      <c r="Z227" s="2620"/>
      <c r="AA227" s="2621"/>
      <c r="AB227" s="2621"/>
      <c r="AC227" s="2621"/>
      <c r="AD227" s="2621"/>
      <c r="AE227" s="2621"/>
      <c r="AF227" s="2621"/>
      <c r="AG227" s="2621"/>
      <c r="AH227" s="2621"/>
      <c r="AI227" s="2621"/>
      <c r="AJ227" s="2621"/>
      <c r="AK227" s="2621"/>
      <c r="AL227" s="2621"/>
      <c r="AM227" s="2621"/>
      <c r="AN227" s="2621"/>
      <c r="AO227" s="2621"/>
      <c r="AP227" s="2621"/>
      <c r="AQ227" s="2621"/>
      <c r="AR227" s="2621"/>
      <c r="AS227" s="2621"/>
      <c r="AT227" s="2621"/>
      <c r="AU227" s="2622"/>
      <c r="AW227" s="381"/>
      <c r="AX227" s="381"/>
    </row>
    <row r="228" spans="1:50" ht="15.75" customHeight="1">
      <c r="A228" s="8"/>
      <c r="B228" s="669"/>
      <c r="C228" s="669"/>
      <c r="D228" s="669"/>
      <c r="E228" s="669"/>
      <c r="F228" s="669"/>
      <c r="G228" s="669"/>
      <c r="H228" s="669"/>
      <c r="I228" s="669"/>
      <c r="J228" s="669"/>
      <c r="K228" s="669"/>
      <c r="L228" s="669"/>
      <c r="M228" s="669"/>
      <c r="N228" s="669"/>
      <c r="O228" s="669"/>
      <c r="P228" s="669"/>
      <c r="Q228" s="669"/>
      <c r="R228" s="669"/>
      <c r="S228" s="669"/>
      <c r="T228" s="669"/>
      <c r="U228" s="669"/>
      <c r="V228" s="669"/>
      <c r="W228" s="669"/>
      <c r="X228" s="669"/>
      <c r="Y228" s="9"/>
      <c r="Z228" s="2620"/>
      <c r="AA228" s="2621"/>
      <c r="AB228" s="2621"/>
      <c r="AC228" s="2621"/>
      <c r="AD228" s="2621"/>
      <c r="AE228" s="2621"/>
      <c r="AF228" s="2621"/>
      <c r="AG228" s="2621"/>
      <c r="AH228" s="2621"/>
      <c r="AI228" s="2621"/>
      <c r="AJ228" s="2621"/>
      <c r="AK228" s="2621"/>
      <c r="AL228" s="2621"/>
      <c r="AM228" s="2621"/>
      <c r="AN228" s="2621"/>
      <c r="AO228" s="2621"/>
      <c r="AP228" s="2621"/>
      <c r="AQ228" s="2621"/>
      <c r="AR228" s="2621"/>
      <c r="AS228" s="2621"/>
      <c r="AT228" s="2621"/>
      <c r="AU228" s="2622"/>
      <c r="AW228" s="381"/>
      <c r="AX228" s="381"/>
    </row>
    <row r="229" spans="1:50" ht="15.75" customHeight="1">
      <c r="A229" s="8"/>
      <c r="B229" s="669"/>
      <c r="C229" s="669"/>
      <c r="D229" s="669"/>
      <c r="E229" s="669"/>
      <c r="F229" s="669"/>
      <c r="G229" s="669"/>
      <c r="H229" s="669"/>
      <c r="I229" s="669"/>
      <c r="J229" s="669"/>
      <c r="K229" s="669"/>
      <c r="L229" s="669"/>
      <c r="M229" s="669"/>
      <c r="N229" s="669"/>
      <c r="O229" s="669"/>
      <c r="P229" s="669"/>
      <c r="Q229" s="669"/>
      <c r="R229" s="669"/>
      <c r="S229" s="669"/>
      <c r="T229" s="669"/>
      <c r="U229" s="669"/>
      <c r="V229" s="669"/>
      <c r="W229" s="669"/>
      <c r="X229" s="669"/>
      <c r="Y229" s="9"/>
      <c r="Z229" s="2620"/>
      <c r="AA229" s="2621"/>
      <c r="AB229" s="2621"/>
      <c r="AC229" s="2621"/>
      <c r="AD229" s="2621"/>
      <c r="AE229" s="2621"/>
      <c r="AF229" s="2621"/>
      <c r="AG229" s="2621"/>
      <c r="AH229" s="2621"/>
      <c r="AI229" s="2621"/>
      <c r="AJ229" s="2621"/>
      <c r="AK229" s="2621"/>
      <c r="AL229" s="2621"/>
      <c r="AM229" s="2621"/>
      <c r="AN229" s="2621"/>
      <c r="AO229" s="2621"/>
      <c r="AP229" s="2621"/>
      <c r="AQ229" s="2621"/>
      <c r="AR229" s="2621"/>
      <c r="AS229" s="2621"/>
      <c r="AT229" s="2621"/>
      <c r="AU229" s="2622"/>
      <c r="AW229" s="381"/>
      <c r="AX229" s="381"/>
    </row>
    <row r="230" spans="1:50" ht="15.75" customHeight="1">
      <c r="A230" s="8"/>
      <c r="B230" s="669"/>
      <c r="C230" s="669"/>
      <c r="D230" s="669"/>
      <c r="E230" s="669"/>
      <c r="F230" s="669"/>
      <c r="G230" s="669"/>
      <c r="H230" s="669"/>
      <c r="I230" s="669"/>
      <c r="J230" s="669"/>
      <c r="K230" s="669"/>
      <c r="L230" s="669"/>
      <c r="M230" s="669"/>
      <c r="N230" s="669"/>
      <c r="O230" s="669"/>
      <c r="P230" s="669"/>
      <c r="Q230" s="669"/>
      <c r="R230" s="669"/>
      <c r="S230" s="669"/>
      <c r="T230" s="669"/>
      <c r="U230" s="669"/>
      <c r="V230" s="669"/>
      <c r="W230" s="669"/>
      <c r="X230" s="669"/>
      <c r="Y230" s="9"/>
      <c r="Z230" s="2620"/>
      <c r="AA230" s="2621"/>
      <c r="AB230" s="2621"/>
      <c r="AC230" s="2621"/>
      <c r="AD230" s="2621"/>
      <c r="AE230" s="2621"/>
      <c r="AF230" s="2621"/>
      <c r="AG230" s="2621"/>
      <c r="AH230" s="2621"/>
      <c r="AI230" s="2621"/>
      <c r="AJ230" s="2621"/>
      <c r="AK230" s="2621"/>
      <c r="AL230" s="2621"/>
      <c r="AM230" s="2621"/>
      <c r="AN230" s="2621"/>
      <c r="AO230" s="2621"/>
      <c r="AP230" s="2621"/>
      <c r="AQ230" s="2621"/>
      <c r="AR230" s="2621"/>
      <c r="AS230" s="2621"/>
      <c r="AT230" s="2621"/>
      <c r="AU230" s="2622"/>
      <c r="AW230" s="381"/>
      <c r="AX230" s="381"/>
    </row>
    <row r="231" spans="1:50" ht="15.75" customHeight="1">
      <c r="A231" s="8"/>
      <c r="B231" s="669"/>
      <c r="C231" s="669"/>
      <c r="D231" s="669"/>
      <c r="E231" s="669"/>
      <c r="F231" s="669"/>
      <c r="G231" s="669"/>
      <c r="H231" s="669"/>
      <c r="I231" s="669"/>
      <c r="J231" s="669"/>
      <c r="K231" s="669"/>
      <c r="L231" s="669"/>
      <c r="M231" s="669"/>
      <c r="N231" s="669"/>
      <c r="O231" s="669"/>
      <c r="P231" s="669"/>
      <c r="Q231" s="669"/>
      <c r="R231" s="669"/>
      <c r="S231" s="669"/>
      <c r="T231" s="669"/>
      <c r="U231" s="669"/>
      <c r="V231" s="669"/>
      <c r="W231" s="669"/>
      <c r="X231" s="669"/>
      <c r="Y231" s="9"/>
      <c r="Z231" s="2620"/>
      <c r="AA231" s="2621"/>
      <c r="AB231" s="2621"/>
      <c r="AC231" s="2621"/>
      <c r="AD231" s="2621"/>
      <c r="AE231" s="2621"/>
      <c r="AF231" s="2621"/>
      <c r="AG231" s="2621"/>
      <c r="AH231" s="2621"/>
      <c r="AI231" s="2621"/>
      <c r="AJ231" s="2621"/>
      <c r="AK231" s="2621"/>
      <c r="AL231" s="2621"/>
      <c r="AM231" s="2621"/>
      <c r="AN231" s="2621"/>
      <c r="AO231" s="2621"/>
      <c r="AP231" s="2621"/>
      <c r="AQ231" s="2621"/>
      <c r="AR231" s="2621"/>
      <c r="AS231" s="2621"/>
      <c r="AT231" s="2621"/>
      <c r="AU231" s="2622"/>
      <c r="AW231" s="381"/>
      <c r="AX231" s="381"/>
    </row>
    <row r="232" spans="1:50" ht="15.75" customHeight="1">
      <c r="A232" s="8"/>
      <c r="B232" s="669"/>
      <c r="C232" s="669"/>
      <c r="D232" s="669"/>
      <c r="E232" s="669"/>
      <c r="F232" s="669"/>
      <c r="G232" s="669"/>
      <c r="H232" s="669"/>
      <c r="I232" s="669"/>
      <c r="J232" s="669"/>
      <c r="K232" s="669"/>
      <c r="L232" s="669"/>
      <c r="M232" s="669"/>
      <c r="N232" s="669"/>
      <c r="O232" s="669"/>
      <c r="P232" s="669"/>
      <c r="Q232" s="669"/>
      <c r="R232" s="669"/>
      <c r="S232" s="669"/>
      <c r="T232" s="669"/>
      <c r="U232" s="669"/>
      <c r="V232" s="669"/>
      <c r="W232" s="669"/>
      <c r="X232" s="669"/>
      <c r="Y232" s="9"/>
      <c r="Z232" s="2620"/>
      <c r="AA232" s="2621"/>
      <c r="AB232" s="2621"/>
      <c r="AC232" s="2621"/>
      <c r="AD232" s="2621"/>
      <c r="AE232" s="2621"/>
      <c r="AF232" s="2621"/>
      <c r="AG232" s="2621"/>
      <c r="AH232" s="2621"/>
      <c r="AI232" s="2621"/>
      <c r="AJ232" s="2621"/>
      <c r="AK232" s="2621"/>
      <c r="AL232" s="2621"/>
      <c r="AM232" s="2621"/>
      <c r="AN232" s="2621"/>
      <c r="AO232" s="2621"/>
      <c r="AP232" s="2621"/>
      <c r="AQ232" s="2621"/>
      <c r="AR232" s="2621"/>
      <c r="AS232" s="2621"/>
      <c r="AT232" s="2621"/>
      <c r="AU232" s="2622"/>
      <c r="AW232" s="381"/>
      <c r="AX232" s="381"/>
    </row>
    <row r="233" spans="1:50" ht="15.75" customHeight="1">
      <c r="A233" s="12"/>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1"/>
      <c r="Z233" s="2623"/>
      <c r="AA233" s="2624"/>
      <c r="AB233" s="2624"/>
      <c r="AC233" s="2624"/>
      <c r="AD233" s="2624"/>
      <c r="AE233" s="2624"/>
      <c r="AF233" s="2624"/>
      <c r="AG233" s="2624"/>
      <c r="AH233" s="2624"/>
      <c r="AI233" s="2624"/>
      <c r="AJ233" s="2624"/>
      <c r="AK233" s="2624"/>
      <c r="AL233" s="2624"/>
      <c r="AM233" s="2624"/>
      <c r="AN233" s="2624"/>
      <c r="AO233" s="2624"/>
      <c r="AP233" s="2624"/>
      <c r="AQ233" s="2624"/>
      <c r="AR233" s="2624"/>
      <c r="AS233" s="2624"/>
      <c r="AT233" s="2624"/>
      <c r="AU233" s="2625"/>
      <c r="AW233" s="381"/>
      <c r="AX233" s="381"/>
    </row>
    <row r="234" spans="1:50" ht="12.75" customHeight="1">
      <c r="AW234" s="381"/>
      <c r="AX234" s="381"/>
    </row>
    <row r="235" spans="1:50" ht="12.75" customHeight="1">
      <c r="A235" s="2643" t="s">
        <v>157</v>
      </c>
      <c r="B235" s="2643"/>
      <c r="C235" s="2643"/>
      <c r="D235" s="2643"/>
      <c r="AU235" s="618"/>
      <c r="AW235" s="381"/>
      <c r="AX235" s="381"/>
    </row>
    <row r="236" spans="1:50" ht="12.75" customHeight="1">
      <c r="B236" s="619" t="s">
        <v>158</v>
      </c>
      <c r="C236" s="2609" t="s">
        <v>176</v>
      </c>
      <c r="D236" s="2628"/>
      <c r="E236" s="2628"/>
      <c r="F236" s="2628"/>
      <c r="G236" s="2628"/>
      <c r="H236" s="2628"/>
      <c r="I236" s="2628"/>
      <c r="J236" s="2628"/>
      <c r="K236" s="2628"/>
      <c r="L236" s="2628"/>
      <c r="M236" s="2628"/>
      <c r="N236" s="2628"/>
      <c r="O236" s="2628"/>
      <c r="P236" s="2628"/>
      <c r="Q236" s="2628"/>
      <c r="R236" s="2628"/>
      <c r="S236" s="2628"/>
      <c r="T236" s="2628"/>
      <c r="U236" s="2628"/>
      <c r="V236" s="2628"/>
      <c r="W236" s="2628"/>
      <c r="X236" s="2628"/>
      <c r="Y236" s="2628"/>
      <c r="Z236" s="2628"/>
      <c r="AA236" s="2628"/>
      <c r="AB236" s="2628"/>
      <c r="AC236" s="2628"/>
      <c r="AD236" s="2628"/>
      <c r="AE236" s="2628"/>
      <c r="AF236" s="2628"/>
      <c r="AG236" s="2628"/>
      <c r="AH236" s="2628"/>
      <c r="AI236" s="2628"/>
      <c r="AJ236" s="2628"/>
      <c r="AK236" s="2628"/>
      <c r="AL236" s="2628"/>
      <c r="AM236" s="2628"/>
      <c r="AN236" s="2628"/>
      <c r="AO236" s="2628"/>
      <c r="AP236" s="2628"/>
      <c r="AQ236" s="2628"/>
      <c r="AR236" s="2628"/>
      <c r="AS236" s="2628"/>
      <c r="AT236" s="2628"/>
      <c r="AU236" s="618"/>
      <c r="AW236" s="381"/>
      <c r="AX236" s="381"/>
    </row>
    <row r="237" spans="1:50" ht="12.75" customHeight="1">
      <c r="B237" s="619"/>
      <c r="C237" s="2610" t="s">
        <v>177</v>
      </c>
      <c r="D237" s="2610"/>
      <c r="E237" s="2610"/>
      <c r="F237" s="2610"/>
      <c r="G237" s="2610"/>
      <c r="H237" s="2610"/>
      <c r="I237" s="2610"/>
      <c r="J237" s="2610"/>
      <c r="K237" s="2610"/>
      <c r="L237" s="2610"/>
      <c r="M237" s="2610"/>
      <c r="N237" s="2610"/>
      <c r="O237" s="2610"/>
      <c r="P237" s="2610"/>
      <c r="Q237" s="2610"/>
      <c r="R237" s="2610"/>
      <c r="S237" s="2610"/>
      <c r="T237" s="2610"/>
      <c r="U237" s="2610"/>
      <c r="V237" s="2610"/>
      <c r="W237" s="2610"/>
      <c r="X237" s="2610"/>
      <c r="Y237" s="2610"/>
      <c r="Z237" s="2610"/>
      <c r="AA237" s="2610"/>
      <c r="AB237" s="2610"/>
      <c r="AC237" s="2610"/>
      <c r="AD237" s="2610"/>
      <c r="AE237" s="2610"/>
      <c r="AF237" s="2610"/>
      <c r="AG237" s="2610"/>
      <c r="AH237" s="2610"/>
      <c r="AI237" s="2610"/>
      <c r="AJ237" s="2610"/>
      <c r="AK237" s="2610"/>
      <c r="AL237" s="2610"/>
      <c r="AM237" s="2610"/>
      <c r="AN237" s="2610"/>
      <c r="AO237" s="2610"/>
      <c r="AP237" s="2610"/>
      <c r="AQ237" s="2610"/>
      <c r="AR237" s="2610"/>
      <c r="AS237" s="2610"/>
      <c r="AT237" s="2610"/>
      <c r="AU237" s="618"/>
      <c r="AW237" s="381"/>
      <c r="AX237" s="381"/>
    </row>
    <row r="238" spans="1:50" ht="12.75" customHeight="1">
      <c r="B238" s="619"/>
      <c r="C238" s="2610" t="s">
        <v>178</v>
      </c>
      <c r="D238" s="2610"/>
      <c r="E238" s="2610"/>
      <c r="F238" s="2610"/>
      <c r="G238" s="2610"/>
      <c r="H238" s="2610"/>
      <c r="I238" s="2610"/>
      <c r="J238" s="2610"/>
      <c r="K238" s="2610"/>
      <c r="L238" s="2610"/>
      <c r="M238" s="2610"/>
      <c r="N238" s="2610"/>
      <c r="O238" s="2610"/>
      <c r="P238" s="2610"/>
      <c r="Q238" s="2610"/>
      <c r="R238" s="2610"/>
      <c r="S238" s="2610"/>
      <c r="T238" s="2610"/>
      <c r="U238" s="2610"/>
      <c r="V238" s="2610"/>
      <c r="W238" s="2610"/>
      <c r="X238" s="2610"/>
      <c r="Y238" s="2610"/>
      <c r="Z238" s="2610"/>
      <c r="AA238" s="2610"/>
      <c r="AB238" s="2610"/>
      <c r="AC238" s="2610"/>
      <c r="AD238" s="2610"/>
      <c r="AE238" s="2610"/>
      <c r="AF238" s="2610"/>
      <c r="AG238" s="2610"/>
      <c r="AH238" s="2610"/>
      <c r="AI238" s="2610"/>
      <c r="AJ238" s="2610"/>
      <c r="AK238" s="2610"/>
      <c r="AL238" s="2610"/>
      <c r="AM238" s="2610"/>
      <c r="AN238" s="2610"/>
      <c r="AO238" s="2610"/>
      <c r="AP238" s="2610"/>
      <c r="AQ238" s="2610"/>
      <c r="AR238" s="2610"/>
      <c r="AS238" s="2610"/>
      <c r="AT238" s="2610"/>
      <c r="AU238" s="618"/>
      <c r="AW238" s="381"/>
      <c r="AX238" s="381"/>
    </row>
    <row r="239" spans="1:50" ht="12.75" customHeight="1">
      <c r="B239" s="619" t="s">
        <v>165</v>
      </c>
      <c r="C239" s="2610" t="s">
        <v>166</v>
      </c>
      <c r="D239" s="2610"/>
      <c r="E239" s="2610"/>
      <c r="F239" s="2610"/>
      <c r="G239" s="2610"/>
      <c r="H239" s="2610"/>
      <c r="I239" s="2610"/>
      <c r="J239" s="2610"/>
      <c r="K239" s="2610"/>
      <c r="L239" s="2610"/>
      <c r="M239" s="2610"/>
      <c r="N239" s="2610"/>
      <c r="O239" s="2610"/>
      <c r="P239" s="2610"/>
      <c r="Q239" s="2610"/>
      <c r="R239" s="2610"/>
      <c r="S239" s="2610"/>
      <c r="T239" s="2610"/>
      <c r="U239" s="2610"/>
      <c r="V239" s="2610"/>
      <c r="W239" s="2610"/>
      <c r="X239" s="2610"/>
      <c r="Y239" s="2610"/>
      <c r="Z239" s="2610"/>
      <c r="AA239" s="2610"/>
      <c r="AB239" s="2610"/>
      <c r="AC239" s="2610"/>
      <c r="AD239" s="2610"/>
      <c r="AE239" s="2610"/>
      <c r="AF239" s="2610"/>
      <c r="AG239" s="2610"/>
      <c r="AH239" s="2610"/>
      <c r="AI239" s="2610"/>
      <c r="AJ239" s="2610"/>
      <c r="AK239" s="2610"/>
      <c r="AL239" s="2610"/>
      <c r="AM239" s="2610"/>
      <c r="AN239" s="2610"/>
      <c r="AO239" s="2610"/>
      <c r="AP239" s="2610"/>
      <c r="AQ239" s="2610"/>
      <c r="AR239" s="2610"/>
      <c r="AS239" s="2610"/>
      <c r="AT239" s="2610"/>
      <c r="AU239" s="618"/>
      <c r="AW239" s="381"/>
      <c r="AX239" s="381"/>
    </row>
    <row r="240" spans="1:50" ht="12.75" customHeight="1">
      <c r="B240" s="619" t="s">
        <v>159</v>
      </c>
      <c r="C240" s="2610" t="s">
        <v>0</v>
      </c>
      <c r="D240" s="2610"/>
      <c r="E240" s="2610"/>
      <c r="F240" s="2610"/>
      <c r="G240" s="2610"/>
      <c r="H240" s="2610"/>
      <c r="I240" s="2610"/>
      <c r="J240" s="2610"/>
      <c r="K240" s="2610"/>
      <c r="L240" s="2610"/>
      <c r="M240" s="2610"/>
      <c r="N240" s="2610"/>
      <c r="O240" s="2610"/>
      <c r="P240" s="2610"/>
      <c r="Q240" s="2610"/>
      <c r="R240" s="2610"/>
      <c r="S240" s="2610"/>
      <c r="T240" s="2610"/>
      <c r="U240" s="2610"/>
      <c r="V240" s="2610"/>
      <c r="W240" s="2610"/>
      <c r="X240" s="2610"/>
      <c r="Y240" s="2610"/>
      <c r="Z240" s="2610"/>
      <c r="AA240" s="2610"/>
      <c r="AB240" s="2610"/>
      <c r="AC240" s="2610"/>
      <c r="AD240" s="2610"/>
      <c r="AE240" s="2610"/>
      <c r="AF240" s="2610"/>
      <c r="AG240" s="2610"/>
      <c r="AH240" s="2610"/>
      <c r="AI240" s="2610"/>
      <c r="AJ240" s="2610"/>
      <c r="AK240" s="2610"/>
      <c r="AL240" s="2610"/>
      <c r="AM240" s="2610"/>
      <c r="AN240" s="2610"/>
      <c r="AO240" s="2610"/>
      <c r="AP240" s="2610"/>
      <c r="AQ240" s="2610"/>
      <c r="AR240" s="2610"/>
      <c r="AS240" s="2610"/>
      <c r="AT240" s="2610"/>
      <c r="AW240" s="381"/>
      <c r="AX240" s="381"/>
    </row>
    <row r="241" spans="1:53" ht="12.75" customHeight="1">
      <c r="B241" s="619" t="s">
        <v>167</v>
      </c>
      <c r="C241" s="2610" t="s">
        <v>179</v>
      </c>
      <c r="D241" s="2610"/>
      <c r="E241" s="2610"/>
      <c r="F241" s="2610"/>
      <c r="G241" s="2610"/>
      <c r="H241" s="2610"/>
      <c r="I241" s="2610"/>
      <c r="J241" s="2610"/>
      <c r="K241" s="2610"/>
      <c r="L241" s="2610"/>
      <c r="M241" s="2610"/>
      <c r="N241" s="2610"/>
      <c r="O241" s="2610"/>
      <c r="P241" s="2610"/>
      <c r="Q241" s="2610"/>
      <c r="R241" s="2610"/>
      <c r="S241" s="2610"/>
      <c r="T241" s="2610"/>
      <c r="U241" s="2610"/>
      <c r="V241" s="2610"/>
      <c r="W241" s="2610"/>
      <c r="X241" s="2610"/>
      <c r="Y241" s="2610"/>
      <c r="Z241" s="2610"/>
      <c r="AA241" s="2610"/>
      <c r="AB241" s="2610"/>
      <c r="AC241" s="2610"/>
      <c r="AD241" s="2610"/>
      <c r="AE241" s="2610"/>
      <c r="AF241" s="2610"/>
      <c r="AG241" s="2610"/>
      <c r="AH241" s="2610"/>
      <c r="AI241" s="2610"/>
      <c r="AJ241" s="2610"/>
      <c r="AK241" s="2610"/>
      <c r="AL241" s="2610"/>
      <c r="AM241" s="2610"/>
      <c r="AN241" s="2610"/>
      <c r="AO241" s="2610"/>
      <c r="AP241" s="2610"/>
      <c r="AQ241" s="2610"/>
      <c r="AR241" s="2610"/>
      <c r="AS241" s="2610"/>
      <c r="AT241" s="2610"/>
      <c r="AU241" s="618"/>
      <c r="AW241" s="381"/>
      <c r="AX241" s="381"/>
    </row>
    <row r="242" spans="1:53" ht="12.75" customHeight="1">
      <c r="C242" s="2610" t="s">
        <v>180</v>
      </c>
      <c r="D242" s="2610"/>
      <c r="E242" s="2610"/>
      <c r="F242" s="2610"/>
      <c r="G242" s="2610"/>
      <c r="H242" s="2610"/>
      <c r="I242" s="2610"/>
      <c r="J242" s="2610"/>
      <c r="K242" s="2610"/>
      <c r="L242" s="2610"/>
      <c r="M242" s="2610"/>
      <c r="N242" s="2610"/>
      <c r="O242" s="2610"/>
      <c r="P242" s="2610"/>
      <c r="Q242" s="2610"/>
      <c r="R242" s="2610"/>
      <c r="S242" s="2610"/>
      <c r="T242" s="2610"/>
      <c r="U242" s="2610"/>
      <c r="V242" s="2610"/>
      <c r="W242" s="2610"/>
      <c r="X242" s="2610"/>
      <c r="Y242" s="2610"/>
      <c r="Z242" s="2610"/>
      <c r="AA242" s="2610"/>
      <c r="AB242" s="2610"/>
      <c r="AC242" s="2610"/>
      <c r="AD242" s="2610"/>
      <c r="AE242" s="2610"/>
      <c r="AF242" s="2610"/>
      <c r="AG242" s="2610"/>
      <c r="AH242" s="2610"/>
      <c r="AI242" s="2610"/>
      <c r="AJ242" s="2610"/>
      <c r="AK242" s="2610"/>
      <c r="AL242" s="2610"/>
      <c r="AM242" s="2610"/>
      <c r="AN242" s="2610"/>
      <c r="AO242" s="2610"/>
      <c r="AP242" s="2610"/>
      <c r="AQ242" s="2610"/>
      <c r="AR242" s="2610"/>
      <c r="AS242" s="2610"/>
      <c r="AT242" s="2610"/>
      <c r="AU242" s="618"/>
      <c r="AW242" s="381"/>
      <c r="AX242" s="381"/>
    </row>
    <row r="243" spans="1:53" ht="12.75" customHeight="1">
      <c r="B243" s="619" t="s">
        <v>1</v>
      </c>
      <c r="C243" s="2610" t="s">
        <v>2</v>
      </c>
      <c r="D243" s="2610"/>
      <c r="E243" s="2610"/>
      <c r="F243" s="2610"/>
      <c r="G243" s="2610"/>
      <c r="H243" s="2610"/>
      <c r="I243" s="2610"/>
      <c r="J243" s="2610"/>
      <c r="K243" s="2610"/>
      <c r="L243" s="2610"/>
      <c r="M243" s="2610"/>
      <c r="N243" s="2610"/>
      <c r="O243" s="2610"/>
      <c r="P243" s="2610"/>
      <c r="Q243" s="2610"/>
      <c r="R243" s="2610"/>
      <c r="S243" s="2610"/>
      <c r="T243" s="2610"/>
      <c r="U243" s="2610"/>
      <c r="V243" s="2610"/>
      <c r="W243" s="2610"/>
      <c r="X243" s="2610"/>
      <c r="Y243" s="2610"/>
      <c r="Z243" s="2610"/>
      <c r="AA243" s="2610"/>
      <c r="AB243" s="2610"/>
      <c r="AC243" s="2610"/>
      <c r="AD243" s="2610"/>
      <c r="AE243" s="2610"/>
      <c r="AF243" s="2610"/>
      <c r="AG243" s="2610"/>
      <c r="AH243" s="2610"/>
      <c r="AI243" s="2610"/>
      <c r="AJ243" s="2610"/>
      <c r="AK243" s="2610"/>
      <c r="AL243" s="2610"/>
      <c r="AM243" s="2610"/>
      <c r="AN243" s="2610"/>
      <c r="AO243" s="2610"/>
      <c r="AP243" s="2610"/>
      <c r="AQ243" s="2610"/>
      <c r="AR243" s="2610"/>
      <c r="AS243" s="2610"/>
      <c r="AT243" s="2610"/>
      <c r="AU243" s="618"/>
      <c r="AW243" s="381"/>
      <c r="AX243" s="381"/>
    </row>
    <row r="244" spans="1:53" ht="12.75" customHeight="1">
      <c r="AG244" s="618"/>
      <c r="AH244" s="618"/>
      <c r="AI244" s="618"/>
      <c r="AJ244" s="618"/>
      <c r="AK244" s="618"/>
      <c r="AL244" s="618"/>
      <c r="AM244" s="618"/>
      <c r="AN244" s="618"/>
      <c r="AO244" s="618"/>
      <c r="AP244" s="618"/>
      <c r="AQ244" s="618"/>
      <c r="AR244" s="618"/>
      <c r="AS244" s="618"/>
      <c r="AT244" s="618"/>
      <c r="AW244" s="381"/>
      <c r="AX244" s="381"/>
    </row>
    <row r="245" spans="1:53" ht="12.75" customHeight="1">
      <c r="AW245" s="381"/>
      <c r="AX245" s="381"/>
    </row>
    <row r="246" spans="1:53" ht="12.75" customHeight="1">
      <c r="A246" s="617" t="s">
        <v>18</v>
      </c>
      <c r="B246" s="617" t="s">
        <v>160</v>
      </c>
      <c r="C246" s="617">
        <v>2</v>
      </c>
      <c r="D246" s="617" t="s">
        <v>5</v>
      </c>
      <c r="E246" s="617" t="s">
        <v>6</v>
      </c>
      <c r="F246" s="617"/>
      <c r="G246" s="617" t="s">
        <v>25</v>
      </c>
      <c r="H246" s="617" t="s">
        <v>182</v>
      </c>
      <c r="I246" s="617">
        <v>4</v>
      </c>
      <c r="J246" s="617" t="s">
        <v>22</v>
      </c>
      <c r="AO246" s="758" t="str">
        <f>$AO$7</f>
        <v>Kyoto City(R4.11) ver112</v>
      </c>
      <c r="AP246" s="705" t="str">
        <f>IF('1_入力シート【基本情報】'!$AB$7="","",'1_入力シート【基本情報】'!$AB$7)</f>
        <v/>
      </c>
      <c r="AQ246" s="703" t="str">
        <f>IF('1_入力シート【基本情報】'!$AK$7="","",'1_入力シート【基本情報】'!$AK$7)</f>
        <v/>
      </c>
      <c r="AR246" s="2606" t="str">
        <f>IF('1_入力シート【基本情報】'!$AT$7="","",TEXT('1_入力シート【基本情報】'!$AT$7,"0000"))</f>
        <v/>
      </c>
      <c r="AS246" s="2607"/>
      <c r="AT246" s="2607"/>
      <c r="AU246" s="2608"/>
      <c r="AW246" s="381"/>
      <c r="AX246" s="381"/>
    </row>
    <row r="247" spans="1:53" ht="12.75" customHeight="1">
      <c r="U247" s="2665" t="s">
        <v>181</v>
      </c>
      <c r="V247" s="2665"/>
      <c r="W247" s="2665"/>
      <c r="X247" s="2665"/>
      <c r="Y247" s="2665"/>
      <c r="Z247" s="2665"/>
      <c r="AW247" s="381"/>
      <c r="AX247" s="381"/>
    </row>
    <row r="248" spans="1:53" ht="12.75" customHeight="1">
      <c r="AW248" s="381"/>
      <c r="AX248" s="381"/>
    </row>
    <row r="249" spans="1:53" ht="15.75" customHeight="1">
      <c r="A249" s="2634" t="s">
        <v>161</v>
      </c>
      <c r="B249" s="2635"/>
      <c r="C249" s="2636"/>
      <c r="D249" s="2653" t="s">
        <v>162</v>
      </c>
      <c r="E249" s="2654"/>
      <c r="F249" s="2654"/>
      <c r="G249" s="2654"/>
      <c r="H249" s="2654"/>
      <c r="I249" s="2654"/>
      <c r="J249" s="2655"/>
      <c r="K249" s="621"/>
      <c r="L249" s="622"/>
      <c r="M249" s="622"/>
      <c r="N249" s="622"/>
      <c r="O249" s="622"/>
      <c r="P249" s="622"/>
      <c r="Q249" s="622"/>
      <c r="R249" s="622"/>
      <c r="S249" s="623" t="s">
        <v>7</v>
      </c>
      <c r="T249" s="623" t="s">
        <v>8</v>
      </c>
      <c r="U249" s="623" t="s">
        <v>9</v>
      </c>
      <c r="V249" s="623" t="s">
        <v>163</v>
      </c>
      <c r="W249" s="623"/>
      <c r="X249" s="623"/>
      <c r="Y249" s="623"/>
      <c r="Z249" s="623"/>
      <c r="AA249" s="623"/>
      <c r="AB249" s="623"/>
      <c r="AC249" s="623"/>
      <c r="AD249" s="623"/>
      <c r="AE249" s="623"/>
      <c r="AF249" s="623"/>
      <c r="AG249" s="623"/>
      <c r="AH249" s="623"/>
      <c r="AI249" s="624"/>
      <c r="AJ249" s="625"/>
      <c r="AK249" s="2654" t="s">
        <v>33</v>
      </c>
      <c r="AL249" s="2654"/>
      <c r="AM249" s="2654"/>
      <c r="AN249" s="2654"/>
      <c r="AO249" s="2654"/>
      <c r="AP249" s="2654"/>
      <c r="AQ249" s="2654"/>
      <c r="AR249" s="2654"/>
      <c r="AS249" s="2654"/>
      <c r="AT249" s="2654"/>
      <c r="AU249" s="626"/>
      <c r="AW249" s="381"/>
      <c r="AX249" s="381"/>
    </row>
    <row r="250" spans="1:53" ht="15.75" customHeight="1" thickBot="1">
      <c r="A250" s="2647"/>
      <c r="B250" s="2648"/>
      <c r="C250" s="2649"/>
      <c r="D250" s="2634" t="str">
        <f>IFERROR(VLOOKUP(9,'1_入力シート【基本情報】'!$DU$307:$DX$526,3,FALSE),"")</f>
        <v/>
      </c>
      <c r="E250" s="2635"/>
      <c r="F250" s="2635"/>
      <c r="G250" s="2635"/>
      <c r="H250" s="2635"/>
      <c r="I250" s="2635"/>
      <c r="J250" s="2636"/>
      <c r="K250" s="2656" t="str">
        <f>IFERROR(VLOOKUP(9,'1_入力シート【基本情報】'!$DU$307:$DX$526,4,FALSE),"")</f>
        <v/>
      </c>
      <c r="L250" s="2657"/>
      <c r="M250" s="2657"/>
      <c r="N250" s="2657"/>
      <c r="O250" s="2657"/>
      <c r="P250" s="2657"/>
      <c r="Q250" s="2657"/>
      <c r="R250" s="2657"/>
      <c r="S250" s="2657"/>
      <c r="T250" s="2657"/>
      <c r="U250" s="2657"/>
      <c r="V250" s="2657"/>
      <c r="W250" s="2657"/>
      <c r="X250" s="2657"/>
      <c r="Y250" s="2657"/>
      <c r="Z250" s="2657"/>
      <c r="AA250" s="2657"/>
      <c r="AB250" s="2657"/>
      <c r="AC250" s="2657"/>
      <c r="AD250" s="2657"/>
      <c r="AE250" s="2657"/>
      <c r="AF250" s="2657"/>
      <c r="AG250" s="2657"/>
      <c r="AH250" s="2657"/>
      <c r="AI250" s="2658"/>
      <c r="AJ250" s="665"/>
      <c r="AK250" s="665"/>
      <c r="AL250" s="665"/>
      <c r="AM250" s="665"/>
      <c r="AN250" s="665"/>
      <c r="AO250" s="665"/>
      <c r="AP250" s="665"/>
      <c r="AQ250" s="665"/>
      <c r="AR250" s="665"/>
      <c r="AS250" s="665"/>
      <c r="AT250" s="665"/>
      <c r="AU250" s="666"/>
      <c r="AW250" s="381"/>
      <c r="AX250" s="381"/>
    </row>
    <row r="251" spans="1:53" ht="15.75" customHeight="1" thickBot="1">
      <c r="A251" s="2647"/>
      <c r="B251" s="2648"/>
      <c r="C251" s="2649"/>
      <c r="D251" s="2637"/>
      <c r="E251" s="2638"/>
      <c r="F251" s="2638"/>
      <c r="G251" s="2638"/>
      <c r="H251" s="2638"/>
      <c r="I251" s="2638"/>
      <c r="J251" s="2639"/>
      <c r="K251" s="2659"/>
      <c r="L251" s="2660"/>
      <c r="M251" s="2660"/>
      <c r="N251" s="2660"/>
      <c r="O251" s="2660"/>
      <c r="P251" s="2660"/>
      <c r="Q251" s="2660"/>
      <c r="R251" s="2660"/>
      <c r="S251" s="2660"/>
      <c r="T251" s="2660"/>
      <c r="U251" s="2660"/>
      <c r="V251" s="2660"/>
      <c r="W251" s="2660"/>
      <c r="X251" s="2660"/>
      <c r="Y251" s="2660"/>
      <c r="Z251" s="2660"/>
      <c r="AA251" s="2660"/>
      <c r="AB251" s="2660"/>
      <c r="AC251" s="2660"/>
      <c r="AD251" s="2660"/>
      <c r="AE251" s="2660"/>
      <c r="AF251" s="2660"/>
      <c r="AG251" s="2660"/>
      <c r="AH251" s="2660"/>
      <c r="AI251" s="2661"/>
      <c r="AJ251" s="665"/>
      <c r="AK251" s="665" t="str">
        <f>IF(D250&lt;&gt;"","☑","☐")</f>
        <v>☐</v>
      </c>
      <c r="AL251" s="665" t="s">
        <v>14</v>
      </c>
      <c r="AM251" s="665" t="s">
        <v>21</v>
      </c>
      <c r="AN251" s="665" t="s">
        <v>15</v>
      </c>
      <c r="AO251" s="665"/>
      <c r="AP251" s="783" t="s">
        <v>186</v>
      </c>
      <c r="AQ251" s="665" t="s">
        <v>27</v>
      </c>
      <c r="AR251" s="665" t="s">
        <v>23</v>
      </c>
      <c r="AS251" s="665" t="s">
        <v>13</v>
      </c>
      <c r="AT251" s="665"/>
      <c r="AU251" s="666"/>
      <c r="AV251" s="627"/>
      <c r="AW251" s="381"/>
      <c r="AX251" s="381"/>
      <c r="BA251" s="802" t="b">
        <f>AP251="☑"</f>
        <v>0</v>
      </c>
    </row>
    <row r="252" spans="1:53" ht="15.75" customHeight="1">
      <c r="A252" s="2650"/>
      <c r="B252" s="2651"/>
      <c r="C252" s="2652"/>
      <c r="D252" s="2640"/>
      <c r="E252" s="2641"/>
      <c r="F252" s="2641"/>
      <c r="G252" s="2641"/>
      <c r="H252" s="2641"/>
      <c r="I252" s="2641"/>
      <c r="J252" s="2642"/>
      <c r="K252" s="2662"/>
      <c r="L252" s="2663"/>
      <c r="M252" s="2663"/>
      <c r="N252" s="2663"/>
      <c r="O252" s="2663"/>
      <c r="P252" s="2663"/>
      <c r="Q252" s="2663"/>
      <c r="R252" s="2663"/>
      <c r="S252" s="2663"/>
      <c r="T252" s="2663"/>
      <c r="U252" s="2663"/>
      <c r="V252" s="2663"/>
      <c r="W252" s="2663"/>
      <c r="X252" s="2663"/>
      <c r="Y252" s="2663"/>
      <c r="Z252" s="2663"/>
      <c r="AA252" s="2663"/>
      <c r="AB252" s="2663"/>
      <c r="AC252" s="2663"/>
      <c r="AD252" s="2663"/>
      <c r="AE252" s="2663"/>
      <c r="AF252" s="2663"/>
      <c r="AG252" s="2663"/>
      <c r="AH252" s="2663"/>
      <c r="AI252" s="2664"/>
      <c r="AJ252" s="667"/>
      <c r="AK252" s="667"/>
      <c r="AL252" s="667"/>
      <c r="AM252" s="667"/>
      <c r="AN252" s="667"/>
      <c r="AO252" s="667"/>
      <c r="AP252" s="667"/>
      <c r="AQ252" s="667"/>
      <c r="AR252" s="667"/>
      <c r="AS252" s="667"/>
      <c r="AT252" s="667"/>
      <c r="AU252" s="668"/>
      <c r="AW252" s="381"/>
      <c r="AX252" s="381"/>
    </row>
    <row r="253" spans="1:53" ht="15.75" customHeight="1">
      <c r="A253" s="8"/>
      <c r="B253" s="616"/>
      <c r="C253" s="616"/>
      <c r="D253" s="616"/>
      <c r="E253" s="616"/>
      <c r="F253" s="616"/>
      <c r="G253" s="616"/>
      <c r="H253" s="616"/>
      <c r="I253" s="616"/>
      <c r="J253" s="616"/>
      <c r="K253" s="616"/>
      <c r="L253" s="616"/>
      <c r="M253" s="616"/>
      <c r="N253" s="616"/>
      <c r="O253" s="616"/>
      <c r="P253" s="616"/>
      <c r="Q253" s="616"/>
      <c r="R253" s="616"/>
      <c r="S253" s="616"/>
      <c r="T253" s="616"/>
      <c r="U253" s="616"/>
      <c r="V253" s="616"/>
      <c r="W253" s="616"/>
      <c r="X253" s="616"/>
      <c r="Y253" s="9"/>
      <c r="Z253" s="140"/>
      <c r="AA253" s="141" t="s">
        <v>11</v>
      </c>
      <c r="AB253" s="141" t="s">
        <v>10</v>
      </c>
      <c r="AC253" s="141" t="s">
        <v>16</v>
      </c>
      <c r="AD253" s="141" t="s">
        <v>9</v>
      </c>
      <c r="AE253" s="141"/>
      <c r="AF253" s="141"/>
      <c r="AG253" s="141"/>
      <c r="AH253" s="141"/>
      <c r="AI253" s="141"/>
      <c r="AJ253" s="142"/>
      <c r="AK253" s="142"/>
      <c r="AL253" s="142"/>
      <c r="AM253" s="142"/>
      <c r="AN253" s="142"/>
      <c r="AO253" s="142"/>
      <c r="AP253" s="142"/>
      <c r="AQ253" s="142"/>
      <c r="AR253" s="142"/>
      <c r="AS253" s="142"/>
      <c r="AT253" s="142"/>
      <c r="AU253" s="143"/>
      <c r="AW253" s="381"/>
      <c r="AX253" s="381"/>
    </row>
    <row r="254" spans="1:53" ht="15.75" customHeight="1">
      <c r="A254" s="8"/>
      <c r="B254" s="616"/>
      <c r="C254" s="616"/>
      <c r="D254" s="616"/>
      <c r="E254" s="616"/>
      <c r="F254" s="616"/>
      <c r="G254" s="616"/>
      <c r="H254" s="616"/>
      <c r="I254" s="616"/>
      <c r="J254" s="616"/>
      <c r="K254" s="616"/>
      <c r="L254" s="616"/>
      <c r="M254" s="616"/>
      <c r="N254" s="616"/>
      <c r="O254" s="616"/>
      <c r="P254" s="616"/>
      <c r="Q254" s="616"/>
      <c r="R254" s="616"/>
      <c r="S254" s="616"/>
      <c r="T254" s="616"/>
      <c r="U254" s="616"/>
      <c r="V254" s="616"/>
      <c r="W254" s="616"/>
      <c r="X254" s="616"/>
      <c r="Y254" s="9"/>
      <c r="Z254" s="2626"/>
      <c r="AA254" s="2627"/>
      <c r="AB254" s="2627"/>
      <c r="AC254" s="2627"/>
      <c r="AD254" s="2627"/>
      <c r="AE254" s="2627"/>
      <c r="AF254" s="2627"/>
      <c r="AG254" s="2627"/>
      <c r="AH254" s="2627"/>
      <c r="AI254" s="2627"/>
      <c r="AJ254" s="2627"/>
      <c r="AK254" s="2627"/>
      <c r="AL254" s="2627"/>
      <c r="AM254" s="2627"/>
      <c r="AN254" s="2627"/>
      <c r="AO254" s="198"/>
      <c r="AP254" s="198"/>
      <c r="AQ254" s="198"/>
      <c r="AR254" s="198"/>
      <c r="AS254" s="198"/>
      <c r="AT254" s="198"/>
      <c r="AU254" s="199"/>
      <c r="AW254" s="381"/>
      <c r="AX254" s="381"/>
    </row>
    <row r="255" spans="1:53" ht="15.75" customHeight="1">
      <c r="A255" s="8"/>
      <c r="B255" s="616"/>
      <c r="C255" s="616"/>
      <c r="D255" s="616"/>
      <c r="E255" s="616"/>
      <c r="F255" s="616"/>
      <c r="G255" s="616"/>
      <c r="H255" s="616"/>
      <c r="I255" s="616"/>
      <c r="J255" s="616"/>
      <c r="K255" s="616"/>
      <c r="L255" s="616"/>
      <c r="M255" s="616"/>
      <c r="N255" s="616"/>
      <c r="O255" s="616"/>
      <c r="P255" s="616"/>
      <c r="Q255" s="616"/>
      <c r="R255" s="616"/>
      <c r="S255" s="616"/>
      <c r="T255" s="616"/>
      <c r="U255" s="616"/>
      <c r="V255" s="616"/>
      <c r="W255" s="616"/>
      <c r="X255" s="616"/>
      <c r="Y255" s="9"/>
      <c r="Z255" s="2611" t="str">
        <f>IFERROR(VLOOKUP(9,'1_入力シート【基本情報】'!$DU$307:$DZ$526,5,FALSE),"")</f>
        <v/>
      </c>
      <c r="AA255" s="2612"/>
      <c r="AB255" s="2612"/>
      <c r="AC255" s="2612"/>
      <c r="AD255" s="2612"/>
      <c r="AE255" s="2612"/>
      <c r="AF255" s="2612"/>
      <c r="AG255" s="2612"/>
      <c r="AH255" s="2612"/>
      <c r="AI255" s="2612"/>
      <c r="AJ255" s="2612"/>
      <c r="AK255" s="2612"/>
      <c r="AL255" s="2612"/>
      <c r="AM255" s="2612"/>
      <c r="AN255" s="2612"/>
      <c r="AO255" s="2612"/>
      <c r="AP255" s="2612"/>
      <c r="AQ255" s="2612"/>
      <c r="AR255" s="2612"/>
      <c r="AS255" s="2612"/>
      <c r="AT255" s="2612"/>
      <c r="AU255" s="2613"/>
      <c r="AW255" s="381"/>
      <c r="AX255" s="381"/>
    </row>
    <row r="256" spans="1:53" ht="15.75" customHeight="1">
      <c r="A256" s="8"/>
      <c r="B256" s="616"/>
      <c r="C256" s="616"/>
      <c r="D256" s="616"/>
      <c r="E256" s="616"/>
      <c r="F256" s="616"/>
      <c r="G256" s="616"/>
      <c r="H256" s="616"/>
      <c r="I256" s="616"/>
      <c r="J256" s="616"/>
      <c r="K256" s="616"/>
      <c r="L256" s="616"/>
      <c r="M256" s="616"/>
      <c r="N256" s="616"/>
      <c r="O256" s="616"/>
      <c r="P256" s="616"/>
      <c r="Q256" s="616"/>
      <c r="R256" s="616"/>
      <c r="S256" s="616"/>
      <c r="T256" s="616"/>
      <c r="U256" s="616"/>
      <c r="V256" s="616"/>
      <c r="W256" s="616"/>
      <c r="X256" s="616"/>
      <c r="Y256" s="9"/>
      <c r="Z256" s="2614"/>
      <c r="AA256" s="2615"/>
      <c r="AB256" s="2615"/>
      <c r="AC256" s="2615"/>
      <c r="AD256" s="2615"/>
      <c r="AE256" s="2615"/>
      <c r="AF256" s="2615"/>
      <c r="AG256" s="2615"/>
      <c r="AH256" s="2615"/>
      <c r="AI256" s="2615"/>
      <c r="AJ256" s="2615"/>
      <c r="AK256" s="2615"/>
      <c r="AL256" s="2615"/>
      <c r="AM256" s="2615"/>
      <c r="AN256" s="2615"/>
      <c r="AO256" s="2615"/>
      <c r="AP256" s="2615"/>
      <c r="AQ256" s="2615"/>
      <c r="AR256" s="2615"/>
      <c r="AS256" s="2615"/>
      <c r="AT256" s="2615"/>
      <c r="AU256" s="2616"/>
      <c r="AW256" s="381"/>
      <c r="AX256" s="381"/>
    </row>
    <row r="257" spans="1:50" ht="15.75" customHeight="1">
      <c r="A257" s="8"/>
      <c r="B257" s="616"/>
      <c r="C257" s="616"/>
      <c r="D257" s="616"/>
      <c r="E257" s="616"/>
      <c r="F257" s="616"/>
      <c r="G257" s="616"/>
      <c r="H257" s="616"/>
      <c r="I257" s="616"/>
      <c r="J257" s="616"/>
      <c r="K257" s="616"/>
      <c r="L257" s="616"/>
      <c r="M257" s="616"/>
      <c r="N257" s="616"/>
      <c r="O257" s="616"/>
      <c r="P257" s="616"/>
      <c r="Q257" s="616"/>
      <c r="R257" s="616"/>
      <c r="S257" s="616"/>
      <c r="T257" s="616"/>
      <c r="U257" s="616"/>
      <c r="V257" s="616"/>
      <c r="W257" s="616"/>
      <c r="X257" s="616"/>
      <c r="Y257" s="9"/>
      <c r="Z257" s="2617"/>
      <c r="AA257" s="2618"/>
      <c r="AB257" s="2618"/>
      <c r="AC257" s="2618"/>
      <c r="AD257" s="2618"/>
      <c r="AE257" s="2618"/>
      <c r="AF257" s="2618"/>
      <c r="AG257" s="2618"/>
      <c r="AH257" s="2618"/>
      <c r="AI257" s="2618"/>
      <c r="AJ257" s="2618"/>
      <c r="AK257" s="2618"/>
      <c r="AL257" s="2618"/>
      <c r="AM257" s="2618"/>
      <c r="AN257" s="2618"/>
      <c r="AO257" s="2618"/>
      <c r="AP257" s="2618"/>
      <c r="AQ257" s="2618"/>
      <c r="AR257" s="2618"/>
      <c r="AS257" s="2618"/>
      <c r="AT257" s="2618"/>
      <c r="AU257" s="2619"/>
      <c r="AW257" s="381"/>
      <c r="AX257" s="381"/>
    </row>
    <row r="258" spans="1:50" ht="15.75" customHeight="1">
      <c r="A258" s="8"/>
      <c r="B258" s="669"/>
      <c r="C258" s="669"/>
      <c r="D258" s="669"/>
      <c r="E258" s="669"/>
      <c r="F258" s="669"/>
      <c r="G258" s="669"/>
      <c r="H258" s="669"/>
      <c r="I258" s="669"/>
      <c r="J258" s="669"/>
      <c r="K258" s="669"/>
      <c r="L258" s="669"/>
      <c r="M258" s="669"/>
      <c r="N258" s="669"/>
      <c r="O258" s="669"/>
      <c r="P258" s="669"/>
      <c r="Q258" s="669"/>
      <c r="R258" s="669"/>
      <c r="S258" s="669"/>
      <c r="T258" s="669"/>
      <c r="U258" s="669"/>
      <c r="V258" s="669"/>
      <c r="W258" s="669"/>
      <c r="X258" s="669"/>
      <c r="Y258" s="9"/>
      <c r="Z258" s="2620"/>
      <c r="AA258" s="2621"/>
      <c r="AB258" s="2621"/>
      <c r="AC258" s="2621"/>
      <c r="AD258" s="2621"/>
      <c r="AE258" s="2621"/>
      <c r="AF258" s="2621"/>
      <c r="AG258" s="2621"/>
      <c r="AH258" s="2621"/>
      <c r="AI258" s="2621"/>
      <c r="AJ258" s="2621"/>
      <c r="AK258" s="2621"/>
      <c r="AL258" s="2621"/>
      <c r="AM258" s="2621"/>
      <c r="AN258" s="2621"/>
      <c r="AO258" s="2621"/>
      <c r="AP258" s="2621"/>
      <c r="AQ258" s="2621"/>
      <c r="AR258" s="2621"/>
      <c r="AS258" s="2621"/>
      <c r="AT258" s="2621"/>
      <c r="AU258" s="2622"/>
      <c r="AW258" s="381"/>
      <c r="AX258" s="381"/>
    </row>
    <row r="259" spans="1:50" ht="15.75" customHeight="1">
      <c r="A259" s="8"/>
      <c r="B259" s="669"/>
      <c r="C259" s="669"/>
      <c r="D259" s="669"/>
      <c r="E259" s="669"/>
      <c r="F259" s="669"/>
      <c r="G259" s="669"/>
      <c r="H259" s="669"/>
      <c r="I259" s="669"/>
      <c r="J259" s="669"/>
      <c r="K259" s="669"/>
      <c r="L259" s="669"/>
      <c r="M259" s="669"/>
      <c r="N259" s="669"/>
      <c r="O259" s="669"/>
      <c r="P259" s="669"/>
      <c r="Q259" s="669"/>
      <c r="R259" s="669"/>
      <c r="S259" s="669"/>
      <c r="T259" s="669"/>
      <c r="U259" s="669"/>
      <c r="V259" s="669"/>
      <c r="W259" s="669"/>
      <c r="X259" s="669"/>
      <c r="Y259" s="9"/>
      <c r="Z259" s="2620"/>
      <c r="AA259" s="2621"/>
      <c r="AB259" s="2621"/>
      <c r="AC259" s="2621"/>
      <c r="AD259" s="2621"/>
      <c r="AE259" s="2621"/>
      <c r="AF259" s="2621"/>
      <c r="AG259" s="2621"/>
      <c r="AH259" s="2621"/>
      <c r="AI259" s="2621"/>
      <c r="AJ259" s="2621"/>
      <c r="AK259" s="2621"/>
      <c r="AL259" s="2621"/>
      <c r="AM259" s="2621"/>
      <c r="AN259" s="2621"/>
      <c r="AO259" s="2621"/>
      <c r="AP259" s="2621"/>
      <c r="AQ259" s="2621"/>
      <c r="AR259" s="2621"/>
      <c r="AS259" s="2621"/>
      <c r="AT259" s="2621"/>
      <c r="AU259" s="2622"/>
      <c r="AW259" s="381"/>
      <c r="AX259" s="381"/>
    </row>
    <row r="260" spans="1:50" ht="15.75" customHeight="1">
      <c r="A260" s="8"/>
      <c r="B260" s="669"/>
      <c r="C260" s="669"/>
      <c r="D260" s="669"/>
      <c r="E260" s="669"/>
      <c r="F260" s="669"/>
      <c r="G260" s="669"/>
      <c r="H260" s="669"/>
      <c r="I260" s="669"/>
      <c r="J260" s="669"/>
      <c r="K260" s="669"/>
      <c r="L260" s="669"/>
      <c r="M260" s="669"/>
      <c r="N260" s="669"/>
      <c r="O260" s="669"/>
      <c r="P260" s="669"/>
      <c r="Q260" s="669"/>
      <c r="R260" s="669"/>
      <c r="S260" s="669"/>
      <c r="T260" s="669"/>
      <c r="U260" s="669"/>
      <c r="V260" s="669"/>
      <c r="W260" s="669"/>
      <c r="X260" s="669"/>
      <c r="Y260" s="9"/>
      <c r="Z260" s="2620"/>
      <c r="AA260" s="2621"/>
      <c r="AB260" s="2621"/>
      <c r="AC260" s="2621"/>
      <c r="AD260" s="2621"/>
      <c r="AE260" s="2621"/>
      <c r="AF260" s="2621"/>
      <c r="AG260" s="2621"/>
      <c r="AH260" s="2621"/>
      <c r="AI260" s="2621"/>
      <c r="AJ260" s="2621"/>
      <c r="AK260" s="2621"/>
      <c r="AL260" s="2621"/>
      <c r="AM260" s="2621"/>
      <c r="AN260" s="2621"/>
      <c r="AO260" s="2621"/>
      <c r="AP260" s="2621"/>
      <c r="AQ260" s="2621"/>
      <c r="AR260" s="2621"/>
      <c r="AS260" s="2621"/>
      <c r="AT260" s="2621"/>
      <c r="AU260" s="2622"/>
      <c r="AW260" s="381"/>
      <c r="AX260" s="381"/>
    </row>
    <row r="261" spans="1:50" ht="15.75" customHeight="1">
      <c r="A261" s="8"/>
      <c r="B261" s="669"/>
      <c r="C261" s="669"/>
      <c r="D261" s="669"/>
      <c r="E261" s="669"/>
      <c r="F261" s="669"/>
      <c r="G261" s="669"/>
      <c r="H261" s="669"/>
      <c r="I261" s="669"/>
      <c r="J261" s="669"/>
      <c r="K261" s="2629" t="s">
        <v>164</v>
      </c>
      <c r="L261" s="2629"/>
      <c r="M261" s="2629"/>
      <c r="N261" s="2629"/>
      <c r="O261" s="2629"/>
      <c r="P261" s="2629"/>
      <c r="Q261" s="669"/>
      <c r="R261" s="669"/>
      <c r="S261" s="669"/>
      <c r="T261" s="669"/>
      <c r="U261" s="669"/>
      <c r="V261" s="669"/>
      <c r="W261" s="669"/>
      <c r="X261" s="669"/>
      <c r="Y261" s="9"/>
      <c r="Z261" s="2620"/>
      <c r="AA261" s="2621"/>
      <c r="AB261" s="2621"/>
      <c r="AC261" s="2621"/>
      <c r="AD261" s="2621"/>
      <c r="AE261" s="2621"/>
      <c r="AF261" s="2621"/>
      <c r="AG261" s="2621"/>
      <c r="AH261" s="2621"/>
      <c r="AI261" s="2621"/>
      <c r="AJ261" s="2621"/>
      <c r="AK261" s="2621"/>
      <c r="AL261" s="2621"/>
      <c r="AM261" s="2621"/>
      <c r="AN261" s="2621"/>
      <c r="AO261" s="2621"/>
      <c r="AP261" s="2621"/>
      <c r="AQ261" s="2621"/>
      <c r="AR261" s="2621"/>
      <c r="AS261" s="2621"/>
      <c r="AT261" s="2621"/>
      <c r="AU261" s="2622"/>
      <c r="AW261" s="381"/>
      <c r="AX261" s="381"/>
    </row>
    <row r="262" spans="1:50" ht="15.75" customHeight="1">
      <c r="A262" s="8"/>
      <c r="B262" s="669"/>
      <c r="C262" s="669"/>
      <c r="D262" s="669"/>
      <c r="E262" s="669"/>
      <c r="F262" s="669"/>
      <c r="G262" s="669"/>
      <c r="H262" s="669"/>
      <c r="I262" s="669"/>
      <c r="J262" s="669"/>
      <c r="K262" s="669"/>
      <c r="L262" s="669"/>
      <c r="M262" s="669"/>
      <c r="N262" s="669"/>
      <c r="O262" s="669"/>
      <c r="P262" s="669"/>
      <c r="Q262" s="669"/>
      <c r="R262" s="669"/>
      <c r="S262" s="669"/>
      <c r="T262" s="669"/>
      <c r="U262" s="669"/>
      <c r="V262" s="669"/>
      <c r="W262" s="669"/>
      <c r="X262" s="669"/>
      <c r="Y262" s="9"/>
      <c r="Z262" s="2620"/>
      <c r="AA262" s="2621"/>
      <c r="AB262" s="2621"/>
      <c r="AC262" s="2621"/>
      <c r="AD262" s="2621"/>
      <c r="AE262" s="2621"/>
      <c r="AF262" s="2621"/>
      <c r="AG262" s="2621"/>
      <c r="AH262" s="2621"/>
      <c r="AI262" s="2621"/>
      <c r="AJ262" s="2621"/>
      <c r="AK262" s="2621"/>
      <c r="AL262" s="2621"/>
      <c r="AM262" s="2621"/>
      <c r="AN262" s="2621"/>
      <c r="AO262" s="2621"/>
      <c r="AP262" s="2621"/>
      <c r="AQ262" s="2621"/>
      <c r="AR262" s="2621"/>
      <c r="AS262" s="2621"/>
      <c r="AT262" s="2621"/>
      <c r="AU262" s="2622"/>
      <c r="AW262" s="381"/>
      <c r="AX262" s="381"/>
    </row>
    <row r="263" spans="1:50" ht="15.75" customHeight="1">
      <c r="A263" s="8"/>
      <c r="B263" s="669"/>
      <c r="C263" s="669"/>
      <c r="D263" s="669"/>
      <c r="E263" s="669"/>
      <c r="F263" s="669"/>
      <c r="G263" s="669"/>
      <c r="H263" s="669"/>
      <c r="I263" s="669"/>
      <c r="J263" s="669"/>
      <c r="K263" s="669"/>
      <c r="L263" s="669"/>
      <c r="M263" s="669"/>
      <c r="N263" s="669"/>
      <c r="O263" s="669"/>
      <c r="P263" s="669"/>
      <c r="Q263" s="669"/>
      <c r="R263" s="669"/>
      <c r="S263" s="669"/>
      <c r="T263" s="669"/>
      <c r="U263" s="669"/>
      <c r="V263" s="669"/>
      <c r="W263" s="669"/>
      <c r="X263" s="669"/>
      <c r="Y263" s="9"/>
      <c r="Z263" s="2620"/>
      <c r="AA263" s="2621"/>
      <c r="AB263" s="2621"/>
      <c r="AC263" s="2621"/>
      <c r="AD263" s="2621"/>
      <c r="AE263" s="2621"/>
      <c r="AF263" s="2621"/>
      <c r="AG263" s="2621"/>
      <c r="AH263" s="2621"/>
      <c r="AI263" s="2621"/>
      <c r="AJ263" s="2621"/>
      <c r="AK263" s="2621"/>
      <c r="AL263" s="2621"/>
      <c r="AM263" s="2621"/>
      <c r="AN263" s="2621"/>
      <c r="AO263" s="2621"/>
      <c r="AP263" s="2621"/>
      <c r="AQ263" s="2621"/>
      <c r="AR263" s="2621"/>
      <c r="AS263" s="2621"/>
      <c r="AT263" s="2621"/>
      <c r="AU263" s="2622"/>
      <c r="AW263" s="381"/>
      <c r="AX263" s="381"/>
    </row>
    <row r="264" spans="1:50" ht="15.75" customHeight="1">
      <c r="A264" s="8"/>
      <c r="B264" s="669"/>
      <c r="C264" s="669"/>
      <c r="D264" s="669"/>
      <c r="E264" s="669"/>
      <c r="F264" s="669"/>
      <c r="G264" s="669"/>
      <c r="H264" s="669"/>
      <c r="I264" s="669"/>
      <c r="J264" s="669"/>
      <c r="K264" s="669"/>
      <c r="L264" s="669"/>
      <c r="M264" s="669"/>
      <c r="N264" s="669"/>
      <c r="O264" s="669"/>
      <c r="P264" s="669"/>
      <c r="Q264" s="669"/>
      <c r="R264" s="669"/>
      <c r="S264" s="669"/>
      <c r="T264" s="669"/>
      <c r="U264" s="669"/>
      <c r="V264" s="669"/>
      <c r="W264" s="669"/>
      <c r="X264" s="669"/>
      <c r="Y264" s="9"/>
      <c r="Z264" s="2620"/>
      <c r="AA264" s="2621"/>
      <c r="AB264" s="2621"/>
      <c r="AC264" s="2621"/>
      <c r="AD264" s="2621"/>
      <c r="AE264" s="2621"/>
      <c r="AF264" s="2621"/>
      <c r="AG264" s="2621"/>
      <c r="AH264" s="2621"/>
      <c r="AI264" s="2621"/>
      <c r="AJ264" s="2621"/>
      <c r="AK264" s="2621"/>
      <c r="AL264" s="2621"/>
      <c r="AM264" s="2621"/>
      <c r="AN264" s="2621"/>
      <c r="AO264" s="2621"/>
      <c r="AP264" s="2621"/>
      <c r="AQ264" s="2621"/>
      <c r="AR264" s="2621"/>
      <c r="AS264" s="2621"/>
      <c r="AT264" s="2621"/>
      <c r="AU264" s="2622"/>
      <c r="AW264" s="381"/>
      <c r="AX264" s="381"/>
    </row>
    <row r="265" spans="1:50" ht="15.75" customHeight="1">
      <c r="A265" s="8"/>
      <c r="B265" s="669"/>
      <c r="C265" s="669"/>
      <c r="D265" s="669"/>
      <c r="E265" s="669"/>
      <c r="F265" s="669"/>
      <c r="G265" s="669"/>
      <c r="H265" s="669"/>
      <c r="I265" s="669"/>
      <c r="J265" s="669"/>
      <c r="K265" s="669"/>
      <c r="L265" s="669"/>
      <c r="M265" s="669"/>
      <c r="N265" s="669"/>
      <c r="O265" s="669"/>
      <c r="P265" s="669"/>
      <c r="Q265" s="669"/>
      <c r="R265" s="669"/>
      <c r="S265" s="669"/>
      <c r="T265" s="669"/>
      <c r="U265" s="669"/>
      <c r="V265" s="669"/>
      <c r="W265" s="669"/>
      <c r="X265" s="669"/>
      <c r="Y265" s="9"/>
      <c r="Z265" s="2620"/>
      <c r="AA265" s="2621"/>
      <c r="AB265" s="2621"/>
      <c r="AC265" s="2621"/>
      <c r="AD265" s="2621"/>
      <c r="AE265" s="2621"/>
      <c r="AF265" s="2621"/>
      <c r="AG265" s="2621"/>
      <c r="AH265" s="2621"/>
      <c r="AI265" s="2621"/>
      <c r="AJ265" s="2621"/>
      <c r="AK265" s="2621"/>
      <c r="AL265" s="2621"/>
      <c r="AM265" s="2621"/>
      <c r="AN265" s="2621"/>
      <c r="AO265" s="2621"/>
      <c r="AP265" s="2621"/>
      <c r="AQ265" s="2621"/>
      <c r="AR265" s="2621"/>
      <c r="AS265" s="2621"/>
      <c r="AT265" s="2621"/>
      <c r="AU265" s="2622"/>
      <c r="AW265" s="381"/>
      <c r="AX265" s="381"/>
    </row>
    <row r="266" spans="1:50" ht="15.75" customHeight="1">
      <c r="A266" s="8"/>
      <c r="B266" s="669"/>
      <c r="C266" s="669"/>
      <c r="D266" s="669"/>
      <c r="E266" s="669"/>
      <c r="F266" s="669"/>
      <c r="G266" s="669"/>
      <c r="H266" s="669"/>
      <c r="I266" s="669"/>
      <c r="J266" s="669"/>
      <c r="K266" s="669"/>
      <c r="L266" s="669"/>
      <c r="M266" s="669"/>
      <c r="N266" s="669"/>
      <c r="O266" s="669"/>
      <c r="P266" s="669"/>
      <c r="Q266" s="669"/>
      <c r="R266" s="669"/>
      <c r="S266" s="669"/>
      <c r="T266" s="669"/>
      <c r="U266" s="669"/>
      <c r="V266" s="669"/>
      <c r="W266" s="669"/>
      <c r="X266" s="669"/>
      <c r="Y266" s="9"/>
      <c r="Z266" s="2620"/>
      <c r="AA266" s="2621"/>
      <c r="AB266" s="2621"/>
      <c r="AC266" s="2621"/>
      <c r="AD266" s="2621"/>
      <c r="AE266" s="2621"/>
      <c r="AF266" s="2621"/>
      <c r="AG266" s="2621"/>
      <c r="AH266" s="2621"/>
      <c r="AI266" s="2621"/>
      <c r="AJ266" s="2621"/>
      <c r="AK266" s="2621"/>
      <c r="AL266" s="2621"/>
      <c r="AM266" s="2621"/>
      <c r="AN266" s="2621"/>
      <c r="AO266" s="2621"/>
      <c r="AP266" s="2621"/>
      <c r="AQ266" s="2621"/>
      <c r="AR266" s="2621"/>
      <c r="AS266" s="2621"/>
      <c r="AT266" s="2621"/>
      <c r="AU266" s="2622"/>
      <c r="AW266" s="381"/>
      <c r="AX266" s="381"/>
    </row>
    <row r="267" spans="1:50" ht="15.75" customHeight="1">
      <c r="A267" s="8"/>
      <c r="B267" s="669"/>
      <c r="C267" s="669"/>
      <c r="D267" s="669"/>
      <c r="E267" s="669"/>
      <c r="F267" s="669"/>
      <c r="G267" s="669"/>
      <c r="H267" s="669"/>
      <c r="I267" s="669"/>
      <c r="J267" s="669"/>
      <c r="K267" s="669"/>
      <c r="L267" s="669"/>
      <c r="M267" s="669"/>
      <c r="N267" s="669"/>
      <c r="O267" s="669"/>
      <c r="P267" s="669"/>
      <c r="Q267" s="669"/>
      <c r="R267" s="669"/>
      <c r="S267" s="669"/>
      <c r="T267" s="669"/>
      <c r="U267" s="669"/>
      <c r="V267" s="669"/>
      <c r="W267" s="669"/>
      <c r="X267" s="669"/>
      <c r="Y267" s="9"/>
      <c r="Z267" s="2620"/>
      <c r="AA267" s="2621"/>
      <c r="AB267" s="2621"/>
      <c r="AC267" s="2621"/>
      <c r="AD267" s="2621"/>
      <c r="AE267" s="2621"/>
      <c r="AF267" s="2621"/>
      <c r="AG267" s="2621"/>
      <c r="AH267" s="2621"/>
      <c r="AI267" s="2621"/>
      <c r="AJ267" s="2621"/>
      <c r="AK267" s="2621"/>
      <c r="AL267" s="2621"/>
      <c r="AM267" s="2621"/>
      <c r="AN267" s="2621"/>
      <c r="AO267" s="2621"/>
      <c r="AP267" s="2621"/>
      <c r="AQ267" s="2621"/>
      <c r="AR267" s="2621"/>
      <c r="AS267" s="2621"/>
      <c r="AT267" s="2621"/>
      <c r="AU267" s="2622"/>
      <c r="AW267" s="381"/>
      <c r="AX267" s="381"/>
    </row>
    <row r="268" spans="1:50" ht="15.75" customHeight="1">
      <c r="A268" s="8"/>
      <c r="B268" s="669"/>
      <c r="C268" s="669"/>
      <c r="D268" s="669"/>
      <c r="E268" s="669"/>
      <c r="F268" s="669"/>
      <c r="G268" s="669"/>
      <c r="H268" s="669"/>
      <c r="I268" s="669"/>
      <c r="J268" s="669"/>
      <c r="K268" s="669"/>
      <c r="L268" s="669"/>
      <c r="M268" s="669"/>
      <c r="N268" s="669"/>
      <c r="O268" s="669"/>
      <c r="P268" s="669"/>
      <c r="Q268" s="669"/>
      <c r="R268" s="669"/>
      <c r="S268" s="669"/>
      <c r="T268" s="669"/>
      <c r="U268" s="669"/>
      <c r="V268" s="669"/>
      <c r="W268" s="669"/>
      <c r="X268" s="669"/>
      <c r="Y268" s="9"/>
      <c r="Z268" s="2620"/>
      <c r="AA268" s="2621"/>
      <c r="AB268" s="2621"/>
      <c r="AC268" s="2621"/>
      <c r="AD268" s="2621"/>
      <c r="AE268" s="2621"/>
      <c r="AF268" s="2621"/>
      <c r="AG268" s="2621"/>
      <c r="AH268" s="2621"/>
      <c r="AI268" s="2621"/>
      <c r="AJ268" s="2621"/>
      <c r="AK268" s="2621"/>
      <c r="AL268" s="2621"/>
      <c r="AM268" s="2621"/>
      <c r="AN268" s="2621"/>
      <c r="AO268" s="2621"/>
      <c r="AP268" s="2621"/>
      <c r="AQ268" s="2621"/>
      <c r="AR268" s="2621"/>
      <c r="AS268" s="2621"/>
      <c r="AT268" s="2621"/>
      <c r="AU268" s="2622"/>
      <c r="AW268" s="381"/>
      <c r="AX268" s="381"/>
    </row>
    <row r="269" spans="1:50" ht="15.75" customHeight="1">
      <c r="A269" s="8"/>
      <c r="B269" s="669"/>
      <c r="C269" s="669"/>
      <c r="D269" s="669"/>
      <c r="E269" s="669"/>
      <c r="F269" s="669"/>
      <c r="G269" s="669"/>
      <c r="H269" s="669"/>
      <c r="I269" s="669"/>
      <c r="J269" s="669"/>
      <c r="K269" s="669"/>
      <c r="L269" s="669"/>
      <c r="M269" s="669"/>
      <c r="N269" s="669"/>
      <c r="O269" s="669"/>
      <c r="P269" s="669"/>
      <c r="Q269" s="669"/>
      <c r="R269" s="669"/>
      <c r="S269" s="669"/>
      <c r="T269" s="669"/>
      <c r="U269" s="669"/>
      <c r="V269" s="669"/>
      <c r="W269" s="669"/>
      <c r="X269" s="669"/>
      <c r="Y269" s="9"/>
      <c r="Z269" s="2620"/>
      <c r="AA269" s="2621"/>
      <c r="AB269" s="2621"/>
      <c r="AC269" s="2621"/>
      <c r="AD269" s="2621"/>
      <c r="AE269" s="2621"/>
      <c r="AF269" s="2621"/>
      <c r="AG269" s="2621"/>
      <c r="AH269" s="2621"/>
      <c r="AI269" s="2621"/>
      <c r="AJ269" s="2621"/>
      <c r="AK269" s="2621"/>
      <c r="AL269" s="2621"/>
      <c r="AM269" s="2621"/>
      <c r="AN269" s="2621"/>
      <c r="AO269" s="2621"/>
      <c r="AP269" s="2621"/>
      <c r="AQ269" s="2621"/>
      <c r="AR269" s="2621"/>
      <c r="AS269" s="2621"/>
      <c r="AT269" s="2621"/>
      <c r="AU269" s="2622"/>
      <c r="AW269" s="381"/>
      <c r="AX269" s="381"/>
    </row>
    <row r="270" spans="1:50" ht="15.75" customHeight="1">
      <c r="A270" s="12"/>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1"/>
      <c r="Z270" s="2623"/>
      <c r="AA270" s="2624"/>
      <c r="AB270" s="2624"/>
      <c r="AC270" s="2624"/>
      <c r="AD270" s="2624"/>
      <c r="AE270" s="2624"/>
      <c r="AF270" s="2624"/>
      <c r="AG270" s="2624"/>
      <c r="AH270" s="2624"/>
      <c r="AI270" s="2624"/>
      <c r="AJ270" s="2624"/>
      <c r="AK270" s="2624"/>
      <c r="AL270" s="2624"/>
      <c r="AM270" s="2624"/>
      <c r="AN270" s="2624"/>
      <c r="AO270" s="2624"/>
      <c r="AP270" s="2624"/>
      <c r="AQ270" s="2624"/>
      <c r="AR270" s="2624"/>
      <c r="AS270" s="2624"/>
      <c r="AT270" s="2624"/>
      <c r="AU270" s="2625"/>
      <c r="AW270" s="381"/>
      <c r="AX270" s="381"/>
    </row>
    <row r="271" spans="1:50" ht="12.75" customHeight="1">
      <c r="AW271" s="381"/>
      <c r="AX271" s="381"/>
    </row>
    <row r="272" spans="1:50" ht="15.75" customHeight="1">
      <c r="A272" s="2634" t="s">
        <v>161</v>
      </c>
      <c r="B272" s="2635"/>
      <c r="C272" s="2636"/>
      <c r="D272" s="2653" t="s">
        <v>162</v>
      </c>
      <c r="E272" s="2654"/>
      <c r="F272" s="2654"/>
      <c r="G272" s="2654"/>
      <c r="H272" s="2654"/>
      <c r="I272" s="2654"/>
      <c r="J272" s="2655"/>
      <c r="K272" s="625"/>
      <c r="L272" s="622"/>
      <c r="M272" s="622"/>
      <c r="N272" s="622"/>
      <c r="O272" s="622"/>
      <c r="P272" s="622"/>
      <c r="Q272" s="622"/>
      <c r="R272" s="622"/>
      <c r="S272" s="623" t="s">
        <v>7</v>
      </c>
      <c r="T272" s="623" t="s">
        <v>8</v>
      </c>
      <c r="U272" s="623" t="s">
        <v>9</v>
      </c>
      <c r="V272" s="623" t="s">
        <v>163</v>
      </c>
      <c r="W272" s="623"/>
      <c r="X272" s="623"/>
      <c r="Y272" s="623"/>
      <c r="Z272" s="623"/>
      <c r="AA272" s="623"/>
      <c r="AB272" s="623"/>
      <c r="AC272" s="623"/>
      <c r="AD272" s="623"/>
      <c r="AE272" s="623"/>
      <c r="AF272" s="623"/>
      <c r="AG272" s="623"/>
      <c r="AH272" s="623"/>
      <c r="AI272" s="624"/>
      <c r="AJ272" s="625"/>
      <c r="AK272" s="2654" t="s">
        <v>33</v>
      </c>
      <c r="AL272" s="2654"/>
      <c r="AM272" s="2654"/>
      <c r="AN272" s="2654"/>
      <c r="AO272" s="2654"/>
      <c r="AP272" s="2654"/>
      <c r="AQ272" s="2654"/>
      <c r="AR272" s="2654"/>
      <c r="AS272" s="2654"/>
      <c r="AT272" s="2654"/>
      <c r="AU272" s="626"/>
      <c r="AW272" s="381"/>
      <c r="AX272" s="381"/>
    </row>
    <row r="273" spans="1:53" ht="15.75" customHeight="1" thickBot="1">
      <c r="A273" s="2647"/>
      <c r="B273" s="2648"/>
      <c r="C273" s="2649"/>
      <c r="D273" s="2634" t="str">
        <f>IFERROR(VLOOKUP(10,'1_入力シート【基本情報】'!$DU$307:$DX$526,3,FALSE),"")</f>
        <v/>
      </c>
      <c r="E273" s="2635"/>
      <c r="F273" s="2635"/>
      <c r="G273" s="2635"/>
      <c r="H273" s="2635"/>
      <c r="I273" s="2635"/>
      <c r="J273" s="2636"/>
      <c r="K273" s="2656" t="str">
        <f>IFERROR(VLOOKUP(10,'1_入力シート【基本情報】'!$DU$307:$DX$526,4,FALSE),"")</f>
        <v/>
      </c>
      <c r="L273" s="2657"/>
      <c r="M273" s="2657"/>
      <c r="N273" s="2657"/>
      <c r="O273" s="2657"/>
      <c r="P273" s="2657"/>
      <c r="Q273" s="2657"/>
      <c r="R273" s="2657"/>
      <c r="S273" s="2657"/>
      <c r="T273" s="2657"/>
      <c r="U273" s="2657"/>
      <c r="V273" s="2657"/>
      <c r="W273" s="2657"/>
      <c r="X273" s="2657"/>
      <c r="Y273" s="2657"/>
      <c r="Z273" s="2657"/>
      <c r="AA273" s="2657"/>
      <c r="AB273" s="2657"/>
      <c r="AC273" s="2657"/>
      <c r="AD273" s="2657"/>
      <c r="AE273" s="2657"/>
      <c r="AF273" s="2657"/>
      <c r="AG273" s="2657"/>
      <c r="AH273" s="2657"/>
      <c r="AI273" s="2658"/>
      <c r="AJ273" s="665"/>
      <c r="AK273" s="665"/>
      <c r="AL273" s="665"/>
      <c r="AM273" s="665"/>
      <c r="AN273" s="665"/>
      <c r="AO273" s="665"/>
      <c r="AP273" s="665"/>
      <c r="AQ273" s="665"/>
      <c r="AR273" s="665"/>
      <c r="AS273" s="665"/>
      <c r="AT273" s="665"/>
      <c r="AU273" s="666"/>
      <c r="AW273" s="381"/>
      <c r="AX273" s="381"/>
    </row>
    <row r="274" spans="1:53" ht="15.75" customHeight="1" thickBot="1">
      <c r="A274" s="2647"/>
      <c r="B274" s="2648"/>
      <c r="C274" s="2649"/>
      <c r="D274" s="2637"/>
      <c r="E274" s="2638"/>
      <c r="F274" s="2638"/>
      <c r="G274" s="2638"/>
      <c r="H274" s="2638"/>
      <c r="I274" s="2638"/>
      <c r="J274" s="2639"/>
      <c r="K274" s="2659"/>
      <c r="L274" s="2660"/>
      <c r="M274" s="2660"/>
      <c r="N274" s="2660"/>
      <c r="O274" s="2660"/>
      <c r="P274" s="2660"/>
      <c r="Q274" s="2660"/>
      <c r="R274" s="2660"/>
      <c r="S274" s="2660"/>
      <c r="T274" s="2660"/>
      <c r="U274" s="2660"/>
      <c r="V274" s="2660"/>
      <c r="W274" s="2660"/>
      <c r="X274" s="2660"/>
      <c r="Y274" s="2660"/>
      <c r="Z274" s="2660"/>
      <c r="AA274" s="2660"/>
      <c r="AB274" s="2660"/>
      <c r="AC274" s="2660"/>
      <c r="AD274" s="2660"/>
      <c r="AE274" s="2660"/>
      <c r="AF274" s="2660"/>
      <c r="AG274" s="2660"/>
      <c r="AH274" s="2660"/>
      <c r="AI274" s="2661"/>
      <c r="AJ274" s="665"/>
      <c r="AK274" s="665" t="str">
        <f>IF(D273&lt;&gt;"","☑","☐")</f>
        <v>☐</v>
      </c>
      <c r="AL274" s="665" t="s">
        <v>14</v>
      </c>
      <c r="AM274" s="665" t="s">
        <v>21</v>
      </c>
      <c r="AN274" s="665" t="s">
        <v>15</v>
      </c>
      <c r="AO274" s="665"/>
      <c r="AP274" s="783" t="s">
        <v>186</v>
      </c>
      <c r="AQ274" s="665" t="s">
        <v>27</v>
      </c>
      <c r="AR274" s="665" t="s">
        <v>23</v>
      </c>
      <c r="AS274" s="665" t="s">
        <v>13</v>
      </c>
      <c r="AT274" s="665"/>
      <c r="AU274" s="666"/>
      <c r="AW274" s="381"/>
      <c r="AX274" s="381"/>
      <c r="BA274" s="802" t="b">
        <f>AP274="☑"</f>
        <v>0</v>
      </c>
    </row>
    <row r="275" spans="1:53" ht="15.75" customHeight="1">
      <c r="A275" s="2650"/>
      <c r="B275" s="2651"/>
      <c r="C275" s="2652"/>
      <c r="D275" s="2640"/>
      <c r="E275" s="2641"/>
      <c r="F275" s="2641"/>
      <c r="G275" s="2641"/>
      <c r="H275" s="2641"/>
      <c r="I275" s="2641"/>
      <c r="J275" s="2642"/>
      <c r="K275" s="2662"/>
      <c r="L275" s="2663"/>
      <c r="M275" s="2663"/>
      <c r="N275" s="2663"/>
      <c r="O275" s="2663"/>
      <c r="P275" s="2663"/>
      <c r="Q275" s="2663"/>
      <c r="R275" s="2663"/>
      <c r="S275" s="2663"/>
      <c r="T275" s="2663"/>
      <c r="U275" s="2663"/>
      <c r="V275" s="2663"/>
      <c r="W275" s="2663"/>
      <c r="X275" s="2663"/>
      <c r="Y275" s="2663"/>
      <c r="Z275" s="2663"/>
      <c r="AA275" s="2663"/>
      <c r="AB275" s="2663"/>
      <c r="AC275" s="2663"/>
      <c r="AD275" s="2663"/>
      <c r="AE275" s="2663"/>
      <c r="AF275" s="2663"/>
      <c r="AG275" s="2663"/>
      <c r="AH275" s="2663"/>
      <c r="AI275" s="2664"/>
      <c r="AJ275" s="667"/>
      <c r="AK275" s="667"/>
      <c r="AL275" s="667"/>
      <c r="AM275" s="667"/>
      <c r="AN275" s="667"/>
      <c r="AO275" s="667"/>
      <c r="AP275" s="667"/>
      <c r="AQ275" s="667"/>
      <c r="AR275" s="667"/>
      <c r="AS275" s="667"/>
      <c r="AT275" s="667"/>
      <c r="AU275" s="668"/>
      <c r="AW275" s="381"/>
      <c r="AX275" s="381"/>
    </row>
    <row r="276" spans="1:53" ht="15.75" customHeight="1">
      <c r="A276" s="8"/>
      <c r="B276" s="616"/>
      <c r="C276" s="616"/>
      <c r="D276" s="616"/>
      <c r="E276" s="616"/>
      <c r="F276" s="616"/>
      <c r="G276" s="616"/>
      <c r="H276" s="616"/>
      <c r="I276" s="616"/>
      <c r="J276" s="616"/>
      <c r="K276" s="616"/>
      <c r="L276" s="616"/>
      <c r="M276" s="616"/>
      <c r="N276" s="616"/>
      <c r="O276" s="616"/>
      <c r="P276" s="616"/>
      <c r="Q276" s="616"/>
      <c r="R276" s="616"/>
      <c r="S276" s="616"/>
      <c r="T276" s="616"/>
      <c r="U276" s="616"/>
      <c r="V276" s="616"/>
      <c r="W276" s="616"/>
      <c r="X276" s="616"/>
      <c r="Y276" s="9"/>
      <c r="Z276" s="140"/>
      <c r="AA276" s="141" t="s">
        <v>11</v>
      </c>
      <c r="AB276" s="141" t="s">
        <v>10</v>
      </c>
      <c r="AC276" s="141" t="s">
        <v>16</v>
      </c>
      <c r="AD276" s="141" t="s">
        <v>9</v>
      </c>
      <c r="AE276" s="141"/>
      <c r="AF276" s="141"/>
      <c r="AG276" s="141"/>
      <c r="AH276" s="141"/>
      <c r="AI276" s="141"/>
      <c r="AJ276" s="142"/>
      <c r="AK276" s="142"/>
      <c r="AL276" s="142"/>
      <c r="AM276" s="142"/>
      <c r="AN276" s="142"/>
      <c r="AO276" s="142"/>
      <c r="AP276" s="142"/>
      <c r="AQ276" s="142"/>
      <c r="AR276" s="142"/>
      <c r="AS276" s="142"/>
      <c r="AT276" s="142"/>
      <c r="AU276" s="615"/>
      <c r="AW276" s="381"/>
      <c r="AX276" s="381"/>
    </row>
    <row r="277" spans="1:53" ht="15.75" customHeight="1">
      <c r="A277" s="8"/>
      <c r="B277" s="616"/>
      <c r="C277" s="616"/>
      <c r="D277" s="616"/>
      <c r="E277" s="616"/>
      <c r="F277" s="616"/>
      <c r="G277" s="616"/>
      <c r="H277" s="616"/>
      <c r="I277" s="616"/>
      <c r="J277" s="616"/>
      <c r="K277" s="616"/>
      <c r="L277" s="616"/>
      <c r="M277" s="616"/>
      <c r="N277" s="616"/>
      <c r="O277" s="616"/>
      <c r="P277" s="616"/>
      <c r="Q277" s="616"/>
      <c r="R277" s="616"/>
      <c r="S277" s="616"/>
      <c r="T277" s="616"/>
      <c r="U277" s="616"/>
      <c r="V277" s="616"/>
      <c r="W277" s="616"/>
      <c r="X277" s="616"/>
      <c r="Y277" s="9"/>
      <c r="Z277" s="2626"/>
      <c r="AA277" s="2627"/>
      <c r="AB277" s="2627"/>
      <c r="AC277" s="2627"/>
      <c r="AD277" s="2627"/>
      <c r="AE277" s="2627"/>
      <c r="AF277" s="2627"/>
      <c r="AG277" s="2627"/>
      <c r="AH277" s="2627"/>
      <c r="AI277" s="2627"/>
      <c r="AJ277" s="2627"/>
      <c r="AK277" s="2627"/>
      <c r="AL277" s="2627"/>
      <c r="AM277" s="2627"/>
      <c r="AN277" s="2627"/>
      <c r="AO277" s="198"/>
      <c r="AP277" s="198"/>
      <c r="AQ277" s="198"/>
      <c r="AR277" s="198"/>
      <c r="AS277" s="198"/>
      <c r="AT277" s="198"/>
      <c r="AU277" s="199"/>
      <c r="AW277" s="381"/>
      <c r="AX277" s="381"/>
    </row>
    <row r="278" spans="1:53" ht="15.75" customHeight="1">
      <c r="A278" s="8"/>
      <c r="B278" s="616"/>
      <c r="C278" s="616"/>
      <c r="D278" s="616"/>
      <c r="E278" s="616"/>
      <c r="F278" s="616"/>
      <c r="G278" s="616"/>
      <c r="H278" s="616"/>
      <c r="I278" s="616"/>
      <c r="J278" s="616"/>
      <c r="K278" s="616"/>
      <c r="L278" s="616"/>
      <c r="M278" s="616"/>
      <c r="N278" s="616"/>
      <c r="O278" s="616"/>
      <c r="P278" s="616"/>
      <c r="Q278" s="616"/>
      <c r="R278" s="616"/>
      <c r="S278" s="616"/>
      <c r="T278" s="616"/>
      <c r="U278" s="616"/>
      <c r="V278" s="616"/>
      <c r="W278" s="616"/>
      <c r="X278" s="616"/>
      <c r="Y278" s="9"/>
      <c r="Z278" s="2611" t="str">
        <f>IFERROR(VLOOKUP(10,'1_入力シート【基本情報】'!$DU$307:$DZ$526,5,FALSE),"")</f>
        <v/>
      </c>
      <c r="AA278" s="2612"/>
      <c r="AB278" s="2612"/>
      <c r="AC278" s="2612"/>
      <c r="AD278" s="2612"/>
      <c r="AE278" s="2612"/>
      <c r="AF278" s="2612"/>
      <c r="AG278" s="2612"/>
      <c r="AH278" s="2612"/>
      <c r="AI278" s="2612"/>
      <c r="AJ278" s="2612"/>
      <c r="AK278" s="2612"/>
      <c r="AL278" s="2612"/>
      <c r="AM278" s="2612"/>
      <c r="AN278" s="2612"/>
      <c r="AO278" s="2612"/>
      <c r="AP278" s="2612"/>
      <c r="AQ278" s="2612"/>
      <c r="AR278" s="2612"/>
      <c r="AS278" s="2612"/>
      <c r="AT278" s="2612"/>
      <c r="AU278" s="2613"/>
      <c r="AW278" s="381"/>
      <c r="AX278" s="381"/>
    </row>
    <row r="279" spans="1:53" ht="15.75" customHeight="1">
      <c r="A279" s="8"/>
      <c r="B279" s="616"/>
      <c r="C279" s="616"/>
      <c r="D279" s="616"/>
      <c r="E279" s="616"/>
      <c r="F279" s="616"/>
      <c r="G279" s="616"/>
      <c r="H279" s="616"/>
      <c r="I279" s="616"/>
      <c r="J279" s="616"/>
      <c r="K279" s="616"/>
      <c r="L279" s="616"/>
      <c r="M279" s="616"/>
      <c r="N279" s="616"/>
      <c r="O279" s="616"/>
      <c r="P279" s="616"/>
      <c r="Q279" s="616"/>
      <c r="R279" s="616"/>
      <c r="S279" s="616"/>
      <c r="T279" s="616"/>
      <c r="U279" s="616"/>
      <c r="V279" s="616"/>
      <c r="W279" s="616"/>
      <c r="X279" s="616"/>
      <c r="Y279" s="9"/>
      <c r="Z279" s="2614"/>
      <c r="AA279" s="2615"/>
      <c r="AB279" s="2615"/>
      <c r="AC279" s="2615"/>
      <c r="AD279" s="2615"/>
      <c r="AE279" s="2615"/>
      <c r="AF279" s="2615"/>
      <c r="AG279" s="2615"/>
      <c r="AH279" s="2615"/>
      <c r="AI279" s="2615"/>
      <c r="AJ279" s="2615"/>
      <c r="AK279" s="2615"/>
      <c r="AL279" s="2615"/>
      <c r="AM279" s="2615"/>
      <c r="AN279" s="2615"/>
      <c r="AO279" s="2615"/>
      <c r="AP279" s="2615"/>
      <c r="AQ279" s="2615"/>
      <c r="AR279" s="2615"/>
      <c r="AS279" s="2615"/>
      <c r="AT279" s="2615"/>
      <c r="AU279" s="2616"/>
      <c r="AW279" s="381"/>
      <c r="AX279" s="381"/>
    </row>
    <row r="280" spans="1:53" ht="15.75" customHeight="1">
      <c r="A280" s="8"/>
      <c r="B280" s="616"/>
      <c r="C280" s="616"/>
      <c r="D280" s="616"/>
      <c r="E280" s="616"/>
      <c r="F280" s="616"/>
      <c r="G280" s="616"/>
      <c r="H280" s="616"/>
      <c r="I280" s="616"/>
      <c r="J280" s="616"/>
      <c r="K280" s="616"/>
      <c r="L280" s="616"/>
      <c r="M280" s="616"/>
      <c r="N280" s="616"/>
      <c r="O280" s="616"/>
      <c r="P280" s="616"/>
      <c r="Q280" s="616"/>
      <c r="R280" s="616"/>
      <c r="S280" s="616"/>
      <c r="T280" s="616"/>
      <c r="U280" s="616"/>
      <c r="V280" s="616"/>
      <c r="W280" s="616"/>
      <c r="X280" s="616"/>
      <c r="Y280" s="9"/>
      <c r="Z280" s="2617"/>
      <c r="AA280" s="2618"/>
      <c r="AB280" s="2618"/>
      <c r="AC280" s="2618"/>
      <c r="AD280" s="2618"/>
      <c r="AE280" s="2618"/>
      <c r="AF280" s="2618"/>
      <c r="AG280" s="2618"/>
      <c r="AH280" s="2618"/>
      <c r="AI280" s="2618"/>
      <c r="AJ280" s="2618"/>
      <c r="AK280" s="2618"/>
      <c r="AL280" s="2618"/>
      <c r="AM280" s="2618"/>
      <c r="AN280" s="2618"/>
      <c r="AO280" s="2618"/>
      <c r="AP280" s="2618"/>
      <c r="AQ280" s="2618"/>
      <c r="AR280" s="2618"/>
      <c r="AS280" s="2618"/>
      <c r="AT280" s="2618"/>
      <c r="AU280" s="2619"/>
      <c r="AW280" s="381"/>
      <c r="AX280" s="381"/>
    </row>
    <row r="281" spans="1:53" ht="15.75" customHeight="1">
      <c r="A281" s="8"/>
      <c r="B281" s="669"/>
      <c r="C281" s="669"/>
      <c r="D281" s="669"/>
      <c r="E281" s="669"/>
      <c r="F281" s="669"/>
      <c r="G281" s="669"/>
      <c r="H281" s="669"/>
      <c r="I281" s="669"/>
      <c r="J281" s="669"/>
      <c r="K281" s="669"/>
      <c r="L281" s="669"/>
      <c r="M281" s="669"/>
      <c r="N281" s="669"/>
      <c r="O281" s="669"/>
      <c r="P281" s="669"/>
      <c r="Q281" s="669"/>
      <c r="R281" s="669"/>
      <c r="S281" s="669"/>
      <c r="T281" s="669"/>
      <c r="U281" s="669"/>
      <c r="V281" s="669"/>
      <c r="W281" s="669"/>
      <c r="X281" s="669"/>
      <c r="Y281" s="9"/>
      <c r="Z281" s="2620"/>
      <c r="AA281" s="2621"/>
      <c r="AB281" s="2621"/>
      <c r="AC281" s="2621"/>
      <c r="AD281" s="2621"/>
      <c r="AE281" s="2621"/>
      <c r="AF281" s="2621"/>
      <c r="AG281" s="2621"/>
      <c r="AH281" s="2621"/>
      <c r="AI281" s="2621"/>
      <c r="AJ281" s="2621"/>
      <c r="AK281" s="2621"/>
      <c r="AL281" s="2621"/>
      <c r="AM281" s="2621"/>
      <c r="AN281" s="2621"/>
      <c r="AO281" s="2621"/>
      <c r="AP281" s="2621"/>
      <c r="AQ281" s="2621"/>
      <c r="AR281" s="2621"/>
      <c r="AS281" s="2621"/>
      <c r="AT281" s="2621"/>
      <c r="AU281" s="2622"/>
      <c r="AW281" s="381"/>
      <c r="AX281" s="381"/>
    </row>
    <row r="282" spans="1:53" ht="15.75" customHeight="1">
      <c r="A282" s="8"/>
      <c r="B282" s="669"/>
      <c r="C282" s="669"/>
      <c r="D282" s="669"/>
      <c r="E282" s="669"/>
      <c r="F282" s="669"/>
      <c r="G282" s="669"/>
      <c r="H282" s="669"/>
      <c r="I282" s="669"/>
      <c r="J282" s="669"/>
      <c r="K282" s="669"/>
      <c r="L282" s="669"/>
      <c r="M282" s="669"/>
      <c r="N282" s="669"/>
      <c r="O282" s="669"/>
      <c r="P282" s="669"/>
      <c r="Q282" s="669"/>
      <c r="R282" s="669"/>
      <c r="S282" s="669"/>
      <c r="T282" s="669"/>
      <c r="U282" s="669"/>
      <c r="V282" s="669"/>
      <c r="W282" s="669"/>
      <c r="X282" s="669"/>
      <c r="Y282" s="9"/>
      <c r="Z282" s="2620"/>
      <c r="AA282" s="2621"/>
      <c r="AB282" s="2621"/>
      <c r="AC282" s="2621"/>
      <c r="AD282" s="2621"/>
      <c r="AE282" s="2621"/>
      <c r="AF282" s="2621"/>
      <c r="AG282" s="2621"/>
      <c r="AH282" s="2621"/>
      <c r="AI282" s="2621"/>
      <c r="AJ282" s="2621"/>
      <c r="AK282" s="2621"/>
      <c r="AL282" s="2621"/>
      <c r="AM282" s="2621"/>
      <c r="AN282" s="2621"/>
      <c r="AO282" s="2621"/>
      <c r="AP282" s="2621"/>
      <c r="AQ282" s="2621"/>
      <c r="AR282" s="2621"/>
      <c r="AS282" s="2621"/>
      <c r="AT282" s="2621"/>
      <c r="AU282" s="2622"/>
      <c r="AW282" s="381"/>
      <c r="AX282" s="381"/>
    </row>
    <row r="283" spans="1:53" ht="15.75" customHeight="1">
      <c r="A283" s="8"/>
      <c r="B283" s="669"/>
      <c r="C283" s="669"/>
      <c r="D283" s="669"/>
      <c r="E283" s="669"/>
      <c r="F283" s="669"/>
      <c r="G283" s="669"/>
      <c r="H283" s="669"/>
      <c r="I283" s="669"/>
      <c r="J283" s="669"/>
      <c r="K283" s="669"/>
      <c r="L283" s="669"/>
      <c r="M283" s="669"/>
      <c r="N283" s="669"/>
      <c r="O283" s="669"/>
      <c r="P283" s="669"/>
      <c r="Q283" s="669"/>
      <c r="R283" s="669"/>
      <c r="S283" s="669"/>
      <c r="T283" s="669"/>
      <c r="U283" s="669"/>
      <c r="V283" s="669"/>
      <c r="W283" s="669"/>
      <c r="X283" s="669"/>
      <c r="Y283" s="9"/>
      <c r="Z283" s="2620"/>
      <c r="AA283" s="2621"/>
      <c r="AB283" s="2621"/>
      <c r="AC283" s="2621"/>
      <c r="AD283" s="2621"/>
      <c r="AE283" s="2621"/>
      <c r="AF283" s="2621"/>
      <c r="AG283" s="2621"/>
      <c r="AH283" s="2621"/>
      <c r="AI283" s="2621"/>
      <c r="AJ283" s="2621"/>
      <c r="AK283" s="2621"/>
      <c r="AL283" s="2621"/>
      <c r="AM283" s="2621"/>
      <c r="AN283" s="2621"/>
      <c r="AO283" s="2621"/>
      <c r="AP283" s="2621"/>
      <c r="AQ283" s="2621"/>
      <c r="AR283" s="2621"/>
      <c r="AS283" s="2621"/>
      <c r="AT283" s="2621"/>
      <c r="AU283" s="2622"/>
      <c r="AW283" s="381"/>
      <c r="AX283" s="381"/>
    </row>
    <row r="284" spans="1:53" ht="15.75" customHeight="1">
      <c r="A284" s="8"/>
      <c r="B284" s="669"/>
      <c r="C284" s="669"/>
      <c r="D284" s="669"/>
      <c r="E284" s="669"/>
      <c r="F284" s="669"/>
      <c r="G284" s="669"/>
      <c r="H284" s="669"/>
      <c r="I284" s="669"/>
      <c r="J284" s="669"/>
      <c r="K284" s="2629" t="s">
        <v>164</v>
      </c>
      <c r="L284" s="2629"/>
      <c r="M284" s="2629"/>
      <c r="N284" s="2629"/>
      <c r="O284" s="2629"/>
      <c r="P284" s="2629"/>
      <c r="Q284" s="669"/>
      <c r="R284" s="669"/>
      <c r="S284" s="669"/>
      <c r="T284" s="669"/>
      <c r="U284" s="669"/>
      <c r="V284" s="669"/>
      <c r="W284" s="669"/>
      <c r="X284" s="669"/>
      <c r="Y284" s="9"/>
      <c r="Z284" s="2620"/>
      <c r="AA284" s="2621"/>
      <c r="AB284" s="2621"/>
      <c r="AC284" s="2621"/>
      <c r="AD284" s="2621"/>
      <c r="AE284" s="2621"/>
      <c r="AF284" s="2621"/>
      <c r="AG284" s="2621"/>
      <c r="AH284" s="2621"/>
      <c r="AI284" s="2621"/>
      <c r="AJ284" s="2621"/>
      <c r="AK284" s="2621"/>
      <c r="AL284" s="2621"/>
      <c r="AM284" s="2621"/>
      <c r="AN284" s="2621"/>
      <c r="AO284" s="2621"/>
      <c r="AP284" s="2621"/>
      <c r="AQ284" s="2621"/>
      <c r="AR284" s="2621"/>
      <c r="AS284" s="2621"/>
      <c r="AT284" s="2621"/>
      <c r="AU284" s="2622"/>
      <c r="AW284" s="381"/>
      <c r="AX284" s="381"/>
    </row>
    <row r="285" spans="1:53" ht="15.75" customHeight="1">
      <c r="A285" s="8"/>
      <c r="B285" s="669"/>
      <c r="C285" s="669"/>
      <c r="D285" s="669"/>
      <c r="E285" s="669"/>
      <c r="F285" s="669"/>
      <c r="G285" s="669"/>
      <c r="H285" s="669"/>
      <c r="I285" s="669"/>
      <c r="J285" s="669"/>
      <c r="K285" s="669"/>
      <c r="L285" s="669"/>
      <c r="M285" s="669"/>
      <c r="N285" s="669"/>
      <c r="O285" s="669"/>
      <c r="P285" s="669"/>
      <c r="Q285" s="669"/>
      <c r="R285" s="669"/>
      <c r="S285" s="669"/>
      <c r="T285" s="669"/>
      <c r="U285" s="669"/>
      <c r="V285" s="669"/>
      <c r="W285" s="669"/>
      <c r="X285" s="669"/>
      <c r="Y285" s="9"/>
      <c r="Z285" s="2620"/>
      <c r="AA285" s="2621"/>
      <c r="AB285" s="2621"/>
      <c r="AC285" s="2621"/>
      <c r="AD285" s="2621"/>
      <c r="AE285" s="2621"/>
      <c r="AF285" s="2621"/>
      <c r="AG285" s="2621"/>
      <c r="AH285" s="2621"/>
      <c r="AI285" s="2621"/>
      <c r="AJ285" s="2621"/>
      <c r="AK285" s="2621"/>
      <c r="AL285" s="2621"/>
      <c r="AM285" s="2621"/>
      <c r="AN285" s="2621"/>
      <c r="AO285" s="2621"/>
      <c r="AP285" s="2621"/>
      <c r="AQ285" s="2621"/>
      <c r="AR285" s="2621"/>
      <c r="AS285" s="2621"/>
      <c r="AT285" s="2621"/>
      <c r="AU285" s="2622"/>
      <c r="AW285" s="381"/>
      <c r="AX285" s="381"/>
    </row>
    <row r="286" spans="1:53" ht="15.75" customHeight="1">
      <c r="A286" s="8"/>
      <c r="B286" s="669"/>
      <c r="C286" s="669"/>
      <c r="D286" s="669"/>
      <c r="E286" s="669"/>
      <c r="F286" s="669"/>
      <c r="G286" s="669"/>
      <c r="H286" s="669"/>
      <c r="I286" s="669"/>
      <c r="J286" s="669"/>
      <c r="K286" s="669"/>
      <c r="L286" s="669"/>
      <c r="M286" s="669"/>
      <c r="N286" s="669"/>
      <c r="O286" s="669"/>
      <c r="P286" s="669"/>
      <c r="Q286" s="669"/>
      <c r="R286" s="669"/>
      <c r="S286" s="669"/>
      <c r="T286" s="669"/>
      <c r="U286" s="669"/>
      <c r="V286" s="669"/>
      <c r="W286" s="669"/>
      <c r="X286" s="669"/>
      <c r="Y286" s="9"/>
      <c r="Z286" s="2620"/>
      <c r="AA286" s="2621"/>
      <c r="AB286" s="2621"/>
      <c r="AC286" s="2621"/>
      <c r="AD286" s="2621"/>
      <c r="AE286" s="2621"/>
      <c r="AF286" s="2621"/>
      <c r="AG286" s="2621"/>
      <c r="AH286" s="2621"/>
      <c r="AI286" s="2621"/>
      <c r="AJ286" s="2621"/>
      <c r="AK286" s="2621"/>
      <c r="AL286" s="2621"/>
      <c r="AM286" s="2621"/>
      <c r="AN286" s="2621"/>
      <c r="AO286" s="2621"/>
      <c r="AP286" s="2621"/>
      <c r="AQ286" s="2621"/>
      <c r="AR286" s="2621"/>
      <c r="AS286" s="2621"/>
      <c r="AT286" s="2621"/>
      <c r="AU286" s="2622"/>
      <c r="AW286" s="381"/>
      <c r="AX286" s="381"/>
    </row>
    <row r="287" spans="1:53" ht="15.75" customHeight="1">
      <c r="A287" s="8"/>
      <c r="B287" s="669"/>
      <c r="C287" s="669"/>
      <c r="D287" s="669"/>
      <c r="E287" s="669"/>
      <c r="F287" s="669"/>
      <c r="G287" s="669"/>
      <c r="H287" s="669"/>
      <c r="I287" s="669"/>
      <c r="J287" s="669"/>
      <c r="K287" s="669"/>
      <c r="L287" s="669"/>
      <c r="M287" s="669"/>
      <c r="N287" s="669"/>
      <c r="O287" s="669"/>
      <c r="P287" s="669"/>
      <c r="Q287" s="669"/>
      <c r="R287" s="669"/>
      <c r="S287" s="669"/>
      <c r="T287" s="669"/>
      <c r="U287" s="669"/>
      <c r="V287" s="669"/>
      <c r="W287" s="669"/>
      <c r="X287" s="669"/>
      <c r="Y287" s="9"/>
      <c r="Z287" s="2620"/>
      <c r="AA287" s="2621"/>
      <c r="AB287" s="2621"/>
      <c r="AC287" s="2621"/>
      <c r="AD287" s="2621"/>
      <c r="AE287" s="2621"/>
      <c r="AF287" s="2621"/>
      <c r="AG287" s="2621"/>
      <c r="AH287" s="2621"/>
      <c r="AI287" s="2621"/>
      <c r="AJ287" s="2621"/>
      <c r="AK287" s="2621"/>
      <c r="AL287" s="2621"/>
      <c r="AM287" s="2621"/>
      <c r="AN287" s="2621"/>
      <c r="AO287" s="2621"/>
      <c r="AP287" s="2621"/>
      <c r="AQ287" s="2621"/>
      <c r="AR287" s="2621"/>
      <c r="AS287" s="2621"/>
      <c r="AT287" s="2621"/>
      <c r="AU287" s="2622"/>
      <c r="AW287" s="381"/>
      <c r="AX287" s="381"/>
    </row>
    <row r="288" spans="1:53" ht="15.75" customHeight="1">
      <c r="A288" s="8"/>
      <c r="B288" s="669"/>
      <c r="C288" s="669"/>
      <c r="D288" s="669"/>
      <c r="E288" s="669"/>
      <c r="F288" s="669"/>
      <c r="G288" s="669"/>
      <c r="H288" s="669"/>
      <c r="I288" s="669"/>
      <c r="J288" s="669"/>
      <c r="K288" s="669"/>
      <c r="L288" s="669"/>
      <c r="M288" s="669"/>
      <c r="N288" s="669"/>
      <c r="O288" s="669"/>
      <c r="P288" s="669"/>
      <c r="Q288" s="669"/>
      <c r="R288" s="669"/>
      <c r="S288" s="669"/>
      <c r="T288" s="669"/>
      <c r="U288" s="669"/>
      <c r="V288" s="669"/>
      <c r="W288" s="669"/>
      <c r="X288" s="669"/>
      <c r="Y288" s="9"/>
      <c r="Z288" s="2620"/>
      <c r="AA288" s="2621"/>
      <c r="AB288" s="2621"/>
      <c r="AC288" s="2621"/>
      <c r="AD288" s="2621"/>
      <c r="AE288" s="2621"/>
      <c r="AF288" s="2621"/>
      <c r="AG288" s="2621"/>
      <c r="AH288" s="2621"/>
      <c r="AI288" s="2621"/>
      <c r="AJ288" s="2621"/>
      <c r="AK288" s="2621"/>
      <c r="AL288" s="2621"/>
      <c r="AM288" s="2621"/>
      <c r="AN288" s="2621"/>
      <c r="AO288" s="2621"/>
      <c r="AP288" s="2621"/>
      <c r="AQ288" s="2621"/>
      <c r="AR288" s="2621"/>
      <c r="AS288" s="2621"/>
      <c r="AT288" s="2621"/>
      <c r="AU288" s="2622"/>
      <c r="AW288" s="381"/>
      <c r="AX288" s="381"/>
    </row>
    <row r="289" spans="1:50" ht="15.75" customHeight="1">
      <c r="A289" s="8"/>
      <c r="B289" s="669"/>
      <c r="C289" s="669"/>
      <c r="D289" s="669"/>
      <c r="E289" s="669"/>
      <c r="F289" s="669"/>
      <c r="G289" s="669"/>
      <c r="H289" s="669"/>
      <c r="I289" s="669"/>
      <c r="J289" s="669"/>
      <c r="K289" s="669"/>
      <c r="L289" s="669"/>
      <c r="M289" s="669"/>
      <c r="N289" s="669"/>
      <c r="O289" s="669"/>
      <c r="P289" s="669"/>
      <c r="Q289" s="669"/>
      <c r="R289" s="669"/>
      <c r="S289" s="669"/>
      <c r="T289" s="669"/>
      <c r="U289" s="669"/>
      <c r="V289" s="669"/>
      <c r="W289" s="669"/>
      <c r="X289" s="669"/>
      <c r="Y289" s="9"/>
      <c r="Z289" s="2620"/>
      <c r="AA289" s="2621"/>
      <c r="AB289" s="2621"/>
      <c r="AC289" s="2621"/>
      <c r="AD289" s="2621"/>
      <c r="AE289" s="2621"/>
      <c r="AF289" s="2621"/>
      <c r="AG289" s="2621"/>
      <c r="AH289" s="2621"/>
      <c r="AI289" s="2621"/>
      <c r="AJ289" s="2621"/>
      <c r="AK289" s="2621"/>
      <c r="AL289" s="2621"/>
      <c r="AM289" s="2621"/>
      <c r="AN289" s="2621"/>
      <c r="AO289" s="2621"/>
      <c r="AP289" s="2621"/>
      <c r="AQ289" s="2621"/>
      <c r="AR289" s="2621"/>
      <c r="AS289" s="2621"/>
      <c r="AT289" s="2621"/>
      <c r="AU289" s="2622"/>
      <c r="AW289" s="381"/>
      <c r="AX289" s="381"/>
    </row>
    <row r="290" spans="1:50" ht="15.75" customHeight="1">
      <c r="A290" s="8"/>
      <c r="B290" s="669"/>
      <c r="C290" s="669"/>
      <c r="D290" s="669"/>
      <c r="E290" s="669"/>
      <c r="F290" s="669"/>
      <c r="G290" s="669"/>
      <c r="H290" s="669"/>
      <c r="I290" s="669"/>
      <c r="J290" s="669"/>
      <c r="K290" s="669"/>
      <c r="L290" s="669"/>
      <c r="M290" s="669"/>
      <c r="N290" s="669"/>
      <c r="O290" s="669"/>
      <c r="P290" s="669"/>
      <c r="Q290" s="669"/>
      <c r="R290" s="669"/>
      <c r="S290" s="669"/>
      <c r="T290" s="669"/>
      <c r="U290" s="669"/>
      <c r="V290" s="669"/>
      <c r="W290" s="669"/>
      <c r="X290" s="669"/>
      <c r="Y290" s="9"/>
      <c r="Z290" s="2620"/>
      <c r="AA290" s="2621"/>
      <c r="AB290" s="2621"/>
      <c r="AC290" s="2621"/>
      <c r="AD290" s="2621"/>
      <c r="AE290" s="2621"/>
      <c r="AF290" s="2621"/>
      <c r="AG290" s="2621"/>
      <c r="AH290" s="2621"/>
      <c r="AI290" s="2621"/>
      <c r="AJ290" s="2621"/>
      <c r="AK290" s="2621"/>
      <c r="AL290" s="2621"/>
      <c r="AM290" s="2621"/>
      <c r="AN290" s="2621"/>
      <c r="AO290" s="2621"/>
      <c r="AP290" s="2621"/>
      <c r="AQ290" s="2621"/>
      <c r="AR290" s="2621"/>
      <c r="AS290" s="2621"/>
      <c r="AT290" s="2621"/>
      <c r="AU290" s="2622"/>
      <c r="AW290" s="381"/>
      <c r="AX290" s="381"/>
    </row>
    <row r="291" spans="1:50" ht="15.75" customHeight="1">
      <c r="A291" s="8"/>
      <c r="B291" s="669"/>
      <c r="C291" s="669"/>
      <c r="D291" s="669"/>
      <c r="E291" s="669"/>
      <c r="F291" s="669"/>
      <c r="G291" s="669"/>
      <c r="H291" s="669"/>
      <c r="I291" s="669"/>
      <c r="J291" s="669"/>
      <c r="K291" s="669"/>
      <c r="L291" s="669"/>
      <c r="M291" s="669"/>
      <c r="N291" s="669"/>
      <c r="O291" s="669"/>
      <c r="P291" s="669"/>
      <c r="Q291" s="669"/>
      <c r="R291" s="669"/>
      <c r="S291" s="669"/>
      <c r="T291" s="669"/>
      <c r="U291" s="669"/>
      <c r="V291" s="669"/>
      <c r="W291" s="669"/>
      <c r="X291" s="669"/>
      <c r="Y291" s="9"/>
      <c r="Z291" s="2620"/>
      <c r="AA291" s="2621"/>
      <c r="AB291" s="2621"/>
      <c r="AC291" s="2621"/>
      <c r="AD291" s="2621"/>
      <c r="AE291" s="2621"/>
      <c r="AF291" s="2621"/>
      <c r="AG291" s="2621"/>
      <c r="AH291" s="2621"/>
      <c r="AI291" s="2621"/>
      <c r="AJ291" s="2621"/>
      <c r="AK291" s="2621"/>
      <c r="AL291" s="2621"/>
      <c r="AM291" s="2621"/>
      <c r="AN291" s="2621"/>
      <c r="AO291" s="2621"/>
      <c r="AP291" s="2621"/>
      <c r="AQ291" s="2621"/>
      <c r="AR291" s="2621"/>
      <c r="AS291" s="2621"/>
      <c r="AT291" s="2621"/>
      <c r="AU291" s="2622"/>
      <c r="AW291" s="381"/>
      <c r="AX291" s="381"/>
    </row>
    <row r="292" spans="1:50" ht="15.75" customHeight="1">
      <c r="A292" s="8"/>
      <c r="B292" s="669"/>
      <c r="C292" s="669"/>
      <c r="D292" s="669"/>
      <c r="E292" s="669"/>
      <c r="F292" s="669"/>
      <c r="G292" s="669"/>
      <c r="H292" s="669"/>
      <c r="I292" s="669"/>
      <c r="J292" s="669"/>
      <c r="K292" s="669"/>
      <c r="L292" s="669"/>
      <c r="M292" s="669"/>
      <c r="N292" s="669"/>
      <c r="O292" s="669"/>
      <c r="P292" s="669"/>
      <c r="Q292" s="669"/>
      <c r="R292" s="669"/>
      <c r="S292" s="669"/>
      <c r="T292" s="669"/>
      <c r="U292" s="669"/>
      <c r="V292" s="669"/>
      <c r="W292" s="669"/>
      <c r="X292" s="669"/>
      <c r="Y292" s="9"/>
      <c r="Z292" s="2620"/>
      <c r="AA292" s="2621"/>
      <c r="AB292" s="2621"/>
      <c r="AC292" s="2621"/>
      <c r="AD292" s="2621"/>
      <c r="AE292" s="2621"/>
      <c r="AF292" s="2621"/>
      <c r="AG292" s="2621"/>
      <c r="AH292" s="2621"/>
      <c r="AI292" s="2621"/>
      <c r="AJ292" s="2621"/>
      <c r="AK292" s="2621"/>
      <c r="AL292" s="2621"/>
      <c r="AM292" s="2621"/>
      <c r="AN292" s="2621"/>
      <c r="AO292" s="2621"/>
      <c r="AP292" s="2621"/>
      <c r="AQ292" s="2621"/>
      <c r="AR292" s="2621"/>
      <c r="AS292" s="2621"/>
      <c r="AT292" s="2621"/>
      <c r="AU292" s="2622"/>
      <c r="AW292" s="381"/>
      <c r="AX292" s="381"/>
    </row>
    <row r="293" spans="1:50" ht="15.75" customHeight="1">
      <c r="A293" s="12"/>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1"/>
      <c r="Z293" s="2623"/>
      <c r="AA293" s="2624"/>
      <c r="AB293" s="2624"/>
      <c r="AC293" s="2624"/>
      <c r="AD293" s="2624"/>
      <c r="AE293" s="2624"/>
      <c r="AF293" s="2624"/>
      <c r="AG293" s="2624"/>
      <c r="AH293" s="2624"/>
      <c r="AI293" s="2624"/>
      <c r="AJ293" s="2624"/>
      <c r="AK293" s="2624"/>
      <c r="AL293" s="2624"/>
      <c r="AM293" s="2624"/>
      <c r="AN293" s="2624"/>
      <c r="AO293" s="2624"/>
      <c r="AP293" s="2624"/>
      <c r="AQ293" s="2624"/>
      <c r="AR293" s="2624"/>
      <c r="AS293" s="2624"/>
      <c r="AT293" s="2624"/>
      <c r="AU293" s="2625"/>
      <c r="AW293" s="381"/>
      <c r="AX293" s="381"/>
    </row>
    <row r="294" spans="1:50" ht="12.75" customHeight="1">
      <c r="AW294" s="381"/>
      <c r="AX294" s="381"/>
    </row>
    <row r="295" spans="1:50" ht="12.75" customHeight="1">
      <c r="A295" s="2643" t="s">
        <v>157</v>
      </c>
      <c r="B295" s="2643"/>
      <c r="C295" s="2643"/>
      <c r="D295" s="2643"/>
      <c r="AU295" s="618"/>
      <c r="AW295" s="381"/>
      <c r="AX295" s="381"/>
    </row>
    <row r="296" spans="1:50" ht="12.75" customHeight="1">
      <c r="B296" s="619" t="s">
        <v>158</v>
      </c>
      <c r="C296" s="2609" t="s">
        <v>176</v>
      </c>
      <c r="D296" s="2609"/>
      <c r="E296" s="2609"/>
      <c r="F296" s="2609"/>
      <c r="G296" s="2609"/>
      <c r="H296" s="2609"/>
      <c r="I296" s="2609"/>
      <c r="J296" s="2609"/>
      <c r="K296" s="2609"/>
      <c r="L296" s="2609"/>
      <c r="M296" s="2609"/>
      <c r="N296" s="2609"/>
      <c r="O296" s="2609"/>
      <c r="P296" s="2609"/>
      <c r="Q296" s="2609"/>
      <c r="R296" s="2609"/>
      <c r="S296" s="2609"/>
      <c r="T296" s="2609"/>
      <c r="U296" s="2609"/>
      <c r="V296" s="2609"/>
      <c r="W296" s="2609"/>
      <c r="X296" s="2609"/>
      <c r="Y296" s="2609"/>
      <c r="Z296" s="2609"/>
      <c r="AA296" s="2609"/>
      <c r="AB296" s="2609"/>
      <c r="AC296" s="2609"/>
      <c r="AD296" s="2609"/>
      <c r="AE296" s="2609"/>
      <c r="AF296" s="2609"/>
      <c r="AG296" s="2609"/>
      <c r="AH296" s="2609"/>
      <c r="AI296" s="2609"/>
      <c r="AJ296" s="2609"/>
      <c r="AK296" s="2609"/>
      <c r="AL296" s="2609"/>
      <c r="AM296" s="2609"/>
      <c r="AN296" s="2609"/>
      <c r="AO296" s="2609"/>
      <c r="AP296" s="2609"/>
      <c r="AQ296" s="2609"/>
      <c r="AR296" s="2609"/>
      <c r="AS296" s="2609"/>
      <c r="AT296" s="2609"/>
      <c r="AU296" s="2609"/>
      <c r="AW296" s="381"/>
      <c r="AX296" s="381"/>
    </row>
    <row r="297" spans="1:50" ht="12.75" customHeight="1">
      <c r="B297" s="619"/>
      <c r="C297" s="2610" t="s">
        <v>177</v>
      </c>
      <c r="D297" s="2610"/>
      <c r="E297" s="2610"/>
      <c r="F297" s="2610"/>
      <c r="G297" s="2610"/>
      <c r="H297" s="2610"/>
      <c r="I297" s="2610"/>
      <c r="J297" s="2610"/>
      <c r="K297" s="2610"/>
      <c r="L297" s="2610"/>
      <c r="M297" s="2610"/>
      <c r="N297" s="2610"/>
      <c r="O297" s="2610"/>
      <c r="P297" s="2610"/>
      <c r="Q297" s="2610"/>
      <c r="R297" s="2610"/>
      <c r="S297" s="2610"/>
      <c r="T297" s="2610"/>
      <c r="U297" s="2610"/>
      <c r="V297" s="2610"/>
      <c r="W297" s="2610"/>
      <c r="X297" s="2610"/>
      <c r="Y297" s="2610"/>
      <c r="Z297" s="2610"/>
      <c r="AA297" s="2610"/>
      <c r="AB297" s="2610"/>
      <c r="AC297" s="2610"/>
      <c r="AD297" s="2610"/>
      <c r="AE297" s="2610"/>
      <c r="AF297" s="2610"/>
      <c r="AG297" s="2610"/>
      <c r="AH297" s="2610"/>
      <c r="AI297" s="2610"/>
      <c r="AJ297" s="2610"/>
      <c r="AK297" s="2610"/>
      <c r="AL297" s="2610"/>
      <c r="AM297" s="2610"/>
      <c r="AN297" s="2610"/>
      <c r="AO297" s="2610"/>
      <c r="AP297" s="2610"/>
      <c r="AQ297" s="2610"/>
      <c r="AR297" s="2610"/>
      <c r="AS297" s="2610"/>
      <c r="AT297" s="2610"/>
      <c r="AU297" s="2610"/>
      <c r="AW297" s="381"/>
      <c r="AX297" s="381"/>
    </row>
    <row r="298" spans="1:50" ht="12.75" customHeight="1">
      <c r="B298" s="619"/>
      <c r="C298" s="2610" t="s">
        <v>178</v>
      </c>
      <c r="D298" s="2610"/>
      <c r="E298" s="2610"/>
      <c r="F298" s="2610"/>
      <c r="G298" s="2610"/>
      <c r="H298" s="2610"/>
      <c r="I298" s="2610"/>
      <c r="J298" s="2610"/>
      <c r="K298" s="2610"/>
      <c r="L298" s="2610"/>
      <c r="M298" s="2610"/>
      <c r="N298" s="2610"/>
      <c r="O298" s="2610"/>
      <c r="P298" s="2610"/>
      <c r="Q298" s="2610"/>
      <c r="R298" s="2610"/>
      <c r="S298" s="2610"/>
      <c r="T298" s="2610"/>
      <c r="U298" s="2610"/>
      <c r="V298" s="2610"/>
      <c r="W298" s="2610"/>
      <c r="X298" s="2610"/>
      <c r="Y298" s="2610"/>
      <c r="Z298" s="2610"/>
      <c r="AA298" s="2610"/>
      <c r="AB298" s="2610"/>
      <c r="AC298" s="2610"/>
      <c r="AD298" s="2610"/>
      <c r="AE298" s="2610"/>
      <c r="AF298" s="2610"/>
      <c r="AG298" s="2610"/>
      <c r="AH298" s="2610"/>
      <c r="AI298" s="2610"/>
      <c r="AJ298" s="2610"/>
      <c r="AK298" s="2610"/>
      <c r="AL298" s="2610"/>
      <c r="AM298" s="2610"/>
      <c r="AN298" s="2610"/>
      <c r="AO298" s="2610"/>
      <c r="AP298" s="2610"/>
      <c r="AQ298" s="2610"/>
      <c r="AR298" s="2610"/>
      <c r="AS298" s="2610"/>
      <c r="AT298" s="2610"/>
      <c r="AU298" s="2610"/>
      <c r="AW298" s="381"/>
      <c r="AX298" s="381"/>
    </row>
    <row r="299" spans="1:50" ht="12.75" customHeight="1">
      <c r="B299" s="619" t="s">
        <v>165</v>
      </c>
      <c r="C299" s="2610" t="s">
        <v>166</v>
      </c>
      <c r="D299" s="2610"/>
      <c r="E299" s="2610"/>
      <c r="F299" s="2610"/>
      <c r="G299" s="2610"/>
      <c r="H299" s="2610"/>
      <c r="I299" s="2610"/>
      <c r="J299" s="2610"/>
      <c r="K299" s="2610"/>
      <c r="L299" s="2610"/>
      <c r="M299" s="2610"/>
      <c r="N299" s="2610"/>
      <c r="O299" s="2610"/>
      <c r="P299" s="2610"/>
      <c r="Q299" s="2610"/>
      <c r="R299" s="2610"/>
      <c r="S299" s="2610"/>
      <c r="T299" s="2610"/>
      <c r="U299" s="2610"/>
      <c r="V299" s="2610"/>
      <c r="W299" s="2610"/>
      <c r="X299" s="2610"/>
      <c r="Y299" s="2610"/>
      <c r="Z299" s="2610"/>
      <c r="AA299" s="2610"/>
      <c r="AB299" s="2610"/>
      <c r="AC299" s="2610"/>
      <c r="AD299" s="2610"/>
      <c r="AE299" s="2610"/>
      <c r="AF299" s="2610"/>
      <c r="AG299" s="2610"/>
      <c r="AH299" s="2610"/>
      <c r="AI299" s="2610"/>
      <c r="AJ299" s="2610"/>
      <c r="AK299" s="2610"/>
      <c r="AL299" s="2610"/>
      <c r="AM299" s="2610"/>
      <c r="AN299" s="2610"/>
      <c r="AO299" s="2610"/>
      <c r="AP299" s="2610"/>
      <c r="AQ299" s="2610"/>
      <c r="AR299" s="2610"/>
      <c r="AS299" s="2610"/>
      <c r="AT299" s="2610"/>
      <c r="AU299" s="2610"/>
      <c r="AW299" s="381"/>
      <c r="AX299" s="381"/>
    </row>
    <row r="300" spans="1:50" ht="12.75" customHeight="1">
      <c r="B300" s="619" t="s">
        <v>159</v>
      </c>
      <c r="C300" s="2610" t="s">
        <v>0</v>
      </c>
      <c r="D300" s="2610"/>
      <c r="E300" s="2610"/>
      <c r="F300" s="2610"/>
      <c r="G300" s="2610"/>
      <c r="H300" s="2610"/>
      <c r="I300" s="2610"/>
      <c r="J300" s="2610"/>
      <c r="K300" s="2610"/>
      <c r="L300" s="2610"/>
      <c r="M300" s="2610"/>
      <c r="N300" s="2610"/>
      <c r="O300" s="2610"/>
      <c r="P300" s="2610"/>
      <c r="Q300" s="2610"/>
      <c r="R300" s="2610"/>
      <c r="S300" s="2610"/>
      <c r="T300" s="2610"/>
      <c r="U300" s="2610"/>
      <c r="V300" s="2610"/>
      <c r="W300" s="2610"/>
      <c r="X300" s="2610"/>
      <c r="Y300" s="2610"/>
      <c r="Z300" s="2610"/>
      <c r="AA300" s="2610"/>
      <c r="AB300" s="2610"/>
      <c r="AC300" s="2610"/>
      <c r="AD300" s="2610"/>
      <c r="AE300" s="2610"/>
      <c r="AF300" s="2610"/>
      <c r="AG300" s="2610"/>
      <c r="AH300" s="2610"/>
      <c r="AI300" s="2610"/>
      <c r="AJ300" s="2610"/>
      <c r="AK300" s="2610"/>
      <c r="AL300" s="2610"/>
      <c r="AM300" s="2610"/>
      <c r="AN300" s="2610"/>
      <c r="AO300" s="2610"/>
      <c r="AP300" s="2610"/>
      <c r="AQ300" s="2610"/>
      <c r="AR300" s="2610"/>
      <c r="AS300" s="2610"/>
      <c r="AT300" s="2610"/>
      <c r="AU300" s="2610"/>
      <c r="AW300" s="381"/>
      <c r="AX300" s="381"/>
    </row>
    <row r="301" spans="1:50" ht="12.75" customHeight="1">
      <c r="B301" s="619" t="s">
        <v>167</v>
      </c>
      <c r="C301" s="2610" t="s">
        <v>179</v>
      </c>
      <c r="D301" s="2610"/>
      <c r="E301" s="2610"/>
      <c r="F301" s="2610"/>
      <c r="G301" s="2610"/>
      <c r="H301" s="2610"/>
      <c r="I301" s="2610"/>
      <c r="J301" s="2610"/>
      <c r="K301" s="2610"/>
      <c r="L301" s="2610"/>
      <c r="M301" s="2610"/>
      <c r="N301" s="2610"/>
      <c r="O301" s="2610"/>
      <c r="P301" s="2610"/>
      <c r="Q301" s="2610"/>
      <c r="R301" s="2610"/>
      <c r="S301" s="2610"/>
      <c r="T301" s="2610"/>
      <c r="U301" s="2610"/>
      <c r="V301" s="2610"/>
      <c r="W301" s="2610"/>
      <c r="X301" s="2610"/>
      <c r="Y301" s="2610"/>
      <c r="Z301" s="2610"/>
      <c r="AA301" s="2610"/>
      <c r="AB301" s="2610"/>
      <c r="AC301" s="2610"/>
      <c r="AD301" s="2610"/>
      <c r="AE301" s="2610"/>
      <c r="AF301" s="2610"/>
      <c r="AG301" s="2610"/>
      <c r="AH301" s="2610"/>
      <c r="AI301" s="2610"/>
      <c r="AJ301" s="2610"/>
      <c r="AK301" s="2610"/>
      <c r="AL301" s="2610"/>
      <c r="AM301" s="2610"/>
      <c r="AN301" s="2610"/>
      <c r="AO301" s="2610"/>
      <c r="AP301" s="2610"/>
      <c r="AQ301" s="2610"/>
      <c r="AR301" s="2610"/>
      <c r="AS301" s="2610"/>
      <c r="AT301" s="2610"/>
      <c r="AU301" s="2610"/>
      <c r="AW301" s="381"/>
      <c r="AX301" s="381"/>
    </row>
    <row r="302" spans="1:50" ht="12.75" customHeight="1">
      <c r="C302" s="2610" t="s">
        <v>180</v>
      </c>
      <c r="D302" s="2610"/>
      <c r="E302" s="2610"/>
      <c r="F302" s="2610"/>
      <c r="G302" s="2610"/>
      <c r="H302" s="2610"/>
      <c r="I302" s="2610"/>
      <c r="J302" s="2610"/>
      <c r="K302" s="2610"/>
      <c r="L302" s="2610"/>
      <c r="M302" s="2610"/>
      <c r="N302" s="2610"/>
      <c r="O302" s="2610"/>
      <c r="P302" s="2610"/>
      <c r="Q302" s="2610"/>
      <c r="R302" s="2610"/>
      <c r="S302" s="2610"/>
      <c r="T302" s="2610"/>
      <c r="U302" s="2610"/>
      <c r="V302" s="2610"/>
      <c r="W302" s="2610"/>
      <c r="X302" s="2610"/>
      <c r="Y302" s="2610"/>
      <c r="Z302" s="2610"/>
      <c r="AA302" s="2610"/>
      <c r="AB302" s="2610"/>
      <c r="AC302" s="2610"/>
      <c r="AD302" s="2610"/>
      <c r="AE302" s="2610"/>
      <c r="AF302" s="2610"/>
      <c r="AG302" s="2610"/>
      <c r="AH302" s="2610"/>
      <c r="AI302" s="2610"/>
      <c r="AJ302" s="2610"/>
      <c r="AK302" s="2610"/>
      <c r="AL302" s="2610"/>
      <c r="AM302" s="2610"/>
      <c r="AN302" s="2610"/>
      <c r="AO302" s="2610"/>
      <c r="AP302" s="2610"/>
      <c r="AQ302" s="2610"/>
      <c r="AR302" s="2610"/>
      <c r="AS302" s="2610"/>
      <c r="AT302" s="2610"/>
      <c r="AU302" s="2610"/>
      <c r="AW302" s="381"/>
      <c r="AX302" s="381"/>
    </row>
    <row r="303" spans="1:50" ht="12.75" customHeight="1">
      <c r="B303" s="619" t="s">
        <v>1</v>
      </c>
      <c r="C303" s="2610" t="s">
        <v>2</v>
      </c>
      <c r="D303" s="2610"/>
      <c r="E303" s="2610"/>
      <c r="F303" s="2610"/>
      <c r="G303" s="2610"/>
      <c r="H303" s="2610"/>
      <c r="I303" s="2610"/>
      <c r="J303" s="2610"/>
      <c r="K303" s="2610"/>
      <c r="L303" s="2610"/>
      <c r="M303" s="2610"/>
      <c r="N303" s="2610"/>
      <c r="O303" s="2610"/>
      <c r="P303" s="2610"/>
      <c r="Q303" s="2610"/>
      <c r="R303" s="2610"/>
      <c r="S303" s="2610"/>
      <c r="T303" s="2610"/>
      <c r="U303" s="2610"/>
      <c r="V303" s="2610"/>
      <c r="W303" s="2610"/>
      <c r="X303" s="2610"/>
      <c r="Y303" s="2610"/>
      <c r="Z303" s="2610"/>
      <c r="AA303" s="2610"/>
      <c r="AB303" s="2610"/>
      <c r="AC303" s="2610"/>
      <c r="AD303" s="2610"/>
      <c r="AE303" s="2610"/>
      <c r="AF303" s="2610"/>
      <c r="AG303" s="2610"/>
      <c r="AH303" s="2610"/>
      <c r="AI303" s="2610"/>
      <c r="AJ303" s="2610"/>
      <c r="AK303" s="2610"/>
      <c r="AL303" s="2610"/>
      <c r="AM303" s="2610"/>
      <c r="AN303" s="2610"/>
      <c r="AO303" s="2610"/>
      <c r="AP303" s="2610"/>
      <c r="AQ303" s="2610"/>
      <c r="AR303" s="2610"/>
      <c r="AS303" s="2610"/>
      <c r="AT303" s="2610"/>
      <c r="AU303" s="2610"/>
      <c r="AW303" s="381"/>
      <c r="AX303" s="381"/>
    </row>
    <row r="304" spans="1:50" ht="12.75" customHeight="1">
      <c r="AG304" s="618"/>
      <c r="AH304" s="618"/>
      <c r="AI304" s="618"/>
      <c r="AJ304" s="618"/>
      <c r="AK304" s="618"/>
      <c r="AL304" s="618"/>
      <c r="AM304" s="618"/>
      <c r="AN304" s="618"/>
      <c r="AO304" s="618"/>
      <c r="AP304" s="618"/>
      <c r="AQ304" s="618"/>
      <c r="AR304" s="618"/>
      <c r="AS304" s="618"/>
      <c r="AT304" s="618"/>
      <c r="AW304" s="381"/>
      <c r="AX304" s="381"/>
    </row>
    <row r="305" spans="1:53" ht="12.75" customHeight="1">
      <c r="AW305" s="381"/>
      <c r="AX305" s="381"/>
    </row>
    <row r="306" spans="1:53" ht="12.75" customHeight="1">
      <c r="A306" s="617" t="s">
        <v>18</v>
      </c>
      <c r="B306" s="617" t="s">
        <v>160</v>
      </c>
      <c r="C306" s="617">
        <v>2</v>
      </c>
      <c r="D306" s="617" t="s">
        <v>5</v>
      </c>
      <c r="E306" s="617" t="s">
        <v>6</v>
      </c>
      <c r="F306" s="617"/>
      <c r="G306" s="617" t="s">
        <v>25</v>
      </c>
      <c r="H306" s="617" t="s">
        <v>182</v>
      </c>
      <c r="I306" s="617">
        <v>4</v>
      </c>
      <c r="J306" s="617" t="s">
        <v>22</v>
      </c>
      <c r="AO306" s="758" t="str">
        <f>$AO$7</f>
        <v>Kyoto City(R4.11) ver112</v>
      </c>
      <c r="AP306" s="705" t="str">
        <f>IF('1_入力シート【基本情報】'!$AB$7="","",'1_入力シート【基本情報】'!$AB$7)</f>
        <v/>
      </c>
      <c r="AQ306" s="703" t="str">
        <f>IF('1_入力シート【基本情報】'!$AK$7="","",'1_入力シート【基本情報】'!$AK$7)</f>
        <v/>
      </c>
      <c r="AR306" s="2606" t="str">
        <f>IF('1_入力シート【基本情報】'!$AT$7="","",TEXT('1_入力シート【基本情報】'!$AT$7,"0000"))</f>
        <v/>
      </c>
      <c r="AS306" s="2607"/>
      <c r="AT306" s="2607"/>
      <c r="AU306" s="2608"/>
      <c r="AW306" s="381"/>
      <c r="AX306" s="381"/>
    </row>
    <row r="307" spans="1:53" ht="12.75" customHeight="1">
      <c r="D307" s="629"/>
      <c r="E307" s="629"/>
      <c r="F307" s="629"/>
      <c r="G307" s="629"/>
      <c r="H307" s="629"/>
      <c r="I307" s="629"/>
      <c r="J307" s="629"/>
      <c r="U307" s="2665" t="s">
        <v>181</v>
      </c>
      <c r="V307" s="2665"/>
      <c r="W307" s="2665"/>
      <c r="X307" s="2665"/>
      <c r="Y307" s="2665"/>
      <c r="Z307" s="2665"/>
      <c r="AW307" s="381"/>
      <c r="AX307" s="381"/>
    </row>
    <row r="308" spans="1:53" ht="12.75" customHeight="1">
      <c r="AW308" s="381"/>
      <c r="AX308" s="381"/>
    </row>
    <row r="309" spans="1:53" ht="15.75" customHeight="1">
      <c r="A309" s="2634" t="s">
        <v>161</v>
      </c>
      <c r="B309" s="2635"/>
      <c r="C309" s="2636"/>
      <c r="D309" s="2653" t="s">
        <v>162</v>
      </c>
      <c r="E309" s="2654"/>
      <c r="F309" s="2654"/>
      <c r="G309" s="2654"/>
      <c r="H309" s="2654"/>
      <c r="I309" s="2654"/>
      <c r="J309" s="2655"/>
      <c r="K309" s="621"/>
      <c r="L309" s="622"/>
      <c r="M309" s="622"/>
      <c r="N309" s="622"/>
      <c r="O309" s="622"/>
      <c r="P309" s="622"/>
      <c r="Q309" s="622"/>
      <c r="R309" s="622"/>
      <c r="S309" s="623" t="s">
        <v>7</v>
      </c>
      <c r="T309" s="623" t="s">
        <v>8</v>
      </c>
      <c r="U309" s="623" t="s">
        <v>9</v>
      </c>
      <c r="V309" s="623" t="s">
        <v>163</v>
      </c>
      <c r="W309" s="623"/>
      <c r="X309" s="623"/>
      <c r="Y309" s="623"/>
      <c r="Z309" s="623"/>
      <c r="AA309" s="623"/>
      <c r="AB309" s="623"/>
      <c r="AC309" s="623"/>
      <c r="AD309" s="623"/>
      <c r="AE309" s="623"/>
      <c r="AF309" s="623"/>
      <c r="AG309" s="623"/>
      <c r="AH309" s="623"/>
      <c r="AI309" s="624"/>
      <c r="AJ309" s="625"/>
      <c r="AK309" s="2654" t="s">
        <v>33</v>
      </c>
      <c r="AL309" s="2654"/>
      <c r="AM309" s="2654"/>
      <c r="AN309" s="2654"/>
      <c r="AO309" s="2654"/>
      <c r="AP309" s="2654"/>
      <c r="AQ309" s="2654"/>
      <c r="AR309" s="2654"/>
      <c r="AS309" s="2654"/>
      <c r="AT309" s="2654"/>
      <c r="AU309" s="626"/>
      <c r="AW309" s="381"/>
      <c r="AX309" s="381"/>
    </row>
    <row r="310" spans="1:53" ht="15.75" customHeight="1" thickBot="1">
      <c r="A310" s="2647"/>
      <c r="B310" s="2648"/>
      <c r="C310" s="2649"/>
      <c r="D310" s="2634" t="str">
        <f>IFERROR(VLOOKUP(11,'1_入力シート【基本情報】'!$DU$307:$DX$526,3,FALSE),"")</f>
        <v/>
      </c>
      <c r="E310" s="2635"/>
      <c r="F310" s="2635"/>
      <c r="G310" s="2635"/>
      <c r="H310" s="2635"/>
      <c r="I310" s="2635"/>
      <c r="J310" s="2636"/>
      <c r="K310" s="2656" t="str">
        <f>IFERROR(VLOOKUP(11,'1_入力シート【基本情報】'!$DU$307:$DX$526,4,FALSE),"")</f>
        <v/>
      </c>
      <c r="L310" s="2657"/>
      <c r="M310" s="2657"/>
      <c r="N310" s="2657"/>
      <c r="O310" s="2657"/>
      <c r="P310" s="2657"/>
      <c r="Q310" s="2657"/>
      <c r="R310" s="2657"/>
      <c r="S310" s="2657"/>
      <c r="T310" s="2657"/>
      <c r="U310" s="2657"/>
      <c r="V310" s="2657"/>
      <c r="W310" s="2657"/>
      <c r="X310" s="2657"/>
      <c r="Y310" s="2657"/>
      <c r="Z310" s="2657"/>
      <c r="AA310" s="2657"/>
      <c r="AB310" s="2657"/>
      <c r="AC310" s="2657"/>
      <c r="AD310" s="2657"/>
      <c r="AE310" s="2657"/>
      <c r="AF310" s="2657"/>
      <c r="AG310" s="2657"/>
      <c r="AH310" s="2657"/>
      <c r="AI310" s="2658"/>
      <c r="AJ310" s="665"/>
      <c r="AK310" s="665"/>
      <c r="AL310" s="665"/>
      <c r="AM310" s="665"/>
      <c r="AN310" s="665"/>
      <c r="AO310" s="665"/>
      <c r="AP310" s="665"/>
      <c r="AQ310" s="665"/>
      <c r="AR310" s="665"/>
      <c r="AS310" s="665"/>
      <c r="AT310" s="665"/>
      <c r="AU310" s="666"/>
      <c r="AW310" s="381"/>
      <c r="AX310" s="381"/>
    </row>
    <row r="311" spans="1:53" ht="15.75" customHeight="1" thickBot="1">
      <c r="A311" s="2647"/>
      <c r="B311" s="2648"/>
      <c r="C311" s="2649"/>
      <c r="D311" s="2637"/>
      <c r="E311" s="2638"/>
      <c r="F311" s="2638"/>
      <c r="G311" s="2638"/>
      <c r="H311" s="2638"/>
      <c r="I311" s="2638"/>
      <c r="J311" s="2639"/>
      <c r="K311" s="2659"/>
      <c r="L311" s="2660"/>
      <c r="M311" s="2660"/>
      <c r="N311" s="2660"/>
      <c r="O311" s="2660"/>
      <c r="P311" s="2660"/>
      <c r="Q311" s="2660"/>
      <c r="R311" s="2660"/>
      <c r="S311" s="2660"/>
      <c r="T311" s="2660"/>
      <c r="U311" s="2660"/>
      <c r="V311" s="2660"/>
      <c r="W311" s="2660"/>
      <c r="X311" s="2660"/>
      <c r="Y311" s="2660"/>
      <c r="Z311" s="2660"/>
      <c r="AA311" s="2660"/>
      <c r="AB311" s="2660"/>
      <c r="AC311" s="2660"/>
      <c r="AD311" s="2660"/>
      <c r="AE311" s="2660"/>
      <c r="AF311" s="2660"/>
      <c r="AG311" s="2660"/>
      <c r="AH311" s="2660"/>
      <c r="AI311" s="2661"/>
      <c r="AJ311" s="665"/>
      <c r="AK311" s="665" t="str">
        <f>IF(D310&lt;&gt;"","☑","☐")</f>
        <v>☐</v>
      </c>
      <c r="AL311" s="665" t="s">
        <v>14</v>
      </c>
      <c r="AM311" s="665" t="s">
        <v>21</v>
      </c>
      <c r="AN311" s="665" t="s">
        <v>15</v>
      </c>
      <c r="AO311" s="665"/>
      <c r="AP311" s="783" t="s">
        <v>186</v>
      </c>
      <c r="AQ311" s="665" t="s">
        <v>27</v>
      </c>
      <c r="AR311" s="665" t="s">
        <v>23</v>
      </c>
      <c r="AS311" s="665" t="s">
        <v>13</v>
      </c>
      <c r="AT311" s="665"/>
      <c r="AU311" s="666"/>
      <c r="AV311" s="627"/>
      <c r="AW311" s="381"/>
      <c r="AX311" s="381"/>
      <c r="BA311" s="802" t="b">
        <f>AP311="☑"</f>
        <v>0</v>
      </c>
    </row>
    <row r="312" spans="1:53" ht="15.75" customHeight="1">
      <c r="A312" s="2650"/>
      <c r="B312" s="2651"/>
      <c r="C312" s="2652"/>
      <c r="D312" s="2640"/>
      <c r="E312" s="2641"/>
      <c r="F312" s="2641"/>
      <c r="G312" s="2641"/>
      <c r="H312" s="2641"/>
      <c r="I312" s="2641"/>
      <c r="J312" s="2642"/>
      <c r="K312" s="2662"/>
      <c r="L312" s="2663"/>
      <c r="M312" s="2663"/>
      <c r="N312" s="2663"/>
      <c r="O312" s="2663"/>
      <c r="P312" s="2663"/>
      <c r="Q312" s="2663"/>
      <c r="R312" s="2663"/>
      <c r="S312" s="2663"/>
      <c r="T312" s="2663"/>
      <c r="U312" s="2663"/>
      <c r="V312" s="2663"/>
      <c r="W312" s="2663"/>
      <c r="X312" s="2663"/>
      <c r="Y312" s="2663"/>
      <c r="Z312" s="2663"/>
      <c r="AA312" s="2663"/>
      <c r="AB312" s="2663"/>
      <c r="AC312" s="2663"/>
      <c r="AD312" s="2663"/>
      <c r="AE312" s="2663"/>
      <c r="AF312" s="2663"/>
      <c r="AG312" s="2663"/>
      <c r="AH312" s="2663"/>
      <c r="AI312" s="2664"/>
      <c r="AJ312" s="667"/>
      <c r="AK312" s="667"/>
      <c r="AL312" s="667"/>
      <c r="AM312" s="667"/>
      <c r="AN312" s="667"/>
      <c r="AO312" s="667"/>
      <c r="AP312" s="667"/>
      <c r="AQ312" s="667"/>
      <c r="AR312" s="667"/>
      <c r="AS312" s="667"/>
      <c r="AT312" s="667"/>
      <c r="AU312" s="668"/>
      <c r="AW312" s="381"/>
      <c r="AX312" s="381"/>
    </row>
    <row r="313" spans="1:53" ht="15.75" customHeight="1">
      <c r="A313" s="8"/>
      <c r="B313" s="616"/>
      <c r="C313" s="616"/>
      <c r="D313" s="616"/>
      <c r="E313" s="616"/>
      <c r="F313" s="616"/>
      <c r="G313" s="616"/>
      <c r="H313" s="616"/>
      <c r="I313" s="616"/>
      <c r="J313" s="616"/>
      <c r="K313" s="616"/>
      <c r="L313" s="616"/>
      <c r="M313" s="616"/>
      <c r="N313" s="616"/>
      <c r="O313" s="616"/>
      <c r="P313" s="616"/>
      <c r="Q313" s="616"/>
      <c r="R313" s="616"/>
      <c r="S313" s="616"/>
      <c r="T313" s="616"/>
      <c r="U313" s="616"/>
      <c r="V313" s="616"/>
      <c r="W313" s="616"/>
      <c r="X313" s="616"/>
      <c r="Y313" s="9"/>
      <c r="Z313" s="140"/>
      <c r="AA313" s="141" t="s">
        <v>11</v>
      </c>
      <c r="AB313" s="141" t="s">
        <v>10</v>
      </c>
      <c r="AC313" s="141" t="s">
        <v>16</v>
      </c>
      <c r="AD313" s="141" t="s">
        <v>9</v>
      </c>
      <c r="AE313" s="141"/>
      <c r="AF313" s="141"/>
      <c r="AG313" s="141"/>
      <c r="AH313" s="141"/>
      <c r="AI313" s="141"/>
      <c r="AJ313" s="142"/>
      <c r="AK313" s="142"/>
      <c r="AL313" s="142"/>
      <c r="AM313" s="142"/>
      <c r="AN313" s="142"/>
      <c r="AO313" s="142"/>
      <c r="AP313" s="142"/>
      <c r="AQ313" s="142"/>
      <c r="AR313" s="142"/>
      <c r="AS313" s="142"/>
      <c r="AT313" s="142"/>
      <c r="AU313" s="143"/>
      <c r="AW313" s="381"/>
      <c r="AX313" s="381"/>
    </row>
    <row r="314" spans="1:53" ht="15.75" customHeight="1">
      <c r="A314" s="8"/>
      <c r="B314" s="616"/>
      <c r="C314" s="616"/>
      <c r="D314" s="616"/>
      <c r="E314" s="616"/>
      <c r="F314" s="616"/>
      <c r="G314" s="616"/>
      <c r="H314" s="616"/>
      <c r="I314" s="616"/>
      <c r="J314" s="616"/>
      <c r="K314" s="616"/>
      <c r="L314" s="616"/>
      <c r="M314" s="616"/>
      <c r="N314" s="616"/>
      <c r="O314" s="616"/>
      <c r="P314" s="616"/>
      <c r="Q314" s="616"/>
      <c r="R314" s="616"/>
      <c r="S314" s="616"/>
      <c r="T314" s="616"/>
      <c r="U314" s="616"/>
      <c r="V314" s="616"/>
      <c r="W314" s="616"/>
      <c r="X314" s="616"/>
      <c r="Y314" s="9"/>
      <c r="Z314" s="2678"/>
      <c r="AA314" s="2679"/>
      <c r="AB314" s="2679"/>
      <c r="AC314" s="2679"/>
      <c r="AD314" s="2679"/>
      <c r="AE314" s="2679"/>
      <c r="AF314" s="2679"/>
      <c r="AG314" s="2679"/>
      <c r="AH314" s="2679"/>
      <c r="AI314" s="2679"/>
      <c r="AJ314" s="2679"/>
      <c r="AK314" s="2679"/>
      <c r="AL314" s="2679"/>
      <c r="AM314" s="2679"/>
      <c r="AN314" s="2679"/>
      <c r="AO314" s="144"/>
      <c r="AP314" s="144"/>
      <c r="AQ314" s="144"/>
      <c r="AR314" s="144"/>
      <c r="AS314" s="144"/>
      <c r="AT314" s="144"/>
      <c r="AU314" s="145"/>
      <c r="AW314" s="381"/>
      <c r="AX314" s="381"/>
    </row>
    <row r="315" spans="1:53" ht="15.75" customHeight="1">
      <c r="A315" s="8"/>
      <c r="B315" s="616"/>
      <c r="C315" s="616"/>
      <c r="D315" s="616"/>
      <c r="E315" s="616"/>
      <c r="F315" s="616"/>
      <c r="G315" s="616"/>
      <c r="H315" s="616"/>
      <c r="I315" s="616"/>
      <c r="J315" s="616"/>
      <c r="K315" s="616"/>
      <c r="L315" s="616"/>
      <c r="M315" s="616"/>
      <c r="N315" s="616"/>
      <c r="O315" s="616"/>
      <c r="P315" s="616"/>
      <c r="Q315" s="616"/>
      <c r="R315" s="616"/>
      <c r="S315" s="616"/>
      <c r="T315" s="616"/>
      <c r="U315" s="616"/>
      <c r="V315" s="616"/>
      <c r="W315" s="616"/>
      <c r="X315" s="616"/>
      <c r="Y315" s="9"/>
      <c r="Z315" s="2611" t="str">
        <f>IFERROR(VLOOKUP(11,'1_入力シート【基本情報】'!$DU$307:$DZ$526,5,FALSE),"")</f>
        <v/>
      </c>
      <c r="AA315" s="2612"/>
      <c r="AB315" s="2612"/>
      <c r="AC315" s="2612"/>
      <c r="AD315" s="2612"/>
      <c r="AE315" s="2612"/>
      <c r="AF315" s="2612"/>
      <c r="AG315" s="2612"/>
      <c r="AH315" s="2612"/>
      <c r="AI315" s="2612"/>
      <c r="AJ315" s="2612"/>
      <c r="AK315" s="2612"/>
      <c r="AL315" s="2612"/>
      <c r="AM315" s="2612"/>
      <c r="AN315" s="2612"/>
      <c r="AO315" s="2612"/>
      <c r="AP315" s="2612"/>
      <c r="AQ315" s="2612"/>
      <c r="AR315" s="2612"/>
      <c r="AS315" s="2612"/>
      <c r="AT315" s="2612"/>
      <c r="AU315" s="2613"/>
      <c r="AW315" s="381"/>
      <c r="AX315" s="630"/>
    </row>
    <row r="316" spans="1:53" ht="15.75" customHeight="1">
      <c r="A316" s="8"/>
      <c r="B316" s="616"/>
      <c r="C316" s="616"/>
      <c r="D316" s="616"/>
      <c r="E316" s="616"/>
      <c r="F316" s="616"/>
      <c r="G316" s="616"/>
      <c r="H316" s="616"/>
      <c r="I316" s="616"/>
      <c r="J316" s="616"/>
      <c r="K316" s="616"/>
      <c r="L316" s="616"/>
      <c r="M316" s="616"/>
      <c r="N316" s="616"/>
      <c r="O316" s="616"/>
      <c r="P316" s="616"/>
      <c r="Q316" s="616"/>
      <c r="R316" s="616"/>
      <c r="S316" s="616"/>
      <c r="T316" s="616"/>
      <c r="U316" s="616"/>
      <c r="V316" s="616"/>
      <c r="W316" s="616"/>
      <c r="X316" s="616"/>
      <c r="Y316" s="9"/>
      <c r="Z316" s="2614"/>
      <c r="AA316" s="2615"/>
      <c r="AB316" s="2615"/>
      <c r="AC316" s="2615"/>
      <c r="AD316" s="2615"/>
      <c r="AE316" s="2615"/>
      <c r="AF316" s="2615"/>
      <c r="AG316" s="2615"/>
      <c r="AH316" s="2615"/>
      <c r="AI316" s="2615"/>
      <c r="AJ316" s="2615"/>
      <c r="AK316" s="2615"/>
      <c r="AL316" s="2615"/>
      <c r="AM316" s="2615"/>
      <c r="AN316" s="2615"/>
      <c r="AO316" s="2615"/>
      <c r="AP316" s="2615"/>
      <c r="AQ316" s="2615"/>
      <c r="AR316" s="2615"/>
      <c r="AS316" s="2615"/>
      <c r="AT316" s="2615"/>
      <c r="AU316" s="2616"/>
      <c r="AW316" s="381"/>
      <c r="AX316" s="630"/>
    </row>
    <row r="317" spans="1:53" ht="15.75" customHeight="1">
      <c r="A317" s="8"/>
      <c r="B317" s="616"/>
      <c r="C317" s="616"/>
      <c r="D317" s="616"/>
      <c r="E317" s="616"/>
      <c r="F317" s="616"/>
      <c r="G317" s="616"/>
      <c r="H317" s="616"/>
      <c r="I317" s="616"/>
      <c r="J317" s="616"/>
      <c r="K317" s="616"/>
      <c r="L317" s="616"/>
      <c r="M317" s="616"/>
      <c r="N317" s="616"/>
      <c r="O317" s="616"/>
      <c r="P317" s="616"/>
      <c r="Q317" s="616"/>
      <c r="R317" s="616"/>
      <c r="S317" s="616"/>
      <c r="T317" s="616"/>
      <c r="U317" s="616"/>
      <c r="V317" s="616"/>
      <c r="W317" s="616"/>
      <c r="X317" s="616"/>
      <c r="Y317" s="9"/>
      <c r="Z317" s="2617"/>
      <c r="AA317" s="2618"/>
      <c r="AB317" s="2618"/>
      <c r="AC317" s="2618"/>
      <c r="AD317" s="2618"/>
      <c r="AE317" s="2618"/>
      <c r="AF317" s="2618"/>
      <c r="AG317" s="2618"/>
      <c r="AH317" s="2618"/>
      <c r="AI317" s="2618"/>
      <c r="AJ317" s="2618"/>
      <c r="AK317" s="2618"/>
      <c r="AL317" s="2618"/>
      <c r="AM317" s="2618"/>
      <c r="AN317" s="2618"/>
      <c r="AO317" s="2618"/>
      <c r="AP317" s="2618"/>
      <c r="AQ317" s="2618"/>
      <c r="AR317" s="2618"/>
      <c r="AS317" s="2618"/>
      <c r="AT317" s="2618"/>
      <c r="AU317" s="2619"/>
      <c r="AW317" s="381"/>
      <c r="AX317" s="381"/>
    </row>
    <row r="318" spans="1:53" ht="15.75" customHeight="1">
      <c r="A318" s="8"/>
      <c r="B318" s="669"/>
      <c r="C318" s="669"/>
      <c r="D318" s="669"/>
      <c r="E318" s="669"/>
      <c r="F318" s="669"/>
      <c r="G318" s="669"/>
      <c r="H318" s="669"/>
      <c r="I318" s="669"/>
      <c r="J318" s="669"/>
      <c r="K318" s="669"/>
      <c r="L318" s="669"/>
      <c r="M318" s="669"/>
      <c r="N318" s="669"/>
      <c r="O318" s="669"/>
      <c r="P318" s="669"/>
      <c r="Q318" s="669"/>
      <c r="R318" s="669"/>
      <c r="S318" s="669"/>
      <c r="T318" s="669"/>
      <c r="U318" s="669"/>
      <c r="V318" s="669"/>
      <c r="W318" s="669"/>
      <c r="X318" s="669"/>
      <c r="Y318" s="9"/>
      <c r="Z318" s="2620"/>
      <c r="AA318" s="2621"/>
      <c r="AB318" s="2621"/>
      <c r="AC318" s="2621"/>
      <c r="AD318" s="2621"/>
      <c r="AE318" s="2621"/>
      <c r="AF318" s="2621"/>
      <c r="AG318" s="2621"/>
      <c r="AH318" s="2621"/>
      <c r="AI318" s="2621"/>
      <c r="AJ318" s="2621"/>
      <c r="AK318" s="2621"/>
      <c r="AL318" s="2621"/>
      <c r="AM318" s="2621"/>
      <c r="AN318" s="2621"/>
      <c r="AO318" s="2621"/>
      <c r="AP318" s="2621"/>
      <c r="AQ318" s="2621"/>
      <c r="AR318" s="2621"/>
      <c r="AS318" s="2621"/>
      <c r="AT318" s="2621"/>
      <c r="AU318" s="2622"/>
      <c r="AW318" s="381"/>
      <c r="AX318" s="381"/>
    </row>
    <row r="319" spans="1:53" ht="15.75" customHeight="1">
      <c r="A319" s="8"/>
      <c r="B319" s="669"/>
      <c r="C319" s="669"/>
      <c r="D319" s="669"/>
      <c r="E319" s="669"/>
      <c r="F319" s="669"/>
      <c r="G319" s="669"/>
      <c r="H319" s="669"/>
      <c r="I319" s="669"/>
      <c r="J319" s="669"/>
      <c r="K319" s="669"/>
      <c r="L319" s="669"/>
      <c r="M319" s="669"/>
      <c r="N319" s="669"/>
      <c r="O319" s="669"/>
      <c r="P319" s="669"/>
      <c r="Q319" s="669"/>
      <c r="R319" s="669"/>
      <c r="S319" s="669"/>
      <c r="T319" s="669"/>
      <c r="U319" s="669"/>
      <c r="V319" s="669"/>
      <c r="W319" s="669"/>
      <c r="X319" s="669"/>
      <c r="Y319" s="9"/>
      <c r="Z319" s="2620"/>
      <c r="AA319" s="2621"/>
      <c r="AB319" s="2621"/>
      <c r="AC319" s="2621"/>
      <c r="AD319" s="2621"/>
      <c r="AE319" s="2621"/>
      <c r="AF319" s="2621"/>
      <c r="AG319" s="2621"/>
      <c r="AH319" s="2621"/>
      <c r="AI319" s="2621"/>
      <c r="AJ319" s="2621"/>
      <c r="AK319" s="2621"/>
      <c r="AL319" s="2621"/>
      <c r="AM319" s="2621"/>
      <c r="AN319" s="2621"/>
      <c r="AO319" s="2621"/>
      <c r="AP319" s="2621"/>
      <c r="AQ319" s="2621"/>
      <c r="AR319" s="2621"/>
      <c r="AS319" s="2621"/>
      <c r="AT319" s="2621"/>
      <c r="AU319" s="2622"/>
      <c r="AW319" s="381"/>
      <c r="AX319" s="381"/>
    </row>
    <row r="320" spans="1:53" ht="15.75" customHeight="1">
      <c r="A320" s="8"/>
      <c r="B320" s="669"/>
      <c r="C320" s="669"/>
      <c r="D320" s="669"/>
      <c r="E320" s="669"/>
      <c r="F320" s="669"/>
      <c r="G320" s="669"/>
      <c r="H320" s="669"/>
      <c r="I320" s="669"/>
      <c r="J320" s="669"/>
      <c r="K320" s="669"/>
      <c r="L320" s="669"/>
      <c r="M320" s="669"/>
      <c r="N320" s="669"/>
      <c r="O320" s="669"/>
      <c r="P320" s="669"/>
      <c r="Q320" s="669"/>
      <c r="R320" s="669"/>
      <c r="S320" s="669"/>
      <c r="T320" s="669"/>
      <c r="U320" s="669"/>
      <c r="V320" s="669"/>
      <c r="W320" s="669"/>
      <c r="X320" s="669"/>
      <c r="Y320" s="9"/>
      <c r="Z320" s="2620"/>
      <c r="AA320" s="2621"/>
      <c r="AB320" s="2621"/>
      <c r="AC320" s="2621"/>
      <c r="AD320" s="2621"/>
      <c r="AE320" s="2621"/>
      <c r="AF320" s="2621"/>
      <c r="AG320" s="2621"/>
      <c r="AH320" s="2621"/>
      <c r="AI320" s="2621"/>
      <c r="AJ320" s="2621"/>
      <c r="AK320" s="2621"/>
      <c r="AL320" s="2621"/>
      <c r="AM320" s="2621"/>
      <c r="AN320" s="2621"/>
      <c r="AO320" s="2621"/>
      <c r="AP320" s="2621"/>
      <c r="AQ320" s="2621"/>
      <c r="AR320" s="2621"/>
      <c r="AS320" s="2621"/>
      <c r="AT320" s="2621"/>
      <c r="AU320" s="2622"/>
      <c r="AW320" s="381"/>
      <c r="AX320" s="381"/>
    </row>
    <row r="321" spans="1:53" ht="15.75" customHeight="1">
      <c r="A321" s="8"/>
      <c r="B321" s="669"/>
      <c r="C321" s="669"/>
      <c r="D321" s="669"/>
      <c r="E321" s="669"/>
      <c r="F321" s="669"/>
      <c r="G321" s="669"/>
      <c r="H321" s="669"/>
      <c r="I321" s="669"/>
      <c r="J321" s="669"/>
      <c r="K321" s="2629" t="s">
        <v>164</v>
      </c>
      <c r="L321" s="2629"/>
      <c r="M321" s="2629"/>
      <c r="N321" s="2629"/>
      <c r="O321" s="2629"/>
      <c r="P321" s="2629"/>
      <c r="Q321" s="669"/>
      <c r="R321" s="669"/>
      <c r="S321" s="669"/>
      <c r="T321" s="669"/>
      <c r="U321" s="669"/>
      <c r="V321" s="669"/>
      <c r="W321" s="669"/>
      <c r="X321" s="669"/>
      <c r="Y321" s="9"/>
      <c r="Z321" s="2620"/>
      <c r="AA321" s="2621"/>
      <c r="AB321" s="2621"/>
      <c r="AC321" s="2621"/>
      <c r="AD321" s="2621"/>
      <c r="AE321" s="2621"/>
      <c r="AF321" s="2621"/>
      <c r="AG321" s="2621"/>
      <c r="AH321" s="2621"/>
      <c r="AI321" s="2621"/>
      <c r="AJ321" s="2621"/>
      <c r="AK321" s="2621"/>
      <c r="AL321" s="2621"/>
      <c r="AM321" s="2621"/>
      <c r="AN321" s="2621"/>
      <c r="AO321" s="2621"/>
      <c r="AP321" s="2621"/>
      <c r="AQ321" s="2621"/>
      <c r="AR321" s="2621"/>
      <c r="AS321" s="2621"/>
      <c r="AT321" s="2621"/>
      <c r="AU321" s="2622"/>
      <c r="AW321" s="381"/>
      <c r="AX321" s="381"/>
    </row>
    <row r="322" spans="1:53" ht="15.75" customHeight="1">
      <c r="A322" s="8"/>
      <c r="B322" s="669"/>
      <c r="C322" s="669"/>
      <c r="D322" s="669"/>
      <c r="E322" s="669"/>
      <c r="F322" s="669"/>
      <c r="G322" s="669"/>
      <c r="H322" s="669"/>
      <c r="I322" s="669"/>
      <c r="J322" s="669"/>
      <c r="K322" s="669"/>
      <c r="L322" s="669"/>
      <c r="M322" s="669"/>
      <c r="N322" s="669"/>
      <c r="O322" s="669"/>
      <c r="P322" s="669"/>
      <c r="Q322" s="669"/>
      <c r="R322" s="669"/>
      <c r="S322" s="669"/>
      <c r="T322" s="669"/>
      <c r="U322" s="669"/>
      <c r="V322" s="669"/>
      <c r="W322" s="669"/>
      <c r="X322" s="669"/>
      <c r="Y322" s="9"/>
      <c r="Z322" s="2620"/>
      <c r="AA322" s="2621"/>
      <c r="AB322" s="2621"/>
      <c r="AC322" s="2621"/>
      <c r="AD322" s="2621"/>
      <c r="AE322" s="2621"/>
      <c r="AF322" s="2621"/>
      <c r="AG322" s="2621"/>
      <c r="AH322" s="2621"/>
      <c r="AI322" s="2621"/>
      <c r="AJ322" s="2621"/>
      <c r="AK322" s="2621"/>
      <c r="AL322" s="2621"/>
      <c r="AM322" s="2621"/>
      <c r="AN322" s="2621"/>
      <c r="AO322" s="2621"/>
      <c r="AP322" s="2621"/>
      <c r="AQ322" s="2621"/>
      <c r="AR322" s="2621"/>
      <c r="AS322" s="2621"/>
      <c r="AT322" s="2621"/>
      <c r="AU322" s="2622"/>
      <c r="AW322" s="381"/>
      <c r="AX322" s="381"/>
    </row>
    <row r="323" spans="1:53" ht="15.75" customHeight="1">
      <c r="A323" s="8"/>
      <c r="B323" s="669"/>
      <c r="C323" s="669"/>
      <c r="D323" s="669"/>
      <c r="E323" s="669"/>
      <c r="F323" s="669"/>
      <c r="G323" s="669"/>
      <c r="H323" s="669"/>
      <c r="I323" s="669"/>
      <c r="J323" s="669"/>
      <c r="K323" s="669"/>
      <c r="L323" s="669"/>
      <c r="M323" s="669"/>
      <c r="N323" s="669"/>
      <c r="O323" s="669"/>
      <c r="P323" s="669"/>
      <c r="Q323" s="669"/>
      <c r="R323" s="669"/>
      <c r="S323" s="669"/>
      <c r="T323" s="669"/>
      <c r="U323" s="669"/>
      <c r="V323" s="669"/>
      <c r="W323" s="669"/>
      <c r="X323" s="669"/>
      <c r="Y323" s="9"/>
      <c r="Z323" s="2620"/>
      <c r="AA323" s="2621"/>
      <c r="AB323" s="2621"/>
      <c r="AC323" s="2621"/>
      <c r="AD323" s="2621"/>
      <c r="AE323" s="2621"/>
      <c r="AF323" s="2621"/>
      <c r="AG323" s="2621"/>
      <c r="AH323" s="2621"/>
      <c r="AI323" s="2621"/>
      <c r="AJ323" s="2621"/>
      <c r="AK323" s="2621"/>
      <c r="AL323" s="2621"/>
      <c r="AM323" s="2621"/>
      <c r="AN323" s="2621"/>
      <c r="AO323" s="2621"/>
      <c r="AP323" s="2621"/>
      <c r="AQ323" s="2621"/>
      <c r="AR323" s="2621"/>
      <c r="AS323" s="2621"/>
      <c r="AT323" s="2621"/>
      <c r="AU323" s="2622"/>
      <c r="AW323" s="381"/>
      <c r="AX323" s="381"/>
    </row>
    <row r="324" spans="1:53" ht="15.75" customHeight="1">
      <c r="A324" s="8"/>
      <c r="B324" s="669"/>
      <c r="C324" s="669"/>
      <c r="D324" s="669"/>
      <c r="E324" s="669"/>
      <c r="F324" s="669"/>
      <c r="G324" s="669"/>
      <c r="H324" s="669"/>
      <c r="I324" s="669"/>
      <c r="J324" s="669"/>
      <c r="K324" s="669"/>
      <c r="L324" s="669"/>
      <c r="M324" s="669"/>
      <c r="N324" s="669"/>
      <c r="O324" s="669"/>
      <c r="P324" s="669"/>
      <c r="Q324" s="669"/>
      <c r="R324" s="669"/>
      <c r="S324" s="669"/>
      <c r="T324" s="669"/>
      <c r="U324" s="669"/>
      <c r="V324" s="669"/>
      <c r="W324" s="669"/>
      <c r="X324" s="669"/>
      <c r="Y324" s="9"/>
      <c r="Z324" s="2620"/>
      <c r="AA324" s="2621"/>
      <c r="AB324" s="2621"/>
      <c r="AC324" s="2621"/>
      <c r="AD324" s="2621"/>
      <c r="AE324" s="2621"/>
      <c r="AF324" s="2621"/>
      <c r="AG324" s="2621"/>
      <c r="AH324" s="2621"/>
      <c r="AI324" s="2621"/>
      <c r="AJ324" s="2621"/>
      <c r="AK324" s="2621"/>
      <c r="AL324" s="2621"/>
      <c r="AM324" s="2621"/>
      <c r="AN324" s="2621"/>
      <c r="AO324" s="2621"/>
      <c r="AP324" s="2621"/>
      <c r="AQ324" s="2621"/>
      <c r="AR324" s="2621"/>
      <c r="AS324" s="2621"/>
      <c r="AT324" s="2621"/>
      <c r="AU324" s="2622"/>
      <c r="AW324" s="381"/>
      <c r="AX324" s="381"/>
    </row>
    <row r="325" spans="1:53" ht="15.75" customHeight="1">
      <c r="A325" s="8"/>
      <c r="B325" s="669"/>
      <c r="C325" s="669"/>
      <c r="D325" s="669"/>
      <c r="E325" s="669"/>
      <c r="F325" s="669"/>
      <c r="G325" s="669"/>
      <c r="H325" s="669"/>
      <c r="I325" s="669"/>
      <c r="J325" s="669"/>
      <c r="K325" s="669"/>
      <c r="L325" s="669"/>
      <c r="M325" s="669"/>
      <c r="N325" s="669"/>
      <c r="O325" s="669"/>
      <c r="P325" s="669"/>
      <c r="Q325" s="669"/>
      <c r="R325" s="669"/>
      <c r="S325" s="669"/>
      <c r="T325" s="669"/>
      <c r="U325" s="669"/>
      <c r="V325" s="669"/>
      <c r="W325" s="669"/>
      <c r="X325" s="669"/>
      <c r="Y325" s="9"/>
      <c r="Z325" s="2620"/>
      <c r="AA325" s="2621"/>
      <c r="AB325" s="2621"/>
      <c r="AC325" s="2621"/>
      <c r="AD325" s="2621"/>
      <c r="AE325" s="2621"/>
      <c r="AF325" s="2621"/>
      <c r="AG325" s="2621"/>
      <c r="AH325" s="2621"/>
      <c r="AI325" s="2621"/>
      <c r="AJ325" s="2621"/>
      <c r="AK325" s="2621"/>
      <c r="AL325" s="2621"/>
      <c r="AM325" s="2621"/>
      <c r="AN325" s="2621"/>
      <c r="AO325" s="2621"/>
      <c r="AP325" s="2621"/>
      <c r="AQ325" s="2621"/>
      <c r="AR325" s="2621"/>
      <c r="AS325" s="2621"/>
      <c r="AT325" s="2621"/>
      <c r="AU325" s="2622"/>
      <c r="AW325" s="381"/>
      <c r="AX325" s="381"/>
    </row>
    <row r="326" spans="1:53" ht="15.75" customHeight="1">
      <c r="A326" s="8"/>
      <c r="B326" s="669"/>
      <c r="C326" s="669"/>
      <c r="D326" s="669"/>
      <c r="E326" s="669"/>
      <c r="F326" s="669"/>
      <c r="G326" s="669"/>
      <c r="H326" s="669"/>
      <c r="I326" s="669"/>
      <c r="J326" s="669"/>
      <c r="K326" s="669"/>
      <c r="L326" s="669"/>
      <c r="M326" s="669"/>
      <c r="N326" s="669"/>
      <c r="O326" s="669"/>
      <c r="P326" s="669"/>
      <c r="Q326" s="669"/>
      <c r="R326" s="669"/>
      <c r="S326" s="669"/>
      <c r="T326" s="669"/>
      <c r="U326" s="669"/>
      <c r="V326" s="669"/>
      <c r="W326" s="669"/>
      <c r="X326" s="669"/>
      <c r="Y326" s="9"/>
      <c r="Z326" s="2620"/>
      <c r="AA326" s="2621"/>
      <c r="AB326" s="2621"/>
      <c r="AC326" s="2621"/>
      <c r="AD326" s="2621"/>
      <c r="AE326" s="2621"/>
      <c r="AF326" s="2621"/>
      <c r="AG326" s="2621"/>
      <c r="AH326" s="2621"/>
      <c r="AI326" s="2621"/>
      <c r="AJ326" s="2621"/>
      <c r="AK326" s="2621"/>
      <c r="AL326" s="2621"/>
      <c r="AM326" s="2621"/>
      <c r="AN326" s="2621"/>
      <c r="AO326" s="2621"/>
      <c r="AP326" s="2621"/>
      <c r="AQ326" s="2621"/>
      <c r="AR326" s="2621"/>
      <c r="AS326" s="2621"/>
      <c r="AT326" s="2621"/>
      <c r="AU326" s="2622"/>
      <c r="AW326" s="381"/>
      <c r="AX326" s="381"/>
    </row>
    <row r="327" spans="1:53" ht="15.75" customHeight="1">
      <c r="A327" s="8"/>
      <c r="B327" s="669"/>
      <c r="C327" s="669"/>
      <c r="D327" s="669"/>
      <c r="E327" s="669"/>
      <c r="F327" s="669"/>
      <c r="G327" s="669"/>
      <c r="H327" s="669"/>
      <c r="I327" s="669"/>
      <c r="J327" s="669"/>
      <c r="K327" s="669"/>
      <c r="L327" s="669"/>
      <c r="M327" s="669"/>
      <c r="N327" s="669"/>
      <c r="O327" s="669"/>
      <c r="P327" s="669"/>
      <c r="Q327" s="669"/>
      <c r="R327" s="669"/>
      <c r="S327" s="669"/>
      <c r="T327" s="669"/>
      <c r="U327" s="669"/>
      <c r="V327" s="669"/>
      <c r="W327" s="669"/>
      <c r="X327" s="669"/>
      <c r="Y327" s="9"/>
      <c r="Z327" s="2620"/>
      <c r="AA327" s="2621"/>
      <c r="AB327" s="2621"/>
      <c r="AC327" s="2621"/>
      <c r="AD327" s="2621"/>
      <c r="AE327" s="2621"/>
      <c r="AF327" s="2621"/>
      <c r="AG327" s="2621"/>
      <c r="AH327" s="2621"/>
      <c r="AI327" s="2621"/>
      <c r="AJ327" s="2621"/>
      <c r="AK327" s="2621"/>
      <c r="AL327" s="2621"/>
      <c r="AM327" s="2621"/>
      <c r="AN327" s="2621"/>
      <c r="AO327" s="2621"/>
      <c r="AP327" s="2621"/>
      <c r="AQ327" s="2621"/>
      <c r="AR327" s="2621"/>
      <c r="AS327" s="2621"/>
      <c r="AT327" s="2621"/>
      <c r="AU327" s="2622"/>
      <c r="AW327" s="381"/>
      <c r="AX327" s="381"/>
    </row>
    <row r="328" spans="1:53" ht="15.75" customHeight="1">
      <c r="A328" s="8"/>
      <c r="B328" s="669"/>
      <c r="C328" s="669"/>
      <c r="D328" s="669"/>
      <c r="E328" s="669"/>
      <c r="F328" s="669"/>
      <c r="G328" s="669"/>
      <c r="H328" s="669"/>
      <c r="I328" s="669"/>
      <c r="J328" s="669"/>
      <c r="K328" s="669"/>
      <c r="L328" s="669"/>
      <c r="M328" s="669"/>
      <c r="N328" s="669"/>
      <c r="O328" s="669"/>
      <c r="P328" s="669"/>
      <c r="Q328" s="669"/>
      <c r="R328" s="669"/>
      <c r="S328" s="669"/>
      <c r="T328" s="669"/>
      <c r="U328" s="669"/>
      <c r="V328" s="669"/>
      <c r="W328" s="669"/>
      <c r="X328" s="669"/>
      <c r="Y328" s="9"/>
      <c r="Z328" s="2620"/>
      <c r="AA328" s="2621"/>
      <c r="AB328" s="2621"/>
      <c r="AC328" s="2621"/>
      <c r="AD328" s="2621"/>
      <c r="AE328" s="2621"/>
      <c r="AF328" s="2621"/>
      <c r="AG328" s="2621"/>
      <c r="AH328" s="2621"/>
      <c r="AI328" s="2621"/>
      <c r="AJ328" s="2621"/>
      <c r="AK328" s="2621"/>
      <c r="AL328" s="2621"/>
      <c r="AM328" s="2621"/>
      <c r="AN328" s="2621"/>
      <c r="AO328" s="2621"/>
      <c r="AP328" s="2621"/>
      <c r="AQ328" s="2621"/>
      <c r="AR328" s="2621"/>
      <c r="AS328" s="2621"/>
      <c r="AT328" s="2621"/>
      <c r="AU328" s="2622"/>
      <c r="AW328" s="381"/>
      <c r="AX328" s="381"/>
    </row>
    <row r="329" spans="1:53" ht="15.75" customHeight="1">
      <c r="A329" s="8"/>
      <c r="B329" s="669"/>
      <c r="C329" s="669"/>
      <c r="D329" s="669"/>
      <c r="E329" s="669"/>
      <c r="F329" s="669"/>
      <c r="G329" s="669"/>
      <c r="H329" s="669"/>
      <c r="I329" s="669"/>
      <c r="J329" s="669"/>
      <c r="K329" s="669"/>
      <c r="L329" s="669"/>
      <c r="M329" s="669"/>
      <c r="N329" s="669"/>
      <c r="O329" s="669"/>
      <c r="P329" s="669"/>
      <c r="Q329" s="669"/>
      <c r="R329" s="669"/>
      <c r="S329" s="669"/>
      <c r="T329" s="669"/>
      <c r="U329" s="669"/>
      <c r="V329" s="669"/>
      <c r="W329" s="669"/>
      <c r="X329" s="669"/>
      <c r="Y329" s="9"/>
      <c r="Z329" s="2620"/>
      <c r="AA329" s="2621"/>
      <c r="AB329" s="2621"/>
      <c r="AC329" s="2621"/>
      <c r="AD329" s="2621"/>
      <c r="AE329" s="2621"/>
      <c r="AF329" s="2621"/>
      <c r="AG329" s="2621"/>
      <c r="AH329" s="2621"/>
      <c r="AI329" s="2621"/>
      <c r="AJ329" s="2621"/>
      <c r="AK329" s="2621"/>
      <c r="AL329" s="2621"/>
      <c r="AM329" s="2621"/>
      <c r="AN329" s="2621"/>
      <c r="AO329" s="2621"/>
      <c r="AP329" s="2621"/>
      <c r="AQ329" s="2621"/>
      <c r="AR329" s="2621"/>
      <c r="AS329" s="2621"/>
      <c r="AT329" s="2621"/>
      <c r="AU329" s="2622"/>
      <c r="AW329" s="381"/>
      <c r="AX329" s="381"/>
    </row>
    <row r="330" spans="1:53" ht="15.75" customHeight="1">
      <c r="A330" s="12"/>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1"/>
      <c r="Z330" s="2623"/>
      <c r="AA330" s="2624"/>
      <c r="AB330" s="2624"/>
      <c r="AC330" s="2624"/>
      <c r="AD330" s="2624"/>
      <c r="AE330" s="2624"/>
      <c r="AF330" s="2624"/>
      <c r="AG330" s="2624"/>
      <c r="AH330" s="2624"/>
      <c r="AI330" s="2624"/>
      <c r="AJ330" s="2624"/>
      <c r="AK330" s="2624"/>
      <c r="AL330" s="2624"/>
      <c r="AM330" s="2624"/>
      <c r="AN330" s="2624"/>
      <c r="AO330" s="2624"/>
      <c r="AP330" s="2624"/>
      <c r="AQ330" s="2624"/>
      <c r="AR330" s="2624"/>
      <c r="AS330" s="2624"/>
      <c r="AT330" s="2624"/>
      <c r="AU330" s="2625"/>
      <c r="AW330" s="381"/>
      <c r="AX330" s="381"/>
    </row>
    <row r="331" spans="1:53" ht="12.75" customHeight="1">
      <c r="AW331" s="381"/>
      <c r="AX331" s="381"/>
    </row>
    <row r="332" spans="1:53" ht="15.75" customHeight="1">
      <c r="A332" s="2634" t="s">
        <v>161</v>
      </c>
      <c r="B332" s="2635"/>
      <c r="C332" s="2636"/>
      <c r="D332" s="2653" t="s">
        <v>162</v>
      </c>
      <c r="E332" s="2654"/>
      <c r="F332" s="2654"/>
      <c r="G332" s="2654"/>
      <c r="H332" s="2654"/>
      <c r="I332" s="2654"/>
      <c r="J332" s="2655"/>
      <c r="K332" s="625"/>
      <c r="L332" s="622"/>
      <c r="M332" s="622"/>
      <c r="N332" s="622"/>
      <c r="O332" s="622"/>
      <c r="P332" s="622"/>
      <c r="Q332" s="622"/>
      <c r="R332" s="622"/>
      <c r="S332" s="623" t="s">
        <v>7</v>
      </c>
      <c r="T332" s="623" t="s">
        <v>8</v>
      </c>
      <c r="U332" s="623" t="s">
        <v>9</v>
      </c>
      <c r="V332" s="623" t="s">
        <v>163</v>
      </c>
      <c r="W332" s="623"/>
      <c r="X332" s="623"/>
      <c r="Y332" s="623"/>
      <c r="Z332" s="623"/>
      <c r="AA332" s="623"/>
      <c r="AB332" s="623"/>
      <c r="AC332" s="623"/>
      <c r="AD332" s="623"/>
      <c r="AE332" s="623"/>
      <c r="AF332" s="623"/>
      <c r="AG332" s="623"/>
      <c r="AH332" s="623"/>
      <c r="AI332" s="624"/>
      <c r="AJ332" s="625"/>
      <c r="AK332" s="2654" t="s">
        <v>33</v>
      </c>
      <c r="AL332" s="2654"/>
      <c r="AM332" s="2654"/>
      <c r="AN332" s="2654"/>
      <c r="AO332" s="2654"/>
      <c r="AP332" s="2654"/>
      <c r="AQ332" s="2654"/>
      <c r="AR332" s="2654"/>
      <c r="AS332" s="2654"/>
      <c r="AT332" s="2654"/>
      <c r="AU332" s="626"/>
      <c r="AW332" s="381"/>
      <c r="AX332" s="381"/>
    </row>
    <row r="333" spans="1:53" ht="15.75" customHeight="1" thickBot="1">
      <c r="A333" s="2647"/>
      <c r="B333" s="2648"/>
      <c r="C333" s="2649"/>
      <c r="D333" s="2634" t="str">
        <f>IFERROR(VLOOKUP(12,'1_入力シート【基本情報】'!$DU$307:$DX$526,3,FALSE),"")</f>
        <v/>
      </c>
      <c r="E333" s="2635"/>
      <c r="F333" s="2635"/>
      <c r="G333" s="2635"/>
      <c r="H333" s="2635"/>
      <c r="I333" s="2635"/>
      <c r="J333" s="2636"/>
      <c r="K333" s="2656" t="str">
        <f>IFERROR(VLOOKUP(12,'1_入力シート【基本情報】'!$DU$307:$DX$526,4,FALSE),"")</f>
        <v/>
      </c>
      <c r="L333" s="2657"/>
      <c r="M333" s="2657"/>
      <c r="N333" s="2657"/>
      <c r="O333" s="2657"/>
      <c r="P333" s="2657"/>
      <c r="Q333" s="2657"/>
      <c r="R333" s="2657"/>
      <c r="S333" s="2657"/>
      <c r="T333" s="2657"/>
      <c r="U333" s="2657"/>
      <c r="V333" s="2657"/>
      <c r="W333" s="2657"/>
      <c r="X333" s="2657"/>
      <c r="Y333" s="2657"/>
      <c r="Z333" s="2657"/>
      <c r="AA333" s="2657"/>
      <c r="AB333" s="2657"/>
      <c r="AC333" s="2657"/>
      <c r="AD333" s="2657"/>
      <c r="AE333" s="2657"/>
      <c r="AF333" s="2657"/>
      <c r="AG333" s="2657"/>
      <c r="AH333" s="2657"/>
      <c r="AI333" s="2658"/>
      <c r="AJ333" s="665"/>
      <c r="AK333" s="665"/>
      <c r="AL333" s="665"/>
      <c r="AM333" s="665"/>
      <c r="AN333" s="665"/>
      <c r="AO333" s="665"/>
      <c r="AP333" s="665"/>
      <c r="AQ333" s="665"/>
      <c r="AR333" s="665"/>
      <c r="AS333" s="665"/>
      <c r="AT333" s="665"/>
      <c r="AU333" s="666"/>
      <c r="AW333" s="381"/>
      <c r="AX333" s="381"/>
    </row>
    <row r="334" spans="1:53" ht="15.75" customHeight="1" thickBot="1">
      <c r="A334" s="2647"/>
      <c r="B334" s="2648"/>
      <c r="C334" s="2649"/>
      <c r="D334" s="2637"/>
      <c r="E334" s="2638"/>
      <c r="F334" s="2638"/>
      <c r="G334" s="2638"/>
      <c r="H334" s="2638"/>
      <c r="I334" s="2638"/>
      <c r="J334" s="2639"/>
      <c r="K334" s="2659"/>
      <c r="L334" s="2660"/>
      <c r="M334" s="2660"/>
      <c r="N334" s="2660"/>
      <c r="O334" s="2660"/>
      <c r="P334" s="2660"/>
      <c r="Q334" s="2660"/>
      <c r="R334" s="2660"/>
      <c r="S334" s="2660"/>
      <c r="T334" s="2660"/>
      <c r="U334" s="2660"/>
      <c r="V334" s="2660"/>
      <c r="W334" s="2660"/>
      <c r="X334" s="2660"/>
      <c r="Y334" s="2660"/>
      <c r="Z334" s="2660"/>
      <c r="AA334" s="2660"/>
      <c r="AB334" s="2660"/>
      <c r="AC334" s="2660"/>
      <c r="AD334" s="2660"/>
      <c r="AE334" s="2660"/>
      <c r="AF334" s="2660"/>
      <c r="AG334" s="2660"/>
      <c r="AH334" s="2660"/>
      <c r="AI334" s="2661"/>
      <c r="AJ334" s="665"/>
      <c r="AK334" s="665" t="str">
        <f>IF(D333&lt;&gt;"","☑","☐")</f>
        <v>☐</v>
      </c>
      <c r="AL334" s="665" t="s">
        <v>14</v>
      </c>
      <c r="AM334" s="665" t="s">
        <v>21</v>
      </c>
      <c r="AN334" s="665" t="s">
        <v>15</v>
      </c>
      <c r="AO334" s="665"/>
      <c r="AP334" s="783" t="s">
        <v>186</v>
      </c>
      <c r="AQ334" s="665" t="s">
        <v>27</v>
      </c>
      <c r="AR334" s="665" t="s">
        <v>23</v>
      </c>
      <c r="AS334" s="665" t="s">
        <v>13</v>
      </c>
      <c r="AT334" s="665"/>
      <c r="AU334" s="666"/>
      <c r="AW334" s="381"/>
      <c r="AX334" s="381"/>
      <c r="BA334" s="802" t="b">
        <f>AP334="☑"</f>
        <v>0</v>
      </c>
    </row>
    <row r="335" spans="1:53" ht="15.75" customHeight="1">
      <c r="A335" s="2650"/>
      <c r="B335" s="2651"/>
      <c r="C335" s="2652"/>
      <c r="D335" s="2640"/>
      <c r="E335" s="2641"/>
      <c r="F335" s="2641"/>
      <c r="G335" s="2641"/>
      <c r="H335" s="2641"/>
      <c r="I335" s="2641"/>
      <c r="J335" s="2642"/>
      <c r="K335" s="2662"/>
      <c r="L335" s="2663"/>
      <c r="M335" s="2663"/>
      <c r="N335" s="2663"/>
      <c r="O335" s="2663"/>
      <c r="P335" s="2663"/>
      <c r="Q335" s="2663"/>
      <c r="R335" s="2663"/>
      <c r="S335" s="2663"/>
      <c r="T335" s="2663"/>
      <c r="U335" s="2663"/>
      <c r="V335" s="2663"/>
      <c r="W335" s="2663"/>
      <c r="X335" s="2663"/>
      <c r="Y335" s="2663"/>
      <c r="Z335" s="2663"/>
      <c r="AA335" s="2663"/>
      <c r="AB335" s="2663"/>
      <c r="AC335" s="2663"/>
      <c r="AD335" s="2663"/>
      <c r="AE335" s="2663"/>
      <c r="AF335" s="2663"/>
      <c r="AG335" s="2663"/>
      <c r="AH335" s="2663"/>
      <c r="AI335" s="2664"/>
      <c r="AJ335" s="667"/>
      <c r="AK335" s="667"/>
      <c r="AL335" s="667"/>
      <c r="AM335" s="667"/>
      <c r="AN335" s="667"/>
      <c r="AO335" s="667"/>
      <c r="AP335" s="667"/>
      <c r="AQ335" s="667"/>
      <c r="AR335" s="667"/>
      <c r="AS335" s="667"/>
      <c r="AT335" s="667"/>
      <c r="AU335" s="668"/>
      <c r="AW335" s="381"/>
      <c r="AX335" s="381"/>
    </row>
    <row r="336" spans="1:53" ht="15.75" customHeight="1">
      <c r="A336" s="8"/>
      <c r="B336" s="616"/>
      <c r="C336" s="616"/>
      <c r="D336" s="616"/>
      <c r="E336" s="616"/>
      <c r="F336" s="616"/>
      <c r="G336" s="616"/>
      <c r="H336" s="616"/>
      <c r="I336" s="616"/>
      <c r="J336" s="616"/>
      <c r="K336" s="616"/>
      <c r="L336" s="616"/>
      <c r="M336" s="616"/>
      <c r="N336" s="616"/>
      <c r="O336" s="616"/>
      <c r="P336" s="616"/>
      <c r="Q336" s="616"/>
      <c r="R336" s="616"/>
      <c r="S336" s="616"/>
      <c r="T336" s="616"/>
      <c r="U336" s="616"/>
      <c r="V336" s="616"/>
      <c r="W336" s="616"/>
      <c r="X336" s="616"/>
      <c r="Y336" s="9"/>
      <c r="Z336" s="140"/>
      <c r="AA336" s="141" t="s">
        <v>11</v>
      </c>
      <c r="AB336" s="141" t="s">
        <v>10</v>
      </c>
      <c r="AC336" s="141" t="s">
        <v>16</v>
      </c>
      <c r="AD336" s="141" t="s">
        <v>9</v>
      </c>
      <c r="AE336" s="141"/>
      <c r="AF336" s="141"/>
      <c r="AG336" s="141"/>
      <c r="AH336" s="141"/>
      <c r="AI336" s="141"/>
      <c r="AJ336" s="142"/>
      <c r="AK336" s="142"/>
      <c r="AL336" s="142"/>
      <c r="AM336" s="142"/>
      <c r="AN336" s="142"/>
      <c r="AO336" s="142"/>
      <c r="AP336" s="142"/>
      <c r="AQ336" s="142"/>
      <c r="AR336" s="142"/>
      <c r="AS336" s="142"/>
      <c r="AT336" s="142"/>
      <c r="AU336" s="615"/>
      <c r="AW336" s="381"/>
      <c r="AX336" s="381"/>
    </row>
    <row r="337" spans="1:50" ht="15.75" customHeight="1">
      <c r="A337" s="8"/>
      <c r="B337" s="616"/>
      <c r="C337" s="616"/>
      <c r="D337" s="616"/>
      <c r="E337" s="616"/>
      <c r="F337" s="616"/>
      <c r="G337" s="616"/>
      <c r="H337" s="616"/>
      <c r="I337" s="616"/>
      <c r="J337" s="616"/>
      <c r="K337" s="616"/>
      <c r="L337" s="616"/>
      <c r="M337" s="616"/>
      <c r="N337" s="616"/>
      <c r="O337" s="616"/>
      <c r="P337" s="616"/>
      <c r="Q337" s="616"/>
      <c r="R337" s="616"/>
      <c r="S337" s="616"/>
      <c r="T337" s="616"/>
      <c r="U337" s="616"/>
      <c r="V337" s="616"/>
      <c r="W337" s="616"/>
      <c r="X337" s="616"/>
      <c r="Y337" s="9"/>
      <c r="Z337" s="2626"/>
      <c r="AA337" s="2627"/>
      <c r="AB337" s="2627"/>
      <c r="AC337" s="2627"/>
      <c r="AD337" s="2627"/>
      <c r="AE337" s="2627"/>
      <c r="AF337" s="2627"/>
      <c r="AG337" s="2627"/>
      <c r="AH337" s="2627"/>
      <c r="AI337" s="2627"/>
      <c r="AJ337" s="2627"/>
      <c r="AK337" s="2627"/>
      <c r="AL337" s="2627"/>
      <c r="AM337" s="2627"/>
      <c r="AN337" s="2627"/>
      <c r="AO337" s="198"/>
      <c r="AP337" s="198"/>
      <c r="AQ337" s="198"/>
      <c r="AR337" s="198"/>
      <c r="AS337" s="198"/>
      <c r="AT337" s="198"/>
      <c r="AU337" s="199"/>
      <c r="AW337" s="381"/>
      <c r="AX337" s="381"/>
    </row>
    <row r="338" spans="1:50" ht="15.75" customHeight="1">
      <c r="A338" s="8"/>
      <c r="B338" s="616"/>
      <c r="C338" s="616"/>
      <c r="D338" s="616"/>
      <c r="E338" s="616"/>
      <c r="F338" s="616"/>
      <c r="G338" s="616"/>
      <c r="H338" s="616"/>
      <c r="I338" s="616"/>
      <c r="J338" s="616"/>
      <c r="K338" s="616"/>
      <c r="L338" s="616"/>
      <c r="M338" s="616"/>
      <c r="N338" s="616"/>
      <c r="O338" s="616"/>
      <c r="P338" s="616"/>
      <c r="Q338" s="616"/>
      <c r="R338" s="616"/>
      <c r="S338" s="616"/>
      <c r="T338" s="616"/>
      <c r="U338" s="616"/>
      <c r="V338" s="616"/>
      <c r="W338" s="616"/>
      <c r="X338" s="616"/>
      <c r="Y338" s="9"/>
      <c r="Z338" s="2611" t="str">
        <f>IFERROR(VLOOKUP(12,'1_入力シート【基本情報】'!$DU$307:$DZ$526,5,FALSE),"")</f>
        <v/>
      </c>
      <c r="AA338" s="2612"/>
      <c r="AB338" s="2612"/>
      <c r="AC338" s="2612"/>
      <c r="AD338" s="2612"/>
      <c r="AE338" s="2612"/>
      <c r="AF338" s="2612"/>
      <c r="AG338" s="2612"/>
      <c r="AH338" s="2612"/>
      <c r="AI338" s="2612"/>
      <c r="AJ338" s="2612"/>
      <c r="AK338" s="2612"/>
      <c r="AL338" s="2612"/>
      <c r="AM338" s="2612"/>
      <c r="AN338" s="2612"/>
      <c r="AO338" s="2612"/>
      <c r="AP338" s="2612"/>
      <c r="AQ338" s="2612"/>
      <c r="AR338" s="2612"/>
      <c r="AS338" s="2612"/>
      <c r="AT338" s="2612"/>
      <c r="AU338" s="2613"/>
      <c r="AW338" s="381"/>
      <c r="AX338" s="381"/>
    </row>
    <row r="339" spans="1:50" ht="15.75" customHeight="1">
      <c r="A339" s="8"/>
      <c r="B339" s="616"/>
      <c r="C339" s="616"/>
      <c r="D339" s="616"/>
      <c r="E339" s="616"/>
      <c r="F339" s="616"/>
      <c r="G339" s="616"/>
      <c r="H339" s="616"/>
      <c r="I339" s="616"/>
      <c r="J339" s="616"/>
      <c r="K339" s="616"/>
      <c r="L339" s="616"/>
      <c r="M339" s="616"/>
      <c r="N339" s="616"/>
      <c r="O339" s="616"/>
      <c r="P339" s="616"/>
      <c r="Q339" s="616"/>
      <c r="R339" s="616"/>
      <c r="S339" s="616"/>
      <c r="T339" s="616"/>
      <c r="U339" s="616"/>
      <c r="V339" s="616"/>
      <c r="W339" s="616"/>
      <c r="X339" s="616"/>
      <c r="Y339" s="9"/>
      <c r="Z339" s="2614"/>
      <c r="AA339" s="2615"/>
      <c r="AB339" s="2615"/>
      <c r="AC339" s="2615"/>
      <c r="AD339" s="2615"/>
      <c r="AE339" s="2615"/>
      <c r="AF339" s="2615"/>
      <c r="AG339" s="2615"/>
      <c r="AH339" s="2615"/>
      <c r="AI339" s="2615"/>
      <c r="AJ339" s="2615"/>
      <c r="AK339" s="2615"/>
      <c r="AL339" s="2615"/>
      <c r="AM339" s="2615"/>
      <c r="AN339" s="2615"/>
      <c r="AO339" s="2615"/>
      <c r="AP339" s="2615"/>
      <c r="AQ339" s="2615"/>
      <c r="AR339" s="2615"/>
      <c r="AS339" s="2615"/>
      <c r="AT339" s="2615"/>
      <c r="AU339" s="2616"/>
      <c r="AW339" s="381"/>
      <c r="AX339" s="381"/>
    </row>
    <row r="340" spans="1:50" ht="15.75" customHeight="1">
      <c r="A340" s="8"/>
      <c r="B340" s="616"/>
      <c r="C340" s="616"/>
      <c r="D340" s="616"/>
      <c r="E340" s="616"/>
      <c r="F340" s="616"/>
      <c r="G340" s="616"/>
      <c r="H340" s="616"/>
      <c r="I340" s="616"/>
      <c r="J340" s="616"/>
      <c r="K340" s="616"/>
      <c r="L340" s="616"/>
      <c r="M340" s="616"/>
      <c r="N340" s="616"/>
      <c r="O340" s="616"/>
      <c r="P340" s="616"/>
      <c r="Q340" s="616"/>
      <c r="R340" s="616"/>
      <c r="S340" s="616"/>
      <c r="T340" s="616"/>
      <c r="U340" s="616"/>
      <c r="V340" s="616"/>
      <c r="W340" s="616"/>
      <c r="X340" s="616"/>
      <c r="Y340" s="9"/>
      <c r="Z340" s="2617"/>
      <c r="AA340" s="2618"/>
      <c r="AB340" s="2618"/>
      <c r="AC340" s="2618"/>
      <c r="AD340" s="2618"/>
      <c r="AE340" s="2618"/>
      <c r="AF340" s="2618"/>
      <c r="AG340" s="2618"/>
      <c r="AH340" s="2618"/>
      <c r="AI340" s="2618"/>
      <c r="AJ340" s="2618"/>
      <c r="AK340" s="2618"/>
      <c r="AL340" s="2618"/>
      <c r="AM340" s="2618"/>
      <c r="AN340" s="2618"/>
      <c r="AO340" s="2618"/>
      <c r="AP340" s="2618"/>
      <c r="AQ340" s="2618"/>
      <c r="AR340" s="2618"/>
      <c r="AS340" s="2618"/>
      <c r="AT340" s="2618"/>
      <c r="AU340" s="2619"/>
      <c r="AW340" s="381"/>
      <c r="AX340" s="381"/>
    </row>
    <row r="341" spans="1:50" ht="15.75" customHeight="1">
      <c r="A341" s="8"/>
      <c r="B341" s="669"/>
      <c r="C341" s="669"/>
      <c r="D341" s="669"/>
      <c r="E341" s="669"/>
      <c r="F341" s="669"/>
      <c r="G341" s="669"/>
      <c r="H341" s="669"/>
      <c r="I341" s="669"/>
      <c r="J341" s="669"/>
      <c r="K341" s="669"/>
      <c r="L341" s="669"/>
      <c r="M341" s="669"/>
      <c r="N341" s="669"/>
      <c r="O341" s="669"/>
      <c r="P341" s="669"/>
      <c r="Q341" s="669"/>
      <c r="R341" s="669"/>
      <c r="S341" s="669"/>
      <c r="T341" s="669"/>
      <c r="U341" s="669"/>
      <c r="V341" s="669"/>
      <c r="W341" s="669"/>
      <c r="X341" s="669"/>
      <c r="Y341" s="9"/>
      <c r="Z341" s="2620"/>
      <c r="AA341" s="2621"/>
      <c r="AB341" s="2621"/>
      <c r="AC341" s="2621"/>
      <c r="AD341" s="2621"/>
      <c r="AE341" s="2621"/>
      <c r="AF341" s="2621"/>
      <c r="AG341" s="2621"/>
      <c r="AH341" s="2621"/>
      <c r="AI341" s="2621"/>
      <c r="AJ341" s="2621"/>
      <c r="AK341" s="2621"/>
      <c r="AL341" s="2621"/>
      <c r="AM341" s="2621"/>
      <c r="AN341" s="2621"/>
      <c r="AO341" s="2621"/>
      <c r="AP341" s="2621"/>
      <c r="AQ341" s="2621"/>
      <c r="AR341" s="2621"/>
      <c r="AS341" s="2621"/>
      <c r="AT341" s="2621"/>
      <c r="AU341" s="2622"/>
      <c r="AW341" s="381"/>
      <c r="AX341" s="381"/>
    </row>
    <row r="342" spans="1:50" ht="15.75" customHeight="1">
      <c r="A342" s="8"/>
      <c r="B342" s="669"/>
      <c r="C342" s="669"/>
      <c r="D342" s="669"/>
      <c r="E342" s="669"/>
      <c r="F342" s="669"/>
      <c r="G342" s="669"/>
      <c r="H342" s="669"/>
      <c r="I342" s="669"/>
      <c r="J342" s="669"/>
      <c r="K342" s="669"/>
      <c r="L342" s="669"/>
      <c r="M342" s="669"/>
      <c r="N342" s="669"/>
      <c r="O342" s="669"/>
      <c r="P342" s="669"/>
      <c r="Q342" s="669"/>
      <c r="R342" s="669"/>
      <c r="S342" s="669"/>
      <c r="T342" s="669"/>
      <c r="U342" s="669"/>
      <c r="V342" s="669"/>
      <c r="W342" s="669"/>
      <c r="X342" s="669"/>
      <c r="Y342" s="9"/>
      <c r="Z342" s="2620"/>
      <c r="AA342" s="2621"/>
      <c r="AB342" s="2621"/>
      <c r="AC342" s="2621"/>
      <c r="AD342" s="2621"/>
      <c r="AE342" s="2621"/>
      <c r="AF342" s="2621"/>
      <c r="AG342" s="2621"/>
      <c r="AH342" s="2621"/>
      <c r="AI342" s="2621"/>
      <c r="AJ342" s="2621"/>
      <c r="AK342" s="2621"/>
      <c r="AL342" s="2621"/>
      <c r="AM342" s="2621"/>
      <c r="AN342" s="2621"/>
      <c r="AO342" s="2621"/>
      <c r="AP342" s="2621"/>
      <c r="AQ342" s="2621"/>
      <c r="AR342" s="2621"/>
      <c r="AS342" s="2621"/>
      <c r="AT342" s="2621"/>
      <c r="AU342" s="2622"/>
      <c r="AW342" s="381"/>
      <c r="AX342" s="381"/>
    </row>
    <row r="343" spans="1:50" ht="15.75" customHeight="1">
      <c r="A343" s="8"/>
      <c r="B343" s="669"/>
      <c r="C343" s="669"/>
      <c r="D343" s="669"/>
      <c r="E343" s="669"/>
      <c r="F343" s="669"/>
      <c r="G343" s="669"/>
      <c r="H343" s="669"/>
      <c r="I343" s="669"/>
      <c r="J343" s="669"/>
      <c r="K343" s="669"/>
      <c r="L343" s="669"/>
      <c r="M343" s="669"/>
      <c r="N343" s="669"/>
      <c r="O343" s="669"/>
      <c r="P343" s="669"/>
      <c r="Q343" s="669"/>
      <c r="R343" s="669"/>
      <c r="S343" s="669"/>
      <c r="T343" s="669"/>
      <c r="U343" s="669"/>
      <c r="V343" s="669"/>
      <c r="W343" s="669"/>
      <c r="X343" s="669"/>
      <c r="Y343" s="9"/>
      <c r="Z343" s="2620"/>
      <c r="AA343" s="2621"/>
      <c r="AB343" s="2621"/>
      <c r="AC343" s="2621"/>
      <c r="AD343" s="2621"/>
      <c r="AE343" s="2621"/>
      <c r="AF343" s="2621"/>
      <c r="AG343" s="2621"/>
      <c r="AH343" s="2621"/>
      <c r="AI343" s="2621"/>
      <c r="AJ343" s="2621"/>
      <c r="AK343" s="2621"/>
      <c r="AL343" s="2621"/>
      <c r="AM343" s="2621"/>
      <c r="AN343" s="2621"/>
      <c r="AO343" s="2621"/>
      <c r="AP343" s="2621"/>
      <c r="AQ343" s="2621"/>
      <c r="AR343" s="2621"/>
      <c r="AS343" s="2621"/>
      <c r="AT343" s="2621"/>
      <c r="AU343" s="2622"/>
      <c r="AW343" s="381"/>
      <c r="AX343" s="381"/>
    </row>
    <row r="344" spans="1:50" ht="15.75" customHeight="1">
      <c r="A344" s="8"/>
      <c r="B344" s="669"/>
      <c r="C344" s="669"/>
      <c r="D344" s="669"/>
      <c r="E344" s="669"/>
      <c r="F344" s="669"/>
      <c r="G344" s="669"/>
      <c r="H344" s="669"/>
      <c r="I344" s="669"/>
      <c r="J344" s="669"/>
      <c r="K344" s="2629" t="s">
        <v>164</v>
      </c>
      <c r="L344" s="2629"/>
      <c r="M344" s="2629"/>
      <c r="N344" s="2629"/>
      <c r="O344" s="2629"/>
      <c r="P344" s="2629"/>
      <c r="Q344" s="669"/>
      <c r="R344" s="669"/>
      <c r="S344" s="669"/>
      <c r="T344" s="669"/>
      <c r="U344" s="669"/>
      <c r="V344" s="669"/>
      <c r="W344" s="669"/>
      <c r="X344" s="669"/>
      <c r="Y344" s="9"/>
      <c r="Z344" s="2620"/>
      <c r="AA344" s="2621"/>
      <c r="AB344" s="2621"/>
      <c r="AC344" s="2621"/>
      <c r="AD344" s="2621"/>
      <c r="AE344" s="2621"/>
      <c r="AF344" s="2621"/>
      <c r="AG344" s="2621"/>
      <c r="AH344" s="2621"/>
      <c r="AI344" s="2621"/>
      <c r="AJ344" s="2621"/>
      <c r="AK344" s="2621"/>
      <c r="AL344" s="2621"/>
      <c r="AM344" s="2621"/>
      <c r="AN344" s="2621"/>
      <c r="AO344" s="2621"/>
      <c r="AP344" s="2621"/>
      <c r="AQ344" s="2621"/>
      <c r="AR344" s="2621"/>
      <c r="AS344" s="2621"/>
      <c r="AT344" s="2621"/>
      <c r="AU344" s="2622"/>
      <c r="AW344" s="381"/>
      <c r="AX344" s="381"/>
    </row>
    <row r="345" spans="1:50" ht="15.75" customHeight="1">
      <c r="A345" s="8"/>
      <c r="B345" s="669"/>
      <c r="C345" s="669"/>
      <c r="D345" s="669"/>
      <c r="E345" s="669"/>
      <c r="F345" s="669"/>
      <c r="G345" s="669"/>
      <c r="H345" s="669"/>
      <c r="I345" s="669"/>
      <c r="J345" s="669"/>
      <c r="K345" s="669"/>
      <c r="L345" s="669"/>
      <c r="M345" s="669"/>
      <c r="N345" s="669"/>
      <c r="O345" s="669"/>
      <c r="P345" s="669"/>
      <c r="Q345" s="669"/>
      <c r="R345" s="669"/>
      <c r="S345" s="669"/>
      <c r="T345" s="669"/>
      <c r="U345" s="669"/>
      <c r="V345" s="669"/>
      <c r="W345" s="669"/>
      <c r="X345" s="669"/>
      <c r="Y345" s="9"/>
      <c r="Z345" s="2620"/>
      <c r="AA345" s="2621"/>
      <c r="AB345" s="2621"/>
      <c r="AC345" s="2621"/>
      <c r="AD345" s="2621"/>
      <c r="AE345" s="2621"/>
      <c r="AF345" s="2621"/>
      <c r="AG345" s="2621"/>
      <c r="AH345" s="2621"/>
      <c r="AI345" s="2621"/>
      <c r="AJ345" s="2621"/>
      <c r="AK345" s="2621"/>
      <c r="AL345" s="2621"/>
      <c r="AM345" s="2621"/>
      <c r="AN345" s="2621"/>
      <c r="AO345" s="2621"/>
      <c r="AP345" s="2621"/>
      <c r="AQ345" s="2621"/>
      <c r="AR345" s="2621"/>
      <c r="AS345" s="2621"/>
      <c r="AT345" s="2621"/>
      <c r="AU345" s="2622"/>
      <c r="AW345" s="381"/>
      <c r="AX345" s="381"/>
    </row>
    <row r="346" spans="1:50" ht="15.75" customHeight="1">
      <c r="A346" s="8"/>
      <c r="B346" s="669"/>
      <c r="C346" s="669"/>
      <c r="D346" s="669"/>
      <c r="E346" s="669"/>
      <c r="F346" s="669"/>
      <c r="G346" s="669"/>
      <c r="H346" s="669"/>
      <c r="I346" s="669"/>
      <c r="J346" s="669"/>
      <c r="K346" s="669"/>
      <c r="L346" s="669"/>
      <c r="M346" s="669"/>
      <c r="N346" s="669"/>
      <c r="O346" s="669"/>
      <c r="P346" s="669"/>
      <c r="Q346" s="669"/>
      <c r="R346" s="669"/>
      <c r="S346" s="669"/>
      <c r="T346" s="669"/>
      <c r="U346" s="669"/>
      <c r="V346" s="669"/>
      <c r="W346" s="669"/>
      <c r="X346" s="669"/>
      <c r="Y346" s="9"/>
      <c r="Z346" s="2620"/>
      <c r="AA346" s="2621"/>
      <c r="AB346" s="2621"/>
      <c r="AC346" s="2621"/>
      <c r="AD346" s="2621"/>
      <c r="AE346" s="2621"/>
      <c r="AF346" s="2621"/>
      <c r="AG346" s="2621"/>
      <c r="AH346" s="2621"/>
      <c r="AI346" s="2621"/>
      <c r="AJ346" s="2621"/>
      <c r="AK346" s="2621"/>
      <c r="AL346" s="2621"/>
      <c r="AM346" s="2621"/>
      <c r="AN346" s="2621"/>
      <c r="AO346" s="2621"/>
      <c r="AP346" s="2621"/>
      <c r="AQ346" s="2621"/>
      <c r="AR346" s="2621"/>
      <c r="AS346" s="2621"/>
      <c r="AT346" s="2621"/>
      <c r="AU346" s="2622"/>
      <c r="AW346" s="381"/>
      <c r="AX346" s="381"/>
    </row>
    <row r="347" spans="1:50" ht="15.75" customHeight="1">
      <c r="A347" s="8"/>
      <c r="B347" s="669"/>
      <c r="C347" s="669"/>
      <c r="D347" s="669"/>
      <c r="E347" s="669"/>
      <c r="F347" s="669"/>
      <c r="G347" s="669"/>
      <c r="H347" s="669"/>
      <c r="I347" s="669"/>
      <c r="J347" s="669"/>
      <c r="K347" s="669"/>
      <c r="L347" s="669"/>
      <c r="M347" s="669"/>
      <c r="N347" s="669"/>
      <c r="O347" s="669"/>
      <c r="P347" s="669"/>
      <c r="Q347" s="669"/>
      <c r="R347" s="669"/>
      <c r="S347" s="669"/>
      <c r="T347" s="669"/>
      <c r="U347" s="669"/>
      <c r="V347" s="669"/>
      <c r="W347" s="669"/>
      <c r="X347" s="669"/>
      <c r="Y347" s="9"/>
      <c r="Z347" s="2620"/>
      <c r="AA347" s="2621"/>
      <c r="AB347" s="2621"/>
      <c r="AC347" s="2621"/>
      <c r="AD347" s="2621"/>
      <c r="AE347" s="2621"/>
      <c r="AF347" s="2621"/>
      <c r="AG347" s="2621"/>
      <c r="AH347" s="2621"/>
      <c r="AI347" s="2621"/>
      <c r="AJ347" s="2621"/>
      <c r="AK347" s="2621"/>
      <c r="AL347" s="2621"/>
      <c r="AM347" s="2621"/>
      <c r="AN347" s="2621"/>
      <c r="AO347" s="2621"/>
      <c r="AP347" s="2621"/>
      <c r="AQ347" s="2621"/>
      <c r="AR347" s="2621"/>
      <c r="AS347" s="2621"/>
      <c r="AT347" s="2621"/>
      <c r="AU347" s="2622"/>
      <c r="AW347" s="381"/>
      <c r="AX347" s="381"/>
    </row>
    <row r="348" spans="1:50" ht="15.75" customHeight="1">
      <c r="A348" s="8"/>
      <c r="B348" s="669"/>
      <c r="C348" s="669"/>
      <c r="D348" s="669"/>
      <c r="E348" s="669"/>
      <c r="F348" s="669"/>
      <c r="G348" s="669"/>
      <c r="H348" s="669"/>
      <c r="I348" s="669"/>
      <c r="J348" s="669"/>
      <c r="K348" s="669"/>
      <c r="L348" s="669"/>
      <c r="M348" s="669"/>
      <c r="N348" s="669"/>
      <c r="O348" s="669"/>
      <c r="P348" s="669"/>
      <c r="Q348" s="669"/>
      <c r="R348" s="669"/>
      <c r="S348" s="669"/>
      <c r="T348" s="669"/>
      <c r="U348" s="669"/>
      <c r="V348" s="669"/>
      <c r="W348" s="669"/>
      <c r="X348" s="669"/>
      <c r="Y348" s="9"/>
      <c r="Z348" s="2620"/>
      <c r="AA348" s="2621"/>
      <c r="AB348" s="2621"/>
      <c r="AC348" s="2621"/>
      <c r="AD348" s="2621"/>
      <c r="AE348" s="2621"/>
      <c r="AF348" s="2621"/>
      <c r="AG348" s="2621"/>
      <c r="AH348" s="2621"/>
      <c r="AI348" s="2621"/>
      <c r="AJ348" s="2621"/>
      <c r="AK348" s="2621"/>
      <c r="AL348" s="2621"/>
      <c r="AM348" s="2621"/>
      <c r="AN348" s="2621"/>
      <c r="AO348" s="2621"/>
      <c r="AP348" s="2621"/>
      <c r="AQ348" s="2621"/>
      <c r="AR348" s="2621"/>
      <c r="AS348" s="2621"/>
      <c r="AT348" s="2621"/>
      <c r="AU348" s="2622"/>
      <c r="AW348" s="381"/>
      <c r="AX348" s="381"/>
    </row>
    <row r="349" spans="1:50" ht="15.75" customHeight="1">
      <c r="A349" s="8"/>
      <c r="B349" s="669"/>
      <c r="C349" s="669"/>
      <c r="D349" s="669"/>
      <c r="E349" s="669"/>
      <c r="F349" s="669"/>
      <c r="G349" s="669"/>
      <c r="H349" s="669"/>
      <c r="I349" s="669"/>
      <c r="J349" s="669"/>
      <c r="K349" s="669"/>
      <c r="L349" s="669"/>
      <c r="M349" s="669"/>
      <c r="N349" s="669"/>
      <c r="O349" s="669"/>
      <c r="P349" s="669"/>
      <c r="Q349" s="669"/>
      <c r="R349" s="669"/>
      <c r="S349" s="669"/>
      <c r="T349" s="669"/>
      <c r="U349" s="669"/>
      <c r="V349" s="669"/>
      <c r="W349" s="669"/>
      <c r="X349" s="669"/>
      <c r="Y349" s="9"/>
      <c r="Z349" s="2620"/>
      <c r="AA349" s="2621"/>
      <c r="AB349" s="2621"/>
      <c r="AC349" s="2621"/>
      <c r="AD349" s="2621"/>
      <c r="AE349" s="2621"/>
      <c r="AF349" s="2621"/>
      <c r="AG349" s="2621"/>
      <c r="AH349" s="2621"/>
      <c r="AI349" s="2621"/>
      <c r="AJ349" s="2621"/>
      <c r="AK349" s="2621"/>
      <c r="AL349" s="2621"/>
      <c r="AM349" s="2621"/>
      <c r="AN349" s="2621"/>
      <c r="AO349" s="2621"/>
      <c r="AP349" s="2621"/>
      <c r="AQ349" s="2621"/>
      <c r="AR349" s="2621"/>
      <c r="AS349" s="2621"/>
      <c r="AT349" s="2621"/>
      <c r="AU349" s="2622"/>
      <c r="AW349" s="381"/>
      <c r="AX349" s="381"/>
    </row>
    <row r="350" spans="1:50" ht="15.75" customHeight="1">
      <c r="A350" s="8"/>
      <c r="B350" s="669"/>
      <c r="C350" s="669"/>
      <c r="D350" s="669"/>
      <c r="E350" s="669"/>
      <c r="F350" s="669"/>
      <c r="G350" s="669"/>
      <c r="H350" s="669"/>
      <c r="I350" s="669"/>
      <c r="J350" s="669"/>
      <c r="K350" s="669"/>
      <c r="L350" s="669"/>
      <c r="M350" s="669"/>
      <c r="N350" s="669"/>
      <c r="O350" s="669"/>
      <c r="P350" s="669"/>
      <c r="Q350" s="669"/>
      <c r="R350" s="669"/>
      <c r="S350" s="669"/>
      <c r="T350" s="669"/>
      <c r="U350" s="669"/>
      <c r="V350" s="669"/>
      <c r="W350" s="669"/>
      <c r="X350" s="669"/>
      <c r="Y350" s="9"/>
      <c r="Z350" s="2620"/>
      <c r="AA350" s="2621"/>
      <c r="AB350" s="2621"/>
      <c r="AC350" s="2621"/>
      <c r="AD350" s="2621"/>
      <c r="AE350" s="2621"/>
      <c r="AF350" s="2621"/>
      <c r="AG350" s="2621"/>
      <c r="AH350" s="2621"/>
      <c r="AI350" s="2621"/>
      <c r="AJ350" s="2621"/>
      <c r="AK350" s="2621"/>
      <c r="AL350" s="2621"/>
      <c r="AM350" s="2621"/>
      <c r="AN350" s="2621"/>
      <c r="AO350" s="2621"/>
      <c r="AP350" s="2621"/>
      <c r="AQ350" s="2621"/>
      <c r="AR350" s="2621"/>
      <c r="AS350" s="2621"/>
      <c r="AT350" s="2621"/>
      <c r="AU350" s="2622"/>
      <c r="AW350" s="381"/>
      <c r="AX350" s="381"/>
    </row>
    <row r="351" spans="1:50" ht="15.75" customHeight="1">
      <c r="A351" s="8"/>
      <c r="B351" s="669"/>
      <c r="C351" s="669"/>
      <c r="D351" s="669"/>
      <c r="E351" s="669"/>
      <c r="F351" s="669"/>
      <c r="G351" s="669"/>
      <c r="H351" s="669"/>
      <c r="I351" s="669"/>
      <c r="J351" s="669"/>
      <c r="K351" s="669"/>
      <c r="L351" s="669"/>
      <c r="M351" s="669"/>
      <c r="N351" s="669"/>
      <c r="O351" s="669"/>
      <c r="P351" s="669"/>
      <c r="Q351" s="669"/>
      <c r="R351" s="669"/>
      <c r="S351" s="669"/>
      <c r="T351" s="669"/>
      <c r="U351" s="669"/>
      <c r="V351" s="669"/>
      <c r="W351" s="669"/>
      <c r="X351" s="669"/>
      <c r="Y351" s="9"/>
      <c r="Z351" s="2620"/>
      <c r="AA351" s="2621"/>
      <c r="AB351" s="2621"/>
      <c r="AC351" s="2621"/>
      <c r="AD351" s="2621"/>
      <c r="AE351" s="2621"/>
      <c r="AF351" s="2621"/>
      <c r="AG351" s="2621"/>
      <c r="AH351" s="2621"/>
      <c r="AI351" s="2621"/>
      <c r="AJ351" s="2621"/>
      <c r="AK351" s="2621"/>
      <c r="AL351" s="2621"/>
      <c r="AM351" s="2621"/>
      <c r="AN351" s="2621"/>
      <c r="AO351" s="2621"/>
      <c r="AP351" s="2621"/>
      <c r="AQ351" s="2621"/>
      <c r="AR351" s="2621"/>
      <c r="AS351" s="2621"/>
      <c r="AT351" s="2621"/>
      <c r="AU351" s="2622"/>
      <c r="AW351" s="381"/>
      <c r="AX351" s="381"/>
    </row>
    <row r="352" spans="1:50" ht="15.75" customHeight="1">
      <c r="A352" s="8"/>
      <c r="B352" s="669"/>
      <c r="C352" s="669"/>
      <c r="D352" s="669"/>
      <c r="E352" s="669"/>
      <c r="F352" s="669"/>
      <c r="G352" s="669"/>
      <c r="H352" s="669"/>
      <c r="I352" s="669"/>
      <c r="J352" s="669"/>
      <c r="K352" s="669"/>
      <c r="L352" s="669"/>
      <c r="M352" s="669"/>
      <c r="N352" s="669"/>
      <c r="O352" s="669"/>
      <c r="P352" s="669"/>
      <c r="Q352" s="669"/>
      <c r="R352" s="669"/>
      <c r="S352" s="669"/>
      <c r="T352" s="669"/>
      <c r="U352" s="669"/>
      <c r="V352" s="669"/>
      <c r="W352" s="669"/>
      <c r="X352" s="669"/>
      <c r="Y352" s="9"/>
      <c r="Z352" s="2620"/>
      <c r="AA352" s="2621"/>
      <c r="AB352" s="2621"/>
      <c r="AC352" s="2621"/>
      <c r="AD352" s="2621"/>
      <c r="AE352" s="2621"/>
      <c r="AF352" s="2621"/>
      <c r="AG352" s="2621"/>
      <c r="AH352" s="2621"/>
      <c r="AI352" s="2621"/>
      <c r="AJ352" s="2621"/>
      <c r="AK352" s="2621"/>
      <c r="AL352" s="2621"/>
      <c r="AM352" s="2621"/>
      <c r="AN352" s="2621"/>
      <c r="AO352" s="2621"/>
      <c r="AP352" s="2621"/>
      <c r="AQ352" s="2621"/>
      <c r="AR352" s="2621"/>
      <c r="AS352" s="2621"/>
      <c r="AT352" s="2621"/>
      <c r="AU352" s="2622"/>
      <c r="AW352" s="381"/>
      <c r="AX352" s="381"/>
    </row>
    <row r="353" spans="1:50" ht="15.75" customHeight="1">
      <c r="A353" s="12"/>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1"/>
      <c r="Z353" s="2623"/>
      <c r="AA353" s="2624"/>
      <c r="AB353" s="2624"/>
      <c r="AC353" s="2624"/>
      <c r="AD353" s="2624"/>
      <c r="AE353" s="2624"/>
      <c r="AF353" s="2624"/>
      <c r="AG353" s="2624"/>
      <c r="AH353" s="2624"/>
      <c r="AI353" s="2624"/>
      <c r="AJ353" s="2624"/>
      <c r="AK353" s="2624"/>
      <c r="AL353" s="2624"/>
      <c r="AM353" s="2624"/>
      <c r="AN353" s="2624"/>
      <c r="AO353" s="2624"/>
      <c r="AP353" s="2624"/>
      <c r="AQ353" s="2624"/>
      <c r="AR353" s="2624"/>
      <c r="AS353" s="2624"/>
      <c r="AT353" s="2624"/>
      <c r="AU353" s="2625"/>
      <c r="AW353" s="381"/>
      <c r="AX353" s="381"/>
    </row>
    <row r="354" spans="1:50" ht="12.75" customHeight="1">
      <c r="AW354" s="381"/>
      <c r="AX354" s="381"/>
    </row>
    <row r="355" spans="1:50" ht="12.75" customHeight="1">
      <c r="A355" s="2643" t="s">
        <v>157</v>
      </c>
      <c r="B355" s="2643"/>
      <c r="C355" s="2643"/>
      <c r="D355" s="2643"/>
      <c r="AU355" s="618"/>
      <c r="AW355" s="381"/>
      <c r="AX355" s="381"/>
    </row>
    <row r="356" spans="1:50" ht="12.75" customHeight="1">
      <c r="B356" s="619" t="s">
        <v>158</v>
      </c>
      <c r="C356" s="2609" t="s">
        <v>176</v>
      </c>
      <c r="D356" s="2609"/>
      <c r="E356" s="2609"/>
      <c r="F356" s="2609"/>
      <c r="G356" s="2609"/>
      <c r="H356" s="2609"/>
      <c r="I356" s="2609"/>
      <c r="J356" s="2609"/>
      <c r="K356" s="2609"/>
      <c r="L356" s="2609"/>
      <c r="M356" s="2609"/>
      <c r="N356" s="2609"/>
      <c r="O356" s="2609"/>
      <c r="P356" s="2609"/>
      <c r="Q356" s="2609"/>
      <c r="R356" s="2609"/>
      <c r="S356" s="2609"/>
      <c r="T356" s="2609"/>
      <c r="U356" s="2609"/>
      <c r="V356" s="2609"/>
      <c r="W356" s="2609"/>
      <c r="X356" s="2609"/>
      <c r="Y356" s="2609"/>
      <c r="Z356" s="2609"/>
      <c r="AA356" s="2609"/>
      <c r="AB356" s="2609"/>
      <c r="AC356" s="2609"/>
      <c r="AD356" s="2609"/>
      <c r="AE356" s="2609"/>
      <c r="AF356" s="2609"/>
      <c r="AG356" s="2609"/>
      <c r="AH356" s="2609"/>
      <c r="AI356" s="2609"/>
      <c r="AJ356" s="2609"/>
      <c r="AK356" s="2609"/>
      <c r="AL356" s="2609"/>
      <c r="AM356" s="2609"/>
      <c r="AN356" s="2609"/>
      <c r="AO356" s="2609"/>
      <c r="AP356" s="2609"/>
      <c r="AQ356" s="2609"/>
      <c r="AR356" s="2609"/>
      <c r="AS356" s="2609"/>
      <c r="AT356" s="2609"/>
      <c r="AU356" s="2609"/>
      <c r="AW356" s="381"/>
      <c r="AX356" s="381"/>
    </row>
    <row r="357" spans="1:50" ht="12.75" customHeight="1">
      <c r="B357" s="619"/>
      <c r="C357" s="2610" t="s">
        <v>177</v>
      </c>
      <c r="D357" s="2610"/>
      <c r="E357" s="2610"/>
      <c r="F357" s="2610"/>
      <c r="G357" s="2610"/>
      <c r="H357" s="2610"/>
      <c r="I357" s="2610"/>
      <c r="J357" s="2610"/>
      <c r="K357" s="2610"/>
      <c r="L357" s="2610"/>
      <c r="M357" s="2610"/>
      <c r="N357" s="2610"/>
      <c r="O357" s="2610"/>
      <c r="P357" s="2610"/>
      <c r="Q357" s="2610"/>
      <c r="R357" s="2610"/>
      <c r="S357" s="2610"/>
      <c r="T357" s="2610"/>
      <c r="U357" s="2610"/>
      <c r="V357" s="2610"/>
      <c r="W357" s="2610"/>
      <c r="X357" s="2610"/>
      <c r="Y357" s="2610"/>
      <c r="Z357" s="2610"/>
      <c r="AA357" s="2610"/>
      <c r="AB357" s="2610"/>
      <c r="AC357" s="2610"/>
      <c r="AD357" s="2610"/>
      <c r="AE357" s="2610"/>
      <c r="AF357" s="2610"/>
      <c r="AG357" s="2610"/>
      <c r="AH357" s="2610"/>
      <c r="AI357" s="2610"/>
      <c r="AJ357" s="2610"/>
      <c r="AK357" s="2610"/>
      <c r="AL357" s="2610"/>
      <c r="AM357" s="2610"/>
      <c r="AN357" s="2610"/>
      <c r="AO357" s="2610"/>
      <c r="AP357" s="2610"/>
      <c r="AQ357" s="2610"/>
      <c r="AR357" s="2610"/>
      <c r="AS357" s="2610"/>
      <c r="AT357" s="2610"/>
      <c r="AU357" s="2610"/>
      <c r="AW357" s="381"/>
      <c r="AX357" s="381"/>
    </row>
    <row r="358" spans="1:50" ht="12.75" customHeight="1">
      <c r="B358" s="619"/>
      <c r="C358" s="2610" t="s">
        <v>178</v>
      </c>
      <c r="D358" s="2610"/>
      <c r="E358" s="2610"/>
      <c r="F358" s="2610"/>
      <c r="G358" s="2610"/>
      <c r="H358" s="2610"/>
      <c r="I358" s="2610"/>
      <c r="J358" s="2610"/>
      <c r="K358" s="2610"/>
      <c r="L358" s="2610"/>
      <c r="M358" s="2610"/>
      <c r="N358" s="2610"/>
      <c r="O358" s="2610"/>
      <c r="P358" s="2610"/>
      <c r="Q358" s="2610"/>
      <c r="R358" s="2610"/>
      <c r="S358" s="2610"/>
      <c r="T358" s="2610"/>
      <c r="U358" s="2610"/>
      <c r="V358" s="2610"/>
      <c r="W358" s="2610"/>
      <c r="X358" s="2610"/>
      <c r="Y358" s="2610"/>
      <c r="Z358" s="2610"/>
      <c r="AA358" s="2610"/>
      <c r="AB358" s="2610"/>
      <c r="AC358" s="2610"/>
      <c r="AD358" s="2610"/>
      <c r="AE358" s="2610"/>
      <c r="AF358" s="2610"/>
      <c r="AG358" s="2610"/>
      <c r="AH358" s="2610"/>
      <c r="AI358" s="2610"/>
      <c r="AJ358" s="2610"/>
      <c r="AK358" s="2610"/>
      <c r="AL358" s="2610"/>
      <c r="AM358" s="2610"/>
      <c r="AN358" s="2610"/>
      <c r="AO358" s="2610"/>
      <c r="AP358" s="2610"/>
      <c r="AQ358" s="2610"/>
      <c r="AR358" s="2610"/>
      <c r="AS358" s="2610"/>
      <c r="AT358" s="2610"/>
      <c r="AU358" s="2610"/>
      <c r="AW358" s="381"/>
      <c r="AX358" s="381"/>
    </row>
    <row r="359" spans="1:50" ht="12.75" customHeight="1">
      <c r="B359" s="619" t="s">
        <v>165</v>
      </c>
      <c r="C359" s="2610" t="s">
        <v>166</v>
      </c>
      <c r="D359" s="2610"/>
      <c r="E359" s="2610"/>
      <c r="F359" s="2610"/>
      <c r="G359" s="2610"/>
      <c r="H359" s="2610"/>
      <c r="I359" s="2610"/>
      <c r="J359" s="2610"/>
      <c r="K359" s="2610"/>
      <c r="L359" s="2610"/>
      <c r="M359" s="2610"/>
      <c r="N359" s="2610"/>
      <c r="O359" s="2610"/>
      <c r="P359" s="2610"/>
      <c r="Q359" s="2610"/>
      <c r="R359" s="2610"/>
      <c r="S359" s="2610"/>
      <c r="T359" s="2610"/>
      <c r="U359" s="2610"/>
      <c r="V359" s="2610"/>
      <c r="W359" s="2610"/>
      <c r="X359" s="2610"/>
      <c r="Y359" s="2610"/>
      <c r="Z359" s="2610"/>
      <c r="AA359" s="2610"/>
      <c r="AB359" s="2610"/>
      <c r="AC359" s="2610"/>
      <c r="AD359" s="2610"/>
      <c r="AE359" s="2610"/>
      <c r="AF359" s="2610"/>
      <c r="AG359" s="2610"/>
      <c r="AH359" s="2610"/>
      <c r="AI359" s="2610"/>
      <c r="AJ359" s="2610"/>
      <c r="AK359" s="2610"/>
      <c r="AL359" s="2610"/>
      <c r="AM359" s="2610"/>
      <c r="AN359" s="2610"/>
      <c r="AO359" s="2610"/>
      <c r="AP359" s="2610"/>
      <c r="AQ359" s="2610"/>
      <c r="AR359" s="2610"/>
      <c r="AS359" s="2610"/>
      <c r="AT359" s="2610"/>
      <c r="AU359" s="2610"/>
      <c r="AW359" s="381"/>
      <c r="AX359" s="381"/>
    </row>
    <row r="360" spans="1:50" ht="12.75" customHeight="1">
      <c r="B360" s="619" t="s">
        <v>159</v>
      </c>
      <c r="C360" s="2610" t="s">
        <v>0</v>
      </c>
      <c r="D360" s="2610"/>
      <c r="E360" s="2610"/>
      <c r="F360" s="2610"/>
      <c r="G360" s="2610"/>
      <c r="H360" s="2610"/>
      <c r="I360" s="2610"/>
      <c r="J360" s="2610"/>
      <c r="K360" s="2610"/>
      <c r="L360" s="2610"/>
      <c r="M360" s="2610"/>
      <c r="N360" s="2610"/>
      <c r="O360" s="2610"/>
      <c r="P360" s="2610"/>
      <c r="Q360" s="2610"/>
      <c r="R360" s="2610"/>
      <c r="S360" s="2610"/>
      <c r="T360" s="2610"/>
      <c r="U360" s="2610"/>
      <c r="V360" s="2610"/>
      <c r="W360" s="2610"/>
      <c r="X360" s="2610"/>
      <c r="Y360" s="2610"/>
      <c r="Z360" s="2610"/>
      <c r="AA360" s="2610"/>
      <c r="AB360" s="2610"/>
      <c r="AC360" s="2610"/>
      <c r="AD360" s="2610"/>
      <c r="AE360" s="2610"/>
      <c r="AF360" s="2610"/>
      <c r="AG360" s="2610"/>
      <c r="AH360" s="2610"/>
      <c r="AI360" s="2610"/>
      <c r="AJ360" s="2610"/>
      <c r="AK360" s="2610"/>
      <c r="AL360" s="2610"/>
      <c r="AM360" s="2610"/>
      <c r="AN360" s="2610"/>
      <c r="AO360" s="2610"/>
      <c r="AP360" s="2610"/>
      <c r="AQ360" s="2610"/>
      <c r="AR360" s="2610"/>
      <c r="AS360" s="2610"/>
      <c r="AT360" s="2610"/>
      <c r="AU360" s="2610"/>
      <c r="AW360" s="381"/>
      <c r="AX360" s="381"/>
    </row>
    <row r="361" spans="1:50" ht="12.75" customHeight="1">
      <c r="B361" s="619" t="s">
        <v>167</v>
      </c>
      <c r="C361" s="2610" t="s">
        <v>179</v>
      </c>
      <c r="D361" s="2610"/>
      <c r="E361" s="2610"/>
      <c r="F361" s="2610"/>
      <c r="G361" s="2610"/>
      <c r="H361" s="2610"/>
      <c r="I361" s="2610"/>
      <c r="J361" s="2610"/>
      <c r="K361" s="2610"/>
      <c r="L361" s="2610"/>
      <c r="M361" s="2610"/>
      <c r="N361" s="2610"/>
      <c r="O361" s="2610"/>
      <c r="P361" s="2610"/>
      <c r="Q361" s="2610"/>
      <c r="R361" s="2610"/>
      <c r="S361" s="2610"/>
      <c r="T361" s="2610"/>
      <c r="U361" s="2610"/>
      <c r="V361" s="2610"/>
      <c r="W361" s="2610"/>
      <c r="X361" s="2610"/>
      <c r="Y361" s="2610"/>
      <c r="Z361" s="2610"/>
      <c r="AA361" s="2610"/>
      <c r="AB361" s="2610"/>
      <c r="AC361" s="2610"/>
      <c r="AD361" s="2610"/>
      <c r="AE361" s="2610"/>
      <c r="AF361" s="2610"/>
      <c r="AG361" s="2610"/>
      <c r="AH361" s="2610"/>
      <c r="AI361" s="2610"/>
      <c r="AJ361" s="2610"/>
      <c r="AK361" s="2610"/>
      <c r="AL361" s="2610"/>
      <c r="AM361" s="2610"/>
      <c r="AN361" s="2610"/>
      <c r="AO361" s="2610"/>
      <c r="AP361" s="2610"/>
      <c r="AQ361" s="2610"/>
      <c r="AR361" s="2610"/>
      <c r="AS361" s="2610"/>
      <c r="AT361" s="2610"/>
      <c r="AU361" s="2610"/>
      <c r="AW361" s="381"/>
      <c r="AX361" s="381"/>
    </row>
    <row r="362" spans="1:50" ht="12.75" customHeight="1">
      <c r="C362" s="2610" t="s">
        <v>180</v>
      </c>
      <c r="D362" s="2610"/>
      <c r="E362" s="2610"/>
      <c r="F362" s="2610"/>
      <c r="G362" s="2610"/>
      <c r="H362" s="2610"/>
      <c r="I362" s="2610"/>
      <c r="J362" s="2610"/>
      <c r="K362" s="2610"/>
      <c r="L362" s="2610"/>
      <c r="M362" s="2610"/>
      <c r="N362" s="2610"/>
      <c r="O362" s="2610"/>
      <c r="P362" s="2610"/>
      <c r="Q362" s="2610"/>
      <c r="R362" s="2610"/>
      <c r="S362" s="2610"/>
      <c r="T362" s="2610"/>
      <c r="U362" s="2610"/>
      <c r="V362" s="2610"/>
      <c r="W362" s="2610"/>
      <c r="X362" s="2610"/>
      <c r="Y362" s="2610"/>
      <c r="Z362" s="2610"/>
      <c r="AA362" s="2610"/>
      <c r="AB362" s="2610"/>
      <c r="AC362" s="2610"/>
      <c r="AD362" s="2610"/>
      <c r="AE362" s="2610"/>
      <c r="AF362" s="2610"/>
      <c r="AG362" s="2610"/>
      <c r="AH362" s="2610"/>
      <c r="AI362" s="2610"/>
      <c r="AJ362" s="2610"/>
      <c r="AK362" s="2610"/>
      <c r="AL362" s="2610"/>
      <c r="AM362" s="2610"/>
      <c r="AN362" s="2610"/>
      <c r="AO362" s="2610"/>
      <c r="AP362" s="2610"/>
      <c r="AQ362" s="2610"/>
      <c r="AR362" s="2610"/>
      <c r="AS362" s="2610"/>
      <c r="AT362" s="2610"/>
      <c r="AU362" s="2610"/>
      <c r="AW362" s="381"/>
      <c r="AX362" s="381"/>
    </row>
    <row r="363" spans="1:50" ht="12.75" customHeight="1">
      <c r="B363" s="619" t="s">
        <v>1</v>
      </c>
      <c r="C363" s="2610" t="s">
        <v>2</v>
      </c>
      <c r="D363" s="2610"/>
      <c r="E363" s="2610"/>
      <c r="F363" s="2610"/>
      <c r="G363" s="2610"/>
      <c r="H363" s="2610"/>
      <c r="I363" s="2610"/>
      <c r="J363" s="2610"/>
      <c r="K363" s="2610"/>
      <c r="L363" s="2610"/>
      <c r="M363" s="2610"/>
      <c r="N363" s="2610"/>
      <c r="O363" s="2610"/>
      <c r="P363" s="2610"/>
      <c r="Q363" s="2610"/>
      <c r="R363" s="2610"/>
      <c r="S363" s="2610"/>
      <c r="T363" s="2610"/>
      <c r="U363" s="2610"/>
      <c r="V363" s="2610"/>
      <c r="W363" s="2610"/>
      <c r="X363" s="2610"/>
      <c r="Y363" s="2610"/>
      <c r="Z363" s="2610"/>
      <c r="AA363" s="2610"/>
      <c r="AB363" s="2610"/>
      <c r="AC363" s="2610"/>
      <c r="AD363" s="2610"/>
      <c r="AE363" s="2610"/>
      <c r="AF363" s="2610"/>
      <c r="AG363" s="2610"/>
      <c r="AH363" s="2610"/>
      <c r="AI363" s="2610"/>
      <c r="AJ363" s="2610"/>
      <c r="AK363" s="2610"/>
      <c r="AL363" s="2610"/>
      <c r="AM363" s="2610"/>
      <c r="AN363" s="2610"/>
      <c r="AO363" s="2610"/>
      <c r="AP363" s="2610"/>
      <c r="AQ363" s="2610"/>
      <c r="AR363" s="2610"/>
      <c r="AS363" s="2610"/>
      <c r="AT363" s="2610"/>
      <c r="AU363" s="2610"/>
      <c r="AW363" s="381"/>
      <c r="AX363" s="381"/>
    </row>
    <row r="364" spans="1:50" ht="12.75" customHeight="1">
      <c r="B364" s="619"/>
      <c r="C364" s="619"/>
      <c r="D364" s="619"/>
      <c r="E364" s="619"/>
      <c r="F364" s="619"/>
      <c r="G364" s="619"/>
      <c r="H364" s="619"/>
      <c r="I364" s="619"/>
      <c r="J364" s="619"/>
      <c r="K364" s="619"/>
      <c r="L364" s="619"/>
      <c r="M364" s="619"/>
      <c r="N364" s="619"/>
      <c r="O364" s="619"/>
      <c r="P364" s="619"/>
      <c r="Q364" s="619"/>
      <c r="R364" s="619"/>
      <c r="S364" s="619"/>
      <c r="T364" s="619"/>
      <c r="U364" s="619"/>
      <c r="V364" s="619"/>
      <c r="W364" s="619"/>
      <c r="X364" s="619"/>
      <c r="Y364" s="619"/>
      <c r="Z364" s="619"/>
      <c r="AA364" s="619"/>
      <c r="AB364" s="619"/>
      <c r="AC364" s="619"/>
      <c r="AD364" s="619"/>
      <c r="AE364" s="619"/>
      <c r="AF364" s="619"/>
      <c r="AG364" s="619"/>
      <c r="AH364" s="619"/>
      <c r="AI364" s="619"/>
      <c r="AJ364" s="619"/>
      <c r="AK364" s="619"/>
      <c r="AL364" s="619"/>
      <c r="AM364" s="619"/>
      <c r="AN364" s="619"/>
      <c r="AO364" s="619"/>
      <c r="AP364" s="619"/>
      <c r="AQ364" s="619"/>
      <c r="AR364" s="619"/>
      <c r="AS364" s="619"/>
      <c r="AT364" s="619"/>
      <c r="AU364" s="618"/>
      <c r="AW364" s="381"/>
      <c r="AX364" s="381"/>
    </row>
    <row r="365" spans="1:50" ht="12.75" customHeight="1">
      <c r="AG365" s="618"/>
      <c r="AH365" s="618"/>
      <c r="AI365" s="618"/>
      <c r="AJ365" s="618"/>
      <c r="AK365" s="618"/>
      <c r="AL365" s="618"/>
      <c r="AM365" s="618"/>
      <c r="AN365" s="618"/>
      <c r="AO365" s="618"/>
      <c r="AP365" s="618"/>
      <c r="AQ365" s="618"/>
      <c r="AR365" s="618"/>
      <c r="AS365" s="618"/>
      <c r="AT365" s="618"/>
      <c r="AW365" s="381"/>
      <c r="AX365" s="381"/>
    </row>
    <row r="366" spans="1:50" ht="12.75" customHeight="1">
      <c r="A366" s="617" t="s">
        <v>18</v>
      </c>
      <c r="B366" s="617" t="s">
        <v>160</v>
      </c>
      <c r="C366" s="617">
        <v>2</v>
      </c>
      <c r="D366" s="617" t="s">
        <v>5</v>
      </c>
      <c r="E366" s="617" t="s">
        <v>6</v>
      </c>
      <c r="F366" s="617"/>
      <c r="G366" s="617" t="s">
        <v>25</v>
      </c>
      <c r="H366" s="617" t="s">
        <v>182</v>
      </c>
      <c r="I366" s="617">
        <v>4</v>
      </c>
      <c r="J366" s="617" t="s">
        <v>22</v>
      </c>
      <c r="AO366" s="758" t="str">
        <f>$AO$7</f>
        <v>Kyoto City(R4.11) ver112</v>
      </c>
      <c r="AP366" s="705" t="str">
        <f>IF('1_入力シート【基本情報】'!$AB$7="","",'1_入力シート【基本情報】'!$AB$7)</f>
        <v/>
      </c>
      <c r="AQ366" s="703" t="str">
        <f>IF('1_入力シート【基本情報】'!$AK$7="","",'1_入力シート【基本情報】'!$AK$7)</f>
        <v/>
      </c>
      <c r="AR366" s="2606" t="str">
        <f>IF('1_入力シート【基本情報】'!$AT$7="","",TEXT('1_入力シート【基本情報】'!$AT$7,"0000"))</f>
        <v/>
      </c>
      <c r="AS366" s="2607"/>
      <c r="AT366" s="2607"/>
      <c r="AU366" s="2608"/>
      <c r="AW366" s="381"/>
      <c r="AX366" s="381"/>
    </row>
    <row r="367" spans="1:50" ht="12.75" customHeight="1">
      <c r="U367" s="2665" t="s">
        <v>181</v>
      </c>
      <c r="V367" s="2665"/>
      <c r="W367" s="2665"/>
      <c r="X367" s="2665"/>
      <c r="Y367" s="2665"/>
      <c r="Z367" s="2665"/>
      <c r="AW367" s="381"/>
      <c r="AX367" s="381"/>
    </row>
    <row r="368" spans="1:50" ht="12.75" customHeight="1">
      <c r="AW368" s="381"/>
      <c r="AX368" s="381"/>
    </row>
    <row r="369" spans="1:53" ht="15.75" customHeight="1">
      <c r="A369" s="2634" t="s">
        <v>161</v>
      </c>
      <c r="B369" s="2635"/>
      <c r="C369" s="2636"/>
      <c r="D369" s="2653" t="s">
        <v>162</v>
      </c>
      <c r="E369" s="2654"/>
      <c r="F369" s="2654"/>
      <c r="G369" s="2654"/>
      <c r="H369" s="2654"/>
      <c r="I369" s="2654"/>
      <c r="J369" s="2655"/>
      <c r="K369" s="621"/>
      <c r="L369" s="622"/>
      <c r="M369" s="622"/>
      <c r="N369" s="622"/>
      <c r="O369" s="622"/>
      <c r="P369" s="622"/>
      <c r="Q369" s="622"/>
      <c r="R369" s="622"/>
      <c r="S369" s="623" t="s">
        <v>7</v>
      </c>
      <c r="T369" s="623" t="s">
        <v>8</v>
      </c>
      <c r="U369" s="623" t="s">
        <v>9</v>
      </c>
      <c r="V369" s="623" t="s">
        <v>163</v>
      </c>
      <c r="W369" s="623"/>
      <c r="X369" s="623"/>
      <c r="Y369" s="623"/>
      <c r="Z369" s="623"/>
      <c r="AA369" s="623"/>
      <c r="AB369" s="623"/>
      <c r="AC369" s="623"/>
      <c r="AD369" s="623"/>
      <c r="AE369" s="623"/>
      <c r="AF369" s="623"/>
      <c r="AG369" s="623"/>
      <c r="AH369" s="623"/>
      <c r="AI369" s="624"/>
      <c r="AJ369" s="625"/>
      <c r="AK369" s="2654" t="s">
        <v>33</v>
      </c>
      <c r="AL369" s="2654"/>
      <c r="AM369" s="2654"/>
      <c r="AN369" s="2654"/>
      <c r="AO369" s="2654"/>
      <c r="AP369" s="2654"/>
      <c r="AQ369" s="2654"/>
      <c r="AR369" s="2654"/>
      <c r="AS369" s="2654"/>
      <c r="AT369" s="2654"/>
      <c r="AU369" s="626"/>
      <c r="AW369" s="381"/>
      <c r="AX369" s="381"/>
    </row>
    <row r="370" spans="1:53" ht="15.75" customHeight="1" thickBot="1">
      <c r="A370" s="2647"/>
      <c r="B370" s="2648"/>
      <c r="C370" s="2649"/>
      <c r="D370" s="2634" t="str">
        <f>IFERROR(VLOOKUP(13,'1_入力シート【基本情報】'!$DU$307:$DX$526,3,FALSE),"")</f>
        <v/>
      </c>
      <c r="E370" s="2635"/>
      <c r="F370" s="2635"/>
      <c r="G370" s="2635"/>
      <c r="H370" s="2635"/>
      <c r="I370" s="2635"/>
      <c r="J370" s="2636"/>
      <c r="K370" s="2656" t="str">
        <f>IFERROR(VLOOKUP(13,'1_入力シート【基本情報】'!$DU$307:$DX$526,4,FALSE),"")</f>
        <v/>
      </c>
      <c r="L370" s="2657"/>
      <c r="M370" s="2657"/>
      <c r="N370" s="2657"/>
      <c r="O370" s="2657"/>
      <c r="P370" s="2657"/>
      <c r="Q370" s="2657"/>
      <c r="R370" s="2657"/>
      <c r="S370" s="2657"/>
      <c r="T370" s="2657"/>
      <c r="U370" s="2657"/>
      <c r="V370" s="2657"/>
      <c r="W370" s="2657"/>
      <c r="X370" s="2657"/>
      <c r="Y370" s="2657"/>
      <c r="Z370" s="2657"/>
      <c r="AA370" s="2657"/>
      <c r="AB370" s="2657"/>
      <c r="AC370" s="2657"/>
      <c r="AD370" s="2657"/>
      <c r="AE370" s="2657"/>
      <c r="AF370" s="2657"/>
      <c r="AG370" s="2657"/>
      <c r="AH370" s="2657"/>
      <c r="AI370" s="2658"/>
      <c r="AJ370" s="665"/>
      <c r="AK370" s="665"/>
      <c r="AL370" s="665"/>
      <c r="AM370" s="665"/>
      <c r="AN370" s="665"/>
      <c r="AO370" s="665"/>
      <c r="AP370" s="665"/>
      <c r="AQ370" s="665"/>
      <c r="AR370" s="665"/>
      <c r="AS370" s="665"/>
      <c r="AT370" s="665"/>
      <c r="AU370" s="666"/>
      <c r="AW370" s="381"/>
      <c r="AX370" s="381"/>
    </row>
    <row r="371" spans="1:53" ht="15.75" customHeight="1" thickBot="1">
      <c r="A371" s="2647"/>
      <c r="B371" s="2648"/>
      <c r="C371" s="2649"/>
      <c r="D371" s="2637"/>
      <c r="E371" s="2638"/>
      <c r="F371" s="2638"/>
      <c r="G371" s="2638"/>
      <c r="H371" s="2638"/>
      <c r="I371" s="2638"/>
      <c r="J371" s="2639"/>
      <c r="K371" s="2659"/>
      <c r="L371" s="2660"/>
      <c r="M371" s="2660"/>
      <c r="N371" s="2660"/>
      <c r="O371" s="2660"/>
      <c r="P371" s="2660"/>
      <c r="Q371" s="2660"/>
      <c r="R371" s="2660"/>
      <c r="S371" s="2660"/>
      <c r="T371" s="2660"/>
      <c r="U371" s="2660"/>
      <c r="V371" s="2660"/>
      <c r="W371" s="2660"/>
      <c r="X371" s="2660"/>
      <c r="Y371" s="2660"/>
      <c r="Z371" s="2660"/>
      <c r="AA371" s="2660"/>
      <c r="AB371" s="2660"/>
      <c r="AC371" s="2660"/>
      <c r="AD371" s="2660"/>
      <c r="AE371" s="2660"/>
      <c r="AF371" s="2660"/>
      <c r="AG371" s="2660"/>
      <c r="AH371" s="2660"/>
      <c r="AI371" s="2661"/>
      <c r="AJ371" s="665"/>
      <c r="AK371" s="665" t="str">
        <f>IF(D370&lt;&gt;"","☑","☐")</f>
        <v>☐</v>
      </c>
      <c r="AL371" s="665" t="s">
        <v>14</v>
      </c>
      <c r="AM371" s="665" t="s">
        <v>21</v>
      </c>
      <c r="AN371" s="665" t="s">
        <v>15</v>
      </c>
      <c r="AO371" s="665"/>
      <c r="AP371" s="783" t="s">
        <v>186</v>
      </c>
      <c r="AQ371" s="665" t="s">
        <v>27</v>
      </c>
      <c r="AR371" s="665" t="s">
        <v>23</v>
      </c>
      <c r="AS371" s="665" t="s">
        <v>13</v>
      </c>
      <c r="AT371" s="665"/>
      <c r="AU371" s="666"/>
      <c r="AV371" s="627"/>
      <c r="AW371" s="381"/>
      <c r="AX371" s="381"/>
      <c r="BA371" s="802" t="b">
        <f>AP371="☑"</f>
        <v>0</v>
      </c>
    </row>
    <row r="372" spans="1:53" ht="15.75" customHeight="1">
      <c r="A372" s="2650"/>
      <c r="B372" s="2651"/>
      <c r="C372" s="2652"/>
      <c r="D372" s="2640"/>
      <c r="E372" s="2641"/>
      <c r="F372" s="2641"/>
      <c r="G372" s="2641"/>
      <c r="H372" s="2641"/>
      <c r="I372" s="2641"/>
      <c r="J372" s="2642"/>
      <c r="K372" s="2662"/>
      <c r="L372" s="2663"/>
      <c r="M372" s="2663"/>
      <c r="N372" s="2663"/>
      <c r="O372" s="2663"/>
      <c r="P372" s="2663"/>
      <c r="Q372" s="2663"/>
      <c r="R372" s="2663"/>
      <c r="S372" s="2663"/>
      <c r="T372" s="2663"/>
      <c r="U372" s="2663"/>
      <c r="V372" s="2663"/>
      <c r="W372" s="2663"/>
      <c r="X372" s="2663"/>
      <c r="Y372" s="2663"/>
      <c r="Z372" s="2663"/>
      <c r="AA372" s="2663"/>
      <c r="AB372" s="2663"/>
      <c r="AC372" s="2663"/>
      <c r="AD372" s="2663"/>
      <c r="AE372" s="2663"/>
      <c r="AF372" s="2663"/>
      <c r="AG372" s="2663"/>
      <c r="AH372" s="2663"/>
      <c r="AI372" s="2664"/>
      <c r="AJ372" s="667"/>
      <c r="AK372" s="667"/>
      <c r="AL372" s="667"/>
      <c r="AM372" s="667"/>
      <c r="AN372" s="667"/>
      <c r="AO372" s="667"/>
      <c r="AP372" s="667"/>
      <c r="AQ372" s="667"/>
      <c r="AR372" s="667"/>
      <c r="AS372" s="667"/>
      <c r="AT372" s="667"/>
      <c r="AU372" s="668"/>
      <c r="AW372" s="381"/>
      <c r="AX372" s="381"/>
    </row>
    <row r="373" spans="1:53" ht="15.75" customHeight="1">
      <c r="A373" s="8"/>
      <c r="B373" s="616"/>
      <c r="C373" s="616"/>
      <c r="D373" s="616"/>
      <c r="E373" s="616"/>
      <c r="F373" s="616"/>
      <c r="G373" s="616"/>
      <c r="H373" s="616"/>
      <c r="I373" s="616"/>
      <c r="J373" s="616"/>
      <c r="K373" s="616"/>
      <c r="L373" s="616"/>
      <c r="M373" s="616"/>
      <c r="N373" s="616"/>
      <c r="O373" s="616"/>
      <c r="P373" s="616"/>
      <c r="Q373" s="616"/>
      <c r="R373" s="616"/>
      <c r="S373" s="616"/>
      <c r="T373" s="616"/>
      <c r="U373" s="616"/>
      <c r="V373" s="616"/>
      <c r="W373" s="616"/>
      <c r="X373" s="616"/>
      <c r="Y373" s="9"/>
      <c r="Z373" s="140"/>
      <c r="AA373" s="141" t="s">
        <v>11</v>
      </c>
      <c r="AB373" s="141" t="s">
        <v>10</v>
      </c>
      <c r="AC373" s="141" t="s">
        <v>16</v>
      </c>
      <c r="AD373" s="141" t="s">
        <v>9</v>
      </c>
      <c r="AE373" s="141"/>
      <c r="AF373" s="141"/>
      <c r="AG373" s="141"/>
      <c r="AH373" s="141"/>
      <c r="AI373" s="141"/>
      <c r="AJ373" s="142"/>
      <c r="AK373" s="142"/>
      <c r="AL373" s="142"/>
      <c r="AM373" s="142"/>
      <c r="AN373" s="142"/>
      <c r="AO373" s="142"/>
      <c r="AP373" s="142"/>
      <c r="AQ373" s="142"/>
      <c r="AR373" s="142"/>
      <c r="AS373" s="142"/>
      <c r="AT373" s="142"/>
      <c r="AU373" s="143"/>
      <c r="AW373" s="381"/>
      <c r="AX373" s="381"/>
    </row>
    <row r="374" spans="1:53" ht="15.75" customHeight="1">
      <c r="A374" s="8"/>
      <c r="B374" s="616"/>
      <c r="C374" s="616"/>
      <c r="D374" s="616"/>
      <c r="E374" s="616"/>
      <c r="F374" s="616"/>
      <c r="G374" s="616"/>
      <c r="H374" s="616"/>
      <c r="I374" s="616"/>
      <c r="J374" s="616"/>
      <c r="K374" s="616"/>
      <c r="L374" s="616"/>
      <c r="M374" s="616"/>
      <c r="N374" s="616"/>
      <c r="O374" s="616"/>
      <c r="P374" s="616"/>
      <c r="Q374" s="616"/>
      <c r="R374" s="616"/>
      <c r="S374" s="616"/>
      <c r="T374" s="616"/>
      <c r="U374" s="616"/>
      <c r="V374" s="616"/>
      <c r="W374" s="616"/>
      <c r="X374" s="616"/>
      <c r="Y374" s="9"/>
      <c r="Z374" s="2626"/>
      <c r="AA374" s="2627"/>
      <c r="AB374" s="2627"/>
      <c r="AC374" s="2627"/>
      <c r="AD374" s="2627"/>
      <c r="AE374" s="2627"/>
      <c r="AF374" s="2627"/>
      <c r="AG374" s="2627"/>
      <c r="AH374" s="2627"/>
      <c r="AI374" s="2627"/>
      <c r="AJ374" s="2627"/>
      <c r="AK374" s="2627"/>
      <c r="AL374" s="2627"/>
      <c r="AM374" s="2627"/>
      <c r="AN374" s="2627"/>
      <c r="AO374" s="198"/>
      <c r="AP374" s="198"/>
      <c r="AQ374" s="198"/>
      <c r="AR374" s="198"/>
      <c r="AS374" s="198"/>
      <c r="AT374" s="198"/>
      <c r="AU374" s="199"/>
      <c r="AW374" s="381"/>
      <c r="AX374" s="381"/>
    </row>
    <row r="375" spans="1:53" ht="15.75" customHeight="1">
      <c r="A375" s="8"/>
      <c r="B375" s="616"/>
      <c r="C375" s="616"/>
      <c r="D375" s="616"/>
      <c r="E375" s="616"/>
      <c r="F375" s="616"/>
      <c r="G375" s="616"/>
      <c r="H375" s="616"/>
      <c r="I375" s="616"/>
      <c r="J375" s="616"/>
      <c r="K375" s="616"/>
      <c r="L375" s="616"/>
      <c r="M375" s="616"/>
      <c r="N375" s="616"/>
      <c r="O375" s="616"/>
      <c r="P375" s="616"/>
      <c r="Q375" s="616"/>
      <c r="R375" s="616"/>
      <c r="S375" s="616"/>
      <c r="T375" s="616"/>
      <c r="U375" s="616"/>
      <c r="V375" s="616"/>
      <c r="W375" s="616"/>
      <c r="X375" s="616"/>
      <c r="Y375" s="9"/>
      <c r="Z375" s="2611" t="str">
        <f>IFERROR(VLOOKUP(13,'1_入力シート【基本情報】'!$DU$307:$DZ$526,5,FALSE),"")</f>
        <v/>
      </c>
      <c r="AA375" s="2612"/>
      <c r="AB375" s="2612"/>
      <c r="AC375" s="2612"/>
      <c r="AD375" s="2612"/>
      <c r="AE375" s="2612"/>
      <c r="AF375" s="2612"/>
      <c r="AG375" s="2612"/>
      <c r="AH375" s="2612"/>
      <c r="AI375" s="2612"/>
      <c r="AJ375" s="2612"/>
      <c r="AK375" s="2612"/>
      <c r="AL375" s="2612"/>
      <c r="AM375" s="2612"/>
      <c r="AN375" s="2612"/>
      <c r="AO375" s="2612"/>
      <c r="AP375" s="2612"/>
      <c r="AQ375" s="2612"/>
      <c r="AR375" s="2612"/>
      <c r="AS375" s="2612"/>
      <c r="AT375" s="2612"/>
      <c r="AU375" s="2613"/>
      <c r="AW375" s="381"/>
      <c r="AX375" s="381"/>
    </row>
    <row r="376" spans="1:53" ht="15.75" customHeight="1">
      <c r="A376" s="8"/>
      <c r="B376" s="616"/>
      <c r="C376" s="616"/>
      <c r="D376" s="616"/>
      <c r="E376" s="616"/>
      <c r="F376" s="616"/>
      <c r="G376" s="616"/>
      <c r="H376" s="616"/>
      <c r="I376" s="616"/>
      <c r="J376" s="616"/>
      <c r="K376" s="616"/>
      <c r="L376" s="616"/>
      <c r="M376" s="616"/>
      <c r="N376" s="616"/>
      <c r="O376" s="616"/>
      <c r="P376" s="616"/>
      <c r="Q376" s="616"/>
      <c r="R376" s="616"/>
      <c r="S376" s="616"/>
      <c r="T376" s="616"/>
      <c r="U376" s="616"/>
      <c r="V376" s="616"/>
      <c r="W376" s="616"/>
      <c r="X376" s="616"/>
      <c r="Y376" s="9"/>
      <c r="Z376" s="2614"/>
      <c r="AA376" s="2615"/>
      <c r="AB376" s="2615"/>
      <c r="AC376" s="2615"/>
      <c r="AD376" s="2615"/>
      <c r="AE376" s="2615"/>
      <c r="AF376" s="2615"/>
      <c r="AG376" s="2615"/>
      <c r="AH376" s="2615"/>
      <c r="AI376" s="2615"/>
      <c r="AJ376" s="2615"/>
      <c r="AK376" s="2615"/>
      <c r="AL376" s="2615"/>
      <c r="AM376" s="2615"/>
      <c r="AN376" s="2615"/>
      <c r="AO376" s="2615"/>
      <c r="AP376" s="2615"/>
      <c r="AQ376" s="2615"/>
      <c r="AR376" s="2615"/>
      <c r="AS376" s="2615"/>
      <c r="AT376" s="2615"/>
      <c r="AU376" s="2616"/>
      <c r="AW376" s="381"/>
      <c r="AX376" s="381"/>
    </row>
    <row r="377" spans="1:53" ht="15.75" customHeight="1">
      <c r="A377" s="8"/>
      <c r="B377" s="616"/>
      <c r="C377" s="616"/>
      <c r="D377" s="616"/>
      <c r="E377" s="616"/>
      <c r="F377" s="616"/>
      <c r="G377" s="616"/>
      <c r="H377" s="616"/>
      <c r="I377" s="616"/>
      <c r="J377" s="616"/>
      <c r="K377" s="616"/>
      <c r="L377" s="616"/>
      <c r="M377" s="616"/>
      <c r="N377" s="616"/>
      <c r="O377" s="616"/>
      <c r="P377" s="616"/>
      <c r="Q377" s="616"/>
      <c r="R377" s="616"/>
      <c r="S377" s="616"/>
      <c r="T377" s="616"/>
      <c r="U377" s="616"/>
      <c r="V377" s="616"/>
      <c r="W377" s="616"/>
      <c r="X377" s="616"/>
      <c r="Y377" s="9"/>
      <c r="Z377" s="2617"/>
      <c r="AA377" s="2618"/>
      <c r="AB377" s="2618"/>
      <c r="AC377" s="2618"/>
      <c r="AD377" s="2618"/>
      <c r="AE377" s="2618"/>
      <c r="AF377" s="2618"/>
      <c r="AG377" s="2618"/>
      <c r="AH377" s="2618"/>
      <c r="AI377" s="2618"/>
      <c r="AJ377" s="2618"/>
      <c r="AK377" s="2618"/>
      <c r="AL377" s="2618"/>
      <c r="AM377" s="2618"/>
      <c r="AN377" s="2618"/>
      <c r="AO377" s="2618"/>
      <c r="AP377" s="2618"/>
      <c r="AQ377" s="2618"/>
      <c r="AR377" s="2618"/>
      <c r="AS377" s="2618"/>
      <c r="AT377" s="2618"/>
      <c r="AU377" s="2619"/>
      <c r="AW377" s="381"/>
      <c r="AX377" s="381"/>
    </row>
    <row r="378" spans="1:53" ht="15.75" customHeight="1">
      <c r="A378" s="8"/>
      <c r="B378" s="669"/>
      <c r="C378" s="669"/>
      <c r="D378" s="669"/>
      <c r="E378" s="669"/>
      <c r="F378" s="669"/>
      <c r="G378" s="669"/>
      <c r="H378" s="669"/>
      <c r="I378" s="669"/>
      <c r="J378" s="669"/>
      <c r="K378" s="669"/>
      <c r="L378" s="669"/>
      <c r="M378" s="669"/>
      <c r="N378" s="669"/>
      <c r="O378" s="669"/>
      <c r="P378" s="669"/>
      <c r="Q378" s="669"/>
      <c r="R378" s="669"/>
      <c r="S378" s="669"/>
      <c r="T378" s="669"/>
      <c r="U378" s="669"/>
      <c r="V378" s="669"/>
      <c r="W378" s="669"/>
      <c r="X378" s="669"/>
      <c r="Y378" s="9"/>
      <c r="Z378" s="2620"/>
      <c r="AA378" s="2621"/>
      <c r="AB378" s="2621"/>
      <c r="AC378" s="2621"/>
      <c r="AD378" s="2621"/>
      <c r="AE378" s="2621"/>
      <c r="AF378" s="2621"/>
      <c r="AG378" s="2621"/>
      <c r="AH378" s="2621"/>
      <c r="AI378" s="2621"/>
      <c r="AJ378" s="2621"/>
      <c r="AK378" s="2621"/>
      <c r="AL378" s="2621"/>
      <c r="AM378" s="2621"/>
      <c r="AN378" s="2621"/>
      <c r="AO378" s="2621"/>
      <c r="AP378" s="2621"/>
      <c r="AQ378" s="2621"/>
      <c r="AR378" s="2621"/>
      <c r="AS378" s="2621"/>
      <c r="AT378" s="2621"/>
      <c r="AU378" s="2622"/>
      <c r="AW378" s="381"/>
      <c r="AX378" s="381"/>
    </row>
    <row r="379" spans="1:53" ht="15.75" customHeight="1">
      <c r="A379" s="8"/>
      <c r="B379" s="669"/>
      <c r="C379" s="669"/>
      <c r="D379" s="669"/>
      <c r="E379" s="669"/>
      <c r="F379" s="669"/>
      <c r="G379" s="669"/>
      <c r="H379" s="669"/>
      <c r="I379" s="669"/>
      <c r="J379" s="669"/>
      <c r="K379" s="669"/>
      <c r="L379" s="669"/>
      <c r="M379" s="669"/>
      <c r="N379" s="669"/>
      <c r="O379" s="669"/>
      <c r="P379" s="669"/>
      <c r="Q379" s="669"/>
      <c r="R379" s="669"/>
      <c r="S379" s="669"/>
      <c r="T379" s="669"/>
      <c r="U379" s="669"/>
      <c r="V379" s="669"/>
      <c r="W379" s="669"/>
      <c r="X379" s="669"/>
      <c r="Y379" s="9"/>
      <c r="Z379" s="2620"/>
      <c r="AA379" s="2621"/>
      <c r="AB379" s="2621"/>
      <c r="AC379" s="2621"/>
      <c r="AD379" s="2621"/>
      <c r="AE379" s="2621"/>
      <c r="AF379" s="2621"/>
      <c r="AG379" s="2621"/>
      <c r="AH379" s="2621"/>
      <c r="AI379" s="2621"/>
      <c r="AJ379" s="2621"/>
      <c r="AK379" s="2621"/>
      <c r="AL379" s="2621"/>
      <c r="AM379" s="2621"/>
      <c r="AN379" s="2621"/>
      <c r="AO379" s="2621"/>
      <c r="AP379" s="2621"/>
      <c r="AQ379" s="2621"/>
      <c r="AR379" s="2621"/>
      <c r="AS379" s="2621"/>
      <c r="AT379" s="2621"/>
      <c r="AU379" s="2622"/>
      <c r="AW379" s="381"/>
      <c r="AX379" s="381"/>
    </row>
    <row r="380" spans="1:53" ht="15.75" customHeight="1">
      <c r="A380" s="8"/>
      <c r="B380" s="669"/>
      <c r="C380" s="669"/>
      <c r="D380" s="669"/>
      <c r="E380" s="669"/>
      <c r="F380" s="669"/>
      <c r="G380" s="669"/>
      <c r="H380" s="669"/>
      <c r="I380" s="669"/>
      <c r="J380" s="669"/>
      <c r="K380" s="669"/>
      <c r="L380" s="669"/>
      <c r="M380" s="669"/>
      <c r="N380" s="669"/>
      <c r="O380" s="669"/>
      <c r="P380" s="669"/>
      <c r="Q380" s="669"/>
      <c r="R380" s="669"/>
      <c r="S380" s="669"/>
      <c r="T380" s="669"/>
      <c r="U380" s="669"/>
      <c r="V380" s="669"/>
      <c r="W380" s="669"/>
      <c r="X380" s="669"/>
      <c r="Y380" s="9"/>
      <c r="Z380" s="2620"/>
      <c r="AA380" s="2621"/>
      <c r="AB380" s="2621"/>
      <c r="AC380" s="2621"/>
      <c r="AD380" s="2621"/>
      <c r="AE380" s="2621"/>
      <c r="AF380" s="2621"/>
      <c r="AG380" s="2621"/>
      <c r="AH380" s="2621"/>
      <c r="AI380" s="2621"/>
      <c r="AJ380" s="2621"/>
      <c r="AK380" s="2621"/>
      <c r="AL380" s="2621"/>
      <c r="AM380" s="2621"/>
      <c r="AN380" s="2621"/>
      <c r="AO380" s="2621"/>
      <c r="AP380" s="2621"/>
      <c r="AQ380" s="2621"/>
      <c r="AR380" s="2621"/>
      <c r="AS380" s="2621"/>
      <c r="AT380" s="2621"/>
      <c r="AU380" s="2622"/>
      <c r="AW380" s="381"/>
      <c r="AX380" s="381"/>
    </row>
    <row r="381" spans="1:53" ht="15.75" customHeight="1">
      <c r="A381" s="8"/>
      <c r="B381" s="669"/>
      <c r="C381" s="669"/>
      <c r="D381" s="669"/>
      <c r="E381" s="669"/>
      <c r="F381" s="669"/>
      <c r="G381" s="669"/>
      <c r="H381" s="669"/>
      <c r="I381" s="669"/>
      <c r="J381" s="669"/>
      <c r="K381" s="2629" t="s">
        <v>164</v>
      </c>
      <c r="L381" s="2629"/>
      <c r="M381" s="2629"/>
      <c r="N381" s="2629"/>
      <c r="O381" s="2629"/>
      <c r="P381" s="2629"/>
      <c r="Q381" s="669"/>
      <c r="R381" s="669"/>
      <c r="S381" s="669"/>
      <c r="T381" s="669"/>
      <c r="U381" s="669"/>
      <c r="V381" s="669"/>
      <c r="W381" s="669"/>
      <c r="X381" s="669"/>
      <c r="Y381" s="9"/>
      <c r="Z381" s="2620"/>
      <c r="AA381" s="2621"/>
      <c r="AB381" s="2621"/>
      <c r="AC381" s="2621"/>
      <c r="AD381" s="2621"/>
      <c r="AE381" s="2621"/>
      <c r="AF381" s="2621"/>
      <c r="AG381" s="2621"/>
      <c r="AH381" s="2621"/>
      <c r="AI381" s="2621"/>
      <c r="AJ381" s="2621"/>
      <c r="AK381" s="2621"/>
      <c r="AL381" s="2621"/>
      <c r="AM381" s="2621"/>
      <c r="AN381" s="2621"/>
      <c r="AO381" s="2621"/>
      <c r="AP381" s="2621"/>
      <c r="AQ381" s="2621"/>
      <c r="AR381" s="2621"/>
      <c r="AS381" s="2621"/>
      <c r="AT381" s="2621"/>
      <c r="AU381" s="2622"/>
      <c r="AW381" s="381"/>
      <c r="AX381" s="381"/>
    </row>
    <row r="382" spans="1:53" ht="15.75" customHeight="1">
      <c r="A382" s="8"/>
      <c r="B382" s="669"/>
      <c r="C382" s="669"/>
      <c r="D382" s="669"/>
      <c r="E382" s="669"/>
      <c r="F382" s="669"/>
      <c r="G382" s="669"/>
      <c r="H382" s="669"/>
      <c r="I382" s="669"/>
      <c r="J382" s="669"/>
      <c r="K382" s="669"/>
      <c r="L382" s="669"/>
      <c r="M382" s="669"/>
      <c r="N382" s="669"/>
      <c r="O382" s="669"/>
      <c r="P382" s="669"/>
      <c r="Q382" s="669"/>
      <c r="R382" s="669"/>
      <c r="S382" s="669"/>
      <c r="T382" s="669"/>
      <c r="U382" s="669"/>
      <c r="V382" s="669"/>
      <c r="W382" s="669"/>
      <c r="X382" s="669"/>
      <c r="Y382" s="9"/>
      <c r="Z382" s="2620"/>
      <c r="AA382" s="2621"/>
      <c r="AB382" s="2621"/>
      <c r="AC382" s="2621"/>
      <c r="AD382" s="2621"/>
      <c r="AE382" s="2621"/>
      <c r="AF382" s="2621"/>
      <c r="AG382" s="2621"/>
      <c r="AH382" s="2621"/>
      <c r="AI382" s="2621"/>
      <c r="AJ382" s="2621"/>
      <c r="AK382" s="2621"/>
      <c r="AL382" s="2621"/>
      <c r="AM382" s="2621"/>
      <c r="AN382" s="2621"/>
      <c r="AO382" s="2621"/>
      <c r="AP382" s="2621"/>
      <c r="AQ382" s="2621"/>
      <c r="AR382" s="2621"/>
      <c r="AS382" s="2621"/>
      <c r="AT382" s="2621"/>
      <c r="AU382" s="2622"/>
      <c r="AW382" s="381"/>
      <c r="AX382" s="381"/>
    </row>
    <row r="383" spans="1:53" ht="15.75" customHeight="1">
      <c r="A383" s="8"/>
      <c r="B383" s="669"/>
      <c r="C383" s="669"/>
      <c r="D383" s="669"/>
      <c r="E383" s="669"/>
      <c r="F383" s="669"/>
      <c r="G383" s="669"/>
      <c r="H383" s="669"/>
      <c r="I383" s="669"/>
      <c r="J383" s="669"/>
      <c r="K383" s="669"/>
      <c r="L383" s="669"/>
      <c r="M383" s="669"/>
      <c r="N383" s="669"/>
      <c r="O383" s="669"/>
      <c r="P383" s="669"/>
      <c r="Q383" s="669"/>
      <c r="R383" s="669"/>
      <c r="S383" s="669"/>
      <c r="T383" s="669"/>
      <c r="U383" s="669"/>
      <c r="V383" s="669"/>
      <c r="W383" s="669"/>
      <c r="X383" s="669"/>
      <c r="Y383" s="9"/>
      <c r="Z383" s="2620"/>
      <c r="AA383" s="2621"/>
      <c r="AB383" s="2621"/>
      <c r="AC383" s="2621"/>
      <c r="AD383" s="2621"/>
      <c r="AE383" s="2621"/>
      <c r="AF383" s="2621"/>
      <c r="AG383" s="2621"/>
      <c r="AH383" s="2621"/>
      <c r="AI383" s="2621"/>
      <c r="AJ383" s="2621"/>
      <c r="AK383" s="2621"/>
      <c r="AL383" s="2621"/>
      <c r="AM383" s="2621"/>
      <c r="AN383" s="2621"/>
      <c r="AO383" s="2621"/>
      <c r="AP383" s="2621"/>
      <c r="AQ383" s="2621"/>
      <c r="AR383" s="2621"/>
      <c r="AS383" s="2621"/>
      <c r="AT383" s="2621"/>
      <c r="AU383" s="2622"/>
      <c r="AW383" s="381"/>
      <c r="AX383" s="381"/>
    </row>
    <row r="384" spans="1:53" ht="15.75" customHeight="1">
      <c r="A384" s="8"/>
      <c r="B384" s="669"/>
      <c r="C384" s="669"/>
      <c r="D384" s="669"/>
      <c r="E384" s="669"/>
      <c r="F384" s="669"/>
      <c r="G384" s="669"/>
      <c r="H384" s="669"/>
      <c r="I384" s="669"/>
      <c r="J384" s="669"/>
      <c r="K384" s="669"/>
      <c r="L384" s="669"/>
      <c r="M384" s="669"/>
      <c r="N384" s="669"/>
      <c r="O384" s="669"/>
      <c r="P384" s="669"/>
      <c r="Q384" s="669"/>
      <c r="R384" s="669"/>
      <c r="S384" s="669"/>
      <c r="T384" s="669"/>
      <c r="U384" s="669"/>
      <c r="V384" s="669"/>
      <c r="W384" s="669"/>
      <c r="X384" s="669"/>
      <c r="Y384" s="9"/>
      <c r="Z384" s="2620"/>
      <c r="AA384" s="2621"/>
      <c r="AB384" s="2621"/>
      <c r="AC384" s="2621"/>
      <c r="AD384" s="2621"/>
      <c r="AE384" s="2621"/>
      <c r="AF384" s="2621"/>
      <c r="AG384" s="2621"/>
      <c r="AH384" s="2621"/>
      <c r="AI384" s="2621"/>
      <c r="AJ384" s="2621"/>
      <c r="AK384" s="2621"/>
      <c r="AL384" s="2621"/>
      <c r="AM384" s="2621"/>
      <c r="AN384" s="2621"/>
      <c r="AO384" s="2621"/>
      <c r="AP384" s="2621"/>
      <c r="AQ384" s="2621"/>
      <c r="AR384" s="2621"/>
      <c r="AS384" s="2621"/>
      <c r="AT384" s="2621"/>
      <c r="AU384" s="2622"/>
      <c r="AW384" s="381"/>
      <c r="AX384" s="381"/>
    </row>
    <row r="385" spans="1:53" ht="15.75" customHeight="1">
      <c r="A385" s="8"/>
      <c r="B385" s="669"/>
      <c r="C385" s="669"/>
      <c r="D385" s="669"/>
      <c r="E385" s="669"/>
      <c r="F385" s="669"/>
      <c r="G385" s="669"/>
      <c r="H385" s="669"/>
      <c r="I385" s="669"/>
      <c r="J385" s="669"/>
      <c r="K385" s="669"/>
      <c r="L385" s="669"/>
      <c r="M385" s="669"/>
      <c r="N385" s="669"/>
      <c r="O385" s="669"/>
      <c r="P385" s="669"/>
      <c r="Q385" s="669"/>
      <c r="R385" s="669"/>
      <c r="S385" s="669"/>
      <c r="T385" s="669"/>
      <c r="U385" s="669"/>
      <c r="V385" s="669"/>
      <c r="W385" s="669"/>
      <c r="X385" s="669"/>
      <c r="Y385" s="9"/>
      <c r="Z385" s="2620"/>
      <c r="AA385" s="2621"/>
      <c r="AB385" s="2621"/>
      <c r="AC385" s="2621"/>
      <c r="AD385" s="2621"/>
      <c r="AE385" s="2621"/>
      <c r="AF385" s="2621"/>
      <c r="AG385" s="2621"/>
      <c r="AH385" s="2621"/>
      <c r="AI385" s="2621"/>
      <c r="AJ385" s="2621"/>
      <c r="AK385" s="2621"/>
      <c r="AL385" s="2621"/>
      <c r="AM385" s="2621"/>
      <c r="AN385" s="2621"/>
      <c r="AO385" s="2621"/>
      <c r="AP385" s="2621"/>
      <c r="AQ385" s="2621"/>
      <c r="AR385" s="2621"/>
      <c r="AS385" s="2621"/>
      <c r="AT385" s="2621"/>
      <c r="AU385" s="2622"/>
      <c r="AW385" s="381"/>
      <c r="AX385" s="381"/>
    </row>
    <row r="386" spans="1:53" ht="15.75" customHeight="1">
      <c r="A386" s="8"/>
      <c r="B386" s="669"/>
      <c r="C386" s="669"/>
      <c r="D386" s="669"/>
      <c r="E386" s="669"/>
      <c r="F386" s="669"/>
      <c r="G386" s="669"/>
      <c r="H386" s="669"/>
      <c r="I386" s="669"/>
      <c r="J386" s="669"/>
      <c r="K386" s="669"/>
      <c r="L386" s="669"/>
      <c r="M386" s="669"/>
      <c r="N386" s="669"/>
      <c r="O386" s="669"/>
      <c r="P386" s="669"/>
      <c r="Q386" s="669"/>
      <c r="R386" s="669"/>
      <c r="S386" s="669"/>
      <c r="T386" s="669"/>
      <c r="U386" s="669"/>
      <c r="V386" s="669"/>
      <c r="W386" s="669"/>
      <c r="X386" s="669"/>
      <c r="Y386" s="9"/>
      <c r="Z386" s="2620"/>
      <c r="AA386" s="2621"/>
      <c r="AB386" s="2621"/>
      <c r="AC386" s="2621"/>
      <c r="AD386" s="2621"/>
      <c r="AE386" s="2621"/>
      <c r="AF386" s="2621"/>
      <c r="AG386" s="2621"/>
      <c r="AH386" s="2621"/>
      <c r="AI386" s="2621"/>
      <c r="AJ386" s="2621"/>
      <c r="AK386" s="2621"/>
      <c r="AL386" s="2621"/>
      <c r="AM386" s="2621"/>
      <c r="AN386" s="2621"/>
      <c r="AO386" s="2621"/>
      <c r="AP386" s="2621"/>
      <c r="AQ386" s="2621"/>
      <c r="AR386" s="2621"/>
      <c r="AS386" s="2621"/>
      <c r="AT386" s="2621"/>
      <c r="AU386" s="2622"/>
      <c r="AW386" s="381"/>
      <c r="AX386" s="381"/>
    </row>
    <row r="387" spans="1:53" ht="15.75" customHeight="1">
      <c r="A387" s="8"/>
      <c r="B387" s="669"/>
      <c r="C387" s="669"/>
      <c r="D387" s="669"/>
      <c r="E387" s="669"/>
      <c r="F387" s="669"/>
      <c r="G387" s="669"/>
      <c r="H387" s="669"/>
      <c r="I387" s="669"/>
      <c r="J387" s="669"/>
      <c r="K387" s="669"/>
      <c r="L387" s="669"/>
      <c r="M387" s="669"/>
      <c r="N387" s="669"/>
      <c r="O387" s="669"/>
      <c r="P387" s="669"/>
      <c r="Q387" s="669"/>
      <c r="R387" s="669"/>
      <c r="S387" s="669"/>
      <c r="T387" s="669"/>
      <c r="U387" s="669"/>
      <c r="V387" s="669"/>
      <c r="W387" s="669"/>
      <c r="X387" s="669"/>
      <c r="Y387" s="9"/>
      <c r="Z387" s="2620"/>
      <c r="AA387" s="2621"/>
      <c r="AB387" s="2621"/>
      <c r="AC387" s="2621"/>
      <c r="AD387" s="2621"/>
      <c r="AE387" s="2621"/>
      <c r="AF387" s="2621"/>
      <c r="AG387" s="2621"/>
      <c r="AH387" s="2621"/>
      <c r="AI387" s="2621"/>
      <c r="AJ387" s="2621"/>
      <c r="AK387" s="2621"/>
      <c r="AL387" s="2621"/>
      <c r="AM387" s="2621"/>
      <c r="AN387" s="2621"/>
      <c r="AO387" s="2621"/>
      <c r="AP387" s="2621"/>
      <c r="AQ387" s="2621"/>
      <c r="AR387" s="2621"/>
      <c r="AS387" s="2621"/>
      <c r="AT387" s="2621"/>
      <c r="AU387" s="2622"/>
      <c r="AW387" s="381"/>
      <c r="AX387" s="381"/>
    </row>
    <row r="388" spans="1:53" ht="15.75" customHeight="1">
      <c r="A388" s="8"/>
      <c r="B388" s="669"/>
      <c r="C388" s="669"/>
      <c r="D388" s="669"/>
      <c r="E388" s="669"/>
      <c r="F388" s="669"/>
      <c r="G388" s="669"/>
      <c r="H388" s="669"/>
      <c r="I388" s="669"/>
      <c r="J388" s="669"/>
      <c r="K388" s="669"/>
      <c r="L388" s="669"/>
      <c r="M388" s="669"/>
      <c r="N388" s="669"/>
      <c r="O388" s="669"/>
      <c r="P388" s="669"/>
      <c r="Q388" s="669"/>
      <c r="R388" s="669"/>
      <c r="S388" s="669"/>
      <c r="T388" s="669"/>
      <c r="U388" s="669"/>
      <c r="V388" s="669"/>
      <c r="W388" s="669"/>
      <c r="X388" s="669"/>
      <c r="Y388" s="9"/>
      <c r="Z388" s="2620"/>
      <c r="AA388" s="2621"/>
      <c r="AB388" s="2621"/>
      <c r="AC388" s="2621"/>
      <c r="AD388" s="2621"/>
      <c r="AE388" s="2621"/>
      <c r="AF388" s="2621"/>
      <c r="AG388" s="2621"/>
      <c r="AH388" s="2621"/>
      <c r="AI388" s="2621"/>
      <c r="AJ388" s="2621"/>
      <c r="AK388" s="2621"/>
      <c r="AL388" s="2621"/>
      <c r="AM388" s="2621"/>
      <c r="AN388" s="2621"/>
      <c r="AO388" s="2621"/>
      <c r="AP388" s="2621"/>
      <c r="AQ388" s="2621"/>
      <c r="AR388" s="2621"/>
      <c r="AS388" s="2621"/>
      <c r="AT388" s="2621"/>
      <c r="AU388" s="2622"/>
      <c r="AW388" s="381"/>
      <c r="AX388" s="381"/>
    </row>
    <row r="389" spans="1:53" ht="15.75" customHeight="1">
      <c r="A389" s="8"/>
      <c r="B389" s="669"/>
      <c r="C389" s="669"/>
      <c r="D389" s="669"/>
      <c r="E389" s="669"/>
      <c r="F389" s="669"/>
      <c r="G389" s="669"/>
      <c r="H389" s="669"/>
      <c r="I389" s="669"/>
      <c r="J389" s="669"/>
      <c r="K389" s="669"/>
      <c r="L389" s="669"/>
      <c r="M389" s="669"/>
      <c r="N389" s="669"/>
      <c r="O389" s="669"/>
      <c r="P389" s="669"/>
      <c r="Q389" s="669"/>
      <c r="R389" s="669"/>
      <c r="S389" s="669"/>
      <c r="T389" s="669"/>
      <c r="U389" s="669"/>
      <c r="V389" s="669"/>
      <c r="W389" s="669"/>
      <c r="X389" s="669"/>
      <c r="Y389" s="9"/>
      <c r="Z389" s="2620"/>
      <c r="AA389" s="2621"/>
      <c r="AB389" s="2621"/>
      <c r="AC389" s="2621"/>
      <c r="AD389" s="2621"/>
      <c r="AE389" s="2621"/>
      <c r="AF389" s="2621"/>
      <c r="AG389" s="2621"/>
      <c r="AH389" s="2621"/>
      <c r="AI389" s="2621"/>
      <c r="AJ389" s="2621"/>
      <c r="AK389" s="2621"/>
      <c r="AL389" s="2621"/>
      <c r="AM389" s="2621"/>
      <c r="AN389" s="2621"/>
      <c r="AO389" s="2621"/>
      <c r="AP389" s="2621"/>
      <c r="AQ389" s="2621"/>
      <c r="AR389" s="2621"/>
      <c r="AS389" s="2621"/>
      <c r="AT389" s="2621"/>
      <c r="AU389" s="2622"/>
      <c r="AW389" s="381"/>
      <c r="AX389" s="381"/>
    </row>
    <row r="390" spans="1:53" ht="15.75" customHeight="1">
      <c r="A390" s="12"/>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1"/>
      <c r="Z390" s="2623"/>
      <c r="AA390" s="2624"/>
      <c r="AB390" s="2624"/>
      <c r="AC390" s="2624"/>
      <c r="AD390" s="2624"/>
      <c r="AE390" s="2624"/>
      <c r="AF390" s="2624"/>
      <c r="AG390" s="2624"/>
      <c r="AH390" s="2624"/>
      <c r="AI390" s="2624"/>
      <c r="AJ390" s="2624"/>
      <c r="AK390" s="2624"/>
      <c r="AL390" s="2624"/>
      <c r="AM390" s="2624"/>
      <c r="AN390" s="2624"/>
      <c r="AO390" s="2624"/>
      <c r="AP390" s="2624"/>
      <c r="AQ390" s="2624"/>
      <c r="AR390" s="2624"/>
      <c r="AS390" s="2624"/>
      <c r="AT390" s="2624"/>
      <c r="AU390" s="2625"/>
      <c r="AW390" s="381"/>
      <c r="AX390" s="381"/>
    </row>
    <row r="391" spans="1:53" ht="12.75" customHeight="1">
      <c r="AW391" s="381"/>
      <c r="AX391" s="381"/>
    </row>
    <row r="392" spans="1:53" ht="15.75" customHeight="1">
      <c r="A392" s="2634" t="s">
        <v>161</v>
      </c>
      <c r="B392" s="2635"/>
      <c r="C392" s="2636"/>
      <c r="D392" s="2653" t="s">
        <v>162</v>
      </c>
      <c r="E392" s="2654"/>
      <c r="F392" s="2654"/>
      <c r="G392" s="2654"/>
      <c r="H392" s="2654"/>
      <c r="I392" s="2654"/>
      <c r="J392" s="2655"/>
      <c r="K392" s="625"/>
      <c r="L392" s="622"/>
      <c r="M392" s="622"/>
      <c r="N392" s="622"/>
      <c r="O392" s="622"/>
      <c r="P392" s="622"/>
      <c r="Q392" s="622"/>
      <c r="R392" s="622"/>
      <c r="S392" s="623" t="s">
        <v>7</v>
      </c>
      <c r="T392" s="623" t="s">
        <v>8</v>
      </c>
      <c r="U392" s="623" t="s">
        <v>9</v>
      </c>
      <c r="V392" s="623" t="s">
        <v>163</v>
      </c>
      <c r="W392" s="623"/>
      <c r="X392" s="623"/>
      <c r="Y392" s="623"/>
      <c r="Z392" s="623"/>
      <c r="AA392" s="623"/>
      <c r="AB392" s="623"/>
      <c r="AC392" s="623"/>
      <c r="AD392" s="623"/>
      <c r="AE392" s="623"/>
      <c r="AF392" s="623"/>
      <c r="AG392" s="623"/>
      <c r="AH392" s="623"/>
      <c r="AI392" s="624"/>
      <c r="AJ392" s="625"/>
      <c r="AK392" s="2654" t="s">
        <v>33</v>
      </c>
      <c r="AL392" s="2654"/>
      <c r="AM392" s="2654"/>
      <c r="AN392" s="2654"/>
      <c r="AO392" s="2654"/>
      <c r="AP392" s="2654"/>
      <c r="AQ392" s="2654"/>
      <c r="AR392" s="2654"/>
      <c r="AS392" s="2654"/>
      <c r="AT392" s="2654"/>
      <c r="AU392" s="626"/>
      <c r="AW392" s="381"/>
      <c r="AX392" s="381"/>
    </row>
    <row r="393" spans="1:53" ht="15.75" customHeight="1" thickBot="1">
      <c r="A393" s="2647"/>
      <c r="B393" s="2648"/>
      <c r="C393" s="2649"/>
      <c r="D393" s="2634" t="str">
        <f>IFERROR(VLOOKUP(14,'1_入力シート【基本情報】'!$DU$307:$DX$526,3,FALSE),"")</f>
        <v/>
      </c>
      <c r="E393" s="2635"/>
      <c r="F393" s="2635"/>
      <c r="G393" s="2635"/>
      <c r="H393" s="2635"/>
      <c r="I393" s="2635"/>
      <c r="J393" s="2636"/>
      <c r="K393" s="2656" t="str">
        <f>IFERROR(VLOOKUP(14,'1_入力シート【基本情報】'!$DU$307:$DX$526,4,FALSE),"")</f>
        <v/>
      </c>
      <c r="L393" s="2657"/>
      <c r="M393" s="2657"/>
      <c r="N393" s="2657"/>
      <c r="O393" s="2657"/>
      <c r="P393" s="2657"/>
      <c r="Q393" s="2657"/>
      <c r="R393" s="2657"/>
      <c r="S393" s="2657"/>
      <c r="T393" s="2657"/>
      <c r="U393" s="2657"/>
      <c r="V393" s="2657"/>
      <c r="W393" s="2657"/>
      <c r="X393" s="2657"/>
      <c r="Y393" s="2657"/>
      <c r="Z393" s="2657"/>
      <c r="AA393" s="2657"/>
      <c r="AB393" s="2657"/>
      <c r="AC393" s="2657"/>
      <c r="AD393" s="2657"/>
      <c r="AE393" s="2657"/>
      <c r="AF393" s="2657"/>
      <c r="AG393" s="2657"/>
      <c r="AH393" s="2657"/>
      <c r="AI393" s="2658"/>
      <c r="AJ393" s="665"/>
      <c r="AK393" s="665"/>
      <c r="AL393" s="665"/>
      <c r="AM393" s="665"/>
      <c r="AN393" s="665"/>
      <c r="AO393" s="665"/>
      <c r="AP393" s="665"/>
      <c r="AQ393" s="665"/>
      <c r="AR393" s="665"/>
      <c r="AS393" s="665"/>
      <c r="AT393" s="665"/>
      <c r="AU393" s="666"/>
      <c r="AW393" s="381"/>
      <c r="AX393" s="381"/>
    </row>
    <row r="394" spans="1:53" ht="15.75" customHeight="1" thickBot="1">
      <c r="A394" s="2647"/>
      <c r="B394" s="2648"/>
      <c r="C394" s="2649"/>
      <c r="D394" s="2637"/>
      <c r="E394" s="2638"/>
      <c r="F394" s="2638"/>
      <c r="G394" s="2638"/>
      <c r="H394" s="2638"/>
      <c r="I394" s="2638"/>
      <c r="J394" s="2639"/>
      <c r="K394" s="2659"/>
      <c r="L394" s="2660"/>
      <c r="M394" s="2660"/>
      <c r="N394" s="2660"/>
      <c r="O394" s="2660"/>
      <c r="P394" s="2660"/>
      <c r="Q394" s="2660"/>
      <c r="R394" s="2660"/>
      <c r="S394" s="2660"/>
      <c r="T394" s="2660"/>
      <c r="U394" s="2660"/>
      <c r="V394" s="2660"/>
      <c r="W394" s="2660"/>
      <c r="X394" s="2660"/>
      <c r="Y394" s="2660"/>
      <c r="Z394" s="2660"/>
      <c r="AA394" s="2660"/>
      <c r="AB394" s="2660"/>
      <c r="AC394" s="2660"/>
      <c r="AD394" s="2660"/>
      <c r="AE394" s="2660"/>
      <c r="AF394" s="2660"/>
      <c r="AG394" s="2660"/>
      <c r="AH394" s="2660"/>
      <c r="AI394" s="2661"/>
      <c r="AJ394" s="665"/>
      <c r="AK394" s="665" t="str">
        <f>IF(D393&lt;&gt;"","☑","☐")</f>
        <v>☐</v>
      </c>
      <c r="AL394" s="665" t="s">
        <v>14</v>
      </c>
      <c r="AM394" s="665" t="s">
        <v>21</v>
      </c>
      <c r="AN394" s="665" t="s">
        <v>15</v>
      </c>
      <c r="AO394" s="665"/>
      <c r="AP394" s="783" t="s">
        <v>186</v>
      </c>
      <c r="AQ394" s="665" t="s">
        <v>27</v>
      </c>
      <c r="AR394" s="665" t="s">
        <v>23</v>
      </c>
      <c r="AS394" s="665" t="s">
        <v>13</v>
      </c>
      <c r="AT394" s="665"/>
      <c r="AU394" s="666"/>
      <c r="AW394" s="381"/>
      <c r="AX394" s="381"/>
      <c r="BA394" s="802" t="b">
        <f>AP394="☑"</f>
        <v>0</v>
      </c>
    </row>
    <row r="395" spans="1:53" ht="15.75" customHeight="1">
      <c r="A395" s="2650"/>
      <c r="B395" s="2651"/>
      <c r="C395" s="2652"/>
      <c r="D395" s="2640"/>
      <c r="E395" s="2641"/>
      <c r="F395" s="2641"/>
      <c r="G395" s="2641"/>
      <c r="H395" s="2641"/>
      <c r="I395" s="2641"/>
      <c r="J395" s="2642"/>
      <c r="K395" s="2662"/>
      <c r="L395" s="2663"/>
      <c r="M395" s="2663"/>
      <c r="N395" s="2663"/>
      <c r="O395" s="2663"/>
      <c r="P395" s="2663"/>
      <c r="Q395" s="2663"/>
      <c r="R395" s="2663"/>
      <c r="S395" s="2663"/>
      <c r="T395" s="2663"/>
      <c r="U395" s="2663"/>
      <c r="V395" s="2663"/>
      <c r="W395" s="2663"/>
      <c r="X395" s="2663"/>
      <c r="Y395" s="2663"/>
      <c r="Z395" s="2663"/>
      <c r="AA395" s="2663"/>
      <c r="AB395" s="2663"/>
      <c r="AC395" s="2663"/>
      <c r="AD395" s="2663"/>
      <c r="AE395" s="2663"/>
      <c r="AF395" s="2663"/>
      <c r="AG395" s="2663"/>
      <c r="AH395" s="2663"/>
      <c r="AI395" s="2664"/>
      <c r="AJ395" s="667"/>
      <c r="AK395" s="667"/>
      <c r="AL395" s="667"/>
      <c r="AM395" s="667"/>
      <c r="AN395" s="667"/>
      <c r="AO395" s="667"/>
      <c r="AP395" s="667"/>
      <c r="AQ395" s="667"/>
      <c r="AR395" s="667"/>
      <c r="AS395" s="667"/>
      <c r="AT395" s="667"/>
      <c r="AU395" s="668"/>
      <c r="AW395" s="381"/>
      <c r="AX395" s="381"/>
    </row>
    <row r="396" spans="1:53" ht="15.75" customHeight="1">
      <c r="A396" s="8"/>
      <c r="B396" s="616"/>
      <c r="C396" s="616"/>
      <c r="D396" s="616"/>
      <c r="E396" s="616"/>
      <c r="F396" s="616"/>
      <c r="G396" s="616"/>
      <c r="H396" s="616"/>
      <c r="I396" s="616"/>
      <c r="J396" s="616"/>
      <c r="K396" s="616"/>
      <c r="L396" s="616"/>
      <c r="M396" s="616"/>
      <c r="N396" s="616"/>
      <c r="O396" s="616"/>
      <c r="P396" s="616"/>
      <c r="Q396" s="616"/>
      <c r="R396" s="616"/>
      <c r="S396" s="616"/>
      <c r="T396" s="616"/>
      <c r="U396" s="616"/>
      <c r="V396" s="616"/>
      <c r="W396" s="616"/>
      <c r="X396" s="616"/>
      <c r="Y396" s="9"/>
      <c r="Z396" s="140"/>
      <c r="AA396" s="141" t="s">
        <v>11</v>
      </c>
      <c r="AB396" s="141" t="s">
        <v>10</v>
      </c>
      <c r="AC396" s="141" t="s">
        <v>16</v>
      </c>
      <c r="AD396" s="141" t="s">
        <v>9</v>
      </c>
      <c r="AE396" s="141"/>
      <c r="AF396" s="141"/>
      <c r="AG396" s="141"/>
      <c r="AH396" s="141"/>
      <c r="AI396" s="141"/>
      <c r="AJ396" s="142"/>
      <c r="AK396" s="142"/>
      <c r="AL396" s="142"/>
      <c r="AM396" s="142"/>
      <c r="AN396" s="142"/>
      <c r="AO396" s="142"/>
      <c r="AP396" s="142"/>
      <c r="AQ396" s="142"/>
      <c r="AR396" s="142"/>
      <c r="AS396" s="142"/>
      <c r="AT396" s="142"/>
      <c r="AU396" s="615"/>
      <c r="AW396" s="381"/>
      <c r="AX396" s="381"/>
    </row>
    <row r="397" spans="1:53" ht="15.75" customHeight="1">
      <c r="A397" s="8"/>
      <c r="B397" s="616"/>
      <c r="C397" s="616"/>
      <c r="D397" s="616"/>
      <c r="E397" s="616"/>
      <c r="F397" s="616"/>
      <c r="G397" s="616"/>
      <c r="H397" s="616"/>
      <c r="I397" s="616"/>
      <c r="J397" s="616"/>
      <c r="K397" s="616"/>
      <c r="L397" s="616"/>
      <c r="M397" s="616"/>
      <c r="N397" s="616"/>
      <c r="O397" s="616"/>
      <c r="P397" s="616"/>
      <c r="Q397" s="616"/>
      <c r="R397" s="616"/>
      <c r="S397" s="616"/>
      <c r="T397" s="616"/>
      <c r="U397" s="616"/>
      <c r="V397" s="616"/>
      <c r="W397" s="616"/>
      <c r="X397" s="616"/>
      <c r="Y397" s="9"/>
      <c r="Z397" s="2626"/>
      <c r="AA397" s="2627"/>
      <c r="AB397" s="2627"/>
      <c r="AC397" s="2627"/>
      <c r="AD397" s="2627"/>
      <c r="AE397" s="2627"/>
      <c r="AF397" s="2627"/>
      <c r="AG397" s="2627"/>
      <c r="AH397" s="2627"/>
      <c r="AI397" s="2627"/>
      <c r="AJ397" s="2627"/>
      <c r="AK397" s="2627"/>
      <c r="AL397" s="2627"/>
      <c r="AM397" s="2627"/>
      <c r="AN397" s="2627"/>
      <c r="AO397" s="198"/>
      <c r="AP397" s="198"/>
      <c r="AQ397" s="198"/>
      <c r="AR397" s="198"/>
      <c r="AS397" s="198"/>
      <c r="AT397" s="198"/>
      <c r="AU397" s="199"/>
      <c r="AW397" s="381"/>
      <c r="AX397" s="381"/>
    </row>
    <row r="398" spans="1:53" ht="15.75" customHeight="1">
      <c r="A398" s="8"/>
      <c r="B398" s="616"/>
      <c r="C398" s="616"/>
      <c r="D398" s="616"/>
      <c r="E398" s="616"/>
      <c r="F398" s="616"/>
      <c r="G398" s="616"/>
      <c r="H398" s="616"/>
      <c r="I398" s="616"/>
      <c r="J398" s="616"/>
      <c r="K398" s="616"/>
      <c r="L398" s="616"/>
      <c r="M398" s="616"/>
      <c r="N398" s="616"/>
      <c r="O398" s="616"/>
      <c r="P398" s="616"/>
      <c r="Q398" s="616"/>
      <c r="R398" s="616"/>
      <c r="S398" s="616"/>
      <c r="T398" s="616"/>
      <c r="U398" s="616"/>
      <c r="V398" s="616"/>
      <c r="W398" s="616"/>
      <c r="X398" s="616"/>
      <c r="Y398" s="9"/>
      <c r="Z398" s="2611" t="str">
        <f>IFERROR(VLOOKUP(14,'1_入力シート【基本情報】'!$DU$307:$DZ$526,5,FALSE),"")</f>
        <v/>
      </c>
      <c r="AA398" s="2612"/>
      <c r="AB398" s="2612"/>
      <c r="AC398" s="2612"/>
      <c r="AD398" s="2612"/>
      <c r="AE398" s="2612"/>
      <c r="AF398" s="2612"/>
      <c r="AG398" s="2612"/>
      <c r="AH398" s="2612"/>
      <c r="AI398" s="2612"/>
      <c r="AJ398" s="2612"/>
      <c r="AK398" s="2612"/>
      <c r="AL398" s="2612"/>
      <c r="AM398" s="2612"/>
      <c r="AN398" s="2612"/>
      <c r="AO398" s="2612"/>
      <c r="AP398" s="2612"/>
      <c r="AQ398" s="2612"/>
      <c r="AR398" s="2612"/>
      <c r="AS398" s="2612"/>
      <c r="AT398" s="2612"/>
      <c r="AU398" s="2613"/>
      <c r="AW398" s="381"/>
      <c r="AX398" s="381"/>
    </row>
    <row r="399" spans="1:53" ht="15.75" customHeight="1">
      <c r="A399" s="8"/>
      <c r="B399" s="616"/>
      <c r="C399" s="616"/>
      <c r="D399" s="616"/>
      <c r="E399" s="616"/>
      <c r="F399" s="616"/>
      <c r="G399" s="616"/>
      <c r="H399" s="616"/>
      <c r="I399" s="616"/>
      <c r="J399" s="616"/>
      <c r="K399" s="616"/>
      <c r="L399" s="616"/>
      <c r="M399" s="616"/>
      <c r="N399" s="616"/>
      <c r="O399" s="616"/>
      <c r="P399" s="616"/>
      <c r="Q399" s="616"/>
      <c r="R399" s="616"/>
      <c r="S399" s="616"/>
      <c r="T399" s="616"/>
      <c r="U399" s="616"/>
      <c r="V399" s="616"/>
      <c r="W399" s="616"/>
      <c r="X399" s="616"/>
      <c r="Y399" s="9"/>
      <c r="Z399" s="2614"/>
      <c r="AA399" s="2615"/>
      <c r="AB399" s="2615"/>
      <c r="AC399" s="2615"/>
      <c r="AD399" s="2615"/>
      <c r="AE399" s="2615"/>
      <c r="AF399" s="2615"/>
      <c r="AG399" s="2615"/>
      <c r="AH399" s="2615"/>
      <c r="AI399" s="2615"/>
      <c r="AJ399" s="2615"/>
      <c r="AK399" s="2615"/>
      <c r="AL399" s="2615"/>
      <c r="AM399" s="2615"/>
      <c r="AN399" s="2615"/>
      <c r="AO399" s="2615"/>
      <c r="AP399" s="2615"/>
      <c r="AQ399" s="2615"/>
      <c r="AR399" s="2615"/>
      <c r="AS399" s="2615"/>
      <c r="AT399" s="2615"/>
      <c r="AU399" s="2616"/>
      <c r="AW399" s="381"/>
      <c r="AX399" s="381"/>
    </row>
    <row r="400" spans="1:53" ht="15.75" customHeight="1">
      <c r="A400" s="8"/>
      <c r="B400" s="616"/>
      <c r="C400" s="616"/>
      <c r="D400" s="616"/>
      <c r="E400" s="616"/>
      <c r="F400" s="616"/>
      <c r="G400" s="616"/>
      <c r="H400" s="616"/>
      <c r="I400" s="616"/>
      <c r="J400" s="616"/>
      <c r="K400" s="616"/>
      <c r="L400" s="616"/>
      <c r="M400" s="616"/>
      <c r="N400" s="616"/>
      <c r="O400" s="616"/>
      <c r="P400" s="616"/>
      <c r="Q400" s="616"/>
      <c r="R400" s="616"/>
      <c r="S400" s="616"/>
      <c r="T400" s="616"/>
      <c r="U400" s="616"/>
      <c r="V400" s="616"/>
      <c r="W400" s="616"/>
      <c r="X400" s="616"/>
      <c r="Y400" s="9"/>
      <c r="Z400" s="2617"/>
      <c r="AA400" s="2618"/>
      <c r="AB400" s="2618"/>
      <c r="AC400" s="2618"/>
      <c r="AD400" s="2618"/>
      <c r="AE400" s="2618"/>
      <c r="AF400" s="2618"/>
      <c r="AG400" s="2618"/>
      <c r="AH400" s="2618"/>
      <c r="AI400" s="2618"/>
      <c r="AJ400" s="2618"/>
      <c r="AK400" s="2618"/>
      <c r="AL400" s="2618"/>
      <c r="AM400" s="2618"/>
      <c r="AN400" s="2618"/>
      <c r="AO400" s="2618"/>
      <c r="AP400" s="2618"/>
      <c r="AQ400" s="2618"/>
      <c r="AR400" s="2618"/>
      <c r="AS400" s="2618"/>
      <c r="AT400" s="2618"/>
      <c r="AU400" s="2619"/>
      <c r="AW400" s="381"/>
      <c r="AX400" s="381"/>
    </row>
    <row r="401" spans="1:50" ht="15.75" customHeight="1">
      <c r="A401" s="8"/>
      <c r="B401" s="669"/>
      <c r="C401" s="669"/>
      <c r="D401" s="669"/>
      <c r="E401" s="669"/>
      <c r="F401" s="669"/>
      <c r="G401" s="669"/>
      <c r="H401" s="669"/>
      <c r="I401" s="669"/>
      <c r="J401" s="669"/>
      <c r="K401" s="669"/>
      <c r="L401" s="669"/>
      <c r="M401" s="669"/>
      <c r="N401" s="669"/>
      <c r="O401" s="669"/>
      <c r="P401" s="669"/>
      <c r="Q401" s="669"/>
      <c r="R401" s="669"/>
      <c r="S401" s="669"/>
      <c r="T401" s="669"/>
      <c r="U401" s="669"/>
      <c r="V401" s="669"/>
      <c r="W401" s="669"/>
      <c r="X401" s="669"/>
      <c r="Y401" s="9"/>
      <c r="Z401" s="2620"/>
      <c r="AA401" s="2621"/>
      <c r="AB401" s="2621"/>
      <c r="AC401" s="2621"/>
      <c r="AD401" s="2621"/>
      <c r="AE401" s="2621"/>
      <c r="AF401" s="2621"/>
      <c r="AG401" s="2621"/>
      <c r="AH401" s="2621"/>
      <c r="AI401" s="2621"/>
      <c r="AJ401" s="2621"/>
      <c r="AK401" s="2621"/>
      <c r="AL401" s="2621"/>
      <c r="AM401" s="2621"/>
      <c r="AN401" s="2621"/>
      <c r="AO401" s="2621"/>
      <c r="AP401" s="2621"/>
      <c r="AQ401" s="2621"/>
      <c r="AR401" s="2621"/>
      <c r="AS401" s="2621"/>
      <c r="AT401" s="2621"/>
      <c r="AU401" s="2622"/>
      <c r="AW401" s="381"/>
      <c r="AX401" s="381"/>
    </row>
    <row r="402" spans="1:50" ht="15.75" customHeight="1">
      <c r="A402" s="8"/>
      <c r="B402" s="669"/>
      <c r="C402" s="669"/>
      <c r="D402" s="669"/>
      <c r="E402" s="669"/>
      <c r="F402" s="669"/>
      <c r="G402" s="669"/>
      <c r="H402" s="669"/>
      <c r="I402" s="669"/>
      <c r="J402" s="669"/>
      <c r="K402" s="669"/>
      <c r="L402" s="669"/>
      <c r="M402" s="669"/>
      <c r="N402" s="669"/>
      <c r="O402" s="669"/>
      <c r="P402" s="669"/>
      <c r="Q402" s="669"/>
      <c r="R402" s="669"/>
      <c r="S402" s="669"/>
      <c r="T402" s="669"/>
      <c r="U402" s="669"/>
      <c r="V402" s="669"/>
      <c r="W402" s="669"/>
      <c r="X402" s="669"/>
      <c r="Y402" s="9"/>
      <c r="Z402" s="2620"/>
      <c r="AA402" s="2621"/>
      <c r="AB402" s="2621"/>
      <c r="AC402" s="2621"/>
      <c r="AD402" s="2621"/>
      <c r="AE402" s="2621"/>
      <c r="AF402" s="2621"/>
      <c r="AG402" s="2621"/>
      <c r="AH402" s="2621"/>
      <c r="AI402" s="2621"/>
      <c r="AJ402" s="2621"/>
      <c r="AK402" s="2621"/>
      <c r="AL402" s="2621"/>
      <c r="AM402" s="2621"/>
      <c r="AN402" s="2621"/>
      <c r="AO402" s="2621"/>
      <c r="AP402" s="2621"/>
      <c r="AQ402" s="2621"/>
      <c r="AR402" s="2621"/>
      <c r="AS402" s="2621"/>
      <c r="AT402" s="2621"/>
      <c r="AU402" s="2622"/>
      <c r="AW402" s="381"/>
      <c r="AX402" s="381"/>
    </row>
    <row r="403" spans="1:50" ht="15.75" customHeight="1">
      <c r="A403" s="8"/>
      <c r="B403" s="669"/>
      <c r="C403" s="669"/>
      <c r="D403" s="669"/>
      <c r="E403" s="669"/>
      <c r="F403" s="669"/>
      <c r="G403" s="669"/>
      <c r="H403" s="669"/>
      <c r="I403" s="669"/>
      <c r="J403" s="669"/>
      <c r="K403" s="669"/>
      <c r="L403" s="669"/>
      <c r="M403" s="669"/>
      <c r="N403" s="669"/>
      <c r="O403" s="669"/>
      <c r="P403" s="669"/>
      <c r="Q403" s="669"/>
      <c r="R403" s="669"/>
      <c r="S403" s="669"/>
      <c r="T403" s="669"/>
      <c r="U403" s="669"/>
      <c r="V403" s="669"/>
      <c r="W403" s="669"/>
      <c r="X403" s="669"/>
      <c r="Y403" s="9"/>
      <c r="Z403" s="2620"/>
      <c r="AA403" s="2621"/>
      <c r="AB403" s="2621"/>
      <c r="AC403" s="2621"/>
      <c r="AD403" s="2621"/>
      <c r="AE403" s="2621"/>
      <c r="AF403" s="2621"/>
      <c r="AG403" s="2621"/>
      <c r="AH403" s="2621"/>
      <c r="AI403" s="2621"/>
      <c r="AJ403" s="2621"/>
      <c r="AK403" s="2621"/>
      <c r="AL403" s="2621"/>
      <c r="AM403" s="2621"/>
      <c r="AN403" s="2621"/>
      <c r="AO403" s="2621"/>
      <c r="AP403" s="2621"/>
      <c r="AQ403" s="2621"/>
      <c r="AR403" s="2621"/>
      <c r="AS403" s="2621"/>
      <c r="AT403" s="2621"/>
      <c r="AU403" s="2622"/>
      <c r="AW403" s="381"/>
      <c r="AX403" s="381"/>
    </row>
    <row r="404" spans="1:50" ht="15.75" customHeight="1">
      <c r="A404" s="8"/>
      <c r="B404" s="669"/>
      <c r="C404" s="669"/>
      <c r="D404" s="669"/>
      <c r="E404" s="669"/>
      <c r="F404" s="669"/>
      <c r="G404" s="669"/>
      <c r="H404" s="669"/>
      <c r="I404" s="669"/>
      <c r="J404" s="669"/>
      <c r="K404" s="2629" t="s">
        <v>164</v>
      </c>
      <c r="L404" s="2629"/>
      <c r="M404" s="2629"/>
      <c r="N404" s="2629"/>
      <c r="O404" s="2629"/>
      <c r="P404" s="2629"/>
      <c r="Q404" s="669"/>
      <c r="R404" s="669"/>
      <c r="S404" s="669"/>
      <c r="T404" s="669"/>
      <c r="U404" s="669"/>
      <c r="V404" s="669"/>
      <c r="W404" s="669"/>
      <c r="X404" s="669"/>
      <c r="Y404" s="9"/>
      <c r="Z404" s="2620"/>
      <c r="AA404" s="2621"/>
      <c r="AB404" s="2621"/>
      <c r="AC404" s="2621"/>
      <c r="AD404" s="2621"/>
      <c r="AE404" s="2621"/>
      <c r="AF404" s="2621"/>
      <c r="AG404" s="2621"/>
      <c r="AH404" s="2621"/>
      <c r="AI404" s="2621"/>
      <c r="AJ404" s="2621"/>
      <c r="AK404" s="2621"/>
      <c r="AL404" s="2621"/>
      <c r="AM404" s="2621"/>
      <c r="AN404" s="2621"/>
      <c r="AO404" s="2621"/>
      <c r="AP404" s="2621"/>
      <c r="AQ404" s="2621"/>
      <c r="AR404" s="2621"/>
      <c r="AS404" s="2621"/>
      <c r="AT404" s="2621"/>
      <c r="AU404" s="2622"/>
      <c r="AW404" s="381"/>
      <c r="AX404" s="381"/>
    </row>
    <row r="405" spans="1:50" ht="15.75" customHeight="1">
      <c r="A405" s="8"/>
      <c r="B405" s="669"/>
      <c r="C405" s="669"/>
      <c r="D405" s="669"/>
      <c r="E405" s="669"/>
      <c r="F405" s="669"/>
      <c r="G405" s="669"/>
      <c r="H405" s="669"/>
      <c r="I405" s="669"/>
      <c r="J405" s="669"/>
      <c r="K405" s="669"/>
      <c r="L405" s="669"/>
      <c r="M405" s="669"/>
      <c r="N405" s="669"/>
      <c r="O405" s="669"/>
      <c r="P405" s="669"/>
      <c r="Q405" s="669"/>
      <c r="R405" s="669"/>
      <c r="S405" s="669"/>
      <c r="T405" s="669"/>
      <c r="U405" s="669"/>
      <c r="V405" s="669"/>
      <c r="W405" s="669"/>
      <c r="X405" s="669"/>
      <c r="Y405" s="9"/>
      <c r="Z405" s="2620"/>
      <c r="AA405" s="2621"/>
      <c r="AB405" s="2621"/>
      <c r="AC405" s="2621"/>
      <c r="AD405" s="2621"/>
      <c r="AE405" s="2621"/>
      <c r="AF405" s="2621"/>
      <c r="AG405" s="2621"/>
      <c r="AH405" s="2621"/>
      <c r="AI405" s="2621"/>
      <c r="AJ405" s="2621"/>
      <c r="AK405" s="2621"/>
      <c r="AL405" s="2621"/>
      <c r="AM405" s="2621"/>
      <c r="AN405" s="2621"/>
      <c r="AO405" s="2621"/>
      <c r="AP405" s="2621"/>
      <c r="AQ405" s="2621"/>
      <c r="AR405" s="2621"/>
      <c r="AS405" s="2621"/>
      <c r="AT405" s="2621"/>
      <c r="AU405" s="2622"/>
      <c r="AW405" s="381"/>
      <c r="AX405" s="381"/>
    </row>
    <row r="406" spans="1:50" ht="15.75" customHeight="1">
      <c r="A406" s="8"/>
      <c r="B406" s="669"/>
      <c r="C406" s="669"/>
      <c r="D406" s="669"/>
      <c r="E406" s="669"/>
      <c r="F406" s="669"/>
      <c r="G406" s="669"/>
      <c r="H406" s="669"/>
      <c r="I406" s="669"/>
      <c r="J406" s="669"/>
      <c r="K406" s="669"/>
      <c r="L406" s="669"/>
      <c r="M406" s="669"/>
      <c r="N406" s="669"/>
      <c r="O406" s="669"/>
      <c r="P406" s="669"/>
      <c r="Q406" s="669"/>
      <c r="R406" s="669"/>
      <c r="S406" s="669"/>
      <c r="T406" s="669"/>
      <c r="U406" s="669"/>
      <c r="V406" s="669"/>
      <c r="W406" s="669"/>
      <c r="X406" s="669"/>
      <c r="Y406" s="9"/>
      <c r="Z406" s="2620"/>
      <c r="AA406" s="2621"/>
      <c r="AB406" s="2621"/>
      <c r="AC406" s="2621"/>
      <c r="AD406" s="2621"/>
      <c r="AE406" s="2621"/>
      <c r="AF406" s="2621"/>
      <c r="AG406" s="2621"/>
      <c r="AH406" s="2621"/>
      <c r="AI406" s="2621"/>
      <c r="AJ406" s="2621"/>
      <c r="AK406" s="2621"/>
      <c r="AL406" s="2621"/>
      <c r="AM406" s="2621"/>
      <c r="AN406" s="2621"/>
      <c r="AO406" s="2621"/>
      <c r="AP406" s="2621"/>
      <c r="AQ406" s="2621"/>
      <c r="AR406" s="2621"/>
      <c r="AS406" s="2621"/>
      <c r="AT406" s="2621"/>
      <c r="AU406" s="2622"/>
      <c r="AW406" s="381"/>
      <c r="AX406" s="381"/>
    </row>
    <row r="407" spans="1:50" ht="15.75" customHeight="1">
      <c r="A407" s="8"/>
      <c r="B407" s="669"/>
      <c r="C407" s="669"/>
      <c r="D407" s="669"/>
      <c r="E407" s="669"/>
      <c r="F407" s="669"/>
      <c r="G407" s="669"/>
      <c r="H407" s="669"/>
      <c r="I407" s="669"/>
      <c r="J407" s="669"/>
      <c r="K407" s="669"/>
      <c r="L407" s="669"/>
      <c r="M407" s="669"/>
      <c r="N407" s="669"/>
      <c r="O407" s="669"/>
      <c r="P407" s="669"/>
      <c r="Q407" s="669"/>
      <c r="R407" s="669"/>
      <c r="S407" s="669"/>
      <c r="T407" s="669"/>
      <c r="U407" s="669"/>
      <c r="V407" s="669"/>
      <c r="W407" s="669"/>
      <c r="X407" s="669"/>
      <c r="Y407" s="9"/>
      <c r="Z407" s="2620"/>
      <c r="AA407" s="2621"/>
      <c r="AB407" s="2621"/>
      <c r="AC407" s="2621"/>
      <c r="AD407" s="2621"/>
      <c r="AE407" s="2621"/>
      <c r="AF407" s="2621"/>
      <c r="AG407" s="2621"/>
      <c r="AH407" s="2621"/>
      <c r="AI407" s="2621"/>
      <c r="AJ407" s="2621"/>
      <c r="AK407" s="2621"/>
      <c r="AL407" s="2621"/>
      <c r="AM407" s="2621"/>
      <c r="AN407" s="2621"/>
      <c r="AO407" s="2621"/>
      <c r="AP407" s="2621"/>
      <c r="AQ407" s="2621"/>
      <c r="AR407" s="2621"/>
      <c r="AS407" s="2621"/>
      <c r="AT407" s="2621"/>
      <c r="AU407" s="2622"/>
      <c r="AW407" s="381"/>
      <c r="AX407" s="381"/>
    </row>
    <row r="408" spans="1:50" ht="15.75" customHeight="1">
      <c r="A408" s="8"/>
      <c r="B408" s="669"/>
      <c r="C408" s="669"/>
      <c r="D408" s="669"/>
      <c r="E408" s="669"/>
      <c r="F408" s="669"/>
      <c r="G408" s="669"/>
      <c r="H408" s="669"/>
      <c r="I408" s="669"/>
      <c r="J408" s="669"/>
      <c r="K408" s="669"/>
      <c r="L408" s="669"/>
      <c r="M408" s="669"/>
      <c r="N408" s="669"/>
      <c r="O408" s="669"/>
      <c r="P408" s="669"/>
      <c r="Q408" s="669"/>
      <c r="R408" s="669"/>
      <c r="S408" s="669"/>
      <c r="T408" s="669"/>
      <c r="U408" s="669"/>
      <c r="V408" s="669"/>
      <c r="W408" s="669"/>
      <c r="X408" s="669"/>
      <c r="Y408" s="9"/>
      <c r="Z408" s="2620"/>
      <c r="AA408" s="2621"/>
      <c r="AB408" s="2621"/>
      <c r="AC408" s="2621"/>
      <c r="AD408" s="2621"/>
      <c r="AE408" s="2621"/>
      <c r="AF408" s="2621"/>
      <c r="AG408" s="2621"/>
      <c r="AH408" s="2621"/>
      <c r="AI408" s="2621"/>
      <c r="AJ408" s="2621"/>
      <c r="AK408" s="2621"/>
      <c r="AL408" s="2621"/>
      <c r="AM408" s="2621"/>
      <c r="AN408" s="2621"/>
      <c r="AO408" s="2621"/>
      <c r="AP408" s="2621"/>
      <c r="AQ408" s="2621"/>
      <c r="AR408" s="2621"/>
      <c r="AS408" s="2621"/>
      <c r="AT408" s="2621"/>
      <c r="AU408" s="2622"/>
      <c r="AW408" s="381"/>
      <c r="AX408" s="381"/>
    </row>
    <row r="409" spans="1:50" ht="15.75" customHeight="1">
      <c r="A409" s="8"/>
      <c r="B409" s="669"/>
      <c r="C409" s="669"/>
      <c r="D409" s="669"/>
      <c r="E409" s="669"/>
      <c r="F409" s="669"/>
      <c r="G409" s="669"/>
      <c r="H409" s="669"/>
      <c r="I409" s="669"/>
      <c r="J409" s="669"/>
      <c r="K409" s="669"/>
      <c r="L409" s="669"/>
      <c r="M409" s="669"/>
      <c r="N409" s="669"/>
      <c r="O409" s="669"/>
      <c r="P409" s="669"/>
      <c r="Q409" s="669"/>
      <c r="R409" s="669"/>
      <c r="S409" s="669"/>
      <c r="T409" s="669"/>
      <c r="U409" s="669"/>
      <c r="V409" s="669"/>
      <c r="W409" s="669"/>
      <c r="X409" s="669"/>
      <c r="Y409" s="9"/>
      <c r="Z409" s="2620"/>
      <c r="AA409" s="2621"/>
      <c r="AB409" s="2621"/>
      <c r="AC409" s="2621"/>
      <c r="AD409" s="2621"/>
      <c r="AE409" s="2621"/>
      <c r="AF409" s="2621"/>
      <c r="AG409" s="2621"/>
      <c r="AH409" s="2621"/>
      <c r="AI409" s="2621"/>
      <c r="AJ409" s="2621"/>
      <c r="AK409" s="2621"/>
      <c r="AL409" s="2621"/>
      <c r="AM409" s="2621"/>
      <c r="AN409" s="2621"/>
      <c r="AO409" s="2621"/>
      <c r="AP409" s="2621"/>
      <c r="AQ409" s="2621"/>
      <c r="AR409" s="2621"/>
      <c r="AS409" s="2621"/>
      <c r="AT409" s="2621"/>
      <c r="AU409" s="2622"/>
      <c r="AW409" s="381"/>
      <c r="AX409" s="381"/>
    </row>
    <row r="410" spans="1:50" ht="15.75" customHeight="1">
      <c r="A410" s="8"/>
      <c r="B410" s="669"/>
      <c r="C410" s="669"/>
      <c r="D410" s="669"/>
      <c r="E410" s="669"/>
      <c r="F410" s="669"/>
      <c r="G410" s="669"/>
      <c r="H410" s="669"/>
      <c r="I410" s="669"/>
      <c r="J410" s="669"/>
      <c r="K410" s="669"/>
      <c r="L410" s="669"/>
      <c r="M410" s="669"/>
      <c r="N410" s="669"/>
      <c r="O410" s="669"/>
      <c r="P410" s="669"/>
      <c r="Q410" s="669"/>
      <c r="R410" s="669"/>
      <c r="S410" s="669"/>
      <c r="T410" s="669"/>
      <c r="U410" s="669"/>
      <c r="V410" s="669"/>
      <c r="W410" s="669"/>
      <c r="X410" s="669"/>
      <c r="Y410" s="9"/>
      <c r="Z410" s="2620"/>
      <c r="AA410" s="2621"/>
      <c r="AB410" s="2621"/>
      <c r="AC410" s="2621"/>
      <c r="AD410" s="2621"/>
      <c r="AE410" s="2621"/>
      <c r="AF410" s="2621"/>
      <c r="AG410" s="2621"/>
      <c r="AH410" s="2621"/>
      <c r="AI410" s="2621"/>
      <c r="AJ410" s="2621"/>
      <c r="AK410" s="2621"/>
      <c r="AL410" s="2621"/>
      <c r="AM410" s="2621"/>
      <c r="AN410" s="2621"/>
      <c r="AO410" s="2621"/>
      <c r="AP410" s="2621"/>
      <c r="AQ410" s="2621"/>
      <c r="AR410" s="2621"/>
      <c r="AS410" s="2621"/>
      <c r="AT410" s="2621"/>
      <c r="AU410" s="2622"/>
      <c r="AW410" s="381"/>
      <c r="AX410" s="381"/>
    </row>
    <row r="411" spans="1:50" ht="15.75" customHeight="1">
      <c r="A411" s="8"/>
      <c r="B411" s="669"/>
      <c r="C411" s="669"/>
      <c r="D411" s="669"/>
      <c r="E411" s="669"/>
      <c r="F411" s="669"/>
      <c r="G411" s="669"/>
      <c r="H411" s="669"/>
      <c r="I411" s="669"/>
      <c r="J411" s="669"/>
      <c r="K411" s="669"/>
      <c r="L411" s="669"/>
      <c r="M411" s="669"/>
      <c r="N411" s="669"/>
      <c r="O411" s="669"/>
      <c r="P411" s="669"/>
      <c r="Q411" s="669"/>
      <c r="R411" s="669"/>
      <c r="S411" s="669"/>
      <c r="T411" s="669"/>
      <c r="U411" s="669"/>
      <c r="V411" s="669"/>
      <c r="W411" s="669"/>
      <c r="X411" s="669"/>
      <c r="Y411" s="9"/>
      <c r="Z411" s="2620"/>
      <c r="AA411" s="2621"/>
      <c r="AB411" s="2621"/>
      <c r="AC411" s="2621"/>
      <c r="AD411" s="2621"/>
      <c r="AE411" s="2621"/>
      <c r="AF411" s="2621"/>
      <c r="AG411" s="2621"/>
      <c r="AH411" s="2621"/>
      <c r="AI411" s="2621"/>
      <c r="AJ411" s="2621"/>
      <c r="AK411" s="2621"/>
      <c r="AL411" s="2621"/>
      <c r="AM411" s="2621"/>
      <c r="AN411" s="2621"/>
      <c r="AO411" s="2621"/>
      <c r="AP411" s="2621"/>
      <c r="AQ411" s="2621"/>
      <c r="AR411" s="2621"/>
      <c r="AS411" s="2621"/>
      <c r="AT411" s="2621"/>
      <c r="AU411" s="2622"/>
      <c r="AW411" s="381"/>
      <c r="AX411" s="381"/>
    </row>
    <row r="412" spans="1:50" ht="15.75" customHeight="1">
      <c r="A412" s="8"/>
      <c r="B412" s="669"/>
      <c r="C412" s="669"/>
      <c r="D412" s="669"/>
      <c r="E412" s="669"/>
      <c r="F412" s="669"/>
      <c r="G412" s="669"/>
      <c r="H412" s="669"/>
      <c r="I412" s="669"/>
      <c r="J412" s="669"/>
      <c r="K412" s="669"/>
      <c r="L412" s="669"/>
      <c r="M412" s="669"/>
      <c r="N412" s="669"/>
      <c r="O412" s="669"/>
      <c r="P412" s="669"/>
      <c r="Q412" s="669"/>
      <c r="R412" s="669"/>
      <c r="S412" s="669"/>
      <c r="T412" s="669"/>
      <c r="U412" s="669"/>
      <c r="V412" s="669"/>
      <c r="W412" s="669"/>
      <c r="X412" s="669"/>
      <c r="Y412" s="9"/>
      <c r="Z412" s="2620"/>
      <c r="AA412" s="2621"/>
      <c r="AB412" s="2621"/>
      <c r="AC412" s="2621"/>
      <c r="AD412" s="2621"/>
      <c r="AE412" s="2621"/>
      <c r="AF412" s="2621"/>
      <c r="AG412" s="2621"/>
      <c r="AH412" s="2621"/>
      <c r="AI412" s="2621"/>
      <c r="AJ412" s="2621"/>
      <c r="AK412" s="2621"/>
      <c r="AL412" s="2621"/>
      <c r="AM412" s="2621"/>
      <c r="AN412" s="2621"/>
      <c r="AO412" s="2621"/>
      <c r="AP412" s="2621"/>
      <c r="AQ412" s="2621"/>
      <c r="AR412" s="2621"/>
      <c r="AS412" s="2621"/>
      <c r="AT412" s="2621"/>
      <c r="AU412" s="2622"/>
      <c r="AW412" s="381"/>
      <c r="AX412" s="381"/>
    </row>
    <row r="413" spans="1:50" ht="15.75" customHeight="1">
      <c r="A413" s="12"/>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1"/>
      <c r="Z413" s="2623"/>
      <c r="AA413" s="2624"/>
      <c r="AB413" s="2624"/>
      <c r="AC413" s="2624"/>
      <c r="AD413" s="2624"/>
      <c r="AE413" s="2624"/>
      <c r="AF413" s="2624"/>
      <c r="AG413" s="2624"/>
      <c r="AH413" s="2624"/>
      <c r="AI413" s="2624"/>
      <c r="AJ413" s="2624"/>
      <c r="AK413" s="2624"/>
      <c r="AL413" s="2624"/>
      <c r="AM413" s="2624"/>
      <c r="AN413" s="2624"/>
      <c r="AO413" s="2624"/>
      <c r="AP413" s="2624"/>
      <c r="AQ413" s="2624"/>
      <c r="AR413" s="2624"/>
      <c r="AS413" s="2624"/>
      <c r="AT413" s="2624"/>
      <c r="AU413" s="2625"/>
      <c r="AW413" s="381"/>
      <c r="AX413" s="381"/>
    </row>
    <row r="414" spans="1:50" ht="12.75" customHeight="1">
      <c r="AW414" s="381"/>
      <c r="AX414" s="381"/>
    </row>
    <row r="415" spans="1:50" ht="12.75" customHeight="1">
      <c r="A415" s="2643" t="s">
        <v>157</v>
      </c>
      <c r="B415" s="2643"/>
      <c r="C415" s="2643"/>
      <c r="D415" s="2643"/>
      <c r="AU415" s="618"/>
      <c r="AW415" s="381"/>
      <c r="AX415" s="381"/>
    </row>
    <row r="416" spans="1:50" ht="12.75" customHeight="1">
      <c r="B416" s="619" t="s">
        <v>158</v>
      </c>
      <c r="C416" s="2609" t="s">
        <v>176</v>
      </c>
      <c r="D416" s="2609"/>
      <c r="E416" s="2609"/>
      <c r="F416" s="2609"/>
      <c r="G416" s="2609"/>
      <c r="H416" s="2609"/>
      <c r="I416" s="2609"/>
      <c r="J416" s="2609"/>
      <c r="K416" s="2609"/>
      <c r="L416" s="2609"/>
      <c r="M416" s="2609"/>
      <c r="N416" s="2609"/>
      <c r="O416" s="2609"/>
      <c r="P416" s="2609"/>
      <c r="Q416" s="2609"/>
      <c r="R416" s="2609"/>
      <c r="S416" s="2609"/>
      <c r="T416" s="2609"/>
      <c r="U416" s="2609"/>
      <c r="V416" s="2609"/>
      <c r="W416" s="2609"/>
      <c r="X416" s="2609"/>
      <c r="Y416" s="2609"/>
      <c r="Z416" s="2609"/>
      <c r="AA416" s="2609"/>
      <c r="AB416" s="2609"/>
      <c r="AC416" s="2609"/>
      <c r="AD416" s="2609"/>
      <c r="AE416" s="2609"/>
      <c r="AF416" s="2609"/>
      <c r="AG416" s="2609"/>
      <c r="AH416" s="2609"/>
      <c r="AI416" s="2609"/>
      <c r="AJ416" s="2609"/>
      <c r="AK416" s="2609"/>
      <c r="AL416" s="2609"/>
      <c r="AM416" s="2609"/>
      <c r="AN416" s="2609"/>
      <c r="AO416" s="2609"/>
      <c r="AP416" s="2609"/>
      <c r="AQ416" s="2609"/>
      <c r="AR416" s="2609"/>
      <c r="AS416" s="2609"/>
      <c r="AT416" s="2609"/>
      <c r="AU416" s="2609"/>
      <c r="AW416" s="381"/>
      <c r="AX416" s="381"/>
    </row>
    <row r="417" spans="1:53" ht="12.75" customHeight="1">
      <c r="B417" s="619"/>
      <c r="C417" s="2610" t="s">
        <v>177</v>
      </c>
      <c r="D417" s="2610"/>
      <c r="E417" s="2610"/>
      <c r="F417" s="2610"/>
      <c r="G417" s="2610"/>
      <c r="H417" s="2610"/>
      <c r="I417" s="2610"/>
      <c r="J417" s="2610"/>
      <c r="K417" s="2610"/>
      <c r="L417" s="2610"/>
      <c r="M417" s="2610"/>
      <c r="N417" s="2610"/>
      <c r="O417" s="2610"/>
      <c r="P417" s="2610"/>
      <c r="Q417" s="2610"/>
      <c r="R417" s="2610"/>
      <c r="S417" s="2610"/>
      <c r="T417" s="2610"/>
      <c r="U417" s="2610"/>
      <c r="V417" s="2610"/>
      <c r="W417" s="2610"/>
      <c r="X417" s="2610"/>
      <c r="Y417" s="2610"/>
      <c r="Z417" s="2610"/>
      <c r="AA417" s="2610"/>
      <c r="AB417" s="2610"/>
      <c r="AC417" s="2610"/>
      <c r="AD417" s="2610"/>
      <c r="AE417" s="2610"/>
      <c r="AF417" s="2610"/>
      <c r="AG417" s="2610"/>
      <c r="AH417" s="2610"/>
      <c r="AI417" s="2610"/>
      <c r="AJ417" s="2610"/>
      <c r="AK417" s="2610"/>
      <c r="AL417" s="2610"/>
      <c r="AM417" s="2610"/>
      <c r="AN417" s="2610"/>
      <c r="AO417" s="2610"/>
      <c r="AP417" s="2610"/>
      <c r="AQ417" s="2610"/>
      <c r="AR417" s="2610"/>
      <c r="AS417" s="2610"/>
      <c r="AT417" s="2610"/>
      <c r="AU417" s="2610"/>
      <c r="AW417" s="381"/>
      <c r="AX417" s="381"/>
    </row>
    <row r="418" spans="1:53" ht="12.75" customHeight="1">
      <c r="B418" s="619"/>
      <c r="C418" s="2610" t="s">
        <v>178</v>
      </c>
      <c r="D418" s="2610"/>
      <c r="E418" s="2610"/>
      <c r="F418" s="2610"/>
      <c r="G418" s="2610"/>
      <c r="H418" s="2610"/>
      <c r="I418" s="2610"/>
      <c r="J418" s="2610"/>
      <c r="K418" s="2610"/>
      <c r="L418" s="2610"/>
      <c r="M418" s="2610"/>
      <c r="N418" s="2610"/>
      <c r="O418" s="2610"/>
      <c r="P418" s="2610"/>
      <c r="Q418" s="2610"/>
      <c r="R418" s="2610"/>
      <c r="S418" s="2610"/>
      <c r="T418" s="2610"/>
      <c r="U418" s="2610"/>
      <c r="V418" s="2610"/>
      <c r="W418" s="2610"/>
      <c r="X418" s="2610"/>
      <c r="Y418" s="2610"/>
      <c r="Z418" s="2610"/>
      <c r="AA418" s="2610"/>
      <c r="AB418" s="2610"/>
      <c r="AC418" s="2610"/>
      <c r="AD418" s="2610"/>
      <c r="AE418" s="2610"/>
      <c r="AF418" s="2610"/>
      <c r="AG418" s="2610"/>
      <c r="AH418" s="2610"/>
      <c r="AI418" s="2610"/>
      <c r="AJ418" s="2610"/>
      <c r="AK418" s="2610"/>
      <c r="AL418" s="2610"/>
      <c r="AM418" s="2610"/>
      <c r="AN418" s="2610"/>
      <c r="AO418" s="2610"/>
      <c r="AP418" s="2610"/>
      <c r="AQ418" s="2610"/>
      <c r="AR418" s="2610"/>
      <c r="AS418" s="2610"/>
      <c r="AT418" s="2610"/>
      <c r="AU418" s="2610"/>
      <c r="AW418" s="381"/>
      <c r="AX418" s="381"/>
    </row>
    <row r="419" spans="1:53" ht="12.75" customHeight="1">
      <c r="B419" s="619" t="s">
        <v>165</v>
      </c>
      <c r="C419" s="2610" t="s">
        <v>166</v>
      </c>
      <c r="D419" s="2610"/>
      <c r="E419" s="2610"/>
      <c r="F419" s="2610"/>
      <c r="G419" s="2610"/>
      <c r="H419" s="2610"/>
      <c r="I419" s="2610"/>
      <c r="J419" s="2610"/>
      <c r="K419" s="2610"/>
      <c r="L419" s="2610"/>
      <c r="M419" s="2610"/>
      <c r="N419" s="2610"/>
      <c r="O419" s="2610"/>
      <c r="P419" s="2610"/>
      <c r="Q419" s="2610"/>
      <c r="R419" s="2610"/>
      <c r="S419" s="2610"/>
      <c r="T419" s="2610"/>
      <c r="U419" s="2610"/>
      <c r="V419" s="2610"/>
      <c r="W419" s="2610"/>
      <c r="X419" s="2610"/>
      <c r="Y419" s="2610"/>
      <c r="Z419" s="2610"/>
      <c r="AA419" s="2610"/>
      <c r="AB419" s="2610"/>
      <c r="AC419" s="2610"/>
      <c r="AD419" s="2610"/>
      <c r="AE419" s="2610"/>
      <c r="AF419" s="2610"/>
      <c r="AG419" s="2610"/>
      <c r="AH419" s="2610"/>
      <c r="AI419" s="2610"/>
      <c r="AJ419" s="2610"/>
      <c r="AK419" s="2610"/>
      <c r="AL419" s="2610"/>
      <c r="AM419" s="2610"/>
      <c r="AN419" s="2610"/>
      <c r="AO419" s="2610"/>
      <c r="AP419" s="2610"/>
      <c r="AQ419" s="2610"/>
      <c r="AR419" s="2610"/>
      <c r="AS419" s="2610"/>
      <c r="AT419" s="2610"/>
      <c r="AU419" s="2610"/>
      <c r="AW419" s="381"/>
      <c r="AX419" s="381"/>
    </row>
    <row r="420" spans="1:53" ht="12.75" customHeight="1">
      <c r="B420" s="619" t="s">
        <v>159</v>
      </c>
      <c r="C420" s="2610" t="s">
        <v>0</v>
      </c>
      <c r="D420" s="2610"/>
      <c r="E420" s="2610"/>
      <c r="F420" s="2610"/>
      <c r="G420" s="2610"/>
      <c r="H420" s="2610"/>
      <c r="I420" s="2610"/>
      <c r="J420" s="2610"/>
      <c r="K420" s="2610"/>
      <c r="L420" s="2610"/>
      <c r="M420" s="2610"/>
      <c r="N420" s="2610"/>
      <c r="O420" s="2610"/>
      <c r="P420" s="2610"/>
      <c r="Q420" s="2610"/>
      <c r="R420" s="2610"/>
      <c r="S420" s="2610"/>
      <c r="T420" s="2610"/>
      <c r="U420" s="2610"/>
      <c r="V420" s="2610"/>
      <c r="W420" s="2610"/>
      <c r="X420" s="2610"/>
      <c r="Y420" s="2610"/>
      <c r="Z420" s="2610"/>
      <c r="AA420" s="2610"/>
      <c r="AB420" s="2610"/>
      <c r="AC420" s="2610"/>
      <c r="AD420" s="2610"/>
      <c r="AE420" s="2610"/>
      <c r="AF420" s="2610"/>
      <c r="AG420" s="2610"/>
      <c r="AH420" s="2610"/>
      <c r="AI420" s="2610"/>
      <c r="AJ420" s="2610"/>
      <c r="AK420" s="2610"/>
      <c r="AL420" s="2610"/>
      <c r="AM420" s="2610"/>
      <c r="AN420" s="2610"/>
      <c r="AO420" s="2610"/>
      <c r="AP420" s="2610"/>
      <c r="AQ420" s="2610"/>
      <c r="AR420" s="2610"/>
      <c r="AS420" s="2610"/>
      <c r="AT420" s="2610"/>
      <c r="AU420" s="2610"/>
      <c r="AW420" s="381"/>
      <c r="AX420" s="381"/>
    </row>
    <row r="421" spans="1:53" ht="12.75" customHeight="1">
      <c r="B421" s="619" t="s">
        <v>167</v>
      </c>
      <c r="C421" s="2610" t="s">
        <v>179</v>
      </c>
      <c r="D421" s="2610"/>
      <c r="E421" s="2610"/>
      <c r="F421" s="2610"/>
      <c r="G421" s="2610"/>
      <c r="H421" s="2610"/>
      <c r="I421" s="2610"/>
      <c r="J421" s="2610"/>
      <c r="K421" s="2610"/>
      <c r="L421" s="2610"/>
      <c r="M421" s="2610"/>
      <c r="N421" s="2610"/>
      <c r="O421" s="2610"/>
      <c r="P421" s="2610"/>
      <c r="Q421" s="2610"/>
      <c r="R421" s="2610"/>
      <c r="S421" s="2610"/>
      <c r="T421" s="2610"/>
      <c r="U421" s="2610"/>
      <c r="V421" s="2610"/>
      <c r="W421" s="2610"/>
      <c r="X421" s="2610"/>
      <c r="Y421" s="2610"/>
      <c r="Z421" s="2610"/>
      <c r="AA421" s="2610"/>
      <c r="AB421" s="2610"/>
      <c r="AC421" s="2610"/>
      <c r="AD421" s="2610"/>
      <c r="AE421" s="2610"/>
      <c r="AF421" s="2610"/>
      <c r="AG421" s="2610"/>
      <c r="AH421" s="2610"/>
      <c r="AI421" s="2610"/>
      <c r="AJ421" s="2610"/>
      <c r="AK421" s="2610"/>
      <c r="AL421" s="2610"/>
      <c r="AM421" s="2610"/>
      <c r="AN421" s="2610"/>
      <c r="AO421" s="2610"/>
      <c r="AP421" s="2610"/>
      <c r="AQ421" s="2610"/>
      <c r="AR421" s="2610"/>
      <c r="AS421" s="2610"/>
      <c r="AT421" s="2610"/>
      <c r="AU421" s="2610"/>
      <c r="AW421" s="381"/>
      <c r="AX421" s="381"/>
    </row>
    <row r="422" spans="1:53" ht="12.75" customHeight="1">
      <c r="C422" s="2610" t="s">
        <v>180</v>
      </c>
      <c r="D422" s="2610"/>
      <c r="E422" s="2610"/>
      <c r="F422" s="2610"/>
      <c r="G422" s="2610"/>
      <c r="H422" s="2610"/>
      <c r="I422" s="2610"/>
      <c r="J422" s="2610"/>
      <c r="K422" s="2610"/>
      <c r="L422" s="2610"/>
      <c r="M422" s="2610"/>
      <c r="N422" s="2610"/>
      <c r="O422" s="2610"/>
      <c r="P422" s="2610"/>
      <c r="Q422" s="2610"/>
      <c r="R422" s="2610"/>
      <c r="S422" s="2610"/>
      <c r="T422" s="2610"/>
      <c r="U422" s="2610"/>
      <c r="V422" s="2610"/>
      <c r="W422" s="2610"/>
      <c r="X422" s="2610"/>
      <c r="Y422" s="2610"/>
      <c r="Z422" s="2610"/>
      <c r="AA422" s="2610"/>
      <c r="AB422" s="2610"/>
      <c r="AC422" s="2610"/>
      <c r="AD422" s="2610"/>
      <c r="AE422" s="2610"/>
      <c r="AF422" s="2610"/>
      <c r="AG422" s="2610"/>
      <c r="AH422" s="2610"/>
      <c r="AI422" s="2610"/>
      <c r="AJ422" s="2610"/>
      <c r="AK422" s="2610"/>
      <c r="AL422" s="2610"/>
      <c r="AM422" s="2610"/>
      <c r="AN422" s="2610"/>
      <c r="AO422" s="2610"/>
      <c r="AP422" s="2610"/>
      <c r="AQ422" s="2610"/>
      <c r="AR422" s="2610"/>
      <c r="AS422" s="2610"/>
      <c r="AT422" s="2610"/>
      <c r="AU422" s="2610"/>
      <c r="AW422" s="381"/>
      <c r="AX422" s="381"/>
    </row>
    <row r="423" spans="1:53" ht="12.75" customHeight="1">
      <c r="B423" s="619" t="s">
        <v>1</v>
      </c>
      <c r="C423" s="2610" t="s">
        <v>2</v>
      </c>
      <c r="D423" s="2610"/>
      <c r="E423" s="2610"/>
      <c r="F423" s="2610"/>
      <c r="G423" s="2610"/>
      <c r="H423" s="2610"/>
      <c r="I423" s="2610"/>
      <c r="J423" s="2610"/>
      <c r="K423" s="2610"/>
      <c r="L423" s="2610"/>
      <c r="M423" s="2610"/>
      <c r="N423" s="2610"/>
      <c r="O423" s="2610"/>
      <c r="P423" s="2610"/>
      <c r="Q423" s="2610"/>
      <c r="R423" s="2610"/>
      <c r="S423" s="2610"/>
      <c r="T423" s="2610"/>
      <c r="U423" s="2610"/>
      <c r="V423" s="2610"/>
      <c r="W423" s="2610"/>
      <c r="X423" s="2610"/>
      <c r="Y423" s="2610"/>
      <c r="Z423" s="2610"/>
      <c r="AA423" s="2610"/>
      <c r="AB423" s="2610"/>
      <c r="AC423" s="2610"/>
      <c r="AD423" s="2610"/>
      <c r="AE423" s="2610"/>
      <c r="AF423" s="2610"/>
      <c r="AG423" s="2610"/>
      <c r="AH423" s="2610"/>
      <c r="AI423" s="2610"/>
      <c r="AJ423" s="2610"/>
      <c r="AK423" s="2610"/>
      <c r="AL423" s="2610"/>
      <c r="AM423" s="2610"/>
      <c r="AN423" s="2610"/>
      <c r="AO423" s="2610"/>
      <c r="AP423" s="2610"/>
      <c r="AQ423" s="2610"/>
      <c r="AR423" s="2610"/>
      <c r="AS423" s="2610"/>
      <c r="AT423" s="2610"/>
      <c r="AU423" s="2610"/>
      <c r="AW423" s="381"/>
      <c r="AX423" s="381"/>
    </row>
    <row r="424" spans="1:53" ht="12.75" customHeight="1">
      <c r="AG424" s="618"/>
      <c r="AH424" s="618"/>
      <c r="AI424" s="618"/>
      <c r="AJ424" s="618"/>
      <c r="AK424" s="618"/>
      <c r="AL424" s="618"/>
      <c r="AM424" s="618"/>
      <c r="AN424" s="618"/>
      <c r="AO424" s="618"/>
      <c r="AP424" s="618"/>
      <c r="AQ424" s="618"/>
      <c r="AR424" s="618"/>
      <c r="AS424" s="618"/>
      <c r="AT424" s="618"/>
      <c r="AW424" s="381"/>
      <c r="AX424" s="381"/>
    </row>
    <row r="425" spans="1:53" ht="12.75" customHeight="1">
      <c r="AW425" s="381"/>
      <c r="AX425" s="381"/>
    </row>
    <row r="426" spans="1:53" ht="12.75" customHeight="1">
      <c r="A426" s="617" t="s">
        <v>18</v>
      </c>
      <c r="B426" s="617" t="s">
        <v>160</v>
      </c>
      <c r="C426" s="617">
        <v>2</v>
      </c>
      <c r="D426" s="617" t="s">
        <v>5</v>
      </c>
      <c r="E426" s="617" t="s">
        <v>6</v>
      </c>
      <c r="F426" s="617"/>
      <c r="G426" s="617" t="s">
        <v>25</v>
      </c>
      <c r="H426" s="617" t="s">
        <v>182</v>
      </c>
      <c r="I426" s="617">
        <v>4</v>
      </c>
      <c r="J426" s="617" t="s">
        <v>22</v>
      </c>
      <c r="AO426" s="758" t="str">
        <f>$AO$7</f>
        <v>Kyoto City(R4.11) ver112</v>
      </c>
      <c r="AP426" s="705" t="str">
        <f>IF('1_入力シート【基本情報】'!$AB$7="","",'1_入力シート【基本情報】'!$AB$7)</f>
        <v/>
      </c>
      <c r="AQ426" s="703" t="str">
        <f>IF('1_入力シート【基本情報】'!$AK$7="","",'1_入力シート【基本情報】'!$AK$7)</f>
        <v/>
      </c>
      <c r="AR426" s="2606" t="str">
        <f>IF('1_入力シート【基本情報】'!$AT$7="","",TEXT('1_入力シート【基本情報】'!$AT$7,"0000"))</f>
        <v/>
      </c>
      <c r="AS426" s="2607"/>
      <c r="AT426" s="2607"/>
      <c r="AU426" s="2608"/>
      <c r="AW426" s="381"/>
      <c r="AX426" s="381"/>
    </row>
    <row r="427" spans="1:53" ht="12.75" customHeight="1">
      <c r="U427" s="2665" t="s">
        <v>181</v>
      </c>
      <c r="V427" s="2665"/>
      <c r="W427" s="2665"/>
      <c r="X427" s="2665"/>
      <c r="Y427" s="2665"/>
      <c r="Z427" s="2665"/>
      <c r="AW427" s="381"/>
      <c r="AX427" s="381"/>
    </row>
    <row r="428" spans="1:53" ht="12.75" customHeight="1">
      <c r="AW428" s="381"/>
      <c r="AX428" s="381"/>
    </row>
    <row r="429" spans="1:53" ht="15.75" customHeight="1">
      <c r="A429" s="2634" t="s">
        <v>161</v>
      </c>
      <c r="B429" s="2635"/>
      <c r="C429" s="2636"/>
      <c r="D429" s="2653" t="s">
        <v>162</v>
      </c>
      <c r="E429" s="2654"/>
      <c r="F429" s="2654"/>
      <c r="G429" s="2654"/>
      <c r="H429" s="2654"/>
      <c r="I429" s="2654"/>
      <c r="J429" s="2655"/>
      <c r="K429" s="621"/>
      <c r="L429" s="622"/>
      <c r="M429" s="622"/>
      <c r="N429" s="622"/>
      <c r="O429" s="622"/>
      <c r="P429" s="622"/>
      <c r="Q429" s="622"/>
      <c r="R429" s="622"/>
      <c r="S429" s="623" t="s">
        <v>7</v>
      </c>
      <c r="T429" s="623" t="s">
        <v>8</v>
      </c>
      <c r="U429" s="623" t="s">
        <v>9</v>
      </c>
      <c r="V429" s="623" t="s">
        <v>163</v>
      </c>
      <c r="W429" s="623"/>
      <c r="X429" s="623"/>
      <c r="Y429" s="623"/>
      <c r="Z429" s="623"/>
      <c r="AA429" s="623"/>
      <c r="AB429" s="623"/>
      <c r="AC429" s="623"/>
      <c r="AD429" s="623"/>
      <c r="AE429" s="623"/>
      <c r="AF429" s="623"/>
      <c r="AG429" s="623"/>
      <c r="AH429" s="623"/>
      <c r="AI429" s="624"/>
      <c r="AJ429" s="625"/>
      <c r="AK429" s="2654" t="s">
        <v>33</v>
      </c>
      <c r="AL429" s="2654"/>
      <c r="AM429" s="2654"/>
      <c r="AN429" s="2654"/>
      <c r="AO429" s="2654"/>
      <c r="AP429" s="2654"/>
      <c r="AQ429" s="2654"/>
      <c r="AR429" s="2654"/>
      <c r="AS429" s="2654"/>
      <c r="AT429" s="2654"/>
      <c r="AU429" s="626"/>
      <c r="AW429" s="381"/>
      <c r="AX429" s="381"/>
    </row>
    <row r="430" spans="1:53" ht="15.75" customHeight="1" thickBot="1">
      <c r="A430" s="2647"/>
      <c r="B430" s="2648"/>
      <c r="C430" s="2649"/>
      <c r="D430" s="2634" t="str">
        <f>IFERROR(VLOOKUP(15,'1_入力シート【基本情報】'!$DU$307:$DX$526,3,FALSE),"")</f>
        <v/>
      </c>
      <c r="E430" s="2635"/>
      <c r="F430" s="2635"/>
      <c r="G430" s="2635"/>
      <c r="H430" s="2635"/>
      <c r="I430" s="2635"/>
      <c r="J430" s="2636"/>
      <c r="K430" s="2656" t="str">
        <f>IFERROR(VLOOKUP(15,'1_入力シート【基本情報】'!$DU$307:$DX$526,4,FALSE),"")</f>
        <v/>
      </c>
      <c r="L430" s="2657"/>
      <c r="M430" s="2657"/>
      <c r="N430" s="2657"/>
      <c r="O430" s="2657"/>
      <c r="P430" s="2657"/>
      <c r="Q430" s="2657"/>
      <c r="R430" s="2657"/>
      <c r="S430" s="2657"/>
      <c r="T430" s="2657"/>
      <c r="U430" s="2657"/>
      <c r="V430" s="2657"/>
      <c r="W430" s="2657"/>
      <c r="X430" s="2657"/>
      <c r="Y430" s="2657"/>
      <c r="Z430" s="2657"/>
      <c r="AA430" s="2657"/>
      <c r="AB430" s="2657"/>
      <c r="AC430" s="2657"/>
      <c r="AD430" s="2657"/>
      <c r="AE430" s="2657"/>
      <c r="AF430" s="2657"/>
      <c r="AG430" s="2657"/>
      <c r="AH430" s="2657"/>
      <c r="AI430" s="2658"/>
      <c r="AJ430" s="665"/>
      <c r="AK430" s="665"/>
      <c r="AL430" s="665"/>
      <c r="AM430" s="665"/>
      <c r="AN430" s="665"/>
      <c r="AO430" s="665"/>
      <c r="AP430" s="665"/>
      <c r="AQ430" s="665"/>
      <c r="AR430" s="665"/>
      <c r="AS430" s="665"/>
      <c r="AT430" s="665"/>
      <c r="AU430" s="666"/>
      <c r="AW430" s="381"/>
      <c r="AX430" s="381"/>
    </row>
    <row r="431" spans="1:53" ht="15.75" customHeight="1" thickBot="1">
      <c r="A431" s="2647"/>
      <c r="B431" s="2648"/>
      <c r="C431" s="2649"/>
      <c r="D431" s="2637"/>
      <c r="E431" s="2638"/>
      <c r="F431" s="2638"/>
      <c r="G431" s="2638"/>
      <c r="H431" s="2638"/>
      <c r="I431" s="2638"/>
      <c r="J431" s="2639"/>
      <c r="K431" s="2659"/>
      <c r="L431" s="2660"/>
      <c r="M431" s="2660"/>
      <c r="N431" s="2660"/>
      <c r="O431" s="2660"/>
      <c r="P431" s="2660"/>
      <c r="Q431" s="2660"/>
      <c r="R431" s="2660"/>
      <c r="S431" s="2660"/>
      <c r="T431" s="2660"/>
      <c r="U431" s="2660"/>
      <c r="V431" s="2660"/>
      <c r="W431" s="2660"/>
      <c r="X431" s="2660"/>
      <c r="Y431" s="2660"/>
      <c r="Z431" s="2660"/>
      <c r="AA431" s="2660"/>
      <c r="AB431" s="2660"/>
      <c r="AC431" s="2660"/>
      <c r="AD431" s="2660"/>
      <c r="AE431" s="2660"/>
      <c r="AF431" s="2660"/>
      <c r="AG431" s="2660"/>
      <c r="AH431" s="2660"/>
      <c r="AI431" s="2661"/>
      <c r="AJ431" s="665"/>
      <c r="AK431" s="665" t="str">
        <f>IF(D430&lt;&gt;"","☑","☐")</f>
        <v>☐</v>
      </c>
      <c r="AL431" s="665" t="s">
        <v>14</v>
      </c>
      <c r="AM431" s="665" t="s">
        <v>21</v>
      </c>
      <c r="AN431" s="665" t="s">
        <v>15</v>
      </c>
      <c r="AO431" s="665"/>
      <c r="AP431" s="783" t="s">
        <v>186</v>
      </c>
      <c r="AQ431" s="665" t="s">
        <v>27</v>
      </c>
      <c r="AR431" s="665" t="s">
        <v>23</v>
      </c>
      <c r="AS431" s="665" t="s">
        <v>13</v>
      </c>
      <c r="AT431" s="665"/>
      <c r="AU431" s="666"/>
      <c r="AV431" s="627"/>
      <c r="AW431" s="381"/>
      <c r="AX431" s="381"/>
      <c r="BA431" s="802" t="b">
        <f>AP431="☑"</f>
        <v>0</v>
      </c>
    </row>
    <row r="432" spans="1:53" ht="15.75" customHeight="1">
      <c r="A432" s="2650"/>
      <c r="B432" s="2651"/>
      <c r="C432" s="2652"/>
      <c r="D432" s="2640"/>
      <c r="E432" s="2641"/>
      <c r="F432" s="2641"/>
      <c r="G432" s="2641"/>
      <c r="H432" s="2641"/>
      <c r="I432" s="2641"/>
      <c r="J432" s="2642"/>
      <c r="K432" s="2662"/>
      <c r="L432" s="2663"/>
      <c r="M432" s="2663"/>
      <c r="N432" s="2663"/>
      <c r="O432" s="2663"/>
      <c r="P432" s="2663"/>
      <c r="Q432" s="2663"/>
      <c r="R432" s="2663"/>
      <c r="S432" s="2663"/>
      <c r="T432" s="2663"/>
      <c r="U432" s="2663"/>
      <c r="V432" s="2663"/>
      <c r="W432" s="2663"/>
      <c r="X432" s="2663"/>
      <c r="Y432" s="2663"/>
      <c r="Z432" s="2663"/>
      <c r="AA432" s="2663"/>
      <c r="AB432" s="2663"/>
      <c r="AC432" s="2663"/>
      <c r="AD432" s="2663"/>
      <c r="AE432" s="2663"/>
      <c r="AF432" s="2663"/>
      <c r="AG432" s="2663"/>
      <c r="AH432" s="2663"/>
      <c r="AI432" s="2664"/>
      <c r="AJ432" s="667"/>
      <c r="AK432" s="667"/>
      <c r="AL432" s="667"/>
      <c r="AM432" s="667"/>
      <c r="AN432" s="667"/>
      <c r="AO432" s="667"/>
      <c r="AP432" s="667"/>
      <c r="AQ432" s="667"/>
      <c r="AR432" s="667"/>
      <c r="AS432" s="667"/>
      <c r="AT432" s="667"/>
      <c r="AU432" s="668"/>
      <c r="AW432" s="381"/>
      <c r="AX432" s="381"/>
    </row>
    <row r="433" spans="1:50" ht="15.75" customHeight="1">
      <c r="A433" s="8"/>
      <c r="B433" s="616"/>
      <c r="C433" s="616"/>
      <c r="D433" s="616"/>
      <c r="E433" s="616"/>
      <c r="F433" s="616"/>
      <c r="G433" s="616"/>
      <c r="H433" s="616"/>
      <c r="I433" s="616"/>
      <c r="J433" s="616"/>
      <c r="K433" s="616"/>
      <c r="L433" s="616"/>
      <c r="M433" s="616"/>
      <c r="N433" s="616"/>
      <c r="O433" s="616"/>
      <c r="P433" s="616"/>
      <c r="Q433" s="616"/>
      <c r="R433" s="616"/>
      <c r="S433" s="616"/>
      <c r="T433" s="616"/>
      <c r="U433" s="616"/>
      <c r="V433" s="616"/>
      <c r="W433" s="616"/>
      <c r="X433" s="616"/>
      <c r="Y433" s="9"/>
      <c r="Z433" s="140"/>
      <c r="AA433" s="141" t="s">
        <v>11</v>
      </c>
      <c r="AB433" s="141" t="s">
        <v>10</v>
      </c>
      <c r="AC433" s="141" t="s">
        <v>16</v>
      </c>
      <c r="AD433" s="141" t="s">
        <v>9</v>
      </c>
      <c r="AE433" s="141"/>
      <c r="AF433" s="141"/>
      <c r="AG433" s="141"/>
      <c r="AH433" s="141"/>
      <c r="AI433" s="141"/>
      <c r="AJ433" s="142"/>
      <c r="AK433" s="142"/>
      <c r="AL433" s="142"/>
      <c r="AM433" s="142"/>
      <c r="AN433" s="142"/>
      <c r="AO433" s="142"/>
      <c r="AP433" s="142"/>
      <c r="AQ433" s="142"/>
      <c r="AR433" s="142"/>
      <c r="AS433" s="142"/>
      <c r="AT433" s="142"/>
      <c r="AU433" s="143"/>
      <c r="AW433" s="381"/>
      <c r="AX433" s="381"/>
    </row>
    <row r="434" spans="1:50" ht="15.75" customHeight="1">
      <c r="A434" s="8"/>
      <c r="B434" s="616"/>
      <c r="C434" s="616"/>
      <c r="D434" s="616"/>
      <c r="E434" s="616"/>
      <c r="F434" s="616"/>
      <c r="G434" s="616"/>
      <c r="H434" s="616"/>
      <c r="I434" s="616"/>
      <c r="J434" s="616"/>
      <c r="K434" s="616"/>
      <c r="L434" s="616"/>
      <c r="M434" s="616"/>
      <c r="N434" s="616"/>
      <c r="O434" s="616"/>
      <c r="P434" s="616"/>
      <c r="Q434" s="616"/>
      <c r="R434" s="616"/>
      <c r="S434" s="616"/>
      <c r="T434" s="616"/>
      <c r="U434" s="616"/>
      <c r="V434" s="616"/>
      <c r="W434" s="616"/>
      <c r="X434" s="616"/>
      <c r="Y434" s="9"/>
      <c r="Z434" s="2626"/>
      <c r="AA434" s="2627"/>
      <c r="AB434" s="2627"/>
      <c r="AC434" s="2627"/>
      <c r="AD434" s="2627"/>
      <c r="AE434" s="2627"/>
      <c r="AF434" s="2627"/>
      <c r="AG434" s="2627"/>
      <c r="AH434" s="2627"/>
      <c r="AI434" s="2627"/>
      <c r="AJ434" s="2627"/>
      <c r="AK434" s="2627"/>
      <c r="AL434" s="2627"/>
      <c r="AM434" s="2627"/>
      <c r="AN434" s="2627"/>
      <c r="AO434" s="198"/>
      <c r="AP434" s="198"/>
      <c r="AQ434" s="198"/>
      <c r="AR434" s="198"/>
      <c r="AS434" s="198"/>
      <c r="AT434" s="198"/>
      <c r="AU434" s="199"/>
      <c r="AW434" s="381"/>
      <c r="AX434" s="381"/>
    </row>
    <row r="435" spans="1:50" ht="15.75" customHeight="1">
      <c r="A435" s="8"/>
      <c r="B435" s="616"/>
      <c r="C435" s="616"/>
      <c r="D435" s="616"/>
      <c r="E435" s="616"/>
      <c r="F435" s="616"/>
      <c r="G435" s="616"/>
      <c r="H435" s="616"/>
      <c r="I435" s="616"/>
      <c r="J435" s="616"/>
      <c r="K435" s="616"/>
      <c r="L435" s="616"/>
      <c r="M435" s="616"/>
      <c r="N435" s="616"/>
      <c r="O435" s="616"/>
      <c r="P435" s="616"/>
      <c r="Q435" s="616"/>
      <c r="R435" s="616"/>
      <c r="S435" s="616"/>
      <c r="T435" s="616"/>
      <c r="U435" s="616"/>
      <c r="V435" s="616"/>
      <c r="W435" s="616"/>
      <c r="X435" s="616"/>
      <c r="Y435" s="9"/>
      <c r="Z435" s="2611" t="str">
        <f>IFERROR(VLOOKUP(15,'1_入力シート【基本情報】'!$DU$307:$DZ$526,5,FALSE),"")</f>
        <v/>
      </c>
      <c r="AA435" s="2612"/>
      <c r="AB435" s="2612"/>
      <c r="AC435" s="2612"/>
      <c r="AD435" s="2612"/>
      <c r="AE435" s="2612"/>
      <c r="AF435" s="2612"/>
      <c r="AG435" s="2612"/>
      <c r="AH435" s="2612"/>
      <c r="AI435" s="2612"/>
      <c r="AJ435" s="2612"/>
      <c r="AK435" s="2612"/>
      <c r="AL435" s="2612"/>
      <c r="AM435" s="2612"/>
      <c r="AN435" s="2612"/>
      <c r="AO435" s="2612"/>
      <c r="AP435" s="2612"/>
      <c r="AQ435" s="2612"/>
      <c r="AR435" s="2612"/>
      <c r="AS435" s="2612"/>
      <c r="AT435" s="2612"/>
      <c r="AU435" s="2613"/>
      <c r="AW435" s="381"/>
      <c r="AX435" s="381"/>
    </row>
    <row r="436" spans="1:50" ht="15.75" customHeight="1">
      <c r="A436" s="8"/>
      <c r="B436" s="616"/>
      <c r="C436" s="616"/>
      <c r="D436" s="616"/>
      <c r="E436" s="616"/>
      <c r="F436" s="616"/>
      <c r="G436" s="616"/>
      <c r="H436" s="616"/>
      <c r="I436" s="616"/>
      <c r="J436" s="616"/>
      <c r="K436" s="616"/>
      <c r="L436" s="616"/>
      <c r="M436" s="616"/>
      <c r="N436" s="616"/>
      <c r="O436" s="616"/>
      <c r="P436" s="616"/>
      <c r="Q436" s="616"/>
      <c r="R436" s="616"/>
      <c r="S436" s="616"/>
      <c r="T436" s="616"/>
      <c r="U436" s="616"/>
      <c r="V436" s="616"/>
      <c r="W436" s="616"/>
      <c r="X436" s="616"/>
      <c r="Y436" s="9"/>
      <c r="Z436" s="2614"/>
      <c r="AA436" s="2615"/>
      <c r="AB436" s="2615"/>
      <c r="AC436" s="2615"/>
      <c r="AD436" s="2615"/>
      <c r="AE436" s="2615"/>
      <c r="AF436" s="2615"/>
      <c r="AG436" s="2615"/>
      <c r="AH436" s="2615"/>
      <c r="AI436" s="2615"/>
      <c r="AJ436" s="2615"/>
      <c r="AK436" s="2615"/>
      <c r="AL436" s="2615"/>
      <c r="AM436" s="2615"/>
      <c r="AN436" s="2615"/>
      <c r="AO436" s="2615"/>
      <c r="AP436" s="2615"/>
      <c r="AQ436" s="2615"/>
      <c r="AR436" s="2615"/>
      <c r="AS436" s="2615"/>
      <c r="AT436" s="2615"/>
      <c r="AU436" s="2616"/>
      <c r="AW436" s="381"/>
      <c r="AX436" s="381"/>
    </row>
    <row r="437" spans="1:50" ht="15.75" customHeight="1">
      <c r="A437" s="8"/>
      <c r="B437" s="616"/>
      <c r="C437" s="616"/>
      <c r="D437" s="616"/>
      <c r="E437" s="616"/>
      <c r="F437" s="616"/>
      <c r="G437" s="616"/>
      <c r="H437" s="616"/>
      <c r="I437" s="616"/>
      <c r="J437" s="616"/>
      <c r="K437" s="616"/>
      <c r="L437" s="616"/>
      <c r="M437" s="616"/>
      <c r="N437" s="616"/>
      <c r="O437" s="616"/>
      <c r="P437" s="616"/>
      <c r="Q437" s="616"/>
      <c r="R437" s="616"/>
      <c r="S437" s="616"/>
      <c r="T437" s="616"/>
      <c r="U437" s="616"/>
      <c r="V437" s="616"/>
      <c r="W437" s="616"/>
      <c r="X437" s="616"/>
      <c r="Y437" s="9"/>
      <c r="Z437" s="2617"/>
      <c r="AA437" s="2618"/>
      <c r="AB437" s="2618"/>
      <c r="AC437" s="2618"/>
      <c r="AD437" s="2618"/>
      <c r="AE437" s="2618"/>
      <c r="AF437" s="2618"/>
      <c r="AG437" s="2618"/>
      <c r="AH437" s="2618"/>
      <c r="AI437" s="2618"/>
      <c r="AJ437" s="2618"/>
      <c r="AK437" s="2618"/>
      <c r="AL437" s="2618"/>
      <c r="AM437" s="2618"/>
      <c r="AN437" s="2618"/>
      <c r="AO437" s="2618"/>
      <c r="AP437" s="2618"/>
      <c r="AQ437" s="2618"/>
      <c r="AR437" s="2618"/>
      <c r="AS437" s="2618"/>
      <c r="AT437" s="2618"/>
      <c r="AU437" s="2619"/>
      <c r="AW437" s="381"/>
      <c r="AX437" s="381"/>
    </row>
    <row r="438" spans="1:50" ht="15.75" customHeight="1">
      <c r="A438" s="8"/>
      <c r="B438" s="669"/>
      <c r="C438" s="669"/>
      <c r="D438" s="669"/>
      <c r="E438" s="669"/>
      <c r="F438" s="669"/>
      <c r="G438" s="669"/>
      <c r="H438" s="669"/>
      <c r="I438" s="669"/>
      <c r="J438" s="669"/>
      <c r="K438" s="669"/>
      <c r="L438" s="669"/>
      <c r="M438" s="669"/>
      <c r="N438" s="669"/>
      <c r="O438" s="669"/>
      <c r="P438" s="669"/>
      <c r="Q438" s="669"/>
      <c r="R438" s="669"/>
      <c r="S438" s="669"/>
      <c r="T438" s="669"/>
      <c r="U438" s="669"/>
      <c r="V438" s="669"/>
      <c r="W438" s="669"/>
      <c r="X438" s="669"/>
      <c r="Y438" s="9"/>
      <c r="Z438" s="2620"/>
      <c r="AA438" s="2621"/>
      <c r="AB438" s="2621"/>
      <c r="AC438" s="2621"/>
      <c r="AD438" s="2621"/>
      <c r="AE438" s="2621"/>
      <c r="AF438" s="2621"/>
      <c r="AG438" s="2621"/>
      <c r="AH438" s="2621"/>
      <c r="AI438" s="2621"/>
      <c r="AJ438" s="2621"/>
      <c r="AK438" s="2621"/>
      <c r="AL438" s="2621"/>
      <c r="AM438" s="2621"/>
      <c r="AN438" s="2621"/>
      <c r="AO438" s="2621"/>
      <c r="AP438" s="2621"/>
      <c r="AQ438" s="2621"/>
      <c r="AR438" s="2621"/>
      <c r="AS438" s="2621"/>
      <c r="AT438" s="2621"/>
      <c r="AU438" s="2622"/>
      <c r="AW438" s="381"/>
      <c r="AX438" s="381"/>
    </row>
    <row r="439" spans="1:50" ht="15.75" customHeight="1">
      <c r="A439" s="8"/>
      <c r="B439" s="669"/>
      <c r="C439" s="669"/>
      <c r="D439" s="669"/>
      <c r="E439" s="669"/>
      <c r="F439" s="669"/>
      <c r="G439" s="669"/>
      <c r="H439" s="669"/>
      <c r="I439" s="669"/>
      <c r="J439" s="669"/>
      <c r="K439" s="669"/>
      <c r="L439" s="669"/>
      <c r="M439" s="669"/>
      <c r="N439" s="669"/>
      <c r="O439" s="669"/>
      <c r="P439" s="669"/>
      <c r="Q439" s="669"/>
      <c r="R439" s="669"/>
      <c r="S439" s="669"/>
      <c r="T439" s="669"/>
      <c r="U439" s="669"/>
      <c r="V439" s="669"/>
      <c r="W439" s="669"/>
      <c r="X439" s="669"/>
      <c r="Y439" s="9"/>
      <c r="Z439" s="2620"/>
      <c r="AA439" s="2621"/>
      <c r="AB439" s="2621"/>
      <c r="AC439" s="2621"/>
      <c r="AD439" s="2621"/>
      <c r="AE439" s="2621"/>
      <c r="AF439" s="2621"/>
      <c r="AG439" s="2621"/>
      <c r="AH439" s="2621"/>
      <c r="AI439" s="2621"/>
      <c r="AJ439" s="2621"/>
      <c r="AK439" s="2621"/>
      <c r="AL439" s="2621"/>
      <c r="AM439" s="2621"/>
      <c r="AN439" s="2621"/>
      <c r="AO439" s="2621"/>
      <c r="AP439" s="2621"/>
      <c r="AQ439" s="2621"/>
      <c r="AR439" s="2621"/>
      <c r="AS439" s="2621"/>
      <c r="AT439" s="2621"/>
      <c r="AU439" s="2622"/>
      <c r="AW439" s="381"/>
      <c r="AX439" s="381"/>
    </row>
    <row r="440" spans="1:50" ht="15.75" customHeight="1">
      <c r="A440" s="8"/>
      <c r="B440" s="669"/>
      <c r="C440" s="669"/>
      <c r="D440" s="669"/>
      <c r="E440" s="669"/>
      <c r="F440" s="669"/>
      <c r="G440" s="669"/>
      <c r="H440" s="669"/>
      <c r="I440" s="669"/>
      <c r="J440" s="669"/>
      <c r="K440" s="669"/>
      <c r="L440" s="669"/>
      <c r="M440" s="669"/>
      <c r="N440" s="669"/>
      <c r="O440" s="669"/>
      <c r="P440" s="669"/>
      <c r="Q440" s="669"/>
      <c r="R440" s="669"/>
      <c r="S440" s="669"/>
      <c r="T440" s="669"/>
      <c r="U440" s="669"/>
      <c r="V440" s="669"/>
      <c r="W440" s="669"/>
      <c r="X440" s="669"/>
      <c r="Y440" s="9"/>
      <c r="Z440" s="2620"/>
      <c r="AA440" s="2621"/>
      <c r="AB440" s="2621"/>
      <c r="AC440" s="2621"/>
      <c r="AD440" s="2621"/>
      <c r="AE440" s="2621"/>
      <c r="AF440" s="2621"/>
      <c r="AG440" s="2621"/>
      <c r="AH440" s="2621"/>
      <c r="AI440" s="2621"/>
      <c r="AJ440" s="2621"/>
      <c r="AK440" s="2621"/>
      <c r="AL440" s="2621"/>
      <c r="AM440" s="2621"/>
      <c r="AN440" s="2621"/>
      <c r="AO440" s="2621"/>
      <c r="AP440" s="2621"/>
      <c r="AQ440" s="2621"/>
      <c r="AR440" s="2621"/>
      <c r="AS440" s="2621"/>
      <c r="AT440" s="2621"/>
      <c r="AU440" s="2622"/>
      <c r="AW440" s="381"/>
      <c r="AX440" s="381"/>
    </row>
    <row r="441" spans="1:50" ht="15.75" customHeight="1">
      <c r="A441" s="8"/>
      <c r="B441" s="669"/>
      <c r="C441" s="669"/>
      <c r="D441" s="669"/>
      <c r="E441" s="669"/>
      <c r="F441" s="669"/>
      <c r="G441" s="669"/>
      <c r="H441" s="669"/>
      <c r="I441" s="669"/>
      <c r="J441" s="669"/>
      <c r="K441" s="2629" t="s">
        <v>164</v>
      </c>
      <c r="L441" s="2629"/>
      <c r="M441" s="2629"/>
      <c r="N441" s="2629"/>
      <c r="O441" s="2629"/>
      <c r="P441" s="2629"/>
      <c r="Q441" s="669"/>
      <c r="R441" s="669"/>
      <c r="S441" s="669"/>
      <c r="T441" s="669"/>
      <c r="U441" s="669"/>
      <c r="V441" s="669"/>
      <c r="W441" s="669"/>
      <c r="X441" s="669"/>
      <c r="Y441" s="9"/>
      <c r="Z441" s="2620"/>
      <c r="AA441" s="2621"/>
      <c r="AB441" s="2621"/>
      <c r="AC441" s="2621"/>
      <c r="AD441" s="2621"/>
      <c r="AE441" s="2621"/>
      <c r="AF441" s="2621"/>
      <c r="AG441" s="2621"/>
      <c r="AH441" s="2621"/>
      <c r="AI441" s="2621"/>
      <c r="AJ441" s="2621"/>
      <c r="AK441" s="2621"/>
      <c r="AL441" s="2621"/>
      <c r="AM441" s="2621"/>
      <c r="AN441" s="2621"/>
      <c r="AO441" s="2621"/>
      <c r="AP441" s="2621"/>
      <c r="AQ441" s="2621"/>
      <c r="AR441" s="2621"/>
      <c r="AS441" s="2621"/>
      <c r="AT441" s="2621"/>
      <c r="AU441" s="2622"/>
      <c r="AW441" s="381"/>
      <c r="AX441" s="381"/>
    </row>
    <row r="442" spans="1:50" ht="15.75" customHeight="1">
      <c r="A442" s="8"/>
      <c r="B442" s="669"/>
      <c r="C442" s="669"/>
      <c r="D442" s="669"/>
      <c r="E442" s="669"/>
      <c r="F442" s="669"/>
      <c r="G442" s="669"/>
      <c r="H442" s="669"/>
      <c r="I442" s="669"/>
      <c r="J442" s="669"/>
      <c r="K442" s="669"/>
      <c r="L442" s="669"/>
      <c r="M442" s="669"/>
      <c r="N442" s="669"/>
      <c r="O442" s="669"/>
      <c r="P442" s="669"/>
      <c r="Q442" s="669"/>
      <c r="R442" s="669"/>
      <c r="S442" s="669"/>
      <c r="T442" s="669"/>
      <c r="U442" s="669"/>
      <c r="V442" s="669"/>
      <c r="W442" s="669"/>
      <c r="X442" s="669"/>
      <c r="Y442" s="9"/>
      <c r="Z442" s="2620"/>
      <c r="AA442" s="2621"/>
      <c r="AB442" s="2621"/>
      <c r="AC442" s="2621"/>
      <c r="AD442" s="2621"/>
      <c r="AE442" s="2621"/>
      <c r="AF442" s="2621"/>
      <c r="AG442" s="2621"/>
      <c r="AH442" s="2621"/>
      <c r="AI442" s="2621"/>
      <c r="AJ442" s="2621"/>
      <c r="AK442" s="2621"/>
      <c r="AL442" s="2621"/>
      <c r="AM442" s="2621"/>
      <c r="AN442" s="2621"/>
      <c r="AO442" s="2621"/>
      <c r="AP442" s="2621"/>
      <c r="AQ442" s="2621"/>
      <c r="AR442" s="2621"/>
      <c r="AS442" s="2621"/>
      <c r="AT442" s="2621"/>
      <c r="AU442" s="2622"/>
      <c r="AW442" s="381"/>
      <c r="AX442" s="381"/>
    </row>
    <row r="443" spans="1:50" ht="15.75" customHeight="1">
      <c r="A443" s="8"/>
      <c r="B443" s="669"/>
      <c r="C443" s="669"/>
      <c r="D443" s="669"/>
      <c r="E443" s="669"/>
      <c r="F443" s="669"/>
      <c r="G443" s="669"/>
      <c r="H443" s="669"/>
      <c r="I443" s="669"/>
      <c r="J443" s="669"/>
      <c r="K443" s="669"/>
      <c r="L443" s="669"/>
      <c r="M443" s="669"/>
      <c r="N443" s="669"/>
      <c r="O443" s="669"/>
      <c r="P443" s="669"/>
      <c r="Q443" s="669"/>
      <c r="R443" s="669"/>
      <c r="S443" s="669"/>
      <c r="T443" s="669"/>
      <c r="U443" s="669"/>
      <c r="V443" s="669"/>
      <c r="W443" s="669"/>
      <c r="X443" s="669"/>
      <c r="Y443" s="9"/>
      <c r="Z443" s="2620"/>
      <c r="AA443" s="2621"/>
      <c r="AB443" s="2621"/>
      <c r="AC443" s="2621"/>
      <c r="AD443" s="2621"/>
      <c r="AE443" s="2621"/>
      <c r="AF443" s="2621"/>
      <c r="AG443" s="2621"/>
      <c r="AH443" s="2621"/>
      <c r="AI443" s="2621"/>
      <c r="AJ443" s="2621"/>
      <c r="AK443" s="2621"/>
      <c r="AL443" s="2621"/>
      <c r="AM443" s="2621"/>
      <c r="AN443" s="2621"/>
      <c r="AO443" s="2621"/>
      <c r="AP443" s="2621"/>
      <c r="AQ443" s="2621"/>
      <c r="AR443" s="2621"/>
      <c r="AS443" s="2621"/>
      <c r="AT443" s="2621"/>
      <c r="AU443" s="2622"/>
      <c r="AW443" s="381"/>
      <c r="AX443" s="381"/>
    </row>
    <row r="444" spans="1:50" ht="15.75" customHeight="1">
      <c r="A444" s="8"/>
      <c r="B444" s="669"/>
      <c r="C444" s="669"/>
      <c r="D444" s="669"/>
      <c r="E444" s="669"/>
      <c r="F444" s="669"/>
      <c r="G444" s="669"/>
      <c r="H444" s="669"/>
      <c r="I444" s="669"/>
      <c r="J444" s="669"/>
      <c r="K444" s="669"/>
      <c r="L444" s="669"/>
      <c r="M444" s="669"/>
      <c r="N444" s="669"/>
      <c r="O444" s="669"/>
      <c r="P444" s="669"/>
      <c r="Q444" s="669"/>
      <c r="R444" s="669"/>
      <c r="S444" s="669"/>
      <c r="T444" s="669"/>
      <c r="U444" s="669"/>
      <c r="V444" s="669"/>
      <c r="W444" s="669"/>
      <c r="X444" s="669"/>
      <c r="Y444" s="9"/>
      <c r="Z444" s="2620"/>
      <c r="AA444" s="2621"/>
      <c r="AB444" s="2621"/>
      <c r="AC444" s="2621"/>
      <c r="AD444" s="2621"/>
      <c r="AE444" s="2621"/>
      <c r="AF444" s="2621"/>
      <c r="AG444" s="2621"/>
      <c r="AH444" s="2621"/>
      <c r="AI444" s="2621"/>
      <c r="AJ444" s="2621"/>
      <c r="AK444" s="2621"/>
      <c r="AL444" s="2621"/>
      <c r="AM444" s="2621"/>
      <c r="AN444" s="2621"/>
      <c r="AO444" s="2621"/>
      <c r="AP444" s="2621"/>
      <c r="AQ444" s="2621"/>
      <c r="AR444" s="2621"/>
      <c r="AS444" s="2621"/>
      <c r="AT444" s="2621"/>
      <c r="AU444" s="2622"/>
      <c r="AW444" s="381"/>
      <c r="AX444" s="381"/>
    </row>
    <row r="445" spans="1:50" ht="15.75" customHeight="1">
      <c r="A445" s="8"/>
      <c r="B445" s="669"/>
      <c r="C445" s="669"/>
      <c r="D445" s="669"/>
      <c r="E445" s="669"/>
      <c r="F445" s="669"/>
      <c r="G445" s="669"/>
      <c r="H445" s="669"/>
      <c r="I445" s="669"/>
      <c r="J445" s="669"/>
      <c r="K445" s="669"/>
      <c r="L445" s="669"/>
      <c r="M445" s="669"/>
      <c r="N445" s="669"/>
      <c r="O445" s="669"/>
      <c r="P445" s="669"/>
      <c r="Q445" s="669"/>
      <c r="R445" s="669"/>
      <c r="S445" s="669"/>
      <c r="T445" s="669"/>
      <c r="U445" s="669"/>
      <c r="V445" s="669"/>
      <c r="W445" s="669"/>
      <c r="X445" s="669"/>
      <c r="Y445" s="9"/>
      <c r="Z445" s="2620"/>
      <c r="AA445" s="2621"/>
      <c r="AB445" s="2621"/>
      <c r="AC445" s="2621"/>
      <c r="AD445" s="2621"/>
      <c r="AE445" s="2621"/>
      <c r="AF445" s="2621"/>
      <c r="AG445" s="2621"/>
      <c r="AH445" s="2621"/>
      <c r="AI445" s="2621"/>
      <c r="AJ445" s="2621"/>
      <c r="AK445" s="2621"/>
      <c r="AL445" s="2621"/>
      <c r="AM445" s="2621"/>
      <c r="AN445" s="2621"/>
      <c r="AO445" s="2621"/>
      <c r="AP445" s="2621"/>
      <c r="AQ445" s="2621"/>
      <c r="AR445" s="2621"/>
      <c r="AS445" s="2621"/>
      <c r="AT445" s="2621"/>
      <c r="AU445" s="2622"/>
      <c r="AW445" s="381"/>
      <c r="AX445" s="381"/>
    </row>
    <row r="446" spans="1:50" ht="15.75" customHeight="1">
      <c r="A446" s="8"/>
      <c r="B446" s="669"/>
      <c r="C446" s="669"/>
      <c r="D446" s="669"/>
      <c r="E446" s="669"/>
      <c r="F446" s="669"/>
      <c r="G446" s="669"/>
      <c r="H446" s="669"/>
      <c r="I446" s="669"/>
      <c r="J446" s="669"/>
      <c r="K446" s="669"/>
      <c r="L446" s="669"/>
      <c r="M446" s="669"/>
      <c r="N446" s="669"/>
      <c r="O446" s="669"/>
      <c r="P446" s="669"/>
      <c r="Q446" s="669"/>
      <c r="R446" s="669"/>
      <c r="S446" s="669"/>
      <c r="T446" s="669"/>
      <c r="U446" s="669"/>
      <c r="V446" s="669"/>
      <c r="W446" s="669"/>
      <c r="X446" s="669"/>
      <c r="Y446" s="9"/>
      <c r="Z446" s="2620"/>
      <c r="AA446" s="2621"/>
      <c r="AB446" s="2621"/>
      <c r="AC446" s="2621"/>
      <c r="AD446" s="2621"/>
      <c r="AE446" s="2621"/>
      <c r="AF446" s="2621"/>
      <c r="AG446" s="2621"/>
      <c r="AH446" s="2621"/>
      <c r="AI446" s="2621"/>
      <c r="AJ446" s="2621"/>
      <c r="AK446" s="2621"/>
      <c r="AL446" s="2621"/>
      <c r="AM446" s="2621"/>
      <c r="AN446" s="2621"/>
      <c r="AO446" s="2621"/>
      <c r="AP446" s="2621"/>
      <c r="AQ446" s="2621"/>
      <c r="AR446" s="2621"/>
      <c r="AS446" s="2621"/>
      <c r="AT446" s="2621"/>
      <c r="AU446" s="2622"/>
      <c r="AW446" s="381"/>
      <c r="AX446" s="381"/>
    </row>
    <row r="447" spans="1:50" ht="15.75" customHeight="1">
      <c r="A447" s="8"/>
      <c r="B447" s="669"/>
      <c r="C447" s="669"/>
      <c r="D447" s="669"/>
      <c r="E447" s="669"/>
      <c r="F447" s="669"/>
      <c r="G447" s="669"/>
      <c r="H447" s="669"/>
      <c r="I447" s="669"/>
      <c r="J447" s="669"/>
      <c r="K447" s="669"/>
      <c r="L447" s="669"/>
      <c r="M447" s="669"/>
      <c r="N447" s="669"/>
      <c r="O447" s="669"/>
      <c r="P447" s="669"/>
      <c r="Q447" s="669"/>
      <c r="R447" s="669"/>
      <c r="S447" s="669"/>
      <c r="T447" s="669"/>
      <c r="U447" s="669"/>
      <c r="V447" s="669"/>
      <c r="W447" s="669"/>
      <c r="X447" s="669"/>
      <c r="Y447" s="9"/>
      <c r="Z447" s="2620"/>
      <c r="AA447" s="2621"/>
      <c r="AB447" s="2621"/>
      <c r="AC447" s="2621"/>
      <c r="AD447" s="2621"/>
      <c r="AE447" s="2621"/>
      <c r="AF447" s="2621"/>
      <c r="AG447" s="2621"/>
      <c r="AH447" s="2621"/>
      <c r="AI447" s="2621"/>
      <c r="AJ447" s="2621"/>
      <c r="AK447" s="2621"/>
      <c r="AL447" s="2621"/>
      <c r="AM447" s="2621"/>
      <c r="AN447" s="2621"/>
      <c r="AO447" s="2621"/>
      <c r="AP447" s="2621"/>
      <c r="AQ447" s="2621"/>
      <c r="AR447" s="2621"/>
      <c r="AS447" s="2621"/>
      <c r="AT447" s="2621"/>
      <c r="AU447" s="2622"/>
      <c r="AW447" s="381"/>
      <c r="AX447" s="381"/>
    </row>
    <row r="448" spans="1:50" ht="15.75" customHeight="1">
      <c r="A448" s="8"/>
      <c r="B448" s="669"/>
      <c r="C448" s="669"/>
      <c r="D448" s="669"/>
      <c r="E448" s="669"/>
      <c r="F448" s="669"/>
      <c r="G448" s="669"/>
      <c r="H448" s="669"/>
      <c r="I448" s="669"/>
      <c r="J448" s="669"/>
      <c r="K448" s="669"/>
      <c r="L448" s="669"/>
      <c r="M448" s="669"/>
      <c r="N448" s="669"/>
      <c r="O448" s="669"/>
      <c r="P448" s="669"/>
      <c r="Q448" s="669"/>
      <c r="R448" s="669"/>
      <c r="S448" s="669"/>
      <c r="T448" s="669"/>
      <c r="U448" s="669"/>
      <c r="V448" s="669"/>
      <c r="W448" s="669"/>
      <c r="X448" s="669"/>
      <c r="Y448" s="9"/>
      <c r="Z448" s="2620"/>
      <c r="AA448" s="2621"/>
      <c r="AB448" s="2621"/>
      <c r="AC448" s="2621"/>
      <c r="AD448" s="2621"/>
      <c r="AE448" s="2621"/>
      <c r="AF448" s="2621"/>
      <c r="AG448" s="2621"/>
      <c r="AH448" s="2621"/>
      <c r="AI448" s="2621"/>
      <c r="AJ448" s="2621"/>
      <c r="AK448" s="2621"/>
      <c r="AL448" s="2621"/>
      <c r="AM448" s="2621"/>
      <c r="AN448" s="2621"/>
      <c r="AO448" s="2621"/>
      <c r="AP448" s="2621"/>
      <c r="AQ448" s="2621"/>
      <c r="AR448" s="2621"/>
      <c r="AS448" s="2621"/>
      <c r="AT448" s="2621"/>
      <c r="AU448" s="2622"/>
      <c r="AW448" s="381"/>
      <c r="AX448" s="381"/>
    </row>
    <row r="449" spans="1:53" ht="15.75" customHeight="1">
      <c r="A449" s="8"/>
      <c r="B449" s="669"/>
      <c r="C449" s="669"/>
      <c r="D449" s="669"/>
      <c r="E449" s="669"/>
      <c r="F449" s="669"/>
      <c r="G449" s="669"/>
      <c r="H449" s="669"/>
      <c r="I449" s="669"/>
      <c r="J449" s="669"/>
      <c r="K449" s="669"/>
      <c r="L449" s="669"/>
      <c r="M449" s="669"/>
      <c r="N449" s="669"/>
      <c r="O449" s="669"/>
      <c r="P449" s="669"/>
      <c r="Q449" s="669"/>
      <c r="R449" s="669"/>
      <c r="S449" s="669"/>
      <c r="T449" s="669"/>
      <c r="U449" s="669"/>
      <c r="V449" s="669"/>
      <c r="W449" s="669"/>
      <c r="X449" s="669"/>
      <c r="Y449" s="9"/>
      <c r="Z449" s="2620"/>
      <c r="AA449" s="2621"/>
      <c r="AB449" s="2621"/>
      <c r="AC449" s="2621"/>
      <c r="AD449" s="2621"/>
      <c r="AE449" s="2621"/>
      <c r="AF449" s="2621"/>
      <c r="AG449" s="2621"/>
      <c r="AH449" s="2621"/>
      <c r="AI449" s="2621"/>
      <c r="AJ449" s="2621"/>
      <c r="AK449" s="2621"/>
      <c r="AL449" s="2621"/>
      <c r="AM449" s="2621"/>
      <c r="AN449" s="2621"/>
      <c r="AO449" s="2621"/>
      <c r="AP449" s="2621"/>
      <c r="AQ449" s="2621"/>
      <c r="AR449" s="2621"/>
      <c r="AS449" s="2621"/>
      <c r="AT449" s="2621"/>
      <c r="AU449" s="2622"/>
      <c r="AW449" s="381"/>
      <c r="AX449" s="381"/>
    </row>
    <row r="450" spans="1:53" ht="15.75" customHeight="1">
      <c r="A450" s="12"/>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1"/>
      <c r="Z450" s="2623"/>
      <c r="AA450" s="2624"/>
      <c r="AB450" s="2624"/>
      <c r="AC450" s="2624"/>
      <c r="AD450" s="2624"/>
      <c r="AE450" s="2624"/>
      <c r="AF450" s="2624"/>
      <c r="AG450" s="2624"/>
      <c r="AH450" s="2624"/>
      <c r="AI450" s="2624"/>
      <c r="AJ450" s="2624"/>
      <c r="AK450" s="2624"/>
      <c r="AL450" s="2624"/>
      <c r="AM450" s="2624"/>
      <c r="AN450" s="2624"/>
      <c r="AO450" s="2624"/>
      <c r="AP450" s="2624"/>
      <c r="AQ450" s="2624"/>
      <c r="AR450" s="2624"/>
      <c r="AS450" s="2624"/>
      <c r="AT450" s="2624"/>
      <c r="AU450" s="2625"/>
      <c r="AW450" s="381"/>
      <c r="AX450" s="381"/>
    </row>
    <row r="451" spans="1:53" ht="12.75" customHeight="1">
      <c r="AW451" s="381"/>
      <c r="AX451" s="381"/>
    </row>
    <row r="452" spans="1:53" ht="15.75" customHeight="1">
      <c r="A452" s="2634" t="s">
        <v>161</v>
      </c>
      <c r="B452" s="2635"/>
      <c r="C452" s="2636"/>
      <c r="D452" s="2653" t="s">
        <v>162</v>
      </c>
      <c r="E452" s="2654"/>
      <c r="F452" s="2654"/>
      <c r="G452" s="2654"/>
      <c r="H452" s="2654"/>
      <c r="I452" s="2654"/>
      <c r="J452" s="2655"/>
      <c r="K452" s="625"/>
      <c r="L452" s="622"/>
      <c r="M452" s="622"/>
      <c r="N452" s="622"/>
      <c r="O452" s="622"/>
      <c r="P452" s="622"/>
      <c r="Q452" s="622"/>
      <c r="R452" s="622"/>
      <c r="S452" s="623" t="s">
        <v>7</v>
      </c>
      <c r="T452" s="623" t="s">
        <v>8</v>
      </c>
      <c r="U452" s="623" t="s">
        <v>9</v>
      </c>
      <c r="V452" s="623" t="s">
        <v>163</v>
      </c>
      <c r="W452" s="623"/>
      <c r="X452" s="623"/>
      <c r="Y452" s="623"/>
      <c r="Z452" s="623"/>
      <c r="AA452" s="623"/>
      <c r="AB452" s="623"/>
      <c r="AC452" s="623"/>
      <c r="AD452" s="623"/>
      <c r="AE452" s="623"/>
      <c r="AF452" s="623"/>
      <c r="AG452" s="623"/>
      <c r="AH452" s="623"/>
      <c r="AI452" s="624"/>
      <c r="AJ452" s="625"/>
      <c r="AK452" s="2654" t="s">
        <v>33</v>
      </c>
      <c r="AL452" s="2654"/>
      <c r="AM452" s="2654"/>
      <c r="AN452" s="2654"/>
      <c r="AO452" s="2654"/>
      <c r="AP452" s="2654"/>
      <c r="AQ452" s="2654"/>
      <c r="AR452" s="2654"/>
      <c r="AS452" s="2654"/>
      <c r="AT452" s="2654"/>
      <c r="AU452" s="626"/>
      <c r="AW452" s="381"/>
      <c r="AX452" s="381"/>
    </row>
    <row r="453" spans="1:53" ht="15.75" customHeight="1" thickBot="1">
      <c r="A453" s="2647"/>
      <c r="B453" s="2648"/>
      <c r="C453" s="2649"/>
      <c r="D453" s="2634" t="str">
        <f>IFERROR(VLOOKUP(16,'1_入力シート【基本情報】'!$DU$307:$DX$526,3,FALSE),"")</f>
        <v/>
      </c>
      <c r="E453" s="2635"/>
      <c r="F453" s="2635"/>
      <c r="G453" s="2635"/>
      <c r="H453" s="2635"/>
      <c r="I453" s="2635"/>
      <c r="J453" s="2636"/>
      <c r="K453" s="2656" t="str">
        <f>IFERROR(VLOOKUP(16,'1_入力シート【基本情報】'!$DU$307:$DX$526,4,FALSE),"")</f>
        <v/>
      </c>
      <c r="L453" s="2657"/>
      <c r="M453" s="2657"/>
      <c r="N453" s="2657"/>
      <c r="O453" s="2657"/>
      <c r="P453" s="2657"/>
      <c r="Q453" s="2657"/>
      <c r="R453" s="2657"/>
      <c r="S453" s="2657"/>
      <c r="T453" s="2657"/>
      <c r="U453" s="2657"/>
      <c r="V453" s="2657"/>
      <c r="W453" s="2657"/>
      <c r="X453" s="2657"/>
      <c r="Y453" s="2657"/>
      <c r="Z453" s="2657"/>
      <c r="AA453" s="2657"/>
      <c r="AB453" s="2657"/>
      <c r="AC453" s="2657"/>
      <c r="AD453" s="2657"/>
      <c r="AE453" s="2657"/>
      <c r="AF453" s="2657"/>
      <c r="AG453" s="2657"/>
      <c r="AH453" s="2657"/>
      <c r="AI453" s="2658"/>
      <c r="AJ453" s="665"/>
      <c r="AK453" s="665"/>
      <c r="AL453" s="665"/>
      <c r="AM453" s="665"/>
      <c r="AN453" s="665"/>
      <c r="AO453" s="665"/>
      <c r="AP453" s="665"/>
      <c r="AQ453" s="665"/>
      <c r="AR453" s="665"/>
      <c r="AS453" s="665"/>
      <c r="AT453" s="665"/>
      <c r="AU453" s="666"/>
      <c r="AW453" s="381"/>
      <c r="AX453" s="381"/>
    </row>
    <row r="454" spans="1:53" ht="15.75" customHeight="1" thickBot="1">
      <c r="A454" s="2647"/>
      <c r="B454" s="2648"/>
      <c r="C454" s="2649"/>
      <c r="D454" s="2637"/>
      <c r="E454" s="2638"/>
      <c r="F454" s="2638"/>
      <c r="G454" s="2638"/>
      <c r="H454" s="2638"/>
      <c r="I454" s="2638"/>
      <c r="J454" s="2639"/>
      <c r="K454" s="2659"/>
      <c r="L454" s="2660"/>
      <c r="M454" s="2660"/>
      <c r="N454" s="2660"/>
      <c r="O454" s="2660"/>
      <c r="P454" s="2660"/>
      <c r="Q454" s="2660"/>
      <c r="R454" s="2660"/>
      <c r="S454" s="2660"/>
      <c r="T454" s="2660"/>
      <c r="U454" s="2660"/>
      <c r="V454" s="2660"/>
      <c r="W454" s="2660"/>
      <c r="X454" s="2660"/>
      <c r="Y454" s="2660"/>
      <c r="Z454" s="2660"/>
      <c r="AA454" s="2660"/>
      <c r="AB454" s="2660"/>
      <c r="AC454" s="2660"/>
      <c r="AD454" s="2660"/>
      <c r="AE454" s="2660"/>
      <c r="AF454" s="2660"/>
      <c r="AG454" s="2660"/>
      <c r="AH454" s="2660"/>
      <c r="AI454" s="2661"/>
      <c r="AJ454" s="665"/>
      <c r="AK454" s="665" t="str">
        <f>IF(D453&lt;&gt;"","☑","☐")</f>
        <v>☐</v>
      </c>
      <c r="AL454" s="665" t="s">
        <v>14</v>
      </c>
      <c r="AM454" s="665" t="s">
        <v>21</v>
      </c>
      <c r="AN454" s="665" t="s">
        <v>15</v>
      </c>
      <c r="AO454" s="665"/>
      <c r="AP454" s="783" t="s">
        <v>186</v>
      </c>
      <c r="AQ454" s="665" t="s">
        <v>27</v>
      </c>
      <c r="AR454" s="665" t="s">
        <v>23</v>
      </c>
      <c r="AS454" s="665" t="s">
        <v>13</v>
      </c>
      <c r="AT454" s="665"/>
      <c r="AU454" s="666"/>
      <c r="AW454" s="381"/>
      <c r="AX454" s="381"/>
      <c r="BA454" s="802" t="b">
        <f>AP454="☑"</f>
        <v>0</v>
      </c>
    </row>
    <row r="455" spans="1:53" ht="15.75" customHeight="1">
      <c r="A455" s="2650"/>
      <c r="B455" s="2651"/>
      <c r="C455" s="2652"/>
      <c r="D455" s="2640"/>
      <c r="E455" s="2641"/>
      <c r="F455" s="2641"/>
      <c r="G455" s="2641"/>
      <c r="H455" s="2641"/>
      <c r="I455" s="2641"/>
      <c r="J455" s="2642"/>
      <c r="K455" s="2662"/>
      <c r="L455" s="2663"/>
      <c r="M455" s="2663"/>
      <c r="N455" s="2663"/>
      <c r="O455" s="2663"/>
      <c r="P455" s="2663"/>
      <c r="Q455" s="2663"/>
      <c r="R455" s="2663"/>
      <c r="S455" s="2663"/>
      <c r="T455" s="2663"/>
      <c r="U455" s="2663"/>
      <c r="V455" s="2663"/>
      <c r="W455" s="2663"/>
      <c r="X455" s="2663"/>
      <c r="Y455" s="2663"/>
      <c r="Z455" s="2663"/>
      <c r="AA455" s="2663"/>
      <c r="AB455" s="2663"/>
      <c r="AC455" s="2663"/>
      <c r="AD455" s="2663"/>
      <c r="AE455" s="2663"/>
      <c r="AF455" s="2663"/>
      <c r="AG455" s="2663"/>
      <c r="AH455" s="2663"/>
      <c r="AI455" s="2664"/>
      <c r="AJ455" s="667"/>
      <c r="AK455" s="667"/>
      <c r="AL455" s="667"/>
      <c r="AM455" s="667"/>
      <c r="AN455" s="667"/>
      <c r="AO455" s="667"/>
      <c r="AP455" s="667"/>
      <c r="AQ455" s="667"/>
      <c r="AR455" s="667"/>
      <c r="AS455" s="667"/>
      <c r="AT455" s="667"/>
      <c r="AU455" s="668"/>
      <c r="AW455" s="381"/>
      <c r="AX455" s="381"/>
    </row>
    <row r="456" spans="1:53" ht="15.75" customHeight="1">
      <c r="A456" s="8"/>
      <c r="B456" s="616"/>
      <c r="C456" s="616"/>
      <c r="D456" s="616"/>
      <c r="E456" s="616"/>
      <c r="F456" s="616"/>
      <c r="G456" s="616"/>
      <c r="H456" s="616"/>
      <c r="I456" s="616"/>
      <c r="J456" s="616"/>
      <c r="K456" s="616"/>
      <c r="L456" s="616"/>
      <c r="M456" s="616"/>
      <c r="N456" s="616"/>
      <c r="O456" s="616"/>
      <c r="P456" s="616"/>
      <c r="Q456" s="616"/>
      <c r="R456" s="616"/>
      <c r="S456" s="616"/>
      <c r="T456" s="616"/>
      <c r="U456" s="616"/>
      <c r="V456" s="616"/>
      <c r="W456" s="616"/>
      <c r="X456" s="616"/>
      <c r="Y456" s="9"/>
      <c r="Z456" s="140"/>
      <c r="AA456" s="141" t="s">
        <v>11</v>
      </c>
      <c r="AB456" s="141" t="s">
        <v>10</v>
      </c>
      <c r="AC456" s="141" t="s">
        <v>16</v>
      </c>
      <c r="AD456" s="141" t="s">
        <v>9</v>
      </c>
      <c r="AE456" s="141"/>
      <c r="AF456" s="141"/>
      <c r="AG456" s="141"/>
      <c r="AH456" s="141"/>
      <c r="AI456" s="141"/>
      <c r="AJ456" s="142"/>
      <c r="AK456" s="142"/>
      <c r="AL456" s="142"/>
      <c r="AM456" s="142"/>
      <c r="AN456" s="142"/>
      <c r="AO456" s="142"/>
      <c r="AP456" s="142"/>
      <c r="AQ456" s="142"/>
      <c r="AR456" s="142"/>
      <c r="AS456" s="142"/>
      <c r="AT456" s="142"/>
      <c r="AU456" s="615"/>
      <c r="AW456" s="381"/>
      <c r="AX456" s="381"/>
    </row>
    <row r="457" spans="1:53" ht="15.75" customHeight="1">
      <c r="A457" s="8"/>
      <c r="B457" s="616"/>
      <c r="C457" s="616"/>
      <c r="D457" s="616"/>
      <c r="E457" s="616"/>
      <c r="F457" s="616"/>
      <c r="G457" s="616"/>
      <c r="H457" s="616"/>
      <c r="I457" s="616"/>
      <c r="J457" s="616"/>
      <c r="K457" s="616"/>
      <c r="L457" s="616"/>
      <c r="M457" s="616"/>
      <c r="N457" s="616"/>
      <c r="O457" s="616"/>
      <c r="P457" s="616"/>
      <c r="Q457" s="616"/>
      <c r="R457" s="616"/>
      <c r="S457" s="616"/>
      <c r="T457" s="616"/>
      <c r="U457" s="616"/>
      <c r="V457" s="616"/>
      <c r="W457" s="616"/>
      <c r="X457" s="616"/>
      <c r="Y457" s="9"/>
      <c r="Z457" s="2626"/>
      <c r="AA457" s="2627"/>
      <c r="AB457" s="2627"/>
      <c r="AC457" s="2627"/>
      <c r="AD457" s="2627"/>
      <c r="AE457" s="2627"/>
      <c r="AF457" s="2627"/>
      <c r="AG457" s="2627"/>
      <c r="AH457" s="2627"/>
      <c r="AI457" s="2627"/>
      <c r="AJ457" s="2627"/>
      <c r="AK457" s="2627"/>
      <c r="AL457" s="2627"/>
      <c r="AM457" s="2627"/>
      <c r="AN457" s="2627"/>
      <c r="AO457" s="198"/>
      <c r="AP457" s="198"/>
      <c r="AQ457" s="198"/>
      <c r="AR457" s="198"/>
      <c r="AS457" s="198"/>
      <c r="AT457" s="198"/>
      <c r="AU457" s="199"/>
      <c r="AW457" s="381"/>
      <c r="AX457" s="381"/>
    </row>
    <row r="458" spans="1:53" ht="15.75" customHeight="1">
      <c r="A458" s="8"/>
      <c r="B458" s="616"/>
      <c r="C458" s="616"/>
      <c r="D458" s="616"/>
      <c r="E458" s="616"/>
      <c r="F458" s="616"/>
      <c r="G458" s="616"/>
      <c r="H458" s="616"/>
      <c r="I458" s="616"/>
      <c r="J458" s="616"/>
      <c r="K458" s="616"/>
      <c r="L458" s="616"/>
      <c r="M458" s="616"/>
      <c r="N458" s="616"/>
      <c r="O458" s="616"/>
      <c r="P458" s="616"/>
      <c r="Q458" s="616"/>
      <c r="R458" s="616"/>
      <c r="S458" s="616"/>
      <c r="T458" s="616"/>
      <c r="U458" s="616"/>
      <c r="V458" s="616"/>
      <c r="W458" s="616"/>
      <c r="X458" s="616"/>
      <c r="Y458" s="9"/>
      <c r="Z458" s="2611" t="str">
        <f>IFERROR(VLOOKUP(16,'1_入力シート【基本情報】'!$DU$307:$DZ$526,5,FALSE),"")</f>
        <v/>
      </c>
      <c r="AA458" s="2612"/>
      <c r="AB458" s="2612"/>
      <c r="AC458" s="2612"/>
      <c r="AD458" s="2612"/>
      <c r="AE458" s="2612"/>
      <c r="AF458" s="2612"/>
      <c r="AG458" s="2612"/>
      <c r="AH458" s="2612"/>
      <c r="AI458" s="2612"/>
      <c r="AJ458" s="2612"/>
      <c r="AK458" s="2612"/>
      <c r="AL458" s="2612"/>
      <c r="AM458" s="2612"/>
      <c r="AN458" s="2612"/>
      <c r="AO458" s="2612"/>
      <c r="AP458" s="2612"/>
      <c r="AQ458" s="2612"/>
      <c r="AR458" s="2612"/>
      <c r="AS458" s="2612"/>
      <c r="AT458" s="2612"/>
      <c r="AU458" s="2613"/>
      <c r="AW458" s="381"/>
      <c r="AX458" s="381"/>
    </row>
    <row r="459" spans="1:53" ht="15.75" customHeight="1">
      <c r="A459" s="8"/>
      <c r="B459" s="616"/>
      <c r="C459" s="616"/>
      <c r="D459" s="616"/>
      <c r="E459" s="616"/>
      <c r="F459" s="616"/>
      <c r="G459" s="616"/>
      <c r="H459" s="616"/>
      <c r="I459" s="616"/>
      <c r="J459" s="616"/>
      <c r="K459" s="616"/>
      <c r="L459" s="616"/>
      <c r="M459" s="616"/>
      <c r="N459" s="616"/>
      <c r="O459" s="616"/>
      <c r="P459" s="616"/>
      <c r="Q459" s="616"/>
      <c r="R459" s="616"/>
      <c r="S459" s="616"/>
      <c r="T459" s="616"/>
      <c r="U459" s="616"/>
      <c r="V459" s="616"/>
      <c r="W459" s="616"/>
      <c r="X459" s="616"/>
      <c r="Y459" s="9"/>
      <c r="Z459" s="2614"/>
      <c r="AA459" s="2615"/>
      <c r="AB459" s="2615"/>
      <c r="AC459" s="2615"/>
      <c r="AD459" s="2615"/>
      <c r="AE459" s="2615"/>
      <c r="AF459" s="2615"/>
      <c r="AG459" s="2615"/>
      <c r="AH459" s="2615"/>
      <c r="AI459" s="2615"/>
      <c r="AJ459" s="2615"/>
      <c r="AK459" s="2615"/>
      <c r="AL459" s="2615"/>
      <c r="AM459" s="2615"/>
      <c r="AN459" s="2615"/>
      <c r="AO459" s="2615"/>
      <c r="AP459" s="2615"/>
      <c r="AQ459" s="2615"/>
      <c r="AR459" s="2615"/>
      <c r="AS459" s="2615"/>
      <c r="AT459" s="2615"/>
      <c r="AU459" s="2616"/>
      <c r="AW459" s="381"/>
      <c r="AX459" s="381"/>
    </row>
    <row r="460" spans="1:53" ht="15.75" customHeight="1">
      <c r="A460" s="8"/>
      <c r="B460" s="616"/>
      <c r="C460" s="616"/>
      <c r="D460" s="616"/>
      <c r="E460" s="616"/>
      <c r="F460" s="616"/>
      <c r="G460" s="616"/>
      <c r="H460" s="616"/>
      <c r="I460" s="616"/>
      <c r="J460" s="616"/>
      <c r="K460" s="616"/>
      <c r="L460" s="616"/>
      <c r="M460" s="616"/>
      <c r="N460" s="616"/>
      <c r="O460" s="616"/>
      <c r="P460" s="616"/>
      <c r="Q460" s="616"/>
      <c r="R460" s="616"/>
      <c r="S460" s="616"/>
      <c r="T460" s="616"/>
      <c r="U460" s="616"/>
      <c r="V460" s="616"/>
      <c r="W460" s="616"/>
      <c r="X460" s="616"/>
      <c r="Y460" s="9"/>
      <c r="Z460" s="2617"/>
      <c r="AA460" s="2618"/>
      <c r="AB460" s="2618"/>
      <c r="AC460" s="2618"/>
      <c r="AD460" s="2618"/>
      <c r="AE460" s="2618"/>
      <c r="AF460" s="2618"/>
      <c r="AG460" s="2618"/>
      <c r="AH460" s="2618"/>
      <c r="AI460" s="2618"/>
      <c r="AJ460" s="2618"/>
      <c r="AK460" s="2618"/>
      <c r="AL460" s="2618"/>
      <c r="AM460" s="2618"/>
      <c r="AN460" s="2618"/>
      <c r="AO460" s="2618"/>
      <c r="AP460" s="2618"/>
      <c r="AQ460" s="2618"/>
      <c r="AR460" s="2618"/>
      <c r="AS460" s="2618"/>
      <c r="AT460" s="2618"/>
      <c r="AU460" s="2619"/>
      <c r="AW460" s="381"/>
      <c r="AX460" s="381"/>
    </row>
    <row r="461" spans="1:53" ht="15.75" customHeight="1">
      <c r="A461" s="8"/>
      <c r="B461" s="669"/>
      <c r="C461" s="669"/>
      <c r="D461" s="669"/>
      <c r="E461" s="669"/>
      <c r="F461" s="669"/>
      <c r="G461" s="669"/>
      <c r="H461" s="669"/>
      <c r="I461" s="669"/>
      <c r="J461" s="669"/>
      <c r="K461" s="669"/>
      <c r="L461" s="669"/>
      <c r="M461" s="669"/>
      <c r="N461" s="669"/>
      <c r="O461" s="669"/>
      <c r="P461" s="669"/>
      <c r="Q461" s="669"/>
      <c r="R461" s="669"/>
      <c r="S461" s="669"/>
      <c r="T461" s="669"/>
      <c r="U461" s="669"/>
      <c r="V461" s="669"/>
      <c r="W461" s="669"/>
      <c r="X461" s="669"/>
      <c r="Y461" s="9"/>
      <c r="Z461" s="2620"/>
      <c r="AA461" s="2621"/>
      <c r="AB461" s="2621"/>
      <c r="AC461" s="2621"/>
      <c r="AD461" s="2621"/>
      <c r="AE461" s="2621"/>
      <c r="AF461" s="2621"/>
      <c r="AG461" s="2621"/>
      <c r="AH461" s="2621"/>
      <c r="AI461" s="2621"/>
      <c r="AJ461" s="2621"/>
      <c r="AK461" s="2621"/>
      <c r="AL461" s="2621"/>
      <c r="AM461" s="2621"/>
      <c r="AN461" s="2621"/>
      <c r="AO461" s="2621"/>
      <c r="AP461" s="2621"/>
      <c r="AQ461" s="2621"/>
      <c r="AR461" s="2621"/>
      <c r="AS461" s="2621"/>
      <c r="AT461" s="2621"/>
      <c r="AU461" s="2622"/>
      <c r="AW461" s="381"/>
      <c r="AX461" s="381"/>
    </row>
    <row r="462" spans="1:53" ht="15.75" customHeight="1">
      <c r="A462" s="8"/>
      <c r="B462" s="669"/>
      <c r="C462" s="669"/>
      <c r="D462" s="669"/>
      <c r="E462" s="669"/>
      <c r="F462" s="669"/>
      <c r="G462" s="669"/>
      <c r="H462" s="669"/>
      <c r="I462" s="669"/>
      <c r="J462" s="669"/>
      <c r="K462" s="669"/>
      <c r="L462" s="669"/>
      <c r="M462" s="669"/>
      <c r="N462" s="669"/>
      <c r="O462" s="669"/>
      <c r="P462" s="669"/>
      <c r="Q462" s="669"/>
      <c r="R462" s="669"/>
      <c r="S462" s="669"/>
      <c r="T462" s="669"/>
      <c r="U462" s="669"/>
      <c r="V462" s="669"/>
      <c r="W462" s="669"/>
      <c r="X462" s="669"/>
      <c r="Y462" s="9"/>
      <c r="Z462" s="2620"/>
      <c r="AA462" s="2621"/>
      <c r="AB462" s="2621"/>
      <c r="AC462" s="2621"/>
      <c r="AD462" s="2621"/>
      <c r="AE462" s="2621"/>
      <c r="AF462" s="2621"/>
      <c r="AG462" s="2621"/>
      <c r="AH462" s="2621"/>
      <c r="AI462" s="2621"/>
      <c r="AJ462" s="2621"/>
      <c r="AK462" s="2621"/>
      <c r="AL462" s="2621"/>
      <c r="AM462" s="2621"/>
      <c r="AN462" s="2621"/>
      <c r="AO462" s="2621"/>
      <c r="AP462" s="2621"/>
      <c r="AQ462" s="2621"/>
      <c r="AR462" s="2621"/>
      <c r="AS462" s="2621"/>
      <c r="AT462" s="2621"/>
      <c r="AU462" s="2622"/>
      <c r="AW462" s="381"/>
      <c r="AX462" s="381"/>
    </row>
    <row r="463" spans="1:53" ht="15.75" customHeight="1">
      <c r="A463" s="8"/>
      <c r="B463" s="669"/>
      <c r="C463" s="669"/>
      <c r="D463" s="669"/>
      <c r="E463" s="669"/>
      <c r="F463" s="669"/>
      <c r="G463" s="669"/>
      <c r="H463" s="669"/>
      <c r="I463" s="669"/>
      <c r="J463" s="669"/>
      <c r="K463" s="669"/>
      <c r="L463" s="669"/>
      <c r="M463" s="669"/>
      <c r="N463" s="669"/>
      <c r="O463" s="669"/>
      <c r="P463" s="669"/>
      <c r="Q463" s="669"/>
      <c r="R463" s="669"/>
      <c r="S463" s="669"/>
      <c r="T463" s="669"/>
      <c r="U463" s="669"/>
      <c r="V463" s="669"/>
      <c r="W463" s="669"/>
      <c r="X463" s="669"/>
      <c r="Y463" s="9"/>
      <c r="Z463" s="2620"/>
      <c r="AA463" s="2621"/>
      <c r="AB463" s="2621"/>
      <c r="AC463" s="2621"/>
      <c r="AD463" s="2621"/>
      <c r="AE463" s="2621"/>
      <c r="AF463" s="2621"/>
      <c r="AG463" s="2621"/>
      <c r="AH463" s="2621"/>
      <c r="AI463" s="2621"/>
      <c r="AJ463" s="2621"/>
      <c r="AK463" s="2621"/>
      <c r="AL463" s="2621"/>
      <c r="AM463" s="2621"/>
      <c r="AN463" s="2621"/>
      <c r="AO463" s="2621"/>
      <c r="AP463" s="2621"/>
      <c r="AQ463" s="2621"/>
      <c r="AR463" s="2621"/>
      <c r="AS463" s="2621"/>
      <c r="AT463" s="2621"/>
      <c r="AU463" s="2622"/>
      <c r="AW463" s="381"/>
      <c r="AX463" s="381"/>
    </row>
    <row r="464" spans="1:53" ht="15.75" customHeight="1">
      <c r="A464" s="8"/>
      <c r="B464" s="669"/>
      <c r="C464" s="669"/>
      <c r="D464" s="669"/>
      <c r="E464" s="669"/>
      <c r="F464" s="669"/>
      <c r="G464" s="669"/>
      <c r="H464" s="669"/>
      <c r="I464" s="669"/>
      <c r="J464" s="669"/>
      <c r="K464" s="2629" t="s">
        <v>164</v>
      </c>
      <c r="L464" s="2629"/>
      <c r="M464" s="2629"/>
      <c r="N464" s="2629"/>
      <c r="O464" s="2629"/>
      <c r="P464" s="2629"/>
      <c r="Q464" s="669"/>
      <c r="R464" s="669"/>
      <c r="S464" s="669"/>
      <c r="T464" s="669"/>
      <c r="U464" s="669"/>
      <c r="V464" s="669"/>
      <c r="W464" s="669"/>
      <c r="X464" s="669"/>
      <c r="Y464" s="9"/>
      <c r="Z464" s="2620"/>
      <c r="AA464" s="2621"/>
      <c r="AB464" s="2621"/>
      <c r="AC464" s="2621"/>
      <c r="AD464" s="2621"/>
      <c r="AE464" s="2621"/>
      <c r="AF464" s="2621"/>
      <c r="AG464" s="2621"/>
      <c r="AH464" s="2621"/>
      <c r="AI464" s="2621"/>
      <c r="AJ464" s="2621"/>
      <c r="AK464" s="2621"/>
      <c r="AL464" s="2621"/>
      <c r="AM464" s="2621"/>
      <c r="AN464" s="2621"/>
      <c r="AO464" s="2621"/>
      <c r="AP464" s="2621"/>
      <c r="AQ464" s="2621"/>
      <c r="AR464" s="2621"/>
      <c r="AS464" s="2621"/>
      <c r="AT464" s="2621"/>
      <c r="AU464" s="2622"/>
      <c r="AW464" s="381"/>
      <c r="AX464" s="381"/>
    </row>
    <row r="465" spans="1:50" ht="15.75" customHeight="1">
      <c r="A465" s="8"/>
      <c r="B465" s="669"/>
      <c r="C465" s="669"/>
      <c r="D465" s="669"/>
      <c r="E465" s="669"/>
      <c r="F465" s="669"/>
      <c r="G465" s="669"/>
      <c r="H465" s="669"/>
      <c r="I465" s="669"/>
      <c r="J465" s="669"/>
      <c r="K465" s="669"/>
      <c r="L465" s="669"/>
      <c r="M465" s="669"/>
      <c r="N465" s="669"/>
      <c r="O465" s="669"/>
      <c r="P465" s="669"/>
      <c r="Q465" s="669"/>
      <c r="R465" s="669"/>
      <c r="S465" s="669"/>
      <c r="T465" s="669"/>
      <c r="U465" s="669"/>
      <c r="V465" s="669"/>
      <c r="W465" s="669"/>
      <c r="X465" s="669"/>
      <c r="Y465" s="9"/>
      <c r="Z465" s="2620"/>
      <c r="AA465" s="2621"/>
      <c r="AB465" s="2621"/>
      <c r="AC465" s="2621"/>
      <c r="AD465" s="2621"/>
      <c r="AE465" s="2621"/>
      <c r="AF465" s="2621"/>
      <c r="AG465" s="2621"/>
      <c r="AH465" s="2621"/>
      <c r="AI465" s="2621"/>
      <c r="AJ465" s="2621"/>
      <c r="AK465" s="2621"/>
      <c r="AL465" s="2621"/>
      <c r="AM465" s="2621"/>
      <c r="AN465" s="2621"/>
      <c r="AO465" s="2621"/>
      <c r="AP465" s="2621"/>
      <c r="AQ465" s="2621"/>
      <c r="AR465" s="2621"/>
      <c r="AS465" s="2621"/>
      <c r="AT465" s="2621"/>
      <c r="AU465" s="2622"/>
      <c r="AW465" s="381"/>
      <c r="AX465" s="381"/>
    </row>
    <row r="466" spans="1:50" ht="15.75" customHeight="1">
      <c r="A466" s="8"/>
      <c r="B466" s="669"/>
      <c r="C466" s="669"/>
      <c r="D466" s="669"/>
      <c r="E466" s="669"/>
      <c r="F466" s="669"/>
      <c r="G466" s="669"/>
      <c r="H466" s="669"/>
      <c r="I466" s="669"/>
      <c r="J466" s="669"/>
      <c r="K466" s="669"/>
      <c r="L466" s="669"/>
      <c r="M466" s="669"/>
      <c r="N466" s="669"/>
      <c r="O466" s="669"/>
      <c r="P466" s="669"/>
      <c r="Q466" s="669"/>
      <c r="R466" s="669"/>
      <c r="S466" s="669"/>
      <c r="T466" s="669"/>
      <c r="U466" s="669"/>
      <c r="V466" s="669"/>
      <c r="W466" s="669"/>
      <c r="X466" s="669"/>
      <c r="Y466" s="9"/>
      <c r="Z466" s="2620"/>
      <c r="AA466" s="2621"/>
      <c r="AB466" s="2621"/>
      <c r="AC466" s="2621"/>
      <c r="AD466" s="2621"/>
      <c r="AE466" s="2621"/>
      <c r="AF466" s="2621"/>
      <c r="AG466" s="2621"/>
      <c r="AH466" s="2621"/>
      <c r="AI466" s="2621"/>
      <c r="AJ466" s="2621"/>
      <c r="AK466" s="2621"/>
      <c r="AL466" s="2621"/>
      <c r="AM466" s="2621"/>
      <c r="AN466" s="2621"/>
      <c r="AO466" s="2621"/>
      <c r="AP466" s="2621"/>
      <c r="AQ466" s="2621"/>
      <c r="AR466" s="2621"/>
      <c r="AS466" s="2621"/>
      <c r="AT466" s="2621"/>
      <c r="AU466" s="2622"/>
      <c r="AW466" s="381"/>
      <c r="AX466" s="381"/>
    </row>
    <row r="467" spans="1:50" ht="15.75" customHeight="1">
      <c r="A467" s="8"/>
      <c r="B467" s="669"/>
      <c r="C467" s="669"/>
      <c r="D467" s="669"/>
      <c r="E467" s="669"/>
      <c r="F467" s="669"/>
      <c r="G467" s="669"/>
      <c r="H467" s="669"/>
      <c r="I467" s="669"/>
      <c r="J467" s="669"/>
      <c r="K467" s="669"/>
      <c r="L467" s="669"/>
      <c r="M467" s="669"/>
      <c r="N467" s="669"/>
      <c r="O467" s="669"/>
      <c r="P467" s="669"/>
      <c r="Q467" s="669"/>
      <c r="R467" s="669"/>
      <c r="S467" s="669"/>
      <c r="T467" s="669"/>
      <c r="U467" s="669"/>
      <c r="V467" s="669"/>
      <c r="W467" s="669"/>
      <c r="X467" s="669"/>
      <c r="Y467" s="9"/>
      <c r="Z467" s="2620"/>
      <c r="AA467" s="2621"/>
      <c r="AB467" s="2621"/>
      <c r="AC467" s="2621"/>
      <c r="AD467" s="2621"/>
      <c r="AE467" s="2621"/>
      <c r="AF467" s="2621"/>
      <c r="AG467" s="2621"/>
      <c r="AH467" s="2621"/>
      <c r="AI467" s="2621"/>
      <c r="AJ467" s="2621"/>
      <c r="AK467" s="2621"/>
      <c r="AL467" s="2621"/>
      <c r="AM467" s="2621"/>
      <c r="AN467" s="2621"/>
      <c r="AO467" s="2621"/>
      <c r="AP467" s="2621"/>
      <c r="AQ467" s="2621"/>
      <c r="AR467" s="2621"/>
      <c r="AS467" s="2621"/>
      <c r="AT467" s="2621"/>
      <c r="AU467" s="2622"/>
      <c r="AW467" s="381"/>
      <c r="AX467" s="381"/>
    </row>
    <row r="468" spans="1:50" ht="15.75" customHeight="1">
      <c r="A468" s="8"/>
      <c r="B468" s="669"/>
      <c r="C468" s="669"/>
      <c r="D468" s="669"/>
      <c r="E468" s="669"/>
      <c r="F468" s="669"/>
      <c r="G468" s="669"/>
      <c r="H468" s="669"/>
      <c r="I468" s="669"/>
      <c r="J468" s="669"/>
      <c r="K468" s="669"/>
      <c r="L468" s="669"/>
      <c r="M468" s="669"/>
      <c r="N468" s="669"/>
      <c r="O468" s="669"/>
      <c r="P468" s="669"/>
      <c r="Q468" s="669"/>
      <c r="R468" s="669"/>
      <c r="S468" s="669"/>
      <c r="T468" s="669"/>
      <c r="U468" s="669"/>
      <c r="V468" s="669"/>
      <c r="W468" s="669"/>
      <c r="X468" s="669"/>
      <c r="Y468" s="9"/>
      <c r="Z468" s="2620"/>
      <c r="AA468" s="2621"/>
      <c r="AB468" s="2621"/>
      <c r="AC468" s="2621"/>
      <c r="AD468" s="2621"/>
      <c r="AE468" s="2621"/>
      <c r="AF468" s="2621"/>
      <c r="AG468" s="2621"/>
      <c r="AH468" s="2621"/>
      <c r="AI468" s="2621"/>
      <c r="AJ468" s="2621"/>
      <c r="AK468" s="2621"/>
      <c r="AL468" s="2621"/>
      <c r="AM468" s="2621"/>
      <c r="AN468" s="2621"/>
      <c r="AO468" s="2621"/>
      <c r="AP468" s="2621"/>
      <c r="AQ468" s="2621"/>
      <c r="AR468" s="2621"/>
      <c r="AS468" s="2621"/>
      <c r="AT468" s="2621"/>
      <c r="AU468" s="2622"/>
      <c r="AW468" s="381"/>
      <c r="AX468" s="381"/>
    </row>
    <row r="469" spans="1:50" ht="15.75" customHeight="1">
      <c r="A469" s="8"/>
      <c r="B469" s="669"/>
      <c r="C469" s="669"/>
      <c r="D469" s="669"/>
      <c r="E469" s="669"/>
      <c r="F469" s="669"/>
      <c r="G469" s="669"/>
      <c r="H469" s="669"/>
      <c r="I469" s="669"/>
      <c r="J469" s="669"/>
      <c r="K469" s="669"/>
      <c r="L469" s="669"/>
      <c r="M469" s="669"/>
      <c r="N469" s="669"/>
      <c r="O469" s="669"/>
      <c r="P469" s="669"/>
      <c r="Q469" s="669"/>
      <c r="R469" s="669"/>
      <c r="S469" s="669"/>
      <c r="T469" s="669"/>
      <c r="U469" s="669"/>
      <c r="V469" s="669"/>
      <c r="W469" s="669"/>
      <c r="X469" s="669"/>
      <c r="Y469" s="9"/>
      <c r="Z469" s="2620"/>
      <c r="AA469" s="2621"/>
      <c r="AB469" s="2621"/>
      <c r="AC469" s="2621"/>
      <c r="AD469" s="2621"/>
      <c r="AE469" s="2621"/>
      <c r="AF469" s="2621"/>
      <c r="AG469" s="2621"/>
      <c r="AH469" s="2621"/>
      <c r="AI469" s="2621"/>
      <c r="AJ469" s="2621"/>
      <c r="AK469" s="2621"/>
      <c r="AL469" s="2621"/>
      <c r="AM469" s="2621"/>
      <c r="AN469" s="2621"/>
      <c r="AO469" s="2621"/>
      <c r="AP469" s="2621"/>
      <c r="AQ469" s="2621"/>
      <c r="AR469" s="2621"/>
      <c r="AS469" s="2621"/>
      <c r="AT469" s="2621"/>
      <c r="AU469" s="2622"/>
      <c r="AW469" s="381"/>
      <c r="AX469" s="381"/>
    </row>
    <row r="470" spans="1:50" ht="15.75" customHeight="1">
      <c r="A470" s="8"/>
      <c r="B470" s="669"/>
      <c r="C470" s="669"/>
      <c r="D470" s="669"/>
      <c r="E470" s="669"/>
      <c r="F470" s="669"/>
      <c r="G470" s="669"/>
      <c r="H470" s="669"/>
      <c r="I470" s="669"/>
      <c r="J470" s="669"/>
      <c r="K470" s="669"/>
      <c r="L470" s="669"/>
      <c r="M470" s="669"/>
      <c r="N470" s="669"/>
      <c r="O470" s="669"/>
      <c r="P470" s="669"/>
      <c r="Q470" s="669"/>
      <c r="R470" s="669"/>
      <c r="S470" s="669"/>
      <c r="T470" s="669"/>
      <c r="U470" s="669"/>
      <c r="V470" s="669"/>
      <c r="W470" s="669"/>
      <c r="X470" s="669"/>
      <c r="Y470" s="9"/>
      <c r="Z470" s="2620"/>
      <c r="AA470" s="2621"/>
      <c r="AB470" s="2621"/>
      <c r="AC470" s="2621"/>
      <c r="AD470" s="2621"/>
      <c r="AE470" s="2621"/>
      <c r="AF470" s="2621"/>
      <c r="AG470" s="2621"/>
      <c r="AH470" s="2621"/>
      <c r="AI470" s="2621"/>
      <c r="AJ470" s="2621"/>
      <c r="AK470" s="2621"/>
      <c r="AL470" s="2621"/>
      <c r="AM470" s="2621"/>
      <c r="AN470" s="2621"/>
      <c r="AO470" s="2621"/>
      <c r="AP470" s="2621"/>
      <c r="AQ470" s="2621"/>
      <c r="AR470" s="2621"/>
      <c r="AS470" s="2621"/>
      <c r="AT470" s="2621"/>
      <c r="AU470" s="2622"/>
      <c r="AW470" s="381"/>
      <c r="AX470" s="381"/>
    </row>
    <row r="471" spans="1:50" ht="15.75" customHeight="1">
      <c r="A471" s="8"/>
      <c r="B471" s="669"/>
      <c r="C471" s="669"/>
      <c r="D471" s="669"/>
      <c r="E471" s="669"/>
      <c r="F471" s="669"/>
      <c r="G471" s="669"/>
      <c r="H471" s="669"/>
      <c r="I471" s="669"/>
      <c r="J471" s="669"/>
      <c r="K471" s="669"/>
      <c r="L471" s="669"/>
      <c r="M471" s="669"/>
      <c r="N471" s="669"/>
      <c r="O471" s="669"/>
      <c r="P471" s="669"/>
      <c r="Q471" s="669"/>
      <c r="R471" s="669"/>
      <c r="S471" s="669"/>
      <c r="T471" s="669"/>
      <c r="U471" s="669"/>
      <c r="V471" s="669"/>
      <c r="W471" s="669"/>
      <c r="X471" s="669"/>
      <c r="Y471" s="9"/>
      <c r="Z471" s="2620"/>
      <c r="AA471" s="2621"/>
      <c r="AB471" s="2621"/>
      <c r="AC471" s="2621"/>
      <c r="AD471" s="2621"/>
      <c r="AE471" s="2621"/>
      <c r="AF471" s="2621"/>
      <c r="AG471" s="2621"/>
      <c r="AH471" s="2621"/>
      <c r="AI471" s="2621"/>
      <c r="AJ471" s="2621"/>
      <c r="AK471" s="2621"/>
      <c r="AL471" s="2621"/>
      <c r="AM471" s="2621"/>
      <c r="AN471" s="2621"/>
      <c r="AO471" s="2621"/>
      <c r="AP471" s="2621"/>
      <c r="AQ471" s="2621"/>
      <c r="AR471" s="2621"/>
      <c r="AS471" s="2621"/>
      <c r="AT471" s="2621"/>
      <c r="AU471" s="2622"/>
      <c r="AW471" s="381"/>
      <c r="AX471" s="381"/>
    </row>
    <row r="472" spans="1:50" ht="15.75" customHeight="1">
      <c r="A472" s="8"/>
      <c r="B472" s="669"/>
      <c r="C472" s="669"/>
      <c r="D472" s="669"/>
      <c r="E472" s="669"/>
      <c r="F472" s="669"/>
      <c r="G472" s="669"/>
      <c r="H472" s="669"/>
      <c r="I472" s="669"/>
      <c r="J472" s="669"/>
      <c r="K472" s="669"/>
      <c r="L472" s="669"/>
      <c r="M472" s="669"/>
      <c r="N472" s="669"/>
      <c r="O472" s="669"/>
      <c r="P472" s="669"/>
      <c r="Q472" s="669"/>
      <c r="R472" s="669"/>
      <c r="S472" s="669"/>
      <c r="T472" s="669"/>
      <c r="U472" s="669"/>
      <c r="V472" s="669"/>
      <c r="W472" s="669"/>
      <c r="X472" s="669"/>
      <c r="Y472" s="9"/>
      <c r="Z472" s="2620"/>
      <c r="AA472" s="2621"/>
      <c r="AB472" s="2621"/>
      <c r="AC472" s="2621"/>
      <c r="AD472" s="2621"/>
      <c r="AE472" s="2621"/>
      <c r="AF472" s="2621"/>
      <c r="AG472" s="2621"/>
      <c r="AH472" s="2621"/>
      <c r="AI472" s="2621"/>
      <c r="AJ472" s="2621"/>
      <c r="AK472" s="2621"/>
      <c r="AL472" s="2621"/>
      <c r="AM472" s="2621"/>
      <c r="AN472" s="2621"/>
      <c r="AO472" s="2621"/>
      <c r="AP472" s="2621"/>
      <c r="AQ472" s="2621"/>
      <c r="AR472" s="2621"/>
      <c r="AS472" s="2621"/>
      <c r="AT472" s="2621"/>
      <c r="AU472" s="2622"/>
      <c r="AW472" s="381"/>
      <c r="AX472" s="381"/>
    </row>
    <row r="473" spans="1:50" ht="15.75" customHeight="1">
      <c r="A473" s="12"/>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1"/>
      <c r="Z473" s="2623"/>
      <c r="AA473" s="2624"/>
      <c r="AB473" s="2624"/>
      <c r="AC473" s="2624"/>
      <c r="AD473" s="2624"/>
      <c r="AE473" s="2624"/>
      <c r="AF473" s="2624"/>
      <c r="AG473" s="2624"/>
      <c r="AH473" s="2624"/>
      <c r="AI473" s="2624"/>
      <c r="AJ473" s="2624"/>
      <c r="AK473" s="2624"/>
      <c r="AL473" s="2624"/>
      <c r="AM473" s="2624"/>
      <c r="AN473" s="2624"/>
      <c r="AO473" s="2624"/>
      <c r="AP473" s="2624"/>
      <c r="AQ473" s="2624"/>
      <c r="AR473" s="2624"/>
      <c r="AS473" s="2624"/>
      <c r="AT473" s="2624"/>
      <c r="AU473" s="2625"/>
      <c r="AW473" s="381"/>
      <c r="AX473" s="381"/>
    </row>
    <row r="474" spans="1:50" ht="12.75" customHeight="1">
      <c r="AW474" s="381"/>
      <c r="AX474" s="381"/>
    </row>
    <row r="475" spans="1:50" ht="12.75" customHeight="1">
      <c r="A475" s="2643" t="s">
        <v>157</v>
      </c>
      <c r="B475" s="2643"/>
      <c r="C475" s="2643"/>
      <c r="D475" s="2643"/>
      <c r="AU475" s="618"/>
      <c r="AW475" s="381"/>
      <c r="AX475" s="381"/>
    </row>
    <row r="476" spans="1:50" ht="12.75" customHeight="1">
      <c r="B476" s="619" t="s">
        <v>158</v>
      </c>
      <c r="C476" s="2609" t="s">
        <v>176</v>
      </c>
      <c r="D476" s="2609"/>
      <c r="E476" s="2609"/>
      <c r="F476" s="2609"/>
      <c r="G476" s="2609"/>
      <c r="H476" s="2609"/>
      <c r="I476" s="2609"/>
      <c r="J476" s="2609"/>
      <c r="K476" s="2609"/>
      <c r="L476" s="2609"/>
      <c r="M476" s="2609"/>
      <c r="N476" s="2609"/>
      <c r="O476" s="2609"/>
      <c r="P476" s="2609"/>
      <c r="Q476" s="2609"/>
      <c r="R476" s="2609"/>
      <c r="S476" s="2609"/>
      <c r="T476" s="2609"/>
      <c r="U476" s="2609"/>
      <c r="V476" s="2609"/>
      <c r="W476" s="2609"/>
      <c r="X476" s="2609"/>
      <c r="Y476" s="2609"/>
      <c r="Z476" s="2609"/>
      <c r="AA476" s="2609"/>
      <c r="AB476" s="2609"/>
      <c r="AC476" s="2609"/>
      <c r="AD476" s="2609"/>
      <c r="AE476" s="2609"/>
      <c r="AF476" s="2609"/>
      <c r="AG476" s="2609"/>
      <c r="AH476" s="2609"/>
      <c r="AI476" s="2609"/>
      <c r="AJ476" s="2609"/>
      <c r="AK476" s="2609"/>
      <c r="AL476" s="2609"/>
      <c r="AM476" s="2609"/>
      <c r="AN476" s="2609"/>
      <c r="AO476" s="2609"/>
      <c r="AP476" s="2609"/>
      <c r="AQ476" s="2609"/>
      <c r="AR476" s="2609"/>
      <c r="AS476" s="2609"/>
      <c r="AT476" s="2609"/>
      <c r="AU476" s="2609"/>
      <c r="AW476" s="381"/>
      <c r="AX476" s="381"/>
    </row>
    <row r="477" spans="1:50" ht="12.75" customHeight="1">
      <c r="B477" s="619"/>
      <c r="C477" s="2610" t="s">
        <v>177</v>
      </c>
      <c r="D477" s="2610"/>
      <c r="E477" s="2610"/>
      <c r="F477" s="2610"/>
      <c r="G477" s="2610"/>
      <c r="H477" s="2610"/>
      <c r="I477" s="2610"/>
      <c r="J477" s="2610"/>
      <c r="K477" s="2610"/>
      <c r="L477" s="2610"/>
      <c r="M477" s="2610"/>
      <c r="N477" s="2610"/>
      <c r="O477" s="2610"/>
      <c r="P477" s="2610"/>
      <c r="Q477" s="2610"/>
      <c r="R477" s="2610"/>
      <c r="S477" s="2610"/>
      <c r="T477" s="2610"/>
      <c r="U477" s="2610"/>
      <c r="V477" s="2610"/>
      <c r="W477" s="2610"/>
      <c r="X477" s="2610"/>
      <c r="Y477" s="2610"/>
      <c r="Z477" s="2610"/>
      <c r="AA477" s="2610"/>
      <c r="AB477" s="2610"/>
      <c r="AC477" s="2610"/>
      <c r="AD477" s="2610"/>
      <c r="AE477" s="2610"/>
      <c r="AF477" s="2610"/>
      <c r="AG477" s="2610"/>
      <c r="AH477" s="2610"/>
      <c r="AI477" s="2610"/>
      <c r="AJ477" s="2610"/>
      <c r="AK477" s="2610"/>
      <c r="AL477" s="2610"/>
      <c r="AM477" s="2610"/>
      <c r="AN477" s="2610"/>
      <c r="AO477" s="2610"/>
      <c r="AP477" s="2610"/>
      <c r="AQ477" s="2610"/>
      <c r="AR477" s="2610"/>
      <c r="AS477" s="2610"/>
      <c r="AT477" s="2610"/>
      <c r="AU477" s="2610"/>
      <c r="AW477" s="381"/>
      <c r="AX477" s="381"/>
    </row>
    <row r="478" spans="1:50" ht="12.75" customHeight="1">
      <c r="B478" s="619"/>
      <c r="C478" s="2610" t="s">
        <v>178</v>
      </c>
      <c r="D478" s="2610"/>
      <c r="E478" s="2610"/>
      <c r="F478" s="2610"/>
      <c r="G478" s="2610"/>
      <c r="H478" s="2610"/>
      <c r="I478" s="2610"/>
      <c r="J478" s="2610"/>
      <c r="K478" s="2610"/>
      <c r="L478" s="2610"/>
      <c r="M478" s="2610"/>
      <c r="N478" s="2610"/>
      <c r="O478" s="2610"/>
      <c r="P478" s="2610"/>
      <c r="Q478" s="2610"/>
      <c r="R478" s="2610"/>
      <c r="S478" s="2610"/>
      <c r="T478" s="2610"/>
      <c r="U478" s="2610"/>
      <c r="V478" s="2610"/>
      <c r="W478" s="2610"/>
      <c r="X478" s="2610"/>
      <c r="Y478" s="2610"/>
      <c r="Z478" s="2610"/>
      <c r="AA478" s="2610"/>
      <c r="AB478" s="2610"/>
      <c r="AC478" s="2610"/>
      <c r="AD478" s="2610"/>
      <c r="AE478" s="2610"/>
      <c r="AF478" s="2610"/>
      <c r="AG478" s="2610"/>
      <c r="AH478" s="2610"/>
      <c r="AI478" s="2610"/>
      <c r="AJ478" s="2610"/>
      <c r="AK478" s="2610"/>
      <c r="AL478" s="2610"/>
      <c r="AM478" s="2610"/>
      <c r="AN478" s="2610"/>
      <c r="AO478" s="2610"/>
      <c r="AP478" s="2610"/>
      <c r="AQ478" s="2610"/>
      <c r="AR478" s="2610"/>
      <c r="AS478" s="2610"/>
      <c r="AT478" s="2610"/>
      <c r="AU478" s="2610"/>
      <c r="AW478" s="381"/>
      <c r="AX478" s="381"/>
    </row>
    <row r="479" spans="1:50" ht="12.75" customHeight="1">
      <c r="B479" s="619" t="s">
        <v>165</v>
      </c>
      <c r="C479" s="2610" t="s">
        <v>166</v>
      </c>
      <c r="D479" s="2610"/>
      <c r="E479" s="2610"/>
      <c r="F479" s="2610"/>
      <c r="G479" s="2610"/>
      <c r="H479" s="2610"/>
      <c r="I479" s="2610"/>
      <c r="J479" s="2610"/>
      <c r="K479" s="2610"/>
      <c r="L479" s="2610"/>
      <c r="M479" s="2610"/>
      <c r="N479" s="2610"/>
      <c r="O479" s="2610"/>
      <c r="P479" s="2610"/>
      <c r="Q479" s="2610"/>
      <c r="R479" s="2610"/>
      <c r="S479" s="2610"/>
      <c r="T479" s="2610"/>
      <c r="U479" s="2610"/>
      <c r="V479" s="2610"/>
      <c r="W479" s="2610"/>
      <c r="X479" s="2610"/>
      <c r="Y479" s="2610"/>
      <c r="Z479" s="2610"/>
      <c r="AA479" s="2610"/>
      <c r="AB479" s="2610"/>
      <c r="AC479" s="2610"/>
      <c r="AD479" s="2610"/>
      <c r="AE479" s="2610"/>
      <c r="AF479" s="2610"/>
      <c r="AG479" s="2610"/>
      <c r="AH479" s="2610"/>
      <c r="AI479" s="2610"/>
      <c r="AJ479" s="2610"/>
      <c r="AK479" s="2610"/>
      <c r="AL479" s="2610"/>
      <c r="AM479" s="2610"/>
      <c r="AN479" s="2610"/>
      <c r="AO479" s="2610"/>
      <c r="AP479" s="2610"/>
      <c r="AQ479" s="2610"/>
      <c r="AR479" s="2610"/>
      <c r="AS479" s="2610"/>
      <c r="AT479" s="2610"/>
      <c r="AU479" s="2610"/>
      <c r="AW479" s="381"/>
      <c r="AX479" s="381"/>
    </row>
    <row r="480" spans="1:50" ht="12.75" customHeight="1">
      <c r="B480" s="619" t="s">
        <v>159</v>
      </c>
      <c r="C480" s="2610" t="s">
        <v>0</v>
      </c>
      <c r="D480" s="2610"/>
      <c r="E480" s="2610"/>
      <c r="F480" s="2610"/>
      <c r="G480" s="2610"/>
      <c r="H480" s="2610"/>
      <c r="I480" s="2610"/>
      <c r="J480" s="2610"/>
      <c r="K480" s="2610"/>
      <c r="L480" s="2610"/>
      <c r="M480" s="2610"/>
      <c r="N480" s="2610"/>
      <c r="O480" s="2610"/>
      <c r="P480" s="2610"/>
      <c r="Q480" s="2610"/>
      <c r="R480" s="2610"/>
      <c r="S480" s="2610"/>
      <c r="T480" s="2610"/>
      <c r="U480" s="2610"/>
      <c r="V480" s="2610"/>
      <c r="W480" s="2610"/>
      <c r="X480" s="2610"/>
      <c r="Y480" s="2610"/>
      <c r="Z480" s="2610"/>
      <c r="AA480" s="2610"/>
      <c r="AB480" s="2610"/>
      <c r="AC480" s="2610"/>
      <c r="AD480" s="2610"/>
      <c r="AE480" s="2610"/>
      <c r="AF480" s="2610"/>
      <c r="AG480" s="2610"/>
      <c r="AH480" s="2610"/>
      <c r="AI480" s="2610"/>
      <c r="AJ480" s="2610"/>
      <c r="AK480" s="2610"/>
      <c r="AL480" s="2610"/>
      <c r="AM480" s="2610"/>
      <c r="AN480" s="2610"/>
      <c r="AO480" s="2610"/>
      <c r="AP480" s="2610"/>
      <c r="AQ480" s="2610"/>
      <c r="AR480" s="2610"/>
      <c r="AS480" s="2610"/>
      <c r="AT480" s="2610"/>
      <c r="AU480" s="2610"/>
      <c r="AW480" s="381"/>
      <c r="AX480" s="381"/>
    </row>
    <row r="481" spans="1:53" ht="12.75" customHeight="1">
      <c r="B481" s="619" t="s">
        <v>167</v>
      </c>
      <c r="C481" s="2610" t="s">
        <v>179</v>
      </c>
      <c r="D481" s="2610"/>
      <c r="E481" s="2610"/>
      <c r="F481" s="2610"/>
      <c r="G481" s="2610"/>
      <c r="H481" s="2610"/>
      <c r="I481" s="2610"/>
      <c r="J481" s="2610"/>
      <c r="K481" s="2610"/>
      <c r="L481" s="2610"/>
      <c r="M481" s="2610"/>
      <c r="N481" s="2610"/>
      <c r="O481" s="2610"/>
      <c r="P481" s="2610"/>
      <c r="Q481" s="2610"/>
      <c r="R481" s="2610"/>
      <c r="S481" s="2610"/>
      <c r="T481" s="2610"/>
      <c r="U481" s="2610"/>
      <c r="V481" s="2610"/>
      <c r="W481" s="2610"/>
      <c r="X481" s="2610"/>
      <c r="Y481" s="2610"/>
      <c r="Z481" s="2610"/>
      <c r="AA481" s="2610"/>
      <c r="AB481" s="2610"/>
      <c r="AC481" s="2610"/>
      <c r="AD481" s="2610"/>
      <c r="AE481" s="2610"/>
      <c r="AF481" s="2610"/>
      <c r="AG481" s="2610"/>
      <c r="AH481" s="2610"/>
      <c r="AI481" s="2610"/>
      <c r="AJ481" s="2610"/>
      <c r="AK481" s="2610"/>
      <c r="AL481" s="2610"/>
      <c r="AM481" s="2610"/>
      <c r="AN481" s="2610"/>
      <c r="AO481" s="2610"/>
      <c r="AP481" s="2610"/>
      <c r="AQ481" s="2610"/>
      <c r="AR481" s="2610"/>
      <c r="AS481" s="2610"/>
      <c r="AT481" s="2610"/>
      <c r="AU481" s="2610"/>
      <c r="AW481" s="381"/>
      <c r="AX481" s="381"/>
    </row>
    <row r="482" spans="1:53" ht="12.75" customHeight="1">
      <c r="C482" s="2610" t="s">
        <v>180</v>
      </c>
      <c r="D482" s="2610"/>
      <c r="E482" s="2610"/>
      <c r="F482" s="2610"/>
      <c r="G482" s="2610"/>
      <c r="H482" s="2610"/>
      <c r="I482" s="2610"/>
      <c r="J482" s="2610"/>
      <c r="K482" s="2610"/>
      <c r="L482" s="2610"/>
      <c r="M482" s="2610"/>
      <c r="N482" s="2610"/>
      <c r="O482" s="2610"/>
      <c r="P482" s="2610"/>
      <c r="Q482" s="2610"/>
      <c r="R482" s="2610"/>
      <c r="S482" s="2610"/>
      <c r="T482" s="2610"/>
      <c r="U482" s="2610"/>
      <c r="V482" s="2610"/>
      <c r="W482" s="2610"/>
      <c r="X482" s="2610"/>
      <c r="Y482" s="2610"/>
      <c r="Z482" s="2610"/>
      <c r="AA482" s="2610"/>
      <c r="AB482" s="2610"/>
      <c r="AC482" s="2610"/>
      <c r="AD482" s="2610"/>
      <c r="AE482" s="2610"/>
      <c r="AF482" s="2610"/>
      <c r="AG482" s="2610"/>
      <c r="AH482" s="2610"/>
      <c r="AI482" s="2610"/>
      <c r="AJ482" s="2610"/>
      <c r="AK482" s="2610"/>
      <c r="AL482" s="2610"/>
      <c r="AM482" s="2610"/>
      <c r="AN482" s="2610"/>
      <c r="AO482" s="2610"/>
      <c r="AP482" s="2610"/>
      <c r="AQ482" s="2610"/>
      <c r="AR482" s="2610"/>
      <c r="AS482" s="2610"/>
      <c r="AT482" s="2610"/>
      <c r="AU482" s="2610"/>
      <c r="AW482" s="381"/>
      <c r="AX482" s="381"/>
    </row>
    <row r="483" spans="1:53" ht="12.75" customHeight="1">
      <c r="B483" s="619" t="s">
        <v>1</v>
      </c>
      <c r="C483" s="2610" t="s">
        <v>2</v>
      </c>
      <c r="D483" s="2610"/>
      <c r="E483" s="2610"/>
      <c r="F483" s="2610"/>
      <c r="G483" s="2610"/>
      <c r="H483" s="2610"/>
      <c r="I483" s="2610"/>
      <c r="J483" s="2610"/>
      <c r="K483" s="2610"/>
      <c r="L483" s="2610"/>
      <c r="M483" s="2610"/>
      <c r="N483" s="2610"/>
      <c r="O483" s="2610"/>
      <c r="P483" s="2610"/>
      <c r="Q483" s="2610"/>
      <c r="R483" s="2610"/>
      <c r="S483" s="2610"/>
      <c r="T483" s="2610"/>
      <c r="U483" s="2610"/>
      <c r="V483" s="2610"/>
      <c r="W483" s="2610"/>
      <c r="X483" s="2610"/>
      <c r="Y483" s="2610"/>
      <c r="Z483" s="2610"/>
      <c r="AA483" s="2610"/>
      <c r="AB483" s="2610"/>
      <c r="AC483" s="2610"/>
      <c r="AD483" s="2610"/>
      <c r="AE483" s="2610"/>
      <c r="AF483" s="2610"/>
      <c r="AG483" s="2610"/>
      <c r="AH483" s="2610"/>
      <c r="AI483" s="2610"/>
      <c r="AJ483" s="2610"/>
      <c r="AK483" s="2610"/>
      <c r="AL483" s="2610"/>
      <c r="AM483" s="2610"/>
      <c r="AN483" s="2610"/>
      <c r="AO483" s="2610"/>
      <c r="AP483" s="2610"/>
      <c r="AQ483" s="2610"/>
      <c r="AR483" s="2610"/>
      <c r="AS483" s="2610"/>
      <c r="AT483" s="2610"/>
      <c r="AU483" s="2610"/>
      <c r="AW483" s="381"/>
      <c r="AX483" s="381"/>
    </row>
    <row r="484" spans="1:53" ht="12.75" customHeight="1">
      <c r="AG484" s="618"/>
      <c r="AH484" s="618"/>
      <c r="AI484" s="618"/>
      <c r="AJ484" s="618"/>
      <c r="AK484" s="618"/>
      <c r="AL484" s="618"/>
      <c r="AM484" s="618"/>
      <c r="AN484" s="618"/>
      <c r="AO484" s="618"/>
      <c r="AP484" s="618"/>
      <c r="AQ484" s="618"/>
      <c r="AR484" s="618"/>
      <c r="AS484" s="618"/>
      <c r="AT484" s="618"/>
      <c r="AW484" s="381"/>
      <c r="AX484" s="381"/>
    </row>
    <row r="485" spans="1:53" ht="12.75" customHeight="1">
      <c r="AW485" s="381"/>
      <c r="AX485" s="381"/>
    </row>
    <row r="486" spans="1:53" ht="12.75" customHeight="1">
      <c r="A486" s="617" t="s">
        <v>18</v>
      </c>
      <c r="B486" s="617" t="s">
        <v>160</v>
      </c>
      <c r="C486" s="617">
        <v>2</v>
      </c>
      <c r="D486" s="617" t="s">
        <v>5</v>
      </c>
      <c r="E486" s="617" t="s">
        <v>6</v>
      </c>
      <c r="F486" s="617"/>
      <c r="G486" s="617" t="s">
        <v>25</v>
      </c>
      <c r="H486" s="617" t="s">
        <v>182</v>
      </c>
      <c r="I486" s="617">
        <v>4</v>
      </c>
      <c r="J486" s="617" t="s">
        <v>22</v>
      </c>
      <c r="AO486" s="758" t="str">
        <f>$AO$7</f>
        <v>Kyoto City(R4.11) ver112</v>
      </c>
      <c r="AP486" s="705" t="str">
        <f>IF('1_入力シート【基本情報】'!$AB$7="","",'1_入力シート【基本情報】'!$AB$7)</f>
        <v/>
      </c>
      <c r="AQ486" s="703" t="str">
        <f>IF('1_入力シート【基本情報】'!$AK$7="","",'1_入力シート【基本情報】'!$AK$7)</f>
        <v/>
      </c>
      <c r="AR486" s="2606" t="str">
        <f>IF('1_入力シート【基本情報】'!$AT$7="","",TEXT('1_入力シート【基本情報】'!$AT$7,"0000"))</f>
        <v/>
      </c>
      <c r="AS486" s="2607"/>
      <c r="AT486" s="2607"/>
      <c r="AU486" s="2608"/>
      <c r="AW486" s="381"/>
      <c r="AX486" s="381"/>
    </row>
    <row r="487" spans="1:53" ht="12.75" customHeight="1">
      <c r="U487" s="2665" t="s">
        <v>181</v>
      </c>
      <c r="V487" s="2665"/>
      <c r="W487" s="2665"/>
      <c r="X487" s="2665"/>
      <c r="Y487" s="2665"/>
      <c r="Z487" s="2665"/>
      <c r="AW487" s="381"/>
      <c r="AX487" s="381"/>
    </row>
    <row r="488" spans="1:53" ht="12.75" customHeight="1">
      <c r="AW488" s="381"/>
      <c r="AX488" s="381"/>
    </row>
    <row r="489" spans="1:53" ht="15.75" customHeight="1">
      <c r="A489" s="2634" t="s">
        <v>161</v>
      </c>
      <c r="B489" s="2635"/>
      <c r="C489" s="2636"/>
      <c r="D489" s="2653" t="s">
        <v>162</v>
      </c>
      <c r="E489" s="2654"/>
      <c r="F489" s="2654"/>
      <c r="G489" s="2654"/>
      <c r="H489" s="2654"/>
      <c r="I489" s="2654"/>
      <c r="J489" s="2655"/>
      <c r="K489" s="621"/>
      <c r="L489" s="622"/>
      <c r="M489" s="622"/>
      <c r="N489" s="622"/>
      <c r="O489" s="622"/>
      <c r="P489" s="622"/>
      <c r="Q489" s="622"/>
      <c r="R489" s="622"/>
      <c r="S489" s="623" t="s">
        <v>7</v>
      </c>
      <c r="T489" s="623" t="s">
        <v>8</v>
      </c>
      <c r="U489" s="623" t="s">
        <v>9</v>
      </c>
      <c r="V489" s="623" t="s">
        <v>163</v>
      </c>
      <c r="W489" s="623"/>
      <c r="X489" s="623"/>
      <c r="Y489" s="623"/>
      <c r="Z489" s="623"/>
      <c r="AA489" s="623"/>
      <c r="AB489" s="623"/>
      <c r="AC489" s="623"/>
      <c r="AD489" s="623"/>
      <c r="AE489" s="623"/>
      <c r="AF489" s="623"/>
      <c r="AG489" s="623"/>
      <c r="AH489" s="623"/>
      <c r="AI489" s="624"/>
      <c r="AJ489" s="625"/>
      <c r="AK489" s="2654" t="s">
        <v>33</v>
      </c>
      <c r="AL489" s="2654"/>
      <c r="AM489" s="2654"/>
      <c r="AN489" s="2654"/>
      <c r="AO489" s="2654"/>
      <c r="AP489" s="2654"/>
      <c r="AQ489" s="2654"/>
      <c r="AR489" s="2654"/>
      <c r="AS489" s="2654"/>
      <c r="AT489" s="2654"/>
      <c r="AU489" s="626"/>
      <c r="AW489" s="381"/>
      <c r="AX489" s="381"/>
    </row>
    <row r="490" spans="1:53" ht="15.75" customHeight="1" thickBot="1">
      <c r="A490" s="2647"/>
      <c r="B490" s="2648"/>
      <c r="C490" s="2649"/>
      <c r="D490" s="2634" t="str">
        <f>IFERROR(VLOOKUP(17,'1_入力シート【基本情報】'!$DU$307:$DX$526,3,FALSE),"")</f>
        <v/>
      </c>
      <c r="E490" s="2635"/>
      <c r="F490" s="2635"/>
      <c r="G490" s="2635"/>
      <c r="H490" s="2635"/>
      <c r="I490" s="2635"/>
      <c r="J490" s="2636"/>
      <c r="K490" s="2656" t="str">
        <f>IFERROR(VLOOKUP(17,'1_入力シート【基本情報】'!$DU$307:$DX$526,4,FALSE),"")</f>
        <v/>
      </c>
      <c r="L490" s="2657"/>
      <c r="M490" s="2657"/>
      <c r="N490" s="2657"/>
      <c r="O490" s="2657"/>
      <c r="P490" s="2657"/>
      <c r="Q490" s="2657"/>
      <c r="R490" s="2657"/>
      <c r="S490" s="2657"/>
      <c r="T490" s="2657"/>
      <c r="U490" s="2657"/>
      <c r="V490" s="2657"/>
      <c r="W490" s="2657"/>
      <c r="X490" s="2657"/>
      <c r="Y490" s="2657"/>
      <c r="Z490" s="2657"/>
      <c r="AA490" s="2657"/>
      <c r="AB490" s="2657"/>
      <c r="AC490" s="2657"/>
      <c r="AD490" s="2657"/>
      <c r="AE490" s="2657"/>
      <c r="AF490" s="2657"/>
      <c r="AG490" s="2657"/>
      <c r="AH490" s="2657"/>
      <c r="AI490" s="2658"/>
      <c r="AJ490" s="665"/>
      <c r="AK490" s="665"/>
      <c r="AL490" s="665"/>
      <c r="AM490" s="665"/>
      <c r="AN490" s="665"/>
      <c r="AO490" s="665"/>
      <c r="AP490" s="665"/>
      <c r="AQ490" s="665"/>
      <c r="AR490" s="665"/>
      <c r="AS490" s="665"/>
      <c r="AT490" s="665"/>
      <c r="AU490" s="666"/>
      <c r="AW490" s="381"/>
      <c r="AX490" s="381"/>
    </row>
    <row r="491" spans="1:53" ht="15.75" customHeight="1" thickBot="1">
      <c r="A491" s="2647"/>
      <c r="B491" s="2648"/>
      <c r="C491" s="2649"/>
      <c r="D491" s="2637"/>
      <c r="E491" s="2638"/>
      <c r="F491" s="2638"/>
      <c r="G491" s="2638"/>
      <c r="H491" s="2638"/>
      <c r="I491" s="2638"/>
      <c r="J491" s="2639"/>
      <c r="K491" s="2659"/>
      <c r="L491" s="2660"/>
      <c r="M491" s="2660"/>
      <c r="N491" s="2660"/>
      <c r="O491" s="2660"/>
      <c r="P491" s="2660"/>
      <c r="Q491" s="2660"/>
      <c r="R491" s="2660"/>
      <c r="S491" s="2660"/>
      <c r="T491" s="2660"/>
      <c r="U491" s="2660"/>
      <c r="V491" s="2660"/>
      <c r="W491" s="2660"/>
      <c r="X491" s="2660"/>
      <c r="Y491" s="2660"/>
      <c r="Z491" s="2660"/>
      <c r="AA491" s="2660"/>
      <c r="AB491" s="2660"/>
      <c r="AC491" s="2660"/>
      <c r="AD491" s="2660"/>
      <c r="AE491" s="2660"/>
      <c r="AF491" s="2660"/>
      <c r="AG491" s="2660"/>
      <c r="AH491" s="2660"/>
      <c r="AI491" s="2661"/>
      <c r="AJ491" s="665"/>
      <c r="AK491" s="665" t="str">
        <f>IF(D490&lt;&gt;"","☑","☐")</f>
        <v>☐</v>
      </c>
      <c r="AL491" s="665" t="s">
        <v>14</v>
      </c>
      <c r="AM491" s="665" t="s">
        <v>21</v>
      </c>
      <c r="AN491" s="665" t="s">
        <v>15</v>
      </c>
      <c r="AO491" s="665"/>
      <c r="AP491" s="783" t="s">
        <v>186</v>
      </c>
      <c r="AQ491" s="665" t="s">
        <v>27</v>
      </c>
      <c r="AR491" s="665" t="s">
        <v>23</v>
      </c>
      <c r="AS491" s="665" t="s">
        <v>13</v>
      </c>
      <c r="AT491" s="665"/>
      <c r="AU491" s="666"/>
      <c r="AV491" s="627"/>
      <c r="AW491" s="381"/>
      <c r="AX491" s="381"/>
      <c r="BA491" s="802" t="b">
        <f>AP491="☑"</f>
        <v>0</v>
      </c>
    </row>
    <row r="492" spans="1:53" ht="15.75" customHeight="1">
      <c r="A492" s="2650"/>
      <c r="B492" s="2651"/>
      <c r="C492" s="2652"/>
      <c r="D492" s="2640"/>
      <c r="E492" s="2641"/>
      <c r="F492" s="2641"/>
      <c r="G492" s="2641"/>
      <c r="H492" s="2641"/>
      <c r="I492" s="2641"/>
      <c r="J492" s="2642"/>
      <c r="K492" s="2662"/>
      <c r="L492" s="2663"/>
      <c r="M492" s="2663"/>
      <c r="N492" s="2663"/>
      <c r="O492" s="2663"/>
      <c r="P492" s="2663"/>
      <c r="Q492" s="2663"/>
      <c r="R492" s="2663"/>
      <c r="S492" s="2663"/>
      <c r="T492" s="2663"/>
      <c r="U492" s="2663"/>
      <c r="V492" s="2663"/>
      <c r="W492" s="2663"/>
      <c r="X492" s="2663"/>
      <c r="Y492" s="2663"/>
      <c r="Z492" s="2663"/>
      <c r="AA492" s="2663"/>
      <c r="AB492" s="2663"/>
      <c r="AC492" s="2663"/>
      <c r="AD492" s="2663"/>
      <c r="AE492" s="2663"/>
      <c r="AF492" s="2663"/>
      <c r="AG492" s="2663"/>
      <c r="AH492" s="2663"/>
      <c r="AI492" s="2664"/>
      <c r="AJ492" s="667"/>
      <c r="AK492" s="667"/>
      <c r="AL492" s="667"/>
      <c r="AM492" s="667"/>
      <c r="AN492" s="667"/>
      <c r="AO492" s="667"/>
      <c r="AP492" s="667"/>
      <c r="AQ492" s="667"/>
      <c r="AR492" s="667"/>
      <c r="AS492" s="667"/>
      <c r="AT492" s="667"/>
      <c r="AU492" s="668"/>
      <c r="AW492" s="381"/>
      <c r="AX492" s="381"/>
    </row>
    <row r="493" spans="1:53" ht="15.75" customHeight="1">
      <c r="A493" s="8"/>
      <c r="B493" s="616"/>
      <c r="C493" s="616"/>
      <c r="D493" s="616"/>
      <c r="E493" s="616"/>
      <c r="F493" s="616"/>
      <c r="G493" s="616"/>
      <c r="H493" s="616"/>
      <c r="I493" s="616"/>
      <c r="J493" s="616"/>
      <c r="K493" s="616"/>
      <c r="L493" s="616"/>
      <c r="M493" s="616"/>
      <c r="N493" s="616"/>
      <c r="O493" s="616"/>
      <c r="P493" s="616"/>
      <c r="Q493" s="616"/>
      <c r="R493" s="616"/>
      <c r="S493" s="616"/>
      <c r="T493" s="616"/>
      <c r="U493" s="616"/>
      <c r="V493" s="616"/>
      <c r="W493" s="616"/>
      <c r="X493" s="616"/>
      <c r="Y493" s="9"/>
      <c r="Z493" s="140"/>
      <c r="AA493" s="141" t="s">
        <v>11</v>
      </c>
      <c r="AB493" s="141" t="s">
        <v>10</v>
      </c>
      <c r="AC493" s="141" t="s">
        <v>16</v>
      </c>
      <c r="AD493" s="141" t="s">
        <v>9</v>
      </c>
      <c r="AE493" s="141"/>
      <c r="AF493" s="141"/>
      <c r="AG493" s="141"/>
      <c r="AH493" s="141"/>
      <c r="AI493" s="141"/>
      <c r="AJ493" s="142"/>
      <c r="AK493" s="142"/>
      <c r="AL493" s="142"/>
      <c r="AM493" s="142"/>
      <c r="AN493" s="142"/>
      <c r="AO493" s="142"/>
      <c r="AP493" s="142"/>
      <c r="AQ493" s="142"/>
      <c r="AR493" s="142"/>
      <c r="AS493" s="142"/>
      <c r="AT493" s="142"/>
      <c r="AU493" s="143"/>
      <c r="AW493" s="381"/>
      <c r="AX493" s="381"/>
    </row>
    <row r="494" spans="1:53" ht="15.75" customHeight="1">
      <c r="A494" s="8"/>
      <c r="B494" s="616"/>
      <c r="C494" s="616"/>
      <c r="D494" s="616"/>
      <c r="E494" s="616"/>
      <c r="F494" s="616"/>
      <c r="G494" s="616"/>
      <c r="H494" s="616"/>
      <c r="I494" s="616"/>
      <c r="J494" s="616"/>
      <c r="K494" s="616"/>
      <c r="L494" s="616"/>
      <c r="M494" s="616"/>
      <c r="N494" s="616"/>
      <c r="O494" s="616"/>
      <c r="P494" s="616"/>
      <c r="Q494" s="616"/>
      <c r="R494" s="616"/>
      <c r="S494" s="616"/>
      <c r="T494" s="616"/>
      <c r="U494" s="616"/>
      <c r="V494" s="616"/>
      <c r="W494" s="616"/>
      <c r="X494" s="616"/>
      <c r="Y494" s="9"/>
      <c r="Z494" s="2626"/>
      <c r="AA494" s="2627"/>
      <c r="AB494" s="2627"/>
      <c r="AC494" s="2627"/>
      <c r="AD494" s="2627"/>
      <c r="AE494" s="2627"/>
      <c r="AF494" s="2627"/>
      <c r="AG494" s="2627"/>
      <c r="AH494" s="2627"/>
      <c r="AI494" s="2627"/>
      <c r="AJ494" s="2627"/>
      <c r="AK494" s="2627"/>
      <c r="AL494" s="2627"/>
      <c r="AM494" s="2627"/>
      <c r="AN494" s="2627"/>
      <c r="AO494" s="198"/>
      <c r="AP494" s="198"/>
      <c r="AQ494" s="198"/>
      <c r="AR494" s="198"/>
      <c r="AS494" s="198"/>
      <c r="AT494" s="198"/>
      <c r="AU494" s="199"/>
      <c r="AW494" s="381"/>
      <c r="AX494" s="381"/>
    </row>
    <row r="495" spans="1:53" ht="15.75" customHeight="1">
      <c r="A495" s="8"/>
      <c r="B495" s="616"/>
      <c r="C495" s="616"/>
      <c r="D495" s="616"/>
      <c r="E495" s="616"/>
      <c r="F495" s="616"/>
      <c r="G495" s="616"/>
      <c r="H495" s="616"/>
      <c r="I495" s="616"/>
      <c r="J495" s="616"/>
      <c r="K495" s="616"/>
      <c r="L495" s="616"/>
      <c r="M495" s="616"/>
      <c r="N495" s="616"/>
      <c r="O495" s="616"/>
      <c r="P495" s="616"/>
      <c r="Q495" s="616"/>
      <c r="R495" s="616"/>
      <c r="S495" s="616"/>
      <c r="T495" s="616"/>
      <c r="U495" s="616"/>
      <c r="V495" s="616"/>
      <c r="W495" s="616"/>
      <c r="X495" s="616"/>
      <c r="Y495" s="9"/>
      <c r="Z495" s="2611" t="str">
        <f>IFERROR(VLOOKUP(17,'1_入力シート【基本情報】'!$DU$307:$DZ$526,5,FALSE),"")</f>
        <v/>
      </c>
      <c r="AA495" s="2612"/>
      <c r="AB495" s="2612"/>
      <c r="AC495" s="2612"/>
      <c r="AD495" s="2612"/>
      <c r="AE495" s="2612"/>
      <c r="AF495" s="2612"/>
      <c r="AG495" s="2612"/>
      <c r="AH495" s="2612"/>
      <c r="AI495" s="2612"/>
      <c r="AJ495" s="2612"/>
      <c r="AK495" s="2612"/>
      <c r="AL495" s="2612"/>
      <c r="AM495" s="2612"/>
      <c r="AN495" s="2612"/>
      <c r="AO495" s="2612"/>
      <c r="AP495" s="2612"/>
      <c r="AQ495" s="2612"/>
      <c r="AR495" s="2612"/>
      <c r="AS495" s="2612"/>
      <c r="AT495" s="2612"/>
      <c r="AU495" s="2613"/>
      <c r="AW495" s="381"/>
      <c r="AX495" s="381"/>
    </row>
    <row r="496" spans="1:53" ht="15.75" customHeight="1">
      <c r="A496" s="8"/>
      <c r="B496" s="616"/>
      <c r="C496" s="616"/>
      <c r="D496" s="616"/>
      <c r="E496" s="616"/>
      <c r="F496" s="616"/>
      <c r="G496" s="616"/>
      <c r="H496" s="616"/>
      <c r="I496" s="616"/>
      <c r="J496" s="616"/>
      <c r="K496" s="616"/>
      <c r="L496" s="616"/>
      <c r="M496" s="616"/>
      <c r="N496" s="616"/>
      <c r="O496" s="616"/>
      <c r="P496" s="616"/>
      <c r="Q496" s="616"/>
      <c r="R496" s="616"/>
      <c r="S496" s="616"/>
      <c r="T496" s="616"/>
      <c r="U496" s="616"/>
      <c r="V496" s="616"/>
      <c r="W496" s="616"/>
      <c r="X496" s="616"/>
      <c r="Y496" s="9"/>
      <c r="Z496" s="2614"/>
      <c r="AA496" s="2615"/>
      <c r="AB496" s="2615"/>
      <c r="AC496" s="2615"/>
      <c r="AD496" s="2615"/>
      <c r="AE496" s="2615"/>
      <c r="AF496" s="2615"/>
      <c r="AG496" s="2615"/>
      <c r="AH496" s="2615"/>
      <c r="AI496" s="2615"/>
      <c r="AJ496" s="2615"/>
      <c r="AK496" s="2615"/>
      <c r="AL496" s="2615"/>
      <c r="AM496" s="2615"/>
      <c r="AN496" s="2615"/>
      <c r="AO496" s="2615"/>
      <c r="AP496" s="2615"/>
      <c r="AQ496" s="2615"/>
      <c r="AR496" s="2615"/>
      <c r="AS496" s="2615"/>
      <c r="AT496" s="2615"/>
      <c r="AU496" s="2616"/>
      <c r="AW496" s="381"/>
      <c r="AX496" s="381"/>
    </row>
    <row r="497" spans="1:50" ht="15.75" customHeight="1">
      <c r="A497" s="8"/>
      <c r="B497" s="616"/>
      <c r="C497" s="616"/>
      <c r="D497" s="616"/>
      <c r="E497" s="616"/>
      <c r="F497" s="616"/>
      <c r="G497" s="616"/>
      <c r="H497" s="616"/>
      <c r="I497" s="616"/>
      <c r="J497" s="616"/>
      <c r="K497" s="616"/>
      <c r="L497" s="616"/>
      <c r="M497" s="616"/>
      <c r="N497" s="616"/>
      <c r="O497" s="616"/>
      <c r="P497" s="616"/>
      <c r="Q497" s="616"/>
      <c r="R497" s="616"/>
      <c r="S497" s="616"/>
      <c r="T497" s="616"/>
      <c r="U497" s="616"/>
      <c r="V497" s="616"/>
      <c r="W497" s="616"/>
      <c r="X497" s="616"/>
      <c r="Y497" s="9"/>
      <c r="Z497" s="2617"/>
      <c r="AA497" s="2618"/>
      <c r="AB497" s="2618"/>
      <c r="AC497" s="2618"/>
      <c r="AD497" s="2618"/>
      <c r="AE497" s="2618"/>
      <c r="AF497" s="2618"/>
      <c r="AG497" s="2618"/>
      <c r="AH497" s="2618"/>
      <c r="AI497" s="2618"/>
      <c r="AJ497" s="2618"/>
      <c r="AK497" s="2618"/>
      <c r="AL497" s="2618"/>
      <c r="AM497" s="2618"/>
      <c r="AN497" s="2618"/>
      <c r="AO497" s="2618"/>
      <c r="AP497" s="2618"/>
      <c r="AQ497" s="2618"/>
      <c r="AR497" s="2618"/>
      <c r="AS497" s="2618"/>
      <c r="AT497" s="2618"/>
      <c r="AU497" s="2619"/>
      <c r="AW497" s="381"/>
      <c r="AX497" s="381"/>
    </row>
    <row r="498" spans="1:50" ht="15.75" customHeight="1">
      <c r="A498" s="8"/>
      <c r="B498" s="669"/>
      <c r="C498" s="669"/>
      <c r="D498" s="669"/>
      <c r="E498" s="669"/>
      <c r="F498" s="669"/>
      <c r="G498" s="669"/>
      <c r="H498" s="669"/>
      <c r="I498" s="669"/>
      <c r="J498" s="669"/>
      <c r="K498" s="669"/>
      <c r="L498" s="669"/>
      <c r="M498" s="669"/>
      <c r="N498" s="669"/>
      <c r="O498" s="669"/>
      <c r="P498" s="669"/>
      <c r="Q498" s="669"/>
      <c r="R498" s="669"/>
      <c r="S498" s="669"/>
      <c r="T498" s="669"/>
      <c r="U498" s="669"/>
      <c r="V498" s="669"/>
      <c r="W498" s="669"/>
      <c r="X498" s="669"/>
      <c r="Y498" s="9"/>
      <c r="Z498" s="2620"/>
      <c r="AA498" s="2621"/>
      <c r="AB498" s="2621"/>
      <c r="AC498" s="2621"/>
      <c r="AD498" s="2621"/>
      <c r="AE498" s="2621"/>
      <c r="AF498" s="2621"/>
      <c r="AG498" s="2621"/>
      <c r="AH498" s="2621"/>
      <c r="AI498" s="2621"/>
      <c r="AJ498" s="2621"/>
      <c r="AK498" s="2621"/>
      <c r="AL498" s="2621"/>
      <c r="AM498" s="2621"/>
      <c r="AN498" s="2621"/>
      <c r="AO498" s="2621"/>
      <c r="AP498" s="2621"/>
      <c r="AQ498" s="2621"/>
      <c r="AR498" s="2621"/>
      <c r="AS498" s="2621"/>
      <c r="AT498" s="2621"/>
      <c r="AU498" s="2622"/>
      <c r="AW498" s="381"/>
      <c r="AX498" s="381"/>
    </row>
    <row r="499" spans="1:50" ht="15.75" customHeight="1">
      <c r="A499" s="8"/>
      <c r="B499" s="669"/>
      <c r="C499" s="669"/>
      <c r="D499" s="669"/>
      <c r="E499" s="669"/>
      <c r="F499" s="669"/>
      <c r="G499" s="669"/>
      <c r="H499" s="669"/>
      <c r="I499" s="669"/>
      <c r="J499" s="669"/>
      <c r="K499" s="669"/>
      <c r="L499" s="669"/>
      <c r="M499" s="669"/>
      <c r="N499" s="669"/>
      <c r="O499" s="669"/>
      <c r="P499" s="669"/>
      <c r="Q499" s="669"/>
      <c r="R499" s="669"/>
      <c r="S499" s="669"/>
      <c r="T499" s="669"/>
      <c r="U499" s="669"/>
      <c r="V499" s="669"/>
      <c r="W499" s="669"/>
      <c r="X499" s="669"/>
      <c r="Y499" s="9"/>
      <c r="Z499" s="2620"/>
      <c r="AA499" s="2621"/>
      <c r="AB499" s="2621"/>
      <c r="AC499" s="2621"/>
      <c r="AD499" s="2621"/>
      <c r="AE499" s="2621"/>
      <c r="AF499" s="2621"/>
      <c r="AG499" s="2621"/>
      <c r="AH499" s="2621"/>
      <c r="AI499" s="2621"/>
      <c r="AJ499" s="2621"/>
      <c r="AK499" s="2621"/>
      <c r="AL499" s="2621"/>
      <c r="AM499" s="2621"/>
      <c r="AN499" s="2621"/>
      <c r="AO499" s="2621"/>
      <c r="AP499" s="2621"/>
      <c r="AQ499" s="2621"/>
      <c r="AR499" s="2621"/>
      <c r="AS499" s="2621"/>
      <c r="AT499" s="2621"/>
      <c r="AU499" s="2622"/>
      <c r="AW499" s="381"/>
      <c r="AX499" s="381"/>
    </row>
    <row r="500" spans="1:50" ht="15.75" customHeight="1">
      <c r="A500" s="8"/>
      <c r="B500" s="669"/>
      <c r="C500" s="669"/>
      <c r="D500" s="669"/>
      <c r="E500" s="669"/>
      <c r="F500" s="669"/>
      <c r="G500" s="669"/>
      <c r="H500" s="669"/>
      <c r="I500" s="669"/>
      <c r="J500" s="669"/>
      <c r="K500" s="669"/>
      <c r="L500" s="669"/>
      <c r="M500" s="669"/>
      <c r="N500" s="669"/>
      <c r="O500" s="669"/>
      <c r="P500" s="669"/>
      <c r="Q500" s="669"/>
      <c r="R500" s="669"/>
      <c r="S500" s="669"/>
      <c r="T500" s="669"/>
      <c r="U500" s="669"/>
      <c r="V500" s="669"/>
      <c r="W500" s="669"/>
      <c r="X500" s="669"/>
      <c r="Y500" s="9"/>
      <c r="Z500" s="2620"/>
      <c r="AA500" s="2621"/>
      <c r="AB500" s="2621"/>
      <c r="AC500" s="2621"/>
      <c r="AD500" s="2621"/>
      <c r="AE500" s="2621"/>
      <c r="AF500" s="2621"/>
      <c r="AG500" s="2621"/>
      <c r="AH500" s="2621"/>
      <c r="AI500" s="2621"/>
      <c r="AJ500" s="2621"/>
      <c r="AK500" s="2621"/>
      <c r="AL500" s="2621"/>
      <c r="AM500" s="2621"/>
      <c r="AN500" s="2621"/>
      <c r="AO500" s="2621"/>
      <c r="AP500" s="2621"/>
      <c r="AQ500" s="2621"/>
      <c r="AR500" s="2621"/>
      <c r="AS500" s="2621"/>
      <c r="AT500" s="2621"/>
      <c r="AU500" s="2622"/>
      <c r="AW500" s="381"/>
      <c r="AX500" s="381"/>
    </row>
    <row r="501" spans="1:50" ht="15.75" customHeight="1">
      <c r="A501" s="8"/>
      <c r="B501" s="669"/>
      <c r="C501" s="669"/>
      <c r="D501" s="669"/>
      <c r="E501" s="669"/>
      <c r="F501" s="669"/>
      <c r="G501" s="669"/>
      <c r="H501" s="669"/>
      <c r="I501" s="669"/>
      <c r="J501" s="669"/>
      <c r="K501" s="2629" t="s">
        <v>164</v>
      </c>
      <c r="L501" s="2629"/>
      <c r="M501" s="2629"/>
      <c r="N501" s="2629"/>
      <c r="O501" s="2629"/>
      <c r="P501" s="2629"/>
      <c r="Q501" s="669"/>
      <c r="R501" s="669"/>
      <c r="S501" s="669"/>
      <c r="T501" s="669"/>
      <c r="U501" s="669"/>
      <c r="V501" s="669"/>
      <c r="W501" s="669"/>
      <c r="X501" s="669"/>
      <c r="Y501" s="9"/>
      <c r="Z501" s="2620"/>
      <c r="AA501" s="2621"/>
      <c r="AB501" s="2621"/>
      <c r="AC501" s="2621"/>
      <c r="AD501" s="2621"/>
      <c r="AE501" s="2621"/>
      <c r="AF501" s="2621"/>
      <c r="AG501" s="2621"/>
      <c r="AH501" s="2621"/>
      <c r="AI501" s="2621"/>
      <c r="AJ501" s="2621"/>
      <c r="AK501" s="2621"/>
      <c r="AL501" s="2621"/>
      <c r="AM501" s="2621"/>
      <c r="AN501" s="2621"/>
      <c r="AO501" s="2621"/>
      <c r="AP501" s="2621"/>
      <c r="AQ501" s="2621"/>
      <c r="AR501" s="2621"/>
      <c r="AS501" s="2621"/>
      <c r="AT501" s="2621"/>
      <c r="AU501" s="2622"/>
      <c r="AW501" s="381"/>
      <c r="AX501" s="381"/>
    </row>
    <row r="502" spans="1:50" ht="15.75" customHeight="1">
      <c r="A502" s="8"/>
      <c r="B502" s="669"/>
      <c r="C502" s="669"/>
      <c r="D502" s="669"/>
      <c r="E502" s="669"/>
      <c r="F502" s="669"/>
      <c r="G502" s="669"/>
      <c r="H502" s="669"/>
      <c r="I502" s="669"/>
      <c r="J502" s="669"/>
      <c r="K502" s="669"/>
      <c r="L502" s="669"/>
      <c r="M502" s="669"/>
      <c r="N502" s="669"/>
      <c r="O502" s="669"/>
      <c r="P502" s="669"/>
      <c r="Q502" s="669"/>
      <c r="R502" s="669"/>
      <c r="S502" s="669"/>
      <c r="T502" s="669"/>
      <c r="U502" s="669"/>
      <c r="V502" s="669"/>
      <c r="W502" s="669"/>
      <c r="X502" s="669"/>
      <c r="Y502" s="9"/>
      <c r="Z502" s="2620"/>
      <c r="AA502" s="2621"/>
      <c r="AB502" s="2621"/>
      <c r="AC502" s="2621"/>
      <c r="AD502" s="2621"/>
      <c r="AE502" s="2621"/>
      <c r="AF502" s="2621"/>
      <c r="AG502" s="2621"/>
      <c r="AH502" s="2621"/>
      <c r="AI502" s="2621"/>
      <c r="AJ502" s="2621"/>
      <c r="AK502" s="2621"/>
      <c r="AL502" s="2621"/>
      <c r="AM502" s="2621"/>
      <c r="AN502" s="2621"/>
      <c r="AO502" s="2621"/>
      <c r="AP502" s="2621"/>
      <c r="AQ502" s="2621"/>
      <c r="AR502" s="2621"/>
      <c r="AS502" s="2621"/>
      <c r="AT502" s="2621"/>
      <c r="AU502" s="2622"/>
      <c r="AW502" s="381"/>
      <c r="AX502" s="381"/>
    </row>
    <row r="503" spans="1:50" ht="15.75" customHeight="1">
      <c r="A503" s="8"/>
      <c r="B503" s="669"/>
      <c r="C503" s="669"/>
      <c r="D503" s="669"/>
      <c r="E503" s="669"/>
      <c r="F503" s="669"/>
      <c r="G503" s="669"/>
      <c r="H503" s="669"/>
      <c r="I503" s="669"/>
      <c r="J503" s="669"/>
      <c r="K503" s="669"/>
      <c r="L503" s="669"/>
      <c r="M503" s="669"/>
      <c r="N503" s="669"/>
      <c r="O503" s="669"/>
      <c r="P503" s="669"/>
      <c r="Q503" s="669"/>
      <c r="R503" s="669"/>
      <c r="S503" s="669"/>
      <c r="T503" s="669"/>
      <c r="U503" s="669"/>
      <c r="V503" s="669"/>
      <c r="W503" s="669"/>
      <c r="X503" s="669"/>
      <c r="Y503" s="9"/>
      <c r="Z503" s="2620"/>
      <c r="AA503" s="2621"/>
      <c r="AB503" s="2621"/>
      <c r="AC503" s="2621"/>
      <c r="AD503" s="2621"/>
      <c r="AE503" s="2621"/>
      <c r="AF503" s="2621"/>
      <c r="AG503" s="2621"/>
      <c r="AH503" s="2621"/>
      <c r="AI503" s="2621"/>
      <c r="AJ503" s="2621"/>
      <c r="AK503" s="2621"/>
      <c r="AL503" s="2621"/>
      <c r="AM503" s="2621"/>
      <c r="AN503" s="2621"/>
      <c r="AO503" s="2621"/>
      <c r="AP503" s="2621"/>
      <c r="AQ503" s="2621"/>
      <c r="AR503" s="2621"/>
      <c r="AS503" s="2621"/>
      <c r="AT503" s="2621"/>
      <c r="AU503" s="2622"/>
      <c r="AW503" s="381"/>
      <c r="AX503" s="381"/>
    </row>
    <row r="504" spans="1:50" ht="15.75" customHeight="1">
      <c r="A504" s="8"/>
      <c r="B504" s="669"/>
      <c r="C504" s="669"/>
      <c r="D504" s="669"/>
      <c r="E504" s="669"/>
      <c r="F504" s="669"/>
      <c r="G504" s="669"/>
      <c r="H504" s="669"/>
      <c r="I504" s="669"/>
      <c r="J504" s="669"/>
      <c r="K504" s="669"/>
      <c r="L504" s="669"/>
      <c r="M504" s="669"/>
      <c r="N504" s="669"/>
      <c r="O504" s="669"/>
      <c r="P504" s="669"/>
      <c r="Q504" s="669"/>
      <c r="R504" s="669"/>
      <c r="S504" s="669"/>
      <c r="T504" s="669"/>
      <c r="U504" s="669"/>
      <c r="V504" s="669"/>
      <c r="W504" s="669"/>
      <c r="X504" s="669"/>
      <c r="Y504" s="9"/>
      <c r="Z504" s="2620"/>
      <c r="AA504" s="2621"/>
      <c r="AB504" s="2621"/>
      <c r="AC504" s="2621"/>
      <c r="AD504" s="2621"/>
      <c r="AE504" s="2621"/>
      <c r="AF504" s="2621"/>
      <c r="AG504" s="2621"/>
      <c r="AH504" s="2621"/>
      <c r="AI504" s="2621"/>
      <c r="AJ504" s="2621"/>
      <c r="AK504" s="2621"/>
      <c r="AL504" s="2621"/>
      <c r="AM504" s="2621"/>
      <c r="AN504" s="2621"/>
      <c r="AO504" s="2621"/>
      <c r="AP504" s="2621"/>
      <c r="AQ504" s="2621"/>
      <c r="AR504" s="2621"/>
      <c r="AS504" s="2621"/>
      <c r="AT504" s="2621"/>
      <c r="AU504" s="2622"/>
      <c r="AW504" s="381"/>
      <c r="AX504" s="381"/>
    </row>
    <row r="505" spans="1:50" ht="15.75" customHeight="1">
      <c r="A505" s="8"/>
      <c r="B505" s="669"/>
      <c r="C505" s="669"/>
      <c r="D505" s="669"/>
      <c r="E505" s="669"/>
      <c r="F505" s="669"/>
      <c r="G505" s="669"/>
      <c r="H505" s="669"/>
      <c r="I505" s="669"/>
      <c r="J505" s="669"/>
      <c r="K505" s="669"/>
      <c r="L505" s="669"/>
      <c r="M505" s="669"/>
      <c r="N505" s="669"/>
      <c r="O505" s="669"/>
      <c r="P505" s="669"/>
      <c r="Q505" s="669"/>
      <c r="R505" s="669"/>
      <c r="S505" s="669"/>
      <c r="T505" s="669"/>
      <c r="U505" s="669"/>
      <c r="V505" s="669"/>
      <c r="W505" s="669"/>
      <c r="X505" s="669"/>
      <c r="Y505" s="9"/>
      <c r="Z505" s="2620"/>
      <c r="AA505" s="2621"/>
      <c r="AB505" s="2621"/>
      <c r="AC505" s="2621"/>
      <c r="AD505" s="2621"/>
      <c r="AE505" s="2621"/>
      <c r="AF505" s="2621"/>
      <c r="AG505" s="2621"/>
      <c r="AH505" s="2621"/>
      <c r="AI505" s="2621"/>
      <c r="AJ505" s="2621"/>
      <c r="AK505" s="2621"/>
      <c r="AL505" s="2621"/>
      <c r="AM505" s="2621"/>
      <c r="AN505" s="2621"/>
      <c r="AO505" s="2621"/>
      <c r="AP505" s="2621"/>
      <c r="AQ505" s="2621"/>
      <c r="AR505" s="2621"/>
      <c r="AS505" s="2621"/>
      <c r="AT505" s="2621"/>
      <c r="AU505" s="2622"/>
      <c r="AW505" s="381"/>
      <c r="AX505" s="381"/>
    </row>
    <row r="506" spans="1:50" ht="15.75" customHeight="1">
      <c r="A506" s="8"/>
      <c r="B506" s="669"/>
      <c r="C506" s="669"/>
      <c r="D506" s="669"/>
      <c r="E506" s="669"/>
      <c r="F506" s="669"/>
      <c r="G506" s="669"/>
      <c r="H506" s="669"/>
      <c r="I506" s="669"/>
      <c r="J506" s="669"/>
      <c r="K506" s="669"/>
      <c r="L506" s="669"/>
      <c r="M506" s="669"/>
      <c r="N506" s="669"/>
      <c r="O506" s="669"/>
      <c r="P506" s="669"/>
      <c r="Q506" s="669"/>
      <c r="R506" s="669"/>
      <c r="S506" s="669"/>
      <c r="T506" s="669"/>
      <c r="U506" s="669"/>
      <c r="V506" s="669"/>
      <c r="W506" s="669"/>
      <c r="X506" s="669"/>
      <c r="Y506" s="9"/>
      <c r="Z506" s="2620"/>
      <c r="AA506" s="2621"/>
      <c r="AB506" s="2621"/>
      <c r="AC506" s="2621"/>
      <c r="AD506" s="2621"/>
      <c r="AE506" s="2621"/>
      <c r="AF506" s="2621"/>
      <c r="AG506" s="2621"/>
      <c r="AH506" s="2621"/>
      <c r="AI506" s="2621"/>
      <c r="AJ506" s="2621"/>
      <c r="AK506" s="2621"/>
      <c r="AL506" s="2621"/>
      <c r="AM506" s="2621"/>
      <c r="AN506" s="2621"/>
      <c r="AO506" s="2621"/>
      <c r="AP506" s="2621"/>
      <c r="AQ506" s="2621"/>
      <c r="AR506" s="2621"/>
      <c r="AS506" s="2621"/>
      <c r="AT506" s="2621"/>
      <c r="AU506" s="2622"/>
      <c r="AW506" s="381"/>
      <c r="AX506" s="381"/>
    </row>
    <row r="507" spans="1:50" ht="15.75" customHeight="1">
      <c r="A507" s="8"/>
      <c r="B507" s="669"/>
      <c r="C507" s="669"/>
      <c r="D507" s="669"/>
      <c r="E507" s="669"/>
      <c r="F507" s="669"/>
      <c r="G507" s="669"/>
      <c r="H507" s="669"/>
      <c r="I507" s="669"/>
      <c r="J507" s="669"/>
      <c r="K507" s="669"/>
      <c r="L507" s="669"/>
      <c r="M507" s="669"/>
      <c r="N507" s="669"/>
      <c r="O507" s="669"/>
      <c r="P507" s="669"/>
      <c r="Q507" s="669"/>
      <c r="R507" s="669"/>
      <c r="S507" s="669"/>
      <c r="T507" s="669"/>
      <c r="U507" s="669"/>
      <c r="V507" s="669"/>
      <c r="W507" s="669"/>
      <c r="X507" s="669"/>
      <c r="Y507" s="9"/>
      <c r="Z507" s="2620"/>
      <c r="AA507" s="2621"/>
      <c r="AB507" s="2621"/>
      <c r="AC507" s="2621"/>
      <c r="AD507" s="2621"/>
      <c r="AE507" s="2621"/>
      <c r="AF507" s="2621"/>
      <c r="AG507" s="2621"/>
      <c r="AH507" s="2621"/>
      <c r="AI507" s="2621"/>
      <c r="AJ507" s="2621"/>
      <c r="AK507" s="2621"/>
      <c r="AL507" s="2621"/>
      <c r="AM507" s="2621"/>
      <c r="AN507" s="2621"/>
      <c r="AO507" s="2621"/>
      <c r="AP507" s="2621"/>
      <c r="AQ507" s="2621"/>
      <c r="AR507" s="2621"/>
      <c r="AS507" s="2621"/>
      <c r="AT507" s="2621"/>
      <c r="AU507" s="2622"/>
      <c r="AW507" s="381"/>
      <c r="AX507" s="381"/>
    </row>
    <row r="508" spans="1:50" ht="15.75" customHeight="1">
      <c r="A508" s="8"/>
      <c r="B508" s="669"/>
      <c r="C508" s="669"/>
      <c r="D508" s="669"/>
      <c r="E508" s="669"/>
      <c r="F508" s="669"/>
      <c r="G508" s="669"/>
      <c r="H508" s="669"/>
      <c r="I508" s="669"/>
      <c r="J508" s="669"/>
      <c r="K508" s="669"/>
      <c r="L508" s="669"/>
      <c r="M508" s="669"/>
      <c r="N508" s="669"/>
      <c r="O508" s="669"/>
      <c r="P508" s="669"/>
      <c r="Q508" s="669"/>
      <c r="R508" s="669"/>
      <c r="S508" s="669"/>
      <c r="T508" s="669"/>
      <c r="U508" s="669"/>
      <c r="V508" s="669"/>
      <c r="W508" s="669"/>
      <c r="X508" s="669"/>
      <c r="Y508" s="9"/>
      <c r="Z508" s="2620"/>
      <c r="AA508" s="2621"/>
      <c r="AB508" s="2621"/>
      <c r="AC508" s="2621"/>
      <c r="AD508" s="2621"/>
      <c r="AE508" s="2621"/>
      <c r="AF508" s="2621"/>
      <c r="AG508" s="2621"/>
      <c r="AH508" s="2621"/>
      <c r="AI508" s="2621"/>
      <c r="AJ508" s="2621"/>
      <c r="AK508" s="2621"/>
      <c r="AL508" s="2621"/>
      <c r="AM508" s="2621"/>
      <c r="AN508" s="2621"/>
      <c r="AO508" s="2621"/>
      <c r="AP508" s="2621"/>
      <c r="AQ508" s="2621"/>
      <c r="AR508" s="2621"/>
      <c r="AS508" s="2621"/>
      <c r="AT508" s="2621"/>
      <c r="AU508" s="2622"/>
      <c r="AW508" s="381"/>
      <c r="AX508" s="381"/>
    </row>
    <row r="509" spans="1:50" ht="15.75" customHeight="1">
      <c r="A509" s="8"/>
      <c r="B509" s="669"/>
      <c r="C509" s="669"/>
      <c r="D509" s="669"/>
      <c r="E509" s="669"/>
      <c r="F509" s="669"/>
      <c r="G509" s="669"/>
      <c r="H509" s="669"/>
      <c r="I509" s="669"/>
      <c r="J509" s="669"/>
      <c r="K509" s="669"/>
      <c r="L509" s="669"/>
      <c r="M509" s="669"/>
      <c r="N509" s="669"/>
      <c r="O509" s="669"/>
      <c r="P509" s="669"/>
      <c r="Q509" s="669"/>
      <c r="R509" s="669"/>
      <c r="S509" s="669"/>
      <c r="T509" s="669"/>
      <c r="U509" s="669"/>
      <c r="V509" s="669"/>
      <c r="W509" s="669"/>
      <c r="X509" s="669"/>
      <c r="Y509" s="9"/>
      <c r="Z509" s="2620"/>
      <c r="AA509" s="2621"/>
      <c r="AB509" s="2621"/>
      <c r="AC509" s="2621"/>
      <c r="AD509" s="2621"/>
      <c r="AE509" s="2621"/>
      <c r="AF509" s="2621"/>
      <c r="AG509" s="2621"/>
      <c r="AH509" s="2621"/>
      <c r="AI509" s="2621"/>
      <c r="AJ509" s="2621"/>
      <c r="AK509" s="2621"/>
      <c r="AL509" s="2621"/>
      <c r="AM509" s="2621"/>
      <c r="AN509" s="2621"/>
      <c r="AO509" s="2621"/>
      <c r="AP509" s="2621"/>
      <c r="AQ509" s="2621"/>
      <c r="AR509" s="2621"/>
      <c r="AS509" s="2621"/>
      <c r="AT509" s="2621"/>
      <c r="AU509" s="2622"/>
      <c r="AW509" s="381"/>
      <c r="AX509" s="381"/>
    </row>
    <row r="510" spans="1:50" ht="15.75" customHeight="1">
      <c r="A510" s="12"/>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1"/>
      <c r="Z510" s="2623"/>
      <c r="AA510" s="2624"/>
      <c r="AB510" s="2624"/>
      <c r="AC510" s="2624"/>
      <c r="AD510" s="2624"/>
      <c r="AE510" s="2624"/>
      <c r="AF510" s="2624"/>
      <c r="AG510" s="2624"/>
      <c r="AH510" s="2624"/>
      <c r="AI510" s="2624"/>
      <c r="AJ510" s="2624"/>
      <c r="AK510" s="2624"/>
      <c r="AL510" s="2624"/>
      <c r="AM510" s="2624"/>
      <c r="AN510" s="2624"/>
      <c r="AO510" s="2624"/>
      <c r="AP510" s="2624"/>
      <c r="AQ510" s="2624"/>
      <c r="AR510" s="2624"/>
      <c r="AS510" s="2624"/>
      <c r="AT510" s="2624"/>
      <c r="AU510" s="2625"/>
      <c r="AW510" s="381"/>
      <c r="AX510" s="381"/>
    </row>
    <row r="511" spans="1:50" ht="12.75" customHeight="1">
      <c r="AW511" s="381"/>
      <c r="AX511" s="381"/>
    </row>
    <row r="512" spans="1:50" ht="15.75" customHeight="1">
      <c r="A512" s="2634" t="s">
        <v>161</v>
      </c>
      <c r="B512" s="2635"/>
      <c r="C512" s="2636"/>
      <c r="D512" s="2653" t="s">
        <v>162</v>
      </c>
      <c r="E512" s="2654"/>
      <c r="F512" s="2654"/>
      <c r="G512" s="2654"/>
      <c r="H512" s="2654"/>
      <c r="I512" s="2654"/>
      <c r="J512" s="2655"/>
      <c r="K512" s="625"/>
      <c r="L512" s="622"/>
      <c r="M512" s="622"/>
      <c r="N512" s="622"/>
      <c r="O512" s="622"/>
      <c r="P512" s="622"/>
      <c r="Q512" s="622"/>
      <c r="R512" s="622"/>
      <c r="S512" s="623" t="s">
        <v>7</v>
      </c>
      <c r="T512" s="623" t="s">
        <v>8</v>
      </c>
      <c r="U512" s="623" t="s">
        <v>9</v>
      </c>
      <c r="V512" s="623" t="s">
        <v>163</v>
      </c>
      <c r="W512" s="623"/>
      <c r="X512" s="623"/>
      <c r="Y512" s="623"/>
      <c r="Z512" s="623"/>
      <c r="AA512" s="623"/>
      <c r="AB512" s="623"/>
      <c r="AC512" s="623"/>
      <c r="AD512" s="623"/>
      <c r="AE512" s="623"/>
      <c r="AF512" s="623"/>
      <c r="AG512" s="623"/>
      <c r="AH512" s="623"/>
      <c r="AI512" s="624"/>
      <c r="AJ512" s="625"/>
      <c r="AK512" s="2654" t="s">
        <v>33</v>
      </c>
      <c r="AL512" s="2654"/>
      <c r="AM512" s="2654"/>
      <c r="AN512" s="2654"/>
      <c r="AO512" s="2654"/>
      <c r="AP512" s="2654"/>
      <c r="AQ512" s="2654"/>
      <c r="AR512" s="2654"/>
      <c r="AS512" s="2654"/>
      <c r="AT512" s="2654"/>
      <c r="AU512" s="626"/>
      <c r="AW512" s="381"/>
      <c r="AX512" s="381"/>
    </row>
    <row r="513" spans="1:53" ht="15.75" customHeight="1" thickBot="1">
      <c r="A513" s="2647"/>
      <c r="B513" s="2648"/>
      <c r="C513" s="2649"/>
      <c r="D513" s="2634" t="str">
        <f>IFERROR(VLOOKUP(18,'1_入力シート【基本情報】'!$DU$307:$DX$526,3,FALSE),"")</f>
        <v/>
      </c>
      <c r="E513" s="2635"/>
      <c r="F513" s="2635"/>
      <c r="G513" s="2635"/>
      <c r="H513" s="2635"/>
      <c r="I513" s="2635"/>
      <c r="J513" s="2636"/>
      <c r="K513" s="2656" t="str">
        <f>IFERROR(VLOOKUP(18,'1_入力シート【基本情報】'!$DU$307:$DX$526,4,FALSE),"")</f>
        <v/>
      </c>
      <c r="L513" s="2657"/>
      <c r="M513" s="2657"/>
      <c r="N513" s="2657"/>
      <c r="O513" s="2657"/>
      <c r="P513" s="2657"/>
      <c r="Q513" s="2657"/>
      <c r="R513" s="2657"/>
      <c r="S513" s="2657"/>
      <c r="T513" s="2657"/>
      <c r="U513" s="2657"/>
      <c r="V513" s="2657"/>
      <c r="W513" s="2657"/>
      <c r="X513" s="2657"/>
      <c r="Y513" s="2657"/>
      <c r="Z513" s="2657"/>
      <c r="AA513" s="2657"/>
      <c r="AB513" s="2657"/>
      <c r="AC513" s="2657"/>
      <c r="AD513" s="2657"/>
      <c r="AE513" s="2657"/>
      <c r="AF513" s="2657"/>
      <c r="AG513" s="2657"/>
      <c r="AH513" s="2657"/>
      <c r="AI513" s="2658"/>
      <c r="AJ513" s="665"/>
      <c r="AK513" s="665"/>
      <c r="AL513" s="665"/>
      <c r="AM513" s="665"/>
      <c r="AN513" s="665"/>
      <c r="AO513" s="665"/>
      <c r="AP513" s="665"/>
      <c r="AQ513" s="665"/>
      <c r="AR513" s="665"/>
      <c r="AS513" s="665"/>
      <c r="AT513" s="665"/>
      <c r="AU513" s="666"/>
      <c r="AW513" s="381"/>
      <c r="AX513" s="381"/>
    </row>
    <row r="514" spans="1:53" ht="15.75" customHeight="1" thickBot="1">
      <c r="A514" s="2647"/>
      <c r="B514" s="2648"/>
      <c r="C514" s="2649"/>
      <c r="D514" s="2637"/>
      <c r="E514" s="2638"/>
      <c r="F514" s="2638"/>
      <c r="G514" s="2638"/>
      <c r="H514" s="2638"/>
      <c r="I514" s="2638"/>
      <c r="J514" s="2639"/>
      <c r="K514" s="2659"/>
      <c r="L514" s="2660"/>
      <c r="M514" s="2660"/>
      <c r="N514" s="2660"/>
      <c r="O514" s="2660"/>
      <c r="P514" s="2660"/>
      <c r="Q514" s="2660"/>
      <c r="R514" s="2660"/>
      <c r="S514" s="2660"/>
      <c r="T514" s="2660"/>
      <c r="U514" s="2660"/>
      <c r="V514" s="2660"/>
      <c r="W514" s="2660"/>
      <c r="X514" s="2660"/>
      <c r="Y514" s="2660"/>
      <c r="Z514" s="2660"/>
      <c r="AA514" s="2660"/>
      <c r="AB514" s="2660"/>
      <c r="AC514" s="2660"/>
      <c r="AD514" s="2660"/>
      <c r="AE514" s="2660"/>
      <c r="AF514" s="2660"/>
      <c r="AG514" s="2660"/>
      <c r="AH514" s="2660"/>
      <c r="AI514" s="2661"/>
      <c r="AJ514" s="665"/>
      <c r="AK514" s="665" t="str">
        <f>IF(D513&lt;&gt;"","☑","☐")</f>
        <v>☐</v>
      </c>
      <c r="AL514" s="665" t="s">
        <v>14</v>
      </c>
      <c r="AM514" s="665" t="s">
        <v>21</v>
      </c>
      <c r="AN514" s="665" t="s">
        <v>15</v>
      </c>
      <c r="AO514" s="665"/>
      <c r="AP514" s="783" t="s">
        <v>186</v>
      </c>
      <c r="AQ514" s="665" t="s">
        <v>27</v>
      </c>
      <c r="AR514" s="665" t="s">
        <v>23</v>
      </c>
      <c r="AS514" s="665" t="s">
        <v>13</v>
      </c>
      <c r="AT514" s="665"/>
      <c r="AU514" s="666"/>
      <c r="AW514" s="381"/>
      <c r="AX514" s="381"/>
      <c r="BA514" s="802" t="b">
        <f>AP514="☑"</f>
        <v>0</v>
      </c>
    </row>
    <row r="515" spans="1:53" ht="15.75" customHeight="1">
      <c r="A515" s="2650"/>
      <c r="B515" s="2651"/>
      <c r="C515" s="2652"/>
      <c r="D515" s="2640"/>
      <c r="E515" s="2641"/>
      <c r="F515" s="2641"/>
      <c r="G515" s="2641"/>
      <c r="H515" s="2641"/>
      <c r="I515" s="2641"/>
      <c r="J515" s="2642"/>
      <c r="K515" s="2662"/>
      <c r="L515" s="2663"/>
      <c r="M515" s="2663"/>
      <c r="N515" s="2663"/>
      <c r="O515" s="2663"/>
      <c r="P515" s="2663"/>
      <c r="Q515" s="2663"/>
      <c r="R515" s="2663"/>
      <c r="S515" s="2663"/>
      <c r="T515" s="2663"/>
      <c r="U515" s="2663"/>
      <c r="V515" s="2663"/>
      <c r="W515" s="2663"/>
      <c r="X515" s="2663"/>
      <c r="Y515" s="2663"/>
      <c r="Z515" s="2663"/>
      <c r="AA515" s="2663"/>
      <c r="AB515" s="2663"/>
      <c r="AC515" s="2663"/>
      <c r="AD515" s="2663"/>
      <c r="AE515" s="2663"/>
      <c r="AF515" s="2663"/>
      <c r="AG515" s="2663"/>
      <c r="AH515" s="2663"/>
      <c r="AI515" s="2664"/>
      <c r="AJ515" s="667"/>
      <c r="AK515" s="667"/>
      <c r="AL515" s="667"/>
      <c r="AM515" s="667"/>
      <c r="AN515" s="667"/>
      <c r="AO515" s="667"/>
      <c r="AP515" s="667"/>
      <c r="AQ515" s="667"/>
      <c r="AR515" s="667"/>
      <c r="AS515" s="667"/>
      <c r="AT515" s="667"/>
      <c r="AU515" s="668"/>
      <c r="AW515" s="381"/>
      <c r="AX515" s="381"/>
    </row>
    <row r="516" spans="1:53" ht="15.75" customHeight="1">
      <c r="A516" s="8"/>
      <c r="B516" s="616"/>
      <c r="C516" s="616"/>
      <c r="D516" s="616"/>
      <c r="E516" s="616"/>
      <c r="F516" s="616"/>
      <c r="G516" s="616"/>
      <c r="H516" s="616"/>
      <c r="I516" s="616"/>
      <c r="J516" s="616"/>
      <c r="K516" s="616"/>
      <c r="L516" s="616"/>
      <c r="M516" s="616"/>
      <c r="N516" s="616"/>
      <c r="O516" s="616"/>
      <c r="P516" s="616"/>
      <c r="Q516" s="616"/>
      <c r="R516" s="616"/>
      <c r="S516" s="616"/>
      <c r="T516" s="616"/>
      <c r="U516" s="616"/>
      <c r="V516" s="616"/>
      <c r="W516" s="616"/>
      <c r="X516" s="616"/>
      <c r="Y516" s="9"/>
      <c r="Z516" s="140"/>
      <c r="AA516" s="141" t="s">
        <v>11</v>
      </c>
      <c r="AB516" s="141" t="s">
        <v>10</v>
      </c>
      <c r="AC516" s="141" t="s">
        <v>16</v>
      </c>
      <c r="AD516" s="141" t="s">
        <v>9</v>
      </c>
      <c r="AE516" s="141"/>
      <c r="AF516" s="141"/>
      <c r="AG516" s="141"/>
      <c r="AH516" s="141"/>
      <c r="AI516" s="141"/>
      <c r="AJ516" s="142"/>
      <c r="AK516" s="142"/>
      <c r="AL516" s="142"/>
      <c r="AM516" s="142"/>
      <c r="AN516" s="142"/>
      <c r="AO516" s="142"/>
      <c r="AP516" s="142"/>
      <c r="AQ516" s="142"/>
      <c r="AR516" s="142"/>
      <c r="AS516" s="142"/>
      <c r="AT516" s="142"/>
      <c r="AU516" s="615"/>
      <c r="AW516" s="381"/>
      <c r="AX516" s="381"/>
    </row>
    <row r="517" spans="1:53" ht="15.75" customHeight="1">
      <c r="A517" s="8"/>
      <c r="B517" s="616"/>
      <c r="C517" s="616"/>
      <c r="D517" s="616"/>
      <c r="E517" s="616"/>
      <c r="F517" s="616"/>
      <c r="G517" s="616"/>
      <c r="H517" s="616"/>
      <c r="I517" s="616"/>
      <c r="J517" s="616"/>
      <c r="K517" s="616"/>
      <c r="L517" s="616"/>
      <c r="M517" s="616"/>
      <c r="N517" s="616"/>
      <c r="O517" s="616"/>
      <c r="P517" s="616"/>
      <c r="Q517" s="616"/>
      <c r="R517" s="616"/>
      <c r="S517" s="616"/>
      <c r="T517" s="616"/>
      <c r="U517" s="616"/>
      <c r="V517" s="616"/>
      <c r="W517" s="616"/>
      <c r="X517" s="616"/>
      <c r="Y517" s="9"/>
      <c r="Z517" s="2626"/>
      <c r="AA517" s="2627"/>
      <c r="AB517" s="2627"/>
      <c r="AC517" s="2627"/>
      <c r="AD517" s="2627"/>
      <c r="AE517" s="2627"/>
      <c r="AF517" s="2627"/>
      <c r="AG517" s="2627"/>
      <c r="AH517" s="2627"/>
      <c r="AI517" s="2627"/>
      <c r="AJ517" s="2627"/>
      <c r="AK517" s="2627"/>
      <c r="AL517" s="2627"/>
      <c r="AM517" s="2627"/>
      <c r="AN517" s="2627"/>
      <c r="AO517" s="198"/>
      <c r="AP517" s="198"/>
      <c r="AQ517" s="198"/>
      <c r="AR517" s="198"/>
      <c r="AS517" s="198"/>
      <c r="AT517" s="198"/>
      <c r="AU517" s="199"/>
      <c r="AW517" s="381"/>
      <c r="AX517" s="381"/>
    </row>
    <row r="518" spans="1:53" ht="15.75" customHeight="1">
      <c r="A518" s="8"/>
      <c r="B518" s="616"/>
      <c r="C518" s="616"/>
      <c r="D518" s="616"/>
      <c r="E518" s="616"/>
      <c r="F518" s="616"/>
      <c r="G518" s="616"/>
      <c r="H518" s="616"/>
      <c r="I518" s="616"/>
      <c r="J518" s="616"/>
      <c r="K518" s="616"/>
      <c r="L518" s="616"/>
      <c r="M518" s="616"/>
      <c r="N518" s="616"/>
      <c r="O518" s="616"/>
      <c r="P518" s="616"/>
      <c r="Q518" s="616"/>
      <c r="R518" s="616"/>
      <c r="S518" s="616"/>
      <c r="T518" s="616"/>
      <c r="U518" s="616"/>
      <c r="V518" s="616"/>
      <c r="W518" s="616"/>
      <c r="X518" s="616"/>
      <c r="Y518" s="9"/>
      <c r="Z518" s="2611" t="str">
        <f>IFERROR(VLOOKUP(18,'1_入力シート【基本情報】'!$DU$307:$DZ$526,5,FALSE),"")</f>
        <v/>
      </c>
      <c r="AA518" s="2612"/>
      <c r="AB518" s="2612"/>
      <c r="AC518" s="2612"/>
      <c r="AD518" s="2612"/>
      <c r="AE518" s="2612"/>
      <c r="AF518" s="2612"/>
      <c r="AG518" s="2612"/>
      <c r="AH518" s="2612"/>
      <c r="AI518" s="2612"/>
      <c r="AJ518" s="2612"/>
      <c r="AK518" s="2612"/>
      <c r="AL518" s="2612"/>
      <c r="AM518" s="2612"/>
      <c r="AN518" s="2612"/>
      <c r="AO518" s="2612"/>
      <c r="AP518" s="2612"/>
      <c r="AQ518" s="2612"/>
      <c r="AR518" s="2612"/>
      <c r="AS518" s="2612"/>
      <c r="AT518" s="2612"/>
      <c r="AU518" s="2613"/>
      <c r="AW518" s="381"/>
      <c r="AX518" s="381"/>
    </row>
    <row r="519" spans="1:53" ht="15.75" customHeight="1">
      <c r="A519" s="8"/>
      <c r="B519" s="616"/>
      <c r="C519" s="616"/>
      <c r="D519" s="616"/>
      <c r="E519" s="616"/>
      <c r="F519" s="616"/>
      <c r="G519" s="616"/>
      <c r="H519" s="616"/>
      <c r="I519" s="616"/>
      <c r="J519" s="616"/>
      <c r="K519" s="616"/>
      <c r="L519" s="616"/>
      <c r="M519" s="616"/>
      <c r="N519" s="616"/>
      <c r="O519" s="616"/>
      <c r="P519" s="616"/>
      <c r="Q519" s="616"/>
      <c r="R519" s="616"/>
      <c r="S519" s="616"/>
      <c r="T519" s="616"/>
      <c r="U519" s="616"/>
      <c r="V519" s="616"/>
      <c r="W519" s="616"/>
      <c r="X519" s="616"/>
      <c r="Y519" s="9"/>
      <c r="Z519" s="2614"/>
      <c r="AA519" s="2615"/>
      <c r="AB519" s="2615"/>
      <c r="AC519" s="2615"/>
      <c r="AD519" s="2615"/>
      <c r="AE519" s="2615"/>
      <c r="AF519" s="2615"/>
      <c r="AG519" s="2615"/>
      <c r="AH519" s="2615"/>
      <c r="AI519" s="2615"/>
      <c r="AJ519" s="2615"/>
      <c r="AK519" s="2615"/>
      <c r="AL519" s="2615"/>
      <c r="AM519" s="2615"/>
      <c r="AN519" s="2615"/>
      <c r="AO519" s="2615"/>
      <c r="AP519" s="2615"/>
      <c r="AQ519" s="2615"/>
      <c r="AR519" s="2615"/>
      <c r="AS519" s="2615"/>
      <c r="AT519" s="2615"/>
      <c r="AU519" s="2616"/>
      <c r="AW519" s="381"/>
      <c r="AX519" s="381"/>
    </row>
    <row r="520" spans="1:53" ht="15.75" customHeight="1">
      <c r="A520" s="8"/>
      <c r="B520" s="616"/>
      <c r="C520" s="616"/>
      <c r="D520" s="616"/>
      <c r="E520" s="616"/>
      <c r="F520" s="616"/>
      <c r="G520" s="616"/>
      <c r="H520" s="616"/>
      <c r="I520" s="616"/>
      <c r="J520" s="616"/>
      <c r="K520" s="616"/>
      <c r="L520" s="616"/>
      <c r="M520" s="616"/>
      <c r="N520" s="616"/>
      <c r="O520" s="616"/>
      <c r="P520" s="616"/>
      <c r="Q520" s="616"/>
      <c r="R520" s="616"/>
      <c r="S520" s="616"/>
      <c r="T520" s="616"/>
      <c r="U520" s="616"/>
      <c r="V520" s="616"/>
      <c r="W520" s="616"/>
      <c r="X520" s="616"/>
      <c r="Y520" s="9"/>
      <c r="Z520" s="2617"/>
      <c r="AA520" s="2618"/>
      <c r="AB520" s="2618"/>
      <c r="AC520" s="2618"/>
      <c r="AD520" s="2618"/>
      <c r="AE520" s="2618"/>
      <c r="AF520" s="2618"/>
      <c r="AG520" s="2618"/>
      <c r="AH520" s="2618"/>
      <c r="AI520" s="2618"/>
      <c r="AJ520" s="2618"/>
      <c r="AK520" s="2618"/>
      <c r="AL520" s="2618"/>
      <c r="AM520" s="2618"/>
      <c r="AN520" s="2618"/>
      <c r="AO520" s="2618"/>
      <c r="AP520" s="2618"/>
      <c r="AQ520" s="2618"/>
      <c r="AR520" s="2618"/>
      <c r="AS520" s="2618"/>
      <c r="AT520" s="2618"/>
      <c r="AU520" s="2619"/>
      <c r="AW520" s="381"/>
      <c r="AX520" s="381"/>
    </row>
    <row r="521" spans="1:53" ht="15.75" customHeight="1">
      <c r="A521" s="8"/>
      <c r="B521" s="669"/>
      <c r="C521" s="669"/>
      <c r="D521" s="669"/>
      <c r="E521" s="669"/>
      <c r="F521" s="669"/>
      <c r="G521" s="669"/>
      <c r="H521" s="669"/>
      <c r="I521" s="669"/>
      <c r="J521" s="669"/>
      <c r="K521" s="669"/>
      <c r="L521" s="669"/>
      <c r="M521" s="669"/>
      <c r="N521" s="669"/>
      <c r="O521" s="669"/>
      <c r="P521" s="669"/>
      <c r="Q521" s="669"/>
      <c r="R521" s="669"/>
      <c r="S521" s="669"/>
      <c r="T521" s="669"/>
      <c r="U521" s="669"/>
      <c r="V521" s="669"/>
      <c r="W521" s="669"/>
      <c r="X521" s="669"/>
      <c r="Y521" s="9"/>
      <c r="Z521" s="2620"/>
      <c r="AA521" s="2621"/>
      <c r="AB521" s="2621"/>
      <c r="AC521" s="2621"/>
      <c r="AD521" s="2621"/>
      <c r="AE521" s="2621"/>
      <c r="AF521" s="2621"/>
      <c r="AG521" s="2621"/>
      <c r="AH521" s="2621"/>
      <c r="AI521" s="2621"/>
      <c r="AJ521" s="2621"/>
      <c r="AK521" s="2621"/>
      <c r="AL521" s="2621"/>
      <c r="AM521" s="2621"/>
      <c r="AN521" s="2621"/>
      <c r="AO521" s="2621"/>
      <c r="AP521" s="2621"/>
      <c r="AQ521" s="2621"/>
      <c r="AR521" s="2621"/>
      <c r="AS521" s="2621"/>
      <c r="AT521" s="2621"/>
      <c r="AU521" s="2622"/>
      <c r="AW521" s="381"/>
      <c r="AX521" s="381"/>
    </row>
    <row r="522" spans="1:53" ht="15.75" customHeight="1">
      <c r="A522" s="8"/>
      <c r="B522" s="669"/>
      <c r="C522" s="669"/>
      <c r="D522" s="669"/>
      <c r="E522" s="669"/>
      <c r="F522" s="669"/>
      <c r="G522" s="669"/>
      <c r="H522" s="669"/>
      <c r="I522" s="669"/>
      <c r="J522" s="669"/>
      <c r="K522" s="669"/>
      <c r="L522" s="669"/>
      <c r="M522" s="669"/>
      <c r="N522" s="669"/>
      <c r="O522" s="669"/>
      <c r="P522" s="669"/>
      <c r="Q522" s="669"/>
      <c r="R522" s="669"/>
      <c r="S522" s="669"/>
      <c r="T522" s="669"/>
      <c r="U522" s="669"/>
      <c r="V522" s="669"/>
      <c r="W522" s="669"/>
      <c r="X522" s="669"/>
      <c r="Y522" s="9"/>
      <c r="Z522" s="2620"/>
      <c r="AA522" s="2621"/>
      <c r="AB522" s="2621"/>
      <c r="AC522" s="2621"/>
      <c r="AD522" s="2621"/>
      <c r="AE522" s="2621"/>
      <c r="AF522" s="2621"/>
      <c r="AG522" s="2621"/>
      <c r="AH522" s="2621"/>
      <c r="AI522" s="2621"/>
      <c r="AJ522" s="2621"/>
      <c r="AK522" s="2621"/>
      <c r="AL522" s="2621"/>
      <c r="AM522" s="2621"/>
      <c r="AN522" s="2621"/>
      <c r="AO522" s="2621"/>
      <c r="AP522" s="2621"/>
      <c r="AQ522" s="2621"/>
      <c r="AR522" s="2621"/>
      <c r="AS522" s="2621"/>
      <c r="AT522" s="2621"/>
      <c r="AU522" s="2622"/>
      <c r="AW522" s="381"/>
      <c r="AX522" s="381"/>
    </row>
    <row r="523" spans="1:53" ht="15.75" customHeight="1">
      <c r="A523" s="8"/>
      <c r="B523" s="669"/>
      <c r="C523" s="669"/>
      <c r="D523" s="669"/>
      <c r="E523" s="669"/>
      <c r="F523" s="669"/>
      <c r="G523" s="669"/>
      <c r="H523" s="669"/>
      <c r="I523" s="669"/>
      <c r="J523" s="669"/>
      <c r="K523" s="669"/>
      <c r="L523" s="669"/>
      <c r="M523" s="669"/>
      <c r="N523" s="669"/>
      <c r="O523" s="669"/>
      <c r="P523" s="669"/>
      <c r="Q523" s="669"/>
      <c r="R523" s="669"/>
      <c r="S523" s="669"/>
      <c r="T523" s="669"/>
      <c r="U523" s="669"/>
      <c r="V523" s="669"/>
      <c r="W523" s="669"/>
      <c r="X523" s="669"/>
      <c r="Y523" s="9"/>
      <c r="Z523" s="2620"/>
      <c r="AA523" s="2621"/>
      <c r="AB523" s="2621"/>
      <c r="AC523" s="2621"/>
      <c r="AD523" s="2621"/>
      <c r="AE523" s="2621"/>
      <c r="AF523" s="2621"/>
      <c r="AG523" s="2621"/>
      <c r="AH523" s="2621"/>
      <c r="AI523" s="2621"/>
      <c r="AJ523" s="2621"/>
      <c r="AK523" s="2621"/>
      <c r="AL523" s="2621"/>
      <c r="AM523" s="2621"/>
      <c r="AN523" s="2621"/>
      <c r="AO523" s="2621"/>
      <c r="AP523" s="2621"/>
      <c r="AQ523" s="2621"/>
      <c r="AR523" s="2621"/>
      <c r="AS523" s="2621"/>
      <c r="AT523" s="2621"/>
      <c r="AU523" s="2622"/>
      <c r="AW523" s="381"/>
      <c r="AX523" s="381"/>
    </row>
    <row r="524" spans="1:53" ht="15.75" customHeight="1">
      <c r="A524" s="8"/>
      <c r="B524" s="669"/>
      <c r="C524" s="669"/>
      <c r="D524" s="669"/>
      <c r="E524" s="669"/>
      <c r="F524" s="669"/>
      <c r="G524" s="669"/>
      <c r="H524" s="669"/>
      <c r="I524" s="669"/>
      <c r="J524" s="669"/>
      <c r="K524" s="2629" t="s">
        <v>164</v>
      </c>
      <c r="L524" s="2629"/>
      <c r="M524" s="2629"/>
      <c r="N524" s="2629"/>
      <c r="O524" s="2629"/>
      <c r="P524" s="2629"/>
      <c r="Q524" s="669"/>
      <c r="R524" s="669"/>
      <c r="S524" s="669"/>
      <c r="T524" s="669"/>
      <c r="U524" s="669"/>
      <c r="V524" s="669"/>
      <c r="W524" s="669"/>
      <c r="X524" s="669"/>
      <c r="Y524" s="9"/>
      <c r="Z524" s="2620"/>
      <c r="AA524" s="2621"/>
      <c r="AB524" s="2621"/>
      <c r="AC524" s="2621"/>
      <c r="AD524" s="2621"/>
      <c r="AE524" s="2621"/>
      <c r="AF524" s="2621"/>
      <c r="AG524" s="2621"/>
      <c r="AH524" s="2621"/>
      <c r="AI524" s="2621"/>
      <c r="AJ524" s="2621"/>
      <c r="AK524" s="2621"/>
      <c r="AL524" s="2621"/>
      <c r="AM524" s="2621"/>
      <c r="AN524" s="2621"/>
      <c r="AO524" s="2621"/>
      <c r="AP524" s="2621"/>
      <c r="AQ524" s="2621"/>
      <c r="AR524" s="2621"/>
      <c r="AS524" s="2621"/>
      <c r="AT524" s="2621"/>
      <c r="AU524" s="2622"/>
      <c r="AW524" s="381"/>
      <c r="AX524" s="381"/>
    </row>
    <row r="525" spans="1:53" ht="15.75" customHeight="1">
      <c r="A525" s="8"/>
      <c r="B525" s="669"/>
      <c r="C525" s="669"/>
      <c r="D525" s="669"/>
      <c r="E525" s="669"/>
      <c r="F525" s="669"/>
      <c r="G525" s="669"/>
      <c r="H525" s="669"/>
      <c r="I525" s="669"/>
      <c r="J525" s="669"/>
      <c r="K525" s="669"/>
      <c r="L525" s="669"/>
      <c r="M525" s="669"/>
      <c r="N525" s="669"/>
      <c r="O525" s="669"/>
      <c r="P525" s="669"/>
      <c r="Q525" s="669"/>
      <c r="R525" s="669"/>
      <c r="S525" s="669"/>
      <c r="T525" s="669"/>
      <c r="U525" s="669"/>
      <c r="V525" s="669"/>
      <c r="W525" s="669"/>
      <c r="X525" s="669"/>
      <c r="Y525" s="9"/>
      <c r="Z525" s="2620"/>
      <c r="AA525" s="2621"/>
      <c r="AB525" s="2621"/>
      <c r="AC525" s="2621"/>
      <c r="AD525" s="2621"/>
      <c r="AE525" s="2621"/>
      <c r="AF525" s="2621"/>
      <c r="AG525" s="2621"/>
      <c r="AH525" s="2621"/>
      <c r="AI525" s="2621"/>
      <c r="AJ525" s="2621"/>
      <c r="AK525" s="2621"/>
      <c r="AL525" s="2621"/>
      <c r="AM525" s="2621"/>
      <c r="AN525" s="2621"/>
      <c r="AO525" s="2621"/>
      <c r="AP525" s="2621"/>
      <c r="AQ525" s="2621"/>
      <c r="AR525" s="2621"/>
      <c r="AS525" s="2621"/>
      <c r="AT525" s="2621"/>
      <c r="AU525" s="2622"/>
      <c r="AW525" s="381"/>
      <c r="AX525" s="381"/>
    </row>
    <row r="526" spans="1:53" ht="15.75" customHeight="1">
      <c r="A526" s="8"/>
      <c r="B526" s="669"/>
      <c r="C526" s="669"/>
      <c r="D526" s="669"/>
      <c r="E526" s="669"/>
      <c r="F526" s="669"/>
      <c r="G526" s="669"/>
      <c r="H526" s="669"/>
      <c r="I526" s="669"/>
      <c r="J526" s="669"/>
      <c r="K526" s="669"/>
      <c r="L526" s="669"/>
      <c r="M526" s="669"/>
      <c r="N526" s="669"/>
      <c r="O526" s="669"/>
      <c r="P526" s="669"/>
      <c r="Q526" s="669"/>
      <c r="R526" s="669"/>
      <c r="S526" s="669"/>
      <c r="T526" s="669"/>
      <c r="U526" s="669"/>
      <c r="V526" s="669"/>
      <c r="W526" s="669"/>
      <c r="X526" s="669"/>
      <c r="Y526" s="9"/>
      <c r="Z526" s="2620"/>
      <c r="AA526" s="2621"/>
      <c r="AB526" s="2621"/>
      <c r="AC526" s="2621"/>
      <c r="AD526" s="2621"/>
      <c r="AE526" s="2621"/>
      <c r="AF526" s="2621"/>
      <c r="AG526" s="2621"/>
      <c r="AH526" s="2621"/>
      <c r="AI526" s="2621"/>
      <c r="AJ526" s="2621"/>
      <c r="AK526" s="2621"/>
      <c r="AL526" s="2621"/>
      <c r="AM526" s="2621"/>
      <c r="AN526" s="2621"/>
      <c r="AO526" s="2621"/>
      <c r="AP526" s="2621"/>
      <c r="AQ526" s="2621"/>
      <c r="AR526" s="2621"/>
      <c r="AS526" s="2621"/>
      <c r="AT526" s="2621"/>
      <c r="AU526" s="2622"/>
      <c r="AW526" s="381"/>
      <c r="AX526" s="381"/>
    </row>
    <row r="527" spans="1:53" ht="15.75" customHeight="1">
      <c r="A527" s="8"/>
      <c r="B527" s="669"/>
      <c r="C527" s="669"/>
      <c r="D527" s="669"/>
      <c r="E527" s="669"/>
      <c r="F527" s="669"/>
      <c r="G527" s="669"/>
      <c r="H527" s="669"/>
      <c r="I527" s="669"/>
      <c r="J527" s="669"/>
      <c r="K527" s="669"/>
      <c r="L527" s="669"/>
      <c r="M527" s="669"/>
      <c r="N527" s="669"/>
      <c r="O527" s="669"/>
      <c r="P527" s="669"/>
      <c r="Q527" s="669"/>
      <c r="R527" s="669"/>
      <c r="S527" s="669"/>
      <c r="T527" s="669"/>
      <c r="U527" s="669"/>
      <c r="V527" s="669"/>
      <c r="W527" s="669"/>
      <c r="X527" s="669"/>
      <c r="Y527" s="9"/>
      <c r="Z527" s="2620"/>
      <c r="AA527" s="2621"/>
      <c r="AB527" s="2621"/>
      <c r="AC527" s="2621"/>
      <c r="AD527" s="2621"/>
      <c r="AE527" s="2621"/>
      <c r="AF527" s="2621"/>
      <c r="AG527" s="2621"/>
      <c r="AH527" s="2621"/>
      <c r="AI527" s="2621"/>
      <c r="AJ527" s="2621"/>
      <c r="AK527" s="2621"/>
      <c r="AL527" s="2621"/>
      <c r="AM527" s="2621"/>
      <c r="AN527" s="2621"/>
      <c r="AO527" s="2621"/>
      <c r="AP527" s="2621"/>
      <c r="AQ527" s="2621"/>
      <c r="AR527" s="2621"/>
      <c r="AS527" s="2621"/>
      <c r="AT527" s="2621"/>
      <c r="AU527" s="2622"/>
      <c r="AW527" s="381"/>
      <c r="AX527" s="381"/>
    </row>
    <row r="528" spans="1:53" ht="15.75" customHeight="1">
      <c r="A528" s="8"/>
      <c r="B528" s="669"/>
      <c r="C528" s="669"/>
      <c r="D528" s="669"/>
      <c r="E528" s="669"/>
      <c r="F528" s="669"/>
      <c r="G528" s="669"/>
      <c r="H528" s="669"/>
      <c r="I528" s="669"/>
      <c r="J528" s="669"/>
      <c r="K528" s="669"/>
      <c r="L528" s="669"/>
      <c r="M528" s="669"/>
      <c r="N528" s="669"/>
      <c r="O528" s="669"/>
      <c r="P528" s="669"/>
      <c r="Q528" s="669"/>
      <c r="R528" s="669"/>
      <c r="S528" s="669"/>
      <c r="T528" s="669"/>
      <c r="U528" s="669"/>
      <c r="V528" s="669"/>
      <c r="W528" s="669"/>
      <c r="X528" s="669"/>
      <c r="Y528" s="9"/>
      <c r="Z528" s="2620"/>
      <c r="AA528" s="2621"/>
      <c r="AB528" s="2621"/>
      <c r="AC528" s="2621"/>
      <c r="AD528" s="2621"/>
      <c r="AE528" s="2621"/>
      <c r="AF528" s="2621"/>
      <c r="AG528" s="2621"/>
      <c r="AH528" s="2621"/>
      <c r="AI528" s="2621"/>
      <c r="AJ528" s="2621"/>
      <c r="AK528" s="2621"/>
      <c r="AL528" s="2621"/>
      <c r="AM528" s="2621"/>
      <c r="AN528" s="2621"/>
      <c r="AO528" s="2621"/>
      <c r="AP528" s="2621"/>
      <c r="AQ528" s="2621"/>
      <c r="AR528" s="2621"/>
      <c r="AS528" s="2621"/>
      <c r="AT528" s="2621"/>
      <c r="AU528" s="2622"/>
      <c r="AW528" s="381"/>
      <c r="AX528" s="381"/>
    </row>
    <row r="529" spans="1:50" ht="15.75" customHeight="1">
      <c r="A529" s="8"/>
      <c r="B529" s="669"/>
      <c r="C529" s="669"/>
      <c r="D529" s="669"/>
      <c r="E529" s="669"/>
      <c r="F529" s="669"/>
      <c r="G529" s="669"/>
      <c r="H529" s="669"/>
      <c r="I529" s="669"/>
      <c r="J529" s="669"/>
      <c r="K529" s="669"/>
      <c r="L529" s="669"/>
      <c r="M529" s="669"/>
      <c r="N529" s="669"/>
      <c r="O529" s="669"/>
      <c r="P529" s="669"/>
      <c r="Q529" s="669"/>
      <c r="R529" s="669"/>
      <c r="S529" s="669"/>
      <c r="T529" s="669"/>
      <c r="U529" s="669"/>
      <c r="V529" s="669"/>
      <c r="W529" s="669"/>
      <c r="X529" s="669"/>
      <c r="Y529" s="9"/>
      <c r="Z529" s="2620"/>
      <c r="AA529" s="2621"/>
      <c r="AB529" s="2621"/>
      <c r="AC529" s="2621"/>
      <c r="AD529" s="2621"/>
      <c r="AE529" s="2621"/>
      <c r="AF529" s="2621"/>
      <c r="AG529" s="2621"/>
      <c r="AH529" s="2621"/>
      <c r="AI529" s="2621"/>
      <c r="AJ529" s="2621"/>
      <c r="AK529" s="2621"/>
      <c r="AL529" s="2621"/>
      <c r="AM529" s="2621"/>
      <c r="AN529" s="2621"/>
      <c r="AO529" s="2621"/>
      <c r="AP529" s="2621"/>
      <c r="AQ529" s="2621"/>
      <c r="AR529" s="2621"/>
      <c r="AS529" s="2621"/>
      <c r="AT529" s="2621"/>
      <c r="AU529" s="2622"/>
      <c r="AW529" s="381"/>
      <c r="AX529" s="381"/>
    </row>
    <row r="530" spans="1:50" ht="15.75" customHeight="1">
      <c r="A530" s="8"/>
      <c r="B530" s="669"/>
      <c r="C530" s="669"/>
      <c r="D530" s="669"/>
      <c r="E530" s="669"/>
      <c r="F530" s="669"/>
      <c r="G530" s="669"/>
      <c r="H530" s="669"/>
      <c r="I530" s="669"/>
      <c r="J530" s="669"/>
      <c r="K530" s="669"/>
      <c r="L530" s="669"/>
      <c r="M530" s="669"/>
      <c r="N530" s="669"/>
      <c r="O530" s="669"/>
      <c r="P530" s="669"/>
      <c r="Q530" s="669"/>
      <c r="R530" s="669"/>
      <c r="S530" s="669"/>
      <c r="T530" s="669"/>
      <c r="U530" s="669"/>
      <c r="V530" s="669"/>
      <c r="W530" s="669"/>
      <c r="X530" s="669"/>
      <c r="Y530" s="9"/>
      <c r="Z530" s="2620"/>
      <c r="AA530" s="2621"/>
      <c r="AB530" s="2621"/>
      <c r="AC530" s="2621"/>
      <c r="AD530" s="2621"/>
      <c r="AE530" s="2621"/>
      <c r="AF530" s="2621"/>
      <c r="AG530" s="2621"/>
      <c r="AH530" s="2621"/>
      <c r="AI530" s="2621"/>
      <c r="AJ530" s="2621"/>
      <c r="AK530" s="2621"/>
      <c r="AL530" s="2621"/>
      <c r="AM530" s="2621"/>
      <c r="AN530" s="2621"/>
      <c r="AO530" s="2621"/>
      <c r="AP530" s="2621"/>
      <c r="AQ530" s="2621"/>
      <c r="AR530" s="2621"/>
      <c r="AS530" s="2621"/>
      <c r="AT530" s="2621"/>
      <c r="AU530" s="2622"/>
      <c r="AW530" s="381"/>
      <c r="AX530" s="381"/>
    </row>
    <row r="531" spans="1:50" ht="15.75" customHeight="1">
      <c r="A531" s="8"/>
      <c r="B531" s="669"/>
      <c r="C531" s="669"/>
      <c r="D531" s="669"/>
      <c r="E531" s="669"/>
      <c r="F531" s="669"/>
      <c r="G531" s="669"/>
      <c r="H531" s="669"/>
      <c r="I531" s="669"/>
      <c r="J531" s="669"/>
      <c r="K531" s="669"/>
      <c r="L531" s="669"/>
      <c r="M531" s="669"/>
      <c r="N531" s="669"/>
      <c r="O531" s="669"/>
      <c r="P531" s="669"/>
      <c r="Q531" s="669"/>
      <c r="R531" s="669"/>
      <c r="S531" s="669"/>
      <c r="T531" s="669"/>
      <c r="U531" s="669"/>
      <c r="V531" s="669"/>
      <c r="W531" s="669"/>
      <c r="X531" s="669"/>
      <c r="Y531" s="9"/>
      <c r="Z531" s="2620"/>
      <c r="AA531" s="2621"/>
      <c r="AB531" s="2621"/>
      <c r="AC531" s="2621"/>
      <c r="AD531" s="2621"/>
      <c r="AE531" s="2621"/>
      <c r="AF531" s="2621"/>
      <c r="AG531" s="2621"/>
      <c r="AH531" s="2621"/>
      <c r="AI531" s="2621"/>
      <c r="AJ531" s="2621"/>
      <c r="AK531" s="2621"/>
      <c r="AL531" s="2621"/>
      <c r="AM531" s="2621"/>
      <c r="AN531" s="2621"/>
      <c r="AO531" s="2621"/>
      <c r="AP531" s="2621"/>
      <c r="AQ531" s="2621"/>
      <c r="AR531" s="2621"/>
      <c r="AS531" s="2621"/>
      <c r="AT531" s="2621"/>
      <c r="AU531" s="2622"/>
      <c r="AW531" s="381"/>
      <c r="AX531" s="381"/>
    </row>
    <row r="532" spans="1:50" ht="15.75" customHeight="1">
      <c r="A532" s="8"/>
      <c r="B532" s="669"/>
      <c r="C532" s="669"/>
      <c r="D532" s="669"/>
      <c r="E532" s="669"/>
      <c r="F532" s="669"/>
      <c r="G532" s="669"/>
      <c r="H532" s="669"/>
      <c r="I532" s="669"/>
      <c r="J532" s="669"/>
      <c r="K532" s="669"/>
      <c r="L532" s="669"/>
      <c r="M532" s="669"/>
      <c r="N532" s="669"/>
      <c r="O532" s="669"/>
      <c r="P532" s="669"/>
      <c r="Q532" s="669"/>
      <c r="R532" s="669"/>
      <c r="S532" s="669"/>
      <c r="T532" s="669"/>
      <c r="U532" s="669"/>
      <c r="V532" s="669"/>
      <c r="W532" s="669"/>
      <c r="X532" s="669"/>
      <c r="Y532" s="9"/>
      <c r="Z532" s="2620"/>
      <c r="AA532" s="2621"/>
      <c r="AB532" s="2621"/>
      <c r="AC532" s="2621"/>
      <c r="AD532" s="2621"/>
      <c r="AE532" s="2621"/>
      <c r="AF532" s="2621"/>
      <c r="AG532" s="2621"/>
      <c r="AH532" s="2621"/>
      <c r="AI532" s="2621"/>
      <c r="AJ532" s="2621"/>
      <c r="AK532" s="2621"/>
      <c r="AL532" s="2621"/>
      <c r="AM532" s="2621"/>
      <c r="AN532" s="2621"/>
      <c r="AO532" s="2621"/>
      <c r="AP532" s="2621"/>
      <c r="AQ532" s="2621"/>
      <c r="AR532" s="2621"/>
      <c r="AS532" s="2621"/>
      <c r="AT532" s="2621"/>
      <c r="AU532" s="2622"/>
      <c r="AW532" s="381"/>
      <c r="AX532" s="381"/>
    </row>
    <row r="533" spans="1:50" ht="15.75" customHeight="1">
      <c r="A533" s="12"/>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1"/>
      <c r="Z533" s="2623"/>
      <c r="AA533" s="2624"/>
      <c r="AB533" s="2624"/>
      <c r="AC533" s="2624"/>
      <c r="AD533" s="2624"/>
      <c r="AE533" s="2624"/>
      <c r="AF533" s="2624"/>
      <c r="AG533" s="2624"/>
      <c r="AH533" s="2624"/>
      <c r="AI533" s="2624"/>
      <c r="AJ533" s="2624"/>
      <c r="AK533" s="2624"/>
      <c r="AL533" s="2624"/>
      <c r="AM533" s="2624"/>
      <c r="AN533" s="2624"/>
      <c r="AO533" s="2624"/>
      <c r="AP533" s="2624"/>
      <c r="AQ533" s="2624"/>
      <c r="AR533" s="2624"/>
      <c r="AS533" s="2624"/>
      <c r="AT533" s="2624"/>
      <c r="AU533" s="2625"/>
      <c r="AW533" s="381"/>
      <c r="AX533" s="381"/>
    </row>
    <row r="534" spans="1:50" ht="12.75" customHeight="1">
      <c r="AW534" s="381"/>
      <c r="AX534" s="381"/>
    </row>
    <row r="535" spans="1:50" ht="12.75" customHeight="1">
      <c r="A535" s="2643" t="s">
        <v>157</v>
      </c>
      <c r="B535" s="2643"/>
      <c r="C535" s="2643"/>
      <c r="D535" s="2643"/>
      <c r="AU535" s="618"/>
      <c r="AW535" s="381"/>
      <c r="AX535" s="381"/>
    </row>
    <row r="536" spans="1:50" ht="12.75" customHeight="1">
      <c r="B536" s="619" t="s">
        <v>158</v>
      </c>
      <c r="C536" s="2609" t="s">
        <v>176</v>
      </c>
      <c r="D536" s="2609"/>
      <c r="E536" s="2609"/>
      <c r="F536" s="2609"/>
      <c r="G536" s="2609"/>
      <c r="H536" s="2609"/>
      <c r="I536" s="2609"/>
      <c r="J536" s="2609"/>
      <c r="K536" s="2609"/>
      <c r="L536" s="2609"/>
      <c r="M536" s="2609"/>
      <c r="N536" s="2609"/>
      <c r="O536" s="2609"/>
      <c r="P536" s="2609"/>
      <c r="Q536" s="2609"/>
      <c r="R536" s="2609"/>
      <c r="S536" s="2609"/>
      <c r="T536" s="2609"/>
      <c r="U536" s="2609"/>
      <c r="V536" s="2609"/>
      <c r="W536" s="2609"/>
      <c r="X536" s="2609"/>
      <c r="Y536" s="2609"/>
      <c r="Z536" s="2609"/>
      <c r="AA536" s="2609"/>
      <c r="AB536" s="2609"/>
      <c r="AC536" s="2609"/>
      <c r="AD536" s="2609"/>
      <c r="AE536" s="2609"/>
      <c r="AF536" s="2609"/>
      <c r="AG536" s="2609"/>
      <c r="AH536" s="2609"/>
      <c r="AI536" s="2609"/>
      <c r="AJ536" s="2609"/>
      <c r="AK536" s="2609"/>
      <c r="AL536" s="2609"/>
      <c r="AM536" s="2609"/>
      <c r="AN536" s="2609"/>
      <c r="AO536" s="2609"/>
      <c r="AP536" s="2609"/>
      <c r="AQ536" s="2609"/>
      <c r="AR536" s="2609"/>
      <c r="AS536" s="2609"/>
      <c r="AT536" s="2609"/>
      <c r="AU536" s="2609"/>
      <c r="AW536" s="381"/>
      <c r="AX536" s="381"/>
    </row>
    <row r="537" spans="1:50" ht="12.75" customHeight="1">
      <c r="B537" s="619"/>
      <c r="C537" s="2610" t="s">
        <v>177</v>
      </c>
      <c r="D537" s="2610"/>
      <c r="E537" s="2610"/>
      <c r="F537" s="2610"/>
      <c r="G537" s="2610"/>
      <c r="H537" s="2610"/>
      <c r="I537" s="2610"/>
      <c r="J537" s="2610"/>
      <c r="K537" s="2610"/>
      <c r="L537" s="2610"/>
      <c r="M537" s="2610"/>
      <c r="N537" s="2610"/>
      <c r="O537" s="2610"/>
      <c r="P537" s="2610"/>
      <c r="Q537" s="2610"/>
      <c r="R537" s="2610"/>
      <c r="S537" s="2610"/>
      <c r="T537" s="2610"/>
      <c r="U537" s="2610"/>
      <c r="V537" s="2610"/>
      <c r="W537" s="2610"/>
      <c r="X537" s="2610"/>
      <c r="Y537" s="2610"/>
      <c r="Z537" s="2610"/>
      <c r="AA537" s="2610"/>
      <c r="AB537" s="2610"/>
      <c r="AC537" s="2610"/>
      <c r="AD537" s="2610"/>
      <c r="AE537" s="2610"/>
      <c r="AF537" s="2610"/>
      <c r="AG537" s="2610"/>
      <c r="AH537" s="2610"/>
      <c r="AI537" s="2610"/>
      <c r="AJ537" s="2610"/>
      <c r="AK537" s="2610"/>
      <c r="AL537" s="2610"/>
      <c r="AM537" s="2610"/>
      <c r="AN537" s="2610"/>
      <c r="AO537" s="2610"/>
      <c r="AP537" s="2610"/>
      <c r="AQ537" s="2610"/>
      <c r="AR537" s="2610"/>
      <c r="AS537" s="2610"/>
      <c r="AT537" s="2610"/>
      <c r="AU537" s="2610"/>
      <c r="AW537" s="381"/>
      <c r="AX537" s="381"/>
    </row>
    <row r="538" spans="1:50" ht="12.75" customHeight="1">
      <c r="B538" s="619"/>
      <c r="C538" s="2610" t="s">
        <v>178</v>
      </c>
      <c r="D538" s="2610"/>
      <c r="E538" s="2610"/>
      <c r="F538" s="2610"/>
      <c r="G538" s="2610"/>
      <c r="H538" s="2610"/>
      <c r="I538" s="2610"/>
      <c r="J538" s="2610"/>
      <c r="K538" s="2610"/>
      <c r="L538" s="2610"/>
      <c r="M538" s="2610"/>
      <c r="N538" s="2610"/>
      <c r="O538" s="2610"/>
      <c r="P538" s="2610"/>
      <c r="Q538" s="2610"/>
      <c r="R538" s="2610"/>
      <c r="S538" s="2610"/>
      <c r="T538" s="2610"/>
      <c r="U538" s="2610"/>
      <c r="V538" s="2610"/>
      <c r="W538" s="2610"/>
      <c r="X538" s="2610"/>
      <c r="Y538" s="2610"/>
      <c r="Z538" s="2610"/>
      <c r="AA538" s="2610"/>
      <c r="AB538" s="2610"/>
      <c r="AC538" s="2610"/>
      <c r="AD538" s="2610"/>
      <c r="AE538" s="2610"/>
      <c r="AF538" s="2610"/>
      <c r="AG538" s="2610"/>
      <c r="AH538" s="2610"/>
      <c r="AI538" s="2610"/>
      <c r="AJ538" s="2610"/>
      <c r="AK538" s="2610"/>
      <c r="AL538" s="2610"/>
      <c r="AM538" s="2610"/>
      <c r="AN538" s="2610"/>
      <c r="AO538" s="2610"/>
      <c r="AP538" s="2610"/>
      <c r="AQ538" s="2610"/>
      <c r="AR538" s="2610"/>
      <c r="AS538" s="2610"/>
      <c r="AT538" s="2610"/>
      <c r="AU538" s="2610"/>
      <c r="AW538" s="381"/>
      <c r="AX538" s="381"/>
    </row>
    <row r="539" spans="1:50" ht="12.75" customHeight="1">
      <c r="B539" s="619" t="s">
        <v>165</v>
      </c>
      <c r="C539" s="2610" t="s">
        <v>166</v>
      </c>
      <c r="D539" s="2610"/>
      <c r="E539" s="2610"/>
      <c r="F539" s="2610"/>
      <c r="G539" s="2610"/>
      <c r="H539" s="2610"/>
      <c r="I539" s="2610"/>
      <c r="J539" s="2610"/>
      <c r="K539" s="2610"/>
      <c r="L539" s="2610"/>
      <c r="M539" s="2610"/>
      <c r="N539" s="2610"/>
      <c r="O539" s="2610"/>
      <c r="P539" s="2610"/>
      <c r="Q539" s="2610"/>
      <c r="R539" s="2610"/>
      <c r="S539" s="2610"/>
      <c r="T539" s="2610"/>
      <c r="U539" s="2610"/>
      <c r="V539" s="2610"/>
      <c r="W539" s="2610"/>
      <c r="X539" s="2610"/>
      <c r="Y539" s="2610"/>
      <c r="Z539" s="2610"/>
      <c r="AA539" s="2610"/>
      <c r="AB539" s="2610"/>
      <c r="AC539" s="2610"/>
      <c r="AD539" s="2610"/>
      <c r="AE539" s="2610"/>
      <c r="AF539" s="2610"/>
      <c r="AG539" s="2610"/>
      <c r="AH539" s="2610"/>
      <c r="AI539" s="2610"/>
      <c r="AJ539" s="2610"/>
      <c r="AK539" s="2610"/>
      <c r="AL539" s="2610"/>
      <c r="AM539" s="2610"/>
      <c r="AN539" s="2610"/>
      <c r="AO539" s="2610"/>
      <c r="AP539" s="2610"/>
      <c r="AQ539" s="2610"/>
      <c r="AR539" s="2610"/>
      <c r="AS539" s="2610"/>
      <c r="AT539" s="2610"/>
      <c r="AU539" s="2610"/>
      <c r="AW539" s="381"/>
      <c r="AX539" s="381"/>
    </row>
    <row r="540" spans="1:50" ht="12.75" customHeight="1">
      <c r="B540" s="619" t="s">
        <v>159</v>
      </c>
      <c r="C540" s="2610" t="s">
        <v>0</v>
      </c>
      <c r="D540" s="2610"/>
      <c r="E540" s="2610"/>
      <c r="F540" s="2610"/>
      <c r="G540" s="2610"/>
      <c r="H540" s="2610"/>
      <c r="I540" s="2610"/>
      <c r="J540" s="2610"/>
      <c r="K540" s="2610"/>
      <c r="L540" s="2610"/>
      <c r="M540" s="2610"/>
      <c r="N540" s="2610"/>
      <c r="O540" s="2610"/>
      <c r="P540" s="2610"/>
      <c r="Q540" s="2610"/>
      <c r="R540" s="2610"/>
      <c r="S540" s="2610"/>
      <c r="T540" s="2610"/>
      <c r="U540" s="2610"/>
      <c r="V540" s="2610"/>
      <c r="W540" s="2610"/>
      <c r="X540" s="2610"/>
      <c r="Y540" s="2610"/>
      <c r="Z540" s="2610"/>
      <c r="AA540" s="2610"/>
      <c r="AB540" s="2610"/>
      <c r="AC540" s="2610"/>
      <c r="AD540" s="2610"/>
      <c r="AE540" s="2610"/>
      <c r="AF540" s="2610"/>
      <c r="AG540" s="2610"/>
      <c r="AH540" s="2610"/>
      <c r="AI540" s="2610"/>
      <c r="AJ540" s="2610"/>
      <c r="AK540" s="2610"/>
      <c r="AL540" s="2610"/>
      <c r="AM540" s="2610"/>
      <c r="AN540" s="2610"/>
      <c r="AO540" s="2610"/>
      <c r="AP540" s="2610"/>
      <c r="AQ540" s="2610"/>
      <c r="AR540" s="2610"/>
      <c r="AS540" s="2610"/>
      <c r="AT540" s="2610"/>
      <c r="AU540" s="2610"/>
      <c r="AW540" s="381"/>
      <c r="AX540" s="381"/>
    </row>
    <row r="541" spans="1:50" ht="12.75" customHeight="1">
      <c r="B541" s="619" t="s">
        <v>167</v>
      </c>
      <c r="C541" s="2610" t="s">
        <v>179</v>
      </c>
      <c r="D541" s="2610"/>
      <c r="E541" s="2610"/>
      <c r="F541" s="2610"/>
      <c r="G541" s="2610"/>
      <c r="H541" s="2610"/>
      <c r="I541" s="2610"/>
      <c r="J541" s="2610"/>
      <c r="K541" s="2610"/>
      <c r="L541" s="2610"/>
      <c r="M541" s="2610"/>
      <c r="N541" s="2610"/>
      <c r="O541" s="2610"/>
      <c r="P541" s="2610"/>
      <c r="Q541" s="2610"/>
      <c r="R541" s="2610"/>
      <c r="S541" s="2610"/>
      <c r="T541" s="2610"/>
      <c r="U541" s="2610"/>
      <c r="V541" s="2610"/>
      <c r="W541" s="2610"/>
      <c r="X541" s="2610"/>
      <c r="Y541" s="2610"/>
      <c r="Z541" s="2610"/>
      <c r="AA541" s="2610"/>
      <c r="AB541" s="2610"/>
      <c r="AC541" s="2610"/>
      <c r="AD541" s="2610"/>
      <c r="AE541" s="2610"/>
      <c r="AF541" s="2610"/>
      <c r="AG541" s="2610"/>
      <c r="AH541" s="2610"/>
      <c r="AI541" s="2610"/>
      <c r="AJ541" s="2610"/>
      <c r="AK541" s="2610"/>
      <c r="AL541" s="2610"/>
      <c r="AM541" s="2610"/>
      <c r="AN541" s="2610"/>
      <c r="AO541" s="2610"/>
      <c r="AP541" s="2610"/>
      <c r="AQ541" s="2610"/>
      <c r="AR541" s="2610"/>
      <c r="AS541" s="2610"/>
      <c r="AT541" s="2610"/>
      <c r="AU541" s="2610"/>
      <c r="AW541" s="381"/>
      <c r="AX541" s="381"/>
    </row>
    <row r="542" spans="1:50" ht="12.75" customHeight="1">
      <c r="C542" s="2610" t="s">
        <v>180</v>
      </c>
      <c r="D542" s="2610"/>
      <c r="E542" s="2610"/>
      <c r="F542" s="2610"/>
      <c r="G542" s="2610"/>
      <c r="H542" s="2610"/>
      <c r="I542" s="2610"/>
      <c r="J542" s="2610"/>
      <c r="K542" s="2610"/>
      <c r="L542" s="2610"/>
      <c r="M542" s="2610"/>
      <c r="N542" s="2610"/>
      <c r="O542" s="2610"/>
      <c r="P542" s="2610"/>
      <c r="Q542" s="2610"/>
      <c r="R542" s="2610"/>
      <c r="S542" s="2610"/>
      <c r="T542" s="2610"/>
      <c r="U542" s="2610"/>
      <c r="V542" s="2610"/>
      <c r="W542" s="2610"/>
      <c r="X542" s="2610"/>
      <c r="Y542" s="2610"/>
      <c r="Z542" s="2610"/>
      <c r="AA542" s="2610"/>
      <c r="AB542" s="2610"/>
      <c r="AC542" s="2610"/>
      <c r="AD542" s="2610"/>
      <c r="AE542" s="2610"/>
      <c r="AF542" s="2610"/>
      <c r="AG542" s="2610"/>
      <c r="AH542" s="2610"/>
      <c r="AI542" s="2610"/>
      <c r="AJ542" s="2610"/>
      <c r="AK542" s="2610"/>
      <c r="AL542" s="2610"/>
      <c r="AM542" s="2610"/>
      <c r="AN542" s="2610"/>
      <c r="AO542" s="2610"/>
      <c r="AP542" s="2610"/>
      <c r="AQ542" s="2610"/>
      <c r="AR542" s="2610"/>
      <c r="AS542" s="2610"/>
      <c r="AT542" s="2610"/>
      <c r="AU542" s="2610"/>
      <c r="AW542" s="381"/>
      <c r="AX542" s="381"/>
    </row>
    <row r="543" spans="1:50" ht="12.75" customHeight="1">
      <c r="B543" s="619" t="s">
        <v>1</v>
      </c>
      <c r="C543" s="2610" t="s">
        <v>2</v>
      </c>
      <c r="D543" s="2610"/>
      <c r="E543" s="2610"/>
      <c r="F543" s="2610"/>
      <c r="G543" s="2610"/>
      <c r="H543" s="2610"/>
      <c r="I543" s="2610"/>
      <c r="J543" s="2610"/>
      <c r="K543" s="2610"/>
      <c r="L543" s="2610"/>
      <c r="M543" s="2610"/>
      <c r="N543" s="2610"/>
      <c r="O543" s="2610"/>
      <c r="P543" s="2610"/>
      <c r="Q543" s="2610"/>
      <c r="R543" s="2610"/>
      <c r="S543" s="2610"/>
      <c r="T543" s="2610"/>
      <c r="U543" s="2610"/>
      <c r="V543" s="2610"/>
      <c r="W543" s="2610"/>
      <c r="X543" s="2610"/>
      <c r="Y543" s="2610"/>
      <c r="Z543" s="2610"/>
      <c r="AA543" s="2610"/>
      <c r="AB543" s="2610"/>
      <c r="AC543" s="2610"/>
      <c r="AD543" s="2610"/>
      <c r="AE543" s="2610"/>
      <c r="AF543" s="2610"/>
      <c r="AG543" s="2610"/>
      <c r="AH543" s="2610"/>
      <c r="AI543" s="2610"/>
      <c r="AJ543" s="2610"/>
      <c r="AK543" s="2610"/>
      <c r="AL543" s="2610"/>
      <c r="AM543" s="2610"/>
      <c r="AN543" s="2610"/>
      <c r="AO543" s="2610"/>
      <c r="AP543" s="2610"/>
      <c r="AQ543" s="2610"/>
      <c r="AR543" s="2610"/>
      <c r="AS543" s="2610"/>
      <c r="AT543" s="2610"/>
      <c r="AU543" s="2610"/>
      <c r="AW543" s="381"/>
      <c r="AX543" s="381"/>
    </row>
    <row r="544" spans="1:50" ht="12.75" customHeight="1">
      <c r="AG544" s="618"/>
      <c r="AH544" s="618"/>
      <c r="AI544" s="618"/>
      <c r="AJ544" s="618"/>
      <c r="AK544" s="618"/>
      <c r="AL544" s="618"/>
      <c r="AM544" s="618"/>
      <c r="AN544" s="618"/>
      <c r="AO544" s="618"/>
      <c r="AP544" s="618"/>
      <c r="AQ544" s="618"/>
      <c r="AR544" s="618"/>
      <c r="AS544" s="618"/>
      <c r="AT544" s="618"/>
      <c r="AW544" s="381"/>
      <c r="AX544" s="381"/>
    </row>
    <row r="545" spans="1:53" ht="12.75" customHeight="1">
      <c r="AW545" s="381"/>
      <c r="AX545" s="381"/>
    </row>
    <row r="546" spans="1:53" ht="12.75" customHeight="1">
      <c r="A546" s="617" t="s">
        <v>18</v>
      </c>
      <c r="B546" s="617" t="s">
        <v>160</v>
      </c>
      <c r="C546" s="617">
        <v>2</v>
      </c>
      <c r="D546" s="617" t="s">
        <v>5</v>
      </c>
      <c r="E546" s="617" t="s">
        <v>6</v>
      </c>
      <c r="F546" s="617"/>
      <c r="G546" s="617" t="s">
        <v>25</v>
      </c>
      <c r="H546" s="617" t="s">
        <v>182</v>
      </c>
      <c r="I546" s="617">
        <v>4</v>
      </c>
      <c r="J546" s="617" t="s">
        <v>22</v>
      </c>
      <c r="AO546" s="758" t="str">
        <f>$AO$7</f>
        <v>Kyoto City(R4.11) ver112</v>
      </c>
      <c r="AP546" s="705" t="str">
        <f>IF('1_入力シート【基本情報】'!$AB$7="","",'1_入力シート【基本情報】'!$AB$7)</f>
        <v/>
      </c>
      <c r="AQ546" s="703" t="str">
        <f>IF('1_入力シート【基本情報】'!$AK$7="","",'1_入力シート【基本情報】'!$AK$7)</f>
        <v/>
      </c>
      <c r="AR546" s="2606" t="str">
        <f>IF('1_入力シート【基本情報】'!$AT$7="","",TEXT('1_入力シート【基本情報】'!$AT$7,"0000"))</f>
        <v/>
      </c>
      <c r="AS546" s="2607"/>
      <c r="AT546" s="2607"/>
      <c r="AU546" s="2608"/>
      <c r="AW546" s="381"/>
      <c r="AX546" s="381"/>
    </row>
    <row r="547" spans="1:53" ht="12.75" customHeight="1">
      <c r="U547" s="2665" t="s">
        <v>181</v>
      </c>
      <c r="V547" s="2665"/>
      <c r="W547" s="2665"/>
      <c r="X547" s="2665"/>
      <c r="Y547" s="2665"/>
      <c r="Z547" s="2665"/>
      <c r="AW547" s="381"/>
      <c r="AX547" s="381"/>
    </row>
    <row r="548" spans="1:53" ht="12.75" customHeight="1">
      <c r="AW548" s="381"/>
      <c r="AX548" s="381"/>
    </row>
    <row r="549" spans="1:53" ht="15.75" customHeight="1">
      <c r="A549" s="2634" t="s">
        <v>161</v>
      </c>
      <c r="B549" s="2635"/>
      <c r="C549" s="2636"/>
      <c r="D549" s="2653" t="s">
        <v>162</v>
      </c>
      <c r="E549" s="2654"/>
      <c r="F549" s="2654"/>
      <c r="G549" s="2654"/>
      <c r="H549" s="2654"/>
      <c r="I549" s="2654"/>
      <c r="J549" s="2655"/>
      <c r="K549" s="621"/>
      <c r="L549" s="622"/>
      <c r="M549" s="622"/>
      <c r="N549" s="622"/>
      <c r="O549" s="622"/>
      <c r="P549" s="622"/>
      <c r="Q549" s="622"/>
      <c r="R549" s="622"/>
      <c r="S549" s="623" t="s">
        <v>7</v>
      </c>
      <c r="T549" s="623" t="s">
        <v>8</v>
      </c>
      <c r="U549" s="623" t="s">
        <v>9</v>
      </c>
      <c r="V549" s="623" t="s">
        <v>163</v>
      </c>
      <c r="W549" s="623"/>
      <c r="X549" s="623"/>
      <c r="Y549" s="623"/>
      <c r="Z549" s="623"/>
      <c r="AA549" s="623"/>
      <c r="AB549" s="623"/>
      <c r="AC549" s="623"/>
      <c r="AD549" s="623"/>
      <c r="AE549" s="623"/>
      <c r="AF549" s="623"/>
      <c r="AG549" s="623"/>
      <c r="AH549" s="623"/>
      <c r="AI549" s="624"/>
      <c r="AJ549" s="625"/>
      <c r="AK549" s="2654" t="s">
        <v>33</v>
      </c>
      <c r="AL549" s="2654"/>
      <c r="AM549" s="2654"/>
      <c r="AN549" s="2654"/>
      <c r="AO549" s="2654"/>
      <c r="AP549" s="2654"/>
      <c r="AQ549" s="2654"/>
      <c r="AR549" s="2654"/>
      <c r="AS549" s="2654"/>
      <c r="AT549" s="2654"/>
      <c r="AU549" s="626"/>
      <c r="AW549" s="381"/>
      <c r="AX549" s="381"/>
    </row>
    <row r="550" spans="1:53" ht="15.75" customHeight="1" thickBot="1">
      <c r="A550" s="2647"/>
      <c r="B550" s="2648"/>
      <c r="C550" s="2649"/>
      <c r="D550" s="2634" t="str">
        <f>IFERROR(VLOOKUP(19,'1_入力シート【基本情報】'!$DU$307:$DX$526,3,FALSE),"")</f>
        <v/>
      </c>
      <c r="E550" s="2635"/>
      <c r="F550" s="2635"/>
      <c r="G550" s="2635"/>
      <c r="H550" s="2635"/>
      <c r="I550" s="2635"/>
      <c r="J550" s="2636"/>
      <c r="K550" s="2656" t="str">
        <f>IFERROR(VLOOKUP(19,'1_入力シート【基本情報】'!$DU$307:$DX$526,4,FALSE),"")</f>
        <v/>
      </c>
      <c r="L550" s="2657"/>
      <c r="M550" s="2657"/>
      <c r="N550" s="2657"/>
      <c r="O550" s="2657"/>
      <c r="P550" s="2657"/>
      <c r="Q550" s="2657"/>
      <c r="R550" s="2657"/>
      <c r="S550" s="2657"/>
      <c r="T550" s="2657"/>
      <c r="U550" s="2657"/>
      <c r="V550" s="2657"/>
      <c r="W550" s="2657"/>
      <c r="X550" s="2657"/>
      <c r="Y550" s="2657"/>
      <c r="Z550" s="2657"/>
      <c r="AA550" s="2657"/>
      <c r="AB550" s="2657"/>
      <c r="AC550" s="2657"/>
      <c r="AD550" s="2657"/>
      <c r="AE550" s="2657"/>
      <c r="AF550" s="2657"/>
      <c r="AG550" s="2657"/>
      <c r="AH550" s="2657"/>
      <c r="AI550" s="2658"/>
      <c r="AJ550" s="665"/>
      <c r="AK550" s="665"/>
      <c r="AL550" s="665"/>
      <c r="AM550" s="665"/>
      <c r="AN550" s="665"/>
      <c r="AO550" s="665"/>
      <c r="AP550" s="665"/>
      <c r="AQ550" s="665"/>
      <c r="AR550" s="665"/>
      <c r="AS550" s="665"/>
      <c r="AT550" s="665"/>
      <c r="AU550" s="666"/>
      <c r="AW550" s="381"/>
      <c r="AX550" s="381"/>
    </row>
    <row r="551" spans="1:53" ht="15.75" customHeight="1" thickBot="1">
      <c r="A551" s="2647"/>
      <c r="B551" s="2648"/>
      <c r="C551" s="2649"/>
      <c r="D551" s="2637"/>
      <c r="E551" s="2638"/>
      <c r="F551" s="2638"/>
      <c r="G551" s="2638"/>
      <c r="H551" s="2638"/>
      <c r="I551" s="2638"/>
      <c r="J551" s="2639"/>
      <c r="K551" s="2659"/>
      <c r="L551" s="2660"/>
      <c r="M551" s="2660"/>
      <c r="N551" s="2660"/>
      <c r="O551" s="2660"/>
      <c r="P551" s="2660"/>
      <c r="Q551" s="2660"/>
      <c r="R551" s="2660"/>
      <c r="S551" s="2660"/>
      <c r="T551" s="2660"/>
      <c r="U551" s="2660"/>
      <c r="V551" s="2660"/>
      <c r="W551" s="2660"/>
      <c r="X551" s="2660"/>
      <c r="Y551" s="2660"/>
      <c r="Z551" s="2660"/>
      <c r="AA551" s="2660"/>
      <c r="AB551" s="2660"/>
      <c r="AC551" s="2660"/>
      <c r="AD551" s="2660"/>
      <c r="AE551" s="2660"/>
      <c r="AF551" s="2660"/>
      <c r="AG551" s="2660"/>
      <c r="AH551" s="2660"/>
      <c r="AI551" s="2661"/>
      <c r="AJ551" s="665"/>
      <c r="AK551" s="665" t="str">
        <f>IF(D550&lt;&gt;"","☑","☐")</f>
        <v>☐</v>
      </c>
      <c r="AL551" s="665" t="s">
        <v>14</v>
      </c>
      <c r="AM551" s="665" t="s">
        <v>21</v>
      </c>
      <c r="AN551" s="665" t="s">
        <v>15</v>
      </c>
      <c r="AO551" s="665"/>
      <c r="AP551" s="783" t="s">
        <v>186</v>
      </c>
      <c r="AQ551" s="665" t="s">
        <v>27</v>
      </c>
      <c r="AR551" s="665" t="s">
        <v>23</v>
      </c>
      <c r="AS551" s="665" t="s">
        <v>13</v>
      </c>
      <c r="AT551" s="665"/>
      <c r="AU551" s="666"/>
      <c r="AV551" s="627"/>
      <c r="AW551" s="381"/>
      <c r="AX551" s="381"/>
      <c r="BA551" s="802" t="b">
        <f>AP551="☑"</f>
        <v>0</v>
      </c>
    </row>
    <row r="552" spans="1:53" ht="15.75" customHeight="1">
      <c r="A552" s="2650"/>
      <c r="B552" s="2651"/>
      <c r="C552" s="2652"/>
      <c r="D552" s="2640"/>
      <c r="E552" s="2641"/>
      <c r="F552" s="2641"/>
      <c r="G552" s="2641"/>
      <c r="H552" s="2641"/>
      <c r="I552" s="2641"/>
      <c r="J552" s="2642"/>
      <c r="K552" s="2662"/>
      <c r="L552" s="2663"/>
      <c r="M552" s="2663"/>
      <c r="N552" s="2663"/>
      <c r="O552" s="2663"/>
      <c r="P552" s="2663"/>
      <c r="Q552" s="2663"/>
      <c r="R552" s="2663"/>
      <c r="S552" s="2663"/>
      <c r="T552" s="2663"/>
      <c r="U552" s="2663"/>
      <c r="V552" s="2663"/>
      <c r="W552" s="2663"/>
      <c r="X552" s="2663"/>
      <c r="Y552" s="2663"/>
      <c r="Z552" s="2663"/>
      <c r="AA552" s="2663"/>
      <c r="AB552" s="2663"/>
      <c r="AC552" s="2663"/>
      <c r="AD552" s="2663"/>
      <c r="AE552" s="2663"/>
      <c r="AF552" s="2663"/>
      <c r="AG552" s="2663"/>
      <c r="AH552" s="2663"/>
      <c r="AI552" s="2664"/>
      <c r="AJ552" s="667"/>
      <c r="AK552" s="667"/>
      <c r="AL552" s="667"/>
      <c r="AM552" s="667"/>
      <c r="AN552" s="667"/>
      <c r="AO552" s="667"/>
      <c r="AP552" s="667"/>
      <c r="AQ552" s="667"/>
      <c r="AR552" s="667"/>
      <c r="AS552" s="667"/>
      <c r="AT552" s="667"/>
      <c r="AU552" s="668"/>
      <c r="AW552" s="381"/>
      <c r="AX552" s="381"/>
    </row>
    <row r="553" spans="1:53" ht="15.75" customHeight="1">
      <c r="A553" s="8"/>
      <c r="B553" s="616"/>
      <c r="C553" s="616"/>
      <c r="D553" s="616"/>
      <c r="E553" s="616"/>
      <c r="F553" s="616"/>
      <c r="G553" s="616"/>
      <c r="H553" s="616"/>
      <c r="I553" s="616"/>
      <c r="J553" s="616"/>
      <c r="K553" s="616"/>
      <c r="L553" s="616"/>
      <c r="M553" s="616"/>
      <c r="N553" s="616"/>
      <c r="O553" s="616"/>
      <c r="P553" s="616"/>
      <c r="Q553" s="616"/>
      <c r="R553" s="616"/>
      <c r="S553" s="616"/>
      <c r="T553" s="616"/>
      <c r="U553" s="616"/>
      <c r="V553" s="616"/>
      <c r="W553" s="616"/>
      <c r="X553" s="616"/>
      <c r="Y553" s="9"/>
      <c r="Z553" s="140"/>
      <c r="AA553" s="141" t="s">
        <v>11</v>
      </c>
      <c r="AB553" s="141" t="s">
        <v>10</v>
      </c>
      <c r="AC553" s="141" t="s">
        <v>16</v>
      </c>
      <c r="AD553" s="141" t="s">
        <v>9</v>
      </c>
      <c r="AE553" s="141"/>
      <c r="AF553" s="141"/>
      <c r="AG553" s="141"/>
      <c r="AH553" s="141"/>
      <c r="AI553" s="141"/>
      <c r="AJ553" s="142"/>
      <c r="AK553" s="142"/>
      <c r="AL553" s="142"/>
      <c r="AM553" s="142"/>
      <c r="AN553" s="142"/>
      <c r="AO553" s="142"/>
      <c r="AP553" s="142"/>
      <c r="AQ553" s="142"/>
      <c r="AR553" s="142"/>
      <c r="AS553" s="142"/>
      <c r="AT553" s="142"/>
      <c r="AU553" s="143"/>
      <c r="AW553" s="381"/>
      <c r="AX553" s="381"/>
    </row>
    <row r="554" spans="1:53" ht="15.75" customHeight="1">
      <c r="A554" s="8"/>
      <c r="B554" s="616"/>
      <c r="C554" s="616"/>
      <c r="D554" s="616"/>
      <c r="E554" s="616"/>
      <c r="F554" s="616"/>
      <c r="G554" s="616"/>
      <c r="H554" s="616"/>
      <c r="I554" s="616"/>
      <c r="J554" s="616"/>
      <c r="K554" s="616"/>
      <c r="L554" s="616"/>
      <c r="M554" s="616"/>
      <c r="N554" s="616"/>
      <c r="O554" s="616"/>
      <c r="P554" s="616"/>
      <c r="Q554" s="616"/>
      <c r="R554" s="616"/>
      <c r="S554" s="616"/>
      <c r="T554" s="616"/>
      <c r="U554" s="616"/>
      <c r="V554" s="616"/>
      <c r="W554" s="616"/>
      <c r="X554" s="616"/>
      <c r="Y554" s="9"/>
      <c r="Z554" s="2626"/>
      <c r="AA554" s="2627"/>
      <c r="AB554" s="2627"/>
      <c r="AC554" s="2627"/>
      <c r="AD554" s="2627"/>
      <c r="AE554" s="2627"/>
      <c r="AF554" s="2627"/>
      <c r="AG554" s="2627"/>
      <c r="AH554" s="2627"/>
      <c r="AI554" s="2627"/>
      <c r="AJ554" s="2627"/>
      <c r="AK554" s="2627"/>
      <c r="AL554" s="2627"/>
      <c r="AM554" s="2627"/>
      <c r="AN554" s="2627"/>
      <c r="AO554" s="198"/>
      <c r="AP554" s="198"/>
      <c r="AQ554" s="198"/>
      <c r="AR554" s="198"/>
      <c r="AS554" s="198"/>
      <c r="AT554" s="198"/>
      <c r="AU554" s="199"/>
      <c r="AW554" s="381"/>
      <c r="AX554" s="381"/>
    </row>
    <row r="555" spans="1:53" ht="15.75" customHeight="1">
      <c r="A555" s="8"/>
      <c r="B555" s="616"/>
      <c r="C555" s="616"/>
      <c r="D555" s="616"/>
      <c r="E555" s="616"/>
      <c r="F555" s="616"/>
      <c r="G555" s="616"/>
      <c r="H555" s="616"/>
      <c r="I555" s="616"/>
      <c r="J555" s="616"/>
      <c r="K555" s="616"/>
      <c r="L555" s="616"/>
      <c r="M555" s="616"/>
      <c r="N555" s="616"/>
      <c r="O555" s="616"/>
      <c r="P555" s="616"/>
      <c r="Q555" s="616"/>
      <c r="R555" s="616"/>
      <c r="S555" s="616"/>
      <c r="T555" s="616"/>
      <c r="U555" s="616"/>
      <c r="V555" s="616"/>
      <c r="W555" s="616"/>
      <c r="X555" s="616"/>
      <c r="Y555" s="9"/>
      <c r="Z555" s="2611" t="str">
        <f>IFERROR(VLOOKUP(19,'1_入力シート【基本情報】'!$DU$307:$DZ$526,5,FALSE),"")</f>
        <v/>
      </c>
      <c r="AA555" s="2612"/>
      <c r="AB555" s="2612"/>
      <c r="AC555" s="2612"/>
      <c r="AD555" s="2612"/>
      <c r="AE555" s="2612"/>
      <c r="AF555" s="2612"/>
      <c r="AG555" s="2612"/>
      <c r="AH555" s="2612"/>
      <c r="AI555" s="2612"/>
      <c r="AJ555" s="2612"/>
      <c r="AK555" s="2612"/>
      <c r="AL555" s="2612"/>
      <c r="AM555" s="2612"/>
      <c r="AN555" s="2612"/>
      <c r="AO555" s="2612"/>
      <c r="AP555" s="2612"/>
      <c r="AQ555" s="2612"/>
      <c r="AR555" s="2612"/>
      <c r="AS555" s="2612"/>
      <c r="AT555" s="2612"/>
      <c r="AU555" s="2613"/>
      <c r="AW555" s="381"/>
      <c r="AX555" s="381"/>
    </row>
    <row r="556" spans="1:53" ht="15.75" customHeight="1">
      <c r="A556" s="8"/>
      <c r="B556" s="616"/>
      <c r="C556" s="616"/>
      <c r="D556" s="616"/>
      <c r="E556" s="616"/>
      <c r="F556" s="616"/>
      <c r="G556" s="616"/>
      <c r="H556" s="616"/>
      <c r="I556" s="616"/>
      <c r="J556" s="616"/>
      <c r="K556" s="616"/>
      <c r="L556" s="616"/>
      <c r="M556" s="616"/>
      <c r="N556" s="616"/>
      <c r="O556" s="616"/>
      <c r="P556" s="616"/>
      <c r="Q556" s="616"/>
      <c r="R556" s="616"/>
      <c r="S556" s="616"/>
      <c r="T556" s="616"/>
      <c r="U556" s="616"/>
      <c r="V556" s="616"/>
      <c r="W556" s="616"/>
      <c r="X556" s="616"/>
      <c r="Y556" s="9"/>
      <c r="Z556" s="2614"/>
      <c r="AA556" s="2615"/>
      <c r="AB556" s="2615"/>
      <c r="AC556" s="2615"/>
      <c r="AD556" s="2615"/>
      <c r="AE556" s="2615"/>
      <c r="AF556" s="2615"/>
      <c r="AG556" s="2615"/>
      <c r="AH556" s="2615"/>
      <c r="AI556" s="2615"/>
      <c r="AJ556" s="2615"/>
      <c r="AK556" s="2615"/>
      <c r="AL556" s="2615"/>
      <c r="AM556" s="2615"/>
      <c r="AN556" s="2615"/>
      <c r="AO556" s="2615"/>
      <c r="AP556" s="2615"/>
      <c r="AQ556" s="2615"/>
      <c r="AR556" s="2615"/>
      <c r="AS556" s="2615"/>
      <c r="AT556" s="2615"/>
      <c r="AU556" s="2616"/>
      <c r="AW556" s="381"/>
      <c r="AX556" s="381"/>
    </row>
    <row r="557" spans="1:53" ht="15.75" customHeight="1">
      <c r="A557" s="8"/>
      <c r="B557" s="616"/>
      <c r="C557" s="616"/>
      <c r="D557" s="616"/>
      <c r="E557" s="616"/>
      <c r="F557" s="616"/>
      <c r="G557" s="616"/>
      <c r="H557" s="616"/>
      <c r="I557" s="616"/>
      <c r="J557" s="616"/>
      <c r="K557" s="616"/>
      <c r="L557" s="616"/>
      <c r="M557" s="616"/>
      <c r="N557" s="616"/>
      <c r="O557" s="616"/>
      <c r="P557" s="616"/>
      <c r="Q557" s="616"/>
      <c r="R557" s="616"/>
      <c r="S557" s="616"/>
      <c r="T557" s="616"/>
      <c r="U557" s="616"/>
      <c r="V557" s="616"/>
      <c r="W557" s="616"/>
      <c r="X557" s="616"/>
      <c r="Y557" s="9"/>
      <c r="Z557" s="2617"/>
      <c r="AA557" s="2618"/>
      <c r="AB557" s="2618"/>
      <c r="AC557" s="2618"/>
      <c r="AD557" s="2618"/>
      <c r="AE557" s="2618"/>
      <c r="AF557" s="2618"/>
      <c r="AG557" s="2618"/>
      <c r="AH557" s="2618"/>
      <c r="AI557" s="2618"/>
      <c r="AJ557" s="2618"/>
      <c r="AK557" s="2618"/>
      <c r="AL557" s="2618"/>
      <c r="AM557" s="2618"/>
      <c r="AN557" s="2618"/>
      <c r="AO557" s="2618"/>
      <c r="AP557" s="2618"/>
      <c r="AQ557" s="2618"/>
      <c r="AR557" s="2618"/>
      <c r="AS557" s="2618"/>
      <c r="AT557" s="2618"/>
      <c r="AU557" s="2619"/>
      <c r="AW557" s="381"/>
      <c r="AX557" s="381"/>
    </row>
    <row r="558" spans="1:53" ht="15.75" customHeight="1">
      <c r="A558" s="8"/>
      <c r="B558" s="669"/>
      <c r="C558" s="669"/>
      <c r="D558" s="669"/>
      <c r="E558" s="669"/>
      <c r="F558" s="669"/>
      <c r="G558" s="669"/>
      <c r="H558" s="669"/>
      <c r="I558" s="669"/>
      <c r="J558" s="669"/>
      <c r="K558" s="669"/>
      <c r="L558" s="669"/>
      <c r="M558" s="669"/>
      <c r="N558" s="669"/>
      <c r="O558" s="669"/>
      <c r="P558" s="669"/>
      <c r="Q558" s="669"/>
      <c r="R558" s="669"/>
      <c r="S558" s="669"/>
      <c r="T558" s="669"/>
      <c r="U558" s="669"/>
      <c r="V558" s="669"/>
      <c r="W558" s="669"/>
      <c r="X558" s="669"/>
      <c r="Y558" s="9"/>
      <c r="Z558" s="2620"/>
      <c r="AA558" s="2621"/>
      <c r="AB558" s="2621"/>
      <c r="AC558" s="2621"/>
      <c r="AD558" s="2621"/>
      <c r="AE558" s="2621"/>
      <c r="AF558" s="2621"/>
      <c r="AG558" s="2621"/>
      <c r="AH558" s="2621"/>
      <c r="AI558" s="2621"/>
      <c r="AJ558" s="2621"/>
      <c r="AK558" s="2621"/>
      <c r="AL558" s="2621"/>
      <c r="AM558" s="2621"/>
      <c r="AN558" s="2621"/>
      <c r="AO558" s="2621"/>
      <c r="AP558" s="2621"/>
      <c r="AQ558" s="2621"/>
      <c r="AR558" s="2621"/>
      <c r="AS558" s="2621"/>
      <c r="AT558" s="2621"/>
      <c r="AU558" s="2622"/>
      <c r="AW558" s="381"/>
      <c r="AX558" s="381"/>
    </row>
    <row r="559" spans="1:53" ht="15.75" customHeight="1">
      <c r="A559" s="8"/>
      <c r="B559" s="669"/>
      <c r="C559" s="669"/>
      <c r="D559" s="669"/>
      <c r="E559" s="669"/>
      <c r="F559" s="669"/>
      <c r="G559" s="669"/>
      <c r="H559" s="669"/>
      <c r="I559" s="669"/>
      <c r="J559" s="669"/>
      <c r="K559" s="669"/>
      <c r="L559" s="669"/>
      <c r="M559" s="669"/>
      <c r="N559" s="669"/>
      <c r="O559" s="669"/>
      <c r="P559" s="669"/>
      <c r="Q559" s="669"/>
      <c r="R559" s="669"/>
      <c r="S559" s="669"/>
      <c r="T559" s="669"/>
      <c r="U559" s="669"/>
      <c r="V559" s="669"/>
      <c r="W559" s="669"/>
      <c r="X559" s="669"/>
      <c r="Y559" s="9"/>
      <c r="Z559" s="2620"/>
      <c r="AA559" s="2621"/>
      <c r="AB559" s="2621"/>
      <c r="AC559" s="2621"/>
      <c r="AD559" s="2621"/>
      <c r="AE559" s="2621"/>
      <c r="AF559" s="2621"/>
      <c r="AG559" s="2621"/>
      <c r="AH559" s="2621"/>
      <c r="AI559" s="2621"/>
      <c r="AJ559" s="2621"/>
      <c r="AK559" s="2621"/>
      <c r="AL559" s="2621"/>
      <c r="AM559" s="2621"/>
      <c r="AN559" s="2621"/>
      <c r="AO559" s="2621"/>
      <c r="AP559" s="2621"/>
      <c r="AQ559" s="2621"/>
      <c r="AR559" s="2621"/>
      <c r="AS559" s="2621"/>
      <c r="AT559" s="2621"/>
      <c r="AU559" s="2622"/>
      <c r="AW559" s="381"/>
      <c r="AX559" s="381"/>
    </row>
    <row r="560" spans="1:53" ht="15.75" customHeight="1">
      <c r="A560" s="8"/>
      <c r="B560" s="669"/>
      <c r="C560" s="669"/>
      <c r="D560" s="669"/>
      <c r="E560" s="669"/>
      <c r="F560" s="669"/>
      <c r="G560" s="669"/>
      <c r="H560" s="669"/>
      <c r="I560" s="669"/>
      <c r="J560" s="669"/>
      <c r="K560" s="669"/>
      <c r="L560" s="669"/>
      <c r="M560" s="669"/>
      <c r="N560" s="669"/>
      <c r="O560" s="669"/>
      <c r="P560" s="669"/>
      <c r="Q560" s="669"/>
      <c r="R560" s="669"/>
      <c r="S560" s="669"/>
      <c r="T560" s="669"/>
      <c r="U560" s="669"/>
      <c r="V560" s="669"/>
      <c r="W560" s="669"/>
      <c r="X560" s="669"/>
      <c r="Y560" s="9"/>
      <c r="Z560" s="2620"/>
      <c r="AA560" s="2621"/>
      <c r="AB560" s="2621"/>
      <c r="AC560" s="2621"/>
      <c r="AD560" s="2621"/>
      <c r="AE560" s="2621"/>
      <c r="AF560" s="2621"/>
      <c r="AG560" s="2621"/>
      <c r="AH560" s="2621"/>
      <c r="AI560" s="2621"/>
      <c r="AJ560" s="2621"/>
      <c r="AK560" s="2621"/>
      <c r="AL560" s="2621"/>
      <c r="AM560" s="2621"/>
      <c r="AN560" s="2621"/>
      <c r="AO560" s="2621"/>
      <c r="AP560" s="2621"/>
      <c r="AQ560" s="2621"/>
      <c r="AR560" s="2621"/>
      <c r="AS560" s="2621"/>
      <c r="AT560" s="2621"/>
      <c r="AU560" s="2622"/>
      <c r="AW560" s="381"/>
      <c r="AX560" s="381"/>
    </row>
    <row r="561" spans="1:53" ht="15.75" customHeight="1">
      <c r="A561" s="8"/>
      <c r="B561" s="669"/>
      <c r="C561" s="669"/>
      <c r="D561" s="669"/>
      <c r="E561" s="669"/>
      <c r="F561" s="669"/>
      <c r="G561" s="669"/>
      <c r="H561" s="669"/>
      <c r="I561" s="669"/>
      <c r="J561" s="669"/>
      <c r="K561" s="2629" t="s">
        <v>164</v>
      </c>
      <c r="L561" s="2629"/>
      <c r="M561" s="2629"/>
      <c r="N561" s="2629"/>
      <c r="O561" s="2629"/>
      <c r="P561" s="2629"/>
      <c r="Q561" s="669"/>
      <c r="R561" s="669"/>
      <c r="S561" s="669"/>
      <c r="T561" s="669"/>
      <c r="U561" s="669"/>
      <c r="V561" s="669"/>
      <c r="W561" s="669"/>
      <c r="X561" s="669"/>
      <c r="Y561" s="9"/>
      <c r="Z561" s="2620"/>
      <c r="AA561" s="2621"/>
      <c r="AB561" s="2621"/>
      <c r="AC561" s="2621"/>
      <c r="AD561" s="2621"/>
      <c r="AE561" s="2621"/>
      <c r="AF561" s="2621"/>
      <c r="AG561" s="2621"/>
      <c r="AH561" s="2621"/>
      <c r="AI561" s="2621"/>
      <c r="AJ561" s="2621"/>
      <c r="AK561" s="2621"/>
      <c r="AL561" s="2621"/>
      <c r="AM561" s="2621"/>
      <c r="AN561" s="2621"/>
      <c r="AO561" s="2621"/>
      <c r="AP561" s="2621"/>
      <c r="AQ561" s="2621"/>
      <c r="AR561" s="2621"/>
      <c r="AS561" s="2621"/>
      <c r="AT561" s="2621"/>
      <c r="AU561" s="2622"/>
      <c r="AW561" s="381"/>
      <c r="AX561" s="381"/>
    </row>
    <row r="562" spans="1:53" ht="15.75" customHeight="1">
      <c r="A562" s="8"/>
      <c r="B562" s="669"/>
      <c r="C562" s="669"/>
      <c r="D562" s="669"/>
      <c r="E562" s="669"/>
      <c r="F562" s="669"/>
      <c r="G562" s="669"/>
      <c r="H562" s="669"/>
      <c r="I562" s="669"/>
      <c r="J562" s="669"/>
      <c r="K562" s="669"/>
      <c r="L562" s="669"/>
      <c r="M562" s="669"/>
      <c r="N562" s="669"/>
      <c r="O562" s="669"/>
      <c r="P562" s="669"/>
      <c r="Q562" s="669"/>
      <c r="R562" s="669"/>
      <c r="S562" s="669"/>
      <c r="T562" s="669"/>
      <c r="U562" s="669"/>
      <c r="V562" s="669"/>
      <c r="W562" s="669"/>
      <c r="X562" s="669"/>
      <c r="Y562" s="9"/>
      <c r="Z562" s="2620"/>
      <c r="AA562" s="2621"/>
      <c r="AB562" s="2621"/>
      <c r="AC562" s="2621"/>
      <c r="AD562" s="2621"/>
      <c r="AE562" s="2621"/>
      <c r="AF562" s="2621"/>
      <c r="AG562" s="2621"/>
      <c r="AH562" s="2621"/>
      <c r="AI562" s="2621"/>
      <c r="AJ562" s="2621"/>
      <c r="AK562" s="2621"/>
      <c r="AL562" s="2621"/>
      <c r="AM562" s="2621"/>
      <c r="AN562" s="2621"/>
      <c r="AO562" s="2621"/>
      <c r="AP562" s="2621"/>
      <c r="AQ562" s="2621"/>
      <c r="AR562" s="2621"/>
      <c r="AS562" s="2621"/>
      <c r="AT562" s="2621"/>
      <c r="AU562" s="2622"/>
      <c r="AW562" s="381"/>
      <c r="AX562" s="381"/>
    </row>
    <row r="563" spans="1:53" ht="15.75" customHeight="1">
      <c r="A563" s="8"/>
      <c r="B563" s="669"/>
      <c r="C563" s="669"/>
      <c r="D563" s="669"/>
      <c r="E563" s="669"/>
      <c r="F563" s="669"/>
      <c r="G563" s="669"/>
      <c r="H563" s="669"/>
      <c r="I563" s="669"/>
      <c r="J563" s="669"/>
      <c r="K563" s="669"/>
      <c r="L563" s="669"/>
      <c r="M563" s="669"/>
      <c r="N563" s="669"/>
      <c r="O563" s="669"/>
      <c r="P563" s="669"/>
      <c r="Q563" s="669"/>
      <c r="R563" s="669"/>
      <c r="S563" s="669"/>
      <c r="T563" s="669"/>
      <c r="U563" s="669"/>
      <c r="V563" s="669"/>
      <c r="W563" s="669"/>
      <c r="X563" s="669"/>
      <c r="Y563" s="9"/>
      <c r="Z563" s="2620"/>
      <c r="AA563" s="2621"/>
      <c r="AB563" s="2621"/>
      <c r="AC563" s="2621"/>
      <c r="AD563" s="2621"/>
      <c r="AE563" s="2621"/>
      <c r="AF563" s="2621"/>
      <c r="AG563" s="2621"/>
      <c r="AH563" s="2621"/>
      <c r="AI563" s="2621"/>
      <c r="AJ563" s="2621"/>
      <c r="AK563" s="2621"/>
      <c r="AL563" s="2621"/>
      <c r="AM563" s="2621"/>
      <c r="AN563" s="2621"/>
      <c r="AO563" s="2621"/>
      <c r="AP563" s="2621"/>
      <c r="AQ563" s="2621"/>
      <c r="AR563" s="2621"/>
      <c r="AS563" s="2621"/>
      <c r="AT563" s="2621"/>
      <c r="AU563" s="2622"/>
      <c r="AW563" s="381"/>
      <c r="AX563" s="381"/>
    </row>
    <row r="564" spans="1:53" ht="15.75" customHeight="1">
      <c r="A564" s="8"/>
      <c r="B564" s="669"/>
      <c r="C564" s="669"/>
      <c r="D564" s="669"/>
      <c r="E564" s="669"/>
      <c r="F564" s="669"/>
      <c r="G564" s="669"/>
      <c r="H564" s="669"/>
      <c r="I564" s="669"/>
      <c r="J564" s="669"/>
      <c r="K564" s="669"/>
      <c r="L564" s="669"/>
      <c r="M564" s="669"/>
      <c r="N564" s="669"/>
      <c r="O564" s="669"/>
      <c r="P564" s="669"/>
      <c r="Q564" s="669"/>
      <c r="R564" s="669"/>
      <c r="S564" s="669"/>
      <c r="T564" s="669"/>
      <c r="U564" s="669"/>
      <c r="V564" s="669"/>
      <c r="W564" s="669"/>
      <c r="X564" s="669"/>
      <c r="Y564" s="9"/>
      <c r="Z564" s="2620"/>
      <c r="AA564" s="2621"/>
      <c r="AB564" s="2621"/>
      <c r="AC564" s="2621"/>
      <c r="AD564" s="2621"/>
      <c r="AE564" s="2621"/>
      <c r="AF564" s="2621"/>
      <c r="AG564" s="2621"/>
      <c r="AH564" s="2621"/>
      <c r="AI564" s="2621"/>
      <c r="AJ564" s="2621"/>
      <c r="AK564" s="2621"/>
      <c r="AL564" s="2621"/>
      <c r="AM564" s="2621"/>
      <c r="AN564" s="2621"/>
      <c r="AO564" s="2621"/>
      <c r="AP564" s="2621"/>
      <c r="AQ564" s="2621"/>
      <c r="AR564" s="2621"/>
      <c r="AS564" s="2621"/>
      <c r="AT564" s="2621"/>
      <c r="AU564" s="2622"/>
      <c r="AW564" s="381"/>
      <c r="AX564" s="381"/>
    </row>
    <row r="565" spans="1:53" ht="15.75" customHeight="1">
      <c r="A565" s="8"/>
      <c r="B565" s="669"/>
      <c r="C565" s="669"/>
      <c r="D565" s="669"/>
      <c r="E565" s="669"/>
      <c r="F565" s="669"/>
      <c r="G565" s="669"/>
      <c r="H565" s="669"/>
      <c r="I565" s="669"/>
      <c r="J565" s="669"/>
      <c r="K565" s="669"/>
      <c r="L565" s="669"/>
      <c r="M565" s="669"/>
      <c r="N565" s="669"/>
      <c r="O565" s="669"/>
      <c r="P565" s="669"/>
      <c r="Q565" s="669"/>
      <c r="R565" s="669"/>
      <c r="S565" s="669"/>
      <c r="T565" s="669"/>
      <c r="U565" s="669"/>
      <c r="V565" s="669"/>
      <c r="W565" s="669"/>
      <c r="X565" s="669"/>
      <c r="Y565" s="9"/>
      <c r="Z565" s="2620"/>
      <c r="AA565" s="2621"/>
      <c r="AB565" s="2621"/>
      <c r="AC565" s="2621"/>
      <c r="AD565" s="2621"/>
      <c r="AE565" s="2621"/>
      <c r="AF565" s="2621"/>
      <c r="AG565" s="2621"/>
      <c r="AH565" s="2621"/>
      <c r="AI565" s="2621"/>
      <c r="AJ565" s="2621"/>
      <c r="AK565" s="2621"/>
      <c r="AL565" s="2621"/>
      <c r="AM565" s="2621"/>
      <c r="AN565" s="2621"/>
      <c r="AO565" s="2621"/>
      <c r="AP565" s="2621"/>
      <c r="AQ565" s="2621"/>
      <c r="AR565" s="2621"/>
      <c r="AS565" s="2621"/>
      <c r="AT565" s="2621"/>
      <c r="AU565" s="2622"/>
      <c r="AW565" s="381"/>
      <c r="AX565" s="381"/>
    </row>
    <row r="566" spans="1:53" ht="15.75" customHeight="1">
      <c r="A566" s="8"/>
      <c r="B566" s="669"/>
      <c r="C566" s="669"/>
      <c r="D566" s="669"/>
      <c r="E566" s="669"/>
      <c r="F566" s="669"/>
      <c r="G566" s="669"/>
      <c r="H566" s="669"/>
      <c r="I566" s="669"/>
      <c r="J566" s="669"/>
      <c r="K566" s="669"/>
      <c r="L566" s="669"/>
      <c r="M566" s="669"/>
      <c r="N566" s="669"/>
      <c r="O566" s="669"/>
      <c r="P566" s="669"/>
      <c r="Q566" s="669"/>
      <c r="R566" s="669"/>
      <c r="S566" s="669"/>
      <c r="T566" s="669"/>
      <c r="U566" s="669"/>
      <c r="V566" s="669"/>
      <c r="W566" s="669"/>
      <c r="X566" s="669"/>
      <c r="Y566" s="9"/>
      <c r="Z566" s="2620"/>
      <c r="AA566" s="2621"/>
      <c r="AB566" s="2621"/>
      <c r="AC566" s="2621"/>
      <c r="AD566" s="2621"/>
      <c r="AE566" s="2621"/>
      <c r="AF566" s="2621"/>
      <c r="AG566" s="2621"/>
      <c r="AH566" s="2621"/>
      <c r="AI566" s="2621"/>
      <c r="AJ566" s="2621"/>
      <c r="AK566" s="2621"/>
      <c r="AL566" s="2621"/>
      <c r="AM566" s="2621"/>
      <c r="AN566" s="2621"/>
      <c r="AO566" s="2621"/>
      <c r="AP566" s="2621"/>
      <c r="AQ566" s="2621"/>
      <c r="AR566" s="2621"/>
      <c r="AS566" s="2621"/>
      <c r="AT566" s="2621"/>
      <c r="AU566" s="2622"/>
      <c r="AW566" s="381"/>
      <c r="AX566" s="381"/>
    </row>
    <row r="567" spans="1:53" ht="15.75" customHeight="1">
      <c r="A567" s="8"/>
      <c r="B567" s="669"/>
      <c r="C567" s="669"/>
      <c r="D567" s="669"/>
      <c r="E567" s="669"/>
      <c r="F567" s="669"/>
      <c r="G567" s="669"/>
      <c r="H567" s="669"/>
      <c r="I567" s="669"/>
      <c r="J567" s="669"/>
      <c r="K567" s="669"/>
      <c r="L567" s="669"/>
      <c r="M567" s="669"/>
      <c r="N567" s="669"/>
      <c r="O567" s="669"/>
      <c r="P567" s="669"/>
      <c r="Q567" s="669"/>
      <c r="R567" s="669"/>
      <c r="S567" s="669"/>
      <c r="T567" s="669"/>
      <c r="U567" s="669"/>
      <c r="V567" s="669"/>
      <c r="W567" s="669"/>
      <c r="X567" s="669"/>
      <c r="Y567" s="9"/>
      <c r="Z567" s="2620"/>
      <c r="AA567" s="2621"/>
      <c r="AB567" s="2621"/>
      <c r="AC567" s="2621"/>
      <c r="AD567" s="2621"/>
      <c r="AE567" s="2621"/>
      <c r="AF567" s="2621"/>
      <c r="AG567" s="2621"/>
      <c r="AH567" s="2621"/>
      <c r="AI567" s="2621"/>
      <c r="AJ567" s="2621"/>
      <c r="AK567" s="2621"/>
      <c r="AL567" s="2621"/>
      <c r="AM567" s="2621"/>
      <c r="AN567" s="2621"/>
      <c r="AO567" s="2621"/>
      <c r="AP567" s="2621"/>
      <c r="AQ567" s="2621"/>
      <c r="AR567" s="2621"/>
      <c r="AS567" s="2621"/>
      <c r="AT567" s="2621"/>
      <c r="AU567" s="2622"/>
      <c r="AW567" s="381"/>
      <c r="AX567" s="381"/>
    </row>
    <row r="568" spans="1:53" ht="15.75" customHeight="1">
      <c r="A568" s="8"/>
      <c r="B568" s="669"/>
      <c r="C568" s="669"/>
      <c r="D568" s="669"/>
      <c r="E568" s="669"/>
      <c r="F568" s="669"/>
      <c r="G568" s="669"/>
      <c r="H568" s="669"/>
      <c r="I568" s="669"/>
      <c r="J568" s="669"/>
      <c r="K568" s="669"/>
      <c r="L568" s="669"/>
      <c r="M568" s="669"/>
      <c r="N568" s="669"/>
      <c r="O568" s="669"/>
      <c r="P568" s="669"/>
      <c r="Q568" s="669"/>
      <c r="R568" s="669"/>
      <c r="S568" s="669"/>
      <c r="T568" s="669"/>
      <c r="U568" s="669"/>
      <c r="V568" s="669"/>
      <c r="W568" s="669"/>
      <c r="X568" s="669"/>
      <c r="Y568" s="9"/>
      <c r="Z568" s="2620"/>
      <c r="AA568" s="2621"/>
      <c r="AB568" s="2621"/>
      <c r="AC568" s="2621"/>
      <c r="AD568" s="2621"/>
      <c r="AE568" s="2621"/>
      <c r="AF568" s="2621"/>
      <c r="AG568" s="2621"/>
      <c r="AH568" s="2621"/>
      <c r="AI568" s="2621"/>
      <c r="AJ568" s="2621"/>
      <c r="AK568" s="2621"/>
      <c r="AL568" s="2621"/>
      <c r="AM568" s="2621"/>
      <c r="AN568" s="2621"/>
      <c r="AO568" s="2621"/>
      <c r="AP568" s="2621"/>
      <c r="AQ568" s="2621"/>
      <c r="AR568" s="2621"/>
      <c r="AS568" s="2621"/>
      <c r="AT568" s="2621"/>
      <c r="AU568" s="2622"/>
      <c r="AW568" s="381"/>
      <c r="AX568" s="381"/>
    </row>
    <row r="569" spans="1:53" ht="15.75" customHeight="1">
      <c r="A569" s="8"/>
      <c r="B569" s="669"/>
      <c r="C569" s="669"/>
      <c r="D569" s="669"/>
      <c r="E569" s="669"/>
      <c r="F569" s="669"/>
      <c r="G569" s="669"/>
      <c r="H569" s="669"/>
      <c r="I569" s="669"/>
      <c r="J569" s="669"/>
      <c r="K569" s="669"/>
      <c r="L569" s="669"/>
      <c r="M569" s="669"/>
      <c r="N569" s="669"/>
      <c r="O569" s="669"/>
      <c r="P569" s="669"/>
      <c r="Q569" s="669"/>
      <c r="R569" s="669"/>
      <c r="S569" s="669"/>
      <c r="T569" s="669"/>
      <c r="U569" s="669"/>
      <c r="V569" s="669"/>
      <c r="W569" s="669"/>
      <c r="X569" s="669"/>
      <c r="Y569" s="9"/>
      <c r="Z569" s="2620"/>
      <c r="AA569" s="2621"/>
      <c r="AB569" s="2621"/>
      <c r="AC569" s="2621"/>
      <c r="AD569" s="2621"/>
      <c r="AE569" s="2621"/>
      <c r="AF569" s="2621"/>
      <c r="AG569" s="2621"/>
      <c r="AH569" s="2621"/>
      <c r="AI569" s="2621"/>
      <c r="AJ569" s="2621"/>
      <c r="AK569" s="2621"/>
      <c r="AL569" s="2621"/>
      <c r="AM569" s="2621"/>
      <c r="AN569" s="2621"/>
      <c r="AO569" s="2621"/>
      <c r="AP569" s="2621"/>
      <c r="AQ569" s="2621"/>
      <c r="AR569" s="2621"/>
      <c r="AS569" s="2621"/>
      <c r="AT569" s="2621"/>
      <c r="AU569" s="2622"/>
      <c r="AW569" s="381"/>
      <c r="AX569" s="381"/>
    </row>
    <row r="570" spans="1:53" ht="15.75" customHeight="1">
      <c r="A570" s="12"/>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1"/>
      <c r="Z570" s="2623"/>
      <c r="AA570" s="2624"/>
      <c r="AB570" s="2624"/>
      <c r="AC570" s="2624"/>
      <c r="AD570" s="2624"/>
      <c r="AE570" s="2624"/>
      <c r="AF570" s="2624"/>
      <c r="AG570" s="2624"/>
      <c r="AH570" s="2624"/>
      <c r="AI570" s="2624"/>
      <c r="AJ570" s="2624"/>
      <c r="AK570" s="2624"/>
      <c r="AL570" s="2624"/>
      <c r="AM570" s="2624"/>
      <c r="AN570" s="2624"/>
      <c r="AO570" s="2624"/>
      <c r="AP570" s="2624"/>
      <c r="AQ570" s="2624"/>
      <c r="AR570" s="2624"/>
      <c r="AS570" s="2624"/>
      <c r="AT570" s="2624"/>
      <c r="AU570" s="2625"/>
      <c r="AW570" s="381"/>
      <c r="AX570" s="381"/>
    </row>
    <row r="571" spans="1:53" ht="12.75" customHeight="1">
      <c r="AW571" s="381"/>
      <c r="AX571" s="381"/>
    </row>
    <row r="572" spans="1:53" ht="15.75" customHeight="1">
      <c r="A572" s="2634" t="s">
        <v>161</v>
      </c>
      <c r="B572" s="2635"/>
      <c r="C572" s="2636"/>
      <c r="D572" s="2653" t="s">
        <v>162</v>
      </c>
      <c r="E572" s="2654"/>
      <c r="F572" s="2654"/>
      <c r="G572" s="2654"/>
      <c r="H572" s="2654"/>
      <c r="I572" s="2654"/>
      <c r="J572" s="2655"/>
      <c r="K572" s="625"/>
      <c r="L572" s="622"/>
      <c r="M572" s="622"/>
      <c r="N572" s="622"/>
      <c r="O572" s="622"/>
      <c r="P572" s="622"/>
      <c r="Q572" s="622"/>
      <c r="R572" s="622"/>
      <c r="S572" s="623" t="s">
        <v>7</v>
      </c>
      <c r="T572" s="623" t="s">
        <v>8</v>
      </c>
      <c r="U572" s="623" t="s">
        <v>9</v>
      </c>
      <c r="V572" s="623" t="s">
        <v>163</v>
      </c>
      <c r="W572" s="623"/>
      <c r="X572" s="623"/>
      <c r="Y572" s="623"/>
      <c r="Z572" s="623"/>
      <c r="AA572" s="623"/>
      <c r="AB572" s="623"/>
      <c r="AC572" s="623"/>
      <c r="AD572" s="623"/>
      <c r="AE572" s="623"/>
      <c r="AF572" s="623"/>
      <c r="AG572" s="623"/>
      <c r="AH572" s="623"/>
      <c r="AI572" s="624"/>
      <c r="AJ572" s="625"/>
      <c r="AK572" s="2654" t="s">
        <v>33</v>
      </c>
      <c r="AL572" s="2654"/>
      <c r="AM572" s="2654"/>
      <c r="AN572" s="2654"/>
      <c r="AO572" s="2654"/>
      <c r="AP572" s="2654"/>
      <c r="AQ572" s="2654"/>
      <c r="AR572" s="2654"/>
      <c r="AS572" s="2654"/>
      <c r="AT572" s="2654"/>
      <c r="AU572" s="626"/>
      <c r="AW572" s="381"/>
      <c r="AX572" s="381"/>
    </row>
    <row r="573" spans="1:53" ht="15.75" customHeight="1" thickBot="1">
      <c r="A573" s="2647"/>
      <c r="B573" s="2648"/>
      <c r="C573" s="2649"/>
      <c r="D573" s="2634" t="str">
        <f>IFERROR(VLOOKUP(20,'1_入力シート【基本情報】'!$DU$307:$DX$526,3,FALSE),"")</f>
        <v/>
      </c>
      <c r="E573" s="2635"/>
      <c r="F573" s="2635"/>
      <c r="G573" s="2635"/>
      <c r="H573" s="2635"/>
      <c r="I573" s="2635"/>
      <c r="J573" s="2636"/>
      <c r="K573" s="2656" t="str">
        <f>IFERROR(VLOOKUP(20,'1_入力シート【基本情報】'!$DU$307:$DX$526,4,FALSE),"")</f>
        <v/>
      </c>
      <c r="L573" s="2657"/>
      <c r="M573" s="2657"/>
      <c r="N573" s="2657"/>
      <c r="O573" s="2657"/>
      <c r="P573" s="2657"/>
      <c r="Q573" s="2657"/>
      <c r="R573" s="2657"/>
      <c r="S573" s="2657"/>
      <c r="T573" s="2657"/>
      <c r="U573" s="2657"/>
      <c r="V573" s="2657"/>
      <c r="W573" s="2657"/>
      <c r="X573" s="2657"/>
      <c r="Y573" s="2657"/>
      <c r="Z573" s="2657"/>
      <c r="AA573" s="2657"/>
      <c r="AB573" s="2657"/>
      <c r="AC573" s="2657"/>
      <c r="AD573" s="2657"/>
      <c r="AE573" s="2657"/>
      <c r="AF573" s="2657"/>
      <c r="AG573" s="2657"/>
      <c r="AH573" s="2657"/>
      <c r="AI573" s="2658"/>
      <c r="AJ573" s="665"/>
      <c r="AK573" s="665"/>
      <c r="AL573" s="665"/>
      <c r="AM573" s="665"/>
      <c r="AN573" s="665"/>
      <c r="AO573" s="665"/>
      <c r="AP573" s="665"/>
      <c r="AQ573" s="665"/>
      <c r="AR573" s="665"/>
      <c r="AS573" s="665"/>
      <c r="AT573" s="665"/>
      <c r="AU573" s="666"/>
      <c r="AW573" s="381"/>
      <c r="AX573" s="381"/>
    </row>
    <row r="574" spans="1:53" ht="15.75" customHeight="1" thickBot="1">
      <c r="A574" s="2647"/>
      <c r="B574" s="2648"/>
      <c r="C574" s="2649"/>
      <c r="D574" s="2637"/>
      <c r="E574" s="2638"/>
      <c r="F574" s="2638"/>
      <c r="G574" s="2638"/>
      <c r="H574" s="2638"/>
      <c r="I574" s="2638"/>
      <c r="J574" s="2639"/>
      <c r="K574" s="2659"/>
      <c r="L574" s="2660"/>
      <c r="M574" s="2660"/>
      <c r="N574" s="2660"/>
      <c r="O574" s="2660"/>
      <c r="P574" s="2660"/>
      <c r="Q574" s="2660"/>
      <c r="R574" s="2660"/>
      <c r="S574" s="2660"/>
      <c r="T574" s="2660"/>
      <c r="U574" s="2660"/>
      <c r="V574" s="2660"/>
      <c r="W574" s="2660"/>
      <c r="X574" s="2660"/>
      <c r="Y574" s="2660"/>
      <c r="Z574" s="2660"/>
      <c r="AA574" s="2660"/>
      <c r="AB574" s="2660"/>
      <c r="AC574" s="2660"/>
      <c r="AD574" s="2660"/>
      <c r="AE574" s="2660"/>
      <c r="AF574" s="2660"/>
      <c r="AG574" s="2660"/>
      <c r="AH574" s="2660"/>
      <c r="AI574" s="2661"/>
      <c r="AJ574" s="665"/>
      <c r="AK574" s="665" t="str">
        <f>IF(D573&lt;&gt;"","☑","☐")</f>
        <v>☐</v>
      </c>
      <c r="AL574" s="665" t="s">
        <v>14</v>
      </c>
      <c r="AM574" s="665" t="s">
        <v>21</v>
      </c>
      <c r="AN574" s="665" t="s">
        <v>15</v>
      </c>
      <c r="AO574" s="665"/>
      <c r="AP574" s="783" t="s">
        <v>3319</v>
      </c>
      <c r="AQ574" s="665" t="s">
        <v>27</v>
      </c>
      <c r="AR574" s="665" t="s">
        <v>23</v>
      </c>
      <c r="AS574" s="665" t="s">
        <v>13</v>
      </c>
      <c r="AT574" s="665"/>
      <c r="AU574" s="666"/>
      <c r="AW574" s="381"/>
      <c r="AX574" s="381"/>
      <c r="BA574" s="802" t="b">
        <f>AP574="☑"</f>
        <v>0</v>
      </c>
    </row>
    <row r="575" spans="1:53" ht="15.75" customHeight="1">
      <c r="A575" s="2650"/>
      <c r="B575" s="2651"/>
      <c r="C575" s="2652"/>
      <c r="D575" s="2640"/>
      <c r="E575" s="2641"/>
      <c r="F575" s="2641"/>
      <c r="G575" s="2641"/>
      <c r="H575" s="2641"/>
      <c r="I575" s="2641"/>
      <c r="J575" s="2642"/>
      <c r="K575" s="2662"/>
      <c r="L575" s="2663"/>
      <c r="M575" s="2663"/>
      <c r="N575" s="2663"/>
      <c r="O575" s="2663"/>
      <c r="P575" s="2663"/>
      <c r="Q575" s="2663"/>
      <c r="R575" s="2663"/>
      <c r="S575" s="2663"/>
      <c r="T575" s="2663"/>
      <c r="U575" s="2663"/>
      <c r="V575" s="2663"/>
      <c r="W575" s="2663"/>
      <c r="X575" s="2663"/>
      <c r="Y575" s="2663"/>
      <c r="Z575" s="2663"/>
      <c r="AA575" s="2663"/>
      <c r="AB575" s="2663"/>
      <c r="AC575" s="2663"/>
      <c r="AD575" s="2663"/>
      <c r="AE575" s="2663"/>
      <c r="AF575" s="2663"/>
      <c r="AG575" s="2663"/>
      <c r="AH575" s="2663"/>
      <c r="AI575" s="2664"/>
      <c r="AJ575" s="667"/>
      <c r="AK575" s="667"/>
      <c r="AL575" s="667"/>
      <c r="AM575" s="667"/>
      <c r="AN575" s="667"/>
      <c r="AO575" s="667"/>
      <c r="AP575" s="667"/>
      <c r="AQ575" s="667"/>
      <c r="AR575" s="667"/>
      <c r="AS575" s="667"/>
      <c r="AT575" s="667"/>
      <c r="AU575" s="668"/>
      <c r="AW575" s="381"/>
      <c r="AX575" s="381"/>
    </row>
    <row r="576" spans="1:53" ht="15.75" customHeight="1">
      <c r="A576" s="8"/>
      <c r="B576" s="616"/>
      <c r="C576" s="616"/>
      <c r="D576" s="616"/>
      <c r="E576" s="616"/>
      <c r="F576" s="616"/>
      <c r="G576" s="616"/>
      <c r="H576" s="616"/>
      <c r="I576" s="616"/>
      <c r="J576" s="616"/>
      <c r="K576" s="616"/>
      <c r="L576" s="616"/>
      <c r="M576" s="616"/>
      <c r="N576" s="616"/>
      <c r="O576" s="616"/>
      <c r="P576" s="616"/>
      <c r="Q576" s="616"/>
      <c r="R576" s="616"/>
      <c r="S576" s="616"/>
      <c r="T576" s="616"/>
      <c r="U576" s="616"/>
      <c r="V576" s="616"/>
      <c r="W576" s="616"/>
      <c r="X576" s="616"/>
      <c r="Y576" s="9"/>
      <c r="Z576" s="140"/>
      <c r="AA576" s="141" t="s">
        <v>11</v>
      </c>
      <c r="AB576" s="141" t="s">
        <v>10</v>
      </c>
      <c r="AC576" s="141" t="s">
        <v>16</v>
      </c>
      <c r="AD576" s="141" t="s">
        <v>9</v>
      </c>
      <c r="AE576" s="141"/>
      <c r="AF576" s="141"/>
      <c r="AG576" s="141"/>
      <c r="AH576" s="141"/>
      <c r="AI576" s="141"/>
      <c r="AJ576" s="142"/>
      <c r="AK576" s="142"/>
      <c r="AL576" s="142"/>
      <c r="AM576" s="142"/>
      <c r="AN576" s="142"/>
      <c r="AO576" s="142"/>
      <c r="AP576" s="142"/>
      <c r="AQ576" s="142"/>
      <c r="AR576" s="142"/>
      <c r="AS576" s="142"/>
      <c r="AT576" s="142"/>
      <c r="AU576" s="615"/>
      <c r="AW576" s="381"/>
      <c r="AX576" s="381"/>
    </row>
    <row r="577" spans="1:50" ht="15.75" customHeight="1">
      <c r="A577" s="8"/>
      <c r="B577" s="616"/>
      <c r="C577" s="616"/>
      <c r="D577" s="616"/>
      <c r="E577" s="616"/>
      <c r="F577" s="616"/>
      <c r="G577" s="616"/>
      <c r="H577" s="616"/>
      <c r="I577" s="616"/>
      <c r="J577" s="616"/>
      <c r="K577" s="616"/>
      <c r="L577" s="616"/>
      <c r="M577" s="616"/>
      <c r="N577" s="616"/>
      <c r="O577" s="616"/>
      <c r="P577" s="616"/>
      <c r="Q577" s="616"/>
      <c r="R577" s="616"/>
      <c r="S577" s="616"/>
      <c r="T577" s="616"/>
      <c r="U577" s="616"/>
      <c r="V577" s="616"/>
      <c r="W577" s="616"/>
      <c r="X577" s="616"/>
      <c r="Y577" s="9"/>
      <c r="Z577" s="2626"/>
      <c r="AA577" s="2627"/>
      <c r="AB577" s="2627"/>
      <c r="AC577" s="2627"/>
      <c r="AD577" s="2627"/>
      <c r="AE577" s="2627"/>
      <c r="AF577" s="2627"/>
      <c r="AG577" s="2627"/>
      <c r="AH577" s="2627"/>
      <c r="AI577" s="2627"/>
      <c r="AJ577" s="2627"/>
      <c r="AK577" s="2627"/>
      <c r="AL577" s="2627"/>
      <c r="AM577" s="2627"/>
      <c r="AN577" s="2627"/>
      <c r="AO577" s="198"/>
      <c r="AP577" s="198"/>
      <c r="AQ577" s="198"/>
      <c r="AR577" s="198"/>
      <c r="AS577" s="198"/>
      <c r="AT577" s="198"/>
      <c r="AU577" s="199"/>
      <c r="AW577" s="381"/>
      <c r="AX577" s="381"/>
    </row>
    <row r="578" spans="1:50" ht="15.75" customHeight="1">
      <c r="A578" s="8"/>
      <c r="B578" s="616"/>
      <c r="C578" s="616"/>
      <c r="D578" s="616"/>
      <c r="E578" s="616"/>
      <c r="F578" s="616"/>
      <c r="G578" s="616"/>
      <c r="H578" s="616"/>
      <c r="I578" s="616"/>
      <c r="J578" s="616"/>
      <c r="K578" s="616"/>
      <c r="L578" s="616"/>
      <c r="M578" s="616"/>
      <c r="N578" s="616"/>
      <c r="O578" s="616"/>
      <c r="P578" s="616"/>
      <c r="Q578" s="616"/>
      <c r="R578" s="616"/>
      <c r="S578" s="616"/>
      <c r="T578" s="616"/>
      <c r="U578" s="616"/>
      <c r="V578" s="616"/>
      <c r="W578" s="616"/>
      <c r="X578" s="616"/>
      <c r="Y578" s="9"/>
      <c r="Z578" s="2611" t="str">
        <f>IFERROR(VLOOKUP(20,'1_入力シート【基本情報】'!$DU$307:$DZ$526,5,FALSE),"")</f>
        <v/>
      </c>
      <c r="AA578" s="2612"/>
      <c r="AB578" s="2612"/>
      <c r="AC578" s="2612"/>
      <c r="AD578" s="2612"/>
      <c r="AE578" s="2612"/>
      <c r="AF578" s="2612"/>
      <c r="AG578" s="2612"/>
      <c r="AH578" s="2612"/>
      <c r="AI578" s="2612"/>
      <c r="AJ578" s="2612"/>
      <c r="AK578" s="2612"/>
      <c r="AL578" s="2612"/>
      <c r="AM578" s="2612"/>
      <c r="AN578" s="2612"/>
      <c r="AO578" s="2612"/>
      <c r="AP578" s="2612"/>
      <c r="AQ578" s="2612"/>
      <c r="AR578" s="2612"/>
      <c r="AS578" s="2612"/>
      <c r="AT578" s="2612"/>
      <c r="AU578" s="2613"/>
      <c r="AW578" s="381"/>
      <c r="AX578" s="381"/>
    </row>
    <row r="579" spans="1:50" ht="15.75" customHeight="1">
      <c r="A579" s="8"/>
      <c r="B579" s="616"/>
      <c r="C579" s="616"/>
      <c r="D579" s="616"/>
      <c r="E579" s="616"/>
      <c r="F579" s="616"/>
      <c r="G579" s="616"/>
      <c r="H579" s="616"/>
      <c r="I579" s="616"/>
      <c r="J579" s="616"/>
      <c r="K579" s="616"/>
      <c r="L579" s="616"/>
      <c r="M579" s="616"/>
      <c r="N579" s="616"/>
      <c r="O579" s="616"/>
      <c r="P579" s="616"/>
      <c r="Q579" s="616"/>
      <c r="R579" s="616"/>
      <c r="S579" s="616"/>
      <c r="T579" s="616"/>
      <c r="U579" s="616"/>
      <c r="V579" s="616"/>
      <c r="W579" s="616"/>
      <c r="X579" s="616"/>
      <c r="Y579" s="9"/>
      <c r="Z579" s="2614"/>
      <c r="AA579" s="2615"/>
      <c r="AB579" s="2615"/>
      <c r="AC579" s="2615"/>
      <c r="AD579" s="2615"/>
      <c r="AE579" s="2615"/>
      <c r="AF579" s="2615"/>
      <c r="AG579" s="2615"/>
      <c r="AH579" s="2615"/>
      <c r="AI579" s="2615"/>
      <c r="AJ579" s="2615"/>
      <c r="AK579" s="2615"/>
      <c r="AL579" s="2615"/>
      <c r="AM579" s="2615"/>
      <c r="AN579" s="2615"/>
      <c r="AO579" s="2615"/>
      <c r="AP579" s="2615"/>
      <c r="AQ579" s="2615"/>
      <c r="AR579" s="2615"/>
      <c r="AS579" s="2615"/>
      <c r="AT579" s="2615"/>
      <c r="AU579" s="2616"/>
      <c r="AW579" s="381"/>
      <c r="AX579" s="381"/>
    </row>
    <row r="580" spans="1:50" ht="15.75" customHeight="1">
      <c r="A580" s="8"/>
      <c r="B580" s="616"/>
      <c r="C580" s="616"/>
      <c r="D580" s="616"/>
      <c r="E580" s="616"/>
      <c r="F580" s="616"/>
      <c r="G580" s="616"/>
      <c r="H580" s="616"/>
      <c r="I580" s="616"/>
      <c r="J580" s="616"/>
      <c r="K580" s="616"/>
      <c r="L580" s="616"/>
      <c r="M580" s="616"/>
      <c r="N580" s="616"/>
      <c r="O580" s="616"/>
      <c r="P580" s="616"/>
      <c r="Q580" s="616"/>
      <c r="R580" s="616"/>
      <c r="S580" s="616"/>
      <c r="T580" s="616"/>
      <c r="U580" s="616"/>
      <c r="V580" s="616"/>
      <c r="W580" s="616"/>
      <c r="X580" s="616"/>
      <c r="Y580" s="9"/>
      <c r="Z580" s="2617"/>
      <c r="AA580" s="2618"/>
      <c r="AB580" s="2618"/>
      <c r="AC580" s="2618"/>
      <c r="AD580" s="2618"/>
      <c r="AE580" s="2618"/>
      <c r="AF580" s="2618"/>
      <c r="AG580" s="2618"/>
      <c r="AH580" s="2618"/>
      <c r="AI580" s="2618"/>
      <c r="AJ580" s="2618"/>
      <c r="AK580" s="2618"/>
      <c r="AL580" s="2618"/>
      <c r="AM580" s="2618"/>
      <c r="AN580" s="2618"/>
      <c r="AO580" s="2618"/>
      <c r="AP580" s="2618"/>
      <c r="AQ580" s="2618"/>
      <c r="AR580" s="2618"/>
      <c r="AS580" s="2618"/>
      <c r="AT580" s="2618"/>
      <c r="AU580" s="2619"/>
      <c r="AW580" s="381"/>
      <c r="AX580" s="381"/>
    </row>
    <row r="581" spans="1:50" ht="15.75" customHeight="1">
      <c r="A581" s="8"/>
      <c r="B581" s="669"/>
      <c r="C581" s="669"/>
      <c r="D581" s="669"/>
      <c r="E581" s="669"/>
      <c r="F581" s="669"/>
      <c r="G581" s="669"/>
      <c r="H581" s="669"/>
      <c r="I581" s="669"/>
      <c r="J581" s="669"/>
      <c r="K581" s="669"/>
      <c r="L581" s="669"/>
      <c r="M581" s="669"/>
      <c r="N581" s="669"/>
      <c r="O581" s="669"/>
      <c r="P581" s="669"/>
      <c r="Q581" s="669"/>
      <c r="R581" s="669"/>
      <c r="S581" s="669"/>
      <c r="T581" s="669"/>
      <c r="U581" s="669"/>
      <c r="V581" s="669"/>
      <c r="W581" s="669"/>
      <c r="X581" s="669"/>
      <c r="Y581" s="9"/>
      <c r="Z581" s="2620"/>
      <c r="AA581" s="2621"/>
      <c r="AB581" s="2621"/>
      <c r="AC581" s="2621"/>
      <c r="AD581" s="2621"/>
      <c r="AE581" s="2621"/>
      <c r="AF581" s="2621"/>
      <c r="AG581" s="2621"/>
      <c r="AH581" s="2621"/>
      <c r="AI581" s="2621"/>
      <c r="AJ581" s="2621"/>
      <c r="AK581" s="2621"/>
      <c r="AL581" s="2621"/>
      <c r="AM581" s="2621"/>
      <c r="AN581" s="2621"/>
      <c r="AO581" s="2621"/>
      <c r="AP581" s="2621"/>
      <c r="AQ581" s="2621"/>
      <c r="AR581" s="2621"/>
      <c r="AS581" s="2621"/>
      <c r="AT581" s="2621"/>
      <c r="AU581" s="2622"/>
      <c r="AW581" s="381"/>
      <c r="AX581" s="381"/>
    </row>
    <row r="582" spans="1:50" ht="15.75" customHeight="1">
      <c r="A582" s="8"/>
      <c r="B582" s="669"/>
      <c r="C582" s="669"/>
      <c r="D582" s="669"/>
      <c r="E582" s="669"/>
      <c r="F582" s="669"/>
      <c r="G582" s="669"/>
      <c r="H582" s="669"/>
      <c r="I582" s="669"/>
      <c r="J582" s="669"/>
      <c r="K582" s="669"/>
      <c r="L582" s="669"/>
      <c r="M582" s="669"/>
      <c r="N582" s="669"/>
      <c r="O582" s="669"/>
      <c r="P582" s="669"/>
      <c r="Q582" s="669"/>
      <c r="R582" s="669"/>
      <c r="S582" s="669"/>
      <c r="T582" s="669"/>
      <c r="U582" s="669"/>
      <c r="V582" s="669"/>
      <c r="W582" s="669"/>
      <c r="X582" s="669"/>
      <c r="Y582" s="9"/>
      <c r="Z582" s="2620"/>
      <c r="AA582" s="2621"/>
      <c r="AB582" s="2621"/>
      <c r="AC582" s="2621"/>
      <c r="AD582" s="2621"/>
      <c r="AE582" s="2621"/>
      <c r="AF582" s="2621"/>
      <c r="AG582" s="2621"/>
      <c r="AH582" s="2621"/>
      <c r="AI582" s="2621"/>
      <c r="AJ582" s="2621"/>
      <c r="AK582" s="2621"/>
      <c r="AL582" s="2621"/>
      <c r="AM582" s="2621"/>
      <c r="AN582" s="2621"/>
      <c r="AO582" s="2621"/>
      <c r="AP582" s="2621"/>
      <c r="AQ582" s="2621"/>
      <c r="AR582" s="2621"/>
      <c r="AS582" s="2621"/>
      <c r="AT582" s="2621"/>
      <c r="AU582" s="2622"/>
      <c r="AW582" s="381"/>
      <c r="AX582" s="381"/>
    </row>
    <row r="583" spans="1:50" ht="15.75" customHeight="1">
      <c r="A583" s="8"/>
      <c r="B583" s="669"/>
      <c r="C583" s="669"/>
      <c r="D583" s="669"/>
      <c r="E583" s="669"/>
      <c r="F583" s="669"/>
      <c r="G583" s="669"/>
      <c r="H583" s="669"/>
      <c r="I583" s="669"/>
      <c r="J583" s="669"/>
      <c r="K583" s="669"/>
      <c r="L583" s="669"/>
      <c r="M583" s="669"/>
      <c r="N583" s="669"/>
      <c r="O583" s="669"/>
      <c r="P583" s="669"/>
      <c r="Q583" s="669"/>
      <c r="R583" s="669"/>
      <c r="S583" s="669"/>
      <c r="T583" s="669"/>
      <c r="U583" s="669"/>
      <c r="V583" s="669"/>
      <c r="W583" s="669"/>
      <c r="X583" s="669"/>
      <c r="Y583" s="9"/>
      <c r="Z583" s="2620"/>
      <c r="AA583" s="2621"/>
      <c r="AB583" s="2621"/>
      <c r="AC583" s="2621"/>
      <c r="AD583" s="2621"/>
      <c r="AE583" s="2621"/>
      <c r="AF583" s="2621"/>
      <c r="AG583" s="2621"/>
      <c r="AH583" s="2621"/>
      <c r="AI583" s="2621"/>
      <c r="AJ583" s="2621"/>
      <c r="AK583" s="2621"/>
      <c r="AL583" s="2621"/>
      <c r="AM583" s="2621"/>
      <c r="AN583" s="2621"/>
      <c r="AO583" s="2621"/>
      <c r="AP583" s="2621"/>
      <c r="AQ583" s="2621"/>
      <c r="AR583" s="2621"/>
      <c r="AS583" s="2621"/>
      <c r="AT583" s="2621"/>
      <c r="AU583" s="2622"/>
      <c r="AW583" s="381"/>
      <c r="AX583" s="381"/>
    </row>
    <row r="584" spans="1:50" ht="15.75" customHeight="1">
      <c r="A584" s="8"/>
      <c r="B584" s="669"/>
      <c r="C584" s="669"/>
      <c r="D584" s="669"/>
      <c r="E584" s="669"/>
      <c r="F584" s="669"/>
      <c r="G584" s="669"/>
      <c r="H584" s="669"/>
      <c r="I584" s="669"/>
      <c r="J584" s="669"/>
      <c r="K584" s="2629" t="s">
        <v>164</v>
      </c>
      <c r="L584" s="2629"/>
      <c r="M584" s="2629"/>
      <c r="N584" s="2629"/>
      <c r="O584" s="2629"/>
      <c r="P584" s="2629"/>
      <c r="Q584" s="669"/>
      <c r="R584" s="669"/>
      <c r="S584" s="669"/>
      <c r="T584" s="669"/>
      <c r="U584" s="669"/>
      <c r="V584" s="669"/>
      <c r="W584" s="669"/>
      <c r="X584" s="669"/>
      <c r="Y584" s="9"/>
      <c r="Z584" s="2620"/>
      <c r="AA584" s="2621"/>
      <c r="AB584" s="2621"/>
      <c r="AC584" s="2621"/>
      <c r="AD584" s="2621"/>
      <c r="AE584" s="2621"/>
      <c r="AF584" s="2621"/>
      <c r="AG584" s="2621"/>
      <c r="AH584" s="2621"/>
      <c r="AI584" s="2621"/>
      <c r="AJ584" s="2621"/>
      <c r="AK584" s="2621"/>
      <c r="AL584" s="2621"/>
      <c r="AM584" s="2621"/>
      <c r="AN584" s="2621"/>
      <c r="AO584" s="2621"/>
      <c r="AP584" s="2621"/>
      <c r="AQ584" s="2621"/>
      <c r="AR584" s="2621"/>
      <c r="AS584" s="2621"/>
      <c r="AT584" s="2621"/>
      <c r="AU584" s="2622"/>
      <c r="AW584" s="381"/>
      <c r="AX584" s="381"/>
    </row>
    <row r="585" spans="1:50" ht="15.75" customHeight="1">
      <c r="A585" s="8"/>
      <c r="B585" s="669"/>
      <c r="C585" s="669"/>
      <c r="D585" s="669"/>
      <c r="E585" s="669"/>
      <c r="F585" s="669"/>
      <c r="G585" s="669"/>
      <c r="H585" s="669"/>
      <c r="I585" s="669"/>
      <c r="J585" s="669"/>
      <c r="K585" s="669"/>
      <c r="L585" s="669"/>
      <c r="M585" s="669"/>
      <c r="N585" s="669"/>
      <c r="O585" s="669"/>
      <c r="P585" s="669"/>
      <c r="Q585" s="669"/>
      <c r="R585" s="669"/>
      <c r="S585" s="669"/>
      <c r="T585" s="669"/>
      <c r="U585" s="669"/>
      <c r="V585" s="669"/>
      <c r="W585" s="669"/>
      <c r="X585" s="669"/>
      <c r="Y585" s="9"/>
      <c r="Z585" s="2620"/>
      <c r="AA585" s="2621"/>
      <c r="AB585" s="2621"/>
      <c r="AC585" s="2621"/>
      <c r="AD585" s="2621"/>
      <c r="AE585" s="2621"/>
      <c r="AF585" s="2621"/>
      <c r="AG585" s="2621"/>
      <c r="AH585" s="2621"/>
      <c r="AI585" s="2621"/>
      <c r="AJ585" s="2621"/>
      <c r="AK585" s="2621"/>
      <c r="AL585" s="2621"/>
      <c r="AM585" s="2621"/>
      <c r="AN585" s="2621"/>
      <c r="AO585" s="2621"/>
      <c r="AP585" s="2621"/>
      <c r="AQ585" s="2621"/>
      <c r="AR585" s="2621"/>
      <c r="AS585" s="2621"/>
      <c r="AT585" s="2621"/>
      <c r="AU585" s="2622"/>
      <c r="AW585" s="381"/>
      <c r="AX585" s="381"/>
    </row>
    <row r="586" spans="1:50" ht="15.75" customHeight="1">
      <c r="A586" s="8"/>
      <c r="B586" s="669"/>
      <c r="C586" s="669"/>
      <c r="D586" s="669"/>
      <c r="E586" s="669"/>
      <c r="F586" s="669"/>
      <c r="G586" s="669"/>
      <c r="H586" s="669"/>
      <c r="I586" s="669"/>
      <c r="J586" s="669"/>
      <c r="K586" s="669"/>
      <c r="L586" s="669"/>
      <c r="M586" s="669"/>
      <c r="N586" s="669"/>
      <c r="O586" s="669"/>
      <c r="P586" s="669"/>
      <c r="Q586" s="669"/>
      <c r="R586" s="669"/>
      <c r="S586" s="669"/>
      <c r="T586" s="669"/>
      <c r="U586" s="669"/>
      <c r="V586" s="669"/>
      <c r="W586" s="669"/>
      <c r="X586" s="669"/>
      <c r="Y586" s="9"/>
      <c r="Z586" s="2620"/>
      <c r="AA586" s="2621"/>
      <c r="AB586" s="2621"/>
      <c r="AC586" s="2621"/>
      <c r="AD586" s="2621"/>
      <c r="AE586" s="2621"/>
      <c r="AF586" s="2621"/>
      <c r="AG586" s="2621"/>
      <c r="AH586" s="2621"/>
      <c r="AI586" s="2621"/>
      <c r="AJ586" s="2621"/>
      <c r="AK586" s="2621"/>
      <c r="AL586" s="2621"/>
      <c r="AM586" s="2621"/>
      <c r="AN586" s="2621"/>
      <c r="AO586" s="2621"/>
      <c r="AP586" s="2621"/>
      <c r="AQ586" s="2621"/>
      <c r="AR586" s="2621"/>
      <c r="AS586" s="2621"/>
      <c r="AT586" s="2621"/>
      <c r="AU586" s="2622"/>
      <c r="AW586" s="381"/>
      <c r="AX586" s="381"/>
    </row>
    <row r="587" spans="1:50" ht="15.75" customHeight="1">
      <c r="A587" s="8"/>
      <c r="B587" s="669"/>
      <c r="C587" s="669"/>
      <c r="D587" s="669"/>
      <c r="E587" s="669"/>
      <c r="F587" s="669"/>
      <c r="G587" s="669"/>
      <c r="H587" s="669"/>
      <c r="I587" s="669"/>
      <c r="J587" s="669"/>
      <c r="K587" s="669"/>
      <c r="L587" s="669"/>
      <c r="M587" s="669"/>
      <c r="N587" s="669"/>
      <c r="O587" s="669"/>
      <c r="P587" s="669"/>
      <c r="Q587" s="669"/>
      <c r="R587" s="669"/>
      <c r="S587" s="669"/>
      <c r="T587" s="669"/>
      <c r="U587" s="669"/>
      <c r="V587" s="669"/>
      <c r="W587" s="669"/>
      <c r="X587" s="669"/>
      <c r="Y587" s="9"/>
      <c r="Z587" s="2620"/>
      <c r="AA587" s="2621"/>
      <c r="AB587" s="2621"/>
      <c r="AC587" s="2621"/>
      <c r="AD587" s="2621"/>
      <c r="AE587" s="2621"/>
      <c r="AF587" s="2621"/>
      <c r="AG587" s="2621"/>
      <c r="AH587" s="2621"/>
      <c r="AI587" s="2621"/>
      <c r="AJ587" s="2621"/>
      <c r="AK587" s="2621"/>
      <c r="AL587" s="2621"/>
      <c r="AM587" s="2621"/>
      <c r="AN587" s="2621"/>
      <c r="AO587" s="2621"/>
      <c r="AP587" s="2621"/>
      <c r="AQ587" s="2621"/>
      <c r="AR587" s="2621"/>
      <c r="AS587" s="2621"/>
      <c r="AT587" s="2621"/>
      <c r="AU587" s="2622"/>
      <c r="AW587" s="381"/>
      <c r="AX587" s="381"/>
    </row>
    <row r="588" spans="1:50" ht="15.75" customHeight="1">
      <c r="A588" s="8"/>
      <c r="B588" s="669"/>
      <c r="C588" s="669"/>
      <c r="D588" s="669"/>
      <c r="E588" s="669"/>
      <c r="F588" s="669"/>
      <c r="G588" s="669"/>
      <c r="H588" s="669"/>
      <c r="I588" s="669"/>
      <c r="J588" s="669"/>
      <c r="K588" s="669"/>
      <c r="L588" s="669"/>
      <c r="M588" s="669"/>
      <c r="N588" s="669"/>
      <c r="O588" s="669"/>
      <c r="P588" s="669"/>
      <c r="Q588" s="669"/>
      <c r="R588" s="669"/>
      <c r="S588" s="669"/>
      <c r="T588" s="669"/>
      <c r="U588" s="669"/>
      <c r="V588" s="669"/>
      <c r="W588" s="669"/>
      <c r="X588" s="669"/>
      <c r="Y588" s="9"/>
      <c r="Z588" s="2620"/>
      <c r="AA588" s="2621"/>
      <c r="AB588" s="2621"/>
      <c r="AC588" s="2621"/>
      <c r="AD588" s="2621"/>
      <c r="AE588" s="2621"/>
      <c r="AF588" s="2621"/>
      <c r="AG588" s="2621"/>
      <c r="AH588" s="2621"/>
      <c r="AI588" s="2621"/>
      <c r="AJ588" s="2621"/>
      <c r="AK588" s="2621"/>
      <c r="AL588" s="2621"/>
      <c r="AM588" s="2621"/>
      <c r="AN588" s="2621"/>
      <c r="AO588" s="2621"/>
      <c r="AP588" s="2621"/>
      <c r="AQ588" s="2621"/>
      <c r="AR588" s="2621"/>
      <c r="AS588" s="2621"/>
      <c r="AT588" s="2621"/>
      <c r="AU588" s="2622"/>
      <c r="AW588" s="381"/>
      <c r="AX588" s="381"/>
    </row>
    <row r="589" spans="1:50" ht="15.75" customHeight="1">
      <c r="A589" s="8"/>
      <c r="B589" s="669"/>
      <c r="C589" s="669"/>
      <c r="D589" s="669"/>
      <c r="E589" s="669"/>
      <c r="F589" s="669"/>
      <c r="G589" s="669"/>
      <c r="H589" s="669"/>
      <c r="I589" s="669"/>
      <c r="J589" s="669"/>
      <c r="K589" s="669"/>
      <c r="L589" s="669"/>
      <c r="M589" s="669"/>
      <c r="N589" s="669"/>
      <c r="O589" s="669"/>
      <c r="P589" s="669"/>
      <c r="Q589" s="669"/>
      <c r="R589" s="669"/>
      <c r="S589" s="669"/>
      <c r="T589" s="669"/>
      <c r="U589" s="669"/>
      <c r="V589" s="669"/>
      <c r="W589" s="669"/>
      <c r="X589" s="669"/>
      <c r="Y589" s="9"/>
      <c r="Z589" s="2620"/>
      <c r="AA589" s="2621"/>
      <c r="AB589" s="2621"/>
      <c r="AC589" s="2621"/>
      <c r="AD589" s="2621"/>
      <c r="AE589" s="2621"/>
      <c r="AF589" s="2621"/>
      <c r="AG589" s="2621"/>
      <c r="AH589" s="2621"/>
      <c r="AI589" s="2621"/>
      <c r="AJ589" s="2621"/>
      <c r="AK589" s="2621"/>
      <c r="AL589" s="2621"/>
      <c r="AM589" s="2621"/>
      <c r="AN589" s="2621"/>
      <c r="AO589" s="2621"/>
      <c r="AP589" s="2621"/>
      <c r="AQ589" s="2621"/>
      <c r="AR589" s="2621"/>
      <c r="AS589" s="2621"/>
      <c r="AT589" s="2621"/>
      <c r="AU589" s="2622"/>
      <c r="AW589" s="381"/>
      <c r="AX589" s="381"/>
    </row>
    <row r="590" spans="1:50" ht="15.75" customHeight="1">
      <c r="A590" s="8"/>
      <c r="B590" s="669"/>
      <c r="C590" s="669"/>
      <c r="D590" s="669"/>
      <c r="E590" s="669"/>
      <c r="F590" s="669"/>
      <c r="G590" s="669"/>
      <c r="H590" s="669"/>
      <c r="I590" s="669"/>
      <c r="J590" s="669"/>
      <c r="K590" s="669"/>
      <c r="L590" s="669"/>
      <c r="M590" s="669"/>
      <c r="N590" s="669"/>
      <c r="O590" s="669"/>
      <c r="P590" s="669"/>
      <c r="Q590" s="669"/>
      <c r="R590" s="669"/>
      <c r="S590" s="669"/>
      <c r="T590" s="669"/>
      <c r="U590" s="669"/>
      <c r="V590" s="669"/>
      <c r="W590" s="669"/>
      <c r="X590" s="669"/>
      <c r="Y590" s="9"/>
      <c r="Z590" s="2620"/>
      <c r="AA590" s="2621"/>
      <c r="AB590" s="2621"/>
      <c r="AC590" s="2621"/>
      <c r="AD590" s="2621"/>
      <c r="AE590" s="2621"/>
      <c r="AF590" s="2621"/>
      <c r="AG590" s="2621"/>
      <c r="AH590" s="2621"/>
      <c r="AI590" s="2621"/>
      <c r="AJ590" s="2621"/>
      <c r="AK590" s="2621"/>
      <c r="AL590" s="2621"/>
      <c r="AM590" s="2621"/>
      <c r="AN590" s="2621"/>
      <c r="AO590" s="2621"/>
      <c r="AP590" s="2621"/>
      <c r="AQ590" s="2621"/>
      <c r="AR590" s="2621"/>
      <c r="AS590" s="2621"/>
      <c r="AT590" s="2621"/>
      <c r="AU590" s="2622"/>
      <c r="AW590" s="381"/>
      <c r="AX590" s="381"/>
    </row>
    <row r="591" spans="1:50" ht="15.75" customHeight="1">
      <c r="A591" s="8"/>
      <c r="B591" s="669"/>
      <c r="C591" s="669"/>
      <c r="D591" s="669"/>
      <c r="E591" s="669"/>
      <c r="F591" s="669"/>
      <c r="G591" s="669"/>
      <c r="H591" s="669"/>
      <c r="I591" s="669"/>
      <c r="J591" s="669"/>
      <c r="K591" s="669"/>
      <c r="L591" s="669"/>
      <c r="M591" s="669"/>
      <c r="N591" s="669"/>
      <c r="O591" s="669"/>
      <c r="P591" s="669"/>
      <c r="Q591" s="669"/>
      <c r="R591" s="669"/>
      <c r="S591" s="669"/>
      <c r="T591" s="669"/>
      <c r="U591" s="669"/>
      <c r="V591" s="669"/>
      <c r="W591" s="669"/>
      <c r="X591" s="669"/>
      <c r="Y591" s="9"/>
      <c r="Z591" s="2620"/>
      <c r="AA591" s="2621"/>
      <c r="AB591" s="2621"/>
      <c r="AC591" s="2621"/>
      <c r="AD591" s="2621"/>
      <c r="AE591" s="2621"/>
      <c r="AF591" s="2621"/>
      <c r="AG591" s="2621"/>
      <c r="AH591" s="2621"/>
      <c r="AI591" s="2621"/>
      <c r="AJ591" s="2621"/>
      <c r="AK591" s="2621"/>
      <c r="AL591" s="2621"/>
      <c r="AM591" s="2621"/>
      <c r="AN591" s="2621"/>
      <c r="AO591" s="2621"/>
      <c r="AP591" s="2621"/>
      <c r="AQ591" s="2621"/>
      <c r="AR591" s="2621"/>
      <c r="AS591" s="2621"/>
      <c r="AT591" s="2621"/>
      <c r="AU591" s="2622"/>
      <c r="AW591" s="381"/>
      <c r="AX591" s="381"/>
    </row>
    <row r="592" spans="1:50" ht="15.75" customHeight="1">
      <c r="A592" s="8"/>
      <c r="B592" s="669"/>
      <c r="C592" s="669"/>
      <c r="D592" s="669"/>
      <c r="E592" s="669"/>
      <c r="F592" s="669"/>
      <c r="G592" s="669"/>
      <c r="H592" s="669"/>
      <c r="I592" s="669"/>
      <c r="J592" s="669"/>
      <c r="K592" s="669"/>
      <c r="L592" s="669"/>
      <c r="M592" s="669"/>
      <c r="N592" s="669"/>
      <c r="O592" s="669"/>
      <c r="P592" s="669"/>
      <c r="Q592" s="669"/>
      <c r="R592" s="669"/>
      <c r="S592" s="669"/>
      <c r="T592" s="669"/>
      <c r="U592" s="669"/>
      <c r="V592" s="669"/>
      <c r="W592" s="669"/>
      <c r="X592" s="669"/>
      <c r="Y592" s="9"/>
      <c r="Z592" s="2620"/>
      <c r="AA592" s="2621"/>
      <c r="AB592" s="2621"/>
      <c r="AC592" s="2621"/>
      <c r="AD592" s="2621"/>
      <c r="AE592" s="2621"/>
      <c r="AF592" s="2621"/>
      <c r="AG592" s="2621"/>
      <c r="AH592" s="2621"/>
      <c r="AI592" s="2621"/>
      <c r="AJ592" s="2621"/>
      <c r="AK592" s="2621"/>
      <c r="AL592" s="2621"/>
      <c r="AM592" s="2621"/>
      <c r="AN592" s="2621"/>
      <c r="AO592" s="2621"/>
      <c r="AP592" s="2621"/>
      <c r="AQ592" s="2621"/>
      <c r="AR592" s="2621"/>
      <c r="AS592" s="2621"/>
      <c r="AT592" s="2621"/>
      <c r="AU592" s="2622"/>
      <c r="AW592" s="381"/>
      <c r="AX592" s="381"/>
    </row>
    <row r="593" spans="1:50" ht="15.75" customHeight="1">
      <c r="A593" s="12"/>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1"/>
      <c r="Z593" s="2623"/>
      <c r="AA593" s="2624"/>
      <c r="AB593" s="2624"/>
      <c r="AC593" s="2624"/>
      <c r="AD593" s="2624"/>
      <c r="AE593" s="2624"/>
      <c r="AF593" s="2624"/>
      <c r="AG593" s="2624"/>
      <c r="AH593" s="2624"/>
      <c r="AI593" s="2624"/>
      <c r="AJ593" s="2624"/>
      <c r="AK593" s="2624"/>
      <c r="AL593" s="2624"/>
      <c r="AM593" s="2624"/>
      <c r="AN593" s="2624"/>
      <c r="AO593" s="2624"/>
      <c r="AP593" s="2624"/>
      <c r="AQ593" s="2624"/>
      <c r="AR593" s="2624"/>
      <c r="AS593" s="2624"/>
      <c r="AT593" s="2624"/>
      <c r="AU593" s="2625"/>
      <c r="AW593" s="381"/>
      <c r="AX593" s="381"/>
    </row>
    <row r="594" spans="1:50" ht="15.75" customHeight="1">
      <c r="A594" s="628"/>
      <c r="B594" s="628"/>
      <c r="C594" s="628"/>
      <c r="D594" s="628"/>
      <c r="E594" s="628"/>
      <c r="F594" s="628"/>
      <c r="G594" s="628"/>
      <c r="H594" s="628"/>
      <c r="I594" s="628"/>
      <c r="J594" s="628"/>
      <c r="K594" s="628"/>
      <c r="L594" s="628"/>
      <c r="M594" s="628"/>
      <c r="N594" s="628"/>
      <c r="O594" s="628"/>
      <c r="P594" s="628"/>
      <c r="Q594" s="628"/>
      <c r="R594" s="628"/>
      <c r="S594" s="628"/>
      <c r="T594" s="628"/>
      <c r="U594" s="628"/>
      <c r="V594" s="628"/>
      <c r="W594" s="628"/>
      <c r="X594" s="628"/>
      <c r="Y594" s="628"/>
      <c r="Z594" s="631"/>
      <c r="AA594" s="631"/>
      <c r="AB594" s="631"/>
      <c r="AC594" s="631"/>
      <c r="AD594" s="631"/>
      <c r="AE594" s="631"/>
      <c r="AF594" s="631"/>
      <c r="AG594" s="631"/>
      <c r="AH594" s="631"/>
      <c r="AI594" s="631"/>
      <c r="AJ594" s="631"/>
      <c r="AK594" s="631"/>
      <c r="AL594" s="631"/>
      <c r="AM594" s="631"/>
      <c r="AN594" s="631"/>
      <c r="AO594" s="631"/>
      <c r="AP594" s="631"/>
      <c r="AQ594" s="631"/>
      <c r="AR594" s="631"/>
      <c r="AS594" s="631"/>
      <c r="AT594" s="631"/>
      <c r="AU594" s="631"/>
    </row>
    <row r="595" spans="1:50" ht="12.75" customHeight="1">
      <c r="A595" s="2643" t="s">
        <v>157</v>
      </c>
      <c r="B595" s="2643"/>
      <c r="C595" s="2643"/>
      <c r="D595" s="2643"/>
      <c r="AU595" s="618"/>
    </row>
    <row r="596" spans="1:50" ht="12.75" customHeight="1">
      <c r="B596" s="619" t="s">
        <v>158</v>
      </c>
      <c r="C596" s="2609" t="s">
        <v>176</v>
      </c>
      <c r="D596" s="2609"/>
      <c r="E596" s="2609"/>
      <c r="F596" s="2609"/>
      <c r="G596" s="2609"/>
      <c r="H596" s="2609"/>
      <c r="I596" s="2609"/>
      <c r="J596" s="2609"/>
      <c r="K596" s="2609"/>
      <c r="L596" s="2609"/>
      <c r="M596" s="2609"/>
      <c r="N596" s="2609"/>
      <c r="O596" s="2609"/>
      <c r="P596" s="2609"/>
      <c r="Q596" s="2609"/>
      <c r="R596" s="2609"/>
      <c r="S596" s="2609"/>
      <c r="T596" s="2609"/>
      <c r="U596" s="2609"/>
      <c r="V596" s="2609"/>
      <c r="W596" s="2609"/>
      <c r="X596" s="2609"/>
      <c r="Y596" s="2609"/>
      <c r="Z596" s="2609"/>
      <c r="AA596" s="2609"/>
      <c r="AB596" s="2609"/>
      <c r="AC596" s="2609"/>
      <c r="AD596" s="2609"/>
      <c r="AE596" s="2609"/>
      <c r="AF596" s="2609"/>
      <c r="AG596" s="2609"/>
      <c r="AH596" s="2609"/>
      <c r="AI596" s="2609"/>
      <c r="AJ596" s="2609"/>
      <c r="AK596" s="2609"/>
      <c r="AL596" s="2609"/>
      <c r="AM596" s="2609"/>
      <c r="AN596" s="2609"/>
      <c r="AO596" s="2609"/>
      <c r="AP596" s="2609"/>
      <c r="AQ596" s="2609"/>
      <c r="AR596" s="2609"/>
      <c r="AS596" s="2609"/>
      <c r="AT596" s="2609"/>
      <c r="AU596" s="2609"/>
    </row>
    <row r="597" spans="1:50" ht="12.75" customHeight="1">
      <c r="B597" s="619"/>
      <c r="C597" s="2609" t="s">
        <v>177</v>
      </c>
      <c r="D597" s="2609"/>
      <c r="E597" s="2609"/>
      <c r="F597" s="2609"/>
      <c r="G597" s="2609"/>
      <c r="H597" s="2609"/>
      <c r="I597" s="2609"/>
      <c r="J597" s="2609"/>
      <c r="K597" s="2609"/>
      <c r="L597" s="2609"/>
      <c r="M597" s="2609"/>
      <c r="N597" s="2609"/>
      <c r="O597" s="2609"/>
      <c r="P597" s="2609"/>
      <c r="Q597" s="2609"/>
      <c r="R597" s="2609"/>
      <c r="S597" s="2609"/>
      <c r="T597" s="2609"/>
      <c r="U597" s="2609"/>
      <c r="V597" s="2609"/>
      <c r="W597" s="2609"/>
      <c r="X597" s="2609"/>
      <c r="Y597" s="2609"/>
      <c r="Z597" s="2609"/>
      <c r="AA597" s="2609"/>
      <c r="AB597" s="2609"/>
      <c r="AC597" s="2609"/>
      <c r="AD597" s="2609"/>
      <c r="AE597" s="2609"/>
      <c r="AF597" s="2609"/>
      <c r="AG597" s="2609"/>
      <c r="AH597" s="2609"/>
      <c r="AI597" s="2609"/>
      <c r="AJ597" s="2609"/>
      <c r="AK597" s="2609"/>
      <c r="AL597" s="2609"/>
      <c r="AM597" s="2609"/>
      <c r="AN597" s="2609"/>
      <c r="AO597" s="2609"/>
      <c r="AP597" s="2609"/>
      <c r="AQ597" s="2609"/>
      <c r="AR597" s="2609"/>
      <c r="AS597" s="2609"/>
      <c r="AT597" s="2609"/>
      <c r="AU597" s="2609"/>
    </row>
    <row r="598" spans="1:50" ht="12.75" customHeight="1">
      <c r="B598" s="619"/>
      <c r="C598" s="2610" t="s">
        <v>178</v>
      </c>
      <c r="D598" s="2610"/>
      <c r="E598" s="2610"/>
      <c r="F598" s="2610"/>
      <c r="G598" s="2610"/>
      <c r="H598" s="2610"/>
      <c r="I598" s="2610"/>
      <c r="J598" s="2610"/>
      <c r="K598" s="2610"/>
      <c r="L598" s="2610"/>
      <c r="M598" s="2610"/>
      <c r="N598" s="2610"/>
      <c r="O598" s="2610"/>
      <c r="P598" s="2610"/>
      <c r="Q598" s="2610"/>
      <c r="R598" s="2610"/>
      <c r="S598" s="2610"/>
      <c r="T598" s="2610"/>
      <c r="U598" s="2610"/>
      <c r="V598" s="2610"/>
      <c r="W598" s="2610"/>
      <c r="X598" s="2610"/>
      <c r="Y598" s="2610"/>
      <c r="Z598" s="2610"/>
      <c r="AA598" s="2610"/>
      <c r="AB598" s="2610"/>
      <c r="AC598" s="2610"/>
      <c r="AD598" s="2610"/>
      <c r="AE598" s="2610"/>
      <c r="AF598" s="2610"/>
      <c r="AG598" s="2610"/>
      <c r="AH598" s="2610"/>
      <c r="AI598" s="2610"/>
      <c r="AJ598" s="2610"/>
      <c r="AK598" s="2610"/>
      <c r="AL598" s="2610"/>
      <c r="AM598" s="2610"/>
      <c r="AN598" s="2610"/>
      <c r="AO598" s="2610"/>
      <c r="AP598" s="2610"/>
      <c r="AQ598" s="2610"/>
      <c r="AR598" s="2610"/>
      <c r="AS598" s="2610"/>
      <c r="AT598" s="2610"/>
      <c r="AU598" s="2610"/>
    </row>
    <row r="599" spans="1:50" ht="12.75" customHeight="1">
      <c r="B599" s="619" t="s">
        <v>165</v>
      </c>
      <c r="C599" s="2610" t="s">
        <v>166</v>
      </c>
      <c r="D599" s="2610"/>
      <c r="E599" s="2610"/>
      <c r="F599" s="2610"/>
      <c r="G599" s="2610"/>
      <c r="H599" s="2610"/>
      <c r="I599" s="2610"/>
      <c r="J599" s="2610"/>
      <c r="K599" s="2610"/>
      <c r="L599" s="2610"/>
      <c r="M599" s="2610"/>
      <c r="N599" s="2610"/>
      <c r="O599" s="2610"/>
      <c r="P599" s="2610"/>
      <c r="Q599" s="2610"/>
      <c r="R599" s="2610"/>
      <c r="S599" s="2610"/>
      <c r="T599" s="2610"/>
      <c r="U599" s="2610"/>
      <c r="V599" s="2610"/>
      <c r="W599" s="2610"/>
      <c r="X599" s="2610"/>
      <c r="Y599" s="2610"/>
      <c r="Z599" s="2610"/>
      <c r="AA599" s="2610"/>
      <c r="AB599" s="2610"/>
      <c r="AC599" s="2610"/>
      <c r="AD599" s="2610"/>
      <c r="AE599" s="2610"/>
      <c r="AF599" s="2610"/>
      <c r="AG599" s="2610"/>
      <c r="AH599" s="2610"/>
      <c r="AI599" s="2610"/>
      <c r="AJ599" s="2610"/>
      <c r="AK599" s="2610"/>
      <c r="AL599" s="2610"/>
      <c r="AM599" s="2610"/>
      <c r="AN599" s="2610"/>
      <c r="AO599" s="2610"/>
      <c r="AP599" s="2610"/>
      <c r="AQ599" s="2610"/>
      <c r="AR599" s="2610"/>
      <c r="AS599" s="2610"/>
      <c r="AT599" s="2610"/>
      <c r="AU599" s="2610"/>
    </row>
    <row r="600" spans="1:50" ht="12.75" customHeight="1">
      <c r="B600" s="619" t="s">
        <v>159</v>
      </c>
      <c r="C600" s="2610" t="s">
        <v>0</v>
      </c>
      <c r="D600" s="2610"/>
      <c r="E600" s="2610"/>
      <c r="F600" s="2610"/>
      <c r="G600" s="2610"/>
      <c r="H600" s="2610"/>
      <c r="I600" s="2610"/>
      <c r="J600" s="2610"/>
      <c r="K600" s="2610"/>
      <c r="L600" s="2610"/>
      <c r="M600" s="2610"/>
      <c r="N600" s="2610"/>
      <c r="O600" s="2610"/>
      <c r="P600" s="2610"/>
      <c r="Q600" s="2610"/>
      <c r="R600" s="2610"/>
      <c r="S600" s="2610"/>
      <c r="T600" s="2610"/>
      <c r="U600" s="2610"/>
      <c r="V600" s="2610"/>
      <c r="W600" s="2610"/>
      <c r="X600" s="2610"/>
      <c r="Y600" s="2610"/>
      <c r="Z600" s="2610"/>
      <c r="AA600" s="2610"/>
      <c r="AB600" s="2610"/>
      <c r="AC600" s="2610"/>
      <c r="AD600" s="2610"/>
      <c r="AE600" s="2610"/>
      <c r="AF600" s="2610"/>
      <c r="AG600" s="2610"/>
      <c r="AH600" s="2610"/>
      <c r="AI600" s="2610"/>
      <c r="AJ600" s="2610"/>
      <c r="AK600" s="2610"/>
      <c r="AL600" s="2610"/>
      <c r="AM600" s="2610"/>
      <c r="AN600" s="2610"/>
      <c r="AO600" s="2610"/>
      <c r="AP600" s="2610"/>
      <c r="AQ600" s="2610"/>
      <c r="AR600" s="2610"/>
      <c r="AS600" s="2610"/>
      <c r="AT600" s="2610"/>
      <c r="AU600" s="2610"/>
    </row>
    <row r="601" spans="1:50" ht="12.75" customHeight="1">
      <c r="B601" s="619" t="s">
        <v>167</v>
      </c>
      <c r="C601" s="2610" t="s">
        <v>179</v>
      </c>
      <c r="D601" s="2610"/>
      <c r="E601" s="2610"/>
      <c r="F601" s="2610"/>
      <c r="G601" s="2610"/>
      <c r="H601" s="2610"/>
      <c r="I601" s="2610"/>
      <c r="J601" s="2610"/>
      <c r="K601" s="2610"/>
      <c r="L601" s="2610"/>
      <c r="M601" s="2610"/>
      <c r="N601" s="2610"/>
      <c r="O601" s="2610"/>
      <c r="P601" s="2610"/>
      <c r="Q601" s="2610"/>
      <c r="R601" s="2610"/>
      <c r="S601" s="2610"/>
      <c r="T601" s="2610"/>
      <c r="U601" s="2610"/>
      <c r="V601" s="2610"/>
      <c r="W601" s="2610"/>
      <c r="X601" s="2610"/>
      <c r="Y601" s="2610"/>
      <c r="Z601" s="2610"/>
      <c r="AA601" s="2610"/>
      <c r="AB601" s="2610"/>
      <c r="AC601" s="2610"/>
      <c r="AD601" s="2610"/>
      <c r="AE601" s="2610"/>
      <c r="AF601" s="2610"/>
      <c r="AG601" s="2610"/>
      <c r="AH601" s="2610"/>
      <c r="AI601" s="2610"/>
      <c r="AJ601" s="2610"/>
      <c r="AK601" s="2610"/>
      <c r="AL601" s="2610"/>
      <c r="AM601" s="2610"/>
      <c r="AN601" s="2610"/>
      <c r="AO601" s="2610"/>
      <c r="AP601" s="2610"/>
      <c r="AQ601" s="2610"/>
      <c r="AR601" s="2610"/>
      <c r="AS601" s="2610"/>
      <c r="AT601" s="2610"/>
      <c r="AU601" s="2610"/>
    </row>
    <row r="602" spans="1:50" ht="12.75" customHeight="1">
      <c r="C602" s="2610" t="s">
        <v>180</v>
      </c>
      <c r="D602" s="2610"/>
      <c r="E602" s="2610"/>
      <c r="F602" s="2610"/>
      <c r="G602" s="2610"/>
      <c r="H602" s="2610"/>
      <c r="I602" s="2610"/>
      <c r="J602" s="2610"/>
      <c r="K602" s="2610"/>
      <c r="L602" s="2610"/>
      <c r="M602" s="2610"/>
      <c r="N602" s="2610"/>
      <c r="O602" s="2610"/>
      <c r="P602" s="2610"/>
      <c r="Q602" s="2610"/>
      <c r="R602" s="2610"/>
      <c r="S602" s="2610"/>
      <c r="T602" s="2610"/>
      <c r="U602" s="2610"/>
      <c r="V602" s="2610"/>
      <c r="W602" s="2610"/>
      <c r="X602" s="2610"/>
      <c r="Y602" s="2610"/>
      <c r="Z602" s="2610"/>
      <c r="AA602" s="2610"/>
      <c r="AB602" s="2610"/>
      <c r="AC602" s="2610"/>
      <c r="AD602" s="2610"/>
      <c r="AE602" s="2610"/>
      <c r="AF602" s="2610"/>
      <c r="AG602" s="2610"/>
      <c r="AH602" s="2610"/>
      <c r="AI602" s="2610"/>
      <c r="AJ602" s="2610"/>
      <c r="AK602" s="2610"/>
      <c r="AL602" s="2610"/>
      <c r="AM602" s="2610"/>
      <c r="AN602" s="2610"/>
      <c r="AO602" s="2610"/>
      <c r="AP602" s="2610"/>
      <c r="AQ602" s="2610"/>
      <c r="AR602" s="2610"/>
      <c r="AS602" s="2610"/>
      <c r="AT602" s="2610"/>
      <c r="AU602" s="2610"/>
    </row>
    <row r="603" spans="1:50" ht="12.75" customHeight="1">
      <c r="B603" s="619" t="s">
        <v>1</v>
      </c>
      <c r="C603" s="2610" t="s">
        <v>2</v>
      </c>
      <c r="D603" s="2610"/>
      <c r="E603" s="2610"/>
      <c r="F603" s="2610"/>
      <c r="G603" s="2610"/>
      <c r="H603" s="2610"/>
      <c r="I603" s="2610"/>
      <c r="J603" s="2610"/>
      <c r="K603" s="2610"/>
      <c r="L603" s="2610"/>
      <c r="M603" s="2610"/>
      <c r="N603" s="2610"/>
      <c r="O603" s="2610"/>
      <c r="P603" s="2610"/>
      <c r="Q603" s="2610"/>
      <c r="R603" s="2610"/>
      <c r="S603" s="2610"/>
      <c r="T603" s="2610"/>
      <c r="U603" s="2610"/>
      <c r="V603" s="2610"/>
      <c r="W603" s="2610"/>
      <c r="X603" s="2610"/>
      <c r="Y603" s="2610"/>
      <c r="Z603" s="2610"/>
      <c r="AA603" s="2610"/>
      <c r="AB603" s="2610"/>
      <c r="AC603" s="2610"/>
      <c r="AD603" s="2610"/>
      <c r="AE603" s="2610"/>
      <c r="AF603" s="2610"/>
      <c r="AG603" s="2610"/>
      <c r="AH603" s="2610"/>
      <c r="AI603" s="2610"/>
      <c r="AJ603" s="2610"/>
      <c r="AK603" s="2610"/>
      <c r="AL603" s="2610"/>
      <c r="AM603" s="2610"/>
      <c r="AN603" s="2610"/>
      <c r="AO603" s="2610"/>
      <c r="AP603" s="2610"/>
      <c r="AQ603" s="2610"/>
      <c r="AR603" s="2610"/>
      <c r="AS603" s="2610"/>
      <c r="AT603" s="2610"/>
      <c r="AU603" s="2610"/>
    </row>
    <row r="604" spans="1:50" ht="12.75" customHeight="1">
      <c r="AG604" s="618"/>
      <c r="AH604" s="618"/>
      <c r="AI604" s="618"/>
      <c r="AJ604" s="618"/>
      <c r="AK604" s="618"/>
      <c r="AL604" s="618"/>
      <c r="AM604" s="618"/>
      <c r="AN604" s="618"/>
      <c r="AO604" s="618"/>
      <c r="AP604" s="618"/>
      <c r="AQ604" s="618"/>
      <c r="AR604" s="618"/>
      <c r="AS604" s="618"/>
      <c r="AT604" s="618"/>
    </row>
  </sheetData>
  <sheetProtection algorithmName="SHA-512" hashValue="IKWQgtdbH27brcFeoAV7Zs146vhMOn2plXPsRvqBWucyRf3P3LdrgPY7ETau5H01+fwbQalURfGbLQAGF4Wvig==" saltValue="TVJmzdfnY58/kAyV3ish9A==" spinCount="100000" sheet="1" scenarios="1"/>
  <dataConsolidate/>
  <mergeCells count="313">
    <mergeCell ref="Z254:AN254"/>
    <mergeCell ref="C179:AT179"/>
    <mergeCell ref="C180:AT180"/>
    <mergeCell ref="C181:AT181"/>
    <mergeCell ref="C182:AT182"/>
    <mergeCell ref="C183:AT183"/>
    <mergeCell ref="U187:Z187"/>
    <mergeCell ref="C243:AT243"/>
    <mergeCell ref="U247:Z247"/>
    <mergeCell ref="A249:C252"/>
    <mergeCell ref="D249:J249"/>
    <mergeCell ref="AK249:AT249"/>
    <mergeCell ref="D250:J252"/>
    <mergeCell ref="K250:AI252"/>
    <mergeCell ref="Z194:AN194"/>
    <mergeCell ref="C242:AT242"/>
    <mergeCell ref="C236:AT236"/>
    <mergeCell ref="C237:AT237"/>
    <mergeCell ref="C238:AT238"/>
    <mergeCell ref="C239:AT239"/>
    <mergeCell ref="C240:AT240"/>
    <mergeCell ref="C241:AT241"/>
    <mergeCell ref="Z217:AN217"/>
    <mergeCell ref="Z218:AU220"/>
    <mergeCell ref="K524:P524"/>
    <mergeCell ref="A512:C515"/>
    <mergeCell ref="D512:J512"/>
    <mergeCell ref="D513:J515"/>
    <mergeCell ref="Z494:AN494"/>
    <mergeCell ref="A595:D595"/>
    <mergeCell ref="D550:J552"/>
    <mergeCell ref="K550:AI552"/>
    <mergeCell ref="K501:P501"/>
    <mergeCell ref="A535:D535"/>
    <mergeCell ref="U547:Z547"/>
    <mergeCell ref="K584:P584"/>
    <mergeCell ref="A572:C575"/>
    <mergeCell ref="D572:J572"/>
    <mergeCell ref="AK572:AT572"/>
    <mergeCell ref="D573:J575"/>
    <mergeCell ref="K573:AI575"/>
    <mergeCell ref="Z517:AN517"/>
    <mergeCell ref="AK512:AT512"/>
    <mergeCell ref="K513:AI515"/>
    <mergeCell ref="Z495:AU497"/>
    <mergeCell ref="Z498:AU510"/>
    <mergeCell ref="Z518:AU520"/>
    <mergeCell ref="Z521:AU533"/>
    <mergeCell ref="K261:P261"/>
    <mergeCell ref="A295:D295"/>
    <mergeCell ref="A272:C275"/>
    <mergeCell ref="D272:J272"/>
    <mergeCell ref="AK272:AT272"/>
    <mergeCell ref="D273:J275"/>
    <mergeCell ref="K273:AI275"/>
    <mergeCell ref="Z278:AU280"/>
    <mergeCell ref="Z281:AU293"/>
    <mergeCell ref="D332:J332"/>
    <mergeCell ref="D333:J335"/>
    <mergeCell ref="AK309:AT309"/>
    <mergeCell ref="A309:C312"/>
    <mergeCell ref="D309:J309"/>
    <mergeCell ref="AK332:AT332"/>
    <mergeCell ref="K333:AI335"/>
    <mergeCell ref="D310:J312"/>
    <mergeCell ref="Z277:AN277"/>
    <mergeCell ref="K284:P284"/>
    <mergeCell ref="C300:AU300"/>
    <mergeCell ref="C301:AU301"/>
    <mergeCell ref="C302:AU302"/>
    <mergeCell ref="C303:AU303"/>
    <mergeCell ref="U307:Z307"/>
    <mergeCell ref="Z314:AN314"/>
    <mergeCell ref="K310:AI312"/>
    <mergeCell ref="K321:P321"/>
    <mergeCell ref="A332:C335"/>
    <mergeCell ref="C61:AT61"/>
    <mergeCell ref="C62:AT62"/>
    <mergeCell ref="Z74:AN74"/>
    <mergeCell ref="A189:C192"/>
    <mergeCell ref="D189:J189"/>
    <mergeCell ref="AK189:AT189"/>
    <mergeCell ref="D190:J192"/>
    <mergeCell ref="C63:AT63"/>
    <mergeCell ref="C64:AT64"/>
    <mergeCell ref="U67:Z67"/>
    <mergeCell ref="A69:C72"/>
    <mergeCell ref="D69:J69"/>
    <mergeCell ref="AK69:AT69"/>
    <mergeCell ref="D70:J72"/>
    <mergeCell ref="K70:AI72"/>
    <mergeCell ref="K81:P81"/>
    <mergeCell ref="A92:C95"/>
    <mergeCell ref="D92:J92"/>
    <mergeCell ref="AK92:AT92"/>
    <mergeCell ref="K141:P141"/>
    <mergeCell ref="Z134:AN134"/>
    <mergeCell ref="A152:C155"/>
    <mergeCell ref="D152:J152"/>
    <mergeCell ref="AK152:AT152"/>
    <mergeCell ref="U8:Z8"/>
    <mergeCell ref="A10:C13"/>
    <mergeCell ref="D10:J10"/>
    <mergeCell ref="AK10:AT10"/>
    <mergeCell ref="D11:J13"/>
    <mergeCell ref="K11:AI13"/>
    <mergeCell ref="K22:P22"/>
    <mergeCell ref="Z15:AN15"/>
    <mergeCell ref="Z16:AU18"/>
    <mergeCell ref="Z19:AU31"/>
    <mergeCell ref="A33:C36"/>
    <mergeCell ref="D33:J33"/>
    <mergeCell ref="AK33:AT33"/>
    <mergeCell ref="D34:J36"/>
    <mergeCell ref="K34:AI36"/>
    <mergeCell ref="C58:AT58"/>
    <mergeCell ref="C59:AT59"/>
    <mergeCell ref="C60:AT60"/>
    <mergeCell ref="A56:D56"/>
    <mergeCell ref="C57:AT57"/>
    <mergeCell ref="Z38:AN38"/>
    <mergeCell ref="K45:P45"/>
    <mergeCell ref="Z39:AU41"/>
    <mergeCell ref="Z42:AU54"/>
    <mergeCell ref="Z75:AU77"/>
    <mergeCell ref="Z78:AU90"/>
    <mergeCell ref="Z98:AU100"/>
    <mergeCell ref="Z101:AU113"/>
    <mergeCell ref="A212:C215"/>
    <mergeCell ref="D212:J212"/>
    <mergeCell ref="AK212:AT212"/>
    <mergeCell ref="D213:J215"/>
    <mergeCell ref="K213:AI215"/>
    <mergeCell ref="Z135:AU137"/>
    <mergeCell ref="Z138:AU150"/>
    <mergeCell ref="D93:J95"/>
    <mergeCell ref="K93:AI95"/>
    <mergeCell ref="Z97:AN97"/>
    <mergeCell ref="A115:D115"/>
    <mergeCell ref="K104:P104"/>
    <mergeCell ref="C122:AT122"/>
    <mergeCell ref="C123:AT123"/>
    <mergeCell ref="U127:Z127"/>
    <mergeCell ref="A129:C132"/>
    <mergeCell ref="D129:J129"/>
    <mergeCell ref="AK129:AT129"/>
    <mergeCell ref="D130:J132"/>
    <mergeCell ref="K130:AI132"/>
    <mergeCell ref="K153:AI155"/>
    <mergeCell ref="C602:AU602"/>
    <mergeCell ref="C603:AU603"/>
    <mergeCell ref="C536:AU536"/>
    <mergeCell ref="C537:AU537"/>
    <mergeCell ref="C538:AU538"/>
    <mergeCell ref="C539:AU539"/>
    <mergeCell ref="C540:AU540"/>
    <mergeCell ref="C541:AU541"/>
    <mergeCell ref="C542:AU542"/>
    <mergeCell ref="C543:AU543"/>
    <mergeCell ref="Z554:AN554"/>
    <mergeCell ref="C596:AU596"/>
    <mergeCell ref="C597:AU597"/>
    <mergeCell ref="A549:C552"/>
    <mergeCell ref="D549:J549"/>
    <mergeCell ref="AK549:AT549"/>
    <mergeCell ref="Z577:AN577"/>
    <mergeCell ref="K561:P561"/>
    <mergeCell ref="Z555:AU557"/>
    <mergeCell ref="Z558:AU570"/>
    <mergeCell ref="Z578:AU580"/>
    <mergeCell ref="Z255:AU257"/>
    <mergeCell ref="Z258:AU270"/>
    <mergeCell ref="Z581:AU593"/>
    <mergeCell ref="Z337:AN337"/>
    <mergeCell ref="Z315:AU317"/>
    <mergeCell ref="Z318:AU330"/>
    <mergeCell ref="Z338:AU340"/>
    <mergeCell ref="K404:P404"/>
    <mergeCell ref="C601:AU601"/>
    <mergeCell ref="C598:AU598"/>
    <mergeCell ref="C599:AU599"/>
    <mergeCell ref="C600:AU600"/>
    <mergeCell ref="Z397:AN397"/>
    <mergeCell ref="K381:P381"/>
    <mergeCell ref="Z374:AN374"/>
    <mergeCell ref="A369:C372"/>
    <mergeCell ref="D369:J369"/>
    <mergeCell ref="AK369:AT369"/>
    <mergeCell ref="D370:J372"/>
    <mergeCell ref="K370:AI372"/>
    <mergeCell ref="U367:Z367"/>
    <mergeCell ref="C357:AU357"/>
    <mergeCell ref="C358:AU358"/>
    <mergeCell ref="C359:AU359"/>
    <mergeCell ref="C483:AU483"/>
    <mergeCell ref="C416:AU416"/>
    <mergeCell ref="C421:AU421"/>
    <mergeCell ref="C422:AU422"/>
    <mergeCell ref="C423:AU423"/>
    <mergeCell ref="Z457:AN457"/>
    <mergeCell ref="A475:D475"/>
    <mergeCell ref="K441:P441"/>
    <mergeCell ref="U427:Z427"/>
    <mergeCell ref="A429:C432"/>
    <mergeCell ref="D429:J429"/>
    <mergeCell ref="AK429:AT429"/>
    <mergeCell ref="D430:J432"/>
    <mergeCell ref="C362:AU362"/>
    <mergeCell ref="C360:AU360"/>
    <mergeCell ref="A355:D355"/>
    <mergeCell ref="K344:P344"/>
    <mergeCell ref="C356:AU356"/>
    <mergeCell ref="Z434:AN434"/>
    <mergeCell ref="A452:C455"/>
    <mergeCell ref="D452:J452"/>
    <mergeCell ref="D453:J455"/>
    <mergeCell ref="A415:D415"/>
    <mergeCell ref="K430:AI432"/>
    <mergeCell ref="Z341:AU353"/>
    <mergeCell ref="Z375:AU377"/>
    <mergeCell ref="Z378:AU390"/>
    <mergeCell ref="Z398:AU400"/>
    <mergeCell ref="Z401:AU413"/>
    <mergeCell ref="Z435:AU437"/>
    <mergeCell ref="Z438:AU450"/>
    <mergeCell ref="K453:AI455"/>
    <mergeCell ref="C361:AU361"/>
    <mergeCell ref="AK452:AT452"/>
    <mergeCell ref="C363:AU363"/>
    <mergeCell ref="C417:AU417"/>
    <mergeCell ref="C418:AU418"/>
    <mergeCell ref="A489:C492"/>
    <mergeCell ref="D489:J489"/>
    <mergeCell ref="AK489:AT489"/>
    <mergeCell ref="D490:J492"/>
    <mergeCell ref="K490:AI492"/>
    <mergeCell ref="A392:C395"/>
    <mergeCell ref="D392:J392"/>
    <mergeCell ref="AK392:AT392"/>
    <mergeCell ref="D393:J395"/>
    <mergeCell ref="K393:AI395"/>
    <mergeCell ref="U487:Z487"/>
    <mergeCell ref="C476:AU476"/>
    <mergeCell ref="C477:AU477"/>
    <mergeCell ref="C478:AU478"/>
    <mergeCell ref="C479:AU479"/>
    <mergeCell ref="C480:AU480"/>
    <mergeCell ref="C481:AU481"/>
    <mergeCell ref="C482:AU482"/>
    <mergeCell ref="Z461:AU473"/>
    <mergeCell ref="Z458:AU460"/>
    <mergeCell ref="K464:P464"/>
    <mergeCell ref="AR486:AU486"/>
    <mergeCell ref="C419:AU419"/>
    <mergeCell ref="C420:AU420"/>
    <mergeCell ref="C176:AT176"/>
    <mergeCell ref="C177:AT177"/>
    <mergeCell ref="C178:AT178"/>
    <mergeCell ref="A175:D175"/>
    <mergeCell ref="A235:D235"/>
    <mergeCell ref="K224:P224"/>
    <mergeCell ref="K190:AI192"/>
    <mergeCell ref="K201:P201"/>
    <mergeCell ref="Z198:AU210"/>
    <mergeCell ref="Z221:AU233"/>
    <mergeCell ref="K164:P164"/>
    <mergeCell ref="A1:U2"/>
    <mergeCell ref="B5:AU5"/>
    <mergeCell ref="AB1:AC1"/>
    <mergeCell ref="AD1:AE1"/>
    <mergeCell ref="AF1:AG1"/>
    <mergeCell ref="AH1:AI1"/>
    <mergeCell ref="AJ1:AK1"/>
    <mergeCell ref="AL1:AM1"/>
    <mergeCell ref="AN1:AO1"/>
    <mergeCell ref="AP1:AQ1"/>
    <mergeCell ref="AR1:AS1"/>
    <mergeCell ref="AT1:AU1"/>
    <mergeCell ref="AB2:AC2"/>
    <mergeCell ref="AD2:AE2"/>
    <mergeCell ref="AF2:AG2"/>
    <mergeCell ref="AH2:AI2"/>
    <mergeCell ref="AJ2:AK2"/>
    <mergeCell ref="AL2:AM2"/>
    <mergeCell ref="AN2:AO2"/>
    <mergeCell ref="AP2:AQ2"/>
    <mergeCell ref="AR2:AS2"/>
    <mergeCell ref="AT2:AU2"/>
    <mergeCell ref="D153:J155"/>
    <mergeCell ref="AW1:AZ1"/>
    <mergeCell ref="AR546:AU546"/>
    <mergeCell ref="AR7:AU7"/>
    <mergeCell ref="AR66:AU66"/>
    <mergeCell ref="AR126:AU126"/>
    <mergeCell ref="AR186:AU186"/>
    <mergeCell ref="AR246:AU246"/>
    <mergeCell ref="AR306:AU306"/>
    <mergeCell ref="AR366:AU366"/>
    <mergeCell ref="AR426:AU426"/>
    <mergeCell ref="C296:AU296"/>
    <mergeCell ref="C297:AU297"/>
    <mergeCell ref="C298:AU298"/>
    <mergeCell ref="C299:AU299"/>
    <mergeCell ref="Z158:AU160"/>
    <mergeCell ref="Z161:AU173"/>
    <mergeCell ref="Z195:AU197"/>
    <mergeCell ref="Z157:AN157"/>
    <mergeCell ref="C116:AT116"/>
    <mergeCell ref="C117:AT117"/>
    <mergeCell ref="C118:AT118"/>
    <mergeCell ref="C119:AT119"/>
    <mergeCell ref="C120:AT120"/>
    <mergeCell ref="C121:AT121"/>
  </mergeCells>
  <phoneticPr fontId="3"/>
  <conditionalFormatting sqref="Z19">
    <cfRule type="expression" dxfId="44" priority="59">
      <formula>AND(D11&lt;&gt;"",Z19="")</formula>
    </cfRule>
  </conditionalFormatting>
  <conditionalFormatting sqref="Z42">
    <cfRule type="expression" dxfId="43" priority="39">
      <formula>AND(D34&lt;&gt;"",Z42="")</formula>
    </cfRule>
  </conditionalFormatting>
  <conditionalFormatting sqref="Z78">
    <cfRule type="expression" dxfId="42" priority="38">
      <formula>AND(D70&lt;&gt;"",Z78="")</formula>
    </cfRule>
  </conditionalFormatting>
  <conditionalFormatting sqref="Z101">
    <cfRule type="expression" dxfId="41" priority="37">
      <formula>AND(D93&lt;&gt;"",Z101="")</formula>
    </cfRule>
  </conditionalFormatting>
  <conditionalFormatting sqref="Z138">
    <cfRule type="expression" dxfId="40" priority="36">
      <formula>AND(D130&lt;&gt;"",Z138="")</formula>
    </cfRule>
  </conditionalFormatting>
  <conditionalFormatting sqref="Z161">
    <cfRule type="expression" dxfId="39" priority="35">
      <formula>AND(D153&lt;&gt;"",Z161="")</formula>
    </cfRule>
  </conditionalFormatting>
  <conditionalFormatting sqref="Z198">
    <cfRule type="expression" dxfId="38" priority="34">
      <formula>AND(D190&lt;&gt;"",Z198="")</formula>
    </cfRule>
  </conditionalFormatting>
  <conditionalFormatting sqref="Z221">
    <cfRule type="expression" dxfId="37" priority="33">
      <formula>AND(D213&lt;&gt;"",Z221="")</formula>
    </cfRule>
  </conditionalFormatting>
  <conditionalFormatting sqref="Z258">
    <cfRule type="expression" dxfId="36" priority="32">
      <formula>AND(D250&lt;&gt;"",Z258="")</formula>
    </cfRule>
  </conditionalFormatting>
  <conditionalFormatting sqref="Z281">
    <cfRule type="expression" dxfId="35" priority="31">
      <formula>AND(D273&lt;&gt;"",Z281="")</formula>
    </cfRule>
  </conditionalFormatting>
  <conditionalFormatting sqref="Z318">
    <cfRule type="expression" dxfId="34" priority="30">
      <formula>AND(D310&lt;&gt;"",Z318="")</formula>
    </cfRule>
  </conditionalFormatting>
  <conditionalFormatting sqref="Z341">
    <cfRule type="expression" dxfId="33" priority="29">
      <formula>AND(D333&lt;&gt;"",Z341="")</formula>
    </cfRule>
  </conditionalFormatting>
  <conditionalFormatting sqref="Z378">
    <cfRule type="expression" dxfId="32" priority="28">
      <formula>AND(D370&lt;&gt;"",Z378="")</formula>
    </cfRule>
  </conditionalFormatting>
  <conditionalFormatting sqref="Z401">
    <cfRule type="expression" dxfId="31" priority="27">
      <formula>AND(D393&lt;&gt;"",Z401="")</formula>
    </cfRule>
  </conditionalFormatting>
  <conditionalFormatting sqref="Z438">
    <cfRule type="expression" dxfId="30" priority="26">
      <formula>AND(D430&lt;&gt;"",Z438="")</formula>
    </cfRule>
  </conditionalFormatting>
  <conditionalFormatting sqref="Z461">
    <cfRule type="expression" dxfId="29" priority="25">
      <formula>AND(D453&lt;&gt;"",Z461="")</formula>
    </cfRule>
  </conditionalFormatting>
  <conditionalFormatting sqref="Z498">
    <cfRule type="expression" dxfId="28" priority="24">
      <formula>AND(D490&lt;&gt;"",Z498="")</formula>
    </cfRule>
  </conditionalFormatting>
  <conditionalFormatting sqref="Z521">
    <cfRule type="expression" dxfId="27" priority="23">
      <formula>AND(D513&lt;&gt;"",Z521="")</formula>
    </cfRule>
  </conditionalFormatting>
  <conditionalFormatting sqref="Z558">
    <cfRule type="expression" dxfId="26" priority="22">
      <formula>AND(D550&lt;&gt;"",Z558="")</formula>
    </cfRule>
  </conditionalFormatting>
  <conditionalFormatting sqref="Z581">
    <cfRule type="expression" dxfId="25" priority="21">
      <formula>AND(D573&lt;&gt;"",Z581="")</formula>
    </cfRule>
  </conditionalFormatting>
  <conditionalFormatting sqref="K22:P22">
    <cfRule type="expression" dxfId="24" priority="20">
      <formula>D11&lt;&gt;""</formula>
    </cfRule>
  </conditionalFormatting>
  <conditionalFormatting sqref="K45:P45">
    <cfRule type="expression" dxfId="23" priority="19">
      <formula>D34&lt;&gt;""</formula>
    </cfRule>
  </conditionalFormatting>
  <conditionalFormatting sqref="K81:P81">
    <cfRule type="expression" dxfId="22" priority="18">
      <formula>D70&lt;&gt;""</formula>
    </cfRule>
  </conditionalFormatting>
  <conditionalFormatting sqref="K104:P104">
    <cfRule type="expression" dxfId="21" priority="17">
      <formula>D93&lt;&gt;""</formula>
    </cfRule>
  </conditionalFormatting>
  <conditionalFormatting sqref="K141:P141">
    <cfRule type="expression" dxfId="20" priority="16">
      <formula>D130&lt;&gt;""</formula>
    </cfRule>
  </conditionalFormatting>
  <conditionalFormatting sqref="K164:P164">
    <cfRule type="expression" dxfId="19" priority="15">
      <formula>D153&lt;&gt;""</formula>
    </cfRule>
  </conditionalFormatting>
  <conditionalFormatting sqref="K201:P201">
    <cfRule type="expression" dxfId="18" priority="14">
      <formula>D190&lt;&gt;""</formula>
    </cfRule>
  </conditionalFormatting>
  <conditionalFormatting sqref="K224:P224">
    <cfRule type="expression" dxfId="17" priority="13">
      <formula>D213&lt;&gt;""</formula>
    </cfRule>
  </conditionalFormatting>
  <conditionalFormatting sqref="K261:P261">
    <cfRule type="expression" dxfId="16" priority="12">
      <formula>D250&lt;&gt;""</formula>
    </cfRule>
  </conditionalFormatting>
  <conditionalFormatting sqref="K284:P284">
    <cfRule type="expression" dxfId="15" priority="11">
      <formula>D273&lt;&gt;""</formula>
    </cfRule>
  </conditionalFormatting>
  <conditionalFormatting sqref="K321:P321">
    <cfRule type="expression" dxfId="14" priority="10">
      <formula>D310&lt;&gt;""</formula>
    </cfRule>
  </conditionalFormatting>
  <conditionalFormatting sqref="K344:P344">
    <cfRule type="expression" dxfId="13" priority="9">
      <formula>D333&lt;&gt;""</formula>
    </cfRule>
  </conditionalFormatting>
  <conditionalFormatting sqref="K381:P381">
    <cfRule type="expression" dxfId="12" priority="8">
      <formula>D370&lt;&gt;""</formula>
    </cfRule>
  </conditionalFormatting>
  <conditionalFormatting sqref="K404:P404">
    <cfRule type="expression" dxfId="11" priority="7">
      <formula>D393&lt;&gt;""</formula>
    </cfRule>
  </conditionalFormatting>
  <conditionalFormatting sqref="K441:P441">
    <cfRule type="expression" dxfId="10" priority="6">
      <formula>D430&lt;&gt;""</formula>
    </cfRule>
  </conditionalFormatting>
  <conditionalFormatting sqref="K464:P464">
    <cfRule type="expression" dxfId="9" priority="5">
      <formula>D453&lt;&gt;""</formula>
    </cfRule>
  </conditionalFormatting>
  <conditionalFormatting sqref="K501:P501">
    <cfRule type="expression" dxfId="8" priority="4">
      <formula>D490&lt;&gt;""</formula>
    </cfRule>
  </conditionalFormatting>
  <conditionalFormatting sqref="K524:P524">
    <cfRule type="expression" dxfId="7" priority="3">
      <formula>D513&lt;&gt;""</formula>
    </cfRule>
  </conditionalFormatting>
  <conditionalFormatting sqref="K561:P561">
    <cfRule type="expression" dxfId="6" priority="2">
      <formula>D550&lt;&gt;""</formula>
    </cfRule>
  </conditionalFormatting>
  <conditionalFormatting sqref="K584:P584">
    <cfRule type="expression" dxfId="5" priority="1">
      <formula>D573&lt;&gt;""</formula>
    </cfRule>
  </conditionalFormatting>
  <pageMargins left="0.78740157480314965" right="0.59055118110236227" top="0.59055118110236227" bottom="0.59055118110236227" header="0.51181102362204722" footer="0.51181102362204722"/>
  <pageSetup paperSize="9" scale="90" fitToHeight="10" orientation="portrait" r:id="rId1"/>
  <headerFooter alignWithMargins="0"/>
  <rowBreaks count="9" manualBreakCount="9">
    <brk id="65" max="46" man="1"/>
    <brk id="125" max="46" man="1"/>
    <brk id="185" max="46" man="1"/>
    <brk id="245" max="46" man="1"/>
    <brk id="305" max="46" man="1"/>
    <brk id="365" max="46" man="1"/>
    <brk id="425" max="46" man="1"/>
    <brk id="485" max="46" man="1"/>
    <brk id="545" max="46"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プルダウン選択肢!$Z$28:$Z$29</xm:f>
          </x14:formula1>
          <xm:sqref>AK12 AP12 AK551 AK514 AK35 AK71 AK94 AK131 AK154 AK191 AK214 AK251 AK274 AK311 AK334 AK371 AK394 AK431 AK454 AK491 AP514 AP551 AP35 AP71 AP94 AP131 AP154 AP191 AP214 AP251 AP274 AP311 AP334 AP371 AP394 AP431 AP454 AP491 AK574 AP574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fitToPage="1"/>
  </sheetPr>
  <dimension ref="A1:V46"/>
  <sheetViews>
    <sheetView zoomScale="40" zoomScaleNormal="40" workbookViewId="0">
      <selection activeCell="T1" sqref="T1:V1"/>
    </sheetView>
  </sheetViews>
  <sheetFormatPr defaultColWidth="9" defaultRowHeight="13"/>
  <cols>
    <col min="1" max="6" width="9" style="1309"/>
    <col min="7" max="7" width="9.6328125" style="1309" customWidth="1"/>
    <col min="8" max="8" width="9.26953125" style="1309" customWidth="1"/>
    <col min="9" max="9" width="9.36328125" style="931" customWidth="1"/>
    <col min="10" max="11" width="9" style="1309"/>
    <col min="12" max="12" width="9.453125" style="1309" customWidth="1"/>
    <col min="13" max="13" width="9" style="1309"/>
    <col min="14" max="14" width="10.26953125" style="1309" customWidth="1"/>
    <col min="15" max="15" width="8.90625" style="1309" customWidth="1"/>
    <col min="16" max="16" width="10.90625" style="1309" customWidth="1"/>
    <col min="17" max="17" width="10.6328125" style="1309" customWidth="1"/>
    <col min="18" max="18" width="11.26953125" style="1335" customWidth="1"/>
    <col min="19" max="19" width="10" style="1309" customWidth="1"/>
    <col min="20" max="20" width="9.36328125" style="1309" customWidth="1"/>
    <col min="21" max="21" width="8.26953125" style="1309" customWidth="1"/>
    <col min="22" max="22" width="26.08984375" style="1309" customWidth="1"/>
    <col min="23" max="16384" width="9" style="1309"/>
  </cols>
  <sheetData>
    <row r="1" spans="1:22" ht="107.25" customHeight="1">
      <c r="A1" s="1307" t="s">
        <v>2779</v>
      </c>
      <c r="B1" s="1308"/>
      <c r="C1" s="1308"/>
      <c r="D1" s="2691" t="s">
        <v>2991</v>
      </c>
      <c r="E1" s="2691"/>
      <c r="F1" s="2691"/>
      <c r="G1" s="2691"/>
      <c r="H1" s="2691"/>
      <c r="I1" s="2691"/>
      <c r="J1" s="2691"/>
      <c r="K1" s="2691"/>
      <c r="L1" s="2691"/>
      <c r="M1" s="2691"/>
      <c r="N1" s="2691"/>
      <c r="O1" s="2691"/>
      <c r="P1" s="2691"/>
      <c r="Q1" s="2691"/>
      <c r="R1" s="2691"/>
      <c r="S1" s="2691"/>
      <c r="T1" s="2694" t="str">
        <f>HYPERLINK("#'使用方法'!F29:F37","シート一覧へ")</f>
        <v>シート一覧へ</v>
      </c>
      <c r="U1" s="2694"/>
      <c r="V1" s="2694"/>
    </row>
    <row r="2" spans="1:22" ht="22.5" customHeight="1">
      <c r="A2" s="1310" t="s">
        <v>1036</v>
      </c>
      <c r="B2" s="1311" t="s">
        <v>1037</v>
      </c>
      <c r="C2" s="1311"/>
      <c r="D2" s="1311"/>
      <c r="E2" s="1311"/>
      <c r="F2" s="1311"/>
      <c r="G2" s="1311"/>
      <c r="H2" s="1311"/>
      <c r="I2" s="2692" t="s">
        <v>1038</v>
      </c>
      <c r="J2" s="2692"/>
      <c r="K2" s="2692"/>
      <c r="L2" s="1311"/>
      <c r="M2" s="1311"/>
      <c r="N2" s="1311"/>
      <c r="O2" s="1311"/>
      <c r="P2" s="1311"/>
      <c r="Q2" s="1311"/>
      <c r="R2" s="1312"/>
      <c r="S2" s="1671" t="str">
        <f>チェックシート!H3</f>
        <v>Kyoto City(R4.11) ver112</v>
      </c>
      <c r="T2" s="1313" t="str">
        <f>'3_入力シート【写真】'!AP7&amp;'3_入力シート【写真】'!AQ7</f>
        <v/>
      </c>
      <c r="U2" s="1313" t="str">
        <f>IF('3_入力シート【写真】'!AR7="","",TEXT('3_入力シート【写真】'!AR7,"0000"))</f>
        <v/>
      </c>
    </row>
    <row r="3" spans="1:22" ht="22.5" customHeight="1">
      <c r="A3" s="2684" t="s">
        <v>2778</v>
      </c>
      <c r="B3" s="2685"/>
      <c r="C3" s="2685"/>
      <c r="D3" s="2685"/>
      <c r="E3" s="2685"/>
      <c r="F3" s="2685"/>
      <c r="G3" s="2685"/>
      <c r="H3" s="2685"/>
      <c r="I3" s="2685"/>
      <c r="J3" s="2685"/>
      <c r="K3" s="2685"/>
      <c r="L3" s="2685"/>
      <c r="M3" s="2685"/>
      <c r="N3" s="2685"/>
      <c r="O3" s="2685"/>
      <c r="P3" s="2685"/>
      <c r="Q3" s="2686"/>
      <c r="R3" s="1314" t="s">
        <v>31</v>
      </c>
      <c r="S3" s="2693" t="s">
        <v>1007</v>
      </c>
      <c r="T3" s="2693"/>
      <c r="U3" s="2693"/>
    </row>
    <row r="4" spans="1:22" ht="18.75" customHeight="1">
      <c r="A4" s="2687"/>
      <c r="B4" s="2688"/>
      <c r="C4" s="2688"/>
      <c r="D4" s="2688"/>
      <c r="E4" s="2688"/>
      <c r="F4" s="2688"/>
      <c r="G4" s="2688"/>
      <c r="H4" s="2688"/>
      <c r="I4" s="2688"/>
      <c r="J4" s="2688"/>
      <c r="K4" s="2688"/>
      <c r="L4" s="2688"/>
      <c r="M4" s="2688"/>
      <c r="N4" s="2688"/>
      <c r="O4" s="2688"/>
      <c r="P4" s="2688"/>
      <c r="Q4" s="2689"/>
      <c r="R4" s="1314">
        <v>1</v>
      </c>
      <c r="S4" s="2690" t="s">
        <v>34</v>
      </c>
      <c r="T4" s="2690"/>
      <c r="U4" s="2690"/>
    </row>
    <row r="5" spans="1:22" ht="18.75" customHeight="1">
      <c r="A5" s="2687"/>
      <c r="B5" s="2688"/>
      <c r="C5" s="2688"/>
      <c r="D5" s="2688"/>
      <c r="E5" s="2688"/>
      <c r="F5" s="2688"/>
      <c r="G5" s="2688"/>
      <c r="H5" s="2688"/>
      <c r="I5" s="2688"/>
      <c r="J5" s="2688"/>
      <c r="K5" s="2688"/>
      <c r="L5" s="2688"/>
      <c r="M5" s="2688"/>
      <c r="N5" s="2688"/>
      <c r="O5" s="2688"/>
      <c r="P5" s="2688"/>
      <c r="Q5" s="2689"/>
      <c r="R5" s="1315" t="s">
        <v>1039</v>
      </c>
      <c r="S5" s="2680" t="s">
        <v>1040</v>
      </c>
      <c r="T5" s="2680"/>
      <c r="U5" s="2680"/>
    </row>
    <row r="6" spans="1:22" ht="18.75" customHeight="1">
      <c r="A6" s="2687"/>
      <c r="B6" s="2688"/>
      <c r="C6" s="2688"/>
      <c r="D6" s="2688"/>
      <c r="E6" s="2688"/>
      <c r="F6" s="2688"/>
      <c r="G6" s="2688"/>
      <c r="H6" s="2688"/>
      <c r="I6" s="2688"/>
      <c r="J6" s="2688"/>
      <c r="K6" s="2688"/>
      <c r="L6" s="2688"/>
      <c r="M6" s="2688"/>
      <c r="N6" s="2688"/>
      <c r="O6" s="2688"/>
      <c r="P6" s="2688"/>
      <c r="Q6" s="2689"/>
      <c r="R6" s="1315" t="s">
        <v>1041</v>
      </c>
      <c r="S6" s="2680" t="s">
        <v>1042</v>
      </c>
      <c r="T6" s="2680"/>
      <c r="U6" s="2680"/>
    </row>
    <row r="7" spans="1:22" ht="18.75" customHeight="1">
      <c r="A7" s="2687"/>
      <c r="B7" s="2688"/>
      <c r="C7" s="2688"/>
      <c r="D7" s="2688"/>
      <c r="E7" s="2688"/>
      <c r="F7" s="2688"/>
      <c r="G7" s="2688"/>
      <c r="H7" s="2688"/>
      <c r="I7" s="2688"/>
      <c r="J7" s="2688"/>
      <c r="K7" s="2688"/>
      <c r="L7" s="2688"/>
      <c r="M7" s="2688"/>
      <c r="N7" s="2688"/>
      <c r="O7" s="2688"/>
      <c r="P7" s="2688"/>
      <c r="Q7" s="2689"/>
      <c r="R7" s="1316" t="s">
        <v>1043</v>
      </c>
      <c r="S7" s="2680" t="s">
        <v>1044</v>
      </c>
      <c r="T7" s="2680"/>
      <c r="U7" s="2680"/>
    </row>
    <row r="8" spans="1:22" ht="18.75" customHeight="1">
      <c r="A8" s="2687"/>
      <c r="B8" s="2688"/>
      <c r="C8" s="2688"/>
      <c r="D8" s="2688"/>
      <c r="E8" s="2688"/>
      <c r="F8" s="2688"/>
      <c r="G8" s="2688"/>
      <c r="H8" s="2688"/>
      <c r="I8" s="2688"/>
      <c r="J8" s="2688"/>
      <c r="K8" s="2688"/>
      <c r="L8" s="2688"/>
      <c r="M8" s="2688"/>
      <c r="N8" s="2688"/>
      <c r="O8" s="2688"/>
      <c r="P8" s="2688"/>
      <c r="Q8" s="2689"/>
      <c r="R8" s="1316" t="s">
        <v>1045</v>
      </c>
      <c r="S8" s="2680" t="s">
        <v>1046</v>
      </c>
      <c r="T8" s="2680"/>
      <c r="U8" s="2680"/>
    </row>
    <row r="9" spans="1:22" ht="18.75" customHeight="1">
      <c r="A9" s="2687"/>
      <c r="B9" s="2688"/>
      <c r="C9" s="2688"/>
      <c r="D9" s="2688"/>
      <c r="E9" s="2688"/>
      <c r="F9" s="2688"/>
      <c r="G9" s="2688"/>
      <c r="H9" s="2688"/>
      <c r="I9" s="2688"/>
      <c r="J9" s="2688"/>
      <c r="K9" s="2688"/>
      <c r="L9" s="2688"/>
      <c r="M9" s="2688"/>
      <c r="N9" s="2688"/>
      <c r="O9" s="2688"/>
      <c r="P9" s="2688"/>
      <c r="Q9" s="2689"/>
      <c r="R9" s="1316" t="s">
        <v>1047</v>
      </c>
      <c r="S9" s="2680" t="s">
        <v>1048</v>
      </c>
      <c r="T9" s="2680"/>
      <c r="U9" s="2680"/>
    </row>
    <row r="10" spans="1:22" ht="18.75" customHeight="1">
      <c r="A10" s="2687"/>
      <c r="B10" s="2688"/>
      <c r="C10" s="2688"/>
      <c r="D10" s="2688"/>
      <c r="E10" s="2688"/>
      <c r="F10" s="2688"/>
      <c r="G10" s="2688"/>
      <c r="H10" s="2688"/>
      <c r="I10" s="2688"/>
      <c r="J10" s="2688"/>
      <c r="K10" s="2688"/>
      <c r="L10" s="2688"/>
      <c r="M10" s="2688"/>
      <c r="N10" s="2688"/>
      <c r="O10" s="2688"/>
      <c r="P10" s="2688"/>
      <c r="Q10" s="2689"/>
      <c r="R10" s="1314">
        <v>2</v>
      </c>
      <c r="S10" s="2690" t="s">
        <v>49</v>
      </c>
      <c r="T10" s="2690"/>
      <c r="U10" s="2690"/>
    </row>
    <row r="11" spans="1:22" ht="18.75" customHeight="1">
      <c r="A11" s="2687"/>
      <c r="B11" s="2688"/>
      <c r="C11" s="2688"/>
      <c r="D11" s="2688"/>
      <c r="E11" s="2688"/>
      <c r="F11" s="2688"/>
      <c r="G11" s="2688"/>
      <c r="H11" s="2688"/>
      <c r="I11" s="2688"/>
      <c r="J11" s="2688"/>
      <c r="K11" s="2688"/>
      <c r="L11" s="2688"/>
      <c r="M11" s="2688"/>
      <c r="N11" s="2688"/>
      <c r="O11" s="2688"/>
      <c r="P11" s="2688"/>
      <c r="Q11" s="2689"/>
      <c r="R11" s="1316" t="s">
        <v>1049</v>
      </c>
      <c r="S11" s="2680" t="s">
        <v>50</v>
      </c>
      <c r="T11" s="2680"/>
      <c r="U11" s="2680"/>
    </row>
    <row r="12" spans="1:22" ht="18.75" customHeight="1">
      <c r="A12" s="2687"/>
      <c r="B12" s="2688"/>
      <c r="C12" s="2688"/>
      <c r="D12" s="2688"/>
      <c r="E12" s="2688"/>
      <c r="F12" s="2688"/>
      <c r="G12" s="2688"/>
      <c r="H12" s="2688"/>
      <c r="I12" s="2688"/>
      <c r="J12" s="2688"/>
      <c r="K12" s="2688"/>
      <c r="L12" s="2688"/>
      <c r="M12" s="2688"/>
      <c r="N12" s="2688"/>
      <c r="O12" s="2688"/>
      <c r="P12" s="2688"/>
      <c r="Q12" s="2689"/>
      <c r="R12" s="1316" t="s">
        <v>1050</v>
      </c>
      <c r="S12" s="2680" t="s">
        <v>174</v>
      </c>
      <c r="T12" s="2680"/>
      <c r="U12" s="2680"/>
    </row>
    <row r="13" spans="1:22" ht="18.75" customHeight="1">
      <c r="A13" s="2687"/>
      <c r="B13" s="2688"/>
      <c r="C13" s="2688"/>
      <c r="D13" s="2688"/>
      <c r="E13" s="2688"/>
      <c r="F13" s="2688"/>
      <c r="G13" s="2688"/>
      <c r="H13" s="2688"/>
      <c r="I13" s="2688"/>
      <c r="J13" s="2688"/>
      <c r="K13" s="2688"/>
      <c r="L13" s="2688"/>
      <c r="M13" s="2688"/>
      <c r="N13" s="2688"/>
      <c r="O13" s="2688"/>
      <c r="P13" s="2688"/>
      <c r="Q13" s="2689"/>
      <c r="R13" s="1316" t="s">
        <v>1051</v>
      </c>
      <c r="S13" s="2680" t="s">
        <v>1052</v>
      </c>
      <c r="T13" s="2680"/>
      <c r="U13" s="2680"/>
    </row>
    <row r="14" spans="1:22" ht="18.75" customHeight="1">
      <c r="A14" s="2687"/>
      <c r="B14" s="2688"/>
      <c r="C14" s="2688"/>
      <c r="D14" s="2688"/>
      <c r="E14" s="2688"/>
      <c r="F14" s="2688"/>
      <c r="G14" s="2688"/>
      <c r="H14" s="2688"/>
      <c r="I14" s="2688"/>
      <c r="J14" s="2688"/>
      <c r="K14" s="2688"/>
      <c r="L14" s="2688"/>
      <c r="M14" s="2688"/>
      <c r="N14" s="2688"/>
      <c r="O14" s="2688"/>
      <c r="P14" s="2688"/>
      <c r="Q14" s="2689"/>
      <c r="R14" s="1314">
        <v>3</v>
      </c>
      <c r="S14" s="2690" t="s">
        <v>72</v>
      </c>
      <c r="T14" s="2690"/>
      <c r="U14" s="2690"/>
    </row>
    <row r="15" spans="1:22" ht="18.75" customHeight="1">
      <c r="A15" s="2687"/>
      <c r="B15" s="2688"/>
      <c r="C15" s="2688"/>
      <c r="D15" s="2688"/>
      <c r="E15" s="2688"/>
      <c r="F15" s="2688"/>
      <c r="G15" s="2688"/>
      <c r="H15" s="2688"/>
      <c r="I15" s="2688"/>
      <c r="J15" s="2688"/>
      <c r="K15" s="2688"/>
      <c r="L15" s="2688"/>
      <c r="M15" s="2688"/>
      <c r="N15" s="2688"/>
      <c r="O15" s="2688"/>
      <c r="P15" s="2688"/>
      <c r="Q15" s="2689"/>
      <c r="R15" s="1315" t="s">
        <v>1039</v>
      </c>
      <c r="S15" s="2680" t="s">
        <v>1053</v>
      </c>
      <c r="T15" s="2680"/>
      <c r="U15" s="2680"/>
    </row>
    <row r="16" spans="1:22" ht="18.75" customHeight="1">
      <c r="A16" s="2687"/>
      <c r="B16" s="2688"/>
      <c r="C16" s="2688"/>
      <c r="D16" s="2688"/>
      <c r="E16" s="2688"/>
      <c r="F16" s="2688"/>
      <c r="G16" s="2688"/>
      <c r="H16" s="2688"/>
      <c r="I16" s="2688"/>
      <c r="J16" s="2688"/>
      <c r="K16" s="2688"/>
      <c r="L16" s="2688"/>
      <c r="M16" s="2688"/>
      <c r="N16" s="2688"/>
      <c r="O16" s="2688"/>
      <c r="P16" s="2688"/>
      <c r="Q16" s="2689"/>
      <c r="R16" s="1316" t="s">
        <v>1054</v>
      </c>
      <c r="S16" s="2680" t="s">
        <v>1055</v>
      </c>
      <c r="T16" s="2680"/>
      <c r="U16" s="2680"/>
    </row>
    <row r="17" spans="1:21" ht="18.75" customHeight="1">
      <c r="A17" s="2687"/>
      <c r="B17" s="2688"/>
      <c r="C17" s="2688"/>
      <c r="D17" s="2688"/>
      <c r="E17" s="2688"/>
      <c r="F17" s="2688"/>
      <c r="G17" s="2688"/>
      <c r="H17" s="2688"/>
      <c r="I17" s="2688"/>
      <c r="J17" s="2688"/>
      <c r="K17" s="2688"/>
      <c r="L17" s="2688"/>
      <c r="M17" s="2688"/>
      <c r="N17" s="2688"/>
      <c r="O17" s="2688"/>
      <c r="P17" s="2688"/>
      <c r="Q17" s="2689"/>
      <c r="R17" s="1316" t="s">
        <v>1045</v>
      </c>
      <c r="S17" s="2680" t="s">
        <v>175</v>
      </c>
      <c r="T17" s="2680"/>
      <c r="U17" s="2680"/>
    </row>
    <row r="18" spans="1:21" ht="18.75" customHeight="1">
      <c r="A18" s="2687"/>
      <c r="B18" s="2688"/>
      <c r="C18" s="2688"/>
      <c r="D18" s="2688"/>
      <c r="E18" s="2688"/>
      <c r="F18" s="2688"/>
      <c r="G18" s="2688"/>
      <c r="H18" s="2688"/>
      <c r="I18" s="2688"/>
      <c r="J18" s="2688"/>
      <c r="K18" s="2688"/>
      <c r="L18" s="2688"/>
      <c r="M18" s="2688"/>
      <c r="N18" s="2688"/>
      <c r="O18" s="2688"/>
      <c r="P18" s="2688"/>
      <c r="Q18" s="2689"/>
      <c r="R18" s="1316" t="s">
        <v>1047</v>
      </c>
      <c r="S18" s="2680" t="s">
        <v>1056</v>
      </c>
      <c r="T18" s="2680"/>
      <c r="U18" s="2680"/>
    </row>
    <row r="19" spans="1:21" ht="18.75" customHeight="1">
      <c r="A19" s="2687"/>
      <c r="B19" s="2688"/>
      <c r="C19" s="2688"/>
      <c r="D19" s="2688"/>
      <c r="E19" s="2688"/>
      <c r="F19" s="2688"/>
      <c r="G19" s="2688"/>
      <c r="H19" s="2688"/>
      <c r="I19" s="2688"/>
      <c r="J19" s="2688"/>
      <c r="K19" s="2688"/>
      <c r="L19" s="2688"/>
      <c r="M19" s="2688"/>
      <c r="N19" s="2688"/>
      <c r="O19" s="2688"/>
      <c r="P19" s="2688"/>
      <c r="Q19" s="2689"/>
      <c r="R19" s="1314">
        <v>4</v>
      </c>
      <c r="S19" s="2690" t="s">
        <v>1057</v>
      </c>
      <c r="T19" s="2690"/>
      <c r="U19" s="2690"/>
    </row>
    <row r="20" spans="1:21" ht="18.75" customHeight="1">
      <c r="A20" s="2687"/>
      <c r="B20" s="2688"/>
      <c r="C20" s="2688"/>
      <c r="D20" s="2688"/>
      <c r="E20" s="2688"/>
      <c r="F20" s="2688"/>
      <c r="G20" s="2688"/>
      <c r="H20" s="2688"/>
      <c r="I20" s="2688"/>
      <c r="J20" s="2688"/>
      <c r="K20" s="2688"/>
      <c r="L20" s="2688"/>
      <c r="M20" s="2688"/>
      <c r="N20" s="2688"/>
      <c r="O20" s="2688"/>
      <c r="P20" s="2688"/>
      <c r="Q20" s="2689"/>
      <c r="R20" s="1316" t="s">
        <v>1058</v>
      </c>
      <c r="S20" s="2680" t="s">
        <v>82</v>
      </c>
      <c r="T20" s="2680"/>
      <c r="U20" s="2680"/>
    </row>
    <row r="21" spans="1:21" ht="18.75" customHeight="1">
      <c r="A21" s="2687"/>
      <c r="B21" s="2688"/>
      <c r="C21" s="2688"/>
      <c r="D21" s="2688"/>
      <c r="E21" s="2688"/>
      <c r="F21" s="2688"/>
      <c r="G21" s="2688"/>
      <c r="H21" s="2688"/>
      <c r="I21" s="2688"/>
      <c r="J21" s="2688"/>
      <c r="K21" s="2688"/>
      <c r="L21" s="2688"/>
      <c r="M21" s="2688"/>
      <c r="N21" s="2688"/>
      <c r="O21" s="2688"/>
      <c r="P21" s="2688"/>
      <c r="Q21" s="2689"/>
      <c r="R21" s="1316" t="s">
        <v>1059</v>
      </c>
      <c r="S21" s="2680" t="s">
        <v>1060</v>
      </c>
      <c r="T21" s="2680"/>
      <c r="U21" s="2680"/>
    </row>
    <row r="22" spans="1:21" ht="18.75" customHeight="1">
      <c r="A22" s="2687"/>
      <c r="B22" s="2688"/>
      <c r="C22" s="2688"/>
      <c r="D22" s="2688"/>
      <c r="E22" s="2688"/>
      <c r="F22" s="2688"/>
      <c r="G22" s="2688"/>
      <c r="H22" s="2688"/>
      <c r="I22" s="2688"/>
      <c r="J22" s="2688"/>
      <c r="K22" s="2688"/>
      <c r="L22" s="2688"/>
      <c r="M22" s="2688"/>
      <c r="N22" s="2688"/>
      <c r="O22" s="2688"/>
      <c r="P22" s="2688"/>
      <c r="Q22" s="2689"/>
      <c r="R22" s="1316" t="s">
        <v>1061</v>
      </c>
      <c r="S22" s="2680" t="s">
        <v>19</v>
      </c>
      <c r="T22" s="2680"/>
      <c r="U22" s="2680"/>
    </row>
    <row r="23" spans="1:21" ht="18.75" customHeight="1">
      <c r="A23" s="2687"/>
      <c r="B23" s="2688"/>
      <c r="C23" s="2688"/>
      <c r="D23" s="2688"/>
      <c r="E23" s="2688"/>
      <c r="F23" s="2688"/>
      <c r="G23" s="2688"/>
      <c r="H23" s="2688"/>
      <c r="I23" s="2688"/>
      <c r="J23" s="2688"/>
      <c r="K23" s="2688"/>
      <c r="L23" s="2688"/>
      <c r="M23" s="2688"/>
      <c r="N23" s="2688"/>
      <c r="O23" s="2688"/>
      <c r="P23" s="2688"/>
      <c r="Q23" s="2689"/>
      <c r="R23" s="1316" t="s">
        <v>1062</v>
      </c>
      <c r="S23" s="2680" t="s">
        <v>100</v>
      </c>
      <c r="T23" s="2680"/>
      <c r="U23" s="2680"/>
    </row>
    <row r="24" spans="1:21" ht="18.75" customHeight="1">
      <c r="A24" s="2687"/>
      <c r="B24" s="2688"/>
      <c r="C24" s="2688"/>
      <c r="D24" s="2688"/>
      <c r="E24" s="2688"/>
      <c r="F24" s="2688"/>
      <c r="G24" s="2688"/>
      <c r="H24" s="2688"/>
      <c r="I24" s="2688"/>
      <c r="J24" s="2688"/>
      <c r="K24" s="2688"/>
      <c r="L24" s="2688"/>
      <c r="M24" s="2688"/>
      <c r="N24" s="2688"/>
      <c r="O24" s="2688"/>
      <c r="P24" s="2688"/>
      <c r="Q24" s="2689"/>
      <c r="R24" s="1316" t="s">
        <v>1063</v>
      </c>
      <c r="S24" s="2680" t="s">
        <v>1064</v>
      </c>
      <c r="T24" s="2680"/>
      <c r="U24" s="2680"/>
    </row>
    <row r="25" spans="1:21" ht="18.75" customHeight="1">
      <c r="A25" s="2687"/>
      <c r="B25" s="2688"/>
      <c r="C25" s="2688"/>
      <c r="D25" s="2688"/>
      <c r="E25" s="2688"/>
      <c r="F25" s="2688"/>
      <c r="G25" s="2688"/>
      <c r="H25" s="2688"/>
      <c r="I25" s="2688"/>
      <c r="J25" s="2688"/>
      <c r="K25" s="2688"/>
      <c r="L25" s="2688"/>
      <c r="M25" s="2688"/>
      <c r="N25" s="2688"/>
      <c r="O25" s="2688"/>
      <c r="P25" s="2688"/>
      <c r="Q25" s="2689"/>
      <c r="R25" s="1316" t="s">
        <v>1065</v>
      </c>
      <c r="S25" s="2680" t="s">
        <v>1066</v>
      </c>
      <c r="T25" s="2680"/>
      <c r="U25" s="2680"/>
    </row>
    <row r="26" spans="1:21" ht="18.75" customHeight="1">
      <c r="A26" s="2687"/>
      <c r="B26" s="2688"/>
      <c r="C26" s="2688"/>
      <c r="D26" s="2688"/>
      <c r="E26" s="2688"/>
      <c r="F26" s="2688"/>
      <c r="G26" s="2688"/>
      <c r="H26" s="2688"/>
      <c r="I26" s="2688"/>
      <c r="J26" s="2688"/>
      <c r="K26" s="2688"/>
      <c r="L26" s="2688"/>
      <c r="M26" s="2688"/>
      <c r="N26" s="2688"/>
      <c r="O26" s="2688"/>
      <c r="P26" s="2688"/>
      <c r="Q26" s="2689"/>
      <c r="R26" s="1316" t="s">
        <v>1129</v>
      </c>
      <c r="S26" s="2680" t="s">
        <v>1130</v>
      </c>
      <c r="T26" s="2680"/>
      <c r="U26" s="2680"/>
    </row>
    <row r="27" spans="1:21" ht="18.75" customHeight="1">
      <c r="A27" s="2687"/>
      <c r="B27" s="2688"/>
      <c r="C27" s="2688"/>
      <c r="D27" s="2688"/>
      <c r="E27" s="2688"/>
      <c r="F27" s="2688"/>
      <c r="G27" s="2688"/>
      <c r="H27" s="2688"/>
      <c r="I27" s="2688"/>
      <c r="J27" s="2688"/>
      <c r="K27" s="2688"/>
      <c r="L27" s="2688"/>
      <c r="M27" s="2688"/>
      <c r="N27" s="2688"/>
      <c r="O27" s="2688"/>
      <c r="P27" s="2688"/>
      <c r="Q27" s="2689"/>
      <c r="R27" s="1316" t="s">
        <v>1131</v>
      </c>
      <c r="S27" s="2680" t="s">
        <v>1067</v>
      </c>
      <c r="T27" s="2680"/>
      <c r="U27" s="2680"/>
    </row>
    <row r="28" spans="1:21" ht="18.75" customHeight="1">
      <c r="A28" s="2687"/>
      <c r="B28" s="2688"/>
      <c r="C28" s="2688"/>
      <c r="D28" s="2688"/>
      <c r="E28" s="2688"/>
      <c r="F28" s="2688"/>
      <c r="G28" s="2688"/>
      <c r="H28" s="2688"/>
      <c r="I28" s="2688"/>
      <c r="J28" s="2688"/>
      <c r="K28" s="2688"/>
      <c r="L28" s="2688"/>
      <c r="M28" s="2688"/>
      <c r="N28" s="2688"/>
      <c r="O28" s="2688"/>
      <c r="P28" s="2688"/>
      <c r="Q28" s="2689"/>
      <c r="R28" s="1316" t="s">
        <v>1132</v>
      </c>
      <c r="S28" s="1317" t="s">
        <v>1068</v>
      </c>
      <c r="T28" s="1317"/>
      <c r="U28" s="1318"/>
    </row>
    <row r="29" spans="1:21" ht="18.75" customHeight="1">
      <c r="A29" s="2687"/>
      <c r="B29" s="2688"/>
      <c r="C29" s="2688"/>
      <c r="D29" s="2688"/>
      <c r="E29" s="2688"/>
      <c r="F29" s="2688"/>
      <c r="G29" s="2688"/>
      <c r="H29" s="2688"/>
      <c r="I29" s="2688"/>
      <c r="J29" s="2688"/>
      <c r="K29" s="2688"/>
      <c r="L29" s="2688"/>
      <c r="M29" s="2688"/>
      <c r="N29" s="2688"/>
      <c r="O29" s="2688"/>
      <c r="P29" s="2688"/>
      <c r="Q29" s="2689"/>
      <c r="R29" s="1319">
        <v>5</v>
      </c>
      <c r="S29" s="1320" t="s">
        <v>1069</v>
      </c>
      <c r="T29" s="1321"/>
      <c r="U29" s="1322"/>
    </row>
    <row r="30" spans="1:21" ht="18.75" customHeight="1">
      <c r="A30" s="2687"/>
      <c r="B30" s="2688"/>
      <c r="C30" s="2688"/>
      <c r="D30" s="2688"/>
      <c r="E30" s="2688"/>
      <c r="F30" s="2688"/>
      <c r="G30" s="2688"/>
      <c r="H30" s="2688"/>
      <c r="I30" s="2688"/>
      <c r="J30" s="2688"/>
      <c r="K30" s="2688"/>
      <c r="L30" s="2688"/>
      <c r="M30" s="2688"/>
      <c r="N30" s="2688"/>
      <c r="O30" s="2688"/>
      <c r="P30" s="2688"/>
      <c r="Q30" s="2689"/>
      <c r="R30" s="1323" t="s">
        <v>1039</v>
      </c>
      <c r="S30" s="1324" t="s">
        <v>1070</v>
      </c>
      <c r="T30" s="1325"/>
      <c r="U30" s="1326"/>
    </row>
    <row r="31" spans="1:21" ht="18.75" customHeight="1">
      <c r="A31" s="2687"/>
      <c r="B31" s="2688"/>
      <c r="C31" s="2688"/>
      <c r="D31" s="2688"/>
      <c r="E31" s="2688"/>
      <c r="F31" s="2688"/>
      <c r="G31" s="2688"/>
      <c r="H31" s="2688"/>
      <c r="I31" s="2688"/>
      <c r="J31" s="2688"/>
      <c r="K31" s="2688"/>
      <c r="L31" s="2688"/>
      <c r="M31" s="2688"/>
      <c r="N31" s="2688"/>
      <c r="O31" s="2688"/>
      <c r="P31" s="2688"/>
      <c r="Q31" s="2689"/>
      <c r="R31" s="1327" t="s">
        <v>1071</v>
      </c>
      <c r="S31" s="1324" t="s">
        <v>114</v>
      </c>
      <c r="T31" s="1325"/>
      <c r="U31" s="1326"/>
    </row>
    <row r="32" spans="1:21" ht="18.75" customHeight="1">
      <c r="A32" s="2687"/>
      <c r="B32" s="2688"/>
      <c r="C32" s="2688"/>
      <c r="D32" s="2688"/>
      <c r="E32" s="2688"/>
      <c r="F32" s="2688"/>
      <c r="G32" s="2688"/>
      <c r="H32" s="2688"/>
      <c r="I32" s="2688"/>
      <c r="J32" s="2688"/>
      <c r="K32" s="2688"/>
      <c r="L32" s="2688"/>
      <c r="M32" s="2688"/>
      <c r="N32" s="2688"/>
      <c r="O32" s="2688"/>
      <c r="P32" s="2688"/>
      <c r="Q32" s="2689"/>
      <c r="R32" s="1327" t="s">
        <v>1072</v>
      </c>
      <c r="S32" s="1324" t="s">
        <v>1073</v>
      </c>
      <c r="T32" s="1325"/>
      <c r="U32" s="1326"/>
    </row>
    <row r="33" spans="1:21" ht="18.75" customHeight="1">
      <c r="A33" s="2687"/>
      <c r="B33" s="2688"/>
      <c r="C33" s="2688"/>
      <c r="D33" s="2688"/>
      <c r="E33" s="2688"/>
      <c r="F33" s="2688"/>
      <c r="G33" s="2688"/>
      <c r="H33" s="2688"/>
      <c r="I33" s="2688"/>
      <c r="J33" s="2688"/>
      <c r="K33" s="2688"/>
      <c r="L33" s="2688"/>
      <c r="M33" s="2688"/>
      <c r="N33" s="2688"/>
      <c r="O33" s="2688"/>
      <c r="P33" s="2688"/>
      <c r="Q33" s="2689"/>
      <c r="R33" s="1323" t="s">
        <v>1074</v>
      </c>
      <c r="S33" s="1324" t="s">
        <v>118</v>
      </c>
      <c r="T33" s="1325"/>
      <c r="U33" s="1326"/>
    </row>
    <row r="34" spans="1:21" ht="18.75" customHeight="1">
      <c r="A34" s="2687"/>
      <c r="B34" s="2688"/>
      <c r="C34" s="2688"/>
      <c r="D34" s="2688"/>
      <c r="E34" s="2688"/>
      <c r="F34" s="2688"/>
      <c r="G34" s="2688"/>
      <c r="H34" s="2688"/>
      <c r="I34" s="2688"/>
      <c r="J34" s="2688"/>
      <c r="K34" s="2688"/>
      <c r="L34" s="2688"/>
      <c r="M34" s="2688"/>
      <c r="N34" s="2688"/>
      <c r="O34" s="2688"/>
      <c r="P34" s="2688"/>
      <c r="Q34" s="2689"/>
      <c r="R34" s="1327" t="s">
        <v>1075</v>
      </c>
      <c r="S34" s="1324" t="s">
        <v>1076</v>
      </c>
      <c r="T34" s="1325"/>
      <c r="U34" s="1326"/>
    </row>
    <row r="35" spans="1:21" ht="18.75" customHeight="1">
      <c r="A35" s="2687"/>
      <c r="B35" s="2688"/>
      <c r="C35" s="2688"/>
      <c r="D35" s="2688"/>
      <c r="E35" s="2688"/>
      <c r="F35" s="2688"/>
      <c r="G35" s="2688"/>
      <c r="H35" s="2688"/>
      <c r="I35" s="2688"/>
      <c r="J35" s="2688"/>
      <c r="K35" s="2688"/>
      <c r="L35" s="2688"/>
      <c r="M35" s="2688"/>
      <c r="N35" s="2688"/>
      <c r="O35" s="2688"/>
      <c r="P35" s="2688"/>
      <c r="Q35" s="2689"/>
      <c r="R35" s="1327" t="s">
        <v>1077</v>
      </c>
      <c r="S35" s="1324" t="s">
        <v>124</v>
      </c>
      <c r="T35" s="1325"/>
      <c r="U35" s="1326"/>
    </row>
    <row r="36" spans="1:21" ht="18.75" customHeight="1">
      <c r="A36" s="2687"/>
      <c r="B36" s="2688"/>
      <c r="C36" s="2688"/>
      <c r="D36" s="2688"/>
      <c r="E36" s="2688"/>
      <c r="F36" s="2688"/>
      <c r="G36" s="2688"/>
      <c r="H36" s="2688"/>
      <c r="I36" s="2688"/>
      <c r="J36" s="2688"/>
      <c r="K36" s="2688"/>
      <c r="L36" s="2688"/>
      <c r="M36" s="2688"/>
      <c r="N36" s="2688"/>
      <c r="O36" s="2688"/>
      <c r="P36" s="2688"/>
      <c r="Q36" s="2689"/>
      <c r="R36" s="1327" t="s">
        <v>1078</v>
      </c>
      <c r="S36" s="1324" t="s">
        <v>1079</v>
      </c>
      <c r="T36" s="1325"/>
      <c r="U36" s="1326"/>
    </row>
    <row r="37" spans="1:21" ht="18.75" customHeight="1">
      <c r="A37" s="2687"/>
      <c r="B37" s="2688"/>
      <c r="C37" s="2688"/>
      <c r="D37" s="2688"/>
      <c r="E37" s="2688"/>
      <c r="F37" s="2688"/>
      <c r="G37" s="2688"/>
      <c r="H37" s="2688"/>
      <c r="I37" s="2688"/>
      <c r="J37" s="2688"/>
      <c r="K37" s="2688"/>
      <c r="L37" s="2688"/>
      <c r="M37" s="2688"/>
      <c r="N37" s="2688"/>
      <c r="O37" s="2688"/>
      <c r="P37" s="2688"/>
      <c r="Q37" s="2689"/>
      <c r="R37" s="1327" t="s">
        <v>1080</v>
      </c>
      <c r="S37" s="1324" t="s">
        <v>1081</v>
      </c>
      <c r="T37" s="1325"/>
      <c r="U37" s="1326"/>
    </row>
    <row r="38" spans="1:21" ht="18.75" customHeight="1">
      <c r="A38" s="2687"/>
      <c r="B38" s="2688"/>
      <c r="C38" s="2688"/>
      <c r="D38" s="2688"/>
      <c r="E38" s="2688"/>
      <c r="F38" s="2688"/>
      <c r="G38" s="2688"/>
      <c r="H38" s="2688"/>
      <c r="I38" s="2688"/>
      <c r="J38" s="2688"/>
      <c r="K38" s="2688"/>
      <c r="L38" s="2688"/>
      <c r="M38" s="2688"/>
      <c r="N38" s="2688"/>
      <c r="O38" s="2688"/>
      <c r="P38" s="2688"/>
      <c r="Q38" s="2689"/>
      <c r="R38" s="1319">
        <v>6</v>
      </c>
      <c r="S38" s="1320" t="s">
        <v>144</v>
      </c>
      <c r="T38" s="1321"/>
      <c r="U38" s="1322"/>
    </row>
    <row r="39" spans="1:21" ht="18.75" customHeight="1">
      <c r="A39" s="2687"/>
      <c r="B39" s="2688"/>
      <c r="C39" s="2688"/>
      <c r="D39" s="2688"/>
      <c r="E39" s="2688"/>
      <c r="F39" s="2688"/>
      <c r="G39" s="2688"/>
      <c r="H39" s="2688"/>
      <c r="I39" s="2688"/>
      <c r="J39" s="2688"/>
      <c r="K39" s="2688"/>
      <c r="L39" s="2688"/>
      <c r="M39" s="2688"/>
      <c r="N39" s="2688"/>
      <c r="O39" s="2688"/>
      <c r="P39" s="2688"/>
      <c r="Q39" s="2689"/>
      <c r="R39" s="1327" t="s">
        <v>1082</v>
      </c>
      <c r="S39" s="1328" t="s">
        <v>1083</v>
      </c>
      <c r="T39" s="1317"/>
      <c r="U39" s="1318"/>
    </row>
    <row r="40" spans="1:21" ht="18.75" customHeight="1">
      <c r="A40" s="2687"/>
      <c r="B40" s="2688"/>
      <c r="C40" s="2688"/>
      <c r="D40" s="2688"/>
      <c r="E40" s="2688"/>
      <c r="F40" s="2688"/>
      <c r="G40" s="2688"/>
      <c r="H40" s="2688"/>
      <c r="I40" s="2688"/>
      <c r="J40" s="2688"/>
      <c r="K40" s="2688"/>
      <c r="L40" s="2688"/>
      <c r="M40" s="2688"/>
      <c r="N40" s="2688"/>
      <c r="O40" s="2688"/>
      <c r="P40" s="2688"/>
      <c r="Q40" s="2689"/>
      <c r="R40" s="1323" t="s">
        <v>1084</v>
      </c>
      <c r="S40" s="1328" t="s">
        <v>148</v>
      </c>
      <c r="T40" s="1317"/>
      <c r="U40" s="1318"/>
    </row>
    <row r="41" spans="1:21" ht="18.75" customHeight="1">
      <c r="A41" s="2687"/>
      <c r="B41" s="2688"/>
      <c r="C41" s="2688"/>
      <c r="D41" s="2688"/>
      <c r="E41" s="2688"/>
      <c r="F41" s="2688"/>
      <c r="G41" s="2688"/>
      <c r="H41" s="2688"/>
      <c r="I41" s="2688"/>
      <c r="J41" s="2688"/>
      <c r="K41" s="2688"/>
      <c r="L41" s="2688"/>
      <c r="M41" s="2688"/>
      <c r="N41" s="2688"/>
      <c r="O41" s="2688"/>
      <c r="P41" s="2688"/>
      <c r="Q41" s="2689"/>
      <c r="R41" s="1327" t="s">
        <v>1085</v>
      </c>
      <c r="S41" s="1328" t="s">
        <v>150</v>
      </c>
      <c r="T41" s="1317"/>
      <c r="U41" s="1318"/>
    </row>
    <row r="42" spans="1:21" ht="18.75" customHeight="1">
      <c r="A42" s="2687"/>
      <c r="B42" s="2688"/>
      <c r="C42" s="2688"/>
      <c r="D42" s="2688"/>
      <c r="E42" s="2688"/>
      <c r="F42" s="2688"/>
      <c r="G42" s="2688"/>
      <c r="H42" s="2688"/>
      <c r="I42" s="2688"/>
      <c r="J42" s="2688"/>
      <c r="K42" s="2688"/>
      <c r="L42" s="2688"/>
      <c r="M42" s="2688"/>
      <c r="N42" s="2688"/>
      <c r="O42" s="2688"/>
      <c r="P42" s="2688"/>
      <c r="Q42" s="2689"/>
      <c r="R42" s="1319">
        <v>7</v>
      </c>
      <c r="S42" s="1329" t="s">
        <v>155</v>
      </c>
      <c r="T42" s="1330"/>
      <c r="U42" s="1331"/>
    </row>
    <row r="43" spans="1:21" ht="18.75" customHeight="1">
      <c r="A43" s="2687"/>
      <c r="B43" s="2688"/>
      <c r="C43" s="2688"/>
      <c r="D43" s="2688"/>
      <c r="E43" s="2688"/>
      <c r="F43" s="2688"/>
      <c r="G43" s="2688"/>
      <c r="H43" s="2688"/>
      <c r="I43" s="2688"/>
      <c r="J43" s="2688"/>
      <c r="K43" s="2688"/>
      <c r="L43" s="2688"/>
      <c r="M43" s="2688"/>
      <c r="N43" s="2688"/>
      <c r="O43" s="2688"/>
      <c r="P43" s="2688"/>
      <c r="Q43" s="2689"/>
      <c r="R43" s="1313"/>
      <c r="S43" s="2681"/>
      <c r="T43" s="2681"/>
      <c r="U43" s="2681"/>
    </row>
    <row r="44" spans="1:21" ht="18.75" customHeight="1">
      <c r="A44" s="2687"/>
      <c r="B44" s="2688"/>
      <c r="C44" s="2688"/>
      <c r="D44" s="2688"/>
      <c r="E44" s="2688"/>
      <c r="F44" s="2688"/>
      <c r="G44" s="2688"/>
      <c r="H44" s="2688"/>
      <c r="I44" s="2688"/>
      <c r="J44" s="2688"/>
      <c r="K44" s="2688"/>
      <c r="L44" s="2688"/>
      <c r="M44" s="2688"/>
      <c r="N44" s="2688"/>
      <c r="O44" s="2688"/>
      <c r="P44" s="2688"/>
      <c r="Q44" s="2689"/>
      <c r="R44" s="1313"/>
      <c r="S44" s="2681"/>
      <c r="T44" s="2681"/>
      <c r="U44" s="2681"/>
    </row>
    <row r="45" spans="1:21" ht="18.75" customHeight="1">
      <c r="A45" s="2682" t="s">
        <v>1086</v>
      </c>
      <c r="B45" s="2683"/>
      <c r="C45" s="2683"/>
      <c r="D45" s="2683"/>
      <c r="E45" s="2683"/>
      <c r="F45" s="2683"/>
      <c r="G45" s="2683"/>
      <c r="H45" s="2683"/>
      <c r="I45" s="2683"/>
      <c r="J45" s="2683"/>
      <c r="K45" s="2683"/>
      <c r="L45" s="1332"/>
      <c r="M45" s="1332"/>
      <c r="N45" s="1332"/>
      <c r="O45" s="1332"/>
      <c r="P45" s="1332"/>
      <c r="Q45" s="1332"/>
      <c r="R45" s="1313"/>
      <c r="S45" s="2681"/>
      <c r="T45" s="2681"/>
      <c r="U45" s="2681"/>
    </row>
    <row r="46" spans="1:21">
      <c r="A46" s="1311"/>
      <c r="B46" s="1311"/>
      <c r="C46" s="1311"/>
      <c r="D46" s="1311"/>
      <c r="E46" s="1311"/>
      <c r="F46" s="1311"/>
      <c r="G46" s="1311"/>
      <c r="H46" s="1311"/>
      <c r="I46" s="1333"/>
      <c r="J46" s="1334"/>
    </row>
  </sheetData>
  <sheetProtection algorithmName="SHA-512" hashValue="jBLVUlhs6zlSlpct1tqtFb4IuiEpQaUY0M/vIVB3158XsdXkzWlEnSzz6tj0Hu2P8ym9URC9v8KmB8PPtsfA4w==" saltValue="zl4M2BZKifMWKl46jIrqHw==" spinCount="100000" sheet="1" selectLockedCells="1"/>
  <mergeCells count="33">
    <mergeCell ref="D1:S1"/>
    <mergeCell ref="S12:U12"/>
    <mergeCell ref="S7:U7"/>
    <mergeCell ref="S8:U8"/>
    <mergeCell ref="S9:U9"/>
    <mergeCell ref="S10:U10"/>
    <mergeCell ref="S11:U11"/>
    <mergeCell ref="I2:K2"/>
    <mergeCell ref="S3:U3"/>
    <mergeCell ref="S4:U4"/>
    <mergeCell ref="S5:U5"/>
    <mergeCell ref="T1:V1"/>
    <mergeCell ref="A45:K45"/>
    <mergeCell ref="S45:U45"/>
    <mergeCell ref="S43:U43"/>
    <mergeCell ref="A3:Q44"/>
    <mergeCell ref="S25:U25"/>
    <mergeCell ref="S14:U14"/>
    <mergeCell ref="S15:U15"/>
    <mergeCell ref="S16:U16"/>
    <mergeCell ref="S17:U17"/>
    <mergeCell ref="S18:U18"/>
    <mergeCell ref="S19:U19"/>
    <mergeCell ref="S20:U20"/>
    <mergeCell ref="S22:U22"/>
    <mergeCell ref="S23:U23"/>
    <mergeCell ref="S24:U24"/>
    <mergeCell ref="S13:U13"/>
    <mergeCell ref="S21:U21"/>
    <mergeCell ref="S6:U6"/>
    <mergeCell ref="S26:U26"/>
    <mergeCell ref="S27:U27"/>
    <mergeCell ref="S44:U44"/>
  </mergeCells>
  <phoneticPr fontId="3"/>
  <hyperlinks>
    <hyperlink ref="T1" location="使用方法!F26:F34" display="シート一覧へ" xr:uid="{655DF458-C1EF-46D6-AEEF-47C38E19EC8B}"/>
    <hyperlink ref="T1:U1" location="使用方法!F29:F37" display="シート一覧へ" xr:uid="{3E05A4AF-A1D3-43AD-9E86-3363E924E983}"/>
  </hyperlinks>
  <pageMargins left="0.78740157480314965" right="0.39370078740157483" top="0.56999999999999995" bottom="0.56000000000000005" header="0.51181102362204722" footer="0.51181102362204722"/>
  <pageSetup paperSize="8"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FF6FB-5610-4550-AF3B-35A4000A1DCE}">
  <sheetPr codeName="Sheet11">
    <pageSetUpPr fitToPage="1"/>
  </sheetPr>
  <dimension ref="A1:BN83"/>
  <sheetViews>
    <sheetView zoomScaleNormal="100" workbookViewId="0">
      <selection activeCell="AR1" sqref="AR1:AX1"/>
    </sheetView>
  </sheetViews>
  <sheetFormatPr defaultColWidth="8.453125" defaultRowHeight="13"/>
  <cols>
    <col min="1" max="46" width="1.6328125" style="1337" customWidth="1"/>
    <col min="47" max="95" width="1.453125" style="1337" customWidth="1"/>
    <col min="96" max="16384" width="8.453125" style="1337"/>
  </cols>
  <sheetData>
    <row r="1" spans="1:50" ht="19">
      <c r="A1" s="1336" t="s">
        <v>2984</v>
      </c>
      <c r="B1" s="977"/>
      <c r="C1" s="977"/>
      <c r="D1" s="977"/>
      <c r="E1" s="977"/>
      <c r="F1" s="977"/>
      <c r="G1" s="977"/>
      <c r="AR1" s="2729" t="str">
        <f>HYPERLINK("#'使用方法'!F29:F37","シート一覧へ")</f>
        <v>シート一覧へ</v>
      </c>
      <c r="AS1" s="2729"/>
      <c r="AT1" s="2729"/>
      <c r="AU1" s="2729"/>
      <c r="AV1" s="2729"/>
      <c r="AW1" s="2729"/>
      <c r="AX1" s="2729"/>
    </row>
    <row r="2" spans="1:50" ht="45.75" customHeight="1">
      <c r="A2" s="2730" t="s">
        <v>3008</v>
      </c>
      <c r="B2" s="2730"/>
      <c r="C2" s="2730"/>
      <c r="D2" s="2730"/>
      <c r="E2" s="2730"/>
      <c r="F2" s="2730"/>
      <c r="G2" s="2730"/>
      <c r="H2" s="2730"/>
      <c r="I2" s="2730"/>
      <c r="J2" s="2730"/>
      <c r="K2" s="2730"/>
      <c r="L2" s="2730"/>
      <c r="M2" s="2730"/>
      <c r="N2" s="2730"/>
      <c r="O2" s="2730"/>
      <c r="P2" s="2730"/>
      <c r="Q2" s="2730"/>
      <c r="R2" s="2730"/>
      <c r="S2" s="2730"/>
      <c r="T2" s="2730"/>
      <c r="U2" s="2730"/>
      <c r="V2" s="2730"/>
      <c r="W2" s="2730"/>
      <c r="X2" s="2730"/>
      <c r="Y2" s="2730"/>
      <c r="Z2" s="2730"/>
      <c r="AA2" s="2730"/>
      <c r="AB2" s="2730"/>
      <c r="AC2" s="2730"/>
      <c r="AD2" s="2730"/>
      <c r="AE2" s="2730"/>
      <c r="AF2" s="2730"/>
      <c r="AG2" s="2730"/>
      <c r="AH2" s="2730"/>
      <c r="AI2" s="2730"/>
      <c r="AJ2" s="2730"/>
      <c r="AK2" s="2730"/>
      <c r="AL2" s="2730"/>
      <c r="AM2" s="2730"/>
      <c r="AN2" s="2730"/>
      <c r="AO2" s="2730"/>
      <c r="AP2" s="2730"/>
      <c r="AQ2" s="2730"/>
      <c r="AR2" s="2730"/>
      <c r="AS2" s="2730"/>
      <c r="AT2" s="2730"/>
      <c r="AU2" s="2730"/>
      <c r="AV2" s="2730"/>
      <c r="AW2" s="2730"/>
      <c r="AX2" s="2730"/>
    </row>
    <row r="3" spans="1:50" s="1342" customFormat="1" ht="10" thickBot="1">
      <c r="A3" s="1338"/>
      <c r="B3" s="1339"/>
      <c r="C3" s="1339"/>
      <c r="D3" s="1339"/>
      <c r="E3" s="1339"/>
      <c r="F3" s="1339"/>
      <c r="G3" s="1339"/>
      <c r="H3" s="1339"/>
      <c r="I3" s="1339"/>
      <c r="J3" s="1339"/>
      <c r="K3" s="1339"/>
      <c r="L3" s="1339"/>
      <c r="M3" s="1339"/>
      <c r="N3" s="1339"/>
      <c r="O3" s="1339"/>
      <c r="P3" s="1339"/>
      <c r="Q3" s="1339"/>
      <c r="R3" s="1339"/>
      <c r="S3" s="1339"/>
      <c r="T3" s="1339"/>
      <c r="U3" s="1339"/>
      <c r="V3" s="1339"/>
      <c r="W3" s="1339"/>
      <c r="X3" s="1339"/>
      <c r="Y3" s="1339"/>
      <c r="Z3" s="1339"/>
      <c r="AA3" s="1339"/>
      <c r="AB3" s="1339"/>
      <c r="AC3" s="1339"/>
      <c r="AD3" s="1339"/>
      <c r="AE3" s="1339"/>
      <c r="AF3" s="1339"/>
      <c r="AG3" s="1339"/>
      <c r="AH3" s="1339"/>
      <c r="AI3" s="1339"/>
      <c r="AJ3" s="1339"/>
      <c r="AK3" s="1339"/>
      <c r="AL3" s="1339"/>
      <c r="AM3" s="1339"/>
      <c r="AN3" s="1339"/>
      <c r="AO3" s="1339"/>
      <c r="AP3" s="1339"/>
      <c r="AQ3" s="1339"/>
      <c r="AR3" s="1339"/>
      <c r="AS3" s="1339"/>
      <c r="AT3" s="1340"/>
      <c r="AU3" s="1339"/>
      <c r="AV3" s="1339"/>
      <c r="AW3" s="1340" t="str">
        <f>チェックシート!H3</f>
        <v>Kyoto City(R4.11) ver112</v>
      </c>
      <c r="AX3" s="1341"/>
    </row>
    <row r="4" spans="1:50" ht="29" thickBot="1">
      <c r="A4" s="1343"/>
      <c r="B4" s="2733" t="s">
        <v>2755</v>
      </c>
      <c r="C4" s="2733"/>
      <c r="D4" s="2733"/>
      <c r="E4" s="2733"/>
      <c r="F4" s="2733"/>
      <c r="G4" s="2733"/>
      <c r="H4" s="2733"/>
      <c r="I4" s="2733"/>
      <c r="J4" s="2733"/>
      <c r="K4" s="2733"/>
      <c r="L4" s="2733"/>
      <c r="M4" s="2733"/>
      <c r="N4" s="2733"/>
      <c r="O4" s="2733"/>
      <c r="P4" s="2733"/>
      <c r="Q4" s="2733"/>
      <c r="R4" s="2733"/>
      <c r="S4" s="2733"/>
      <c r="T4" s="2733"/>
      <c r="U4" s="2733"/>
      <c r="V4" s="2733"/>
      <c r="W4" s="2733"/>
      <c r="X4" s="2733"/>
      <c r="Y4" s="2733"/>
      <c r="Z4" s="2733"/>
      <c r="AA4" s="2733"/>
      <c r="AB4" s="2733"/>
      <c r="AC4" s="2733"/>
      <c r="AD4" s="2733"/>
      <c r="AE4" s="2733"/>
      <c r="AF4" s="2733"/>
      <c r="AG4" s="2733"/>
      <c r="AH4" s="2733"/>
      <c r="AI4" s="2733"/>
      <c r="AJ4" s="2733"/>
      <c r="AK4" s="2733"/>
      <c r="AL4" s="2733"/>
      <c r="AM4" s="2733"/>
      <c r="AN4" s="2733"/>
      <c r="AO4" s="2733"/>
      <c r="AP4" s="2733"/>
      <c r="AQ4" s="1344"/>
      <c r="AR4" s="2734" t="s">
        <v>2738</v>
      </c>
      <c r="AS4" s="2735"/>
      <c r="AT4" s="2735"/>
      <c r="AU4" s="2739" t="str">
        <f>IF('1_入力シート【基本情報】'!$M$4="","",'1_入力シート【基本情報】'!$M$4)</f>
        <v/>
      </c>
      <c r="AV4" s="2739"/>
      <c r="AW4" s="2740"/>
      <c r="AX4" s="1345"/>
    </row>
    <row r="5" spans="1:50" ht="15" customHeight="1" thickBot="1">
      <c r="A5" s="1343"/>
      <c r="B5" s="1344"/>
      <c r="C5" s="1344"/>
      <c r="D5" s="1344"/>
      <c r="E5" s="1344"/>
      <c r="F5" s="1344"/>
      <c r="G5" s="1344"/>
      <c r="H5" s="1344"/>
      <c r="I5" s="1344"/>
      <c r="J5" s="1344"/>
      <c r="K5" s="1344"/>
      <c r="L5" s="1344"/>
      <c r="M5" s="1344"/>
      <c r="N5" s="1344"/>
      <c r="O5" s="1344"/>
      <c r="P5" s="1344"/>
      <c r="Q5" s="1344"/>
      <c r="R5" s="1344"/>
      <c r="S5" s="1344"/>
      <c r="T5" s="1344"/>
      <c r="U5" s="1344"/>
      <c r="V5" s="1344"/>
      <c r="W5" s="1344"/>
      <c r="X5" s="1344"/>
      <c r="Y5" s="1344"/>
      <c r="Z5" s="1344"/>
      <c r="AA5" s="1344"/>
      <c r="AB5" s="1344"/>
      <c r="AC5" s="1344"/>
      <c r="AD5" s="1344"/>
      <c r="AE5" s="1344"/>
      <c r="AF5" s="1344"/>
      <c r="AG5" s="1344"/>
      <c r="AH5" s="1344"/>
      <c r="AI5" s="1344"/>
      <c r="AJ5" s="1344"/>
      <c r="AK5" s="1344"/>
      <c r="AL5" s="1344"/>
      <c r="AM5" s="1344"/>
      <c r="AN5" s="1344"/>
      <c r="AO5" s="1344"/>
      <c r="AP5" s="1344"/>
      <c r="AQ5" s="1344"/>
      <c r="AR5" s="2741" t="s">
        <v>2739</v>
      </c>
      <c r="AS5" s="2742"/>
      <c r="AT5" s="2742"/>
      <c r="AU5" s="2742"/>
      <c r="AV5" s="2742"/>
      <c r="AW5" s="2743"/>
      <c r="AX5" s="1345"/>
    </row>
    <row r="6" spans="1:50" ht="4.5" customHeight="1">
      <c r="A6" s="1343"/>
      <c r="B6" s="1344"/>
      <c r="C6" s="1344"/>
      <c r="D6" s="1344"/>
      <c r="E6" s="1344"/>
      <c r="F6" s="1344"/>
      <c r="G6" s="1344"/>
      <c r="H6" s="1344"/>
      <c r="I6" s="1344"/>
      <c r="J6" s="1344"/>
      <c r="K6" s="1344"/>
      <c r="L6" s="1344"/>
      <c r="M6" s="1344"/>
      <c r="N6" s="1344"/>
      <c r="O6" s="1344"/>
      <c r="P6" s="1344"/>
      <c r="Q6" s="1344"/>
      <c r="R6" s="1344"/>
      <c r="S6" s="1344"/>
      <c r="T6" s="1344"/>
      <c r="U6" s="1344"/>
      <c r="V6" s="1344"/>
      <c r="W6" s="1344"/>
      <c r="X6" s="1344"/>
      <c r="Y6" s="1344"/>
      <c r="Z6" s="1344"/>
      <c r="AA6" s="1344"/>
      <c r="AB6" s="1344"/>
      <c r="AC6" s="1344"/>
      <c r="AD6" s="1344"/>
      <c r="AE6" s="1344"/>
      <c r="AF6" s="1344"/>
      <c r="AG6" s="1344"/>
      <c r="AH6" s="1344"/>
      <c r="AI6" s="1346"/>
      <c r="AJ6" s="1346"/>
      <c r="AK6" s="1346"/>
      <c r="AL6" s="1346"/>
      <c r="AM6" s="1346"/>
      <c r="AN6" s="1346"/>
      <c r="AO6" s="1344"/>
      <c r="AP6" s="1344"/>
      <c r="AQ6" s="1344"/>
      <c r="AR6" s="1344"/>
      <c r="AS6" s="1344"/>
      <c r="AT6" s="1344"/>
      <c r="AU6" s="1344"/>
      <c r="AV6" s="1344"/>
      <c r="AW6" s="1344"/>
      <c r="AX6" s="1345"/>
    </row>
    <row r="7" spans="1:50" ht="5.25" customHeight="1">
      <c r="A7" s="1343"/>
      <c r="B7" s="1347"/>
      <c r="C7" s="1348"/>
      <c r="D7" s="1348"/>
      <c r="E7" s="1348"/>
      <c r="F7" s="1348"/>
      <c r="G7" s="1348"/>
      <c r="H7" s="1348"/>
      <c r="I7" s="1348"/>
      <c r="J7" s="1348"/>
      <c r="K7" s="1348"/>
      <c r="L7" s="1348"/>
      <c r="M7" s="1348"/>
      <c r="N7" s="1348"/>
      <c r="O7" s="1348"/>
      <c r="P7" s="1348"/>
      <c r="Q7" s="1348"/>
      <c r="R7" s="1348"/>
      <c r="S7" s="1348"/>
      <c r="T7" s="1348"/>
      <c r="U7" s="1348"/>
      <c r="V7" s="1348"/>
      <c r="W7" s="1348"/>
      <c r="X7" s="1348"/>
      <c r="Y7" s="1348"/>
      <c r="Z7" s="1348"/>
      <c r="AA7" s="1348"/>
      <c r="AB7" s="1348"/>
      <c r="AC7" s="1348"/>
      <c r="AD7" s="1348"/>
      <c r="AE7" s="1348"/>
      <c r="AF7" s="1348"/>
      <c r="AG7" s="1348"/>
      <c r="AH7" s="1349"/>
      <c r="AI7" s="1349"/>
      <c r="AJ7" s="1349"/>
      <c r="AK7" s="1349"/>
      <c r="AL7" s="1349"/>
      <c r="AM7" s="1349"/>
      <c r="AN7" s="1348"/>
      <c r="AO7" s="1348"/>
      <c r="AP7" s="1348"/>
      <c r="AQ7" s="1348"/>
      <c r="AR7" s="1348"/>
      <c r="AS7" s="1348"/>
      <c r="AT7" s="1348"/>
      <c r="AU7" s="1348"/>
      <c r="AV7" s="1348"/>
      <c r="AW7" s="1350"/>
      <c r="AX7" s="1345"/>
    </row>
    <row r="8" spans="1:50" ht="13.5" customHeight="1">
      <c r="A8" s="1343"/>
      <c r="B8" s="2744" t="s">
        <v>2740</v>
      </c>
      <c r="C8" s="2745"/>
      <c r="D8" s="2745"/>
      <c r="E8" s="2745"/>
      <c r="F8" s="2745"/>
      <c r="G8" s="2745"/>
      <c r="H8" s="2715" t="str">
        <f>IF(AND('1_入力シート【基本情報】'!$AB$7="",'1_入力シート【基本情報】'!$AB$7=""),"",'1_入力シート【基本情報】'!$AB$7)</f>
        <v/>
      </c>
      <c r="I8" s="2715"/>
      <c r="J8" s="2715"/>
      <c r="K8" s="2715" t="str">
        <f>IF(AND('1_入力シート【基本情報】'!$AK$7="",'1_入力シート【基本情報】'!$AK$7=""),"",'1_入力シート【基本情報】'!$AK$7)</f>
        <v/>
      </c>
      <c r="L8" s="2715"/>
      <c r="M8" s="2715"/>
      <c r="N8" s="2716" t="s">
        <v>1407</v>
      </c>
      <c r="O8" s="2716"/>
      <c r="P8" s="2717" t="str">
        <f>IF('1_入力シート【基本情報】'!$AT$7="","",'1_入力シート【基本情報】'!$AT$7)</f>
        <v/>
      </c>
      <c r="Q8" s="2717"/>
      <c r="R8" s="2717"/>
      <c r="S8" s="2717"/>
      <c r="T8" s="2717"/>
      <c r="U8" s="2717"/>
      <c r="V8" s="2717"/>
      <c r="W8" s="2717"/>
      <c r="X8" s="2717"/>
      <c r="Y8" s="2717"/>
      <c r="Z8" s="2718"/>
      <c r="AA8" s="2718"/>
      <c r="AB8" s="2718"/>
      <c r="AC8" s="2718"/>
      <c r="AD8" s="2718"/>
      <c r="AE8" s="2718"/>
      <c r="AF8" s="2718"/>
      <c r="AG8" s="2718"/>
      <c r="AH8" s="2718"/>
      <c r="AI8" s="2718"/>
      <c r="AJ8" s="2718"/>
      <c r="AK8" s="2718"/>
      <c r="AL8" s="2718"/>
      <c r="AM8" s="2718"/>
      <c r="AN8" s="2718"/>
      <c r="AO8" s="1351"/>
      <c r="AP8" s="1351"/>
      <c r="AQ8" s="1351"/>
      <c r="AR8" s="1351"/>
      <c r="AS8" s="1351"/>
      <c r="AT8" s="1351"/>
      <c r="AU8" s="1351"/>
      <c r="AV8" s="1351"/>
      <c r="AW8" s="1352"/>
      <c r="AX8" s="1345"/>
    </row>
    <row r="9" spans="1:50" ht="14.25" customHeight="1">
      <c r="A9" s="1343"/>
      <c r="B9" s="2744"/>
      <c r="C9" s="2745"/>
      <c r="D9" s="2745"/>
      <c r="E9" s="2745"/>
      <c r="F9" s="2745"/>
      <c r="G9" s="2745"/>
      <c r="H9" s="2715"/>
      <c r="I9" s="2715"/>
      <c r="J9" s="2715"/>
      <c r="K9" s="2715"/>
      <c r="L9" s="2715"/>
      <c r="M9" s="2715"/>
      <c r="N9" s="2716"/>
      <c r="O9" s="2716"/>
      <c r="P9" s="2717"/>
      <c r="Q9" s="2717"/>
      <c r="R9" s="2717"/>
      <c r="S9" s="2717"/>
      <c r="T9" s="2717"/>
      <c r="U9" s="2717"/>
      <c r="V9" s="2717"/>
      <c r="W9" s="2717"/>
      <c r="X9" s="2717"/>
      <c r="Y9" s="2717"/>
      <c r="Z9" s="1351"/>
      <c r="AA9" s="1351"/>
      <c r="AB9" s="1351"/>
      <c r="AC9" s="1351"/>
      <c r="AD9" s="1351"/>
      <c r="AE9" s="1351"/>
      <c r="AF9" s="1351"/>
      <c r="AG9" s="1351"/>
      <c r="AH9" s="1351"/>
      <c r="AI9" s="1351"/>
      <c r="AJ9" s="1351"/>
      <c r="AK9" s="1351"/>
      <c r="AL9" s="1351"/>
      <c r="AM9" s="1351"/>
      <c r="AN9" s="1351"/>
      <c r="AO9" s="1351"/>
      <c r="AP9" s="1351"/>
      <c r="AQ9" s="1351"/>
      <c r="AR9" s="1351"/>
      <c r="AS9" s="1351"/>
      <c r="AT9" s="1351"/>
      <c r="AU9" s="1351"/>
      <c r="AV9" s="1351"/>
      <c r="AW9" s="1352"/>
      <c r="AX9" s="1345"/>
    </row>
    <row r="10" spans="1:50" ht="13.5" customHeight="1">
      <c r="A10" s="1343"/>
      <c r="B10" s="2736" t="s">
        <v>2741</v>
      </c>
      <c r="C10" s="2737"/>
      <c r="D10" s="2737"/>
      <c r="E10" s="2737"/>
      <c r="F10" s="2737"/>
      <c r="G10" s="2737"/>
      <c r="H10" s="2738" t="str">
        <f>IF('1_入力シート【基本情報】'!$AB$9="","",'1_入力シート【基本情報】'!$AB$9)</f>
        <v/>
      </c>
      <c r="I10" s="2738"/>
      <c r="J10" s="2738"/>
      <c r="K10" s="2738"/>
      <c r="L10" s="2738"/>
      <c r="M10" s="2738"/>
      <c r="N10" s="2738"/>
      <c r="O10" s="2738"/>
      <c r="P10" s="2738"/>
      <c r="Q10" s="2738"/>
      <c r="R10" s="2738"/>
      <c r="S10" s="2738"/>
      <c r="T10" s="2738"/>
      <c r="U10" s="2738"/>
      <c r="V10" s="2738"/>
      <c r="W10" s="2738"/>
      <c r="X10" s="2738"/>
      <c r="Y10" s="2738"/>
      <c r="Z10" s="2738"/>
      <c r="AA10" s="2738"/>
      <c r="AB10" s="2738"/>
      <c r="AC10" s="2738"/>
      <c r="AD10" s="2738"/>
      <c r="AE10" s="2738"/>
      <c r="AF10" s="2738"/>
      <c r="AG10" s="2738"/>
      <c r="AH10" s="2738"/>
      <c r="AI10" s="2738"/>
      <c r="AJ10" s="2738"/>
      <c r="AK10" s="2738"/>
      <c r="AL10" s="2738"/>
      <c r="AM10" s="2738"/>
      <c r="AN10" s="2738"/>
      <c r="AO10" s="2738"/>
      <c r="AP10" s="2738"/>
      <c r="AQ10" s="2738"/>
      <c r="AR10" s="2738"/>
      <c r="AS10" s="2738"/>
      <c r="AT10" s="2738"/>
      <c r="AU10" s="2738"/>
      <c r="AV10" s="1351"/>
      <c r="AW10" s="1352"/>
      <c r="AX10" s="1345"/>
    </row>
    <row r="11" spans="1:50" ht="14.25" customHeight="1">
      <c r="A11" s="1343"/>
      <c r="B11" s="2736"/>
      <c r="C11" s="2737"/>
      <c r="D11" s="2737"/>
      <c r="E11" s="2737"/>
      <c r="F11" s="2737"/>
      <c r="G11" s="2737"/>
      <c r="H11" s="2738"/>
      <c r="I11" s="2738"/>
      <c r="J11" s="2738"/>
      <c r="K11" s="2738"/>
      <c r="L11" s="2738"/>
      <c r="M11" s="2738"/>
      <c r="N11" s="2738"/>
      <c r="O11" s="2738"/>
      <c r="P11" s="2738"/>
      <c r="Q11" s="2738"/>
      <c r="R11" s="2738"/>
      <c r="S11" s="2738"/>
      <c r="T11" s="2738"/>
      <c r="U11" s="2738"/>
      <c r="V11" s="2738"/>
      <c r="W11" s="2738"/>
      <c r="X11" s="2738"/>
      <c r="Y11" s="2738"/>
      <c r="Z11" s="2738"/>
      <c r="AA11" s="2738"/>
      <c r="AB11" s="2738"/>
      <c r="AC11" s="2738"/>
      <c r="AD11" s="2738"/>
      <c r="AE11" s="2738"/>
      <c r="AF11" s="2738"/>
      <c r="AG11" s="2738"/>
      <c r="AH11" s="2738"/>
      <c r="AI11" s="2738"/>
      <c r="AJ11" s="2738"/>
      <c r="AK11" s="2738"/>
      <c r="AL11" s="2738"/>
      <c r="AM11" s="2738"/>
      <c r="AN11" s="2738"/>
      <c r="AO11" s="2738"/>
      <c r="AP11" s="2738"/>
      <c r="AQ11" s="2738"/>
      <c r="AR11" s="2738"/>
      <c r="AS11" s="2738"/>
      <c r="AT11" s="2738"/>
      <c r="AU11" s="2738"/>
      <c r="AV11" s="1351"/>
      <c r="AW11" s="1352"/>
      <c r="AX11" s="1345"/>
    </row>
    <row r="12" spans="1:50" ht="6" customHeight="1">
      <c r="A12" s="1343"/>
      <c r="B12" s="1353"/>
      <c r="C12" s="1354"/>
      <c r="D12" s="1354"/>
      <c r="E12" s="1354"/>
      <c r="F12" s="1354"/>
      <c r="G12" s="1354"/>
      <c r="H12" s="1355"/>
      <c r="I12" s="1355"/>
      <c r="J12" s="1355"/>
      <c r="K12" s="1355"/>
      <c r="L12" s="1355"/>
      <c r="M12" s="1355"/>
      <c r="N12" s="1355"/>
      <c r="O12" s="1355"/>
      <c r="P12" s="1355"/>
      <c r="Q12" s="1355"/>
      <c r="R12" s="1355"/>
      <c r="S12" s="1355"/>
      <c r="T12" s="1355"/>
      <c r="U12" s="1355"/>
      <c r="V12" s="1355"/>
      <c r="W12" s="1355"/>
      <c r="X12" s="1355"/>
      <c r="Y12" s="1355"/>
      <c r="Z12" s="1354"/>
      <c r="AA12" s="1354"/>
      <c r="AB12" s="1354"/>
      <c r="AC12" s="1354"/>
      <c r="AD12" s="1354"/>
      <c r="AE12" s="1354"/>
      <c r="AF12" s="1354"/>
      <c r="AG12" s="1354"/>
      <c r="AH12" s="1354"/>
      <c r="AI12" s="1354"/>
      <c r="AJ12" s="1354"/>
      <c r="AK12" s="1354"/>
      <c r="AL12" s="1354"/>
      <c r="AM12" s="1354"/>
      <c r="AN12" s="1354"/>
      <c r="AO12" s="1351"/>
      <c r="AP12" s="1351"/>
      <c r="AQ12" s="1351"/>
      <c r="AR12" s="1351"/>
      <c r="AS12" s="1351"/>
      <c r="AT12" s="1351"/>
      <c r="AU12" s="1351"/>
      <c r="AV12" s="1351"/>
      <c r="AW12" s="1352"/>
      <c r="AX12" s="1345"/>
    </row>
    <row r="13" spans="1:50" ht="13.5" customHeight="1">
      <c r="A13" s="1343"/>
      <c r="B13" s="1353"/>
      <c r="C13" s="1356" t="s">
        <v>1724</v>
      </c>
      <c r="D13" s="1356"/>
      <c r="E13" s="1356"/>
      <c r="F13" s="1356"/>
      <c r="G13" s="1356"/>
      <c r="H13" s="1356"/>
      <c r="I13" s="1356"/>
      <c r="J13" s="1356"/>
      <c r="K13" s="1356"/>
      <c r="L13" s="1356"/>
      <c r="M13" s="1356"/>
      <c r="N13" s="1356"/>
      <c r="O13" s="1356"/>
      <c r="P13" s="1356"/>
      <c r="Q13" s="1356"/>
      <c r="R13" s="1355"/>
      <c r="S13" s="1355"/>
      <c r="T13" s="1355"/>
      <c r="U13" s="1355"/>
      <c r="V13" s="1355"/>
      <c r="W13" s="1355"/>
      <c r="X13" s="1355"/>
      <c r="Y13" s="1355"/>
      <c r="Z13" s="1354"/>
      <c r="AA13" s="1354"/>
      <c r="AB13" s="1354"/>
      <c r="AC13" s="1354"/>
      <c r="AD13" s="1354"/>
      <c r="AE13" s="1354"/>
      <c r="AF13" s="1354"/>
      <c r="AG13" s="1354"/>
      <c r="AH13" s="1354"/>
      <c r="AI13" s="1354"/>
      <c r="AJ13" s="1354"/>
      <c r="AK13" s="1354"/>
      <c r="AL13" s="1354"/>
      <c r="AM13" s="1354"/>
      <c r="AN13" s="1354"/>
      <c r="AO13" s="1351"/>
      <c r="AP13" s="1351"/>
      <c r="AQ13" s="1351"/>
      <c r="AR13" s="1351"/>
      <c r="AS13" s="1351"/>
      <c r="AT13" s="1351"/>
      <c r="AU13" s="1351"/>
      <c r="AV13" s="1351"/>
      <c r="AW13" s="1352"/>
      <c r="AX13" s="1345"/>
    </row>
    <row r="14" spans="1:50" ht="13.5" customHeight="1">
      <c r="A14" s="1343"/>
      <c r="B14" s="1353"/>
      <c r="C14" s="1357" t="s">
        <v>3120</v>
      </c>
      <c r="D14" s="1357"/>
      <c r="E14" s="1357"/>
      <c r="F14" s="1351"/>
      <c r="G14" s="1351"/>
      <c r="H14" s="2721" t="str">
        <f>IF('1_入力シート【基本情報】'!$DW$18="","",'1_入力シート【基本情報】'!$DW$18)</f>
        <v/>
      </c>
      <c r="I14" s="2721"/>
      <c r="J14" s="2721"/>
      <c r="K14" s="2721"/>
      <c r="L14" s="2721"/>
      <c r="M14" s="2721"/>
      <c r="N14" s="2721"/>
      <c r="O14" s="2721"/>
      <c r="P14" s="2721"/>
      <c r="Q14" s="2721"/>
      <c r="R14" s="2721"/>
      <c r="S14" s="2721"/>
      <c r="T14" s="2721"/>
      <c r="U14" s="2721"/>
      <c r="V14" s="2721"/>
      <c r="W14" s="2721"/>
      <c r="X14" s="2721"/>
      <c r="Y14" s="2721"/>
      <c r="Z14" s="2721"/>
      <c r="AA14" s="2721"/>
      <c r="AB14" s="2721"/>
      <c r="AC14" s="2721"/>
      <c r="AD14" s="2721"/>
      <c r="AE14" s="2721"/>
      <c r="AF14" s="2721"/>
      <c r="AG14" s="2721"/>
      <c r="AH14" s="2721"/>
      <c r="AI14" s="2721"/>
      <c r="AJ14" s="2721"/>
      <c r="AK14" s="2721"/>
      <c r="AL14" s="2721"/>
      <c r="AM14" s="2721"/>
      <c r="AN14" s="2721"/>
      <c r="AO14" s="2721"/>
      <c r="AP14" s="2721"/>
      <c r="AQ14" s="2721"/>
      <c r="AR14" s="2721"/>
      <c r="AS14" s="2721"/>
      <c r="AT14" s="2721"/>
      <c r="AU14" s="2721"/>
      <c r="AV14" s="1351"/>
      <c r="AW14" s="1352"/>
      <c r="AX14" s="1345"/>
    </row>
    <row r="15" spans="1:50" ht="13.5" customHeight="1">
      <c r="A15" s="1343"/>
      <c r="B15" s="1353"/>
      <c r="C15" s="1357" t="s">
        <v>3121</v>
      </c>
      <c r="D15" s="1357"/>
      <c r="E15" s="1357"/>
      <c r="F15" s="1351"/>
      <c r="G15" s="1351"/>
      <c r="H15" s="2721" t="str">
        <f>IF('1_入力シート【基本情報】'!$DW$22="","",'1_入力シート【基本情報】'!$DW$22)</f>
        <v/>
      </c>
      <c r="I15" s="2721"/>
      <c r="J15" s="2721"/>
      <c r="K15" s="2721"/>
      <c r="L15" s="2721"/>
      <c r="M15" s="2721"/>
      <c r="N15" s="2721"/>
      <c r="O15" s="2721"/>
      <c r="P15" s="2721"/>
      <c r="Q15" s="2721"/>
      <c r="R15" s="2721"/>
      <c r="S15" s="2721"/>
      <c r="T15" s="2721"/>
      <c r="U15" s="2721"/>
      <c r="V15" s="2721"/>
      <c r="W15" s="2721"/>
      <c r="X15" s="2721"/>
      <c r="Y15" s="2721"/>
      <c r="Z15" s="2721"/>
      <c r="AA15" s="2721"/>
      <c r="AB15" s="2721"/>
      <c r="AC15" s="2721"/>
      <c r="AD15" s="2721"/>
      <c r="AE15" s="2721"/>
      <c r="AF15" s="2721"/>
      <c r="AG15" s="2721"/>
      <c r="AH15" s="2721"/>
      <c r="AI15" s="2721"/>
      <c r="AJ15" s="2721"/>
      <c r="AK15" s="2721"/>
      <c r="AL15" s="2721"/>
      <c r="AM15" s="2721"/>
      <c r="AN15" s="2721"/>
      <c r="AO15" s="2721"/>
      <c r="AP15" s="2721"/>
      <c r="AQ15" s="2721"/>
      <c r="AR15" s="2721"/>
      <c r="AS15" s="2721"/>
      <c r="AT15" s="2721"/>
      <c r="AU15" s="2721"/>
      <c r="AV15" s="1351"/>
      <c r="AW15" s="1352"/>
      <c r="AX15" s="1345"/>
    </row>
    <row r="16" spans="1:50" ht="13.5" customHeight="1">
      <c r="A16" s="1343"/>
      <c r="B16" s="1353"/>
      <c r="C16" s="1357" t="s">
        <v>3122</v>
      </c>
      <c r="D16" s="1357"/>
      <c r="E16" s="1357"/>
      <c r="F16" s="1351"/>
      <c r="G16" s="1351"/>
      <c r="H16" s="2722" t="str">
        <f>IF('1_入力シート【基本情報】'!$DW$25="","",'1_入力シート【基本情報】'!$DW$25)</f>
        <v/>
      </c>
      <c r="I16" s="2722"/>
      <c r="J16" s="2722"/>
      <c r="K16" s="2722"/>
      <c r="L16" s="2722"/>
      <c r="M16" s="2722"/>
      <c r="N16" s="2722"/>
      <c r="O16" s="2722"/>
      <c r="P16" s="2722"/>
      <c r="Q16" s="2722"/>
      <c r="R16" s="2722"/>
      <c r="S16" s="2722"/>
      <c r="T16" s="2722"/>
      <c r="U16" s="2722"/>
      <c r="V16" s="2722"/>
      <c r="W16" s="2722"/>
      <c r="X16" s="2722"/>
      <c r="Y16" s="2722"/>
      <c r="Z16" s="2722"/>
      <c r="AA16" s="2722"/>
      <c r="AB16" s="2722"/>
      <c r="AC16" s="2722"/>
      <c r="AD16" s="2722"/>
      <c r="AE16" s="2722"/>
      <c r="AF16" s="2722"/>
      <c r="AG16" s="2722"/>
      <c r="AH16" s="2722"/>
      <c r="AI16" s="2722"/>
      <c r="AJ16" s="2722"/>
      <c r="AK16" s="2722"/>
      <c r="AL16" s="2722"/>
      <c r="AM16" s="2722"/>
      <c r="AN16" s="2722"/>
      <c r="AO16" s="2722"/>
      <c r="AP16" s="2722"/>
      <c r="AQ16" s="2722"/>
      <c r="AR16" s="2722"/>
      <c r="AS16" s="2722"/>
      <c r="AT16" s="2722"/>
      <c r="AU16" s="2722"/>
      <c r="AV16" s="1351"/>
      <c r="AW16" s="1352"/>
      <c r="AX16" s="1345"/>
    </row>
    <row r="17" spans="1:64" ht="12.75" customHeight="1">
      <c r="A17" s="1343"/>
      <c r="B17" s="1353"/>
      <c r="C17" s="1357" t="s">
        <v>3123</v>
      </c>
      <c r="D17" s="1354"/>
      <c r="E17" s="1354"/>
      <c r="F17" s="1354"/>
      <c r="G17" s="1354"/>
      <c r="H17" s="2722" t="str">
        <f>IF('1_入力シート【基本情報】'!$AB$27="","",'1_入力シート【基本情報】'!$AB$27)</f>
        <v/>
      </c>
      <c r="I17" s="2722"/>
      <c r="J17" s="2722"/>
      <c r="K17" s="2722"/>
      <c r="L17" s="2722"/>
      <c r="M17" s="2722"/>
      <c r="N17" s="2722"/>
      <c r="O17" s="2722"/>
      <c r="P17" s="2722"/>
      <c r="Q17" s="2722"/>
      <c r="R17" s="2722"/>
      <c r="S17" s="2722"/>
      <c r="T17" s="2722"/>
      <c r="U17" s="2722"/>
      <c r="V17" s="2722"/>
      <c r="W17" s="2722"/>
      <c r="X17" s="2722"/>
      <c r="Y17" s="2722"/>
      <c r="Z17" s="2722"/>
      <c r="AA17" s="2722"/>
      <c r="AB17" s="2722"/>
      <c r="AC17" s="2722"/>
      <c r="AD17" s="2722"/>
      <c r="AE17" s="2722"/>
      <c r="AF17" s="2722"/>
      <c r="AG17" s="2722"/>
      <c r="AH17" s="2722"/>
      <c r="AI17" s="2722"/>
      <c r="AJ17" s="2722"/>
      <c r="AK17" s="2722"/>
      <c r="AL17" s="2722"/>
      <c r="AM17" s="2722"/>
      <c r="AN17" s="2722"/>
      <c r="AO17" s="2722"/>
      <c r="AP17" s="2722"/>
      <c r="AQ17" s="2722"/>
      <c r="AR17" s="2722"/>
      <c r="AS17" s="2722"/>
      <c r="AT17" s="2722"/>
      <c r="AU17" s="2722"/>
      <c r="AV17" s="1351"/>
      <c r="AW17" s="1352"/>
      <c r="AX17" s="1345"/>
    </row>
    <row r="18" spans="1:64" ht="6" customHeight="1">
      <c r="A18" s="1343"/>
      <c r="B18" s="1353"/>
      <c r="C18" s="1354"/>
      <c r="D18" s="1354"/>
      <c r="E18" s="1354"/>
      <c r="F18" s="1354"/>
      <c r="G18" s="1354"/>
      <c r="H18" s="1355"/>
      <c r="I18" s="1355"/>
      <c r="J18" s="1355"/>
      <c r="K18" s="1355"/>
      <c r="L18" s="1355"/>
      <c r="M18" s="1355"/>
      <c r="N18" s="1355"/>
      <c r="O18" s="1355"/>
      <c r="P18" s="1355"/>
      <c r="Q18" s="1355"/>
      <c r="R18" s="1355"/>
      <c r="S18" s="1355"/>
      <c r="T18" s="1355"/>
      <c r="U18" s="1355"/>
      <c r="V18" s="1355"/>
      <c r="W18" s="1355"/>
      <c r="X18" s="1355"/>
      <c r="Y18" s="1355"/>
      <c r="Z18" s="1354"/>
      <c r="AA18" s="1354"/>
      <c r="AB18" s="1354"/>
      <c r="AC18" s="1354"/>
      <c r="AD18" s="1354"/>
      <c r="AE18" s="1354"/>
      <c r="AF18" s="1354"/>
      <c r="AG18" s="1354"/>
      <c r="AH18" s="1354"/>
      <c r="AI18" s="1354"/>
      <c r="AJ18" s="1354"/>
      <c r="AK18" s="1354"/>
      <c r="AL18" s="1354"/>
      <c r="AM18" s="1354"/>
      <c r="AN18" s="1354"/>
      <c r="AO18" s="1351"/>
      <c r="AP18" s="1351"/>
      <c r="AQ18" s="1351"/>
      <c r="AR18" s="1351"/>
      <c r="AS18" s="1351"/>
      <c r="AT18" s="1351"/>
      <c r="AU18" s="1351"/>
      <c r="AV18" s="1351"/>
      <c r="AW18" s="1352"/>
      <c r="AX18" s="1345"/>
    </row>
    <row r="19" spans="1:64" ht="13.5" customHeight="1">
      <c r="A19" s="1343"/>
      <c r="B19" s="1353"/>
      <c r="C19" s="1356" t="s">
        <v>3126</v>
      </c>
      <c r="D19" s="1354"/>
      <c r="E19" s="1354"/>
      <c r="F19" s="1354"/>
      <c r="G19" s="1354"/>
      <c r="H19" s="1355"/>
      <c r="I19" s="1355"/>
      <c r="J19" s="1355"/>
      <c r="K19" s="1355"/>
      <c r="L19" s="1355"/>
      <c r="M19" s="1355"/>
      <c r="N19" s="1355"/>
      <c r="O19" s="1355"/>
      <c r="P19" s="1355"/>
      <c r="Q19" s="1355"/>
      <c r="R19" s="1355"/>
      <c r="S19" s="1355"/>
      <c r="T19" s="1355"/>
      <c r="U19" s="1355"/>
      <c r="V19" s="1355"/>
      <c r="W19" s="1355"/>
      <c r="X19" s="1355"/>
      <c r="Y19" s="1355"/>
      <c r="Z19" s="1354"/>
      <c r="AA19" s="1354"/>
      <c r="AB19" s="1354"/>
      <c r="AC19" s="1354"/>
      <c r="AD19" s="1354"/>
      <c r="AE19" s="1354"/>
      <c r="AF19" s="1354"/>
      <c r="AG19" s="1354"/>
      <c r="AH19" s="1354"/>
      <c r="AI19" s="1354"/>
      <c r="AJ19" s="1354"/>
      <c r="AK19" s="1354"/>
      <c r="AL19" s="1354"/>
      <c r="AM19" s="1354"/>
      <c r="AN19" s="1354"/>
      <c r="AO19" s="1351"/>
      <c r="AP19" s="1351"/>
      <c r="AQ19" s="1351"/>
      <c r="AR19" s="1351"/>
      <c r="AS19" s="1351"/>
      <c r="AT19" s="1351"/>
      <c r="AU19" s="1351"/>
      <c r="AV19" s="1351"/>
      <c r="AW19" s="1352"/>
      <c r="AX19" s="1345"/>
    </row>
    <row r="20" spans="1:64" ht="13.5" customHeight="1">
      <c r="A20" s="1343"/>
      <c r="B20" s="1353"/>
      <c r="C20" s="1357" t="s">
        <v>3123</v>
      </c>
      <c r="D20" s="1354"/>
      <c r="E20" s="1354"/>
      <c r="F20" s="1354"/>
      <c r="G20" s="1354"/>
      <c r="H20" s="2722" t="str">
        <f>IF('1_入力シート【基本情報】'!$AB$56="","",'1_入力シート【基本情報】'!$AB$56)</f>
        <v/>
      </c>
      <c r="I20" s="2722"/>
      <c r="J20" s="2722"/>
      <c r="K20" s="2722"/>
      <c r="L20" s="2722"/>
      <c r="M20" s="2722"/>
      <c r="N20" s="2722"/>
      <c r="O20" s="2722"/>
      <c r="P20" s="2722"/>
      <c r="Q20" s="2722"/>
      <c r="R20" s="2722"/>
      <c r="S20" s="2722"/>
      <c r="T20" s="2722"/>
      <c r="U20" s="2722"/>
      <c r="V20" s="2722"/>
      <c r="W20" s="2722"/>
      <c r="X20" s="2722"/>
      <c r="Y20" s="2722"/>
      <c r="Z20" s="2722"/>
      <c r="AA20" s="2722"/>
      <c r="AB20" s="2722"/>
      <c r="AC20" s="2722"/>
      <c r="AD20" s="2722"/>
      <c r="AE20" s="2722"/>
      <c r="AF20" s="2722"/>
      <c r="AG20" s="2722"/>
      <c r="AH20" s="2722"/>
      <c r="AI20" s="2722"/>
      <c r="AJ20" s="2722"/>
      <c r="AK20" s="2722"/>
      <c r="AL20" s="2722"/>
      <c r="AM20" s="2722"/>
      <c r="AN20" s="2722"/>
      <c r="AO20" s="2722"/>
      <c r="AP20" s="2722"/>
      <c r="AQ20" s="2722"/>
      <c r="AR20" s="2722"/>
      <c r="AS20" s="2722"/>
      <c r="AT20" s="2722"/>
      <c r="AU20" s="2722"/>
      <c r="AV20" s="1351"/>
      <c r="AW20" s="1352"/>
      <c r="AX20" s="1345"/>
    </row>
    <row r="21" spans="1:64" ht="13.5" hidden="1" customHeight="1">
      <c r="A21" s="1343"/>
      <c r="B21" s="1353"/>
      <c r="C21" s="1354"/>
      <c r="D21" s="1354"/>
      <c r="E21" s="1354"/>
      <c r="F21" s="1354"/>
      <c r="G21" s="1354"/>
      <c r="H21" s="1355"/>
      <c r="I21" s="1355"/>
      <c r="J21" s="1355"/>
      <c r="K21" s="1355"/>
      <c r="L21" s="1355"/>
      <c r="M21" s="1355"/>
      <c r="N21" s="1355"/>
      <c r="O21" s="1355"/>
      <c r="P21" s="1355"/>
      <c r="Q21" s="1355"/>
      <c r="R21" s="1355"/>
      <c r="S21" s="1355"/>
      <c r="T21" s="1355"/>
      <c r="U21" s="1355"/>
      <c r="V21" s="1355"/>
      <c r="W21" s="1355"/>
      <c r="X21" s="1355"/>
      <c r="Y21" s="1355"/>
      <c r="Z21" s="1354"/>
      <c r="AA21" s="1354"/>
      <c r="AB21" s="1354"/>
      <c r="AC21" s="1354"/>
      <c r="AD21" s="1354"/>
      <c r="AE21" s="1354"/>
      <c r="AF21" s="1354"/>
      <c r="AG21" s="1354"/>
      <c r="AH21" s="1354"/>
      <c r="AI21" s="1354"/>
      <c r="AJ21" s="1354"/>
      <c r="AK21" s="1354"/>
      <c r="AL21" s="1354"/>
      <c r="AM21" s="1354"/>
      <c r="AN21" s="1354"/>
      <c r="AO21" s="1351"/>
      <c r="AP21" s="1351"/>
      <c r="AQ21" s="1351"/>
      <c r="AR21" s="1351"/>
      <c r="AS21" s="1351"/>
      <c r="AT21" s="1351"/>
      <c r="AU21" s="1351"/>
      <c r="AV21" s="1351"/>
      <c r="AW21" s="1352"/>
      <c r="AX21" s="1345"/>
    </row>
    <row r="22" spans="1:64" ht="13.5" hidden="1" customHeight="1">
      <c r="A22" s="1343"/>
      <c r="B22" s="1353"/>
      <c r="C22" s="1354"/>
      <c r="D22" s="1354"/>
      <c r="E22" s="1354"/>
      <c r="F22" s="1354"/>
      <c r="G22" s="1354"/>
      <c r="H22" s="1355"/>
      <c r="I22" s="1355"/>
      <c r="J22" s="1355"/>
      <c r="K22" s="1355"/>
      <c r="L22" s="1355"/>
      <c r="M22" s="1355"/>
      <c r="N22" s="1355"/>
      <c r="O22" s="1355"/>
      <c r="P22" s="1355"/>
      <c r="Q22" s="1355"/>
      <c r="R22" s="1355"/>
      <c r="S22" s="1355"/>
      <c r="T22" s="1355"/>
      <c r="U22" s="1355"/>
      <c r="V22" s="1355"/>
      <c r="W22" s="1355"/>
      <c r="X22" s="1355"/>
      <c r="Y22" s="1355"/>
      <c r="Z22" s="1354"/>
      <c r="AA22" s="1354"/>
      <c r="AB22" s="1354"/>
      <c r="AC22" s="1354"/>
      <c r="AD22" s="1354"/>
      <c r="AE22" s="1354"/>
      <c r="AF22" s="1354"/>
      <c r="AG22" s="1354"/>
      <c r="AH22" s="1354"/>
      <c r="AI22" s="1354"/>
      <c r="AJ22" s="1354"/>
      <c r="AK22" s="1354"/>
      <c r="AL22" s="1354"/>
      <c r="AM22" s="1354"/>
      <c r="AN22" s="1354"/>
      <c r="AO22" s="1351"/>
      <c r="AP22" s="1351"/>
      <c r="AQ22" s="1351"/>
      <c r="AR22" s="1351"/>
      <c r="AS22" s="1351"/>
      <c r="AT22" s="1351"/>
      <c r="AU22" s="1351"/>
      <c r="AV22" s="1351"/>
      <c r="AW22" s="1352"/>
      <c r="AX22" s="1345"/>
    </row>
    <row r="23" spans="1:64" ht="13.5" hidden="1" customHeight="1">
      <c r="A23" s="1343"/>
      <c r="B23" s="1353"/>
      <c r="C23" s="1354"/>
      <c r="D23" s="1354"/>
      <c r="E23" s="1354"/>
      <c r="F23" s="1354"/>
      <c r="G23" s="1354"/>
      <c r="H23" s="1355"/>
      <c r="I23" s="1355"/>
      <c r="J23" s="1355"/>
      <c r="K23" s="1355"/>
      <c r="L23" s="1355"/>
      <c r="M23" s="1355"/>
      <c r="N23" s="1355"/>
      <c r="O23" s="1355"/>
      <c r="P23" s="1355"/>
      <c r="Q23" s="1355"/>
      <c r="R23" s="1355"/>
      <c r="S23" s="1355"/>
      <c r="T23" s="1355"/>
      <c r="U23" s="1355"/>
      <c r="V23" s="1355"/>
      <c r="W23" s="1355"/>
      <c r="X23" s="1355"/>
      <c r="Y23" s="1355"/>
      <c r="Z23" s="1354"/>
      <c r="AA23" s="1354"/>
      <c r="AB23" s="1354"/>
      <c r="AC23" s="1354"/>
      <c r="AD23" s="1354"/>
      <c r="AE23" s="1354"/>
      <c r="AF23" s="1354"/>
      <c r="AG23" s="1354"/>
      <c r="AH23" s="1354"/>
      <c r="AI23" s="1354"/>
      <c r="AJ23" s="1354"/>
      <c r="AK23" s="1354"/>
      <c r="AL23" s="1354"/>
      <c r="AM23" s="1354"/>
      <c r="AN23" s="1354"/>
      <c r="AO23" s="1351"/>
      <c r="AP23" s="1351"/>
      <c r="AQ23" s="1351"/>
      <c r="AR23" s="1351"/>
      <c r="AS23" s="1351"/>
      <c r="AT23" s="1351"/>
      <c r="AU23" s="1351"/>
      <c r="AV23" s="1351"/>
      <c r="AW23" s="1352"/>
      <c r="AX23" s="1345"/>
    </row>
    <row r="24" spans="1:64" ht="13.5" hidden="1" customHeight="1">
      <c r="A24" s="1343"/>
      <c r="B24" s="1353"/>
      <c r="C24" s="1354"/>
      <c r="D24" s="1354"/>
      <c r="E24" s="1354"/>
      <c r="F24" s="1354"/>
      <c r="G24" s="1354"/>
      <c r="H24" s="1355"/>
      <c r="I24" s="1355"/>
      <c r="J24" s="1355"/>
      <c r="K24" s="1355"/>
      <c r="L24" s="1355"/>
      <c r="M24" s="1355"/>
      <c r="N24" s="1355"/>
      <c r="O24" s="1355"/>
      <c r="P24" s="1355"/>
      <c r="Q24" s="1355"/>
      <c r="R24" s="1355"/>
      <c r="S24" s="1355"/>
      <c r="T24" s="1355"/>
      <c r="U24" s="1355"/>
      <c r="V24" s="1355"/>
      <c r="W24" s="1355"/>
      <c r="X24" s="1355"/>
      <c r="Y24" s="1355"/>
      <c r="Z24" s="1354"/>
      <c r="AA24" s="1354"/>
      <c r="AB24" s="1354"/>
      <c r="AC24" s="1354"/>
      <c r="AD24" s="1354"/>
      <c r="AE24" s="1354"/>
      <c r="AF24" s="1354"/>
      <c r="AG24" s="1354"/>
      <c r="AH24" s="1354"/>
      <c r="AI24" s="1354"/>
      <c r="AJ24" s="1354"/>
      <c r="AK24" s="1354"/>
      <c r="AL24" s="1354"/>
      <c r="AM24" s="1354"/>
      <c r="AN24" s="1354"/>
      <c r="AO24" s="1351"/>
      <c r="AP24" s="1351"/>
      <c r="AQ24" s="1351"/>
      <c r="AR24" s="1351"/>
      <c r="AS24" s="1351"/>
      <c r="AT24" s="1351"/>
      <c r="AU24" s="1351"/>
      <c r="AV24" s="1351"/>
      <c r="AW24" s="1352"/>
      <c r="AX24" s="1345"/>
    </row>
    <row r="25" spans="1:64" ht="6" customHeight="1">
      <c r="A25" s="1343"/>
      <c r="B25" s="1358"/>
      <c r="C25" s="1359"/>
      <c r="D25" s="1359"/>
      <c r="E25" s="1359"/>
      <c r="F25" s="1359"/>
      <c r="G25" s="1359"/>
      <c r="H25" s="1360"/>
      <c r="I25" s="1360"/>
      <c r="J25" s="1360"/>
      <c r="K25" s="1360"/>
      <c r="L25" s="1360"/>
      <c r="M25" s="1360"/>
      <c r="N25" s="1360"/>
      <c r="O25" s="1360"/>
      <c r="P25" s="1360"/>
      <c r="Q25" s="1360"/>
      <c r="R25" s="1360"/>
      <c r="S25" s="1360"/>
      <c r="T25" s="1360"/>
      <c r="U25" s="1360"/>
      <c r="V25" s="1360"/>
      <c r="W25" s="1360"/>
      <c r="X25" s="1360"/>
      <c r="Y25" s="1360"/>
      <c r="Z25" s="1359"/>
      <c r="AA25" s="1359"/>
      <c r="AB25" s="1359"/>
      <c r="AC25" s="1359"/>
      <c r="AD25" s="1359"/>
      <c r="AE25" s="1359"/>
      <c r="AF25" s="1359"/>
      <c r="AG25" s="1359"/>
      <c r="AH25" s="1359"/>
      <c r="AI25" s="1359"/>
      <c r="AJ25" s="1359"/>
      <c r="AK25" s="1359"/>
      <c r="AL25" s="1359"/>
      <c r="AM25" s="1359"/>
      <c r="AN25" s="1359"/>
      <c r="AO25" s="1361"/>
      <c r="AP25" s="1361"/>
      <c r="AQ25" s="1361"/>
      <c r="AR25" s="1361"/>
      <c r="AS25" s="1361"/>
      <c r="AT25" s="1361"/>
      <c r="AU25" s="1361"/>
      <c r="AV25" s="1361"/>
      <c r="AW25" s="1362"/>
      <c r="AX25" s="1345"/>
    </row>
    <row r="26" spans="1:64">
      <c r="A26" s="1343"/>
      <c r="B26" s="1344"/>
      <c r="C26" s="1344"/>
      <c r="D26" s="1344"/>
      <c r="E26" s="1344"/>
      <c r="F26" s="1344"/>
      <c r="G26" s="1344"/>
      <c r="H26" s="1344"/>
      <c r="I26" s="1344"/>
      <c r="J26" s="1344"/>
      <c r="K26" s="1344"/>
      <c r="L26" s="1344"/>
      <c r="M26" s="1344"/>
      <c r="N26" s="1344"/>
      <c r="O26" s="1344"/>
      <c r="P26" s="1344"/>
      <c r="Q26" s="1344"/>
      <c r="R26" s="1344"/>
      <c r="S26" s="1344"/>
      <c r="T26" s="1344"/>
      <c r="U26" s="1344"/>
      <c r="V26" s="1344"/>
      <c r="W26" s="1344"/>
      <c r="X26" s="1344"/>
      <c r="Y26" s="1344"/>
      <c r="Z26" s="1344"/>
      <c r="AA26" s="1344"/>
      <c r="AB26" s="1344"/>
      <c r="AC26" s="1344"/>
      <c r="AD26" s="1344"/>
      <c r="AE26" s="1344"/>
      <c r="AF26" s="1344"/>
      <c r="AG26" s="1344"/>
      <c r="AH26" s="1344"/>
      <c r="AI26" s="1344"/>
      <c r="AJ26" s="1034"/>
      <c r="AK26" s="1034"/>
      <c r="AL26" s="1034"/>
      <c r="AM26" s="1034"/>
      <c r="AN26" s="1034"/>
      <c r="AO26" s="1034"/>
      <c r="AP26" s="1034"/>
      <c r="AQ26" s="1034"/>
      <c r="AR26" s="1034"/>
      <c r="AS26" s="1034"/>
      <c r="AT26" s="1034"/>
      <c r="AU26" s="1034"/>
      <c r="AV26" s="1034"/>
      <c r="AW26" s="1034"/>
      <c r="AX26" s="1363"/>
      <c r="AY26" s="931"/>
      <c r="AZ26" s="931"/>
      <c r="BA26" s="931"/>
      <c r="BB26" s="931"/>
      <c r="BC26" s="931"/>
      <c r="BD26" s="931"/>
      <c r="BE26" s="931"/>
      <c r="BF26" s="931"/>
      <c r="BG26" s="931"/>
      <c r="BH26" s="931"/>
      <c r="BI26" s="931"/>
      <c r="BJ26" s="931"/>
      <c r="BK26" s="931"/>
      <c r="BL26" s="931"/>
    </row>
    <row r="27" spans="1:64">
      <c r="A27" s="1343"/>
      <c r="B27" s="1364" t="s">
        <v>3124</v>
      </c>
      <c r="C27" s="1365"/>
      <c r="D27" s="1366"/>
      <c r="E27" s="1365"/>
      <c r="F27" s="1365"/>
      <c r="G27" s="1365"/>
      <c r="H27" s="1365"/>
      <c r="I27" s="1365"/>
      <c r="J27" s="1365"/>
      <c r="K27" s="1365"/>
      <c r="L27" s="1365"/>
      <c r="M27" s="1365"/>
      <c r="N27" s="1365"/>
      <c r="O27" s="1365"/>
      <c r="P27" s="1365"/>
      <c r="Q27" s="1365"/>
      <c r="R27" s="1365"/>
      <c r="S27" s="1365"/>
      <c r="T27" s="1365"/>
      <c r="U27" s="1365"/>
      <c r="V27" s="1365"/>
      <c r="W27" s="1365"/>
      <c r="X27" s="1365"/>
      <c r="Y27" s="1365"/>
      <c r="Z27" s="1365"/>
      <c r="AA27" s="1365"/>
      <c r="AB27" s="1365"/>
      <c r="AC27" s="1365"/>
      <c r="AD27" s="1365"/>
      <c r="AE27" s="1365"/>
      <c r="AF27" s="1365"/>
      <c r="AG27" s="1365"/>
      <c r="AH27" s="1365"/>
      <c r="AI27" s="1365"/>
      <c r="AJ27" s="1365"/>
      <c r="AK27" s="1367"/>
      <c r="AL27" s="1367"/>
      <c r="AM27" s="1367"/>
      <c r="AN27" s="1367"/>
      <c r="AO27" s="1367"/>
      <c r="AP27" s="1368"/>
      <c r="AQ27" s="1034"/>
      <c r="AR27" s="1034"/>
      <c r="AS27" s="1034"/>
      <c r="AT27" s="1034"/>
      <c r="AU27" s="1034"/>
      <c r="AV27" s="1034"/>
      <c r="AW27" s="1034"/>
      <c r="AX27" s="1363"/>
      <c r="AY27" s="931"/>
      <c r="AZ27" s="931"/>
      <c r="BA27" s="931"/>
      <c r="BB27" s="931"/>
      <c r="BC27" s="931"/>
      <c r="BD27" s="931"/>
      <c r="BE27" s="931"/>
    </row>
    <row r="28" spans="1:64" ht="24" customHeight="1">
      <c r="A28" s="1343"/>
      <c r="B28" s="1369"/>
      <c r="C28" s="1370"/>
      <c r="D28" s="2705" t="s">
        <v>2742</v>
      </c>
      <c r="E28" s="2705"/>
      <c r="F28" s="2705"/>
      <c r="G28" s="2705"/>
      <c r="H28" s="2705"/>
      <c r="I28" s="2705"/>
      <c r="J28" s="2705"/>
      <c r="K28" s="2705"/>
      <c r="L28" s="2705"/>
      <c r="M28" s="2705"/>
      <c r="N28" s="2705"/>
      <c r="O28" s="2705"/>
      <c r="P28" s="2705"/>
      <c r="Q28" s="2723" t="str">
        <f>IF('1_入力シート【基本情報】'!$AB$261="","",'1_入力シート【基本情報】'!$AB$261)</f>
        <v/>
      </c>
      <c r="R28" s="2723"/>
      <c r="S28" s="2723"/>
      <c r="T28" s="2723"/>
      <c r="U28" s="2723"/>
      <c r="V28" s="2723"/>
      <c r="W28" s="2723"/>
      <c r="X28" s="2723"/>
      <c r="Y28" s="2723"/>
      <c r="Z28" s="2723"/>
      <c r="AA28" s="2723"/>
      <c r="AB28" s="2723"/>
      <c r="AC28" s="2723"/>
      <c r="AD28" s="2723"/>
      <c r="AE28" s="2723"/>
      <c r="AF28" s="2723"/>
      <c r="AG28" s="2723"/>
      <c r="AH28" s="2723"/>
      <c r="AI28" s="2723"/>
      <c r="AJ28" s="1371"/>
      <c r="AK28" s="1372"/>
      <c r="AL28" s="1372"/>
      <c r="AM28" s="1372"/>
      <c r="AN28" s="1372"/>
      <c r="AO28" s="1373"/>
      <c r="AP28" s="1374"/>
      <c r="AQ28" s="1034"/>
      <c r="AR28" s="1034"/>
      <c r="AS28" s="1034"/>
      <c r="AT28" s="1034"/>
      <c r="AU28" s="1034"/>
      <c r="AV28" s="1034"/>
      <c r="AW28" s="1034"/>
      <c r="AX28" s="1363"/>
      <c r="AY28" s="931"/>
    </row>
    <row r="29" spans="1:64" ht="15" customHeight="1">
      <c r="A29" s="1343"/>
      <c r="B29" s="1369"/>
      <c r="C29" s="1370"/>
      <c r="D29" s="2724" t="s">
        <v>750</v>
      </c>
      <c r="E29" s="2724"/>
      <c r="F29" s="2724"/>
      <c r="G29" s="2724"/>
      <c r="H29" s="2724"/>
      <c r="I29" s="2724"/>
      <c r="J29" s="2724"/>
      <c r="K29" s="2724"/>
      <c r="L29" s="1375"/>
      <c r="M29" s="1376"/>
      <c r="N29" s="1376"/>
      <c r="O29" s="1376"/>
      <c r="P29" s="1376"/>
      <c r="Q29" s="2726" t="str">
        <f>IF('1_入力シート【基本情報】'!$AB$262="","",'1_入力シート【基本情報】'!$AB$262)</f>
        <v/>
      </c>
      <c r="R29" s="2726"/>
      <c r="S29" s="2726"/>
      <c r="T29" s="2726"/>
      <c r="U29" s="2726"/>
      <c r="V29" s="2726"/>
      <c r="W29" s="2726"/>
      <c r="X29" s="2726"/>
      <c r="Y29" s="2726"/>
      <c r="Z29" s="2726"/>
      <c r="AA29" s="2726"/>
      <c r="AB29" s="2726"/>
      <c r="AC29" s="2726"/>
      <c r="AD29" s="2726"/>
      <c r="AE29" s="2726"/>
      <c r="AF29" s="2726"/>
      <c r="AG29" s="2726"/>
      <c r="AH29" s="2726"/>
      <c r="AI29" s="2726"/>
      <c r="AJ29" s="1377"/>
      <c r="AK29" s="1377"/>
      <c r="AL29" s="1377"/>
      <c r="AM29" s="1377"/>
      <c r="AN29" s="1373"/>
      <c r="AO29" s="1373"/>
      <c r="AP29" s="1374"/>
      <c r="AQ29" s="1034"/>
      <c r="AR29" s="1034"/>
      <c r="AS29" s="1034"/>
      <c r="AT29" s="1034"/>
      <c r="AU29" s="1034"/>
      <c r="AV29" s="1034"/>
      <c r="AW29" s="1034"/>
      <c r="AX29" s="1363"/>
      <c r="AY29" s="931"/>
    </row>
    <row r="30" spans="1:64" ht="14.25" customHeight="1">
      <c r="A30" s="1343"/>
      <c r="B30" s="1369"/>
      <c r="C30" s="1370"/>
      <c r="D30" s="2724"/>
      <c r="E30" s="2724"/>
      <c r="F30" s="2724"/>
      <c r="G30" s="2724"/>
      <c r="H30" s="2724"/>
      <c r="I30" s="2724"/>
      <c r="J30" s="2724"/>
      <c r="K30" s="2724"/>
      <c r="L30" s="1378"/>
      <c r="M30" s="1378"/>
      <c r="N30" s="1378"/>
      <c r="O30" s="1378"/>
      <c r="P30" s="1378"/>
      <c r="Q30" s="1379"/>
      <c r="R30" s="1380" t="s">
        <v>320</v>
      </c>
      <c r="S30" s="1380"/>
      <c r="T30" s="1380"/>
      <c r="U30" s="1380"/>
      <c r="V30" s="2720" t="str">
        <f>IF('1_入力シート【基本情報】'!$AH$263="","",'1_入力シート【基本情報】'!$AH$263)</f>
        <v/>
      </c>
      <c r="W30" s="2720"/>
      <c r="X30" s="2727"/>
      <c r="Y30" s="2720" t="str">
        <f>IF('1_入力シート【基本情報】'!$AK$263="","",'1_入力シート【基本情報】'!$AK$263)</f>
        <v/>
      </c>
      <c r="Z30" s="2720"/>
      <c r="AA30" s="2727"/>
      <c r="AB30" s="1381" t="s">
        <v>12</v>
      </c>
      <c r="AC30" s="1382"/>
      <c r="AD30" s="2720" t="str">
        <f>IF('1_入力シート【基本情報】'!$AP$263="","",'1_入力シート【基本情報】'!$AP$263)</f>
        <v/>
      </c>
      <c r="AE30" s="2720"/>
      <c r="AF30" s="2727"/>
      <c r="AG30" s="2728" t="s">
        <v>170</v>
      </c>
      <c r="AH30" s="2728"/>
      <c r="AI30" s="1380"/>
      <c r="AJ30" s="2732"/>
      <c r="AK30" s="2732"/>
      <c r="AL30" s="2732"/>
      <c r="AM30" s="1371"/>
      <c r="AN30" s="1371"/>
      <c r="AO30" s="1377"/>
      <c r="AP30" s="1374"/>
      <c r="AQ30" s="1034"/>
      <c r="AR30" s="1034"/>
      <c r="AS30" s="1034"/>
      <c r="AT30" s="1034"/>
      <c r="AU30" s="1034"/>
      <c r="AV30" s="1034"/>
      <c r="AW30" s="1034"/>
      <c r="AX30" s="1363"/>
      <c r="AY30" s="931"/>
      <c r="AZ30" s="931"/>
      <c r="BA30" s="931"/>
      <c r="BB30" s="931"/>
    </row>
    <row r="31" spans="1:64" ht="13.5" customHeight="1">
      <c r="A31" s="1343"/>
      <c r="B31" s="1383"/>
      <c r="C31" s="1384"/>
      <c r="D31" s="2725"/>
      <c r="E31" s="2725"/>
      <c r="F31" s="2725"/>
      <c r="G31" s="2725"/>
      <c r="H31" s="2725"/>
      <c r="I31" s="2725"/>
      <c r="J31" s="2725"/>
      <c r="K31" s="2725"/>
      <c r="L31" s="1385"/>
      <c r="M31" s="1385"/>
      <c r="N31" s="1385"/>
      <c r="O31" s="1385"/>
      <c r="P31" s="1385"/>
      <c r="Q31" s="1386"/>
      <c r="R31" s="1384" t="s">
        <v>2629</v>
      </c>
      <c r="S31" s="1384"/>
      <c r="T31" s="1384"/>
      <c r="U31" s="1384"/>
      <c r="V31" s="2714" t="str">
        <f>IF('1_入力シート【基本情報】'!$AH$264="","",'1_入力シート【基本情報】'!$AH$264)</f>
        <v/>
      </c>
      <c r="W31" s="2714"/>
      <c r="X31" s="2714"/>
      <c r="Y31" s="2714"/>
      <c r="Z31" s="2714"/>
      <c r="AA31" s="2714"/>
      <c r="AB31" s="2714"/>
      <c r="AC31" s="2714"/>
      <c r="AD31" s="2714"/>
      <c r="AE31" s="2714"/>
      <c r="AF31" s="2714"/>
      <c r="AG31" s="2714"/>
      <c r="AH31" s="2714"/>
      <c r="AI31" s="2714"/>
      <c r="AJ31" s="2714"/>
      <c r="AK31" s="2714"/>
      <c r="AL31" s="2714"/>
      <c r="AM31" s="2714"/>
      <c r="AN31" s="1384" t="s">
        <v>22</v>
      </c>
      <c r="AO31" s="1387"/>
      <c r="AP31" s="1388"/>
      <c r="AQ31" s="1034"/>
      <c r="AR31" s="1034"/>
      <c r="AS31" s="1034"/>
      <c r="AT31" s="1034"/>
      <c r="AU31" s="1034"/>
      <c r="AV31" s="1034"/>
      <c r="AW31" s="1034"/>
      <c r="AX31" s="1363"/>
      <c r="AY31" s="931"/>
      <c r="AZ31" s="931"/>
      <c r="BA31" s="931"/>
      <c r="BB31" s="931"/>
      <c r="BC31" s="931"/>
      <c r="BD31" s="931"/>
    </row>
    <row r="32" spans="1:64" ht="13.5" customHeight="1">
      <c r="A32" s="1343"/>
      <c r="B32" s="1389" t="s">
        <v>3125</v>
      </c>
      <c r="C32" s="1370"/>
      <c r="D32" s="1385"/>
      <c r="E32" s="1385"/>
      <c r="F32" s="1385"/>
      <c r="G32" s="1385"/>
      <c r="H32" s="1385"/>
      <c r="I32" s="1390"/>
      <c r="J32" s="1390"/>
      <c r="K32" s="1390"/>
      <c r="L32" s="1390"/>
      <c r="M32" s="1390"/>
      <c r="N32" s="1390"/>
      <c r="O32" s="1390"/>
      <c r="P32" s="1390"/>
      <c r="Q32" s="1391"/>
      <c r="R32" s="1384"/>
      <c r="S32" s="1384"/>
      <c r="T32" s="1384"/>
      <c r="U32" s="1384"/>
      <c r="V32" s="1392"/>
      <c r="W32" s="1392"/>
      <c r="X32" s="1392"/>
      <c r="Y32" s="1392"/>
      <c r="Z32" s="1392"/>
      <c r="AA32" s="1392"/>
      <c r="AB32" s="1392"/>
      <c r="AC32" s="1392"/>
      <c r="AD32" s="1392"/>
      <c r="AE32" s="1392"/>
      <c r="AF32" s="1392"/>
      <c r="AG32" s="1393"/>
      <c r="AH32" s="1393"/>
      <c r="AI32" s="1393"/>
      <c r="AJ32" s="1394"/>
      <c r="AK32" s="1394"/>
      <c r="AL32" s="1394"/>
      <c r="AM32" s="1394"/>
      <c r="AN32" s="1395"/>
      <c r="AO32" s="1396"/>
      <c r="AP32" s="1397"/>
      <c r="AQ32" s="1034"/>
      <c r="AR32" s="1034"/>
      <c r="AS32" s="1034"/>
      <c r="AT32" s="1034"/>
      <c r="AU32" s="1034"/>
      <c r="AV32" s="1034"/>
      <c r="AW32" s="1034"/>
      <c r="AX32" s="1363"/>
      <c r="AY32" s="931"/>
      <c r="AZ32" s="931"/>
      <c r="BA32" s="931"/>
      <c r="BB32" s="931"/>
      <c r="BC32" s="931"/>
      <c r="BD32" s="931"/>
    </row>
    <row r="33" spans="1:66" ht="24" customHeight="1">
      <c r="A33" s="1343"/>
      <c r="B33" s="1369"/>
      <c r="C33" s="1370"/>
      <c r="D33" s="2701" t="s">
        <v>3132</v>
      </c>
      <c r="E33" s="2701"/>
      <c r="F33" s="2701"/>
      <c r="G33" s="2701"/>
      <c r="H33" s="2701"/>
      <c r="I33" s="2701"/>
      <c r="J33" s="2701"/>
      <c r="K33" s="2701"/>
      <c r="L33" s="2701"/>
      <c r="M33" s="2701"/>
      <c r="N33" s="2701"/>
      <c r="O33" s="2701"/>
      <c r="P33" s="2701"/>
      <c r="Q33" s="2702" t="str">
        <f>IF('1_入力シート【基本情報】'!$AB267="","",'1_入力シート【基本情報】'!$AB267)</f>
        <v/>
      </c>
      <c r="R33" s="2702"/>
      <c r="S33" s="2702"/>
      <c r="T33" s="2702"/>
      <c r="U33" s="2702"/>
      <c r="V33" s="2702"/>
      <c r="W33" s="2702"/>
      <c r="X33" s="2702"/>
      <c r="Y33" s="2702"/>
      <c r="Z33" s="2702"/>
      <c r="AA33" s="2702"/>
      <c r="AB33" s="2702"/>
      <c r="AC33" s="2702"/>
      <c r="AD33" s="2702"/>
      <c r="AE33" s="2702"/>
      <c r="AF33" s="2702"/>
      <c r="AG33" s="2702"/>
      <c r="AH33" s="2702"/>
      <c r="AI33" s="2702"/>
      <c r="AJ33" s="1392"/>
      <c r="AK33" s="1392"/>
      <c r="AL33" s="1392"/>
      <c r="AM33" s="1392"/>
      <c r="AN33" s="1384"/>
      <c r="AO33" s="1387"/>
      <c r="AP33" s="1398"/>
      <c r="AQ33" s="1034"/>
      <c r="AR33" s="1034"/>
      <c r="AS33" s="1034"/>
      <c r="AT33" s="1034"/>
      <c r="AU33" s="1034"/>
      <c r="AV33" s="1034"/>
      <c r="AW33" s="1034"/>
      <c r="AX33" s="1363"/>
      <c r="AY33" s="931"/>
      <c r="AZ33" s="931"/>
      <c r="BA33" s="931"/>
      <c r="BB33" s="931"/>
      <c r="BC33" s="931"/>
      <c r="BD33" s="931"/>
    </row>
    <row r="34" spans="1:66">
      <c r="A34" s="1343"/>
      <c r="B34" s="1399"/>
      <c r="C34" s="1395" t="s">
        <v>3318</v>
      </c>
      <c r="D34" s="1400"/>
      <c r="E34" s="1400"/>
      <c r="F34" s="1400"/>
      <c r="G34" s="1400"/>
      <c r="H34" s="1400"/>
      <c r="I34" s="1400"/>
      <c r="J34" s="1401"/>
      <c r="K34" s="1401"/>
      <c r="L34" s="1401"/>
      <c r="M34" s="1401"/>
      <c r="N34" s="1401"/>
      <c r="O34" s="1401"/>
      <c r="P34" s="1401"/>
      <c r="Q34" s="1391"/>
      <c r="R34" s="1384"/>
      <c r="S34" s="1384"/>
      <c r="T34" s="1384"/>
      <c r="U34" s="1384"/>
      <c r="V34" s="1392"/>
      <c r="W34" s="1392"/>
      <c r="X34" s="1392"/>
      <c r="Y34" s="1392"/>
      <c r="Z34" s="1392"/>
      <c r="AA34" s="1392"/>
      <c r="AB34" s="1392"/>
      <c r="AC34" s="1392"/>
      <c r="AD34" s="1392"/>
      <c r="AE34" s="1392"/>
      <c r="AF34" s="1392"/>
      <c r="AG34" s="1402"/>
      <c r="AH34" s="1402"/>
      <c r="AI34" s="1394"/>
      <c r="AJ34" s="1394"/>
      <c r="AK34" s="1394"/>
      <c r="AL34" s="1394"/>
      <c r="AM34" s="1394"/>
      <c r="AN34" s="1395"/>
      <c r="AO34" s="1396"/>
      <c r="AP34" s="1403"/>
      <c r="AQ34" s="1034"/>
      <c r="AR34" s="1034"/>
      <c r="AS34" s="1034"/>
      <c r="AT34" s="1034"/>
      <c r="AU34" s="1034"/>
      <c r="AV34" s="1034"/>
      <c r="AW34" s="1034"/>
      <c r="AX34" s="1363"/>
      <c r="AY34" s="931"/>
      <c r="AZ34" s="931"/>
      <c r="BA34" s="931"/>
      <c r="BB34" s="931"/>
      <c r="BC34" s="931"/>
      <c r="BD34" s="931"/>
    </row>
    <row r="35" spans="1:66">
      <c r="A35" s="1343"/>
      <c r="B35" s="1383"/>
      <c r="C35" s="1384"/>
      <c r="D35" s="2701" t="s">
        <v>3330</v>
      </c>
      <c r="E35" s="2701"/>
      <c r="F35" s="2701"/>
      <c r="G35" s="2701"/>
      <c r="H35" s="2701"/>
      <c r="I35" s="2701"/>
      <c r="J35" s="2701"/>
      <c r="K35" s="2701"/>
      <c r="L35" s="2701"/>
      <c r="M35" s="2701"/>
      <c r="N35" s="2701"/>
      <c r="O35" s="2701"/>
      <c r="P35" s="2701"/>
      <c r="Q35" s="2762" t="str">
        <f>'2_入力シート【用途面積】'!X12</f>
        <v/>
      </c>
      <c r="R35" s="2762"/>
      <c r="S35" s="2762"/>
      <c r="T35" s="2762"/>
      <c r="U35" s="2762"/>
      <c r="V35" s="2762"/>
      <c r="W35" s="2762"/>
      <c r="X35" s="2762"/>
      <c r="Y35" s="2762"/>
      <c r="Z35" s="2762"/>
      <c r="AA35" s="2762"/>
      <c r="AB35" s="2762"/>
      <c r="AC35" s="2762"/>
      <c r="AD35" s="2762"/>
      <c r="AE35" s="2762"/>
      <c r="AF35" s="2762"/>
      <c r="AG35" s="2762"/>
      <c r="AH35" s="2762"/>
      <c r="AI35" s="2762"/>
      <c r="AJ35" s="1392"/>
      <c r="AK35" s="1392"/>
      <c r="AL35" s="1392"/>
      <c r="AM35" s="1392"/>
      <c r="AN35" s="1384"/>
      <c r="AO35" s="1387"/>
      <c r="AP35" s="1398"/>
      <c r="AQ35" s="1034"/>
      <c r="AR35" s="1034"/>
      <c r="AS35" s="1034"/>
      <c r="AT35" s="1034"/>
      <c r="AU35" s="1034"/>
      <c r="AV35" s="1034"/>
      <c r="AW35" s="1034"/>
      <c r="AX35" s="1363"/>
      <c r="AY35" s="931"/>
      <c r="AZ35" s="931"/>
      <c r="BA35" s="931"/>
      <c r="BB35" s="931"/>
      <c r="BC35" s="931"/>
      <c r="BD35" s="931"/>
    </row>
    <row r="36" spans="1:66">
      <c r="A36" s="1343"/>
      <c r="B36" s="1404" t="s">
        <v>2743</v>
      </c>
      <c r="C36" s="1395"/>
      <c r="D36" s="1380"/>
      <c r="E36" s="1380"/>
      <c r="F36" s="1380"/>
      <c r="G36" s="1380"/>
      <c r="H36" s="1380"/>
      <c r="I36" s="1380"/>
      <c r="J36" s="1395"/>
      <c r="K36" s="1395"/>
      <c r="L36" s="1395"/>
      <c r="M36" s="1395"/>
      <c r="N36" s="1395"/>
      <c r="O36" s="1395"/>
      <c r="P36" s="1395"/>
      <c r="Q36" s="1380"/>
      <c r="R36" s="1380"/>
      <c r="S36" s="1380"/>
      <c r="T36" s="1380"/>
      <c r="U36" s="1380"/>
      <c r="V36" s="1380"/>
      <c r="W36" s="1380"/>
      <c r="X36" s="1380"/>
      <c r="Y36" s="1380"/>
      <c r="Z36" s="1380"/>
      <c r="AA36" s="1380"/>
      <c r="AB36" s="1380"/>
      <c r="AC36" s="1380"/>
      <c r="AD36" s="1380"/>
      <c r="AE36" s="1380"/>
      <c r="AF36" s="1380"/>
      <c r="AG36" s="1395"/>
      <c r="AH36" s="1395"/>
      <c r="AI36" s="1370"/>
      <c r="AJ36" s="1373"/>
      <c r="AK36" s="1373"/>
      <c r="AL36" s="1373"/>
      <c r="AM36" s="1373"/>
      <c r="AN36" s="1373"/>
      <c r="AO36" s="1373"/>
      <c r="AP36" s="1374"/>
      <c r="AQ36" s="1034"/>
      <c r="AR36" s="1034"/>
      <c r="AS36" s="1034"/>
      <c r="AT36" s="1034"/>
      <c r="AU36" s="1034"/>
      <c r="AV36" s="1034"/>
      <c r="AW36" s="1034"/>
      <c r="AX36" s="1363"/>
      <c r="AY36" s="931"/>
      <c r="AZ36" s="931"/>
      <c r="BA36" s="931"/>
      <c r="BB36" s="931"/>
      <c r="BC36" s="931"/>
      <c r="BD36" s="931"/>
      <c r="BE36" s="931"/>
      <c r="BF36" s="931"/>
      <c r="BG36" s="931"/>
      <c r="BH36" s="931"/>
      <c r="BI36" s="931"/>
      <c r="BJ36" s="931"/>
      <c r="BK36" s="931"/>
      <c r="BL36" s="931"/>
      <c r="BM36" s="931"/>
      <c r="BN36" s="931"/>
    </row>
    <row r="37" spans="1:66" hidden="1">
      <c r="A37" s="1343"/>
      <c r="B37" s="1405"/>
      <c r="C37" s="1377"/>
      <c r="D37" s="2772" t="s">
        <v>726</v>
      </c>
      <c r="E37" s="2772"/>
      <c r="F37" s="2772"/>
      <c r="G37" s="2772"/>
      <c r="H37" s="2772"/>
      <c r="I37" s="2772"/>
      <c r="J37" s="1396" t="s">
        <v>720</v>
      </c>
      <c r="K37" s="1396"/>
      <c r="L37" s="1396"/>
      <c r="M37" s="1396"/>
      <c r="N37" s="1396"/>
      <c r="O37" s="1396"/>
      <c r="P37" s="1396"/>
      <c r="Q37" s="1396"/>
      <c r="R37" s="1396"/>
      <c r="S37" s="1396"/>
      <c r="T37" s="1396"/>
      <c r="U37" s="1396"/>
      <c r="V37" s="1396" t="s">
        <v>727</v>
      </c>
      <c r="W37" s="1396"/>
      <c r="X37" s="1396"/>
      <c r="Y37" s="1396"/>
      <c r="Z37" s="1396"/>
      <c r="AA37" s="1396"/>
      <c r="AB37" s="1396"/>
      <c r="AC37" s="1396"/>
      <c r="AD37" s="1396"/>
      <c r="AE37" s="1396"/>
      <c r="AF37" s="1396"/>
      <c r="AG37" s="1377"/>
      <c r="AH37" s="1377"/>
      <c r="AI37" s="1377"/>
      <c r="AJ37" s="1373"/>
      <c r="AK37" s="1373"/>
      <c r="AL37" s="1373"/>
      <c r="AM37" s="1373"/>
      <c r="AN37" s="1373"/>
      <c r="AO37" s="1373"/>
      <c r="AP37" s="1374"/>
      <c r="AQ37" s="1034"/>
      <c r="AR37" s="1034"/>
      <c r="AS37" s="1034"/>
      <c r="AT37" s="1034"/>
      <c r="AU37" s="1034"/>
      <c r="AV37" s="1034"/>
      <c r="AW37" s="1034"/>
      <c r="AX37" s="1363"/>
      <c r="AY37" s="931"/>
      <c r="AZ37" s="931"/>
      <c r="BA37" s="931"/>
      <c r="BB37" s="931"/>
      <c r="BC37" s="931"/>
      <c r="BD37" s="931"/>
      <c r="BE37" s="931"/>
      <c r="BF37" s="931"/>
      <c r="BG37" s="931"/>
      <c r="BH37" s="931"/>
      <c r="BI37" s="931"/>
      <c r="BJ37" s="931"/>
      <c r="BK37" s="931"/>
      <c r="BL37" s="931"/>
      <c r="BM37" s="931"/>
    </row>
    <row r="38" spans="1:66" hidden="1">
      <c r="A38" s="1343"/>
      <c r="B38" s="1405"/>
      <c r="C38" s="1377"/>
      <c r="D38" s="2773"/>
      <c r="E38" s="2773"/>
      <c r="F38" s="2773"/>
      <c r="G38" s="2773"/>
      <c r="H38" s="2773"/>
      <c r="I38" s="2773"/>
      <c r="J38" s="1377"/>
      <c r="K38" s="1377"/>
      <c r="L38" s="1377"/>
      <c r="M38" s="1377"/>
      <c r="N38" s="1377"/>
      <c r="O38" s="1377"/>
      <c r="P38" s="1377"/>
      <c r="Q38" s="1377"/>
      <c r="R38" s="1377"/>
      <c r="S38" s="1377"/>
      <c r="T38" s="1377"/>
      <c r="U38" s="1377"/>
      <c r="V38" s="1377" t="s">
        <v>728</v>
      </c>
      <c r="W38" s="1377"/>
      <c r="X38" s="1377"/>
      <c r="Y38" s="1377"/>
      <c r="Z38" s="1377"/>
      <c r="AA38" s="1377"/>
      <c r="AB38" s="1377"/>
      <c r="AC38" s="1377"/>
      <c r="AD38" s="1377"/>
      <c r="AE38" s="1377"/>
      <c r="AF38" s="1377"/>
      <c r="AG38" s="1377"/>
      <c r="AH38" s="1377"/>
      <c r="AI38" s="1377"/>
      <c r="AJ38" s="1373"/>
      <c r="AK38" s="1373"/>
      <c r="AL38" s="1373"/>
      <c r="AM38" s="1373"/>
      <c r="AN38" s="1373"/>
      <c r="AO38" s="1373"/>
      <c r="AP38" s="1374"/>
      <c r="AQ38" s="1034"/>
      <c r="AR38" s="1034"/>
      <c r="AS38" s="1034"/>
      <c r="AT38" s="1034"/>
      <c r="AU38" s="1034"/>
      <c r="AV38" s="1034"/>
      <c r="AW38" s="1034"/>
      <c r="AX38" s="1363"/>
      <c r="AY38" s="931"/>
      <c r="AZ38" s="931"/>
      <c r="BA38" s="931"/>
      <c r="BB38" s="931"/>
      <c r="BC38" s="931"/>
      <c r="BD38" s="931"/>
      <c r="BE38" s="931"/>
      <c r="BF38" s="931"/>
      <c r="BG38" s="931"/>
      <c r="BH38" s="931"/>
      <c r="BI38" s="931"/>
      <c r="BJ38" s="931"/>
      <c r="BK38" s="931"/>
      <c r="BL38" s="931"/>
      <c r="BM38" s="931"/>
    </row>
    <row r="39" spans="1:66" hidden="1">
      <c r="A39" s="1343"/>
      <c r="B39" s="1405"/>
      <c r="C39" s="1377"/>
      <c r="D39" s="2773"/>
      <c r="E39" s="2773"/>
      <c r="F39" s="2773"/>
      <c r="G39" s="2773"/>
      <c r="H39" s="2773"/>
      <c r="I39" s="2773"/>
      <c r="J39" s="1377"/>
      <c r="K39" s="1377"/>
      <c r="L39" s="1377"/>
      <c r="M39" s="1377"/>
      <c r="N39" s="1377"/>
      <c r="O39" s="1377"/>
      <c r="P39" s="1377"/>
      <c r="Q39" s="1377"/>
      <c r="R39" s="1377"/>
      <c r="S39" s="1377"/>
      <c r="T39" s="1377"/>
      <c r="U39" s="1377"/>
      <c r="V39" s="1377" t="s">
        <v>729</v>
      </c>
      <c r="W39" s="1377"/>
      <c r="X39" s="1377"/>
      <c r="Y39" s="1377"/>
      <c r="Z39" s="1377"/>
      <c r="AA39" s="1377"/>
      <c r="AB39" s="1377"/>
      <c r="AC39" s="1377"/>
      <c r="AD39" s="1377"/>
      <c r="AE39" s="1377"/>
      <c r="AF39" s="1377"/>
      <c r="AG39" s="1377"/>
      <c r="AH39" s="1377"/>
      <c r="AI39" s="1377"/>
      <c r="AJ39" s="1373"/>
      <c r="AK39" s="1373"/>
      <c r="AL39" s="1373"/>
      <c r="AM39" s="1373"/>
      <c r="AN39" s="1373"/>
      <c r="AO39" s="1373"/>
      <c r="AP39" s="1374"/>
      <c r="AQ39" s="1034"/>
      <c r="AR39" s="1034"/>
      <c r="AS39" s="1034"/>
      <c r="AT39" s="1034"/>
      <c r="AU39" s="1034"/>
      <c r="AV39" s="1034"/>
      <c r="AW39" s="1034"/>
      <c r="AX39" s="1363"/>
      <c r="AY39" s="931"/>
      <c r="AZ39" s="931"/>
      <c r="BA39" s="931"/>
      <c r="BB39" s="931"/>
      <c r="BC39" s="931"/>
      <c r="BD39" s="931"/>
      <c r="BE39" s="931"/>
      <c r="BF39" s="931"/>
      <c r="BG39" s="931"/>
      <c r="BH39" s="931"/>
      <c r="BI39" s="931"/>
      <c r="BJ39" s="931"/>
      <c r="BK39" s="931"/>
      <c r="BL39" s="931"/>
      <c r="BM39" s="931"/>
    </row>
    <row r="40" spans="1:66" hidden="1">
      <c r="A40" s="1343"/>
      <c r="B40" s="1405"/>
      <c r="C40" s="1377"/>
      <c r="D40" s="2773"/>
      <c r="E40" s="2773"/>
      <c r="F40" s="2773"/>
      <c r="G40" s="2773"/>
      <c r="H40" s="2773"/>
      <c r="I40" s="2773"/>
      <c r="J40" s="1377"/>
      <c r="K40" s="1377"/>
      <c r="L40" s="1377"/>
      <c r="M40" s="1377"/>
      <c r="N40" s="1377"/>
      <c r="O40" s="1377"/>
      <c r="P40" s="1377"/>
      <c r="Q40" s="1377"/>
      <c r="R40" s="1377"/>
      <c r="S40" s="1377"/>
      <c r="T40" s="1377"/>
      <c r="U40" s="1377"/>
      <c r="V40" s="1377" t="s">
        <v>730</v>
      </c>
      <c r="W40" s="1377"/>
      <c r="X40" s="1377"/>
      <c r="Y40" s="1377"/>
      <c r="Z40" s="1377"/>
      <c r="AA40" s="1377"/>
      <c r="AB40" s="1377"/>
      <c r="AC40" s="1377"/>
      <c r="AD40" s="1377"/>
      <c r="AE40" s="1377"/>
      <c r="AF40" s="1377"/>
      <c r="AG40" s="1377"/>
      <c r="AH40" s="1377"/>
      <c r="AI40" s="1377"/>
      <c r="AJ40" s="1373"/>
      <c r="AK40" s="1373"/>
      <c r="AL40" s="1373"/>
      <c r="AM40" s="1373"/>
      <c r="AN40" s="1373"/>
      <c r="AO40" s="1373"/>
      <c r="AP40" s="1374"/>
      <c r="AQ40" s="1034"/>
      <c r="AR40" s="1034"/>
      <c r="AS40" s="1034"/>
      <c r="AT40" s="1034"/>
      <c r="AU40" s="1034"/>
      <c r="AV40" s="1034"/>
      <c r="AW40" s="1034"/>
      <c r="AX40" s="1363"/>
      <c r="AY40" s="931"/>
      <c r="AZ40" s="931"/>
      <c r="BA40" s="931"/>
      <c r="BB40" s="931"/>
      <c r="BC40" s="931"/>
      <c r="BD40" s="931"/>
      <c r="BE40" s="931"/>
      <c r="BF40" s="931"/>
      <c r="BG40" s="931"/>
      <c r="BH40" s="931"/>
      <c r="BI40" s="931"/>
      <c r="BJ40" s="931"/>
      <c r="BK40" s="931"/>
      <c r="BL40" s="931"/>
      <c r="BM40" s="931"/>
    </row>
    <row r="41" spans="1:66" ht="18.75" customHeight="1">
      <c r="A41" s="1343"/>
      <c r="B41" s="1405"/>
      <c r="C41" s="1377"/>
      <c r="D41" s="2774"/>
      <c r="E41" s="2774"/>
      <c r="F41" s="2774"/>
      <c r="G41" s="2774"/>
      <c r="H41" s="2774"/>
      <c r="I41" s="2774"/>
      <c r="J41" s="2701" t="s">
        <v>735</v>
      </c>
      <c r="K41" s="2701"/>
      <c r="L41" s="2701"/>
      <c r="M41" s="2701"/>
      <c r="N41" s="2701"/>
      <c r="O41" s="2701"/>
      <c r="P41" s="2701"/>
      <c r="Q41" s="2748" t="str">
        <f>IF('1_入力シート【基本情報】'!$AB274="","",'1_入力シート【基本情報】'!$AB274)</f>
        <v/>
      </c>
      <c r="R41" s="2748"/>
      <c r="S41" s="2748"/>
      <c r="T41" s="2748"/>
      <c r="U41" s="2748"/>
      <c r="V41" s="1387"/>
      <c r="W41" s="1387"/>
      <c r="X41" s="1387"/>
      <c r="Y41" s="1387"/>
      <c r="Z41" s="1387"/>
      <c r="AA41" s="1387"/>
      <c r="AB41" s="1387"/>
      <c r="AC41" s="1387"/>
      <c r="AD41" s="1387"/>
      <c r="AE41" s="1387"/>
      <c r="AF41" s="1387"/>
      <c r="AG41" s="1377"/>
      <c r="AH41" s="1377"/>
      <c r="AI41" s="1377"/>
      <c r="AJ41" s="1373"/>
      <c r="AK41" s="1373"/>
      <c r="AL41" s="1373"/>
      <c r="AM41" s="1373"/>
      <c r="AN41" s="1373"/>
      <c r="AO41" s="1373"/>
      <c r="AP41" s="1374"/>
      <c r="AQ41" s="1034"/>
      <c r="AR41" s="1034"/>
      <c r="AS41" s="1034"/>
      <c r="AT41" s="1034"/>
      <c r="AU41" s="1034"/>
      <c r="AV41" s="1034"/>
      <c r="AW41" s="1034"/>
      <c r="AX41" s="1363"/>
      <c r="AY41" s="931"/>
      <c r="AZ41" s="931"/>
      <c r="BA41" s="931"/>
      <c r="BB41" s="931"/>
      <c r="BC41" s="931"/>
      <c r="BD41" s="931"/>
      <c r="BE41" s="931"/>
      <c r="BF41" s="931"/>
      <c r="BG41" s="931"/>
      <c r="BH41" s="931"/>
      <c r="BI41" s="931"/>
      <c r="BJ41" s="931"/>
      <c r="BK41" s="931"/>
      <c r="BL41" s="931"/>
      <c r="BM41" s="931"/>
    </row>
    <row r="42" spans="1:66" ht="15.75" customHeight="1">
      <c r="A42" s="1343"/>
      <c r="B42" s="1406"/>
      <c r="C42" s="1370"/>
      <c r="D42" s="2707" t="s">
        <v>2744</v>
      </c>
      <c r="E42" s="2707"/>
      <c r="F42" s="2707"/>
      <c r="G42" s="2707"/>
      <c r="H42" s="2707"/>
      <c r="I42" s="2707"/>
      <c r="J42" s="2710" t="s">
        <v>720</v>
      </c>
      <c r="K42" s="2710"/>
      <c r="L42" s="2710"/>
      <c r="M42" s="2710"/>
      <c r="N42" s="2710"/>
      <c r="O42" s="2710"/>
      <c r="P42" s="2710"/>
      <c r="Q42" s="2711" t="str">
        <f>IF('1_入力シート【基本情報】'!$AB275="","",'1_入力シート【基本情報】'!$AB275)</f>
        <v/>
      </c>
      <c r="R42" s="2711"/>
      <c r="S42" s="2711"/>
      <c r="T42" s="1380"/>
      <c r="U42" s="1407"/>
      <c r="V42" s="1380"/>
      <c r="W42" s="1380"/>
      <c r="X42" s="1380"/>
      <c r="Y42" s="1380"/>
      <c r="Z42" s="1380"/>
      <c r="AA42" s="1380"/>
      <c r="AB42" s="1380"/>
      <c r="AC42" s="1380"/>
      <c r="AD42" s="1380"/>
      <c r="AE42" s="1380"/>
      <c r="AF42" s="1408"/>
      <c r="AG42" s="1409"/>
      <c r="AH42" s="1409"/>
      <c r="AI42" s="1377"/>
      <c r="AJ42" s="1373"/>
      <c r="AK42" s="1373"/>
      <c r="AL42" s="1373"/>
      <c r="AM42" s="1373"/>
      <c r="AN42" s="1373"/>
      <c r="AO42" s="1373"/>
      <c r="AP42" s="1374"/>
      <c r="AQ42" s="1034"/>
      <c r="AR42" s="1034"/>
      <c r="AS42" s="1034"/>
      <c r="AT42" s="1034"/>
      <c r="AU42" s="1034"/>
      <c r="AV42" s="1034"/>
      <c r="AW42" s="1034"/>
      <c r="AX42" s="1363"/>
      <c r="AY42" s="931"/>
      <c r="AZ42" s="931"/>
      <c r="BA42" s="931"/>
      <c r="BB42" s="931"/>
      <c r="BC42" s="931"/>
      <c r="BD42" s="931"/>
      <c r="BE42" s="931"/>
      <c r="BF42" s="931"/>
      <c r="BG42" s="931"/>
      <c r="BH42" s="931"/>
      <c r="BI42" s="931"/>
      <c r="BJ42" s="931"/>
      <c r="BK42" s="931"/>
      <c r="BL42" s="931"/>
      <c r="BM42" s="931"/>
    </row>
    <row r="43" spans="1:66" ht="16.5" customHeight="1">
      <c r="A43" s="1343"/>
      <c r="B43" s="1410"/>
      <c r="C43" s="1411"/>
      <c r="D43" s="2708"/>
      <c r="E43" s="2708"/>
      <c r="F43" s="2708"/>
      <c r="G43" s="2708"/>
      <c r="H43" s="2708"/>
      <c r="I43" s="2708"/>
      <c r="J43" s="2701" t="s">
        <v>734</v>
      </c>
      <c r="K43" s="2701"/>
      <c r="L43" s="2701"/>
      <c r="M43" s="2701"/>
      <c r="N43" s="2701"/>
      <c r="O43" s="2701"/>
      <c r="P43" s="2701"/>
      <c r="Q43" s="2712" t="str">
        <f>IF('1_入力シート【基本情報】'!$AB276="","",'1_入力シート【基本情報】'!$AB276)</f>
        <v/>
      </c>
      <c r="R43" s="2712"/>
      <c r="S43" s="2712"/>
      <c r="T43" s="2712"/>
      <c r="U43" s="2712"/>
      <c r="V43" s="2713"/>
      <c r="W43" s="2713"/>
      <c r="X43" s="2713"/>
      <c r="Y43" s="2713"/>
      <c r="Z43" s="2713"/>
      <c r="AA43" s="2713"/>
      <c r="AB43" s="2713"/>
      <c r="AC43" s="2713"/>
      <c r="AD43" s="2713"/>
      <c r="AE43" s="2713"/>
      <c r="AF43" s="1370" t="s">
        <v>17</v>
      </c>
      <c r="AG43" s="1370"/>
      <c r="AH43" s="1370"/>
      <c r="AI43" s="1377"/>
      <c r="AJ43" s="1373"/>
      <c r="AK43" s="1373"/>
      <c r="AL43" s="1373"/>
      <c r="AM43" s="1373"/>
      <c r="AN43" s="1373"/>
      <c r="AO43" s="1373"/>
      <c r="AP43" s="1374"/>
      <c r="AQ43" s="1034"/>
      <c r="AR43" s="1034"/>
      <c r="AS43" s="1034"/>
      <c r="AT43" s="1034"/>
      <c r="AU43" s="1034"/>
      <c r="AV43" s="1034"/>
      <c r="AW43" s="1034"/>
      <c r="AX43" s="1363"/>
      <c r="AY43" s="931"/>
      <c r="AZ43" s="931"/>
      <c r="BA43" s="931"/>
      <c r="BB43" s="931"/>
      <c r="BC43" s="931"/>
      <c r="BD43" s="931"/>
      <c r="BE43" s="931"/>
      <c r="BF43" s="931"/>
      <c r="BG43" s="931"/>
      <c r="BH43" s="931"/>
      <c r="BI43" s="931"/>
      <c r="BJ43" s="931"/>
      <c r="BK43" s="931"/>
      <c r="BL43" s="931"/>
      <c r="BM43" s="931"/>
    </row>
    <row r="44" spans="1:66" ht="15.75" customHeight="1">
      <c r="A44" s="1343"/>
      <c r="B44" s="1406"/>
      <c r="C44" s="1370"/>
      <c r="D44" s="2709"/>
      <c r="E44" s="2709"/>
      <c r="F44" s="2709"/>
      <c r="G44" s="2709"/>
      <c r="H44" s="2709"/>
      <c r="I44" s="2709"/>
      <c r="J44" s="2701" t="s">
        <v>735</v>
      </c>
      <c r="K44" s="2701"/>
      <c r="L44" s="2701"/>
      <c r="M44" s="2701"/>
      <c r="N44" s="2701"/>
      <c r="O44" s="2701"/>
      <c r="P44" s="2701"/>
      <c r="Q44" s="2711" t="str">
        <f>IF('1_入力シート【基本情報】'!$AB277="","",'1_入力シート【基本情報】'!$AB277)</f>
        <v/>
      </c>
      <c r="R44" s="2711"/>
      <c r="S44" s="2711"/>
      <c r="T44" s="2711"/>
      <c r="U44" s="2711"/>
      <c r="V44" s="1380"/>
      <c r="W44" s="1407"/>
      <c r="X44" s="1380"/>
      <c r="Y44" s="1380"/>
      <c r="Z44" s="1380"/>
      <c r="AA44" s="1380"/>
      <c r="AB44" s="1380"/>
      <c r="AC44" s="1380"/>
      <c r="AD44" s="1380"/>
      <c r="AE44" s="1380"/>
      <c r="AF44" s="1412"/>
      <c r="AG44" s="1409"/>
      <c r="AH44" s="1409"/>
      <c r="AI44" s="1377"/>
      <c r="AJ44" s="1373"/>
      <c r="AK44" s="1373"/>
      <c r="AL44" s="1373"/>
      <c r="AM44" s="1373"/>
      <c r="AN44" s="1373"/>
      <c r="AO44" s="1373"/>
      <c r="AP44" s="1374"/>
      <c r="AQ44" s="1034"/>
      <c r="AR44" s="1034"/>
      <c r="AS44" s="1034"/>
      <c r="AT44" s="1034"/>
      <c r="AU44" s="1034"/>
      <c r="AV44" s="1034"/>
      <c r="AW44" s="1034"/>
      <c r="AX44" s="1363"/>
      <c r="AY44" s="931"/>
      <c r="AZ44" s="931"/>
      <c r="BA44" s="931"/>
      <c r="BB44" s="931"/>
      <c r="BC44" s="931"/>
      <c r="BD44" s="931"/>
      <c r="BE44" s="931"/>
      <c r="BF44" s="931"/>
      <c r="BG44" s="931"/>
      <c r="BH44" s="931"/>
      <c r="BI44" s="931"/>
      <c r="BJ44" s="931"/>
      <c r="BK44" s="931"/>
      <c r="BL44" s="931"/>
      <c r="BM44" s="931"/>
    </row>
    <row r="45" spans="1:66" ht="15.75" customHeight="1">
      <c r="A45" s="1343"/>
      <c r="B45" s="1406"/>
      <c r="C45" s="1370"/>
      <c r="D45" s="2731" t="s">
        <v>2745</v>
      </c>
      <c r="E45" s="2731"/>
      <c r="F45" s="2731"/>
      <c r="G45" s="2731"/>
      <c r="H45" s="2731"/>
      <c r="I45" s="2731"/>
      <c r="J45" s="2701" t="s">
        <v>720</v>
      </c>
      <c r="K45" s="2701"/>
      <c r="L45" s="2701"/>
      <c r="M45" s="2701"/>
      <c r="N45" s="2701"/>
      <c r="O45" s="2701"/>
      <c r="P45" s="2701"/>
      <c r="Q45" s="2711" t="str">
        <f>IF('1_入力シート【基本情報】'!$AB278="","",'1_入力シート【基本情報】'!$AB278)</f>
        <v/>
      </c>
      <c r="R45" s="2711"/>
      <c r="S45" s="2711"/>
      <c r="T45" s="1408"/>
      <c r="U45" s="1413"/>
      <c r="V45" s="1395"/>
      <c r="W45" s="1408"/>
      <c r="X45" s="1395"/>
      <c r="Y45" s="1395"/>
      <c r="Z45" s="1395"/>
      <c r="AA45" s="1395"/>
      <c r="AB45" s="1395"/>
      <c r="AC45" s="1395"/>
      <c r="AD45" s="1395"/>
      <c r="AE45" s="1395"/>
      <c r="AF45" s="1408"/>
      <c r="AG45" s="1409"/>
      <c r="AH45" s="1409"/>
      <c r="AI45" s="1377"/>
      <c r="AJ45" s="1373"/>
      <c r="AK45" s="1373"/>
      <c r="AL45" s="1373"/>
      <c r="AM45" s="1373"/>
      <c r="AN45" s="1373"/>
      <c r="AO45" s="1373"/>
      <c r="AP45" s="1374"/>
      <c r="AQ45" s="1034"/>
      <c r="AR45" s="1034"/>
      <c r="AS45" s="1034"/>
      <c r="AT45" s="1034"/>
      <c r="AU45" s="1034"/>
      <c r="AV45" s="1034"/>
      <c r="AW45" s="1034"/>
      <c r="AX45" s="1363"/>
      <c r="AY45" s="931"/>
      <c r="AZ45" s="931"/>
      <c r="BA45" s="931"/>
      <c r="BB45" s="931"/>
      <c r="BC45" s="931"/>
      <c r="BD45" s="931"/>
      <c r="BE45" s="931"/>
      <c r="BF45" s="931"/>
      <c r="BG45" s="931"/>
      <c r="BH45" s="931"/>
      <c r="BI45" s="931"/>
      <c r="BJ45" s="931"/>
      <c r="BK45" s="931"/>
      <c r="BL45" s="931"/>
      <c r="BM45" s="931"/>
    </row>
    <row r="46" spans="1:66" ht="16.5" customHeight="1">
      <c r="A46" s="1343"/>
      <c r="B46" s="1414"/>
      <c r="C46" s="1384"/>
      <c r="D46" s="2725"/>
      <c r="E46" s="2725"/>
      <c r="F46" s="2725"/>
      <c r="G46" s="2725"/>
      <c r="H46" s="2725"/>
      <c r="I46" s="2725"/>
      <c r="J46" s="2701" t="s">
        <v>735</v>
      </c>
      <c r="K46" s="2701"/>
      <c r="L46" s="2701"/>
      <c r="M46" s="2701"/>
      <c r="N46" s="2701"/>
      <c r="O46" s="2701"/>
      <c r="P46" s="2701"/>
      <c r="Q46" s="2711" t="str">
        <f>IF('1_入力シート【基本情報】'!$AB279="","",'1_入力シート【基本情報】'!$AB279)</f>
        <v/>
      </c>
      <c r="R46" s="2711"/>
      <c r="S46" s="2711"/>
      <c r="T46" s="2711"/>
      <c r="U46" s="2711"/>
      <c r="V46" s="1384"/>
      <c r="W46" s="1415"/>
      <c r="X46" s="1384"/>
      <c r="Y46" s="1384"/>
      <c r="Z46" s="1384"/>
      <c r="AA46" s="1384"/>
      <c r="AB46" s="1384"/>
      <c r="AC46" s="1384"/>
      <c r="AD46" s="1384"/>
      <c r="AE46" s="1384"/>
      <c r="AF46" s="1412"/>
      <c r="AG46" s="1412"/>
      <c r="AH46" s="1412"/>
      <c r="AI46" s="1387"/>
      <c r="AJ46" s="1416"/>
      <c r="AK46" s="1416"/>
      <c r="AL46" s="1416"/>
      <c r="AM46" s="1416"/>
      <c r="AN46" s="1416"/>
      <c r="AO46" s="1416"/>
      <c r="AP46" s="1388"/>
      <c r="AQ46" s="1034"/>
      <c r="AR46" s="1034"/>
      <c r="AS46" s="1034"/>
      <c r="AT46" s="1034"/>
      <c r="AU46" s="1034"/>
      <c r="AV46" s="1034"/>
      <c r="AW46" s="1034"/>
      <c r="AX46" s="1363"/>
      <c r="AY46" s="931"/>
      <c r="AZ46" s="931"/>
      <c r="BA46" s="931"/>
      <c r="BB46" s="931"/>
      <c r="BC46" s="931"/>
      <c r="BD46" s="931"/>
      <c r="BE46" s="931"/>
      <c r="BF46" s="931"/>
      <c r="BG46" s="931"/>
      <c r="BH46" s="931"/>
      <c r="BI46" s="931"/>
      <c r="BJ46" s="931"/>
      <c r="BK46" s="931"/>
      <c r="BL46" s="931"/>
      <c r="BM46" s="931"/>
    </row>
    <row r="47" spans="1:66">
      <c r="A47" s="1343"/>
      <c r="B47" s="1417" t="s">
        <v>2746</v>
      </c>
      <c r="C47" s="1370"/>
      <c r="D47" s="1370"/>
      <c r="E47" s="1370"/>
      <c r="F47" s="1370"/>
      <c r="G47" s="1370"/>
      <c r="H47" s="1370"/>
      <c r="I47" s="1370"/>
      <c r="J47" s="1370"/>
      <c r="K47" s="1370"/>
      <c r="L47" s="1370"/>
      <c r="M47" s="1370"/>
      <c r="N47" s="1370"/>
      <c r="O47" s="1370"/>
      <c r="P47" s="1370"/>
      <c r="Q47" s="1370"/>
      <c r="R47" s="1370"/>
      <c r="S47" s="1370"/>
      <c r="T47" s="1370"/>
      <c r="U47" s="1370"/>
      <c r="V47" s="1370"/>
      <c r="W47" s="1370"/>
      <c r="X47" s="1370"/>
      <c r="Y47" s="1370"/>
      <c r="Z47" s="1370"/>
      <c r="AA47" s="1370"/>
      <c r="AB47" s="1370"/>
      <c r="AC47" s="1411"/>
      <c r="AD47" s="1411"/>
      <c r="AE47" s="1411"/>
      <c r="AF47" s="1411"/>
      <c r="AG47" s="1411"/>
      <c r="AH47" s="1411"/>
      <c r="AI47" s="1377"/>
      <c r="AJ47" s="1373"/>
      <c r="AK47" s="1373"/>
      <c r="AL47" s="1373"/>
      <c r="AM47" s="1373"/>
      <c r="AN47" s="1373"/>
      <c r="AO47" s="1373"/>
      <c r="AP47" s="1374"/>
      <c r="AQ47" s="1034"/>
      <c r="AR47" s="1034"/>
      <c r="AS47" s="1034"/>
      <c r="AT47" s="1034"/>
      <c r="AU47" s="1034"/>
      <c r="AV47" s="1034"/>
      <c r="AW47" s="1034"/>
      <c r="AX47" s="1363"/>
      <c r="AY47" s="931"/>
      <c r="AZ47" s="931"/>
      <c r="BA47" s="931"/>
      <c r="BB47" s="931"/>
      <c r="BC47" s="931"/>
      <c r="BD47" s="931"/>
      <c r="BE47" s="931"/>
      <c r="BF47" s="931"/>
      <c r="BG47" s="931"/>
      <c r="BH47" s="931"/>
      <c r="BI47" s="931"/>
      <c r="BJ47" s="931"/>
      <c r="BK47" s="931"/>
      <c r="BL47" s="931"/>
    </row>
    <row r="48" spans="1:66">
      <c r="A48" s="1343"/>
      <c r="B48" s="2703"/>
      <c r="C48" s="2704"/>
      <c r="D48" s="2704"/>
      <c r="E48" s="2705" t="s">
        <v>716</v>
      </c>
      <c r="F48" s="2705"/>
      <c r="G48" s="2705"/>
      <c r="H48" s="2705"/>
      <c r="I48" s="2705"/>
      <c r="J48" s="2705"/>
      <c r="K48" s="2705"/>
      <c r="L48" s="2705"/>
      <c r="M48" s="2705"/>
      <c r="N48" s="2705"/>
      <c r="O48" s="2705"/>
      <c r="P48" s="2705"/>
      <c r="Q48" s="2706" t="str">
        <f>IF('1_入力シート【基本情報】'!$DW$183="","",'1_入力シート【基本情報】'!$DW$183)</f>
        <v/>
      </c>
      <c r="R48" s="2706"/>
      <c r="S48" s="2706"/>
      <c r="T48" s="2706"/>
      <c r="U48" s="2706"/>
      <c r="V48" s="2706"/>
      <c r="W48" s="2706"/>
      <c r="X48" s="2706"/>
      <c r="Y48" s="2706"/>
      <c r="Z48" s="2706"/>
      <c r="AA48" s="1407"/>
      <c r="AB48" s="1380"/>
      <c r="AC48" s="1380"/>
      <c r="AD48" s="1380"/>
      <c r="AE48" s="1380"/>
      <c r="AF48" s="1380"/>
      <c r="AG48" s="1380"/>
      <c r="AH48" s="1380"/>
      <c r="AI48" s="1377"/>
      <c r="AJ48" s="1373"/>
      <c r="AK48" s="1373"/>
      <c r="AL48" s="1373"/>
      <c r="AM48" s="1373"/>
      <c r="AN48" s="1373"/>
      <c r="AO48" s="1373"/>
      <c r="AP48" s="1374"/>
      <c r="AQ48" s="1034"/>
      <c r="AR48" s="1034"/>
      <c r="AS48" s="1034"/>
      <c r="AT48" s="1034"/>
      <c r="AU48" s="1034"/>
      <c r="AV48" s="1034"/>
      <c r="AW48" s="1034"/>
      <c r="AX48" s="1363"/>
      <c r="AY48" s="931"/>
      <c r="AZ48" s="931"/>
      <c r="BA48" s="931"/>
      <c r="BB48" s="931"/>
      <c r="BC48" s="931"/>
      <c r="BD48" s="931"/>
      <c r="BE48" s="931"/>
      <c r="BF48" s="931"/>
      <c r="BG48" s="931"/>
      <c r="BH48" s="931"/>
    </row>
    <row r="49" spans="1:62">
      <c r="A49" s="1343"/>
      <c r="B49" s="1418"/>
      <c r="C49" s="1419"/>
      <c r="D49" s="1419"/>
      <c r="E49" s="2775" t="s">
        <v>1031</v>
      </c>
      <c r="F49" s="2775"/>
      <c r="G49" s="2775"/>
      <c r="H49" s="2775"/>
      <c r="I49" s="2775"/>
      <c r="J49" s="2719" t="s">
        <v>1032</v>
      </c>
      <c r="K49" s="2719"/>
      <c r="L49" s="2719"/>
      <c r="M49" s="2719"/>
      <c r="N49" s="2719"/>
      <c r="O49" s="2719"/>
      <c r="P49" s="2719"/>
      <c r="Q49" s="2720" t="str">
        <f>IF('1_入力シート【基本情報】'!$DW$184="","",'1_入力シート【基本情報】'!$DW$184)</f>
        <v/>
      </c>
      <c r="R49" s="2720"/>
      <c r="S49" s="2720"/>
      <c r="T49" s="1415"/>
      <c r="U49" s="1384"/>
      <c r="V49" s="1384"/>
      <c r="W49" s="1384"/>
      <c r="X49" s="1384"/>
      <c r="Y49" s="1384"/>
      <c r="Z49" s="1370"/>
      <c r="AA49" s="1370"/>
      <c r="AB49" s="1370"/>
      <c r="AC49" s="1370"/>
      <c r="AD49" s="1370"/>
      <c r="AE49" s="1370"/>
      <c r="AF49" s="1370"/>
      <c r="AG49" s="1370"/>
      <c r="AH49" s="1409"/>
      <c r="AI49" s="1377"/>
      <c r="AJ49" s="1373"/>
      <c r="AK49" s="1373"/>
      <c r="AL49" s="1373"/>
      <c r="AM49" s="1373"/>
      <c r="AN49" s="1373"/>
      <c r="AO49" s="1373"/>
      <c r="AP49" s="1374"/>
      <c r="AQ49" s="1034"/>
      <c r="AR49" s="1034"/>
      <c r="AS49" s="1034"/>
      <c r="AT49" s="1034"/>
      <c r="AU49" s="1034"/>
      <c r="AV49" s="1034"/>
      <c r="AW49" s="1034"/>
      <c r="AX49" s="1363"/>
      <c r="AY49" s="931"/>
      <c r="AZ49" s="931"/>
      <c r="BA49" s="931"/>
      <c r="BB49" s="931"/>
      <c r="BC49" s="931"/>
      <c r="BD49" s="931"/>
      <c r="BE49" s="931"/>
      <c r="BF49" s="931"/>
      <c r="BG49" s="931"/>
      <c r="BH49" s="931"/>
    </row>
    <row r="50" spans="1:62">
      <c r="A50" s="1343"/>
      <c r="B50" s="1418"/>
      <c r="C50" s="1419"/>
      <c r="D50" s="1419"/>
      <c r="E50" s="2775"/>
      <c r="F50" s="2775"/>
      <c r="G50" s="2775"/>
      <c r="H50" s="2775"/>
      <c r="I50" s="2775"/>
      <c r="J50" s="2705" t="s">
        <v>1033</v>
      </c>
      <c r="K50" s="2705"/>
      <c r="L50" s="2705"/>
      <c r="M50" s="2705"/>
      <c r="N50" s="2705"/>
      <c r="O50" s="2705"/>
      <c r="P50" s="2705"/>
      <c r="Q50" s="2720" t="str">
        <f>IF('1_入力シート【基本情報】'!$DW$185="","",'1_入力シート【基本情報】'!$DW$185)</f>
        <v/>
      </c>
      <c r="R50" s="2720"/>
      <c r="S50" s="2720"/>
      <c r="T50" s="2720"/>
      <c r="U50" s="2720"/>
      <c r="V50" s="2720"/>
      <c r="W50" s="2720"/>
      <c r="X50" s="2720"/>
      <c r="Y50" s="2720"/>
      <c r="Z50" s="1415"/>
      <c r="AA50" s="1370"/>
      <c r="AB50" s="1370"/>
      <c r="AC50" s="1370"/>
      <c r="AD50" s="1370"/>
      <c r="AE50" s="1370"/>
      <c r="AF50" s="1370"/>
      <c r="AG50" s="1370"/>
      <c r="AH50" s="1409"/>
      <c r="AI50" s="1377"/>
      <c r="AJ50" s="1373"/>
      <c r="AK50" s="1373"/>
      <c r="AL50" s="1373"/>
      <c r="AM50" s="1373"/>
      <c r="AN50" s="1373"/>
      <c r="AO50" s="1373"/>
      <c r="AP50" s="1374"/>
      <c r="AQ50" s="1034"/>
      <c r="AR50" s="1034"/>
      <c r="AS50" s="1034"/>
      <c r="AT50" s="1034"/>
      <c r="AU50" s="1034"/>
      <c r="AV50" s="1034"/>
      <c r="AW50" s="1034"/>
      <c r="AX50" s="1363"/>
      <c r="AY50" s="931"/>
      <c r="AZ50" s="931"/>
      <c r="BA50" s="931"/>
      <c r="BB50" s="931"/>
      <c r="BC50" s="931"/>
      <c r="BD50" s="931"/>
      <c r="BE50" s="931"/>
      <c r="BF50" s="931"/>
      <c r="BG50" s="931"/>
      <c r="BH50" s="931"/>
    </row>
    <row r="51" spans="1:62">
      <c r="A51" s="1343"/>
      <c r="B51" s="1418"/>
      <c r="C51" s="1419"/>
      <c r="D51" s="1419"/>
      <c r="E51" s="2775"/>
      <c r="F51" s="2775"/>
      <c r="G51" s="2775"/>
      <c r="H51" s="2775"/>
      <c r="I51" s="2775"/>
      <c r="J51" s="2705" t="s">
        <v>722</v>
      </c>
      <c r="K51" s="2705"/>
      <c r="L51" s="2705"/>
      <c r="M51" s="2705"/>
      <c r="N51" s="2705"/>
      <c r="O51" s="2705"/>
      <c r="P51" s="2705"/>
      <c r="Q51" s="2720" t="str">
        <f>IF('1_入力シート【基本情報】'!DW$186="","",'1_入力シート【基本情報】'!DW$186)</f>
        <v/>
      </c>
      <c r="R51" s="2720"/>
      <c r="S51" s="2746"/>
      <c r="T51" s="2749" t="str">
        <f>IF('1_入力シート【基本情報】'!DX$186="","",'1_入力シート【基本情報】'!DX$186)</f>
        <v/>
      </c>
      <c r="U51" s="2720"/>
      <c r="V51" s="2746"/>
      <c r="W51" s="1420" t="s">
        <v>12</v>
      </c>
      <c r="X51" s="1421"/>
      <c r="Y51" s="2720" t="str">
        <f>IF('1_入力シート【基本情報】'!DY$186="","",'1_入力シート【基本情報】'!DY$186)</f>
        <v/>
      </c>
      <c r="Z51" s="2720"/>
      <c r="AA51" s="2746"/>
      <c r="AB51" s="1422" t="s">
        <v>170</v>
      </c>
      <c r="AC51" s="1380"/>
      <c r="AD51" s="2720" t="str">
        <f>IF('1_入力シート【基本情報】'!DZ$186="","",'1_入力シート【基本情報】'!DZ$186)</f>
        <v/>
      </c>
      <c r="AE51" s="2720"/>
      <c r="AF51" s="2746"/>
      <c r="AG51" s="1370" t="s">
        <v>171</v>
      </c>
      <c r="AH51" s="1370"/>
      <c r="AI51" s="1377"/>
      <c r="AJ51" s="1373"/>
      <c r="AK51" s="1373"/>
      <c r="AL51" s="1373"/>
      <c r="AM51" s="1373"/>
      <c r="AN51" s="1373"/>
      <c r="AO51" s="1373"/>
      <c r="AP51" s="1374"/>
      <c r="AQ51" s="1034"/>
      <c r="AR51" s="1034"/>
      <c r="AS51" s="1034"/>
      <c r="AT51" s="1034"/>
      <c r="AU51" s="1034"/>
      <c r="AV51" s="1034"/>
      <c r="AW51" s="1034"/>
      <c r="AX51" s="1363"/>
      <c r="AY51" s="931"/>
      <c r="AZ51" s="931"/>
      <c r="BA51" s="931"/>
      <c r="BB51" s="931"/>
      <c r="BC51" s="931"/>
      <c r="BD51" s="931"/>
      <c r="BE51" s="931"/>
      <c r="BF51" s="931"/>
      <c r="BG51" s="931"/>
      <c r="BH51" s="931"/>
    </row>
    <row r="52" spans="1:62">
      <c r="A52" s="1343"/>
      <c r="B52" s="1418"/>
      <c r="C52" s="1419"/>
      <c r="D52" s="1419"/>
      <c r="E52" s="2775"/>
      <c r="F52" s="2775"/>
      <c r="G52" s="2775"/>
      <c r="H52" s="2775"/>
      <c r="I52" s="2775"/>
      <c r="J52" s="2705" t="s">
        <v>718</v>
      </c>
      <c r="K52" s="2705"/>
      <c r="L52" s="2705"/>
      <c r="M52" s="2705"/>
      <c r="N52" s="2705"/>
      <c r="O52" s="2705"/>
      <c r="P52" s="2705"/>
      <c r="Q52" s="2714" t="str">
        <f>IF('1_入力シート【基本情報】'!$DW$187="","",'1_入力シート【基本情報】'!$DW$187)</f>
        <v/>
      </c>
      <c r="R52" s="2714"/>
      <c r="S52" s="2714"/>
      <c r="T52" s="2714"/>
      <c r="U52" s="2714"/>
      <c r="V52" s="2714"/>
      <c r="W52" s="2714"/>
      <c r="X52" s="2714"/>
      <c r="Y52" s="2714"/>
      <c r="Z52" s="2714"/>
      <c r="AA52" s="2714"/>
      <c r="AB52" s="2714"/>
      <c r="AC52" s="2714"/>
      <c r="AD52" s="2714"/>
      <c r="AE52" s="2714"/>
      <c r="AF52" s="2714"/>
      <c r="AG52" s="2714"/>
      <c r="AH52" s="2714"/>
      <c r="AI52" s="2714"/>
      <c r="AJ52" s="2714"/>
      <c r="AK52" s="2714"/>
      <c r="AL52" s="2714"/>
      <c r="AM52" s="2714"/>
      <c r="AN52" s="1377"/>
      <c r="AO52" s="1373"/>
      <c r="AP52" s="1374"/>
      <c r="AQ52" s="1034"/>
      <c r="AR52" s="1034"/>
      <c r="AS52" s="1034"/>
      <c r="AT52" s="1034"/>
      <c r="AU52" s="1034"/>
      <c r="AV52" s="1034"/>
      <c r="AW52" s="1034"/>
      <c r="AX52" s="1363"/>
      <c r="AY52" s="931"/>
      <c r="AZ52" s="931"/>
      <c r="BA52" s="931"/>
      <c r="BB52" s="931"/>
      <c r="BC52" s="931"/>
      <c r="BD52" s="931"/>
      <c r="BE52" s="931"/>
      <c r="BF52" s="931"/>
      <c r="BG52" s="931"/>
      <c r="BH52" s="931"/>
    </row>
    <row r="53" spans="1:62" ht="15.75" hidden="1" customHeight="1">
      <c r="A53" s="1343"/>
      <c r="B53" s="1418"/>
      <c r="C53" s="1419"/>
      <c r="D53" s="1419"/>
      <c r="E53" s="1375"/>
      <c r="F53" s="1375"/>
      <c r="G53" s="1375"/>
      <c r="H53" s="1375"/>
      <c r="I53" s="1375"/>
      <c r="J53" s="2705" t="s">
        <v>719</v>
      </c>
      <c r="K53" s="2705"/>
      <c r="L53" s="2705"/>
      <c r="M53" s="2705"/>
      <c r="N53" s="2705"/>
      <c r="O53" s="2705"/>
      <c r="P53" s="2705"/>
      <c r="Q53" s="2747"/>
      <c r="R53" s="2747"/>
      <c r="S53" s="2747"/>
      <c r="T53" s="2747"/>
      <c r="U53" s="2747"/>
      <c r="V53" s="2747"/>
      <c r="W53" s="2747"/>
      <c r="X53" s="2747"/>
      <c r="Y53" s="2747"/>
      <c r="Z53" s="2747"/>
      <c r="AA53" s="1423" t="str">
        <f>IF(AND(Q49="有",Q53=""),"←プルダウン選択","")</f>
        <v/>
      </c>
      <c r="AB53" s="1384"/>
      <c r="AC53" s="1384"/>
      <c r="AD53" s="1384"/>
      <c r="AE53" s="1384"/>
      <c r="AF53" s="1384"/>
      <c r="AG53" s="1384"/>
      <c r="AH53" s="1384"/>
      <c r="AI53" s="1377"/>
      <c r="AJ53" s="1373"/>
      <c r="AK53" s="1373"/>
      <c r="AL53" s="1373"/>
      <c r="AM53" s="1373"/>
      <c r="AN53" s="1373"/>
      <c r="AO53" s="1373"/>
      <c r="AP53" s="1374"/>
      <c r="AQ53" s="1034"/>
      <c r="AR53" s="1034"/>
      <c r="AS53" s="1034"/>
      <c r="AT53" s="1034"/>
      <c r="AU53" s="1034"/>
      <c r="AV53" s="1034"/>
      <c r="AW53" s="1034"/>
      <c r="AX53" s="1363"/>
      <c r="AY53" s="931"/>
      <c r="AZ53" s="931"/>
      <c r="BA53" s="931"/>
      <c r="BB53" s="931"/>
      <c r="BC53" s="931"/>
      <c r="BD53" s="931"/>
      <c r="BE53" s="931"/>
      <c r="BF53" s="931"/>
      <c r="BG53" s="931"/>
      <c r="BH53" s="931"/>
    </row>
    <row r="54" spans="1:62" ht="14.25" hidden="1" customHeight="1">
      <c r="A54" s="1343"/>
      <c r="B54" s="1418"/>
      <c r="C54" s="1419"/>
      <c r="D54" s="1419"/>
      <c r="E54" s="1375"/>
      <c r="F54" s="1375"/>
      <c r="G54" s="1375"/>
      <c r="H54" s="1375"/>
      <c r="I54" s="1375"/>
      <c r="J54" s="2731" t="s">
        <v>721</v>
      </c>
      <c r="K54" s="2731"/>
      <c r="L54" s="2731"/>
      <c r="M54" s="2731"/>
      <c r="N54" s="2731"/>
      <c r="O54" s="2731"/>
      <c r="P54" s="2731"/>
      <c r="Q54" s="1395"/>
      <c r="R54" s="1395"/>
      <c r="S54" s="1395"/>
      <c r="T54" s="1395"/>
      <c r="U54" s="1395"/>
      <c r="V54" s="1395"/>
      <c r="W54" s="1395"/>
      <c r="X54" s="1395"/>
      <c r="Y54" s="1395"/>
      <c r="Z54" s="1395"/>
      <c r="AA54" s="1395"/>
      <c r="AB54" s="1395"/>
      <c r="AC54" s="1395"/>
      <c r="AD54" s="1395"/>
      <c r="AE54" s="1395"/>
      <c r="AF54" s="1395"/>
      <c r="AG54" s="1395"/>
      <c r="AH54" s="1395"/>
      <c r="AI54" s="1377"/>
      <c r="AJ54" s="1373"/>
      <c r="AK54" s="1373"/>
      <c r="AL54" s="1373"/>
      <c r="AM54" s="1373"/>
      <c r="AN54" s="1373"/>
      <c r="AO54" s="1373"/>
      <c r="AP54" s="1374"/>
      <c r="AQ54" s="1034"/>
      <c r="AR54" s="1034"/>
      <c r="AS54" s="1034"/>
      <c r="AT54" s="1034"/>
      <c r="AU54" s="1034"/>
      <c r="AV54" s="1034"/>
      <c r="AW54" s="1034"/>
      <c r="AX54" s="1363"/>
      <c r="AY54" s="931"/>
      <c r="AZ54" s="931"/>
      <c r="BA54" s="931"/>
      <c r="BB54" s="931"/>
      <c r="BC54" s="931"/>
      <c r="BD54" s="931"/>
      <c r="BE54" s="931"/>
      <c r="BF54" s="931"/>
      <c r="BG54" s="931"/>
      <c r="BH54" s="931"/>
    </row>
    <row r="55" spans="1:62" ht="15.75" customHeight="1">
      <c r="A55" s="1343"/>
      <c r="B55" s="1418"/>
      <c r="C55" s="1419"/>
      <c r="D55" s="1419"/>
      <c r="E55" s="2705" t="s">
        <v>717</v>
      </c>
      <c r="F55" s="2705"/>
      <c r="G55" s="2705"/>
      <c r="H55" s="2705"/>
      <c r="I55" s="2705"/>
      <c r="J55" s="2705"/>
      <c r="K55" s="2705"/>
      <c r="L55" s="2705"/>
      <c r="M55" s="2705"/>
      <c r="N55" s="2705"/>
      <c r="O55" s="2705"/>
      <c r="P55" s="2705"/>
      <c r="Q55" s="2748" t="str">
        <f>IF('1_入力シート【基本情報】'!$DW$190="","",'1_入力シート【基本情報】'!$DW$190)</f>
        <v/>
      </c>
      <c r="R55" s="2748"/>
      <c r="S55" s="2748"/>
      <c r="T55" s="1407"/>
      <c r="U55" s="1380"/>
      <c r="V55" s="1380"/>
      <c r="W55" s="1380"/>
      <c r="X55" s="1380"/>
      <c r="Y55" s="1380"/>
      <c r="Z55" s="1380"/>
      <c r="AA55" s="1380"/>
      <c r="AB55" s="1380"/>
      <c r="AC55" s="1380"/>
      <c r="AD55" s="1380"/>
      <c r="AE55" s="1380"/>
      <c r="AF55" s="1380"/>
      <c r="AG55" s="1380"/>
      <c r="AH55" s="1380"/>
      <c r="AI55" s="1377"/>
      <c r="AJ55" s="1373"/>
      <c r="AK55" s="1373"/>
      <c r="AL55" s="1373"/>
      <c r="AM55" s="1373"/>
      <c r="AN55" s="1373"/>
      <c r="AO55" s="1373"/>
      <c r="AP55" s="1374"/>
      <c r="AQ55" s="1034"/>
      <c r="AR55" s="1034"/>
      <c r="AS55" s="1034"/>
      <c r="AT55" s="1034"/>
      <c r="AU55" s="1034"/>
      <c r="AV55" s="1034"/>
      <c r="AW55" s="1034"/>
      <c r="AX55" s="1363"/>
      <c r="AY55" s="931"/>
      <c r="AZ55" s="931"/>
      <c r="BA55" s="931"/>
      <c r="BB55" s="931"/>
      <c r="BC55" s="931"/>
      <c r="BD55" s="931"/>
      <c r="BE55" s="931"/>
      <c r="BF55" s="931"/>
      <c r="BG55" s="931"/>
      <c r="BH55" s="931"/>
    </row>
    <row r="56" spans="1:62" ht="15.75" customHeight="1">
      <c r="A56" s="1343"/>
      <c r="B56" s="1418"/>
      <c r="C56" s="1419"/>
      <c r="D56" s="1419"/>
      <c r="E56" s="2731" t="s">
        <v>1034</v>
      </c>
      <c r="F56" s="2731"/>
      <c r="G56" s="2731"/>
      <c r="H56" s="2731"/>
      <c r="I56" s="2731"/>
      <c r="J56" s="2725" t="s">
        <v>1178</v>
      </c>
      <c r="K56" s="2725"/>
      <c r="L56" s="2725"/>
      <c r="M56" s="2725"/>
      <c r="N56" s="2725"/>
      <c r="O56" s="2725"/>
      <c r="P56" s="2725"/>
      <c r="Q56" s="2720" t="str">
        <f>IF('1_入力シート【基本情報】'!$DW$191="","",'1_入力シート【基本情報】'!$DW$191)</f>
        <v/>
      </c>
      <c r="R56" s="2720"/>
      <c r="S56" s="2720"/>
      <c r="T56" s="1415"/>
      <c r="U56" s="1384"/>
      <c r="V56" s="1384"/>
      <c r="W56" s="1384"/>
      <c r="X56" s="1384"/>
      <c r="Y56" s="1384"/>
      <c r="Z56" s="1384"/>
      <c r="AA56" s="1384"/>
      <c r="AB56" s="1384"/>
      <c r="AC56" s="1384"/>
      <c r="AD56" s="1384"/>
      <c r="AE56" s="1384"/>
      <c r="AF56" s="1384"/>
      <c r="AG56" s="1370"/>
      <c r="AH56" s="1370"/>
      <c r="AI56" s="1377"/>
      <c r="AJ56" s="1373"/>
      <c r="AK56" s="1373"/>
      <c r="AL56" s="1373"/>
      <c r="AM56" s="1373"/>
      <c r="AN56" s="1373"/>
      <c r="AO56" s="1373"/>
      <c r="AP56" s="1374"/>
      <c r="AQ56" s="1034"/>
      <c r="AR56" s="1034"/>
      <c r="AS56" s="1034"/>
      <c r="AT56" s="1034"/>
      <c r="AU56" s="1034"/>
      <c r="AV56" s="1034"/>
      <c r="AW56" s="1034"/>
      <c r="AX56" s="1363"/>
      <c r="AY56" s="931"/>
      <c r="AZ56" s="931"/>
      <c r="BA56" s="931"/>
      <c r="BB56" s="931"/>
      <c r="BC56" s="931"/>
      <c r="BD56" s="931"/>
      <c r="BE56" s="931"/>
      <c r="BF56" s="931"/>
      <c r="BG56" s="931"/>
      <c r="BH56" s="931"/>
    </row>
    <row r="57" spans="1:62">
      <c r="A57" s="1343"/>
      <c r="B57" s="1418"/>
      <c r="C57" s="1419"/>
      <c r="D57" s="1419"/>
      <c r="E57" s="2724"/>
      <c r="F57" s="2724"/>
      <c r="G57" s="2724"/>
      <c r="H57" s="2724"/>
      <c r="I57" s="2724"/>
      <c r="J57" s="2705" t="s">
        <v>722</v>
      </c>
      <c r="K57" s="2705"/>
      <c r="L57" s="2705"/>
      <c r="M57" s="2705"/>
      <c r="N57" s="2705"/>
      <c r="O57" s="2705"/>
      <c r="P57" s="2705"/>
      <c r="Q57" s="2720" t="str">
        <f>IF('1_入力シート【基本情報】'!DW$192="","",'1_入力シート【基本情報】'!DW$192)</f>
        <v/>
      </c>
      <c r="R57" s="2720"/>
      <c r="S57" s="2746"/>
      <c r="T57" s="2749" t="str">
        <f>IF('1_入力シート【基本情報】'!DX$192="","",'1_入力シート【基本情報】'!DX$192)</f>
        <v/>
      </c>
      <c r="U57" s="2720"/>
      <c r="V57" s="2746"/>
      <c r="W57" s="1420" t="s">
        <v>12</v>
      </c>
      <c r="X57" s="1421"/>
      <c r="Y57" s="2720" t="str">
        <f>IF('1_入力シート【基本情報】'!DY$192="","",'1_入力シート【基本情報】'!DY$192)</f>
        <v/>
      </c>
      <c r="Z57" s="2720"/>
      <c r="AA57" s="2746"/>
      <c r="AB57" s="1380" t="s">
        <v>170</v>
      </c>
      <c r="AC57" s="1380"/>
      <c r="AD57" s="2720" t="str">
        <f>IF('1_入力シート【基本情報】'!DZ$192="","",'1_入力シート【基本情報】'!DZ$192)</f>
        <v/>
      </c>
      <c r="AE57" s="2720"/>
      <c r="AF57" s="2746"/>
      <c r="AG57" s="1370" t="s">
        <v>171</v>
      </c>
      <c r="AH57" s="1370"/>
      <c r="AI57" s="1377"/>
      <c r="AJ57" s="1373"/>
      <c r="AK57" s="1373"/>
      <c r="AL57" s="1373"/>
      <c r="AM57" s="1373"/>
      <c r="AN57" s="1373"/>
      <c r="AO57" s="1373"/>
      <c r="AP57" s="1374"/>
      <c r="AQ57" s="1034"/>
      <c r="AR57" s="1034"/>
      <c r="AS57" s="1034"/>
      <c r="AT57" s="1034"/>
      <c r="AU57" s="1034"/>
      <c r="AV57" s="1034"/>
      <c r="AW57" s="1034"/>
      <c r="AX57" s="1363"/>
      <c r="AY57" s="931"/>
      <c r="AZ57" s="931"/>
      <c r="BA57" s="931"/>
      <c r="BB57" s="931"/>
      <c r="BC57" s="931"/>
      <c r="BD57" s="931"/>
      <c r="BE57" s="931"/>
      <c r="BF57" s="931"/>
      <c r="BG57" s="931"/>
      <c r="BH57" s="931"/>
    </row>
    <row r="58" spans="1:62">
      <c r="A58" s="1343"/>
      <c r="B58" s="1418"/>
      <c r="C58" s="1419"/>
      <c r="D58" s="1419"/>
      <c r="E58" s="2725"/>
      <c r="F58" s="2725"/>
      <c r="G58" s="2725"/>
      <c r="H58" s="2725"/>
      <c r="I58" s="2725"/>
      <c r="J58" s="2705" t="s">
        <v>718</v>
      </c>
      <c r="K58" s="2705"/>
      <c r="L58" s="2705"/>
      <c r="M58" s="2705"/>
      <c r="N58" s="2705"/>
      <c r="O58" s="2705"/>
      <c r="P58" s="2705"/>
      <c r="Q58" s="2714" t="str">
        <f>IF('1_入力シート【基本情報】'!$DW$193="","",'1_入力シート【基本情報】'!$DW$193)</f>
        <v/>
      </c>
      <c r="R58" s="2714"/>
      <c r="S58" s="2714"/>
      <c r="T58" s="2714"/>
      <c r="U58" s="2714"/>
      <c r="V58" s="2714"/>
      <c r="W58" s="2714"/>
      <c r="X58" s="2714"/>
      <c r="Y58" s="2714"/>
      <c r="Z58" s="2714"/>
      <c r="AA58" s="2714"/>
      <c r="AB58" s="2714"/>
      <c r="AC58" s="2714"/>
      <c r="AD58" s="2714"/>
      <c r="AE58" s="2714"/>
      <c r="AF58" s="2714"/>
      <c r="AG58" s="2714"/>
      <c r="AH58" s="2714"/>
      <c r="AI58" s="2714"/>
      <c r="AJ58" s="2714"/>
      <c r="AK58" s="2714"/>
      <c r="AL58" s="2714"/>
      <c r="AM58" s="2714"/>
      <c r="AN58" s="1377"/>
      <c r="AO58" s="1373"/>
      <c r="AP58" s="1374"/>
      <c r="AQ58" s="1034"/>
      <c r="AR58" s="1034"/>
      <c r="AS58" s="1034"/>
      <c r="AT58" s="1034"/>
      <c r="AU58" s="1034"/>
      <c r="AV58" s="1034"/>
      <c r="AW58" s="1034"/>
      <c r="AX58" s="1363"/>
      <c r="AY58" s="931"/>
      <c r="AZ58" s="931"/>
      <c r="BA58" s="931"/>
      <c r="BB58" s="931"/>
      <c r="BC58" s="931"/>
      <c r="BD58" s="931"/>
      <c r="BE58" s="931"/>
      <c r="BF58" s="931"/>
      <c r="BG58" s="931"/>
      <c r="BH58" s="931"/>
    </row>
    <row r="59" spans="1:62" hidden="1">
      <c r="A59" s="1343"/>
      <c r="B59" s="1424"/>
      <c r="C59" s="1373"/>
      <c r="D59" s="1373"/>
      <c r="E59" s="1373"/>
      <c r="F59" s="1373"/>
      <c r="G59" s="1373"/>
      <c r="H59" s="1373"/>
      <c r="I59" s="1373"/>
      <c r="J59" s="1373" t="s">
        <v>719</v>
      </c>
      <c r="K59" s="1373"/>
      <c r="L59" s="1373"/>
      <c r="M59" s="1373"/>
      <c r="N59" s="1373"/>
      <c r="O59" s="1373"/>
      <c r="P59" s="1373"/>
      <c r="Q59" s="1373"/>
      <c r="R59" s="1373"/>
      <c r="S59" s="1373"/>
      <c r="T59" s="1373"/>
      <c r="U59" s="1373"/>
      <c r="V59" s="1373"/>
      <c r="W59" s="1373"/>
      <c r="X59" s="1373"/>
      <c r="Y59" s="1373"/>
      <c r="Z59" s="1373"/>
      <c r="AA59" s="1373" t="e">
        <f>IF(AND(#REF!="有",#REF!=""),"←プルダウン選択","")</f>
        <v>#REF!</v>
      </c>
      <c r="AB59" s="1373"/>
      <c r="AC59" s="1373"/>
      <c r="AD59" s="1373"/>
      <c r="AE59" s="1373"/>
      <c r="AF59" s="1373"/>
      <c r="AG59" s="1373"/>
      <c r="AH59" s="1373"/>
      <c r="AI59" s="1373"/>
      <c r="AJ59" s="1373"/>
      <c r="AK59" s="1373"/>
      <c r="AL59" s="1373"/>
      <c r="AM59" s="1373"/>
      <c r="AN59" s="1373"/>
      <c r="AO59" s="1373"/>
      <c r="AP59" s="1374"/>
      <c r="AQ59" s="1034"/>
      <c r="AR59" s="1034"/>
      <c r="AS59" s="1034"/>
      <c r="AT59" s="1034"/>
      <c r="AU59" s="1034"/>
      <c r="AV59" s="1034"/>
      <c r="AW59" s="1034"/>
      <c r="AX59" s="1363"/>
      <c r="AY59" s="931"/>
      <c r="AZ59" s="931"/>
      <c r="BA59" s="931"/>
      <c r="BB59" s="931"/>
      <c r="BC59" s="931"/>
      <c r="BD59" s="931"/>
      <c r="BE59" s="931"/>
      <c r="BF59" s="931"/>
      <c r="BG59" s="931"/>
      <c r="BH59" s="931"/>
      <c r="BI59" s="931"/>
      <c r="BJ59" s="931"/>
    </row>
    <row r="60" spans="1:62" hidden="1">
      <c r="A60" s="1343"/>
      <c r="B60" s="1424"/>
      <c r="C60" s="1373"/>
      <c r="D60" s="1373"/>
      <c r="E60" s="1373"/>
      <c r="F60" s="1373"/>
      <c r="G60" s="1373"/>
      <c r="H60" s="1373"/>
      <c r="I60" s="1373"/>
      <c r="J60" s="1373" t="s">
        <v>721</v>
      </c>
      <c r="K60" s="1373"/>
      <c r="L60" s="1373"/>
      <c r="M60" s="1373"/>
      <c r="N60" s="1373"/>
      <c r="O60" s="1373"/>
      <c r="P60" s="1373"/>
      <c r="Q60" s="1373"/>
      <c r="R60" s="1373"/>
      <c r="S60" s="1373"/>
      <c r="T60" s="1373"/>
      <c r="U60" s="1373"/>
      <c r="V60" s="1373"/>
      <c r="W60" s="1373"/>
      <c r="X60" s="1373"/>
      <c r="Y60" s="1373"/>
      <c r="Z60" s="1373"/>
      <c r="AA60" s="1373"/>
      <c r="AB60" s="1373"/>
      <c r="AC60" s="1373"/>
      <c r="AD60" s="1373"/>
      <c r="AE60" s="1373"/>
      <c r="AF60" s="1373"/>
      <c r="AG60" s="1373"/>
      <c r="AH60" s="1373"/>
      <c r="AI60" s="1373"/>
      <c r="AJ60" s="1373"/>
      <c r="AK60" s="1373"/>
      <c r="AL60" s="1373"/>
      <c r="AM60" s="1373"/>
      <c r="AN60" s="1373"/>
      <c r="AO60" s="1373"/>
      <c r="AP60" s="1374"/>
      <c r="AQ60" s="1034"/>
      <c r="AR60" s="1034"/>
      <c r="AS60" s="1034"/>
      <c r="AT60" s="1034"/>
      <c r="AU60" s="1034"/>
      <c r="AV60" s="1034"/>
      <c r="AW60" s="1034"/>
      <c r="AX60" s="1363"/>
      <c r="AY60" s="931"/>
      <c r="AZ60" s="931"/>
      <c r="BA60" s="931"/>
      <c r="BB60" s="931"/>
      <c r="BC60" s="931"/>
      <c r="BD60" s="931"/>
      <c r="BE60" s="931"/>
      <c r="BF60" s="931"/>
      <c r="BG60" s="931"/>
      <c r="BH60" s="931"/>
      <c r="BI60" s="931"/>
      <c r="BJ60" s="931"/>
    </row>
    <row r="61" spans="1:62" ht="8.25" customHeight="1">
      <c r="A61" s="1343"/>
      <c r="B61" s="1425"/>
      <c r="C61" s="1426"/>
      <c r="D61" s="1427"/>
      <c r="E61" s="1427"/>
      <c r="F61" s="1427"/>
      <c r="G61" s="1427"/>
      <c r="H61" s="1427"/>
      <c r="I61" s="1427"/>
      <c r="J61" s="1427"/>
      <c r="K61" s="1426"/>
      <c r="L61" s="1426"/>
      <c r="M61" s="1426"/>
      <c r="N61" s="1426"/>
      <c r="O61" s="1426"/>
      <c r="P61" s="1426"/>
      <c r="Q61" s="1428"/>
      <c r="R61" s="1361"/>
      <c r="S61" s="1361"/>
      <c r="T61" s="1361"/>
      <c r="U61" s="1361"/>
      <c r="V61" s="1361"/>
      <c r="W61" s="1361"/>
      <c r="X61" s="1361"/>
      <c r="Y61" s="1361"/>
      <c r="Z61" s="1361"/>
      <c r="AA61" s="1361"/>
      <c r="AB61" s="1361"/>
      <c r="AC61" s="1361"/>
      <c r="AD61" s="1361"/>
      <c r="AE61" s="1361"/>
      <c r="AF61" s="1361"/>
      <c r="AG61" s="1361"/>
      <c r="AH61" s="1361"/>
      <c r="AI61" s="1361"/>
      <c r="AJ61" s="1361"/>
      <c r="AK61" s="1428"/>
      <c r="AL61" s="1428"/>
      <c r="AM61" s="1428"/>
      <c r="AN61" s="1428"/>
      <c r="AO61" s="1428"/>
      <c r="AP61" s="1429"/>
      <c r="AQ61" s="1034"/>
      <c r="AR61" s="1034"/>
      <c r="AS61" s="1034"/>
      <c r="AT61" s="1034"/>
      <c r="AU61" s="1034"/>
      <c r="AV61" s="1034"/>
      <c r="AW61" s="1034"/>
      <c r="AX61" s="1363"/>
      <c r="AY61" s="931"/>
      <c r="AZ61" s="931"/>
      <c r="BA61" s="931"/>
      <c r="BB61" s="931"/>
      <c r="BC61" s="931"/>
      <c r="BD61" s="931"/>
      <c r="BE61" s="931"/>
      <c r="BF61" s="931"/>
      <c r="BG61" s="931"/>
      <c r="BH61" s="931"/>
      <c r="BI61" s="931"/>
      <c r="BJ61" s="931"/>
    </row>
    <row r="62" spans="1:62" ht="11.25" customHeight="1">
      <c r="A62" s="1343"/>
      <c r="B62" s="1430" t="s">
        <v>2747</v>
      </c>
      <c r="C62" s="1034"/>
      <c r="D62" s="1034"/>
      <c r="E62" s="1034"/>
      <c r="F62" s="1034"/>
      <c r="G62" s="1034"/>
      <c r="H62" s="1034"/>
      <c r="I62" s="1034"/>
      <c r="J62" s="1034"/>
      <c r="K62" s="1034"/>
      <c r="L62" s="1034"/>
      <c r="M62" s="1034"/>
      <c r="N62" s="1034"/>
      <c r="O62" s="1034"/>
      <c r="P62" s="1034"/>
      <c r="Q62" s="1034"/>
      <c r="R62" s="1034"/>
      <c r="S62" s="1034"/>
      <c r="T62" s="1034"/>
      <c r="U62" s="1034"/>
      <c r="V62" s="1034"/>
      <c r="W62" s="1034"/>
      <c r="X62" s="1034"/>
      <c r="Y62" s="1034"/>
      <c r="Z62" s="1034"/>
      <c r="AA62" s="1034"/>
      <c r="AB62" s="1034"/>
      <c r="AC62" s="1034"/>
      <c r="AD62" s="1034"/>
      <c r="AE62" s="1034"/>
      <c r="AF62" s="1034"/>
      <c r="AG62" s="1034"/>
      <c r="AH62" s="1034"/>
      <c r="AI62" s="1034"/>
      <c r="AJ62" s="1344"/>
      <c r="AK62" s="1344"/>
      <c r="AL62" s="1344"/>
      <c r="AM62" s="1344"/>
      <c r="AN62" s="1344"/>
      <c r="AO62" s="1344"/>
      <c r="AP62" s="1344"/>
      <c r="AQ62" s="1344"/>
      <c r="AR62" s="1344"/>
      <c r="AS62" s="1344"/>
      <c r="AT62" s="1344"/>
      <c r="AU62" s="1344"/>
      <c r="AV62" s="1344"/>
      <c r="AW62" s="1344"/>
      <c r="AX62" s="1345"/>
    </row>
    <row r="63" spans="1:62">
      <c r="A63" s="1343"/>
      <c r="B63" s="2763" t="s">
        <v>2748</v>
      </c>
      <c r="C63" s="2764"/>
      <c r="D63" s="2764"/>
      <c r="E63" s="2764"/>
      <c r="F63" s="2764"/>
      <c r="G63" s="2764"/>
      <c r="H63" s="2764"/>
      <c r="I63" s="2764"/>
      <c r="J63" s="2764"/>
      <c r="K63" s="2764"/>
      <c r="L63" s="2764"/>
      <c r="M63" s="2764"/>
      <c r="N63" s="2764"/>
      <c r="O63" s="2764"/>
      <c r="P63" s="2764"/>
      <c r="Q63" s="2764"/>
      <c r="R63" s="2764"/>
      <c r="S63" s="2764"/>
      <c r="T63" s="2764"/>
      <c r="U63" s="2764"/>
      <c r="V63" s="2764"/>
      <c r="W63" s="2764"/>
      <c r="X63" s="2764"/>
      <c r="Y63" s="2764"/>
      <c r="Z63" s="2764"/>
      <c r="AA63" s="2764"/>
      <c r="AB63" s="2764"/>
      <c r="AC63" s="2764"/>
      <c r="AD63" s="2764"/>
      <c r="AE63" s="2764"/>
      <c r="AF63" s="2764"/>
      <c r="AG63" s="2764"/>
      <c r="AH63" s="2764"/>
      <c r="AI63" s="2764"/>
      <c r="AJ63" s="2764"/>
      <c r="AK63" s="2764"/>
      <c r="AL63" s="2764"/>
      <c r="AM63" s="2764"/>
      <c r="AN63" s="2764"/>
      <c r="AO63" s="2764"/>
      <c r="AP63" s="2764"/>
      <c r="AQ63" s="2764"/>
      <c r="AR63" s="2764"/>
      <c r="AS63" s="2764"/>
      <c r="AT63" s="2764"/>
      <c r="AU63" s="2764"/>
      <c r="AV63" s="2764"/>
      <c r="AW63" s="2765"/>
      <c r="AX63" s="1345"/>
    </row>
    <row r="64" spans="1:62">
      <c r="A64" s="1343"/>
      <c r="B64" s="2766"/>
      <c r="C64" s="2767"/>
      <c r="D64" s="2767"/>
      <c r="E64" s="2767"/>
      <c r="F64" s="2767"/>
      <c r="G64" s="2767"/>
      <c r="H64" s="2767"/>
      <c r="I64" s="2767"/>
      <c r="J64" s="2767"/>
      <c r="K64" s="2767"/>
      <c r="L64" s="2767"/>
      <c r="M64" s="2767"/>
      <c r="N64" s="2767"/>
      <c r="O64" s="2767"/>
      <c r="P64" s="2767"/>
      <c r="Q64" s="2767"/>
      <c r="R64" s="2767"/>
      <c r="S64" s="2767"/>
      <c r="T64" s="2767"/>
      <c r="U64" s="2767"/>
      <c r="V64" s="2767"/>
      <c r="W64" s="2767"/>
      <c r="X64" s="2767"/>
      <c r="Y64" s="2767"/>
      <c r="Z64" s="2767"/>
      <c r="AA64" s="2767"/>
      <c r="AB64" s="2767"/>
      <c r="AC64" s="2767"/>
      <c r="AD64" s="2767"/>
      <c r="AE64" s="2767"/>
      <c r="AF64" s="2767"/>
      <c r="AG64" s="2767"/>
      <c r="AH64" s="2767"/>
      <c r="AI64" s="2767"/>
      <c r="AJ64" s="2767"/>
      <c r="AK64" s="2767"/>
      <c r="AL64" s="2767"/>
      <c r="AM64" s="2767"/>
      <c r="AN64" s="2767"/>
      <c r="AO64" s="2767"/>
      <c r="AP64" s="2767"/>
      <c r="AQ64" s="2767"/>
      <c r="AR64" s="2767"/>
      <c r="AS64" s="2767"/>
      <c r="AT64" s="2767"/>
      <c r="AU64" s="2767"/>
      <c r="AV64" s="2767"/>
      <c r="AW64" s="2768"/>
      <c r="AX64" s="1345"/>
    </row>
    <row r="65" spans="1:50">
      <c r="A65" s="1343"/>
      <c r="B65" s="2766"/>
      <c r="C65" s="2767"/>
      <c r="D65" s="2767"/>
      <c r="E65" s="2767"/>
      <c r="F65" s="2767"/>
      <c r="G65" s="2767"/>
      <c r="H65" s="2767"/>
      <c r="I65" s="2767"/>
      <c r="J65" s="2767"/>
      <c r="K65" s="2767"/>
      <c r="L65" s="2767"/>
      <c r="M65" s="2767"/>
      <c r="N65" s="2767"/>
      <c r="O65" s="2767"/>
      <c r="P65" s="2767"/>
      <c r="Q65" s="2767"/>
      <c r="R65" s="2767"/>
      <c r="S65" s="2767"/>
      <c r="T65" s="2767"/>
      <c r="U65" s="2767"/>
      <c r="V65" s="2767"/>
      <c r="W65" s="2767"/>
      <c r="X65" s="2767"/>
      <c r="Y65" s="2767"/>
      <c r="Z65" s="2767"/>
      <c r="AA65" s="2767"/>
      <c r="AB65" s="2767"/>
      <c r="AC65" s="2767"/>
      <c r="AD65" s="2767"/>
      <c r="AE65" s="2767"/>
      <c r="AF65" s="2767"/>
      <c r="AG65" s="2767"/>
      <c r="AH65" s="2767"/>
      <c r="AI65" s="2767"/>
      <c r="AJ65" s="2767"/>
      <c r="AK65" s="2767"/>
      <c r="AL65" s="2767"/>
      <c r="AM65" s="2767"/>
      <c r="AN65" s="2767"/>
      <c r="AO65" s="2767"/>
      <c r="AP65" s="2767"/>
      <c r="AQ65" s="2767"/>
      <c r="AR65" s="2767"/>
      <c r="AS65" s="2767"/>
      <c r="AT65" s="2767"/>
      <c r="AU65" s="2767"/>
      <c r="AV65" s="2767"/>
      <c r="AW65" s="2768"/>
      <c r="AX65" s="1345"/>
    </row>
    <row r="66" spans="1:50">
      <c r="A66" s="1343"/>
      <c r="B66" s="2766"/>
      <c r="C66" s="2767"/>
      <c r="D66" s="2767"/>
      <c r="E66" s="2767"/>
      <c r="F66" s="2767"/>
      <c r="G66" s="2767"/>
      <c r="H66" s="2767"/>
      <c r="I66" s="2767"/>
      <c r="J66" s="2767"/>
      <c r="K66" s="2767"/>
      <c r="L66" s="2767"/>
      <c r="M66" s="2767"/>
      <c r="N66" s="2767"/>
      <c r="O66" s="2767"/>
      <c r="P66" s="2767"/>
      <c r="Q66" s="2767"/>
      <c r="R66" s="2767"/>
      <c r="S66" s="2767"/>
      <c r="T66" s="2767"/>
      <c r="U66" s="2767"/>
      <c r="V66" s="2767"/>
      <c r="W66" s="2767"/>
      <c r="X66" s="2767"/>
      <c r="Y66" s="2767"/>
      <c r="Z66" s="2767"/>
      <c r="AA66" s="2767"/>
      <c r="AB66" s="2767"/>
      <c r="AC66" s="2767"/>
      <c r="AD66" s="2767"/>
      <c r="AE66" s="2767"/>
      <c r="AF66" s="2767"/>
      <c r="AG66" s="2767"/>
      <c r="AH66" s="2767"/>
      <c r="AI66" s="2767"/>
      <c r="AJ66" s="2767"/>
      <c r="AK66" s="2767"/>
      <c r="AL66" s="2767"/>
      <c r="AM66" s="2767"/>
      <c r="AN66" s="2767"/>
      <c r="AO66" s="2767"/>
      <c r="AP66" s="2767"/>
      <c r="AQ66" s="2767"/>
      <c r="AR66" s="2767"/>
      <c r="AS66" s="2767"/>
      <c r="AT66" s="2767"/>
      <c r="AU66" s="2767"/>
      <c r="AV66" s="2767"/>
      <c r="AW66" s="2768"/>
      <c r="AX66" s="1345"/>
    </row>
    <row r="67" spans="1:50" ht="13.5" hidden="1" customHeight="1">
      <c r="A67" s="1343"/>
      <c r="B67" s="2766"/>
      <c r="C67" s="2767"/>
      <c r="D67" s="2767"/>
      <c r="E67" s="2767"/>
      <c r="F67" s="2767"/>
      <c r="G67" s="2767"/>
      <c r="H67" s="2767"/>
      <c r="I67" s="2767"/>
      <c r="J67" s="2767"/>
      <c r="K67" s="2767"/>
      <c r="L67" s="2767"/>
      <c r="M67" s="2767"/>
      <c r="N67" s="2767"/>
      <c r="O67" s="2767"/>
      <c r="P67" s="2767"/>
      <c r="Q67" s="2767"/>
      <c r="R67" s="2767"/>
      <c r="S67" s="2767"/>
      <c r="T67" s="2767"/>
      <c r="U67" s="2767"/>
      <c r="V67" s="2767"/>
      <c r="W67" s="2767"/>
      <c r="X67" s="2767"/>
      <c r="Y67" s="2767"/>
      <c r="Z67" s="2767"/>
      <c r="AA67" s="2767"/>
      <c r="AB67" s="2767"/>
      <c r="AC67" s="2767"/>
      <c r="AD67" s="2767"/>
      <c r="AE67" s="2767"/>
      <c r="AF67" s="2767"/>
      <c r="AG67" s="2767"/>
      <c r="AH67" s="2767"/>
      <c r="AI67" s="2767"/>
      <c r="AJ67" s="2767"/>
      <c r="AK67" s="2767"/>
      <c r="AL67" s="2767"/>
      <c r="AM67" s="2767"/>
      <c r="AN67" s="2767"/>
      <c r="AO67" s="2767"/>
      <c r="AP67" s="2767"/>
      <c r="AQ67" s="2767"/>
      <c r="AR67" s="2767"/>
      <c r="AS67" s="2767"/>
      <c r="AT67" s="2767"/>
      <c r="AU67" s="2767"/>
      <c r="AV67" s="2767"/>
      <c r="AW67" s="2768"/>
      <c r="AX67" s="1345"/>
    </row>
    <row r="68" spans="1:50" ht="13.5" hidden="1" customHeight="1">
      <c r="A68" s="1343"/>
      <c r="B68" s="2766"/>
      <c r="C68" s="2767"/>
      <c r="D68" s="2767"/>
      <c r="E68" s="2767"/>
      <c r="F68" s="2767"/>
      <c r="G68" s="2767"/>
      <c r="H68" s="2767"/>
      <c r="I68" s="2767"/>
      <c r="J68" s="2767"/>
      <c r="K68" s="2767"/>
      <c r="L68" s="2767"/>
      <c r="M68" s="2767"/>
      <c r="N68" s="2767"/>
      <c r="O68" s="2767"/>
      <c r="P68" s="2767"/>
      <c r="Q68" s="2767"/>
      <c r="R68" s="2767"/>
      <c r="S68" s="2767"/>
      <c r="T68" s="2767"/>
      <c r="U68" s="2767"/>
      <c r="V68" s="2767"/>
      <c r="W68" s="2767"/>
      <c r="X68" s="2767"/>
      <c r="Y68" s="2767"/>
      <c r="Z68" s="2767"/>
      <c r="AA68" s="2767"/>
      <c r="AB68" s="2767"/>
      <c r="AC68" s="2767"/>
      <c r="AD68" s="2767"/>
      <c r="AE68" s="2767"/>
      <c r="AF68" s="2767"/>
      <c r="AG68" s="2767"/>
      <c r="AH68" s="2767"/>
      <c r="AI68" s="2767"/>
      <c r="AJ68" s="2767"/>
      <c r="AK68" s="2767"/>
      <c r="AL68" s="2767"/>
      <c r="AM68" s="2767"/>
      <c r="AN68" s="2767"/>
      <c r="AO68" s="2767"/>
      <c r="AP68" s="2767"/>
      <c r="AQ68" s="2767"/>
      <c r="AR68" s="2767"/>
      <c r="AS68" s="2767"/>
      <c r="AT68" s="2767"/>
      <c r="AU68" s="2767"/>
      <c r="AV68" s="2767"/>
      <c r="AW68" s="2768"/>
      <c r="AX68" s="1345"/>
    </row>
    <row r="69" spans="1:50" ht="13.5" hidden="1" customHeight="1">
      <c r="A69" s="1343"/>
      <c r="B69" s="2766"/>
      <c r="C69" s="2767"/>
      <c r="D69" s="2767"/>
      <c r="E69" s="2767"/>
      <c r="F69" s="2767"/>
      <c r="G69" s="2767"/>
      <c r="H69" s="2767"/>
      <c r="I69" s="2767"/>
      <c r="J69" s="2767"/>
      <c r="K69" s="2767"/>
      <c r="L69" s="2767"/>
      <c r="M69" s="2767"/>
      <c r="N69" s="2767"/>
      <c r="O69" s="2767"/>
      <c r="P69" s="2767"/>
      <c r="Q69" s="2767"/>
      <c r="R69" s="2767"/>
      <c r="S69" s="2767"/>
      <c r="T69" s="2767"/>
      <c r="U69" s="2767"/>
      <c r="V69" s="2767"/>
      <c r="W69" s="2767"/>
      <c r="X69" s="2767"/>
      <c r="Y69" s="2767"/>
      <c r="Z69" s="2767"/>
      <c r="AA69" s="2767"/>
      <c r="AB69" s="2767"/>
      <c r="AC69" s="2767"/>
      <c r="AD69" s="2767"/>
      <c r="AE69" s="2767"/>
      <c r="AF69" s="2767"/>
      <c r="AG69" s="2767"/>
      <c r="AH69" s="2767"/>
      <c r="AI69" s="2767"/>
      <c r="AJ69" s="2767"/>
      <c r="AK69" s="2767"/>
      <c r="AL69" s="2767"/>
      <c r="AM69" s="2767"/>
      <c r="AN69" s="2767"/>
      <c r="AO69" s="2767"/>
      <c r="AP69" s="2767"/>
      <c r="AQ69" s="2767"/>
      <c r="AR69" s="2767"/>
      <c r="AS69" s="2767"/>
      <c r="AT69" s="2767"/>
      <c r="AU69" s="2767"/>
      <c r="AV69" s="2767"/>
      <c r="AW69" s="2768"/>
      <c r="AX69" s="1345"/>
    </row>
    <row r="70" spans="1:50" ht="13.5" hidden="1" customHeight="1">
      <c r="A70" s="1343"/>
      <c r="B70" s="2766"/>
      <c r="C70" s="2767"/>
      <c r="D70" s="2767"/>
      <c r="E70" s="2767"/>
      <c r="F70" s="2767"/>
      <c r="G70" s="2767"/>
      <c r="H70" s="2767"/>
      <c r="I70" s="2767"/>
      <c r="J70" s="2767"/>
      <c r="K70" s="2767"/>
      <c r="L70" s="2767"/>
      <c r="M70" s="2767"/>
      <c r="N70" s="2767"/>
      <c r="O70" s="2767"/>
      <c r="P70" s="2767"/>
      <c r="Q70" s="2767"/>
      <c r="R70" s="2767"/>
      <c r="S70" s="2767"/>
      <c r="T70" s="2767"/>
      <c r="U70" s="2767"/>
      <c r="V70" s="2767"/>
      <c r="W70" s="2767"/>
      <c r="X70" s="2767"/>
      <c r="Y70" s="2767"/>
      <c r="Z70" s="2767"/>
      <c r="AA70" s="2767"/>
      <c r="AB70" s="2767"/>
      <c r="AC70" s="2767"/>
      <c r="AD70" s="2767"/>
      <c r="AE70" s="2767"/>
      <c r="AF70" s="2767"/>
      <c r="AG70" s="2767"/>
      <c r="AH70" s="2767"/>
      <c r="AI70" s="2767"/>
      <c r="AJ70" s="2767"/>
      <c r="AK70" s="2767"/>
      <c r="AL70" s="2767"/>
      <c r="AM70" s="2767"/>
      <c r="AN70" s="2767"/>
      <c r="AO70" s="2767"/>
      <c r="AP70" s="2767"/>
      <c r="AQ70" s="2767"/>
      <c r="AR70" s="2767"/>
      <c r="AS70" s="2767"/>
      <c r="AT70" s="2767"/>
      <c r="AU70" s="2767"/>
      <c r="AV70" s="2767"/>
      <c r="AW70" s="2768"/>
      <c r="AX70" s="1345"/>
    </row>
    <row r="71" spans="1:50" ht="21" customHeight="1">
      <c r="A71" s="1343"/>
      <c r="B71" s="2766"/>
      <c r="C71" s="2767"/>
      <c r="D71" s="2767"/>
      <c r="E71" s="2767"/>
      <c r="F71" s="2767"/>
      <c r="G71" s="2767"/>
      <c r="H71" s="2767"/>
      <c r="I71" s="2767"/>
      <c r="J71" s="2767"/>
      <c r="K71" s="2767"/>
      <c r="L71" s="2767"/>
      <c r="M71" s="2767"/>
      <c r="N71" s="2767"/>
      <c r="O71" s="2767"/>
      <c r="P71" s="2767"/>
      <c r="Q71" s="2767"/>
      <c r="R71" s="2767"/>
      <c r="S71" s="2767"/>
      <c r="T71" s="2767"/>
      <c r="U71" s="2767"/>
      <c r="V71" s="2767"/>
      <c r="W71" s="2767"/>
      <c r="X71" s="2767"/>
      <c r="Y71" s="2767"/>
      <c r="Z71" s="2767"/>
      <c r="AA71" s="2767"/>
      <c r="AB71" s="2767"/>
      <c r="AC71" s="2767"/>
      <c r="AD71" s="2767"/>
      <c r="AE71" s="2767"/>
      <c r="AF71" s="2767"/>
      <c r="AG71" s="2767"/>
      <c r="AH71" s="2767"/>
      <c r="AI71" s="2767"/>
      <c r="AJ71" s="2767"/>
      <c r="AK71" s="2767"/>
      <c r="AL71" s="2767"/>
      <c r="AM71" s="2767"/>
      <c r="AN71" s="2767"/>
      <c r="AO71" s="2767"/>
      <c r="AP71" s="2767"/>
      <c r="AQ71" s="2767"/>
      <c r="AR71" s="2767"/>
      <c r="AS71" s="2767"/>
      <c r="AT71" s="2767"/>
      <c r="AU71" s="2767"/>
      <c r="AV71" s="2767"/>
      <c r="AW71" s="2768"/>
      <c r="AX71" s="1345"/>
    </row>
    <row r="72" spans="1:50">
      <c r="A72" s="1343"/>
      <c r="B72" s="2769"/>
      <c r="C72" s="2770"/>
      <c r="D72" s="2770"/>
      <c r="E72" s="2770"/>
      <c r="F72" s="2770"/>
      <c r="G72" s="2770"/>
      <c r="H72" s="2770"/>
      <c r="I72" s="2770"/>
      <c r="J72" s="2770"/>
      <c r="K72" s="2770"/>
      <c r="L72" s="2770"/>
      <c r="M72" s="2770"/>
      <c r="N72" s="2770"/>
      <c r="O72" s="2770"/>
      <c r="P72" s="2770"/>
      <c r="Q72" s="2770"/>
      <c r="R72" s="2770"/>
      <c r="S72" s="2770"/>
      <c r="T72" s="2770"/>
      <c r="U72" s="2770"/>
      <c r="V72" s="2770"/>
      <c r="W72" s="2770"/>
      <c r="X72" s="2770"/>
      <c r="Y72" s="2770"/>
      <c r="Z72" s="2770"/>
      <c r="AA72" s="2770"/>
      <c r="AB72" s="2770"/>
      <c r="AC72" s="2770"/>
      <c r="AD72" s="2770"/>
      <c r="AE72" s="2770"/>
      <c r="AF72" s="2770"/>
      <c r="AG72" s="2770"/>
      <c r="AH72" s="2770"/>
      <c r="AI72" s="2770"/>
      <c r="AJ72" s="2770"/>
      <c r="AK72" s="2770"/>
      <c r="AL72" s="2770"/>
      <c r="AM72" s="2770"/>
      <c r="AN72" s="2770"/>
      <c r="AO72" s="2770"/>
      <c r="AP72" s="2770"/>
      <c r="AQ72" s="2770"/>
      <c r="AR72" s="2770"/>
      <c r="AS72" s="2770"/>
      <c r="AT72" s="2770"/>
      <c r="AU72" s="2770"/>
      <c r="AV72" s="2770"/>
      <c r="AW72" s="2771"/>
      <c r="AX72" s="1345"/>
    </row>
    <row r="73" spans="1:50">
      <c r="A73" s="1343"/>
      <c r="B73" s="1431"/>
      <c r="C73" s="1432"/>
      <c r="D73" s="1432"/>
      <c r="E73" s="1432"/>
      <c r="F73" s="1432"/>
      <c r="G73" s="1432"/>
      <c r="H73" s="1432"/>
      <c r="I73" s="1432"/>
      <c r="J73" s="1432"/>
      <c r="K73" s="1432"/>
      <c r="L73" s="1432"/>
      <c r="M73" s="1432"/>
      <c r="N73" s="1432"/>
      <c r="O73" s="1432"/>
      <c r="P73" s="1432"/>
      <c r="Q73" s="1433"/>
      <c r="R73" s="1434" t="s">
        <v>5655</v>
      </c>
      <c r="S73" s="1435" t="s">
        <v>2749</v>
      </c>
      <c r="T73" s="1435"/>
      <c r="U73" s="1435"/>
      <c r="V73" s="1435"/>
      <c r="W73" s="1435"/>
      <c r="X73" s="1435"/>
      <c r="Y73" s="1435"/>
      <c r="Z73" s="1435"/>
      <c r="AA73" s="1435"/>
      <c r="AB73" s="1435"/>
      <c r="AC73" s="1435"/>
      <c r="AD73" s="1435"/>
      <c r="AE73" s="1435"/>
      <c r="AF73" s="1435"/>
      <c r="AG73" s="1435"/>
      <c r="AH73" s="1435"/>
      <c r="AI73" s="1435"/>
      <c r="AJ73" s="1436"/>
      <c r="AK73" s="1436"/>
      <c r="AL73" s="2755" t="s">
        <v>5614</v>
      </c>
      <c r="AM73" s="2756"/>
      <c r="AN73" s="2756"/>
      <c r="AO73" s="2756"/>
      <c r="AP73" s="2756"/>
      <c r="AQ73" s="2756"/>
      <c r="AR73" s="2756"/>
      <c r="AS73" s="2756"/>
      <c r="AT73" s="2756"/>
      <c r="AU73" s="2756"/>
      <c r="AV73" s="2756"/>
      <c r="AW73" s="2757"/>
      <c r="AX73" s="1345"/>
    </row>
    <row r="74" spans="1:50">
      <c r="A74" s="1343"/>
      <c r="B74" s="1437"/>
      <c r="C74" s="1438"/>
      <c r="D74" s="1438"/>
      <c r="E74" s="1438"/>
      <c r="F74" s="1438"/>
      <c r="G74" s="1438"/>
      <c r="H74" s="1438"/>
      <c r="I74" s="1438"/>
      <c r="J74" s="1438"/>
      <c r="K74" s="1438"/>
      <c r="L74" s="1438"/>
      <c r="M74" s="1438"/>
      <c r="N74" s="1438"/>
      <c r="O74" s="1438"/>
      <c r="P74" s="1438"/>
      <c r="Q74" s="1439"/>
      <c r="R74" s="1440"/>
      <c r="S74" s="1441" t="s">
        <v>2750</v>
      </c>
      <c r="T74" s="1441"/>
      <c r="U74" s="1441"/>
      <c r="V74" s="1441"/>
      <c r="W74" s="1441"/>
      <c r="X74" s="1441"/>
      <c r="Y74" s="1441"/>
      <c r="Z74" s="1441"/>
      <c r="AA74" s="1441"/>
      <c r="AB74" s="1441"/>
      <c r="AC74" s="1441"/>
      <c r="AD74" s="1441"/>
      <c r="AE74" s="1441"/>
      <c r="AF74" s="1441"/>
      <c r="AG74" s="1441"/>
      <c r="AH74" s="1441"/>
      <c r="AI74" s="1441"/>
      <c r="AJ74" s="1344"/>
      <c r="AK74" s="1344"/>
      <c r="AL74" s="2758"/>
      <c r="AM74" s="2758"/>
      <c r="AN74" s="2758"/>
      <c r="AO74" s="2758"/>
      <c r="AP74" s="2758"/>
      <c r="AQ74" s="2758"/>
      <c r="AR74" s="2758"/>
      <c r="AS74" s="2758"/>
      <c r="AT74" s="2758"/>
      <c r="AU74" s="2758"/>
      <c r="AV74" s="2758"/>
      <c r="AW74" s="2759"/>
      <c r="AX74" s="1345"/>
    </row>
    <row r="75" spans="1:50" ht="13.5" customHeight="1">
      <c r="A75" s="1343"/>
      <c r="B75" s="1343"/>
      <c r="C75" s="1344"/>
      <c r="D75" s="1344"/>
      <c r="E75" s="1344"/>
      <c r="F75" s="1344"/>
      <c r="G75" s="1344"/>
      <c r="H75" s="1344"/>
      <c r="I75" s="1344"/>
      <c r="J75" s="1344"/>
      <c r="K75" s="1344"/>
      <c r="L75" s="1344"/>
      <c r="M75" s="1344"/>
      <c r="N75" s="1344"/>
      <c r="O75" s="1344"/>
      <c r="P75" s="1344"/>
      <c r="Q75" s="1344"/>
      <c r="R75" s="1674"/>
      <c r="S75" s="2754" t="s">
        <v>5613</v>
      </c>
      <c r="T75" s="2754"/>
      <c r="U75" s="2754"/>
      <c r="V75" s="2754"/>
      <c r="W75" s="2754"/>
      <c r="X75" s="2754"/>
      <c r="Y75" s="2754"/>
      <c r="Z75" s="2754"/>
      <c r="AA75" s="2754"/>
      <c r="AB75" s="2754"/>
      <c r="AC75" s="2754"/>
      <c r="AD75" s="2754"/>
      <c r="AE75" s="2754"/>
      <c r="AF75" s="2754"/>
      <c r="AG75" s="2754"/>
      <c r="AH75" s="2754"/>
      <c r="AI75" s="2754"/>
      <c r="AJ75" s="2754"/>
      <c r="AK75" s="2754"/>
      <c r="AL75" s="2758"/>
      <c r="AM75" s="2758"/>
      <c r="AN75" s="2758"/>
      <c r="AO75" s="2758"/>
      <c r="AP75" s="2758"/>
      <c r="AQ75" s="2758"/>
      <c r="AR75" s="2758"/>
      <c r="AS75" s="2758"/>
      <c r="AT75" s="2758"/>
      <c r="AU75" s="2758"/>
      <c r="AV75" s="2758"/>
      <c r="AW75" s="2759"/>
      <c r="AX75" s="1345"/>
    </row>
    <row r="76" spans="1:50">
      <c r="A76" s="1343"/>
      <c r="B76" s="1343"/>
      <c r="C76" s="1344"/>
      <c r="D76" s="1344"/>
      <c r="E76" s="1344"/>
      <c r="F76" s="1344"/>
      <c r="G76" s="1344"/>
      <c r="H76" s="1344"/>
      <c r="I76" s="1344"/>
      <c r="J76" s="1344"/>
      <c r="K76" s="1344"/>
      <c r="L76" s="1344"/>
      <c r="M76" s="1344"/>
      <c r="N76" s="1344"/>
      <c r="O76" s="1344"/>
      <c r="P76" s="1344"/>
      <c r="Q76" s="1344"/>
      <c r="R76" s="1442"/>
      <c r="S76" s="1443" t="s">
        <v>2751</v>
      </c>
      <c r="T76" s="1443"/>
      <c r="U76" s="1443"/>
      <c r="V76" s="1443"/>
      <c r="W76" s="1443"/>
      <c r="X76" s="1443"/>
      <c r="Y76" s="1443"/>
      <c r="Z76" s="1443"/>
      <c r="AA76" s="1443"/>
      <c r="AB76" s="1443"/>
      <c r="AC76" s="1443"/>
      <c r="AD76" s="1443"/>
      <c r="AE76" s="1443"/>
      <c r="AF76" s="1443"/>
      <c r="AG76" s="1443"/>
      <c r="AH76" s="1443"/>
      <c r="AI76" s="1443"/>
      <c r="AJ76" s="1444"/>
      <c r="AK76" s="1444"/>
      <c r="AL76" s="2760"/>
      <c r="AM76" s="2760"/>
      <c r="AN76" s="2760"/>
      <c r="AO76" s="2760"/>
      <c r="AP76" s="2760"/>
      <c r="AQ76" s="2760"/>
      <c r="AR76" s="2760"/>
      <c r="AS76" s="2760"/>
      <c r="AT76" s="2760"/>
      <c r="AU76" s="2760"/>
      <c r="AV76" s="2760"/>
      <c r="AW76" s="2761"/>
      <c r="AX76" s="1345"/>
    </row>
    <row r="77" spans="1:50" ht="10.5" customHeight="1">
      <c r="A77" s="1343"/>
      <c r="B77" s="1343"/>
      <c r="C77" s="1344"/>
      <c r="D77" s="1344"/>
      <c r="E77" s="1344"/>
      <c r="F77" s="1344"/>
      <c r="G77" s="1344"/>
      <c r="H77" s="1344"/>
      <c r="I77" s="1344"/>
      <c r="J77" s="1344"/>
      <c r="K77" s="1344"/>
      <c r="L77" s="1344"/>
      <c r="M77" s="1344"/>
      <c r="N77" s="1344"/>
      <c r="O77" s="1344"/>
      <c r="P77" s="1344"/>
      <c r="Q77" s="1344"/>
      <c r="R77" s="1722" t="s">
        <v>5662</v>
      </c>
      <c r="S77" s="1436"/>
      <c r="T77" s="1436"/>
      <c r="U77" s="1436"/>
      <c r="V77" s="1725"/>
      <c r="W77" s="1725"/>
      <c r="X77" s="1725"/>
      <c r="Y77" s="1725"/>
      <c r="Z77" s="1725"/>
      <c r="AA77" s="1725"/>
      <c r="AB77" s="1725"/>
      <c r="AC77" s="1725"/>
      <c r="AD77" s="1725"/>
      <c r="AE77" s="1726"/>
      <c r="AF77" s="1447" t="s">
        <v>2752</v>
      </c>
      <c r="AG77" s="1448"/>
      <c r="AH77" s="1448"/>
      <c r="AI77" s="1449"/>
      <c r="AJ77" s="1449"/>
      <c r="AK77" s="1449"/>
      <c r="AL77" s="1449"/>
      <c r="AM77" s="1449"/>
      <c r="AN77" s="1448"/>
      <c r="AO77" s="1448"/>
      <c r="AP77" s="1448"/>
      <c r="AQ77" s="1448"/>
      <c r="AR77" s="1448"/>
      <c r="AS77" s="1448"/>
      <c r="AT77" s="1448"/>
      <c r="AU77" s="1448"/>
      <c r="AV77" s="1448"/>
      <c r="AW77" s="1450"/>
      <c r="AX77" s="1345"/>
    </row>
    <row r="78" spans="1:50" ht="9.75" customHeight="1">
      <c r="A78" s="1343"/>
      <c r="B78" s="1343"/>
      <c r="C78" s="1344"/>
      <c r="D78" s="1344"/>
      <c r="E78" s="1344"/>
      <c r="F78" s="1344"/>
      <c r="G78" s="1344"/>
      <c r="H78" s="1344"/>
      <c r="I78" s="1344"/>
      <c r="J78" s="1344"/>
      <c r="K78" s="1344"/>
      <c r="L78" s="1344"/>
      <c r="M78" s="1344"/>
      <c r="N78" s="1344"/>
      <c r="O78" s="1344"/>
      <c r="P78" s="1344"/>
      <c r="Q78" s="1344"/>
      <c r="R78" s="1723"/>
      <c r="S78" s="1724"/>
      <c r="T78" s="1724"/>
      <c r="U78" s="1724"/>
      <c r="V78" s="1727"/>
      <c r="W78" s="1727"/>
      <c r="X78" s="1727"/>
      <c r="Y78" s="1727"/>
      <c r="Z78" s="1727"/>
      <c r="AA78" s="1727"/>
      <c r="AB78" s="1727"/>
      <c r="AC78" s="1727"/>
      <c r="AD78" s="1727"/>
      <c r="AE78" s="1728"/>
      <c r="AF78" s="1719"/>
      <c r="AG78" s="1451"/>
      <c r="AH78" s="1451"/>
      <c r="AI78" s="1451"/>
      <c r="AJ78" s="1451"/>
      <c r="AK78" s="1451"/>
      <c r="AL78" s="1716"/>
      <c r="AM78" s="1716"/>
      <c r="AN78" s="1716"/>
      <c r="AO78" s="1716"/>
      <c r="AP78" s="1716"/>
      <c r="AQ78" s="1716"/>
      <c r="AR78" s="2695" t="s">
        <v>2753</v>
      </c>
      <c r="AS78" s="2695"/>
      <c r="AT78" s="2695"/>
      <c r="AU78" s="2695"/>
      <c r="AV78" s="2695"/>
      <c r="AW78" s="2696"/>
      <c r="AX78" s="1345"/>
    </row>
    <row r="79" spans="1:50" ht="13.5" customHeight="1">
      <c r="A79" s="1343"/>
      <c r="B79" s="1343"/>
      <c r="C79" s="1344"/>
      <c r="D79" s="1344"/>
      <c r="E79" s="1344"/>
      <c r="F79" s="1344"/>
      <c r="G79" s="1344"/>
      <c r="H79" s="1344"/>
      <c r="I79" s="1344"/>
      <c r="J79" s="1344"/>
      <c r="K79" s="1344"/>
      <c r="L79" s="1344"/>
      <c r="M79" s="1344"/>
      <c r="N79" s="1344"/>
      <c r="O79" s="1344"/>
      <c r="P79" s="1344"/>
      <c r="Q79" s="1344"/>
      <c r="R79" s="1729" t="s">
        <v>5663</v>
      </c>
      <c r="S79" s="1730"/>
      <c r="T79" s="1730"/>
      <c r="U79" s="1730"/>
      <c r="V79" s="2750" t="s">
        <v>5661</v>
      </c>
      <c r="W79" s="2750"/>
      <c r="X79" s="2750"/>
      <c r="Y79" s="2750"/>
      <c r="Z79" s="2750"/>
      <c r="AA79" s="2750"/>
      <c r="AB79" s="2750"/>
      <c r="AC79" s="2750"/>
      <c r="AD79" s="2750"/>
      <c r="AE79" s="2751"/>
      <c r="AF79" s="1720"/>
      <c r="AG79" s="1453"/>
      <c r="AH79" s="1453"/>
      <c r="AI79" s="1453"/>
      <c r="AJ79" s="1453"/>
      <c r="AK79" s="1453"/>
      <c r="AL79" s="1714"/>
      <c r="AM79" s="1714"/>
      <c r="AN79" s="1714"/>
      <c r="AO79" s="1714"/>
      <c r="AP79" s="1714"/>
      <c r="AQ79" s="1714"/>
      <c r="AR79" s="2697" t="s">
        <v>2754</v>
      </c>
      <c r="AS79" s="2697"/>
      <c r="AT79" s="2697"/>
      <c r="AU79" s="2697"/>
      <c r="AV79" s="2697"/>
      <c r="AW79" s="2698"/>
      <c r="AX79" s="1345"/>
    </row>
    <row r="80" spans="1:50">
      <c r="A80" s="1343"/>
      <c r="B80" s="1454"/>
      <c r="C80" s="1445"/>
      <c r="D80" s="1445"/>
      <c r="E80" s="1445"/>
      <c r="F80" s="1445"/>
      <c r="G80" s="1445"/>
      <c r="H80" s="1445"/>
      <c r="I80" s="1445"/>
      <c r="J80" s="1445"/>
      <c r="K80" s="1445"/>
      <c r="L80" s="1445"/>
      <c r="M80" s="1445"/>
      <c r="N80" s="1445"/>
      <c r="O80" s="1445"/>
      <c r="P80" s="1445"/>
      <c r="Q80" s="1445"/>
      <c r="R80" s="1718"/>
      <c r="S80" s="1444"/>
      <c r="T80" s="1444"/>
      <c r="U80" s="1444"/>
      <c r="V80" s="2752"/>
      <c r="W80" s="2752"/>
      <c r="X80" s="2752"/>
      <c r="Y80" s="2752"/>
      <c r="Z80" s="2752"/>
      <c r="AA80" s="2752"/>
      <c r="AB80" s="2752"/>
      <c r="AC80" s="2752"/>
      <c r="AD80" s="2752"/>
      <c r="AE80" s="2753"/>
      <c r="AF80" s="1721"/>
      <c r="AG80" s="1455"/>
      <c r="AH80" s="1455"/>
      <c r="AI80" s="1455"/>
      <c r="AJ80" s="1455"/>
      <c r="AK80" s="1455"/>
      <c r="AL80" s="1715"/>
      <c r="AM80" s="1715"/>
      <c r="AN80" s="1715"/>
      <c r="AO80" s="1715"/>
      <c r="AP80" s="1715"/>
      <c r="AQ80" s="1715"/>
      <c r="AR80" s="2699"/>
      <c r="AS80" s="2699"/>
      <c r="AT80" s="2699"/>
      <c r="AU80" s="2699"/>
      <c r="AV80" s="2699"/>
      <c r="AW80" s="2700"/>
      <c r="AX80" s="1345"/>
    </row>
    <row r="81" spans="1:50">
      <c r="A81" s="1343"/>
      <c r="B81" s="1344"/>
      <c r="C81" s="1344"/>
      <c r="D81" s="1344"/>
      <c r="E81" s="1344"/>
      <c r="F81" s="1344"/>
      <c r="G81" s="1344"/>
      <c r="H81" s="1344"/>
      <c r="I81" s="1344"/>
      <c r="J81" s="1344"/>
      <c r="K81" s="1344"/>
      <c r="L81" s="1344"/>
      <c r="M81" s="1344"/>
      <c r="N81" s="1344"/>
      <c r="O81" s="1344"/>
      <c r="P81" s="1344"/>
      <c r="Q81" s="1344"/>
      <c r="R81" s="1344"/>
      <c r="S81" s="1344"/>
      <c r="T81" s="1344"/>
      <c r="U81" s="1344"/>
      <c r="V81" s="1344"/>
      <c r="W81" s="1344"/>
      <c r="X81" s="1344"/>
      <c r="Y81" s="1344"/>
      <c r="Z81" s="1344"/>
      <c r="AA81" s="1344"/>
      <c r="AB81" s="1344"/>
      <c r="AC81" s="1344"/>
      <c r="AD81" s="1344"/>
      <c r="AE81" s="1344"/>
      <c r="AF81" s="1344"/>
      <c r="AG81" s="1344"/>
      <c r="AH81" s="1344"/>
      <c r="AI81" s="1456"/>
      <c r="AJ81" s="1452"/>
      <c r="AK81" s="1452"/>
      <c r="AL81" s="1452"/>
      <c r="AM81" s="1452"/>
      <c r="AN81" s="1457"/>
      <c r="AO81" s="1457"/>
      <c r="AP81" s="1344"/>
      <c r="AQ81" s="1344"/>
      <c r="AR81" s="1344"/>
      <c r="AS81" s="1344"/>
      <c r="AT81" s="1344"/>
      <c r="AU81" s="1344"/>
      <c r="AV81" s="1344"/>
      <c r="AW81" s="1458"/>
      <c r="AX81" s="1345"/>
    </row>
    <row r="82" spans="1:50">
      <c r="A82" s="1454"/>
      <c r="B82" s="1445"/>
      <c r="C82" s="1445"/>
      <c r="D82" s="1445"/>
      <c r="E82" s="1445"/>
      <c r="F82" s="1445"/>
      <c r="G82" s="1445"/>
      <c r="H82" s="1445"/>
      <c r="I82" s="1445"/>
      <c r="J82" s="1445"/>
      <c r="K82" s="1445"/>
      <c r="L82" s="1445"/>
      <c r="M82" s="1445"/>
      <c r="N82" s="1445"/>
      <c r="O82" s="1445"/>
      <c r="P82" s="1445"/>
      <c r="Q82" s="1445"/>
      <c r="R82" s="1445"/>
      <c r="S82" s="1445"/>
      <c r="T82" s="1445"/>
      <c r="U82" s="1445"/>
      <c r="V82" s="1445"/>
      <c r="W82" s="1445"/>
      <c r="X82" s="1445"/>
      <c r="Y82" s="1445"/>
      <c r="Z82" s="1445"/>
      <c r="AA82" s="1445"/>
      <c r="AB82" s="1445"/>
      <c r="AC82" s="1445"/>
      <c r="AD82" s="1445"/>
      <c r="AE82" s="1445"/>
      <c r="AF82" s="1445"/>
      <c r="AG82" s="1445"/>
      <c r="AH82" s="1445"/>
      <c r="AI82" s="1444"/>
      <c r="AJ82" s="1444"/>
      <c r="AK82" s="1444"/>
      <c r="AL82" s="1444"/>
      <c r="AM82" s="1444"/>
      <c r="AN82" s="1445"/>
      <c r="AO82" s="1445"/>
      <c r="AP82" s="1445"/>
      <c r="AQ82" s="1445"/>
      <c r="AR82" s="1717"/>
      <c r="AS82" s="1445"/>
      <c r="AT82" s="1445"/>
      <c r="AU82" s="1445"/>
      <c r="AV82" s="1445"/>
      <c r="AW82" s="1445"/>
      <c r="AX82" s="1446"/>
    </row>
    <row r="83" spans="1:50">
      <c r="AH83" s="1459"/>
      <c r="AI83" s="1459"/>
      <c r="AJ83" s="1459"/>
      <c r="AK83" s="1459"/>
      <c r="AL83" s="1459"/>
    </row>
  </sheetData>
  <sheetProtection algorithmName="SHA-512" hashValue="Ve59P7Crds1PjFKrh3ywus/ASdCIJu0hIUNvYkR4/Yg7gAgd5lgl64qi089U0x/7XWqLr+OKItuKuWn14q4Lfg==" saltValue="q0q/HxSmRFI9wa2eUKjXFw==" spinCount="100000" sheet="1" selectLockedCells="1"/>
  <mergeCells count="84">
    <mergeCell ref="V79:AE80"/>
    <mergeCell ref="S75:AK75"/>
    <mergeCell ref="AL73:AW76"/>
    <mergeCell ref="Q35:AI35"/>
    <mergeCell ref="D35:P35"/>
    <mergeCell ref="J58:P58"/>
    <mergeCell ref="B63:AW72"/>
    <mergeCell ref="J56:P56"/>
    <mergeCell ref="Q58:AM58"/>
    <mergeCell ref="D37:I41"/>
    <mergeCell ref="Q41:U41"/>
    <mergeCell ref="T57:V57"/>
    <mergeCell ref="Y57:AA57"/>
    <mergeCell ref="J54:P54"/>
    <mergeCell ref="Q46:U46"/>
    <mergeCell ref="E49:I52"/>
    <mergeCell ref="J57:P57"/>
    <mergeCell ref="Q57:S57"/>
    <mergeCell ref="AD51:AF51"/>
    <mergeCell ref="J52:P52"/>
    <mergeCell ref="J53:P53"/>
    <mergeCell ref="Q53:Z53"/>
    <mergeCell ref="Q56:S56"/>
    <mergeCell ref="AD57:AF57"/>
    <mergeCell ref="E55:P55"/>
    <mergeCell ref="Q55:S55"/>
    <mergeCell ref="E56:I58"/>
    <mergeCell ref="J51:P51"/>
    <mergeCell ref="Q51:S51"/>
    <mergeCell ref="T51:V51"/>
    <mergeCell ref="Y51:AA51"/>
    <mergeCell ref="AR1:AX1"/>
    <mergeCell ref="A2:AX2"/>
    <mergeCell ref="D45:I46"/>
    <mergeCell ref="J45:P45"/>
    <mergeCell ref="Q45:S45"/>
    <mergeCell ref="J41:P41"/>
    <mergeCell ref="AJ30:AL30"/>
    <mergeCell ref="V31:AM31"/>
    <mergeCell ref="B4:AP4"/>
    <mergeCell ref="AR4:AT4"/>
    <mergeCell ref="B10:G11"/>
    <mergeCell ref="H10:AU11"/>
    <mergeCell ref="H14:AU14"/>
    <mergeCell ref="AU4:AW4"/>
    <mergeCell ref="AR5:AW5"/>
    <mergeCell ref="B8:G9"/>
    <mergeCell ref="J49:P49"/>
    <mergeCell ref="Q49:S49"/>
    <mergeCell ref="J50:P50"/>
    <mergeCell ref="Q50:Y50"/>
    <mergeCell ref="H15:AU15"/>
    <mergeCell ref="H16:AU16"/>
    <mergeCell ref="D28:P28"/>
    <mergeCell ref="Q28:AI28"/>
    <mergeCell ref="D29:K31"/>
    <mergeCell ref="Q29:AI29"/>
    <mergeCell ref="V30:X30"/>
    <mergeCell ref="Y30:AA30"/>
    <mergeCell ref="AD30:AF30"/>
    <mergeCell ref="AG30:AH30"/>
    <mergeCell ref="H17:AU17"/>
    <mergeCell ref="H20:AU20"/>
    <mergeCell ref="H8:J9"/>
    <mergeCell ref="K8:M9"/>
    <mergeCell ref="N8:O9"/>
    <mergeCell ref="P8:Y9"/>
    <mergeCell ref="Z8:AN8"/>
    <mergeCell ref="AR78:AW78"/>
    <mergeCell ref="AR79:AW80"/>
    <mergeCell ref="D33:P33"/>
    <mergeCell ref="Q33:AI33"/>
    <mergeCell ref="B48:D48"/>
    <mergeCell ref="E48:P48"/>
    <mergeCell ref="Q48:Z48"/>
    <mergeCell ref="D42:I44"/>
    <mergeCell ref="J42:P42"/>
    <mergeCell ref="Q42:S42"/>
    <mergeCell ref="J43:P43"/>
    <mergeCell ref="Q43:AE43"/>
    <mergeCell ref="J44:P44"/>
    <mergeCell ref="Q44:U44"/>
    <mergeCell ref="J46:P46"/>
    <mergeCell ref="Q52:AM52"/>
  </mergeCells>
  <phoneticPr fontId="3"/>
  <dataValidations disablePrompts="1" count="1">
    <dataValidation allowBlank="1" showInputMessage="1" sqref="R36:U40 R34:AI34 R27:AI32 Q27:Q61 AN27:AP61 AJ27:AM51 R42:U51 V36:AI51 R53:AM57 R59:AM61" xr:uid="{D05829DD-A438-4F96-B442-0C525A2C1EB9}"/>
  </dataValidations>
  <hyperlinks>
    <hyperlink ref="AR1" location="使用方法!F26:F34" display="シート一覧へ" xr:uid="{B2B3E427-73C8-4D23-8AD9-6CF2B205DDDA}"/>
    <hyperlink ref="AR1:AX1" location="使用方法!F29:F37" display="シート一覧へ" xr:uid="{39D3A026-3290-4F5E-A86A-E456E90CDFFC}"/>
  </hyperlinks>
  <printOptions horizontalCentered="1" verticalCentered="1"/>
  <pageMargins left="0.98425196850393704" right="0.98425196850393704" top="0.59055118110236227" bottom="0.59055118110236227" header="0.31496062992125984" footer="0.31496062992125984"/>
  <pageSetup paperSize="9" scale="94"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BF977"/>
  <sheetViews>
    <sheetView zoomScaleNormal="100" zoomScaleSheetLayoutView="85" workbookViewId="0">
      <selection activeCell="AN1" sqref="AN1:AS1"/>
    </sheetView>
  </sheetViews>
  <sheetFormatPr defaultColWidth="9" defaultRowHeight="13"/>
  <cols>
    <col min="1" max="17" width="2.08984375" style="1461" customWidth="1"/>
    <col min="18" max="18" width="2.36328125" style="1461" customWidth="1"/>
    <col min="19" max="33" width="2.08984375" style="1461" customWidth="1"/>
    <col min="34" max="34" width="2.26953125" style="1461" customWidth="1"/>
    <col min="35" max="52" width="2.08984375" style="1461" customWidth="1"/>
    <col min="53" max="58" width="9" style="1461" customWidth="1"/>
    <col min="59" max="16384" width="9" style="1461"/>
  </cols>
  <sheetData>
    <row r="1" spans="1:51" ht="22.5" customHeight="1">
      <c r="A1" s="1460" t="s">
        <v>2767</v>
      </c>
      <c r="AN1" s="2729" t="str">
        <f>HYPERLINK("#'使用方法'!F29:F37","シート一覧へ")</f>
        <v>シート一覧へ</v>
      </c>
      <c r="AO1" s="2729"/>
      <c r="AP1" s="2729"/>
      <c r="AQ1" s="2729"/>
      <c r="AR1" s="2729"/>
      <c r="AS1" s="2729"/>
    </row>
    <row r="2" spans="1:51" ht="33.75" hidden="1" customHeight="1">
      <c r="AY2" s="1462" t="s">
        <v>391</v>
      </c>
    </row>
    <row r="3" spans="1:51" ht="15" hidden="1" customHeight="1">
      <c r="AY3" s="1462" t="s">
        <v>392</v>
      </c>
    </row>
    <row r="4" spans="1:51" ht="12" customHeight="1">
      <c r="B4" s="1461" t="s">
        <v>393</v>
      </c>
      <c r="AI4" s="1463"/>
      <c r="AJ4" s="1461" t="s">
        <v>2768</v>
      </c>
      <c r="AM4" s="1464"/>
      <c r="AN4" s="1465" t="str">
        <f>IF('1_入力シート【基本情報】'!$AB$7="","",'1_入力シート【基本情報】'!$AB$7)</f>
        <v/>
      </c>
      <c r="AO4" s="1466" t="str">
        <f>IF('1_入力シート【基本情報】'!$AK$7="","",'1_入力シート【基本情報】'!$AK$7)</f>
        <v/>
      </c>
      <c r="AP4" s="2780" t="str">
        <f>IF('1_入力シート【基本情報】'!$AT$7="","",TEXT('1_入力シート【基本情報】'!$AT$7,"0000"))</f>
        <v/>
      </c>
      <c r="AQ4" s="2781"/>
      <c r="AR4" s="2781"/>
      <c r="AS4" s="2782"/>
    </row>
    <row r="5" spans="1:51" ht="9" customHeight="1">
      <c r="AS5" s="1467" t="str">
        <f>チェックシート!H3</f>
        <v>Kyoto City(R4.11) ver112</v>
      </c>
    </row>
    <row r="6" spans="1:51" ht="12" customHeight="1">
      <c r="B6" s="2788" t="s">
        <v>394</v>
      </c>
      <c r="C6" s="2788"/>
      <c r="D6" s="2788"/>
      <c r="E6" s="2788"/>
      <c r="F6" s="2788"/>
      <c r="G6" s="2788"/>
      <c r="H6" s="2788"/>
      <c r="I6" s="2788"/>
      <c r="J6" s="2788"/>
      <c r="K6" s="2788"/>
      <c r="L6" s="2788"/>
      <c r="M6" s="2788"/>
      <c r="N6" s="2788"/>
      <c r="O6" s="2788"/>
      <c r="P6" s="2788"/>
      <c r="Q6" s="2788"/>
      <c r="R6" s="2788"/>
      <c r="S6" s="2788"/>
      <c r="T6" s="2788"/>
      <c r="U6" s="2788"/>
      <c r="V6" s="2788"/>
      <c r="W6" s="2788"/>
      <c r="X6" s="2788"/>
      <c r="Y6" s="2788"/>
      <c r="Z6" s="2788"/>
      <c r="AA6" s="2788"/>
      <c r="AB6" s="2788"/>
      <c r="AC6" s="2788"/>
      <c r="AD6" s="2788"/>
      <c r="AE6" s="2788"/>
      <c r="AF6" s="2788"/>
      <c r="AG6" s="2788"/>
      <c r="AH6" s="2788"/>
      <c r="AI6" s="2788"/>
      <c r="AJ6" s="2788"/>
      <c r="AK6" s="2788"/>
      <c r="AL6" s="2788"/>
      <c r="AM6" s="2788"/>
      <c r="AN6" s="2788"/>
      <c r="AO6" s="2788"/>
      <c r="AP6" s="2788"/>
      <c r="AQ6" s="2788"/>
      <c r="AR6" s="2788"/>
      <c r="AS6" s="2788"/>
      <c r="AT6" s="2788"/>
      <c r="AU6" s="1468"/>
    </row>
    <row r="7" spans="1:51" ht="12" customHeight="1">
      <c r="B7" s="2788" t="s">
        <v>395</v>
      </c>
      <c r="C7" s="2788"/>
      <c r="D7" s="2788"/>
      <c r="E7" s="2788"/>
      <c r="F7" s="2788"/>
      <c r="G7" s="2788"/>
      <c r="H7" s="2788"/>
      <c r="I7" s="2788"/>
      <c r="J7" s="2788"/>
      <c r="K7" s="2788"/>
      <c r="L7" s="2788"/>
      <c r="M7" s="2788"/>
      <c r="N7" s="2788"/>
      <c r="O7" s="2788"/>
      <c r="P7" s="2788"/>
      <c r="Q7" s="2788"/>
      <c r="R7" s="2788"/>
      <c r="S7" s="2788"/>
      <c r="T7" s="2788"/>
      <c r="U7" s="2788"/>
      <c r="V7" s="2788"/>
      <c r="W7" s="2788"/>
      <c r="X7" s="2788"/>
      <c r="Y7" s="2788"/>
      <c r="Z7" s="2788"/>
      <c r="AA7" s="2788"/>
      <c r="AB7" s="2788"/>
      <c r="AC7" s="2788"/>
      <c r="AD7" s="2788"/>
      <c r="AE7" s="2788"/>
      <c r="AF7" s="2788"/>
      <c r="AG7" s="2788"/>
      <c r="AH7" s="2788"/>
      <c r="AI7" s="2788"/>
      <c r="AJ7" s="2788"/>
      <c r="AK7" s="2788"/>
      <c r="AL7" s="2788"/>
      <c r="AM7" s="2788"/>
      <c r="AN7" s="2788"/>
      <c r="AO7" s="2788"/>
      <c r="AP7" s="2788"/>
      <c r="AQ7" s="2788"/>
      <c r="AR7" s="2788"/>
      <c r="AS7" s="2788"/>
      <c r="AT7" s="2788"/>
      <c r="AU7" s="1468"/>
    </row>
    <row r="8" spans="1:51" ht="9" customHeight="1"/>
    <row r="9" spans="1:51" ht="14.15" hidden="1" customHeight="1">
      <c r="B9" s="1468"/>
      <c r="C9" s="1468"/>
      <c r="D9" s="1468"/>
      <c r="E9" s="1468"/>
      <c r="F9" s="1468"/>
      <c r="G9" s="1468"/>
      <c r="H9" s="1468"/>
      <c r="I9" s="1468"/>
      <c r="J9" s="1468"/>
      <c r="K9" s="1468"/>
      <c r="L9" s="1468"/>
      <c r="M9" s="1468"/>
      <c r="N9" s="1468"/>
      <c r="O9" s="1468"/>
      <c r="P9" s="1468"/>
      <c r="Q9" s="1468"/>
      <c r="R9" s="1468"/>
      <c r="S9" s="1468"/>
      <c r="T9" s="1468"/>
      <c r="U9" s="1468"/>
      <c r="V9" s="1468"/>
      <c r="W9" s="1468"/>
      <c r="X9" s="1468"/>
      <c r="Y9" s="1468"/>
      <c r="Z9" s="1468"/>
      <c r="AA9" s="1468"/>
      <c r="AB9" s="1468"/>
      <c r="AC9" s="1468"/>
      <c r="AD9" s="1468"/>
      <c r="AE9" s="1468"/>
      <c r="AF9" s="1468"/>
      <c r="AG9" s="1468"/>
      <c r="AH9" s="1468"/>
      <c r="AI9" s="1468"/>
      <c r="AJ9" s="1468"/>
      <c r="AK9" s="1468"/>
      <c r="AL9" s="1468"/>
      <c r="AM9" s="1468"/>
      <c r="AN9" s="1468"/>
      <c r="AO9" s="1468"/>
      <c r="AP9" s="1468"/>
      <c r="AQ9" s="1468"/>
      <c r="AR9" s="1468"/>
      <c r="AS9" s="1468"/>
      <c r="AT9" s="1468"/>
      <c r="AU9" s="1468"/>
    </row>
    <row r="10" spans="1:51" ht="14.15" hidden="1" customHeight="1">
      <c r="B10" s="1469"/>
      <c r="C10" s="1469"/>
      <c r="D10" s="1469"/>
      <c r="E10" s="1469"/>
      <c r="F10" s="1469"/>
      <c r="G10" s="1469"/>
      <c r="H10" s="1469"/>
      <c r="I10" s="1469"/>
      <c r="J10" s="1469"/>
      <c r="K10" s="1469"/>
      <c r="L10" s="1469"/>
      <c r="M10" s="1469"/>
      <c r="N10" s="1469"/>
      <c r="O10" s="1469"/>
      <c r="P10" s="1469"/>
      <c r="Q10" s="1469"/>
      <c r="R10" s="1469"/>
      <c r="S10" s="1469"/>
      <c r="T10" s="1469"/>
      <c r="U10" s="1469"/>
      <c r="V10" s="1469"/>
      <c r="W10" s="1469"/>
      <c r="X10" s="1469"/>
      <c r="Y10" s="1469"/>
      <c r="Z10" s="1469"/>
      <c r="AA10" s="1469"/>
      <c r="AB10" s="1469"/>
      <c r="AC10" s="1469"/>
      <c r="AD10" s="1469"/>
      <c r="AE10" s="1469"/>
      <c r="AF10" s="1469"/>
      <c r="AG10" s="1469"/>
      <c r="AH10" s="1469"/>
      <c r="AI10" s="1469"/>
      <c r="AJ10" s="1469"/>
      <c r="AK10" s="1469"/>
      <c r="AL10" s="1469"/>
      <c r="AM10" s="1469"/>
      <c r="AN10" s="1469"/>
      <c r="AO10" s="1469"/>
      <c r="AP10" s="1469"/>
    </row>
    <row r="11" spans="1:51" ht="12" customHeight="1">
      <c r="B11" s="1461" t="s">
        <v>396</v>
      </c>
    </row>
    <row r="12" spans="1:51" ht="12" customHeight="1">
      <c r="B12" s="1461" t="s">
        <v>397</v>
      </c>
    </row>
    <row r="13" spans="1:51" ht="6" customHeight="1"/>
    <row r="14" spans="1:51" ht="12" customHeight="1">
      <c r="C14" s="2789" t="s">
        <v>2702</v>
      </c>
      <c r="D14" s="2789"/>
      <c r="E14" s="2789"/>
      <c r="F14" s="2789"/>
      <c r="G14" s="2789"/>
      <c r="H14" s="2789"/>
      <c r="I14" s="2789"/>
      <c r="J14" s="2789"/>
      <c r="K14" s="2789"/>
      <c r="L14" s="2789"/>
      <c r="M14" s="2789"/>
      <c r="N14" s="2789"/>
      <c r="O14" s="1461" t="s">
        <v>398</v>
      </c>
    </row>
    <row r="15" spans="1:51" ht="6" customHeight="1"/>
    <row r="16" spans="1:51" ht="12" customHeight="1">
      <c r="AI16" s="2793" t="str">
        <f>'1_入力シート【基本情報】'!BC4</f>
        <v>令和</v>
      </c>
      <c r="AJ16" s="2793"/>
      <c r="AK16" s="2779" t="str">
        <f>IF('1_入力シート【基本情報】'!BF4="","",'1_入力シート【基本情報】'!BF4)</f>
        <v/>
      </c>
      <c r="AL16" s="2779"/>
      <c r="AM16" s="1469" t="s">
        <v>12</v>
      </c>
      <c r="AN16" s="2779" t="str">
        <f>IF('1_入力シート【基本情報】'!BK4="","",'1_入力シート【基本情報】'!BK4)</f>
        <v/>
      </c>
      <c r="AO16" s="2779"/>
      <c r="AP16" s="1469" t="s">
        <v>383</v>
      </c>
      <c r="AQ16" s="2779" t="str">
        <f>IF('1_入力シート【基本情報】'!BP4="","",'1_入力シート【基本情報】'!BP4)</f>
        <v/>
      </c>
      <c r="AR16" s="2779"/>
      <c r="AS16" s="1461" t="s">
        <v>399</v>
      </c>
    </row>
    <row r="17" spans="2:45" ht="12" customHeight="1"/>
    <row r="18" spans="2:45" ht="12" customHeight="1">
      <c r="AE18" s="2789" t="str">
        <f>IF('1_入力シート【基本情報】'!DS46=FALSE,IF('1_入力シート【基本情報】'!AB48="","",'1_入力シート【基本情報】'!AB48),IF('1_入力シート【基本情報】'!AB34="","",'1_入力シート【基本情報】'!AB34))</f>
        <v/>
      </c>
      <c r="AF18" s="2789"/>
      <c r="AG18" s="2789"/>
      <c r="AH18" s="2789"/>
      <c r="AI18" s="2789"/>
      <c r="AJ18" s="2789"/>
      <c r="AK18" s="2789"/>
      <c r="AL18" s="2789"/>
      <c r="AM18" s="2789"/>
      <c r="AN18" s="2789"/>
      <c r="AO18" s="2789"/>
      <c r="AP18" s="2789"/>
      <c r="AQ18" s="2789"/>
      <c r="AR18" s="2789"/>
      <c r="AS18" s="2789"/>
    </row>
    <row r="19" spans="2:45" ht="12" customHeight="1">
      <c r="Y19" s="1461" t="s">
        <v>400</v>
      </c>
      <c r="AE19" s="2789" t="str">
        <f>IF('1_入力シート【基本情報】'!DS46=FALSE,IF('1_入力シート【基本情報】'!AB52="","",'1_入力シート【基本情報】'!AB50&amp;"　"&amp;'1_入力シート【基本情報】'!AB52),IF('1_入力シート【基本情報】'!AB38="","",'1_入力シート【基本情報】'!AB36&amp;"　"&amp;'1_入力シート【基本情報】'!AB38))</f>
        <v/>
      </c>
      <c r="AF19" s="2789"/>
      <c r="AG19" s="2789"/>
      <c r="AH19" s="2789"/>
      <c r="AI19" s="2789"/>
      <c r="AJ19" s="2789"/>
      <c r="AK19" s="2789"/>
      <c r="AL19" s="2789"/>
      <c r="AM19" s="2789"/>
      <c r="AN19" s="2789"/>
      <c r="AO19" s="2789"/>
      <c r="AP19" s="2789"/>
      <c r="AQ19" s="2789"/>
      <c r="AR19" s="2789"/>
      <c r="AS19" s="2789"/>
    </row>
    <row r="20" spans="2:45" ht="6" customHeight="1"/>
    <row r="21" spans="2:45" ht="6" customHeight="1"/>
    <row r="22" spans="2:45" ht="12" customHeight="1">
      <c r="Y22" s="1461" t="s">
        <v>401</v>
      </c>
      <c r="AE22" s="2789" t="str">
        <f>IF('1_入力シート【基本情報】'!AB66&lt;&gt;"",'1_入力シート【基本情報】'!AB66,"")</f>
        <v/>
      </c>
      <c r="AF22" s="2789"/>
      <c r="AG22" s="2789"/>
      <c r="AH22" s="2789"/>
      <c r="AI22" s="2789"/>
      <c r="AJ22" s="2789"/>
      <c r="AK22" s="2789"/>
      <c r="AL22" s="2789"/>
      <c r="AM22" s="2789"/>
      <c r="AN22" s="2789"/>
      <c r="AO22" s="2789"/>
      <c r="AP22" s="2789"/>
      <c r="AQ22" s="2789"/>
      <c r="AR22" s="2789"/>
      <c r="AS22" s="2789"/>
    </row>
    <row r="23" spans="2:45" ht="6" hidden="1" customHeight="1"/>
    <row r="24" spans="2:45" ht="6" hidden="1" customHeight="1"/>
    <row r="25" spans="2:45" ht="13.5" hidden="1" customHeight="1"/>
    <row r="26" spans="2:45" ht="13.5" hidden="1" customHeight="1"/>
    <row r="27" spans="2:45" hidden="1"/>
    <row r="28" spans="2:45" ht="6" customHeight="1"/>
    <row r="29" spans="2:45" ht="6" customHeight="1"/>
    <row r="30" spans="2:45" ht="12" customHeight="1">
      <c r="B30" s="1470" t="s">
        <v>402</v>
      </c>
    </row>
    <row r="31" spans="2:45" ht="12" customHeight="1">
      <c r="D31" s="1470" t="s">
        <v>403</v>
      </c>
      <c r="E31" s="1471"/>
      <c r="F31" s="1471"/>
      <c r="G31" s="1471"/>
      <c r="H31" s="1471"/>
      <c r="I31" s="1471"/>
      <c r="J31" s="1471"/>
      <c r="K31" s="1471"/>
      <c r="L31" s="1471"/>
      <c r="M31" s="1471"/>
      <c r="N31" s="1471"/>
      <c r="O31" s="2790" t="str">
        <f>IF('1_入力シート【基本情報】'!DZ33="","",ASC('1_入力シート【基本情報】'!DZ33))</f>
        <v xml:space="preserve">  </v>
      </c>
      <c r="P31" s="2790"/>
      <c r="Q31" s="2790"/>
      <c r="R31" s="2790"/>
      <c r="S31" s="2790"/>
      <c r="T31" s="2790"/>
      <c r="U31" s="2790"/>
      <c r="V31" s="2790"/>
      <c r="W31" s="2790"/>
      <c r="X31" s="2790"/>
      <c r="Y31" s="2790"/>
      <c r="Z31" s="2790"/>
      <c r="AA31" s="2790"/>
      <c r="AB31" s="2790"/>
      <c r="AC31" s="2790"/>
      <c r="AD31" s="2790"/>
      <c r="AE31" s="2790"/>
      <c r="AF31" s="2790"/>
      <c r="AG31" s="2790"/>
      <c r="AH31" s="2790"/>
      <c r="AI31" s="2790"/>
      <c r="AJ31" s="2790"/>
      <c r="AK31" s="2790"/>
      <c r="AL31" s="2790"/>
      <c r="AM31" s="2790"/>
      <c r="AN31" s="2790"/>
      <c r="AO31" s="2790"/>
      <c r="AP31" s="2790"/>
      <c r="AQ31" s="2790"/>
      <c r="AR31" s="2790"/>
      <c r="AS31" s="2790"/>
    </row>
    <row r="32" spans="2:45" ht="12" customHeight="1">
      <c r="D32" s="1470" t="s">
        <v>404</v>
      </c>
      <c r="E32" s="1471"/>
      <c r="F32" s="1471"/>
      <c r="G32" s="1471"/>
      <c r="H32" s="1471"/>
      <c r="I32" s="1471"/>
      <c r="J32" s="1471"/>
      <c r="K32" s="1471"/>
      <c r="L32" s="1471"/>
      <c r="M32" s="1471"/>
      <c r="N32" s="1471"/>
      <c r="O32" s="2790" t="str">
        <f>IF('1_入力シート【基本情報】'!DZ34="","",'1_入力シート【基本情報】'!DZ34)</f>
        <v xml:space="preserve">  </v>
      </c>
      <c r="P32" s="2790"/>
      <c r="Q32" s="2790"/>
      <c r="R32" s="2790"/>
      <c r="S32" s="2790"/>
      <c r="T32" s="2790"/>
      <c r="U32" s="2790"/>
      <c r="V32" s="2790"/>
      <c r="W32" s="2790"/>
      <c r="X32" s="2790"/>
      <c r="Y32" s="2790"/>
      <c r="Z32" s="2790"/>
      <c r="AA32" s="2790"/>
      <c r="AB32" s="2790"/>
      <c r="AC32" s="2790"/>
      <c r="AD32" s="2790"/>
      <c r="AE32" s="2790"/>
      <c r="AF32" s="2790"/>
      <c r="AG32" s="2790"/>
      <c r="AH32" s="2790"/>
      <c r="AI32" s="2790"/>
      <c r="AJ32" s="2790"/>
      <c r="AK32" s="2790"/>
      <c r="AL32" s="2790"/>
      <c r="AM32" s="2790"/>
      <c r="AN32" s="2790"/>
      <c r="AO32" s="2790"/>
      <c r="AP32" s="2790"/>
      <c r="AQ32" s="2790"/>
      <c r="AR32" s="2790"/>
      <c r="AS32" s="2790"/>
    </row>
    <row r="33" spans="2:54" ht="12" customHeight="1">
      <c r="D33" s="1470" t="s">
        <v>405</v>
      </c>
      <c r="E33" s="1471"/>
      <c r="F33" s="1471"/>
      <c r="G33" s="1471"/>
      <c r="H33" s="1471"/>
      <c r="I33" s="1471"/>
      <c r="J33" s="1471"/>
      <c r="K33" s="1471"/>
      <c r="L33" s="1471"/>
      <c r="M33" s="1471"/>
      <c r="N33" s="1471"/>
      <c r="O33" s="2791" t="str">
        <f>'1_入力シート【基本情報】'!$DN$39</f>
        <v>-</v>
      </c>
      <c r="P33" s="2792"/>
      <c r="Q33" s="2792"/>
      <c r="R33" s="2792"/>
      <c r="S33" s="2792"/>
      <c r="T33" s="2792"/>
      <c r="U33" s="2792"/>
      <c r="V33" s="1471"/>
      <c r="W33" s="1471"/>
      <c r="X33" s="1471"/>
      <c r="Y33" s="1471"/>
      <c r="Z33" s="1471"/>
      <c r="AA33" s="1471"/>
      <c r="AB33" s="1471"/>
      <c r="AC33" s="1471"/>
      <c r="AD33" s="1471"/>
      <c r="AE33" s="1471"/>
      <c r="AF33" s="1471"/>
      <c r="AG33" s="1471"/>
      <c r="AH33" s="1471"/>
      <c r="AI33" s="1471"/>
      <c r="AJ33" s="1471"/>
      <c r="AK33" s="1471"/>
      <c r="AL33" s="1471"/>
      <c r="AM33" s="1471"/>
      <c r="AN33" s="1471"/>
      <c r="AO33" s="1471"/>
      <c r="AP33" s="1471"/>
      <c r="AQ33" s="1471"/>
      <c r="AR33" s="1471"/>
      <c r="AS33" s="1471"/>
    </row>
    <row r="34" spans="2:54" ht="12" customHeight="1">
      <c r="D34" s="1470" t="s">
        <v>406</v>
      </c>
      <c r="E34" s="1471"/>
      <c r="F34" s="1471"/>
      <c r="G34" s="1471"/>
      <c r="H34" s="1471"/>
      <c r="I34" s="1471"/>
      <c r="J34" s="1471"/>
      <c r="K34" s="1471"/>
      <c r="L34" s="1471"/>
      <c r="M34" s="1471"/>
      <c r="N34" s="1471"/>
      <c r="O34" s="2790" t="str">
        <f>IF('1_入力シート【基本情報】'!AB40="","",'1_入力シート【基本情報】'!AB40)</f>
        <v/>
      </c>
      <c r="P34" s="2790"/>
      <c r="Q34" s="2790"/>
      <c r="R34" s="2790"/>
      <c r="S34" s="2790"/>
      <c r="T34" s="2790"/>
      <c r="U34" s="2790"/>
      <c r="V34" s="2790"/>
      <c r="W34" s="2790"/>
      <c r="X34" s="2790"/>
      <c r="Y34" s="2790"/>
      <c r="Z34" s="2790"/>
      <c r="AA34" s="2790"/>
      <c r="AB34" s="2790"/>
      <c r="AC34" s="2790"/>
      <c r="AD34" s="2790"/>
      <c r="AE34" s="2790"/>
      <c r="AF34" s="2790"/>
      <c r="AG34" s="2790"/>
      <c r="AH34" s="2790"/>
      <c r="AI34" s="2790"/>
      <c r="AJ34" s="2790"/>
      <c r="AK34" s="2790"/>
      <c r="AL34" s="2790"/>
      <c r="AM34" s="2790"/>
      <c r="AN34" s="2790"/>
      <c r="AO34" s="2790"/>
      <c r="AP34" s="2790"/>
      <c r="AQ34" s="2790"/>
      <c r="AR34" s="2790"/>
      <c r="AS34" s="2790"/>
    </row>
    <row r="35" spans="2:54" ht="12" customHeight="1">
      <c r="D35" s="1470" t="s">
        <v>407</v>
      </c>
      <c r="E35" s="1472"/>
      <c r="F35" s="1472"/>
      <c r="G35" s="1472"/>
      <c r="H35" s="1472"/>
      <c r="I35" s="1472"/>
      <c r="J35" s="1472"/>
      <c r="K35" s="1473"/>
      <c r="L35" s="1474"/>
      <c r="M35" s="1474"/>
      <c r="N35" s="1474"/>
      <c r="O35" s="2828" t="str">
        <f>'1_入力シート【基本情報】'!$DN$41</f>
        <v>--</v>
      </c>
      <c r="P35" s="2828"/>
      <c r="Q35" s="2828"/>
      <c r="R35" s="2828"/>
      <c r="S35" s="2828"/>
      <c r="T35" s="2828"/>
      <c r="U35" s="2828"/>
      <c r="V35" s="2828"/>
      <c r="W35" s="2828"/>
      <c r="X35" s="2828"/>
      <c r="Y35" s="2828"/>
      <c r="Z35" s="2828"/>
      <c r="AA35" s="2828"/>
      <c r="AB35" s="2828"/>
      <c r="AC35" s="1472"/>
      <c r="AD35" s="1472"/>
      <c r="AE35" s="1472"/>
      <c r="AF35" s="1472"/>
      <c r="AG35" s="1472"/>
      <c r="AH35" s="1472"/>
      <c r="AI35" s="1472"/>
      <c r="AJ35" s="1472"/>
      <c r="AK35" s="1472"/>
      <c r="AL35" s="1472"/>
      <c r="AM35" s="1472"/>
      <c r="AN35" s="1472"/>
      <c r="AO35" s="1472"/>
      <c r="AP35" s="1472"/>
      <c r="AQ35" s="1472"/>
      <c r="AR35" s="1472"/>
      <c r="AS35" s="1472"/>
    </row>
    <row r="36" spans="2:54" ht="13.5" hidden="1" customHeight="1">
      <c r="C36" s="1470"/>
      <c r="N36" s="1475"/>
      <c r="O36" s="1475"/>
      <c r="P36" s="1475"/>
      <c r="Q36" s="1475"/>
      <c r="R36" s="1475"/>
      <c r="S36" s="1475"/>
      <c r="T36" s="1475"/>
      <c r="U36" s="1475"/>
      <c r="V36" s="1475"/>
      <c r="W36" s="1475"/>
      <c r="X36" s="1475"/>
      <c r="Y36" s="1475"/>
      <c r="Z36" s="1475"/>
      <c r="AA36" s="1475"/>
      <c r="AB36" s="1475"/>
      <c r="AC36" s="1475"/>
      <c r="AD36" s="1475"/>
      <c r="AE36" s="1476"/>
      <c r="AF36" s="1476"/>
      <c r="AG36" s="1476"/>
      <c r="AH36" s="1476"/>
      <c r="AI36" s="1476"/>
      <c r="AJ36" s="1476"/>
      <c r="AK36" s="1476"/>
      <c r="AL36" s="1477"/>
      <c r="BB36" s="1462"/>
    </row>
    <row r="37" spans="2:54" ht="13.5" hidden="1" customHeight="1">
      <c r="C37" s="1470"/>
      <c r="N37" s="1475"/>
      <c r="O37" s="1475"/>
      <c r="P37" s="1475"/>
      <c r="Q37" s="1475"/>
      <c r="R37" s="1475"/>
      <c r="S37" s="1475"/>
      <c r="T37" s="1475"/>
      <c r="U37" s="1475"/>
      <c r="V37" s="1475"/>
      <c r="W37" s="1475"/>
      <c r="X37" s="1475"/>
      <c r="Y37" s="1475"/>
      <c r="Z37" s="1475"/>
      <c r="AA37" s="1475"/>
      <c r="AB37" s="1475"/>
      <c r="AC37" s="1475"/>
      <c r="AD37" s="1475"/>
      <c r="AE37" s="1476"/>
      <c r="AF37" s="1476"/>
      <c r="AG37" s="1476"/>
      <c r="AH37" s="1476"/>
      <c r="AI37" s="1476"/>
      <c r="AJ37" s="1476"/>
      <c r="AK37" s="1476"/>
      <c r="AL37" s="1477"/>
      <c r="BB37" s="1462"/>
    </row>
    <row r="38" spans="2:54" ht="13.5" hidden="1" customHeight="1">
      <c r="C38" s="1470"/>
      <c r="N38" s="1475"/>
      <c r="O38" s="1475"/>
      <c r="P38" s="1475"/>
      <c r="Q38" s="1475"/>
      <c r="R38" s="1475"/>
      <c r="S38" s="1475"/>
      <c r="T38" s="1475"/>
      <c r="U38" s="1475"/>
      <c r="V38" s="1475"/>
      <c r="W38" s="1475"/>
      <c r="X38" s="1475"/>
      <c r="Y38" s="1475"/>
      <c r="Z38" s="1475"/>
      <c r="AA38" s="1475"/>
      <c r="AB38" s="1475"/>
      <c r="AC38" s="1475"/>
      <c r="AD38" s="1475"/>
      <c r="AE38" s="1476"/>
      <c r="AF38" s="1476"/>
      <c r="AG38" s="1476"/>
      <c r="AH38" s="1476"/>
      <c r="AI38" s="1476"/>
      <c r="AJ38" s="1476"/>
      <c r="AK38" s="1476"/>
      <c r="AL38" s="1477"/>
      <c r="BB38" s="1462"/>
    </row>
    <row r="39" spans="2:54" ht="6" customHeight="1"/>
    <row r="40" spans="2:54" ht="6" customHeight="1"/>
    <row r="41" spans="2:54" ht="12" customHeight="1">
      <c r="B41" s="1470" t="s">
        <v>408</v>
      </c>
      <c r="X41" s="1475"/>
      <c r="Y41" s="1475"/>
      <c r="Z41" s="1475"/>
      <c r="AA41" s="1475"/>
      <c r="AB41" s="1475"/>
      <c r="AC41" s="1475"/>
      <c r="AD41" s="1475"/>
      <c r="AE41" s="1475"/>
      <c r="AF41" s="1475"/>
      <c r="AG41" s="1475"/>
      <c r="AH41" s="1475"/>
      <c r="AI41" s="1475"/>
      <c r="AJ41" s="1475"/>
      <c r="AK41" s="1475"/>
      <c r="AL41" s="1475"/>
    </row>
    <row r="42" spans="2:54" ht="12" customHeight="1">
      <c r="D42" s="1470" t="s">
        <v>403</v>
      </c>
      <c r="O42" s="2790" t="str">
        <f>IF('1_入力シート【基本情報】'!DS46=FALSE,ASC('1_入力シート【基本情報】'!DZ47),ASC('1_入力シート【基本情報】'!DZ33))</f>
        <v xml:space="preserve">  </v>
      </c>
      <c r="P42" s="2790"/>
      <c r="Q42" s="2790"/>
      <c r="R42" s="2790"/>
      <c r="S42" s="2790"/>
      <c r="T42" s="2790"/>
      <c r="U42" s="2790"/>
      <c r="V42" s="2790"/>
      <c r="W42" s="2790"/>
      <c r="X42" s="2790"/>
      <c r="Y42" s="2790"/>
      <c r="Z42" s="2790"/>
      <c r="AA42" s="2790"/>
      <c r="AB42" s="2790"/>
      <c r="AC42" s="2790"/>
      <c r="AD42" s="2790"/>
      <c r="AE42" s="2790"/>
      <c r="AF42" s="2790"/>
      <c r="AG42" s="2790"/>
      <c r="AH42" s="2790"/>
      <c r="AI42" s="2790"/>
      <c r="AJ42" s="2790"/>
      <c r="AK42" s="2790"/>
      <c r="AL42" s="2790"/>
      <c r="AM42" s="2790"/>
      <c r="AN42" s="2790"/>
      <c r="AO42" s="2790"/>
      <c r="AP42" s="2790"/>
      <c r="AQ42" s="2790"/>
      <c r="AR42" s="2790"/>
      <c r="AS42" s="2790"/>
    </row>
    <row r="43" spans="2:54" ht="12" customHeight="1">
      <c r="D43" s="1470" t="s">
        <v>404</v>
      </c>
      <c r="O43" s="2790" t="str">
        <f>IF('1_入力シート【基本情報】'!DS46=FALSE,'1_入力シート【基本情報】'!DZ48,'1_入力シート【基本情報】'!DZ34)</f>
        <v xml:space="preserve">  </v>
      </c>
      <c r="P43" s="2790"/>
      <c r="Q43" s="2790"/>
      <c r="R43" s="2790"/>
      <c r="S43" s="2790"/>
      <c r="T43" s="2790"/>
      <c r="U43" s="2790"/>
      <c r="V43" s="2790"/>
      <c r="W43" s="2790"/>
      <c r="X43" s="2790"/>
      <c r="Y43" s="2790"/>
      <c r="Z43" s="2790"/>
      <c r="AA43" s="2790"/>
      <c r="AB43" s="2790"/>
      <c r="AC43" s="2790"/>
      <c r="AD43" s="2790"/>
      <c r="AE43" s="2790"/>
      <c r="AF43" s="2790"/>
      <c r="AG43" s="2790"/>
      <c r="AH43" s="2790"/>
      <c r="AI43" s="2790"/>
      <c r="AJ43" s="2790"/>
      <c r="AK43" s="2790"/>
      <c r="AL43" s="2790"/>
      <c r="AM43" s="2790"/>
      <c r="AN43" s="2790"/>
      <c r="AO43" s="2790"/>
      <c r="AP43" s="2790"/>
      <c r="AQ43" s="2790"/>
      <c r="AR43" s="2790"/>
      <c r="AS43" s="2790"/>
    </row>
    <row r="44" spans="2:54" ht="12" customHeight="1">
      <c r="D44" s="1470" t="s">
        <v>405</v>
      </c>
      <c r="O44" s="2837" t="str">
        <f>IF('1_入力シート【基本情報】'!DS46=TRUE,'1_入力シート【基本情報】'!DN39,'1_入力シート【基本情報】'!DN53)</f>
        <v>-</v>
      </c>
      <c r="P44" s="2838"/>
      <c r="Q44" s="2838"/>
      <c r="R44" s="2838"/>
      <c r="S44" s="2838"/>
      <c r="T44" s="2838"/>
      <c r="U44" s="2838"/>
      <c r="V44" s="1471"/>
      <c r="W44" s="1471"/>
      <c r="X44" s="1471"/>
      <c r="Y44" s="1471"/>
      <c r="Z44" s="1471"/>
      <c r="AA44" s="1471"/>
      <c r="AB44" s="1471"/>
      <c r="AC44" s="1471"/>
      <c r="AD44" s="1471"/>
      <c r="AE44" s="1471"/>
      <c r="AF44" s="1471"/>
      <c r="AG44" s="1471"/>
      <c r="AH44" s="1471"/>
      <c r="AI44" s="1471"/>
      <c r="AJ44" s="1471"/>
      <c r="AK44" s="1471"/>
      <c r="AL44" s="1471"/>
      <c r="AM44" s="1471"/>
      <c r="AN44" s="1471"/>
      <c r="AO44" s="1471"/>
      <c r="AP44" s="1471"/>
      <c r="AQ44" s="1471"/>
      <c r="AR44" s="1471"/>
      <c r="AS44" s="1471"/>
    </row>
    <row r="45" spans="2:54" ht="12" customHeight="1">
      <c r="D45" s="1470" t="s">
        <v>406</v>
      </c>
      <c r="O45" s="2838" t="str">
        <f>IF('1_入力シート【基本情報】'!DS46=FALSE,IF('1_入力シート【基本情報】'!AB54="","",'1_入力シート【基本情報】'!AB54),IF('1_入力シート【基本情報】'!AB40="","",'1_入力シート【基本情報】'!AB40))</f>
        <v/>
      </c>
      <c r="P45" s="2838"/>
      <c r="Q45" s="2838"/>
      <c r="R45" s="2838"/>
      <c r="S45" s="2838"/>
      <c r="T45" s="2838"/>
      <c r="U45" s="2838"/>
      <c r="V45" s="2838"/>
      <c r="W45" s="2838"/>
      <c r="X45" s="2838"/>
      <c r="Y45" s="2838"/>
      <c r="Z45" s="2838"/>
      <c r="AA45" s="2838"/>
      <c r="AB45" s="2838"/>
      <c r="AC45" s="2838"/>
      <c r="AD45" s="2838"/>
      <c r="AE45" s="2838"/>
      <c r="AF45" s="2838"/>
      <c r="AG45" s="2838"/>
      <c r="AH45" s="2838"/>
      <c r="AI45" s="2838"/>
      <c r="AJ45" s="2838"/>
      <c r="AK45" s="2838"/>
      <c r="AL45" s="2838"/>
      <c r="AM45" s="2838"/>
      <c r="AN45" s="2838"/>
      <c r="AO45" s="2838"/>
      <c r="AP45" s="2838"/>
      <c r="AQ45" s="2838"/>
      <c r="AR45" s="2838"/>
      <c r="AS45" s="2838"/>
    </row>
    <row r="46" spans="2:54" ht="12" customHeight="1">
      <c r="D46" s="1470" t="s">
        <v>407</v>
      </c>
      <c r="O46" s="2828" t="str">
        <f>IF('1_入力シート【基本情報】'!DS46=TRUE,'1_入力シート【基本情報】'!DN41,'1_入力シート【基本情報】'!DN55)</f>
        <v>--</v>
      </c>
      <c r="P46" s="2828"/>
      <c r="Q46" s="2828"/>
      <c r="R46" s="2828"/>
      <c r="S46" s="2828"/>
      <c r="T46" s="2828"/>
      <c r="U46" s="2828"/>
      <c r="V46" s="2828"/>
      <c r="W46" s="2828"/>
      <c r="X46" s="2828"/>
      <c r="Y46" s="2828"/>
      <c r="Z46" s="2828"/>
      <c r="AA46" s="2828"/>
      <c r="AB46" s="2828"/>
      <c r="AC46" s="1472"/>
      <c r="AD46" s="1472"/>
      <c r="AE46" s="1472"/>
      <c r="AF46" s="1472"/>
      <c r="AG46" s="1472"/>
      <c r="AH46" s="1472"/>
      <c r="AI46" s="1472"/>
      <c r="AJ46" s="1472"/>
      <c r="AK46" s="1472"/>
      <c r="AL46" s="1472"/>
      <c r="AM46" s="1472"/>
      <c r="AN46" s="1472"/>
      <c r="AO46" s="1472"/>
      <c r="AP46" s="1472"/>
      <c r="AQ46" s="1472"/>
      <c r="AR46" s="1472"/>
      <c r="AS46" s="1472"/>
    </row>
    <row r="47" spans="2:54" hidden="1">
      <c r="C47" s="1470"/>
      <c r="N47" s="2829"/>
      <c r="O47" s="2829"/>
      <c r="P47" s="2829"/>
      <c r="Q47" s="2829"/>
      <c r="R47" s="2829"/>
      <c r="S47" s="2829"/>
      <c r="T47" s="2829"/>
      <c r="U47" s="2829"/>
      <c r="V47" s="2829"/>
      <c r="W47" s="2829"/>
      <c r="X47" s="2829"/>
      <c r="Y47" s="2829"/>
      <c r="Z47" s="2829"/>
      <c r="AA47" s="2829"/>
      <c r="AB47" s="2829"/>
      <c r="AC47" s="2829"/>
      <c r="AD47" s="2829"/>
      <c r="AE47" s="2829"/>
      <c r="AF47" s="2829"/>
      <c r="AG47" s="2829"/>
      <c r="AH47" s="2829"/>
      <c r="AI47" s="2829"/>
      <c r="AJ47" s="2829"/>
      <c r="AK47" s="2829"/>
      <c r="AL47" s="2829"/>
      <c r="AM47" s="2829"/>
      <c r="AN47" s="2829"/>
      <c r="AO47" s="2829"/>
      <c r="AP47" s="2829"/>
      <c r="AQ47" s="2829"/>
      <c r="AR47" s="2829"/>
      <c r="AS47" s="2829"/>
      <c r="AT47" s="2829"/>
    </row>
    <row r="48" spans="2:54" hidden="1">
      <c r="C48" s="1470"/>
      <c r="N48" s="1475"/>
      <c r="O48" s="1475"/>
      <c r="P48" s="1475"/>
      <c r="Q48" s="1475"/>
      <c r="R48" s="1475"/>
      <c r="S48" s="1475"/>
      <c r="T48" s="1475"/>
      <c r="U48" s="1475"/>
      <c r="V48" s="1475"/>
      <c r="W48" s="1475"/>
      <c r="X48" s="1475"/>
      <c r="Y48" s="1475"/>
      <c r="Z48" s="1475"/>
      <c r="AA48" s="1475"/>
      <c r="AB48" s="1475"/>
      <c r="AC48" s="1475"/>
      <c r="AD48" s="1475"/>
      <c r="AE48" s="1476"/>
      <c r="AF48" s="1476"/>
      <c r="AG48" s="1476"/>
      <c r="AH48" s="1476"/>
      <c r="AI48" s="1476"/>
      <c r="AJ48" s="1476"/>
      <c r="AK48" s="1476"/>
      <c r="AL48" s="1477"/>
    </row>
    <row r="49" spans="2:47" hidden="1">
      <c r="C49" s="1470"/>
      <c r="N49" s="1475"/>
      <c r="O49" s="1475"/>
      <c r="P49" s="1475"/>
      <c r="Q49" s="1475"/>
      <c r="R49" s="1475"/>
      <c r="S49" s="1475"/>
      <c r="T49" s="1475"/>
      <c r="U49" s="1475"/>
      <c r="V49" s="1475"/>
      <c r="W49" s="1475"/>
      <c r="X49" s="1475"/>
      <c r="Y49" s="1475"/>
      <c r="Z49" s="1475"/>
      <c r="AA49" s="1475"/>
      <c r="AB49" s="1475"/>
      <c r="AC49" s="1475"/>
      <c r="AD49" s="1475"/>
      <c r="AE49" s="1476"/>
      <c r="AF49" s="1476"/>
      <c r="AG49" s="1476"/>
      <c r="AH49" s="1476"/>
      <c r="AI49" s="1476"/>
      <c r="AJ49" s="1476"/>
      <c r="AK49" s="1476"/>
      <c r="AL49" s="1477"/>
    </row>
    <row r="50" spans="2:47" ht="6" customHeight="1"/>
    <row r="51" spans="2:47" ht="6" customHeight="1"/>
    <row r="52" spans="2:47" ht="12" customHeight="1">
      <c r="B52" s="1470" t="s">
        <v>409</v>
      </c>
    </row>
    <row r="53" spans="2:47" ht="12" customHeight="1">
      <c r="C53" s="1470" t="s">
        <v>410</v>
      </c>
    </row>
    <row r="54" spans="2:47" ht="12" customHeight="1">
      <c r="D54" s="1470" t="s">
        <v>411</v>
      </c>
    </row>
    <row r="55" spans="2:47" ht="12" customHeight="1">
      <c r="D55" s="1478"/>
      <c r="E55" s="1478"/>
      <c r="F55" s="1478"/>
      <c r="G55" s="1478"/>
      <c r="H55" s="1478"/>
      <c r="I55" s="1478"/>
      <c r="J55" s="1478"/>
      <c r="K55" s="1478"/>
      <c r="L55" s="1478"/>
      <c r="M55" s="1479"/>
      <c r="N55" s="1478"/>
      <c r="O55" s="1479" t="s">
        <v>25</v>
      </c>
      <c r="P55" s="2830" t="str">
        <f>'1_入力シート【基本情報】'!$DS$61</f>
        <v/>
      </c>
      <c r="Q55" s="2830"/>
      <c r="R55" s="1478" t="s">
        <v>412</v>
      </c>
      <c r="S55" s="1478"/>
      <c r="T55" s="1478"/>
      <c r="U55" s="1478"/>
      <c r="V55" s="1480"/>
      <c r="W55" s="1478"/>
      <c r="X55" s="1478"/>
      <c r="Y55" s="1479" t="s">
        <v>25</v>
      </c>
      <c r="Z55" s="2827" t="str">
        <f>'1_入力シート【基本情報】'!$DS$62</f>
        <v/>
      </c>
      <c r="AA55" s="2827"/>
      <c r="AB55" s="2827"/>
      <c r="AC55" s="2827"/>
      <c r="AD55" s="2827"/>
      <c r="AE55" s="2827"/>
      <c r="AF55" s="2827"/>
      <c r="AG55" s="2827"/>
      <c r="AH55" s="1481" t="s">
        <v>413</v>
      </c>
      <c r="AI55" s="1478"/>
      <c r="AJ55" s="1478"/>
      <c r="AK55" s="1478"/>
      <c r="AL55" s="1479" t="s">
        <v>414</v>
      </c>
      <c r="AM55" s="2831" t="str">
        <f>IF('1_入力シート【基本情報】'!AB63="","",DBCS('1_入力シート【基本情報】'!AB63))</f>
        <v/>
      </c>
      <c r="AN55" s="2831"/>
      <c r="AO55" s="2831"/>
      <c r="AP55" s="2831"/>
      <c r="AQ55" s="2831"/>
      <c r="AR55" s="2831"/>
      <c r="AS55" s="1478" t="s">
        <v>415</v>
      </c>
    </row>
    <row r="56" spans="2:47" ht="12" customHeight="1">
      <c r="D56" s="1478"/>
      <c r="E56" s="1478"/>
      <c r="F56" s="1478"/>
      <c r="G56" s="1478"/>
      <c r="H56" s="1478"/>
      <c r="I56" s="1478"/>
      <c r="J56" s="1478"/>
      <c r="K56" s="1478"/>
      <c r="L56" s="1478"/>
      <c r="M56" s="1478"/>
      <c r="N56" s="1478"/>
      <c r="O56" s="1478" t="s">
        <v>264</v>
      </c>
      <c r="P56" s="1478"/>
      <c r="Q56" s="1478"/>
      <c r="R56" s="1478"/>
      <c r="S56" s="1478"/>
      <c r="T56" s="1478"/>
      <c r="U56" s="1478"/>
      <c r="V56" s="1478"/>
      <c r="W56" s="1478"/>
      <c r="X56" s="1478"/>
      <c r="Y56" s="1478"/>
      <c r="Z56" s="1478"/>
      <c r="AA56" s="1478"/>
      <c r="AB56" s="1478"/>
      <c r="AC56" s="1478"/>
      <c r="AD56" s="1478"/>
      <c r="AE56" s="1478"/>
      <c r="AF56" s="1478"/>
      <c r="AG56" s="1480"/>
      <c r="AH56" s="1478"/>
      <c r="AI56" s="1478"/>
      <c r="AJ56" s="1478"/>
      <c r="AK56" s="1478"/>
      <c r="AL56" s="1479" t="s">
        <v>414</v>
      </c>
      <c r="AM56" s="2831" t="str">
        <f>IF('1_入力シート【基本情報】'!AB64="","",DBCS('1_入力シート【基本情報】'!AB64))</f>
        <v/>
      </c>
      <c r="AN56" s="2831"/>
      <c r="AO56" s="2831"/>
      <c r="AP56" s="2831"/>
      <c r="AQ56" s="2831"/>
      <c r="AR56" s="2831"/>
      <c r="AS56" s="1478" t="s">
        <v>415</v>
      </c>
    </row>
    <row r="57" spans="2:47" ht="12" customHeight="1">
      <c r="D57" s="1478" t="s">
        <v>416</v>
      </c>
      <c r="E57" s="1478"/>
      <c r="F57" s="1478"/>
      <c r="G57" s="1478"/>
      <c r="H57" s="1478"/>
      <c r="I57" s="1478"/>
      <c r="J57" s="1479"/>
      <c r="K57" s="1478"/>
      <c r="L57" s="1480"/>
      <c r="M57" s="1479"/>
      <c r="N57" s="1478"/>
      <c r="O57" s="2790" t="str">
        <f>IF('1_入力シート【基本情報】'!AB65="","",ASC('1_入力シート【基本情報】'!AB65))</f>
        <v/>
      </c>
      <c r="P57" s="2790"/>
      <c r="Q57" s="2790"/>
      <c r="R57" s="2790"/>
      <c r="S57" s="2790"/>
      <c r="T57" s="2790"/>
      <c r="U57" s="2790"/>
      <c r="V57" s="2790"/>
      <c r="W57" s="2790"/>
      <c r="X57" s="2790"/>
      <c r="Y57" s="2790"/>
      <c r="Z57" s="2790"/>
      <c r="AA57" s="2790"/>
      <c r="AB57" s="2790"/>
      <c r="AC57" s="2790"/>
      <c r="AD57" s="2790"/>
      <c r="AE57" s="2790"/>
      <c r="AF57" s="2790"/>
      <c r="AG57" s="2790"/>
      <c r="AH57" s="2790"/>
      <c r="AI57" s="2790"/>
      <c r="AJ57" s="2790"/>
      <c r="AK57" s="2790"/>
      <c r="AL57" s="2790"/>
      <c r="AM57" s="2790"/>
      <c r="AN57" s="2790"/>
      <c r="AO57" s="2790"/>
      <c r="AP57" s="2790"/>
      <c r="AQ57" s="2790"/>
      <c r="AR57" s="2790"/>
      <c r="AS57" s="2790"/>
    </row>
    <row r="58" spans="2:47" ht="12" customHeight="1">
      <c r="D58" s="1478" t="s">
        <v>417</v>
      </c>
      <c r="E58" s="1478"/>
      <c r="F58" s="1478"/>
      <c r="G58" s="1478"/>
      <c r="H58" s="1478"/>
      <c r="I58" s="1478"/>
      <c r="J58" s="1479"/>
      <c r="K58" s="1478"/>
      <c r="L58" s="1480"/>
      <c r="M58" s="1479"/>
      <c r="N58" s="1478"/>
      <c r="O58" s="2790" t="str">
        <f>IF('1_入力シート【基本情報】'!AB66="","",'1_入力シート【基本情報】'!AB66)</f>
        <v/>
      </c>
      <c r="P58" s="2790"/>
      <c r="Q58" s="2790"/>
      <c r="R58" s="2790"/>
      <c r="S58" s="2790"/>
      <c r="T58" s="2790"/>
      <c r="U58" s="2790"/>
      <c r="V58" s="2790"/>
      <c r="W58" s="2790"/>
      <c r="X58" s="2790"/>
      <c r="Y58" s="2790"/>
      <c r="Z58" s="2790"/>
      <c r="AA58" s="2790"/>
      <c r="AB58" s="2790"/>
      <c r="AC58" s="2790"/>
      <c r="AD58" s="2790"/>
      <c r="AE58" s="2790"/>
      <c r="AF58" s="2790"/>
      <c r="AG58" s="2790"/>
      <c r="AH58" s="2790"/>
      <c r="AI58" s="2790"/>
      <c r="AJ58" s="2790"/>
      <c r="AK58" s="2790"/>
      <c r="AL58" s="2790"/>
      <c r="AM58" s="2790"/>
      <c r="AN58" s="2790"/>
      <c r="AO58" s="2790"/>
      <c r="AP58" s="2790"/>
      <c r="AQ58" s="2790"/>
      <c r="AR58" s="2790"/>
      <c r="AS58" s="2790"/>
    </row>
    <row r="59" spans="2:47" ht="12" customHeight="1">
      <c r="D59" s="1478" t="s">
        <v>418</v>
      </c>
      <c r="E59" s="1478"/>
      <c r="F59" s="1478"/>
      <c r="G59" s="1478"/>
      <c r="H59" s="1478"/>
      <c r="I59" s="1478"/>
      <c r="J59" s="1479"/>
      <c r="K59" s="1478"/>
      <c r="L59" s="1480"/>
      <c r="M59" s="1478"/>
      <c r="N59" s="1478"/>
      <c r="O59" s="2790" t="str">
        <f>IF('1_入力シート【基本情報】'!AB67="","",'1_入力シート【基本情報】'!AB67)</f>
        <v/>
      </c>
      <c r="P59" s="2790"/>
      <c r="Q59" s="2790"/>
      <c r="R59" s="2790"/>
      <c r="S59" s="2790"/>
      <c r="T59" s="2790"/>
      <c r="U59" s="2790"/>
      <c r="V59" s="2790"/>
      <c r="W59" s="2790"/>
      <c r="X59" s="2790"/>
      <c r="Y59" s="2790"/>
      <c r="Z59" s="2790"/>
      <c r="AA59" s="2790"/>
      <c r="AB59" s="2790"/>
      <c r="AC59" s="2790"/>
      <c r="AD59" s="2790"/>
      <c r="AE59" s="2790"/>
      <c r="AF59" s="2790"/>
      <c r="AG59" s="2790"/>
      <c r="AH59" s="2790"/>
      <c r="AI59" s="2790"/>
      <c r="AJ59" s="2790"/>
      <c r="AK59" s="2790"/>
      <c r="AL59" s="2790"/>
      <c r="AM59" s="2790"/>
      <c r="AN59" s="2790"/>
      <c r="AO59" s="2790"/>
      <c r="AP59" s="2790"/>
      <c r="AQ59" s="2790"/>
      <c r="AR59" s="2790"/>
      <c r="AS59" s="2790"/>
      <c r="AU59" s="1475"/>
    </row>
    <row r="60" spans="2:47" ht="12" customHeight="1">
      <c r="D60" s="1478"/>
      <c r="E60" s="1478"/>
      <c r="F60" s="1478"/>
      <c r="G60" s="1478"/>
      <c r="H60" s="1478"/>
      <c r="I60" s="1478"/>
      <c r="J60" s="1479"/>
      <c r="K60" s="1478"/>
      <c r="L60" s="1479"/>
      <c r="M60" s="1478"/>
      <c r="N60" s="1478"/>
      <c r="O60" s="1479" t="s">
        <v>25</v>
      </c>
      <c r="P60" s="2827" t="str">
        <f>IF('1_入力シート【基本情報】'!AB68="","",IF('1_入力シート【基本情報】'!AB68="一級","一級","二級"))</f>
        <v/>
      </c>
      <c r="Q60" s="2827"/>
      <c r="R60" s="1478" t="s">
        <v>419</v>
      </c>
      <c r="S60" s="1478"/>
      <c r="T60" s="1478"/>
      <c r="U60" s="1478"/>
      <c r="V60" s="1478"/>
      <c r="W60" s="1478"/>
      <c r="X60" s="1479"/>
      <c r="Y60" s="1479" t="s">
        <v>25</v>
      </c>
      <c r="Z60" s="2827" t="str">
        <f>IF('1_入力シート【基本情報】'!AB69="","",'1_入力シート【基本情報】'!AB69)</f>
        <v/>
      </c>
      <c r="AA60" s="2827"/>
      <c r="AB60" s="2827"/>
      <c r="AC60" s="2827"/>
      <c r="AD60" s="2827"/>
      <c r="AE60" s="2827"/>
      <c r="AF60" s="1481" t="s">
        <v>420</v>
      </c>
      <c r="AG60" s="1481"/>
      <c r="AH60" s="1478"/>
      <c r="AI60" s="1480"/>
      <c r="AJ60" s="1478"/>
      <c r="AK60" s="1478"/>
      <c r="AL60" s="1479" t="s">
        <v>414</v>
      </c>
      <c r="AM60" s="2831" t="str">
        <f>IF('1_入力シート【基本情報】'!AB70="","",DBCS('1_入力シート【基本情報】'!AB70))</f>
        <v/>
      </c>
      <c r="AN60" s="2831"/>
      <c r="AO60" s="2831"/>
      <c r="AP60" s="2831"/>
      <c r="AQ60" s="2831"/>
      <c r="AR60" s="2831"/>
      <c r="AS60" s="1478" t="s">
        <v>415</v>
      </c>
    </row>
    <row r="61" spans="2:47" ht="12" customHeight="1">
      <c r="D61" s="1478" t="s">
        <v>421</v>
      </c>
      <c r="E61" s="1478"/>
      <c r="F61" s="1478"/>
      <c r="G61" s="1478"/>
      <c r="H61" s="1478"/>
      <c r="I61" s="1478"/>
      <c r="J61" s="1478"/>
      <c r="K61" s="1478"/>
      <c r="L61" s="1478"/>
      <c r="M61" s="1478"/>
      <c r="N61" s="1478"/>
      <c r="O61" s="2838" t="str">
        <f>'1_入力シート【基本情報】'!$DN$71</f>
        <v>-</v>
      </c>
      <c r="P61" s="2838"/>
      <c r="Q61" s="2838"/>
      <c r="R61" s="2838"/>
      <c r="S61" s="2838"/>
      <c r="T61" s="2838"/>
      <c r="U61" s="2838"/>
      <c r="V61" s="1478"/>
      <c r="W61" s="1478"/>
      <c r="X61" s="1478"/>
      <c r="Y61" s="1478"/>
      <c r="Z61" s="1478"/>
      <c r="AA61" s="1478"/>
      <c r="AB61" s="1478"/>
      <c r="AC61" s="1478"/>
      <c r="AD61" s="1478"/>
      <c r="AE61" s="1478"/>
      <c r="AF61" s="1478"/>
      <c r="AG61" s="1478"/>
      <c r="AH61" s="1478"/>
      <c r="AI61" s="1478"/>
      <c r="AJ61" s="1478"/>
      <c r="AK61" s="1479"/>
      <c r="AL61" s="1479"/>
      <c r="AM61" s="1478"/>
      <c r="AN61" s="1478"/>
      <c r="AO61" s="1478"/>
      <c r="AP61" s="1478"/>
      <c r="AQ61" s="1478"/>
      <c r="AR61" s="1478"/>
      <c r="AS61" s="1478"/>
    </row>
    <row r="62" spans="2:47" ht="12" customHeight="1">
      <c r="D62" s="1478" t="s">
        <v>422</v>
      </c>
      <c r="E62" s="1478"/>
      <c r="F62" s="1478"/>
      <c r="G62" s="1478"/>
      <c r="H62" s="1478"/>
      <c r="I62" s="1478"/>
      <c r="J62" s="1478"/>
      <c r="K62" s="1478"/>
      <c r="L62" s="1480"/>
      <c r="M62" s="1478"/>
      <c r="N62" s="1478"/>
      <c r="O62" s="2790" t="str">
        <f>IF('1_入力シート【基本情報】'!AB72="","",'1_入力シート【基本情報】'!AB72)</f>
        <v/>
      </c>
      <c r="P62" s="2790"/>
      <c r="Q62" s="2790"/>
      <c r="R62" s="2790"/>
      <c r="S62" s="2790"/>
      <c r="T62" s="2790"/>
      <c r="U62" s="2790"/>
      <c r="V62" s="2790"/>
      <c r="W62" s="2790"/>
      <c r="X62" s="2790"/>
      <c r="Y62" s="2790"/>
      <c r="Z62" s="2790"/>
      <c r="AA62" s="2790"/>
      <c r="AB62" s="2790"/>
      <c r="AC62" s="2790"/>
      <c r="AD62" s="2790"/>
      <c r="AE62" s="2790"/>
      <c r="AF62" s="2790"/>
      <c r="AG62" s="2790"/>
      <c r="AH62" s="2790"/>
      <c r="AI62" s="2790"/>
      <c r="AJ62" s="2790"/>
      <c r="AK62" s="2790"/>
      <c r="AL62" s="2790"/>
      <c r="AM62" s="2790"/>
      <c r="AN62" s="2790"/>
      <c r="AO62" s="2790"/>
      <c r="AP62" s="2790"/>
      <c r="AQ62" s="2790"/>
      <c r="AR62" s="2790"/>
      <c r="AS62" s="2790"/>
    </row>
    <row r="63" spans="2:47" ht="12" customHeight="1">
      <c r="D63" s="1478" t="s">
        <v>423</v>
      </c>
      <c r="E63" s="1478"/>
      <c r="F63" s="1478"/>
      <c r="G63" s="1478"/>
      <c r="H63" s="1478"/>
      <c r="I63" s="1478"/>
      <c r="J63" s="1478"/>
      <c r="K63" s="1478"/>
      <c r="L63" s="1482"/>
      <c r="M63" s="1478"/>
      <c r="N63" s="1478"/>
      <c r="O63" s="2839" t="str">
        <f>'1_入力シート【基本情報】'!$DN$73</f>
        <v>--</v>
      </c>
      <c r="P63" s="2839"/>
      <c r="Q63" s="2839"/>
      <c r="R63" s="2839"/>
      <c r="S63" s="2839"/>
      <c r="T63" s="2839"/>
      <c r="U63" s="2839"/>
      <c r="V63" s="2839"/>
      <c r="W63" s="2839"/>
      <c r="X63" s="2839"/>
      <c r="Y63" s="2839"/>
      <c r="Z63" s="2839"/>
      <c r="AA63" s="2839"/>
      <c r="AB63" s="2839"/>
      <c r="AC63" s="1482"/>
      <c r="AD63" s="1482"/>
      <c r="AE63" s="1482"/>
      <c r="AF63" s="1482"/>
      <c r="AG63" s="1482"/>
      <c r="AH63" s="1482"/>
      <c r="AI63" s="1482"/>
      <c r="AJ63" s="1482"/>
      <c r="AK63" s="1482"/>
      <c r="AL63" s="1482"/>
      <c r="AM63" s="1482"/>
      <c r="AN63" s="1482"/>
      <c r="AO63" s="1482"/>
      <c r="AP63" s="1482"/>
      <c r="AQ63" s="1482"/>
      <c r="AR63" s="1482"/>
      <c r="AS63" s="1482"/>
    </row>
    <row r="64" spans="2:47" ht="12" customHeight="1">
      <c r="C64" s="1470" t="s">
        <v>424</v>
      </c>
    </row>
    <row r="65" spans="2:51" ht="12" customHeight="1">
      <c r="D65" s="1478" t="s">
        <v>425</v>
      </c>
      <c r="N65" s="1483"/>
      <c r="O65" s="1483"/>
      <c r="P65" s="1483"/>
      <c r="Q65" s="1483"/>
      <c r="R65" s="1483"/>
      <c r="S65" s="1483"/>
      <c r="T65" s="1483"/>
      <c r="U65" s="1483"/>
      <c r="V65" s="1483"/>
      <c r="W65" s="1483"/>
      <c r="X65" s="1483"/>
      <c r="Y65" s="1483"/>
      <c r="Z65" s="1483"/>
      <c r="AA65" s="1483"/>
      <c r="AB65" s="1483"/>
      <c r="AC65" s="1483"/>
      <c r="AD65" s="1483"/>
      <c r="AE65" s="1483"/>
      <c r="AF65" s="1483"/>
      <c r="AG65" s="1483"/>
      <c r="AH65" s="1483"/>
      <c r="AI65" s="1483"/>
      <c r="AJ65" s="1483"/>
      <c r="AK65" s="1483"/>
      <c r="AL65" s="1483"/>
      <c r="AM65" s="1483"/>
      <c r="AN65" s="1483"/>
      <c r="AO65" s="1483"/>
      <c r="AP65" s="1483"/>
      <c r="AQ65" s="1483"/>
      <c r="AR65" s="1483"/>
      <c r="AS65" s="1483"/>
      <c r="AU65" s="1475"/>
      <c r="AV65" s="1475"/>
      <c r="AW65" s="1475"/>
      <c r="AX65" s="1475"/>
      <c r="AY65" s="1475"/>
    </row>
    <row r="66" spans="2:51" ht="12" customHeight="1">
      <c r="D66" s="1478"/>
      <c r="E66" s="1478"/>
      <c r="F66" s="1478"/>
      <c r="G66" s="1478"/>
      <c r="H66" s="1478"/>
      <c r="I66" s="1478"/>
      <c r="J66" s="1478"/>
      <c r="K66" s="1478"/>
      <c r="L66" s="1478"/>
      <c r="M66" s="1479"/>
      <c r="N66" s="1478"/>
      <c r="O66" s="1479" t="s">
        <v>25</v>
      </c>
      <c r="P66" s="2830" t="str">
        <f>'1_入力シート【基本情報】'!$DS$79</f>
        <v/>
      </c>
      <c r="Q66" s="2830"/>
      <c r="R66" s="1478" t="s">
        <v>412</v>
      </c>
      <c r="S66" s="1478"/>
      <c r="T66" s="1478"/>
      <c r="U66" s="1478"/>
      <c r="V66" s="1480"/>
      <c r="W66" s="1478"/>
      <c r="X66" s="1478"/>
      <c r="Y66" s="1479" t="s">
        <v>25</v>
      </c>
      <c r="Z66" s="2830">
        <f>'1_入力シート【基本情報】'!$AB$80</f>
        <v>0</v>
      </c>
      <c r="AA66" s="2830"/>
      <c r="AB66" s="2830"/>
      <c r="AC66" s="2830"/>
      <c r="AD66" s="2830"/>
      <c r="AE66" s="2830"/>
      <c r="AF66" s="2830"/>
      <c r="AG66" s="2830"/>
      <c r="AH66" s="1481" t="s">
        <v>413</v>
      </c>
      <c r="AI66" s="1478"/>
      <c r="AJ66" s="1478"/>
      <c r="AK66" s="1478"/>
      <c r="AL66" s="1479" t="s">
        <v>414</v>
      </c>
      <c r="AM66" s="2831" t="str">
        <f>IF('1_入力シート【基本情報】'!AB81="","",DBCS('1_入力シート【基本情報】'!AB81))</f>
        <v/>
      </c>
      <c r="AN66" s="2831"/>
      <c r="AO66" s="2831"/>
      <c r="AP66" s="2831"/>
      <c r="AQ66" s="2831"/>
      <c r="AR66" s="2831"/>
      <c r="AS66" s="1478" t="s">
        <v>415</v>
      </c>
    </row>
    <row r="67" spans="2:51" ht="12" customHeight="1">
      <c r="D67" s="1478"/>
      <c r="E67" s="1478"/>
      <c r="F67" s="1478"/>
      <c r="G67" s="1478"/>
      <c r="H67" s="1478"/>
      <c r="I67" s="1478"/>
      <c r="J67" s="1478"/>
      <c r="K67" s="1478"/>
      <c r="L67" s="1478"/>
      <c r="M67" s="1478"/>
      <c r="N67" s="1478"/>
      <c r="O67" s="1478" t="s">
        <v>264</v>
      </c>
      <c r="P67" s="1478"/>
      <c r="Q67" s="1478"/>
      <c r="R67" s="1478"/>
      <c r="S67" s="1478"/>
      <c r="T67" s="1478"/>
      <c r="U67" s="1478"/>
      <c r="V67" s="1478"/>
      <c r="W67" s="1478"/>
      <c r="X67" s="1478"/>
      <c r="Y67" s="1478"/>
      <c r="Z67" s="1478"/>
      <c r="AA67" s="1478"/>
      <c r="AB67" s="1478"/>
      <c r="AC67" s="1478"/>
      <c r="AD67" s="1478"/>
      <c r="AE67" s="1478"/>
      <c r="AF67" s="1478"/>
      <c r="AG67" s="1480"/>
      <c r="AH67" s="1478"/>
      <c r="AI67" s="1478"/>
      <c r="AJ67" s="1478"/>
      <c r="AK67" s="1478"/>
      <c r="AL67" s="1479" t="s">
        <v>414</v>
      </c>
      <c r="AM67" s="2831" t="str">
        <f>IF('1_入力シート【基本情報】'!AB82="","",DBCS('1_入力シート【基本情報】'!AB82))</f>
        <v/>
      </c>
      <c r="AN67" s="2831"/>
      <c r="AO67" s="2831"/>
      <c r="AP67" s="2831"/>
      <c r="AQ67" s="2831"/>
      <c r="AR67" s="2831"/>
      <c r="AS67" s="1478" t="s">
        <v>415</v>
      </c>
    </row>
    <row r="68" spans="2:51" ht="12" customHeight="1">
      <c r="D68" s="1478" t="s">
        <v>416</v>
      </c>
      <c r="E68" s="1478"/>
      <c r="F68" s="1478"/>
      <c r="G68" s="1478"/>
      <c r="H68" s="1478"/>
      <c r="I68" s="1478"/>
      <c r="J68" s="1479"/>
      <c r="K68" s="1478"/>
      <c r="L68" s="1480"/>
      <c r="M68" s="1479"/>
      <c r="N68" s="1478"/>
      <c r="O68" s="2790" t="str">
        <f>IF('1_入力シート【基本情報】'!AB83="","",ASC('1_入力シート【基本情報】'!AB83))</f>
        <v/>
      </c>
      <c r="P68" s="2790"/>
      <c r="Q68" s="2790"/>
      <c r="R68" s="2790"/>
      <c r="S68" s="2790"/>
      <c r="T68" s="2790"/>
      <c r="U68" s="2790"/>
      <c r="V68" s="2790"/>
      <c r="W68" s="2790"/>
      <c r="X68" s="2790"/>
      <c r="Y68" s="2790"/>
      <c r="Z68" s="2790"/>
      <c r="AA68" s="2790"/>
      <c r="AB68" s="2790"/>
      <c r="AC68" s="2790"/>
      <c r="AD68" s="2790"/>
      <c r="AE68" s="2790"/>
      <c r="AF68" s="2790"/>
      <c r="AG68" s="2790"/>
      <c r="AH68" s="2790"/>
      <c r="AI68" s="2790"/>
      <c r="AJ68" s="2790"/>
      <c r="AK68" s="2790"/>
      <c r="AL68" s="2790"/>
      <c r="AM68" s="2790"/>
      <c r="AN68" s="2790"/>
      <c r="AO68" s="2790"/>
      <c r="AP68" s="2790"/>
      <c r="AQ68" s="2790"/>
      <c r="AR68" s="2790"/>
      <c r="AS68" s="2790"/>
    </row>
    <row r="69" spans="2:51" ht="12" customHeight="1">
      <c r="D69" s="1478" t="s">
        <v>417</v>
      </c>
      <c r="E69" s="1478"/>
      <c r="F69" s="1478"/>
      <c r="G69" s="1478"/>
      <c r="H69" s="1478"/>
      <c r="I69" s="1478"/>
      <c r="J69" s="1479"/>
      <c r="K69" s="1478"/>
      <c r="L69" s="1480"/>
      <c r="M69" s="1479"/>
      <c r="N69" s="1478"/>
      <c r="O69" s="2838">
        <f>'1_入力シート【基本情報】'!$AB$84</f>
        <v>0</v>
      </c>
      <c r="P69" s="2838"/>
      <c r="Q69" s="2838"/>
      <c r="R69" s="2838"/>
      <c r="S69" s="2838"/>
      <c r="T69" s="2838"/>
      <c r="U69" s="2838"/>
      <c r="V69" s="2838"/>
      <c r="W69" s="2838"/>
      <c r="X69" s="2838"/>
      <c r="Y69" s="2838"/>
      <c r="Z69" s="2838"/>
      <c r="AA69" s="2838"/>
      <c r="AB69" s="2838"/>
      <c r="AC69" s="2838"/>
      <c r="AD69" s="2838"/>
      <c r="AE69" s="2838"/>
      <c r="AF69" s="2838"/>
      <c r="AG69" s="2838"/>
      <c r="AH69" s="2838"/>
      <c r="AI69" s="2838"/>
      <c r="AJ69" s="2838"/>
      <c r="AK69" s="2838"/>
      <c r="AL69" s="2838"/>
      <c r="AM69" s="2838"/>
      <c r="AN69" s="2838"/>
      <c r="AO69" s="2838"/>
      <c r="AP69" s="2838"/>
      <c r="AQ69" s="2838"/>
      <c r="AR69" s="2838"/>
      <c r="AS69" s="2838"/>
    </row>
    <row r="70" spans="2:51" ht="12" customHeight="1">
      <c r="D70" s="1478" t="s">
        <v>418</v>
      </c>
      <c r="E70" s="1478"/>
      <c r="F70" s="1478"/>
      <c r="G70" s="1478"/>
      <c r="H70" s="1478"/>
      <c r="I70" s="1478"/>
      <c r="J70" s="1479"/>
      <c r="K70" s="1478"/>
      <c r="L70" s="1480"/>
      <c r="M70" s="1478"/>
      <c r="N70" s="1478"/>
      <c r="O70" s="2790" t="str">
        <f>IF('1_入力シート【基本情報】'!DS78=FALSE,IF('1_入力シート【基本情報】'!AB85="","",'1_入力シート【基本情報】'!AB85),IF('1_入力シート【基本情報】'!DS67="","",'1_入力シート【基本情報】'!DS67))</f>
        <v/>
      </c>
      <c r="P70" s="2790"/>
      <c r="Q70" s="2790"/>
      <c r="R70" s="2790"/>
      <c r="S70" s="2790"/>
      <c r="T70" s="2790"/>
      <c r="U70" s="2790"/>
      <c r="V70" s="2790"/>
      <c r="W70" s="2790"/>
      <c r="X70" s="2790"/>
      <c r="Y70" s="2790"/>
      <c r="Z70" s="2790"/>
      <c r="AA70" s="2790"/>
      <c r="AB70" s="2790"/>
      <c r="AC70" s="2790"/>
      <c r="AD70" s="2790"/>
      <c r="AE70" s="2790"/>
      <c r="AF70" s="2790"/>
      <c r="AG70" s="2790"/>
      <c r="AH70" s="2790"/>
      <c r="AI70" s="2790"/>
      <c r="AJ70" s="2790"/>
      <c r="AK70" s="2790"/>
      <c r="AL70" s="2790"/>
      <c r="AM70" s="2790"/>
      <c r="AN70" s="2790"/>
      <c r="AO70" s="2790"/>
      <c r="AP70" s="2790"/>
      <c r="AQ70" s="2790"/>
      <c r="AR70" s="2790"/>
      <c r="AS70" s="2790"/>
    </row>
    <row r="71" spans="2:51" ht="12" customHeight="1">
      <c r="D71" s="1478"/>
      <c r="E71" s="1478"/>
      <c r="F71" s="1478"/>
      <c r="G71" s="1478"/>
      <c r="H71" s="1478"/>
      <c r="I71" s="1478"/>
      <c r="J71" s="1479"/>
      <c r="K71" s="1478"/>
      <c r="L71" s="1479"/>
      <c r="M71" s="1478"/>
      <c r="N71" s="1478"/>
      <c r="O71" s="1479" t="s">
        <v>25</v>
      </c>
      <c r="P71" s="2827" t="str">
        <f>IF('1_入力シート【基本情報】'!DS78=FALSE,IF('1_入力シート【基本情報】'!AB86="","",'1_入力シート【基本情報】'!AB86),IF('1_入力シート【基本情報】'!DS68="","",'1_入力シート【基本情報】'!DS68))</f>
        <v/>
      </c>
      <c r="Q71" s="2827"/>
      <c r="R71" s="1478" t="s">
        <v>419</v>
      </c>
      <c r="S71" s="1478"/>
      <c r="T71" s="1478"/>
      <c r="U71" s="1478"/>
      <c r="V71" s="1478"/>
      <c r="W71" s="1478"/>
      <c r="X71" s="1479"/>
      <c r="Y71" s="1479" t="s">
        <v>25</v>
      </c>
      <c r="Z71" s="2827" t="str">
        <f>IF('1_入力シート【基本情報】'!DS78=FALSE,IF('1_入力シート【基本情報】'!AB87="","",'1_入力シート【基本情報】'!AB87),IF('1_入力シート【基本情報】'!DS69="","",'1_入力シート【基本情報】'!DS69))</f>
        <v/>
      </c>
      <c r="AA71" s="2827"/>
      <c r="AB71" s="2827"/>
      <c r="AC71" s="2827"/>
      <c r="AD71" s="2827"/>
      <c r="AE71" s="2827"/>
      <c r="AF71" s="1481" t="s">
        <v>420</v>
      </c>
      <c r="AG71" s="1481"/>
      <c r="AH71" s="1478"/>
      <c r="AI71" s="1480"/>
      <c r="AJ71" s="1478"/>
      <c r="AK71" s="1478"/>
      <c r="AL71" s="1479" t="s">
        <v>414</v>
      </c>
      <c r="AM71" s="2831" t="str">
        <f>IF('1_入力シート【基本情報】'!DS78=FALSE,IF('1_入力シート【基本情報】'!AB88="","",DBCS('1_入力シート【基本情報】'!AB88)),IF('1_入力シート【基本情報】'!DS70="","",DBCS('1_入力シート【基本情報】'!DS70)))</f>
        <v/>
      </c>
      <c r="AN71" s="2831"/>
      <c r="AO71" s="2831"/>
      <c r="AP71" s="2831"/>
      <c r="AQ71" s="2831"/>
      <c r="AR71" s="2831"/>
      <c r="AS71" s="1478" t="s">
        <v>415</v>
      </c>
    </row>
    <row r="72" spans="2:51" ht="12" customHeight="1">
      <c r="D72" s="1478" t="s">
        <v>421</v>
      </c>
      <c r="E72" s="1478"/>
      <c r="F72" s="1478"/>
      <c r="G72" s="1478"/>
      <c r="H72" s="1478"/>
      <c r="I72" s="1478"/>
      <c r="J72" s="1478"/>
      <c r="K72" s="1478"/>
      <c r="L72" s="1478"/>
      <c r="M72" s="1478"/>
      <c r="N72" s="1478"/>
      <c r="O72" s="2792" t="str">
        <f>IF('1_入力シート【基本情報】'!DS78=TRUE,'1_入力シート【基本情報】'!DN71,'1_入力シート【基本情報】'!DN89)</f>
        <v>-</v>
      </c>
      <c r="P72" s="2792"/>
      <c r="Q72" s="2792"/>
      <c r="R72" s="2792"/>
      <c r="S72" s="2792"/>
      <c r="T72" s="2792"/>
      <c r="U72" s="2792"/>
      <c r="V72" s="1478"/>
      <c r="W72" s="1478"/>
      <c r="X72" s="1478"/>
      <c r="Y72" s="1478"/>
      <c r="Z72" s="1478"/>
      <c r="AA72" s="1478"/>
      <c r="AB72" s="1478"/>
      <c r="AC72" s="1478"/>
      <c r="AD72" s="1478"/>
      <c r="AE72" s="1478"/>
      <c r="AF72" s="1478"/>
      <c r="AG72" s="1478"/>
      <c r="AH72" s="1478"/>
      <c r="AI72" s="1478"/>
      <c r="AJ72" s="1478"/>
      <c r="AK72" s="1479"/>
      <c r="AL72" s="1479"/>
      <c r="AM72" s="1478"/>
      <c r="AN72" s="1478"/>
      <c r="AO72" s="1478"/>
      <c r="AP72" s="1478"/>
      <c r="AQ72" s="1478"/>
      <c r="AR72" s="1478"/>
      <c r="AS72" s="1478"/>
    </row>
    <row r="73" spans="2:51" ht="12" customHeight="1">
      <c r="D73" s="1478" t="s">
        <v>422</v>
      </c>
      <c r="E73" s="1478"/>
      <c r="F73" s="1478"/>
      <c r="G73" s="1478"/>
      <c r="H73" s="1478"/>
      <c r="I73" s="1478"/>
      <c r="J73" s="1478"/>
      <c r="K73" s="1478"/>
      <c r="L73" s="1480"/>
      <c r="M73" s="1478"/>
      <c r="N73" s="1478"/>
      <c r="O73" s="2790" t="str">
        <f>IF('1_入力シート【基本情報】'!DS78=FALSE,IF('1_入力シート【基本情報】'!AB90="","",'1_入力シート【基本情報】'!AB90),IF('1_入力シート【基本情報】'!DS72="","",'1_入力シート【基本情報】'!DS72))</f>
        <v/>
      </c>
      <c r="P73" s="2790"/>
      <c r="Q73" s="2790"/>
      <c r="R73" s="2790"/>
      <c r="S73" s="2790"/>
      <c r="T73" s="2790"/>
      <c r="U73" s="2790"/>
      <c r="V73" s="2790"/>
      <c r="W73" s="2790"/>
      <c r="X73" s="2790"/>
      <c r="Y73" s="2790"/>
      <c r="Z73" s="2790"/>
      <c r="AA73" s="2790"/>
      <c r="AB73" s="2790"/>
      <c r="AC73" s="2790"/>
      <c r="AD73" s="2790"/>
      <c r="AE73" s="2790"/>
      <c r="AF73" s="2790"/>
      <c r="AG73" s="2790"/>
      <c r="AH73" s="2790"/>
      <c r="AI73" s="2790"/>
      <c r="AJ73" s="2790"/>
      <c r="AK73" s="2790"/>
      <c r="AL73" s="2790"/>
      <c r="AM73" s="2790"/>
      <c r="AN73" s="2790"/>
      <c r="AO73" s="2790"/>
      <c r="AP73" s="2790"/>
      <c r="AQ73" s="2790"/>
      <c r="AR73" s="2790"/>
      <c r="AS73" s="2790"/>
    </row>
    <row r="74" spans="2:51" ht="12" customHeight="1">
      <c r="D74" s="1478" t="s">
        <v>423</v>
      </c>
      <c r="E74" s="1478"/>
      <c r="F74" s="1478"/>
      <c r="G74" s="1478"/>
      <c r="H74" s="1478"/>
      <c r="I74" s="1478"/>
      <c r="J74" s="1478"/>
      <c r="K74" s="1478"/>
      <c r="L74" s="1482"/>
      <c r="M74" s="1478"/>
      <c r="N74" s="1478"/>
      <c r="O74" s="2839" t="str">
        <f>IF('1_入力シート【基本情報】'!DS78=TRUE,'1_入力シート【基本情報】'!DN73,'1_入力シート【基本情報】'!DN91)</f>
        <v>--</v>
      </c>
      <c r="P74" s="2839"/>
      <c r="Q74" s="2839"/>
      <c r="R74" s="2839"/>
      <c r="S74" s="2839"/>
      <c r="T74" s="2839"/>
      <c r="U74" s="2839"/>
      <c r="V74" s="2839"/>
      <c r="W74" s="2839"/>
      <c r="X74" s="2839"/>
      <c r="Y74" s="2839"/>
      <c r="Z74" s="2839"/>
      <c r="AA74" s="2839"/>
      <c r="AB74" s="2839"/>
      <c r="AC74" s="1482"/>
      <c r="AD74" s="1482"/>
      <c r="AE74" s="1482"/>
      <c r="AF74" s="1482"/>
      <c r="AG74" s="1482"/>
      <c r="AH74" s="1482"/>
      <c r="AI74" s="1482"/>
      <c r="AJ74" s="1482"/>
      <c r="AK74" s="1482"/>
      <c r="AL74" s="1482"/>
      <c r="AM74" s="1482"/>
      <c r="AN74" s="1482"/>
      <c r="AO74" s="1482"/>
      <c r="AP74" s="1482"/>
      <c r="AQ74" s="1482"/>
      <c r="AR74" s="1482"/>
      <c r="AS74" s="1482"/>
    </row>
    <row r="75" spans="2:51" ht="13.5" hidden="1" customHeight="1">
      <c r="C75" s="1470"/>
      <c r="N75" s="1484"/>
      <c r="O75" s="1484"/>
      <c r="P75" s="1484"/>
      <c r="Q75" s="1484"/>
      <c r="R75" s="1484"/>
      <c r="S75" s="1484"/>
      <c r="T75" s="1484"/>
      <c r="U75" s="1484"/>
      <c r="V75" s="1484"/>
      <c r="W75" s="1484"/>
      <c r="X75" s="1484"/>
      <c r="Y75" s="1484"/>
      <c r="Z75" s="1484"/>
      <c r="AA75" s="1484"/>
      <c r="AB75" s="1484"/>
      <c r="AC75" s="1484"/>
      <c r="AD75" s="1484"/>
      <c r="AE75" s="1484"/>
      <c r="AF75" s="1484"/>
      <c r="AG75" s="1484"/>
      <c r="AH75" s="1484"/>
      <c r="AI75" s="1484"/>
      <c r="AJ75" s="1484"/>
      <c r="AK75" s="1484"/>
      <c r="AL75" s="1484"/>
      <c r="AM75" s="1484"/>
      <c r="AN75" s="1484"/>
      <c r="AO75" s="1484"/>
      <c r="AP75" s="1484"/>
      <c r="AQ75" s="1484"/>
      <c r="AR75" s="1484"/>
      <c r="AS75" s="1484"/>
      <c r="AT75" s="1484"/>
    </row>
    <row r="76" spans="2:51" hidden="1">
      <c r="C76" s="1470"/>
      <c r="N76" s="1484"/>
      <c r="O76" s="1484"/>
      <c r="P76" s="1484"/>
      <c r="Q76" s="1484"/>
      <c r="R76" s="1484"/>
      <c r="S76" s="1484"/>
      <c r="T76" s="1484"/>
      <c r="U76" s="1484"/>
      <c r="V76" s="1484"/>
      <c r="W76" s="1484"/>
      <c r="X76" s="1484"/>
      <c r="Y76" s="1484"/>
      <c r="Z76" s="1484"/>
      <c r="AA76" s="1484"/>
      <c r="AB76" s="1484"/>
      <c r="AC76" s="1484"/>
      <c r="AD76" s="1484"/>
      <c r="AE76" s="1484"/>
      <c r="AF76" s="1484"/>
      <c r="AG76" s="1484"/>
      <c r="AH76" s="1484"/>
      <c r="AI76" s="1484"/>
      <c r="AJ76" s="1484"/>
      <c r="AK76" s="1484"/>
      <c r="AL76" s="1484"/>
      <c r="AM76" s="1484"/>
      <c r="AN76" s="1484"/>
      <c r="AO76" s="1484"/>
      <c r="AP76" s="1484"/>
      <c r="AQ76" s="1484"/>
      <c r="AR76" s="1484"/>
      <c r="AS76" s="1484"/>
      <c r="AT76" s="1484"/>
    </row>
    <row r="77" spans="2:51" hidden="1">
      <c r="C77" s="1470"/>
      <c r="N77" s="1484"/>
      <c r="O77" s="1484"/>
      <c r="P77" s="1484"/>
      <c r="Q77" s="1484"/>
      <c r="R77" s="1484"/>
      <c r="S77" s="1484"/>
      <c r="T77" s="1484"/>
      <c r="U77" s="1484"/>
      <c r="V77" s="1484"/>
      <c r="W77" s="1484"/>
      <c r="X77" s="1484"/>
      <c r="Y77" s="1484"/>
      <c r="Z77" s="1484"/>
      <c r="AA77" s="1484"/>
      <c r="AB77" s="1484"/>
      <c r="AC77" s="1484"/>
      <c r="AD77" s="1484"/>
      <c r="AE77" s="1484"/>
      <c r="AF77" s="1484"/>
      <c r="AG77" s="1484"/>
      <c r="AH77" s="1484"/>
      <c r="AI77" s="1484"/>
      <c r="AJ77" s="1484"/>
      <c r="AK77" s="1484"/>
      <c r="AL77" s="1484"/>
      <c r="AM77" s="1484"/>
      <c r="AN77" s="1484"/>
      <c r="AO77" s="1484"/>
      <c r="AP77" s="1484"/>
      <c r="AQ77" s="1484"/>
      <c r="AR77" s="1484"/>
      <c r="AS77" s="1484"/>
      <c r="AT77" s="1484"/>
    </row>
    <row r="78" spans="2:51" ht="6" customHeight="1"/>
    <row r="79" spans="2:51" ht="6" customHeight="1"/>
    <row r="80" spans="2:51" ht="12" customHeight="1">
      <c r="B80" s="1470" t="s">
        <v>426</v>
      </c>
      <c r="X80" s="1485"/>
    </row>
    <row r="81" spans="2:53" ht="12" customHeight="1">
      <c r="D81" s="1470" t="s">
        <v>427</v>
      </c>
      <c r="N81" s="1475"/>
      <c r="O81" s="2835" t="str">
        <f>'1_入力シート【基本情報】'!$DN$10</f>
        <v>京都市</v>
      </c>
      <c r="P81" s="2835"/>
      <c r="Q81" s="2835"/>
      <c r="R81" s="2835"/>
      <c r="S81" s="2835"/>
      <c r="T81" s="2835"/>
      <c r="U81" s="2835"/>
      <c r="V81" s="2836"/>
      <c r="W81" s="2836"/>
      <c r="X81" s="2836"/>
      <c r="Y81" s="2836"/>
      <c r="Z81" s="2836"/>
      <c r="AA81" s="2836"/>
      <c r="AB81" s="2836"/>
      <c r="AC81" s="2836"/>
      <c r="AD81" s="2836"/>
      <c r="AE81" s="2836"/>
      <c r="AF81" s="2836"/>
      <c r="AG81" s="2836"/>
      <c r="AH81" s="2836"/>
      <c r="AI81" s="2836"/>
      <c r="AJ81" s="2836"/>
      <c r="AK81" s="2836"/>
      <c r="AL81" s="2836"/>
      <c r="AM81" s="2836"/>
      <c r="AN81" s="2836"/>
      <c r="AO81" s="2836"/>
      <c r="AP81" s="2836"/>
      <c r="AQ81" s="2836"/>
      <c r="AR81" s="2836"/>
      <c r="AS81" s="2836"/>
    </row>
    <row r="82" spans="2:53" ht="12" customHeight="1">
      <c r="D82" s="1470" t="s">
        <v>428</v>
      </c>
      <c r="N82" s="1475"/>
      <c r="O82" s="2790" t="str">
        <f>IF('1_入力シート【基本情報】'!AB8="","",'1_入力シート【基本情報】'!AB8)</f>
        <v/>
      </c>
      <c r="P82" s="2790"/>
      <c r="Q82" s="2790"/>
      <c r="R82" s="2790"/>
      <c r="S82" s="2790"/>
      <c r="T82" s="2790"/>
      <c r="U82" s="2790"/>
      <c r="V82" s="2790"/>
      <c r="W82" s="2790"/>
      <c r="X82" s="2790"/>
      <c r="Y82" s="2790"/>
      <c r="Z82" s="2790"/>
      <c r="AA82" s="2790"/>
      <c r="AB82" s="2790"/>
      <c r="AC82" s="2790"/>
      <c r="AD82" s="2790"/>
      <c r="AE82" s="2790"/>
      <c r="AF82" s="2790"/>
      <c r="AG82" s="2790"/>
      <c r="AH82" s="2790"/>
      <c r="AI82" s="2790"/>
      <c r="AJ82" s="2790"/>
      <c r="AK82" s="2790"/>
      <c r="AL82" s="2790"/>
      <c r="AM82" s="2790"/>
      <c r="AN82" s="2790"/>
      <c r="AO82" s="2790"/>
      <c r="AP82" s="2790"/>
      <c r="AQ82" s="2790"/>
      <c r="AR82" s="2790"/>
      <c r="AS82" s="2790"/>
    </row>
    <row r="83" spans="2:53" ht="12" customHeight="1">
      <c r="D83" s="1470" t="s">
        <v>429</v>
      </c>
      <c r="N83" s="1475"/>
      <c r="O83" s="2790" t="str">
        <f>IF('1_入力シート【基本情報】'!AB9="","",'1_入力シート【基本情報】'!AB9)</f>
        <v/>
      </c>
      <c r="P83" s="2790"/>
      <c r="Q83" s="2790"/>
      <c r="R83" s="2790"/>
      <c r="S83" s="2790"/>
      <c r="T83" s="2790"/>
      <c r="U83" s="2790"/>
      <c r="V83" s="2790"/>
      <c r="W83" s="2790"/>
      <c r="X83" s="2790"/>
      <c r="Y83" s="2790"/>
      <c r="Z83" s="2790"/>
      <c r="AA83" s="2790"/>
      <c r="AB83" s="2790"/>
      <c r="AC83" s="2790"/>
      <c r="AD83" s="2790"/>
      <c r="AE83" s="2790"/>
      <c r="AF83" s="2790"/>
      <c r="AG83" s="2790"/>
      <c r="AH83" s="2790"/>
      <c r="AI83" s="2790"/>
      <c r="AJ83" s="2790"/>
      <c r="AK83" s="2790"/>
      <c r="AL83" s="2790"/>
      <c r="AM83" s="2790"/>
      <c r="AN83" s="2790"/>
      <c r="AO83" s="2790"/>
      <c r="AP83" s="2790"/>
      <c r="AQ83" s="2790"/>
      <c r="AR83" s="2790"/>
      <c r="AS83" s="2790"/>
    </row>
    <row r="84" spans="2:53" ht="12" customHeight="1">
      <c r="D84" s="1470" t="s">
        <v>430</v>
      </c>
      <c r="N84" s="1475"/>
      <c r="O84" s="2790" t="str">
        <f>IF('2_入力シート【用途面積】'!G7="","",SUBSTITUTE(TRIM('2_入力シート【用途面積】'!G7&amp;"　"&amp;'2_入力シート【用途面積】'!I7&amp;"　"&amp;'2_入力シート【用途面積】'!K7&amp;"　"&amp;'2_入力シート【用途面積】'!M7&amp;"　"&amp;'2_入力シート【用途面積】'!O7&amp;"　"&amp;'2_入力シート【用途面積】'!Q7&amp;"　"&amp;'2_入力シート【用途面積】'!S7),"　",","))</f>
        <v/>
      </c>
      <c r="P84" s="2790"/>
      <c r="Q84" s="2790"/>
      <c r="R84" s="2790"/>
      <c r="S84" s="2790"/>
      <c r="T84" s="2790"/>
      <c r="U84" s="2790"/>
      <c r="V84" s="2790"/>
      <c r="W84" s="2790"/>
      <c r="X84" s="2790"/>
      <c r="Y84" s="2790"/>
      <c r="Z84" s="2790"/>
      <c r="AA84" s="2790"/>
      <c r="AB84" s="2790"/>
      <c r="AC84" s="2790"/>
      <c r="AD84" s="2790"/>
      <c r="AE84" s="2790"/>
      <c r="AF84" s="2790"/>
      <c r="AG84" s="2790"/>
      <c r="AH84" s="2790"/>
      <c r="AI84" s="2790"/>
      <c r="AJ84" s="2790"/>
      <c r="AK84" s="2790"/>
      <c r="AL84" s="2790"/>
      <c r="AM84" s="2790"/>
      <c r="AN84" s="2790"/>
      <c r="AO84" s="2790"/>
      <c r="AP84" s="2790"/>
      <c r="AQ84" s="2790"/>
      <c r="AR84" s="2790"/>
      <c r="AS84" s="2790"/>
    </row>
    <row r="85" spans="2:53" ht="13" hidden="1" customHeight="1">
      <c r="C85" s="1470"/>
      <c r="N85" s="2829"/>
      <c r="O85" s="2829"/>
      <c r="P85" s="2829"/>
      <c r="Q85" s="2829"/>
      <c r="R85" s="2829"/>
      <c r="S85" s="2829"/>
      <c r="T85" s="2829"/>
      <c r="U85" s="2829"/>
      <c r="V85" s="2829"/>
      <c r="W85" s="2829"/>
      <c r="X85" s="2829"/>
      <c r="Y85" s="2829"/>
      <c r="Z85" s="2829"/>
      <c r="AA85" s="2829"/>
      <c r="AB85" s="2829"/>
      <c r="AC85" s="2829"/>
      <c r="AD85" s="2829"/>
      <c r="AE85" s="2829"/>
      <c r="AF85" s="2829"/>
      <c r="AG85" s="2829"/>
      <c r="AH85" s="2829"/>
      <c r="AI85" s="2829"/>
      <c r="AJ85" s="2829"/>
      <c r="AK85" s="2829"/>
      <c r="AL85" s="2829"/>
      <c r="AM85" s="2829"/>
      <c r="AN85" s="2829"/>
      <c r="AO85" s="2829"/>
      <c r="AP85" s="2829"/>
      <c r="AQ85" s="2829"/>
      <c r="AR85" s="2829"/>
      <c r="AS85" s="2829"/>
      <c r="AT85" s="2829"/>
    </row>
    <row r="86" spans="2:53" ht="13" hidden="1" customHeight="1">
      <c r="C86" s="1470"/>
      <c r="N86" s="2829"/>
      <c r="O86" s="2829"/>
      <c r="P86" s="2829"/>
      <c r="Q86" s="2829"/>
      <c r="R86" s="2829"/>
      <c r="S86" s="2829"/>
      <c r="T86" s="2829"/>
      <c r="U86" s="2829"/>
      <c r="V86" s="2829"/>
      <c r="W86" s="2829"/>
      <c r="X86" s="2829"/>
      <c r="Y86" s="2829"/>
      <c r="Z86" s="2829"/>
      <c r="AA86" s="2829"/>
      <c r="AB86" s="2829"/>
      <c r="AC86" s="2829"/>
      <c r="AD86" s="2829"/>
      <c r="AE86" s="2829"/>
      <c r="AF86" s="2829"/>
      <c r="AG86" s="2829"/>
      <c r="AH86" s="2829"/>
      <c r="AI86" s="2829"/>
      <c r="AJ86" s="2829"/>
      <c r="AK86" s="2829"/>
      <c r="AL86" s="2829"/>
      <c r="AM86" s="2829"/>
      <c r="AN86" s="2829"/>
      <c r="AO86" s="2829"/>
      <c r="AP86" s="2829"/>
      <c r="AQ86" s="2829"/>
      <c r="AR86" s="2829"/>
      <c r="AS86" s="2829"/>
      <c r="AT86" s="2829"/>
    </row>
    <row r="87" spans="2:53" ht="13" hidden="1" customHeight="1">
      <c r="C87" s="1470"/>
      <c r="N87" s="2829"/>
      <c r="O87" s="2829"/>
      <c r="P87" s="2829"/>
      <c r="Q87" s="2829"/>
      <c r="R87" s="2829"/>
      <c r="S87" s="2829"/>
      <c r="T87" s="2829"/>
      <c r="U87" s="2829"/>
      <c r="V87" s="2829"/>
      <c r="W87" s="2829"/>
      <c r="X87" s="2829"/>
      <c r="Y87" s="2829"/>
      <c r="Z87" s="2829"/>
      <c r="AA87" s="2829"/>
      <c r="AB87" s="2829"/>
      <c r="AC87" s="2829"/>
      <c r="AD87" s="2829"/>
      <c r="AE87" s="2829"/>
      <c r="AF87" s="2829"/>
      <c r="AG87" s="2829"/>
      <c r="AH87" s="2829"/>
      <c r="AI87" s="2829"/>
      <c r="AJ87" s="2829"/>
      <c r="AK87" s="2829"/>
      <c r="AL87" s="2829"/>
      <c r="AM87" s="2829"/>
      <c r="AN87" s="2829"/>
      <c r="AO87" s="2829"/>
      <c r="AP87" s="2829"/>
      <c r="AQ87" s="2829"/>
      <c r="AR87" s="2829"/>
      <c r="AS87" s="2829"/>
      <c r="AT87" s="2829"/>
    </row>
    <row r="88" spans="2:53" ht="13" hidden="1" customHeight="1">
      <c r="C88" s="1470"/>
      <c r="N88" s="2829"/>
      <c r="O88" s="2829"/>
      <c r="P88" s="2829"/>
      <c r="Q88" s="2829"/>
      <c r="R88" s="2829"/>
      <c r="S88" s="2829"/>
      <c r="T88" s="2829"/>
      <c r="U88" s="2829"/>
      <c r="V88" s="2829"/>
      <c r="W88" s="2829"/>
      <c r="X88" s="2829"/>
      <c r="Y88" s="2829"/>
      <c r="Z88" s="2829"/>
      <c r="AA88" s="2829"/>
      <c r="AB88" s="2829"/>
      <c r="AC88" s="2829"/>
      <c r="AD88" s="2829"/>
      <c r="AE88" s="2829"/>
      <c r="AF88" s="2829"/>
      <c r="AG88" s="2829"/>
      <c r="AH88" s="2829"/>
      <c r="AI88" s="2829"/>
      <c r="AJ88" s="2829"/>
      <c r="AK88" s="2829"/>
      <c r="AL88" s="2829"/>
      <c r="AM88" s="2829"/>
      <c r="AN88" s="2829"/>
      <c r="AO88" s="2829"/>
      <c r="AP88" s="2829"/>
      <c r="AQ88" s="2829"/>
      <c r="AR88" s="2829"/>
      <c r="AS88" s="2829"/>
      <c r="AT88" s="2829"/>
    </row>
    <row r="89" spans="2:53" hidden="1">
      <c r="C89" s="1470"/>
      <c r="N89" s="1484"/>
      <c r="O89" s="1484"/>
      <c r="P89" s="1484"/>
      <c r="Q89" s="1484"/>
      <c r="R89" s="1484"/>
      <c r="S89" s="1484"/>
      <c r="T89" s="1484"/>
      <c r="U89" s="1484"/>
      <c r="V89" s="1484"/>
      <c r="W89" s="1484"/>
      <c r="X89" s="1484"/>
      <c r="Y89" s="1484"/>
      <c r="Z89" s="1484"/>
      <c r="AA89" s="1484"/>
      <c r="AB89" s="1484"/>
      <c r="AC89" s="1484"/>
      <c r="AD89" s="1484"/>
      <c r="AE89" s="1484"/>
      <c r="AF89" s="1484"/>
      <c r="AG89" s="1484"/>
      <c r="AH89" s="1484"/>
      <c r="AI89" s="1484"/>
      <c r="AJ89" s="1484"/>
      <c r="AK89" s="1484"/>
      <c r="AL89" s="1484"/>
      <c r="AM89" s="1484"/>
      <c r="AN89" s="1484"/>
      <c r="AO89" s="1484"/>
      <c r="AP89" s="1484"/>
      <c r="AQ89" s="1484"/>
      <c r="AR89" s="1484"/>
      <c r="AS89" s="1484"/>
      <c r="AT89" s="1484"/>
    </row>
    <row r="90" spans="2:53" hidden="1">
      <c r="C90" s="1470"/>
      <c r="N90" s="1484"/>
      <c r="O90" s="1484"/>
      <c r="P90" s="1484"/>
      <c r="Q90" s="1484"/>
      <c r="R90" s="1484"/>
      <c r="S90" s="1484"/>
      <c r="T90" s="1484"/>
      <c r="U90" s="1484"/>
      <c r="V90" s="1484"/>
      <c r="W90" s="1484"/>
      <c r="X90" s="1484"/>
      <c r="Y90" s="1484"/>
      <c r="Z90" s="1484"/>
      <c r="AA90" s="1484"/>
      <c r="AB90" s="1484"/>
      <c r="AC90" s="1484"/>
      <c r="AD90" s="1484"/>
      <c r="AE90" s="1484"/>
      <c r="AF90" s="1484"/>
      <c r="AG90" s="1484"/>
      <c r="AH90" s="1484"/>
      <c r="AI90" s="1484"/>
      <c r="AJ90" s="1484"/>
      <c r="AK90" s="1484"/>
      <c r="AL90" s="1484"/>
      <c r="AM90" s="1484"/>
      <c r="AN90" s="1484"/>
      <c r="AO90" s="1484"/>
      <c r="AP90" s="1484"/>
      <c r="AQ90" s="1484"/>
      <c r="AR90" s="1484"/>
      <c r="AS90" s="1484"/>
      <c r="AT90" s="1484"/>
    </row>
    <row r="91" spans="2:53" hidden="1">
      <c r="C91" s="1470"/>
      <c r="N91" s="1484"/>
      <c r="O91" s="1484"/>
      <c r="P91" s="1484"/>
      <c r="Q91" s="1484"/>
      <c r="R91" s="1484"/>
      <c r="S91" s="1484"/>
      <c r="T91" s="1484"/>
      <c r="U91" s="1484"/>
      <c r="V91" s="1484"/>
      <c r="W91" s="1484"/>
      <c r="X91" s="1484"/>
      <c r="Y91" s="1484"/>
      <c r="Z91" s="1484"/>
      <c r="AA91" s="1484"/>
      <c r="AB91" s="1484"/>
      <c r="AC91" s="1484"/>
      <c r="AD91" s="1484"/>
      <c r="AE91" s="1484"/>
      <c r="AF91" s="1484"/>
      <c r="AG91" s="1484"/>
      <c r="AH91" s="1484"/>
      <c r="AI91" s="1484"/>
      <c r="AJ91" s="1484"/>
      <c r="AK91" s="1484"/>
      <c r="AL91" s="1484"/>
      <c r="AM91" s="1484"/>
      <c r="AN91" s="1484"/>
      <c r="AO91" s="1484"/>
      <c r="AP91" s="1484"/>
      <c r="AQ91" s="1484"/>
      <c r="AR91" s="1484"/>
      <c r="AS91" s="1484"/>
      <c r="AT91" s="1484"/>
    </row>
    <row r="92" spans="2:53" ht="6" customHeight="1"/>
    <row r="93" spans="2:53" ht="6" customHeight="1"/>
    <row r="94" spans="2:53" ht="12" customHeight="1">
      <c r="B94" s="1470" t="s">
        <v>431</v>
      </c>
      <c r="X94" s="1485"/>
    </row>
    <row r="95" spans="2:53" ht="12" customHeight="1">
      <c r="D95" s="1470" t="s">
        <v>432</v>
      </c>
      <c r="O95" s="1486" t="str">
        <f>IF('1_入力シート【基本情報】'!EW315="レ","レ",IF('1_入力シート【基本情報】'!EX315="レ","レ",""))</f>
        <v/>
      </c>
      <c r="P95" s="1461" t="s">
        <v>433</v>
      </c>
      <c r="X95" s="1487" t="s">
        <v>26</v>
      </c>
      <c r="Y95" s="1486" t="str">
        <f>'1_入力シート【基本情報】'!EX315</f>
        <v/>
      </c>
      <c r="Z95" s="1461" t="s">
        <v>434</v>
      </c>
      <c r="AH95" s="1486" t="str">
        <f>IF(OR('1_入力シート【基本情報】'!EV315="レ",'1_入力シート【基本情報】'!EU315="レ"),"レ","")</f>
        <v/>
      </c>
      <c r="AI95" s="1461" t="s">
        <v>435</v>
      </c>
    </row>
    <row r="96" spans="2:53" ht="12" customHeight="1">
      <c r="D96" s="1470" t="s">
        <v>436</v>
      </c>
      <c r="O96" s="2840" t="s">
        <v>1372</v>
      </c>
      <c r="P96" s="2840"/>
      <c r="Q96" s="2840"/>
      <c r="R96" s="2840"/>
      <c r="S96" s="2840"/>
      <c r="T96" s="2840"/>
      <c r="U96" s="2840"/>
      <c r="V96" s="2840"/>
      <c r="W96" s="2840"/>
      <c r="X96" s="2840"/>
      <c r="Y96" s="2840"/>
      <c r="Z96" s="2840"/>
      <c r="AA96" s="2840"/>
      <c r="AB96" s="2840"/>
      <c r="AC96" s="2840"/>
      <c r="AD96" s="2840"/>
      <c r="AE96" s="2840"/>
      <c r="AF96" s="2840"/>
      <c r="AG96" s="2840"/>
      <c r="AH96" s="2840"/>
      <c r="AI96" s="2840"/>
      <c r="AJ96" s="2840"/>
      <c r="AK96" s="2840"/>
      <c r="AL96" s="2840"/>
      <c r="AM96" s="2840"/>
      <c r="AN96" s="2840"/>
      <c r="AO96" s="2840"/>
      <c r="AP96" s="2840"/>
      <c r="AQ96" s="2840"/>
      <c r="AR96" s="2840"/>
      <c r="AS96" s="2840"/>
      <c r="BA96" s="1488"/>
    </row>
    <row r="97" spans="2:55" ht="13" hidden="1" customHeight="1">
      <c r="D97" s="1470"/>
      <c r="O97" s="1484"/>
      <c r="P97" s="1484"/>
      <c r="Q97" s="1484"/>
      <c r="R97" s="1484"/>
      <c r="S97" s="1484"/>
      <c r="T97" s="1484"/>
      <c r="U97" s="1484"/>
      <c r="V97" s="1484"/>
      <c r="W97" s="1484"/>
      <c r="X97" s="1484"/>
      <c r="Y97" s="1484"/>
      <c r="Z97" s="1484"/>
      <c r="AA97" s="1484"/>
      <c r="AB97" s="1484"/>
      <c r="AC97" s="1484"/>
      <c r="AD97" s="1484"/>
      <c r="AE97" s="1484"/>
      <c r="AF97" s="1484"/>
      <c r="AG97" s="1484"/>
      <c r="AH97" s="1484"/>
      <c r="AI97" s="1484"/>
      <c r="AJ97" s="1484"/>
      <c r="AK97" s="1484"/>
      <c r="AL97" s="1484"/>
      <c r="AM97" s="1484"/>
      <c r="AN97" s="1484"/>
      <c r="AO97" s="1484"/>
      <c r="AP97" s="1484"/>
      <c r="AQ97" s="1484"/>
      <c r="AR97" s="1484"/>
      <c r="AS97" s="1484"/>
    </row>
    <row r="98" spans="2:55" ht="13" hidden="1" customHeight="1">
      <c r="D98" s="1470"/>
      <c r="O98" s="1484"/>
      <c r="P98" s="1484"/>
      <c r="Q98" s="1484"/>
      <c r="R98" s="1484"/>
      <c r="S98" s="1484"/>
      <c r="T98" s="1484"/>
      <c r="U98" s="1484"/>
      <c r="V98" s="1484"/>
      <c r="W98" s="1484"/>
      <c r="X98" s="1484"/>
      <c r="Y98" s="1484"/>
      <c r="Z98" s="1484"/>
      <c r="AA98" s="1484"/>
      <c r="AB98" s="1484"/>
      <c r="AC98" s="1484"/>
      <c r="AD98" s="1484"/>
      <c r="AE98" s="1484"/>
      <c r="AF98" s="1484"/>
      <c r="AG98" s="1484"/>
      <c r="AH98" s="1484"/>
      <c r="AI98" s="1484"/>
      <c r="AJ98" s="1484"/>
      <c r="AK98" s="1484"/>
      <c r="AL98" s="1484"/>
      <c r="AM98" s="1484"/>
      <c r="AN98" s="1484"/>
      <c r="AO98" s="1484"/>
      <c r="AP98" s="1484"/>
      <c r="AQ98" s="1484"/>
      <c r="AR98" s="1484"/>
      <c r="AS98" s="1484"/>
    </row>
    <row r="99" spans="2:55" ht="13" hidden="1" customHeight="1">
      <c r="D99" s="1470"/>
      <c r="O99" s="1484"/>
      <c r="P99" s="1484"/>
      <c r="Q99" s="1484"/>
      <c r="R99" s="1484"/>
      <c r="S99" s="1484"/>
      <c r="T99" s="1484"/>
      <c r="U99" s="1484"/>
      <c r="V99" s="1484"/>
      <c r="W99" s="1484"/>
      <c r="X99" s="1484"/>
      <c r="Y99" s="1484"/>
      <c r="Z99" s="1484"/>
      <c r="AA99" s="1484"/>
      <c r="AB99" s="1484"/>
      <c r="AC99" s="1484"/>
      <c r="AD99" s="1484"/>
      <c r="AE99" s="1484"/>
      <c r="AF99" s="1484"/>
      <c r="AG99" s="1484"/>
      <c r="AH99" s="1484"/>
      <c r="AI99" s="1484"/>
      <c r="AJ99" s="1484"/>
      <c r="AK99" s="1484"/>
      <c r="AL99" s="1484"/>
      <c r="AM99" s="1484"/>
      <c r="AN99" s="1484"/>
      <c r="AO99" s="1484"/>
      <c r="AP99" s="1484"/>
      <c r="AQ99" s="1484"/>
      <c r="AR99" s="1484"/>
      <c r="AS99" s="1484"/>
    </row>
    <row r="100" spans="2:55" ht="13" hidden="1" customHeight="1">
      <c r="D100" s="1470"/>
      <c r="O100" s="1484"/>
      <c r="P100" s="1484"/>
      <c r="Q100" s="1484"/>
      <c r="R100" s="1484"/>
      <c r="S100" s="1484"/>
      <c r="T100" s="1484"/>
      <c r="U100" s="1484"/>
      <c r="V100" s="1484"/>
      <c r="W100" s="1484"/>
      <c r="X100" s="1484"/>
      <c r="Y100" s="1484"/>
      <c r="Z100" s="1484"/>
      <c r="AA100" s="1484"/>
      <c r="AB100" s="1484"/>
      <c r="AC100" s="1484"/>
      <c r="AD100" s="1484"/>
      <c r="AE100" s="1484"/>
      <c r="AF100" s="1484"/>
      <c r="AG100" s="1484"/>
      <c r="AH100" s="1484"/>
      <c r="AI100" s="1484"/>
      <c r="AJ100" s="1484"/>
      <c r="AK100" s="1484"/>
      <c r="AL100" s="1484"/>
      <c r="AM100" s="1484"/>
      <c r="AN100" s="1484"/>
      <c r="AO100" s="1484"/>
      <c r="AP100" s="1484"/>
      <c r="AQ100" s="1484"/>
      <c r="AR100" s="1484"/>
      <c r="AS100" s="1484"/>
    </row>
    <row r="101" spans="2:55" ht="12" customHeight="1">
      <c r="D101" s="1470" t="s">
        <v>437</v>
      </c>
      <c r="O101" s="1489" t="str">
        <f>IF(OR('1_入力シート【基本情報】'!EY304="レ",'1_入力シート【基本情報】'!EZ304="レ",'1_入力シート【基本情報】'!FD304="レ",'1_入力シート【基本情報】'!FE304="レ"),"レ","")</f>
        <v/>
      </c>
      <c r="P101" s="1485" t="s">
        <v>438</v>
      </c>
      <c r="Q101" s="1485"/>
      <c r="R101" s="2841" t="str">
        <f>IF(AND(T101="31",W101&lt;5),"平成","令和")</f>
        <v>令和</v>
      </c>
      <c r="S101" s="2841"/>
      <c r="T101" s="2832" t="str">
        <f>IF('1_入力シート【基本情報】'!FA304&lt;&gt;"",'1_入力シート【基本情報】'!FA304,IF('1_入力シート【基本情報】'!FF304&lt;&gt;"",'1_入力シート【基本情報】'!FF304,""))</f>
        <v/>
      </c>
      <c r="U101" s="2833"/>
      <c r="V101" s="1490" t="s">
        <v>12</v>
      </c>
      <c r="W101" s="2834" t="str">
        <f>IF('1_入力シート【基本情報】'!FB304&lt;&gt;"",'1_入力シート【基本情報】'!FB304,IF('1_入力シート【基本情報】'!FG304&lt;&gt;"",'1_入力シート【基本情報】'!FG304,""))</f>
        <v/>
      </c>
      <c r="X101" s="2834"/>
      <c r="Y101" s="1491" t="str">
        <f>IF(OR('1_入力シート【基本情報】'!EZ304="レ",'1_入力シート【基本情報】'!FE304="レ"),"月に改善)","月に改善予定)")</f>
        <v>月に改善予定)</v>
      </c>
      <c r="AH101" s="1486" t="str">
        <f>IF(OR('1_入力シート【基本情報】'!FC304="レ",'1_入力シート【基本情報】'!FH304="レ"),"レ","")</f>
        <v>レ</v>
      </c>
      <c r="AI101" s="1461" t="s">
        <v>440</v>
      </c>
      <c r="AM101" s="1461" t="str">
        <f>IF('1_入力シート【基本情報】'!FI304="改善済","（改善済）","")&amp;IF('1_入力シート【基本情報】'!FI304="一部改善済","（一部改善済）","")</f>
        <v/>
      </c>
    </row>
    <row r="102" spans="2:55" ht="12" customHeight="1">
      <c r="D102" s="1470" t="s">
        <v>441</v>
      </c>
      <c r="O102" s="2842">
        <f>'1_入力シート【基本情報】'!$AB$290</f>
        <v>0</v>
      </c>
      <c r="P102" s="2842"/>
      <c r="Q102" s="2842"/>
      <c r="R102" s="2842"/>
      <c r="S102" s="2842"/>
      <c r="T102" s="2842"/>
      <c r="U102" s="2842"/>
      <c r="V102" s="2842"/>
      <c r="W102" s="2842"/>
      <c r="X102" s="2842"/>
      <c r="Y102" s="2842"/>
      <c r="Z102" s="2842"/>
      <c r="AA102" s="2842"/>
      <c r="AB102" s="2842"/>
      <c r="AC102" s="2842"/>
      <c r="AD102" s="2842"/>
      <c r="AE102" s="2842"/>
      <c r="AF102" s="2842"/>
      <c r="AG102" s="2842"/>
      <c r="AH102" s="2842"/>
      <c r="AI102" s="2842"/>
      <c r="AJ102" s="2842"/>
      <c r="AK102" s="2842"/>
      <c r="AL102" s="2842"/>
      <c r="AM102" s="2842"/>
      <c r="AN102" s="2842"/>
      <c r="AO102" s="2842"/>
      <c r="AP102" s="2842"/>
      <c r="AQ102" s="2842"/>
      <c r="AR102" s="2842"/>
      <c r="AS102" s="2842"/>
      <c r="BA102" s="1488"/>
    </row>
    <row r="103" spans="2:55" ht="13" hidden="1" customHeight="1">
      <c r="C103" s="1470"/>
      <c r="N103" s="2829"/>
      <c r="O103" s="2829"/>
      <c r="P103" s="2829"/>
      <c r="Q103" s="2829"/>
      <c r="R103" s="2829"/>
      <c r="S103" s="2829"/>
      <c r="T103" s="2829"/>
      <c r="U103" s="2829"/>
      <c r="V103" s="2829"/>
      <c r="W103" s="2829"/>
      <c r="X103" s="2829"/>
      <c r="Y103" s="2829"/>
      <c r="Z103" s="2829"/>
      <c r="AA103" s="2829"/>
      <c r="AB103" s="2829"/>
      <c r="AC103" s="2829"/>
      <c r="AD103" s="2829"/>
      <c r="AE103" s="2829"/>
      <c r="AF103" s="2829"/>
      <c r="AG103" s="2829"/>
      <c r="AH103" s="2829"/>
      <c r="AI103" s="2829"/>
      <c r="AJ103" s="2829"/>
      <c r="AK103" s="2829"/>
      <c r="AL103" s="2829"/>
      <c r="AM103" s="2829"/>
      <c r="AN103" s="2829"/>
      <c r="AO103" s="2829"/>
      <c r="AP103" s="2829"/>
      <c r="AQ103" s="2829"/>
      <c r="AR103" s="2829"/>
      <c r="AS103" s="2829"/>
      <c r="AT103" s="2829"/>
    </row>
    <row r="104" spans="2:55" ht="13" hidden="1" customHeight="1">
      <c r="C104" s="1470"/>
      <c r="N104" s="2829"/>
      <c r="O104" s="2829"/>
      <c r="P104" s="2829"/>
      <c r="Q104" s="2829"/>
      <c r="R104" s="2829"/>
      <c r="S104" s="2829"/>
      <c r="T104" s="2829"/>
      <c r="U104" s="2829"/>
      <c r="V104" s="2829"/>
      <c r="W104" s="2829"/>
      <c r="X104" s="2829"/>
      <c r="Y104" s="2829"/>
      <c r="Z104" s="2829"/>
      <c r="AA104" s="2829"/>
      <c r="AB104" s="2829"/>
      <c r="AC104" s="2829"/>
      <c r="AD104" s="2829"/>
      <c r="AE104" s="2829"/>
      <c r="AF104" s="2829"/>
      <c r="AG104" s="2829"/>
      <c r="AH104" s="2829"/>
      <c r="AI104" s="2829"/>
      <c r="AJ104" s="2829"/>
      <c r="AK104" s="2829"/>
      <c r="AL104" s="2829"/>
      <c r="AM104" s="2829"/>
      <c r="AN104" s="2829"/>
      <c r="AO104" s="2829"/>
      <c r="AP104" s="2829"/>
      <c r="AQ104" s="2829"/>
      <c r="AR104" s="2829"/>
      <c r="AS104" s="2829"/>
      <c r="AT104" s="2829"/>
    </row>
    <row r="105" spans="2:55" ht="13" hidden="1" customHeight="1">
      <c r="C105" s="1470"/>
      <c r="N105" s="2829"/>
      <c r="O105" s="2829"/>
      <c r="P105" s="2829"/>
      <c r="Q105" s="2829"/>
      <c r="R105" s="2829"/>
      <c r="S105" s="2829"/>
      <c r="T105" s="2829"/>
      <c r="U105" s="2829"/>
      <c r="V105" s="2829"/>
      <c r="W105" s="2829"/>
      <c r="X105" s="2829"/>
      <c r="Y105" s="2829"/>
      <c r="Z105" s="2829"/>
      <c r="AA105" s="2829"/>
      <c r="AB105" s="2829"/>
      <c r="AC105" s="2829"/>
      <c r="AD105" s="2829"/>
      <c r="AE105" s="2829"/>
      <c r="AF105" s="2829"/>
      <c r="AG105" s="2829"/>
      <c r="AH105" s="2829"/>
      <c r="AI105" s="2829"/>
      <c r="AJ105" s="2829"/>
      <c r="AK105" s="2829"/>
      <c r="AL105" s="2829"/>
      <c r="AM105" s="2829"/>
      <c r="AN105" s="2829"/>
      <c r="AO105" s="2829"/>
      <c r="AP105" s="2829"/>
      <c r="AQ105" s="2829"/>
      <c r="AR105" s="2829"/>
      <c r="AS105" s="2829"/>
      <c r="AT105" s="2829"/>
    </row>
    <row r="106" spans="2:55" ht="13" hidden="1" customHeight="1">
      <c r="C106" s="1470"/>
      <c r="N106" s="2829"/>
      <c r="O106" s="2829"/>
      <c r="P106" s="2829"/>
      <c r="Q106" s="2829"/>
      <c r="R106" s="2829"/>
      <c r="S106" s="2829"/>
      <c r="T106" s="2829"/>
      <c r="U106" s="2829"/>
      <c r="V106" s="2829"/>
      <c r="W106" s="2829"/>
      <c r="X106" s="2829"/>
      <c r="Y106" s="2829"/>
      <c r="Z106" s="2829"/>
      <c r="AA106" s="2829"/>
      <c r="AB106" s="2829"/>
      <c r="AC106" s="2829"/>
      <c r="AD106" s="2829"/>
      <c r="AE106" s="2829"/>
      <c r="AF106" s="2829"/>
      <c r="AG106" s="2829"/>
      <c r="AH106" s="2829"/>
      <c r="AI106" s="2829"/>
      <c r="AJ106" s="2829"/>
      <c r="AK106" s="2829"/>
      <c r="AL106" s="2829"/>
      <c r="AM106" s="2829"/>
      <c r="AN106" s="2829"/>
      <c r="AO106" s="2829"/>
      <c r="AP106" s="2829"/>
      <c r="AQ106" s="2829"/>
      <c r="AR106" s="2829"/>
      <c r="AS106" s="2829"/>
      <c r="AT106" s="2829"/>
    </row>
    <row r="107" spans="2:55" ht="3.75" customHeight="1" collapsed="1"/>
    <row r="108" spans="2:55" ht="4.5" customHeight="1"/>
    <row r="109" spans="2:55" ht="6" customHeight="1">
      <c r="AZ109" s="1492"/>
      <c r="BA109" s="1492"/>
      <c r="BB109" s="1492"/>
      <c r="BC109" s="1492"/>
    </row>
    <row r="110" spans="2:55" ht="12" customHeight="1">
      <c r="B110" s="1461" t="s">
        <v>442</v>
      </c>
      <c r="L110" s="1461" t="s">
        <v>443</v>
      </c>
      <c r="AM110" s="1461" t="s">
        <v>913</v>
      </c>
      <c r="AZ110" s="1493"/>
      <c r="BA110" s="1492"/>
      <c r="BB110" s="1492"/>
      <c r="BC110" s="1492"/>
    </row>
    <row r="111" spans="2:55" ht="6" customHeight="1">
      <c r="AZ111" s="1492"/>
      <c r="BA111" s="1492"/>
      <c r="BB111" s="1492"/>
      <c r="BC111" s="1492"/>
    </row>
    <row r="112" spans="2:55" ht="6" customHeight="1">
      <c r="AZ112" s="1492"/>
      <c r="BA112" s="1492"/>
      <c r="BB112" s="1492"/>
      <c r="BC112" s="1492"/>
    </row>
    <row r="113" spans="2:55" ht="12" customHeight="1">
      <c r="C113" s="2793"/>
      <c r="D113" s="2793"/>
      <c r="E113" s="1494"/>
      <c r="F113" s="1461" t="s">
        <v>12</v>
      </c>
      <c r="G113" s="1494"/>
      <c r="H113" s="1461" t="s">
        <v>383</v>
      </c>
      <c r="I113" s="1494"/>
      <c r="J113" s="1461" t="s">
        <v>399</v>
      </c>
      <c r="L113" s="2844"/>
      <c r="M113" s="2844"/>
      <c r="N113" s="2844"/>
      <c r="O113" s="2844"/>
      <c r="P113" s="2844"/>
      <c r="Q113" s="2844"/>
      <c r="R113" s="2844"/>
      <c r="S113" s="2844"/>
      <c r="T113" s="2844"/>
      <c r="U113" s="2844"/>
      <c r="V113" s="2844"/>
      <c r="W113" s="2844"/>
      <c r="X113" s="2844"/>
      <c r="Y113" s="2844"/>
      <c r="Z113" s="2844"/>
      <c r="AA113" s="2844"/>
      <c r="AB113" s="2844"/>
      <c r="AC113" s="2844"/>
      <c r="AD113" s="2844"/>
      <c r="AE113" s="2844"/>
      <c r="AF113" s="2844"/>
      <c r="AG113" s="2844"/>
      <c r="AH113" s="2844"/>
      <c r="AI113" s="2844"/>
      <c r="AJ113" s="2844"/>
      <c r="AK113" s="2844"/>
      <c r="AN113" s="2845"/>
      <c r="AO113" s="2845"/>
      <c r="AP113" s="2845"/>
      <c r="AQ113" s="2845"/>
      <c r="AR113" s="2845"/>
      <c r="AZ113" s="1493"/>
      <c r="BA113" s="1492"/>
      <c r="BB113" s="1492"/>
      <c r="BC113" s="1492"/>
    </row>
    <row r="114" spans="2:55" ht="6" customHeight="1">
      <c r="L114" s="2844"/>
      <c r="M114" s="2844"/>
      <c r="N114" s="2844"/>
      <c r="O114" s="2844"/>
      <c r="P114" s="2844"/>
      <c r="Q114" s="2844"/>
      <c r="R114" s="2844"/>
      <c r="S114" s="2844"/>
      <c r="T114" s="2844"/>
      <c r="U114" s="2844"/>
      <c r="V114" s="2844"/>
      <c r="W114" s="2844"/>
      <c r="X114" s="2844"/>
      <c r="Y114" s="2844"/>
      <c r="Z114" s="2844"/>
      <c r="AA114" s="2844"/>
      <c r="AB114" s="2844"/>
      <c r="AC114" s="2844"/>
      <c r="AD114" s="2844"/>
      <c r="AE114" s="2844"/>
      <c r="AF114" s="2844"/>
      <c r="AG114" s="2844"/>
      <c r="AH114" s="2844"/>
      <c r="AI114" s="2844"/>
      <c r="AJ114" s="2844"/>
      <c r="AK114" s="2844"/>
      <c r="AN114" s="2845"/>
      <c r="AO114" s="2845"/>
      <c r="AP114" s="2845"/>
      <c r="AQ114" s="2845"/>
      <c r="AR114" s="2845"/>
      <c r="AZ114" s="1492"/>
      <c r="BA114" s="1492"/>
      <c r="BB114" s="1492"/>
      <c r="BC114" s="1492"/>
    </row>
    <row r="115" spans="2:55" ht="6" customHeight="1">
      <c r="L115" s="2844"/>
      <c r="M115" s="2844"/>
      <c r="N115" s="2844"/>
      <c r="O115" s="2844"/>
      <c r="P115" s="2844"/>
      <c r="Q115" s="2844"/>
      <c r="R115" s="2844"/>
      <c r="S115" s="2844"/>
      <c r="T115" s="2844"/>
      <c r="U115" s="2844"/>
      <c r="V115" s="2844"/>
      <c r="W115" s="2844"/>
      <c r="X115" s="2844"/>
      <c r="Y115" s="2844"/>
      <c r="Z115" s="2844"/>
      <c r="AA115" s="2844"/>
      <c r="AB115" s="2844"/>
      <c r="AC115" s="2844"/>
      <c r="AD115" s="2844"/>
      <c r="AE115" s="2844"/>
      <c r="AF115" s="2844"/>
      <c r="AG115" s="2844"/>
      <c r="AH115" s="2844"/>
      <c r="AI115" s="2844"/>
      <c r="AJ115" s="2844"/>
      <c r="AK115" s="2844"/>
      <c r="AN115" s="2845"/>
      <c r="AO115" s="2845"/>
      <c r="AP115" s="2845"/>
      <c r="AQ115" s="2845"/>
      <c r="AR115" s="2845"/>
      <c r="AZ115" s="1492"/>
      <c r="BA115" s="1492"/>
      <c r="BB115" s="1492"/>
      <c r="BC115" s="1492"/>
    </row>
    <row r="116" spans="2:55" ht="12" customHeight="1">
      <c r="C116" s="1488" t="s">
        <v>3</v>
      </c>
      <c r="D116" s="2845"/>
      <c r="E116" s="2845"/>
      <c r="F116" s="2845"/>
      <c r="G116" s="2845"/>
      <c r="H116" s="2845"/>
      <c r="I116" s="2845"/>
      <c r="J116" s="1461" t="s">
        <v>4</v>
      </c>
      <c r="L116" s="2844"/>
      <c r="M116" s="2844"/>
      <c r="N116" s="2844"/>
      <c r="O116" s="2844"/>
      <c r="P116" s="2844"/>
      <c r="Q116" s="2844"/>
      <c r="R116" s="2844"/>
      <c r="S116" s="2844"/>
      <c r="T116" s="2844"/>
      <c r="U116" s="2844"/>
      <c r="V116" s="2844"/>
      <c r="W116" s="2844"/>
      <c r="X116" s="2844"/>
      <c r="Y116" s="2844"/>
      <c r="Z116" s="2844"/>
      <c r="AA116" s="2844"/>
      <c r="AB116" s="2844"/>
      <c r="AC116" s="2844"/>
      <c r="AD116" s="2844"/>
      <c r="AE116" s="2844"/>
      <c r="AF116" s="2844"/>
      <c r="AG116" s="2844"/>
      <c r="AH116" s="2844"/>
      <c r="AI116" s="2844"/>
      <c r="AJ116" s="2844"/>
      <c r="AK116" s="2844"/>
      <c r="AN116" s="2845"/>
      <c r="AO116" s="2845"/>
      <c r="AP116" s="2845"/>
      <c r="AQ116" s="2845"/>
      <c r="AR116" s="2845"/>
      <c r="AZ116" s="1492"/>
      <c r="BA116" s="1492"/>
      <c r="BB116" s="1492"/>
      <c r="BC116" s="1492"/>
    </row>
    <row r="117" spans="2:55" ht="6" customHeight="1">
      <c r="L117" s="2844"/>
      <c r="M117" s="2844"/>
      <c r="N117" s="2844"/>
      <c r="O117" s="2844"/>
      <c r="P117" s="2844"/>
      <c r="Q117" s="2844"/>
      <c r="R117" s="2844"/>
      <c r="S117" s="2844"/>
      <c r="T117" s="2844"/>
      <c r="U117" s="2844"/>
      <c r="V117" s="2844"/>
      <c r="W117" s="2844"/>
      <c r="X117" s="2844"/>
      <c r="Y117" s="2844"/>
      <c r="Z117" s="2844"/>
      <c r="AA117" s="2844"/>
      <c r="AB117" s="2844"/>
      <c r="AC117" s="2844"/>
      <c r="AD117" s="2844"/>
      <c r="AE117" s="2844"/>
      <c r="AF117" s="2844"/>
      <c r="AG117" s="2844"/>
      <c r="AH117" s="2844"/>
      <c r="AI117" s="2844"/>
      <c r="AJ117" s="2844"/>
      <c r="AK117" s="2844"/>
      <c r="AN117" s="2845"/>
      <c r="AO117" s="2845"/>
      <c r="AP117" s="2845"/>
      <c r="AQ117" s="2845"/>
      <c r="AR117" s="2845"/>
      <c r="AZ117" s="1492"/>
    </row>
    <row r="118" spans="2:55" ht="6" customHeight="1">
      <c r="L118" s="2844"/>
      <c r="M118" s="2844"/>
      <c r="N118" s="2844"/>
      <c r="O118" s="2844"/>
      <c r="P118" s="2844"/>
      <c r="Q118" s="2844"/>
      <c r="R118" s="2844"/>
      <c r="S118" s="2844"/>
      <c r="T118" s="2844"/>
      <c r="U118" s="2844"/>
      <c r="V118" s="2844"/>
      <c r="W118" s="2844"/>
      <c r="X118" s="2844"/>
      <c r="Y118" s="2844"/>
      <c r="Z118" s="2844"/>
      <c r="AA118" s="2844"/>
      <c r="AB118" s="2844"/>
      <c r="AC118" s="2844"/>
      <c r="AD118" s="2844"/>
      <c r="AE118" s="2844"/>
      <c r="AF118" s="2844"/>
      <c r="AG118" s="2844"/>
      <c r="AH118" s="2844"/>
      <c r="AI118" s="2844"/>
      <c r="AJ118" s="2844"/>
      <c r="AK118" s="2844"/>
      <c r="AN118" s="2845"/>
      <c r="AO118" s="2845"/>
      <c r="AP118" s="2845"/>
      <c r="AQ118" s="2845"/>
      <c r="AR118" s="2845"/>
      <c r="AZ118" s="1492"/>
    </row>
    <row r="119" spans="2:55" ht="12" customHeight="1">
      <c r="C119" s="1488" t="s">
        <v>444</v>
      </c>
      <c r="F119" s="1495"/>
      <c r="G119" s="2846"/>
      <c r="H119" s="2846"/>
      <c r="I119" s="2846"/>
      <c r="J119" s="2846"/>
      <c r="L119" s="2844"/>
      <c r="M119" s="2844"/>
      <c r="N119" s="2844"/>
      <c r="O119" s="2844"/>
      <c r="P119" s="2844"/>
      <c r="Q119" s="2844"/>
      <c r="R119" s="2844"/>
      <c r="S119" s="2844"/>
      <c r="T119" s="2844"/>
      <c r="U119" s="2844"/>
      <c r="V119" s="2844"/>
      <c r="W119" s="2844"/>
      <c r="X119" s="2844"/>
      <c r="Y119" s="2844"/>
      <c r="Z119" s="2844"/>
      <c r="AA119" s="2844"/>
      <c r="AB119" s="2844"/>
      <c r="AC119" s="2844"/>
      <c r="AD119" s="2844"/>
      <c r="AE119" s="2844"/>
      <c r="AF119" s="2844"/>
      <c r="AG119" s="2844"/>
      <c r="AH119" s="2844"/>
      <c r="AI119" s="2844"/>
      <c r="AJ119" s="2844"/>
      <c r="AK119" s="2844"/>
      <c r="AN119" s="2845"/>
      <c r="AO119" s="2845"/>
      <c r="AP119" s="2845"/>
      <c r="AQ119" s="2845"/>
      <c r="AR119" s="2845"/>
      <c r="AS119" s="2847"/>
      <c r="AZ119" s="1492"/>
    </row>
    <row r="120" spans="2:55" ht="6" customHeight="1">
      <c r="AS120" s="2847"/>
      <c r="AZ120" s="1492"/>
    </row>
    <row r="121" spans="2:55" ht="5.25" customHeight="1">
      <c r="C121" s="1468"/>
      <c r="AS121" s="1487"/>
      <c r="AZ121" s="1492"/>
    </row>
    <row r="122" spans="2:55" ht="12" hidden="1" customHeight="1">
      <c r="AZ122" s="1492"/>
    </row>
    <row r="123" spans="2:55" ht="12" hidden="1" customHeight="1">
      <c r="B123" s="1496"/>
      <c r="C123" s="1496"/>
      <c r="D123" s="1496"/>
      <c r="E123" s="1496"/>
      <c r="F123" s="1496"/>
      <c r="G123" s="1496"/>
      <c r="H123" s="1496"/>
      <c r="I123" s="1496"/>
      <c r="J123" s="1496"/>
      <c r="K123" s="1496"/>
      <c r="L123" s="1496"/>
      <c r="M123" s="1496"/>
      <c r="N123" s="1496"/>
      <c r="O123" s="1496"/>
      <c r="P123" s="1496"/>
      <c r="Q123" s="1496"/>
      <c r="R123" s="1496"/>
      <c r="S123" s="1496"/>
      <c r="T123" s="1496"/>
      <c r="U123" s="1496"/>
      <c r="V123" s="1496"/>
      <c r="W123" s="1496"/>
      <c r="X123" s="1496"/>
      <c r="Y123" s="1496"/>
      <c r="Z123" s="1496"/>
      <c r="AA123" s="1496"/>
      <c r="AB123" s="1496"/>
      <c r="AC123" s="1496"/>
      <c r="AD123" s="1496"/>
      <c r="AE123" s="1496"/>
      <c r="AF123" s="1496"/>
      <c r="AG123" s="1496"/>
      <c r="AH123" s="1496"/>
      <c r="AI123" s="1496"/>
      <c r="AJ123" s="1496"/>
      <c r="AK123" s="1496"/>
      <c r="AL123" s="1496"/>
      <c r="AM123" s="1496"/>
      <c r="AN123" s="1496"/>
      <c r="AO123" s="1496"/>
      <c r="AP123" s="1496"/>
      <c r="AQ123" s="1496"/>
      <c r="AR123" s="1496"/>
      <c r="AS123" s="1496"/>
      <c r="AT123" s="1496"/>
      <c r="AZ123" s="1492"/>
    </row>
    <row r="124" spans="2:55" ht="12" hidden="1" customHeight="1">
      <c r="AZ124" s="1492"/>
    </row>
    <row r="125" spans="2:55" ht="12" hidden="1" customHeight="1">
      <c r="AZ125" s="1492"/>
    </row>
    <row r="126" spans="2:55" ht="12" hidden="1" customHeight="1">
      <c r="AZ126" s="1492"/>
    </row>
    <row r="127" spans="2:55" ht="12.75" hidden="1" customHeight="1">
      <c r="AZ127" s="1492"/>
    </row>
    <row r="128" spans="2:55" ht="13" customHeight="1">
      <c r="B128" s="2788" t="s">
        <v>1334</v>
      </c>
      <c r="C128" s="2788"/>
      <c r="D128" s="2788"/>
      <c r="E128" s="2788"/>
      <c r="F128" s="2788"/>
      <c r="G128" s="2788"/>
      <c r="H128" s="2788"/>
      <c r="I128" s="2788"/>
      <c r="J128" s="2788"/>
      <c r="K128" s="2788"/>
      <c r="L128" s="2788"/>
      <c r="M128" s="2788"/>
      <c r="N128" s="2788"/>
      <c r="O128" s="2788"/>
      <c r="P128" s="2788"/>
      <c r="Q128" s="2788"/>
      <c r="R128" s="2788"/>
      <c r="S128" s="2788"/>
      <c r="T128" s="2788"/>
      <c r="U128" s="2788"/>
      <c r="V128" s="2788"/>
      <c r="W128" s="2788"/>
      <c r="X128" s="2788"/>
      <c r="Y128" s="2788"/>
      <c r="Z128" s="2788"/>
      <c r="AA128" s="2788"/>
      <c r="AB128" s="2788"/>
      <c r="AC128" s="2788"/>
      <c r="AD128" s="2788"/>
      <c r="AE128" s="2788"/>
      <c r="AF128" s="2788"/>
      <c r="AG128" s="2788"/>
      <c r="AH128" s="2788"/>
      <c r="AI128" s="2788"/>
      <c r="AJ128" s="2788"/>
      <c r="AK128" s="2788"/>
      <c r="AL128" s="2788"/>
      <c r="AM128" s="2788"/>
      <c r="AN128" s="2788"/>
      <c r="AO128" s="2788"/>
      <c r="AP128" s="2788"/>
      <c r="AQ128" s="2788"/>
      <c r="AR128" s="2788"/>
      <c r="AS128" s="2788"/>
      <c r="AT128" s="2788"/>
      <c r="AU128" s="1497"/>
    </row>
    <row r="129" spans="1:58" ht="6" customHeight="1"/>
    <row r="130" spans="1:58" s="1498" customFormat="1" ht="14.25" customHeight="1">
      <c r="B130" s="1498" t="s">
        <v>1335</v>
      </c>
      <c r="AG130" s="1499"/>
      <c r="AH130" s="1499"/>
    </row>
    <row r="131" spans="1:58" s="1498" customFormat="1" ht="6" customHeight="1">
      <c r="AG131" s="1499"/>
      <c r="AH131" s="1499"/>
    </row>
    <row r="132" spans="1:58" s="1498" customFormat="1" ht="6" customHeight="1">
      <c r="A132" s="1499"/>
      <c r="B132" s="1500"/>
      <c r="C132" s="1499"/>
      <c r="D132" s="1499"/>
      <c r="E132" s="1499"/>
      <c r="F132" s="1499"/>
      <c r="G132" s="1499"/>
      <c r="H132" s="1499"/>
      <c r="I132" s="1499"/>
      <c r="J132" s="1499"/>
      <c r="K132" s="1499"/>
      <c r="L132" s="1499"/>
      <c r="M132" s="1499"/>
      <c r="N132" s="1499"/>
      <c r="O132" s="1499"/>
      <c r="P132" s="1499"/>
      <c r="Q132" s="1499"/>
      <c r="R132" s="1499"/>
      <c r="S132" s="1499"/>
      <c r="T132" s="1499"/>
      <c r="U132" s="1499"/>
      <c r="V132" s="1499"/>
      <c r="W132" s="1499"/>
      <c r="X132" s="1499"/>
      <c r="Y132" s="1499"/>
      <c r="Z132" s="1499"/>
      <c r="AA132" s="1499"/>
      <c r="AB132" s="1499"/>
      <c r="AC132" s="1499"/>
      <c r="AD132" s="1499"/>
      <c r="AE132" s="1499"/>
      <c r="AF132" s="1499"/>
      <c r="AG132" s="1499"/>
      <c r="AH132" s="1499"/>
      <c r="AI132" s="1499"/>
      <c r="AJ132" s="1499"/>
      <c r="AK132" s="1499"/>
      <c r="AL132" s="1499"/>
      <c r="AM132" s="1499"/>
      <c r="AN132" s="1499"/>
      <c r="AO132" s="1499"/>
      <c r="AP132" s="1499"/>
      <c r="AQ132" s="1499"/>
      <c r="AR132" s="1499"/>
      <c r="AS132" s="1499"/>
      <c r="AT132" s="1499"/>
      <c r="AU132" s="1499"/>
      <c r="AV132" s="1499"/>
    </row>
    <row r="133" spans="1:58" s="1498" customFormat="1" ht="13" hidden="1" customHeight="1">
      <c r="A133" s="1499"/>
      <c r="C133" s="1501" t="s">
        <v>890</v>
      </c>
      <c r="D133" s="1502"/>
      <c r="E133" s="1502"/>
      <c r="F133" s="1502"/>
      <c r="G133" s="1502"/>
      <c r="H133" s="1502"/>
      <c r="I133" s="1503"/>
      <c r="J133" s="1504" t="s">
        <v>891</v>
      </c>
      <c r="K133" s="1505"/>
      <c r="L133" s="1505"/>
      <c r="M133" s="1505"/>
      <c r="N133" s="1505"/>
      <c r="O133" s="1505"/>
      <c r="P133" s="1505"/>
      <c r="Q133" s="1505"/>
      <c r="R133" s="1506"/>
      <c r="S133" s="1506"/>
      <c r="T133" s="1506"/>
      <c r="U133" s="1507" t="str">
        <f>IF('1_入力シート【基本情報】'!DP139="レ","レ",IF('1_入力シート【基本情報】'!DO139="レ","レ",""))</f>
        <v/>
      </c>
      <c r="V133" s="1505" t="s">
        <v>892</v>
      </c>
      <c r="W133" s="1505"/>
      <c r="X133" s="1505"/>
      <c r="Y133" s="1505"/>
      <c r="Z133" s="1505"/>
      <c r="AA133" s="1505"/>
      <c r="AB133" s="1506"/>
      <c r="AC133" s="1505" t="s">
        <v>467</v>
      </c>
      <c r="AD133" s="1507">
        <f>'1_入力シート【基本情報】'!DP139</f>
        <v>0</v>
      </c>
      <c r="AE133" s="1505" t="s">
        <v>893</v>
      </c>
      <c r="AF133" s="1505"/>
      <c r="AG133" s="1505"/>
      <c r="AH133" s="1505"/>
      <c r="AI133" s="1505"/>
      <c r="AJ133" s="1506"/>
      <c r="AK133" s="1505"/>
      <c r="AL133" s="1505"/>
      <c r="AM133" s="1505"/>
      <c r="AN133" s="1505"/>
      <c r="AO133" s="1505"/>
      <c r="AP133" s="1505"/>
      <c r="AQ133" s="1505"/>
      <c r="AR133" s="1505"/>
      <c r="AS133" s="1508"/>
      <c r="AT133" s="1509"/>
      <c r="AU133" s="1509"/>
      <c r="AV133" s="1509"/>
      <c r="AW133" s="1499"/>
      <c r="AX133" s="1499"/>
    </row>
    <row r="134" spans="1:58" s="1498" customFormat="1" ht="13" hidden="1" customHeight="1">
      <c r="A134" s="1499"/>
      <c r="C134" s="1510" t="s">
        <v>894</v>
      </c>
      <c r="D134" s="1511"/>
      <c r="E134" s="1511"/>
      <c r="F134" s="1511"/>
      <c r="G134" s="1511"/>
      <c r="H134" s="1511"/>
      <c r="I134" s="1512"/>
      <c r="J134" s="1513"/>
      <c r="K134" s="1491"/>
      <c r="L134" s="1491"/>
      <c r="M134" s="1491"/>
      <c r="N134" s="1491"/>
      <c r="O134" s="1491"/>
      <c r="P134" s="1491"/>
      <c r="Q134" s="1491"/>
      <c r="R134" s="1491"/>
      <c r="S134" s="1491"/>
      <c r="T134" s="1491"/>
      <c r="U134" s="1514" t="str">
        <f>IF(OR('1_入力シート【基本情報】'!DN139="レ",'1_入力シート【基本情報】'!DM139="レ"),"レ","")</f>
        <v/>
      </c>
      <c r="V134" s="1491" t="s">
        <v>903</v>
      </c>
      <c r="W134" s="1491"/>
      <c r="X134" s="1491"/>
      <c r="Y134" s="1491"/>
      <c r="Z134" s="1491"/>
      <c r="AA134" s="1491"/>
      <c r="AB134" s="1491"/>
      <c r="AC134" s="1491"/>
      <c r="AD134" s="1491"/>
      <c r="AE134" s="1491"/>
      <c r="AF134" s="1491"/>
      <c r="AG134" s="1491"/>
      <c r="AH134" s="1491"/>
      <c r="AI134" s="1491"/>
      <c r="AJ134" s="1491"/>
      <c r="AK134" s="1491"/>
      <c r="AL134" s="1491"/>
      <c r="AM134" s="1491"/>
      <c r="AN134" s="1491"/>
      <c r="AO134" s="1491"/>
      <c r="AP134" s="1491"/>
      <c r="AQ134" s="1491"/>
      <c r="AR134" s="1491"/>
      <c r="AS134" s="1515"/>
      <c r="AT134" s="1509"/>
      <c r="AU134" s="1509"/>
      <c r="AV134" s="1509"/>
      <c r="AW134" s="1516"/>
      <c r="AX134" s="1499"/>
      <c r="BC134" s="1517"/>
    </row>
    <row r="135" spans="1:58" s="1498" customFormat="1" ht="13" customHeight="1">
      <c r="A135" s="1499"/>
      <c r="C135" s="2819" t="s">
        <v>895</v>
      </c>
      <c r="D135" s="2820"/>
      <c r="E135" s="2820"/>
      <c r="F135" s="2820"/>
      <c r="G135" s="2820"/>
      <c r="H135" s="2820"/>
      <c r="I135" s="2821"/>
      <c r="J135" s="2802" t="str">
        <f>SUBSTITUTE(TRIM('1_入力シート【基本情報】'!DY304&amp;"　"&amp;'1_入力シート【基本情報】'!DY322&amp;"　"&amp;'1_入力シート【基本情報】'!DY349&amp;"　"&amp;'1_入力シート【基本情報】'!DY367&amp;"　"&amp;'1_入力シート【基本情報】'!DY490&amp;"　"&amp;'1_入力シート【基本情報】'!DY423&amp;"　"&amp;'1_入力シート【基本情報】'!DY472),"　","　/　")</f>
        <v/>
      </c>
      <c r="K135" s="2848"/>
      <c r="L135" s="2848"/>
      <c r="M135" s="2848"/>
      <c r="N135" s="2848"/>
      <c r="O135" s="2848"/>
      <c r="P135" s="2849"/>
      <c r="Q135" s="2849"/>
      <c r="R135" s="2849"/>
      <c r="S135" s="2849"/>
      <c r="T135" s="2849"/>
      <c r="U135" s="2849"/>
      <c r="V135" s="2849"/>
      <c r="W135" s="2849"/>
      <c r="X135" s="2849"/>
      <c r="Y135" s="2849"/>
      <c r="Z135" s="2849"/>
      <c r="AA135" s="2849"/>
      <c r="AB135" s="2849"/>
      <c r="AC135" s="2849"/>
      <c r="AD135" s="2849"/>
      <c r="AE135" s="2849"/>
      <c r="AF135" s="2849"/>
      <c r="AG135" s="2849"/>
      <c r="AH135" s="2849"/>
      <c r="AI135" s="2849"/>
      <c r="AJ135" s="2849"/>
      <c r="AK135" s="2849"/>
      <c r="AL135" s="2849"/>
      <c r="AM135" s="2849"/>
      <c r="AN135" s="2849"/>
      <c r="AO135" s="2849"/>
      <c r="AP135" s="2849"/>
      <c r="AQ135" s="2849"/>
      <c r="AR135" s="2849"/>
      <c r="AS135" s="2850"/>
      <c r="AT135" s="1509"/>
      <c r="AU135" s="1509"/>
      <c r="AV135" s="1509"/>
      <c r="AW135" s="1516"/>
      <c r="AX135" s="1499"/>
      <c r="BA135" s="931"/>
      <c r="BB135" s="1036"/>
      <c r="BC135" s="1036"/>
      <c r="BD135" s="1036"/>
      <c r="BE135" s="1036"/>
      <c r="BF135" s="1036"/>
    </row>
    <row r="136" spans="1:58" s="1498" customFormat="1" ht="13" customHeight="1">
      <c r="A136" s="1499"/>
      <c r="C136" s="1518"/>
      <c r="D136" s="1519"/>
      <c r="E136" s="1519"/>
      <c r="F136" s="1519"/>
      <c r="G136" s="1519"/>
      <c r="H136" s="1519"/>
      <c r="I136" s="1520"/>
      <c r="J136" s="2851"/>
      <c r="K136" s="2852"/>
      <c r="L136" s="2852"/>
      <c r="M136" s="2852"/>
      <c r="N136" s="2852"/>
      <c r="O136" s="2852"/>
      <c r="P136" s="2853"/>
      <c r="Q136" s="2853"/>
      <c r="R136" s="2853"/>
      <c r="S136" s="2853"/>
      <c r="T136" s="2853"/>
      <c r="U136" s="2853"/>
      <c r="V136" s="2853"/>
      <c r="W136" s="2853"/>
      <c r="X136" s="2853"/>
      <c r="Y136" s="2853"/>
      <c r="Z136" s="2853"/>
      <c r="AA136" s="2853"/>
      <c r="AB136" s="2853"/>
      <c r="AC136" s="2853"/>
      <c r="AD136" s="2853"/>
      <c r="AE136" s="2853"/>
      <c r="AF136" s="2853"/>
      <c r="AG136" s="2853"/>
      <c r="AH136" s="2853"/>
      <c r="AI136" s="2853"/>
      <c r="AJ136" s="2853"/>
      <c r="AK136" s="2853"/>
      <c r="AL136" s="2853"/>
      <c r="AM136" s="2853"/>
      <c r="AN136" s="2853"/>
      <c r="AO136" s="2853"/>
      <c r="AP136" s="2853"/>
      <c r="AQ136" s="2853"/>
      <c r="AR136" s="2853"/>
      <c r="AS136" s="2854"/>
      <c r="AT136" s="1509"/>
      <c r="AU136" s="1509"/>
      <c r="AV136" s="1509"/>
      <c r="AW136" s="1516"/>
      <c r="AX136" s="1499"/>
      <c r="BC136" s="1517"/>
    </row>
    <row r="137" spans="1:58" s="1498" customFormat="1" ht="13" customHeight="1">
      <c r="A137" s="1499"/>
      <c r="C137" s="1518"/>
      <c r="D137" s="1519"/>
      <c r="E137" s="1519"/>
      <c r="F137" s="1519"/>
      <c r="G137" s="1519"/>
      <c r="H137" s="1519"/>
      <c r="I137" s="1520"/>
      <c r="J137" s="2851"/>
      <c r="K137" s="2852"/>
      <c r="L137" s="2852"/>
      <c r="M137" s="2852"/>
      <c r="N137" s="2852"/>
      <c r="O137" s="2852"/>
      <c r="P137" s="2853"/>
      <c r="Q137" s="2853"/>
      <c r="R137" s="2853"/>
      <c r="S137" s="2853"/>
      <c r="T137" s="2853"/>
      <c r="U137" s="2853"/>
      <c r="V137" s="2853"/>
      <c r="W137" s="2853"/>
      <c r="X137" s="2853"/>
      <c r="Y137" s="2853"/>
      <c r="Z137" s="2853"/>
      <c r="AA137" s="2853"/>
      <c r="AB137" s="2853"/>
      <c r="AC137" s="2853"/>
      <c r="AD137" s="2853"/>
      <c r="AE137" s="2853"/>
      <c r="AF137" s="2853"/>
      <c r="AG137" s="2853"/>
      <c r="AH137" s="2853"/>
      <c r="AI137" s="2853"/>
      <c r="AJ137" s="2853"/>
      <c r="AK137" s="2853"/>
      <c r="AL137" s="2853"/>
      <c r="AM137" s="2853"/>
      <c r="AN137" s="2853"/>
      <c r="AO137" s="2853"/>
      <c r="AP137" s="2853"/>
      <c r="AQ137" s="2853"/>
      <c r="AR137" s="2853"/>
      <c r="AS137" s="2854"/>
      <c r="AT137" s="1509"/>
      <c r="AU137" s="1509"/>
      <c r="AV137" s="1509"/>
      <c r="AW137" s="1516"/>
      <c r="AX137" s="1499"/>
      <c r="BC137" s="1517"/>
    </row>
    <row r="138" spans="1:58" s="1498" customFormat="1" ht="13" customHeight="1">
      <c r="A138" s="1499"/>
      <c r="C138" s="1518"/>
      <c r="D138" s="1519"/>
      <c r="E138" s="1519"/>
      <c r="F138" s="1519"/>
      <c r="G138" s="1519"/>
      <c r="H138" s="1519"/>
      <c r="I138" s="1520"/>
      <c r="J138" s="2851"/>
      <c r="K138" s="2852"/>
      <c r="L138" s="2852"/>
      <c r="M138" s="2852"/>
      <c r="N138" s="2852"/>
      <c r="O138" s="2852"/>
      <c r="P138" s="2853"/>
      <c r="Q138" s="2853"/>
      <c r="R138" s="2853"/>
      <c r="S138" s="2853"/>
      <c r="T138" s="2853"/>
      <c r="U138" s="2853"/>
      <c r="V138" s="2853"/>
      <c r="W138" s="2853"/>
      <c r="X138" s="2853"/>
      <c r="Y138" s="2853"/>
      <c r="Z138" s="2853"/>
      <c r="AA138" s="2853"/>
      <c r="AB138" s="2853"/>
      <c r="AC138" s="2853"/>
      <c r="AD138" s="2853"/>
      <c r="AE138" s="2853"/>
      <c r="AF138" s="2853"/>
      <c r="AG138" s="2853"/>
      <c r="AH138" s="2853"/>
      <c r="AI138" s="2853"/>
      <c r="AJ138" s="2853"/>
      <c r="AK138" s="2853"/>
      <c r="AL138" s="2853"/>
      <c r="AM138" s="2853"/>
      <c r="AN138" s="2853"/>
      <c r="AO138" s="2853"/>
      <c r="AP138" s="2853"/>
      <c r="AQ138" s="2853"/>
      <c r="AR138" s="2853"/>
      <c r="AS138" s="2854"/>
      <c r="AT138" s="1509"/>
      <c r="AU138" s="1509"/>
      <c r="AV138" s="1509"/>
      <c r="AW138" s="1516"/>
      <c r="AX138" s="1499"/>
      <c r="BC138" s="1517"/>
    </row>
    <row r="139" spans="1:58" s="1498" customFormat="1" ht="13" customHeight="1">
      <c r="A139" s="1499"/>
      <c r="C139" s="1518"/>
      <c r="D139" s="1519"/>
      <c r="E139" s="1519"/>
      <c r="F139" s="1519"/>
      <c r="G139" s="1519"/>
      <c r="H139" s="1519"/>
      <c r="I139" s="1520"/>
      <c r="J139" s="2851"/>
      <c r="K139" s="2852"/>
      <c r="L139" s="2852"/>
      <c r="M139" s="2852"/>
      <c r="N139" s="2852"/>
      <c r="O139" s="2852"/>
      <c r="P139" s="2853"/>
      <c r="Q139" s="2853"/>
      <c r="R139" s="2853"/>
      <c r="S139" s="2853"/>
      <c r="T139" s="2853"/>
      <c r="U139" s="2853"/>
      <c r="V139" s="2853"/>
      <c r="W139" s="2853"/>
      <c r="X139" s="2853"/>
      <c r="Y139" s="2853"/>
      <c r="Z139" s="2853"/>
      <c r="AA139" s="2853"/>
      <c r="AB139" s="2853"/>
      <c r="AC139" s="2853"/>
      <c r="AD139" s="2853"/>
      <c r="AE139" s="2853"/>
      <c r="AF139" s="2853"/>
      <c r="AG139" s="2853"/>
      <c r="AH139" s="2853"/>
      <c r="AI139" s="2853"/>
      <c r="AJ139" s="2853"/>
      <c r="AK139" s="2853"/>
      <c r="AL139" s="2853"/>
      <c r="AM139" s="2853"/>
      <c r="AN139" s="2853"/>
      <c r="AO139" s="2853"/>
      <c r="AP139" s="2853"/>
      <c r="AQ139" s="2853"/>
      <c r="AR139" s="2853"/>
      <c r="AS139" s="2854"/>
      <c r="AT139" s="1509"/>
      <c r="AU139" s="1509"/>
      <c r="AV139" s="1509"/>
      <c r="AW139" s="1516"/>
      <c r="AX139" s="1499"/>
      <c r="BC139" s="1517"/>
    </row>
    <row r="140" spans="1:58" s="1498" customFormat="1" ht="13" customHeight="1">
      <c r="A140" s="1499"/>
      <c r="C140" s="1518"/>
      <c r="D140" s="1519"/>
      <c r="E140" s="1519"/>
      <c r="F140" s="1519"/>
      <c r="G140" s="1519"/>
      <c r="H140" s="1519"/>
      <c r="I140" s="1520"/>
      <c r="J140" s="2851"/>
      <c r="K140" s="2852"/>
      <c r="L140" s="2852"/>
      <c r="M140" s="2852"/>
      <c r="N140" s="2852"/>
      <c r="O140" s="2852"/>
      <c r="P140" s="2853"/>
      <c r="Q140" s="2853"/>
      <c r="R140" s="2853"/>
      <c r="S140" s="2853"/>
      <c r="T140" s="2853"/>
      <c r="U140" s="2853"/>
      <c r="V140" s="2853"/>
      <c r="W140" s="2853"/>
      <c r="X140" s="2853"/>
      <c r="Y140" s="2853"/>
      <c r="Z140" s="2853"/>
      <c r="AA140" s="2853"/>
      <c r="AB140" s="2853"/>
      <c r="AC140" s="2853"/>
      <c r="AD140" s="2853"/>
      <c r="AE140" s="2853"/>
      <c r="AF140" s="2853"/>
      <c r="AG140" s="2853"/>
      <c r="AH140" s="2853"/>
      <c r="AI140" s="2853"/>
      <c r="AJ140" s="2853"/>
      <c r="AK140" s="2853"/>
      <c r="AL140" s="2853"/>
      <c r="AM140" s="2853"/>
      <c r="AN140" s="2853"/>
      <c r="AO140" s="2853"/>
      <c r="AP140" s="2853"/>
      <c r="AQ140" s="2853"/>
      <c r="AR140" s="2853"/>
      <c r="AS140" s="2854"/>
      <c r="AT140" s="1509"/>
      <c r="AU140" s="1509"/>
      <c r="AV140" s="1509"/>
      <c r="AW140" s="1516"/>
      <c r="AX140" s="1499"/>
      <c r="BC140" s="1517"/>
    </row>
    <row r="141" spans="1:58" s="1498" customFormat="1" ht="13" customHeight="1">
      <c r="A141" s="1499"/>
      <c r="C141" s="1518"/>
      <c r="D141" s="1519"/>
      <c r="E141" s="1519"/>
      <c r="F141" s="1519"/>
      <c r="G141" s="1519"/>
      <c r="H141" s="1519"/>
      <c r="I141" s="1520"/>
      <c r="J141" s="2851"/>
      <c r="K141" s="2852"/>
      <c r="L141" s="2852"/>
      <c r="M141" s="2852"/>
      <c r="N141" s="2852"/>
      <c r="O141" s="2852"/>
      <c r="P141" s="2853"/>
      <c r="Q141" s="2853"/>
      <c r="R141" s="2853"/>
      <c r="S141" s="2853"/>
      <c r="T141" s="2853"/>
      <c r="U141" s="2853"/>
      <c r="V141" s="2853"/>
      <c r="W141" s="2853"/>
      <c r="X141" s="2853"/>
      <c r="Y141" s="2853"/>
      <c r="Z141" s="2853"/>
      <c r="AA141" s="2853"/>
      <c r="AB141" s="2853"/>
      <c r="AC141" s="2853"/>
      <c r="AD141" s="2853"/>
      <c r="AE141" s="2853"/>
      <c r="AF141" s="2853"/>
      <c r="AG141" s="2853"/>
      <c r="AH141" s="2853"/>
      <c r="AI141" s="2853"/>
      <c r="AJ141" s="2853"/>
      <c r="AK141" s="2853"/>
      <c r="AL141" s="2853"/>
      <c r="AM141" s="2853"/>
      <c r="AN141" s="2853"/>
      <c r="AO141" s="2853"/>
      <c r="AP141" s="2853"/>
      <c r="AQ141" s="2853"/>
      <c r="AR141" s="2853"/>
      <c r="AS141" s="2854"/>
      <c r="AT141" s="1509"/>
      <c r="AU141" s="1509"/>
      <c r="AV141" s="1509"/>
      <c r="AW141" s="1516"/>
      <c r="AX141" s="1499"/>
      <c r="BC141" s="1517"/>
    </row>
    <row r="142" spans="1:58" s="1498" customFormat="1" ht="13" customHeight="1">
      <c r="A142" s="1499"/>
      <c r="C142" s="1518"/>
      <c r="D142" s="1519"/>
      <c r="E142" s="1519"/>
      <c r="F142" s="1519"/>
      <c r="G142" s="1519"/>
      <c r="H142" s="1519"/>
      <c r="I142" s="1520"/>
      <c r="J142" s="2851"/>
      <c r="K142" s="2852"/>
      <c r="L142" s="2852"/>
      <c r="M142" s="2852"/>
      <c r="N142" s="2852"/>
      <c r="O142" s="2852"/>
      <c r="P142" s="2853"/>
      <c r="Q142" s="2853"/>
      <c r="R142" s="2853"/>
      <c r="S142" s="2853"/>
      <c r="T142" s="2853"/>
      <c r="U142" s="2853"/>
      <c r="V142" s="2853"/>
      <c r="W142" s="2853"/>
      <c r="X142" s="2853"/>
      <c r="Y142" s="2853"/>
      <c r="Z142" s="2853"/>
      <c r="AA142" s="2853"/>
      <c r="AB142" s="2853"/>
      <c r="AC142" s="2853"/>
      <c r="AD142" s="2853"/>
      <c r="AE142" s="2853"/>
      <c r="AF142" s="2853"/>
      <c r="AG142" s="2853"/>
      <c r="AH142" s="2853"/>
      <c r="AI142" s="2853"/>
      <c r="AJ142" s="2853"/>
      <c r="AK142" s="2853"/>
      <c r="AL142" s="2853"/>
      <c r="AM142" s="2853"/>
      <c r="AN142" s="2853"/>
      <c r="AO142" s="2853"/>
      <c r="AP142" s="2853"/>
      <c r="AQ142" s="2853"/>
      <c r="AR142" s="2853"/>
      <c r="AS142" s="2854"/>
      <c r="AT142" s="1509"/>
      <c r="AU142" s="1509"/>
      <c r="AV142" s="1509"/>
      <c r="AW142" s="1516"/>
      <c r="AX142" s="1499"/>
      <c r="BC142" s="1517"/>
    </row>
    <row r="143" spans="1:58" s="1498" customFormat="1" ht="13" customHeight="1">
      <c r="A143" s="1499"/>
      <c r="C143" s="1518"/>
      <c r="D143" s="1519"/>
      <c r="E143" s="1519"/>
      <c r="F143" s="1519"/>
      <c r="G143" s="1519"/>
      <c r="H143" s="1519"/>
      <c r="I143" s="1520"/>
      <c r="J143" s="2851"/>
      <c r="K143" s="2852"/>
      <c r="L143" s="2852"/>
      <c r="M143" s="2852"/>
      <c r="N143" s="2852"/>
      <c r="O143" s="2852"/>
      <c r="P143" s="2853"/>
      <c r="Q143" s="2853"/>
      <c r="R143" s="2853"/>
      <c r="S143" s="2853"/>
      <c r="T143" s="2853"/>
      <c r="U143" s="2853"/>
      <c r="V143" s="2853"/>
      <c r="W143" s="2853"/>
      <c r="X143" s="2853"/>
      <c r="Y143" s="2853"/>
      <c r="Z143" s="2853"/>
      <c r="AA143" s="2853"/>
      <c r="AB143" s="2853"/>
      <c r="AC143" s="2853"/>
      <c r="AD143" s="2853"/>
      <c r="AE143" s="2853"/>
      <c r="AF143" s="2853"/>
      <c r="AG143" s="2853"/>
      <c r="AH143" s="2853"/>
      <c r="AI143" s="2853"/>
      <c r="AJ143" s="2853"/>
      <c r="AK143" s="2853"/>
      <c r="AL143" s="2853"/>
      <c r="AM143" s="2853"/>
      <c r="AN143" s="2853"/>
      <c r="AO143" s="2853"/>
      <c r="AP143" s="2853"/>
      <c r="AQ143" s="2853"/>
      <c r="AR143" s="2853"/>
      <c r="AS143" s="2854"/>
      <c r="AT143" s="1509"/>
      <c r="AU143" s="1509"/>
      <c r="AV143" s="1509"/>
      <c r="AW143" s="1516"/>
      <c r="AX143" s="1499"/>
      <c r="BC143" s="1517"/>
    </row>
    <row r="144" spans="1:58" s="1498" customFormat="1" ht="13" customHeight="1">
      <c r="A144" s="1499"/>
      <c r="C144" s="1518"/>
      <c r="D144" s="1519"/>
      <c r="E144" s="1519"/>
      <c r="F144" s="1519"/>
      <c r="G144" s="1519"/>
      <c r="H144" s="1519"/>
      <c r="I144" s="1520"/>
      <c r="J144" s="2851"/>
      <c r="K144" s="2852"/>
      <c r="L144" s="2852"/>
      <c r="M144" s="2852"/>
      <c r="N144" s="2852"/>
      <c r="O144" s="2852"/>
      <c r="P144" s="2853"/>
      <c r="Q144" s="2853"/>
      <c r="R144" s="2853"/>
      <c r="S144" s="2853"/>
      <c r="T144" s="2853"/>
      <c r="U144" s="2853"/>
      <c r="V144" s="2853"/>
      <c r="W144" s="2853"/>
      <c r="X144" s="2853"/>
      <c r="Y144" s="2853"/>
      <c r="Z144" s="2853"/>
      <c r="AA144" s="2853"/>
      <c r="AB144" s="2853"/>
      <c r="AC144" s="2853"/>
      <c r="AD144" s="2853"/>
      <c r="AE144" s="2853"/>
      <c r="AF144" s="2853"/>
      <c r="AG144" s="2853"/>
      <c r="AH144" s="2853"/>
      <c r="AI144" s="2853"/>
      <c r="AJ144" s="2853"/>
      <c r="AK144" s="2853"/>
      <c r="AL144" s="2853"/>
      <c r="AM144" s="2853"/>
      <c r="AN144" s="2853"/>
      <c r="AO144" s="2853"/>
      <c r="AP144" s="2853"/>
      <c r="AQ144" s="2853"/>
      <c r="AR144" s="2853"/>
      <c r="AS144" s="2854"/>
      <c r="AT144" s="1509"/>
      <c r="AU144" s="1509"/>
      <c r="AV144" s="1509"/>
      <c r="AW144" s="1516"/>
      <c r="AX144" s="1499"/>
      <c r="BC144" s="1517"/>
    </row>
    <row r="145" spans="1:55" s="1498" customFormat="1" ht="13" customHeight="1">
      <c r="A145" s="1499"/>
      <c r="C145" s="1518"/>
      <c r="D145" s="1519"/>
      <c r="E145" s="1519"/>
      <c r="F145" s="1519"/>
      <c r="G145" s="1519"/>
      <c r="H145" s="1519"/>
      <c r="I145" s="1520"/>
      <c r="J145" s="2851"/>
      <c r="K145" s="2852"/>
      <c r="L145" s="2852"/>
      <c r="M145" s="2852"/>
      <c r="N145" s="2852"/>
      <c r="O145" s="2852"/>
      <c r="P145" s="2853"/>
      <c r="Q145" s="2853"/>
      <c r="R145" s="2853"/>
      <c r="S145" s="2853"/>
      <c r="T145" s="2853"/>
      <c r="U145" s="2853"/>
      <c r="V145" s="2853"/>
      <c r="W145" s="2853"/>
      <c r="X145" s="2853"/>
      <c r="Y145" s="2853"/>
      <c r="Z145" s="2853"/>
      <c r="AA145" s="2853"/>
      <c r="AB145" s="2853"/>
      <c r="AC145" s="2853"/>
      <c r="AD145" s="2853"/>
      <c r="AE145" s="2853"/>
      <c r="AF145" s="2853"/>
      <c r="AG145" s="2853"/>
      <c r="AH145" s="2853"/>
      <c r="AI145" s="2853"/>
      <c r="AJ145" s="2853"/>
      <c r="AK145" s="2853"/>
      <c r="AL145" s="2853"/>
      <c r="AM145" s="2853"/>
      <c r="AN145" s="2853"/>
      <c r="AO145" s="2853"/>
      <c r="AP145" s="2853"/>
      <c r="AQ145" s="2853"/>
      <c r="AR145" s="2853"/>
      <c r="AS145" s="2854"/>
      <c r="AT145" s="1509"/>
      <c r="AU145" s="1509"/>
      <c r="AV145" s="1509"/>
      <c r="AW145" s="1516"/>
      <c r="AX145" s="1499"/>
      <c r="BC145" s="1517"/>
    </row>
    <row r="146" spans="1:55" s="1498" customFormat="1" ht="13" customHeight="1">
      <c r="A146" s="1499"/>
      <c r="C146" s="1518"/>
      <c r="D146" s="1519"/>
      <c r="E146" s="1519"/>
      <c r="F146" s="1519"/>
      <c r="G146" s="1519"/>
      <c r="H146" s="1519"/>
      <c r="I146" s="1520"/>
      <c r="J146" s="2851"/>
      <c r="K146" s="2852"/>
      <c r="L146" s="2852"/>
      <c r="M146" s="2852"/>
      <c r="N146" s="2852"/>
      <c r="O146" s="2852"/>
      <c r="P146" s="2853"/>
      <c r="Q146" s="2853"/>
      <c r="R146" s="2853"/>
      <c r="S146" s="2853"/>
      <c r="T146" s="2853"/>
      <c r="U146" s="2853"/>
      <c r="V146" s="2853"/>
      <c r="W146" s="2853"/>
      <c r="X146" s="2853"/>
      <c r="Y146" s="2853"/>
      <c r="Z146" s="2853"/>
      <c r="AA146" s="2853"/>
      <c r="AB146" s="2853"/>
      <c r="AC146" s="2853"/>
      <c r="AD146" s="2853"/>
      <c r="AE146" s="2853"/>
      <c r="AF146" s="2853"/>
      <c r="AG146" s="2853"/>
      <c r="AH146" s="2853"/>
      <c r="AI146" s="2853"/>
      <c r="AJ146" s="2853"/>
      <c r="AK146" s="2853"/>
      <c r="AL146" s="2853"/>
      <c r="AM146" s="2853"/>
      <c r="AN146" s="2853"/>
      <c r="AO146" s="2853"/>
      <c r="AP146" s="2853"/>
      <c r="AQ146" s="2853"/>
      <c r="AR146" s="2853"/>
      <c r="AS146" s="2854"/>
      <c r="AT146" s="1509"/>
      <c r="AU146" s="1509"/>
      <c r="AV146" s="1509"/>
      <c r="AW146" s="1516"/>
      <c r="AX146" s="1499"/>
      <c r="BC146" s="1517"/>
    </row>
    <row r="147" spans="1:55" s="1498" customFormat="1" ht="13" customHeight="1">
      <c r="A147" s="1499"/>
      <c r="C147" s="1518"/>
      <c r="D147" s="1519"/>
      <c r="E147" s="1519"/>
      <c r="F147" s="1519"/>
      <c r="G147" s="1519"/>
      <c r="H147" s="1519"/>
      <c r="I147" s="1520"/>
      <c r="J147" s="2851"/>
      <c r="K147" s="2852"/>
      <c r="L147" s="2852"/>
      <c r="M147" s="2852"/>
      <c r="N147" s="2852"/>
      <c r="O147" s="2852"/>
      <c r="P147" s="2853"/>
      <c r="Q147" s="2853"/>
      <c r="R147" s="2853"/>
      <c r="S147" s="2853"/>
      <c r="T147" s="2853"/>
      <c r="U147" s="2853"/>
      <c r="V147" s="2853"/>
      <c r="W147" s="2853"/>
      <c r="X147" s="2853"/>
      <c r="Y147" s="2853"/>
      <c r="Z147" s="2853"/>
      <c r="AA147" s="2853"/>
      <c r="AB147" s="2853"/>
      <c r="AC147" s="2853"/>
      <c r="AD147" s="2853"/>
      <c r="AE147" s="2853"/>
      <c r="AF147" s="2853"/>
      <c r="AG147" s="2853"/>
      <c r="AH147" s="2853"/>
      <c r="AI147" s="2853"/>
      <c r="AJ147" s="2853"/>
      <c r="AK147" s="2853"/>
      <c r="AL147" s="2853"/>
      <c r="AM147" s="2853"/>
      <c r="AN147" s="2853"/>
      <c r="AO147" s="2853"/>
      <c r="AP147" s="2853"/>
      <c r="AQ147" s="2853"/>
      <c r="AR147" s="2853"/>
      <c r="AS147" s="2854"/>
      <c r="AT147" s="1509"/>
      <c r="AU147" s="1509"/>
      <c r="AV147" s="1509"/>
      <c r="AW147" s="1516"/>
      <c r="AX147" s="1499"/>
      <c r="BC147" s="1517"/>
    </row>
    <row r="148" spans="1:55" s="1498" customFormat="1" ht="12.75" customHeight="1">
      <c r="A148" s="1499"/>
      <c r="C148" s="1513"/>
      <c r="D148" s="1491"/>
      <c r="E148" s="1491"/>
      <c r="F148" s="1491"/>
      <c r="G148" s="1491"/>
      <c r="H148" s="1491"/>
      <c r="I148" s="1512"/>
      <c r="J148" s="2855"/>
      <c r="K148" s="2856"/>
      <c r="L148" s="2856"/>
      <c r="M148" s="2856"/>
      <c r="N148" s="2856"/>
      <c r="O148" s="2856"/>
      <c r="P148" s="2856"/>
      <c r="Q148" s="2856"/>
      <c r="R148" s="2856"/>
      <c r="S148" s="2856"/>
      <c r="T148" s="2856"/>
      <c r="U148" s="2856"/>
      <c r="V148" s="2856"/>
      <c r="W148" s="2856"/>
      <c r="X148" s="2856"/>
      <c r="Y148" s="2856"/>
      <c r="Z148" s="2856"/>
      <c r="AA148" s="2856"/>
      <c r="AB148" s="2856"/>
      <c r="AC148" s="2856"/>
      <c r="AD148" s="2856"/>
      <c r="AE148" s="2856"/>
      <c r="AF148" s="2856"/>
      <c r="AG148" s="2856"/>
      <c r="AH148" s="2856"/>
      <c r="AI148" s="2856"/>
      <c r="AJ148" s="2856"/>
      <c r="AK148" s="2856"/>
      <c r="AL148" s="2856"/>
      <c r="AM148" s="2856"/>
      <c r="AN148" s="2856"/>
      <c r="AO148" s="2856"/>
      <c r="AP148" s="2856"/>
      <c r="AQ148" s="2856"/>
      <c r="AR148" s="2856"/>
      <c r="AS148" s="2854"/>
      <c r="AT148" s="1509"/>
      <c r="AU148" s="1509"/>
      <c r="AV148" s="1509"/>
      <c r="AW148" s="1516"/>
      <c r="AX148" s="1499"/>
      <c r="BC148" s="1517"/>
    </row>
    <row r="149" spans="1:55" s="1498" customFormat="1" ht="13" customHeight="1">
      <c r="A149" s="1499"/>
      <c r="C149" s="1513"/>
      <c r="D149" s="1491"/>
      <c r="E149" s="1491"/>
      <c r="F149" s="1491"/>
      <c r="G149" s="1491"/>
      <c r="H149" s="1491"/>
      <c r="I149" s="1512"/>
      <c r="J149" s="2855"/>
      <c r="K149" s="2856"/>
      <c r="L149" s="2856"/>
      <c r="M149" s="2856"/>
      <c r="N149" s="2856"/>
      <c r="O149" s="2856"/>
      <c r="P149" s="2856"/>
      <c r="Q149" s="2856"/>
      <c r="R149" s="2856"/>
      <c r="S149" s="2856"/>
      <c r="T149" s="2856"/>
      <c r="U149" s="2856"/>
      <c r="V149" s="2856"/>
      <c r="W149" s="2856"/>
      <c r="X149" s="2856"/>
      <c r="Y149" s="2856"/>
      <c r="Z149" s="2856"/>
      <c r="AA149" s="2856"/>
      <c r="AB149" s="2856"/>
      <c r="AC149" s="2856"/>
      <c r="AD149" s="2856"/>
      <c r="AE149" s="2856"/>
      <c r="AF149" s="2856"/>
      <c r="AG149" s="2856"/>
      <c r="AH149" s="2856"/>
      <c r="AI149" s="2856"/>
      <c r="AJ149" s="2856"/>
      <c r="AK149" s="2856"/>
      <c r="AL149" s="2856"/>
      <c r="AM149" s="2856"/>
      <c r="AN149" s="2856"/>
      <c r="AO149" s="2856"/>
      <c r="AP149" s="2856"/>
      <c r="AQ149" s="2856"/>
      <c r="AR149" s="2856"/>
      <c r="AS149" s="2854"/>
      <c r="AT149" s="1509"/>
      <c r="AU149" s="1509"/>
      <c r="AV149" s="1509"/>
      <c r="AW149" s="1516"/>
      <c r="AX149" s="1499"/>
      <c r="BC149" s="1517"/>
    </row>
    <row r="150" spans="1:55" s="1498" customFormat="1" ht="13" customHeight="1">
      <c r="A150" s="1499"/>
      <c r="C150" s="1513"/>
      <c r="D150" s="1491"/>
      <c r="E150" s="1491"/>
      <c r="F150" s="1491"/>
      <c r="G150" s="1491"/>
      <c r="H150" s="1491"/>
      <c r="I150" s="1512"/>
      <c r="J150" s="2855"/>
      <c r="K150" s="2856"/>
      <c r="L150" s="2856"/>
      <c r="M150" s="2856"/>
      <c r="N150" s="2856"/>
      <c r="O150" s="2856"/>
      <c r="P150" s="2856"/>
      <c r="Q150" s="2856"/>
      <c r="R150" s="2856"/>
      <c r="S150" s="2856"/>
      <c r="T150" s="2856"/>
      <c r="U150" s="2856"/>
      <c r="V150" s="2856"/>
      <c r="W150" s="2856"/>
      <c r="X150" s="2856"/>
      <c r="Y150" s="2856"/>
      <c r="Z150" s="2856"/>
      <c r="AA150" s="2856"/>
      <c r="AB150" s="2856"/>
      <c r="AC150" s="2856"/>
      <c r="AD150" s="2856"/>
      <c r="AE150" s="2856"/>
      <c r="AF150" s="2856"/>
      <c r="AG150" s="2856"/>
      <c r="AH150" s="2856"/>
      <c r="AI150" s="2856"/>
      <c r="AJ150" s="2856"/>
      <c r="AK150" s="2856"/>
      <c r="AL150" s="2856"/>
      <c r="AM150" s="2856"/>
      <c r="AN150" s="2856"/>
      <c r="AO150" s="2856"/>
      <c r="AP150" s="2856"/>
      <c r="AQ150" s="2856"/>
      <c r="AR150" s="2856"/>
      <c r="AS150" s="2854"/>
      <c r="AT150" s="1509"/>
      <c r="AU150" s="1509"/>
      <c r="AV150" s="1509"/>
      <c r="AW150" s="1516"/>
      <c r="AX150" s="1499"/>
      <c r="BC150" s="1517"/>
    </row>
    <row r="151" spans="1:55" s="1498" customFormat="1" ht="13" customHeight="1">
      <c r="A151" s="1499"/>
      <c r="C151" s="1513"/>
      <c r="D151" s="1491"/>
      <c r="E151" s="1491"/>
      <c r="F151" s="1491"/>
      <c r="G151" s="1491"/>
      <c r="H151" s="1491"/>
      <c r="I151" s="1512"/>
      <c r="J151" s="2855"/>
      <c r="K151" s="2856"/>
      <c r="L151" s="2856"/>
      <c r="M151" s="2856"/>
      <c r="N151" s="2856"/>
      <c r="O151" s="2856"/>
      <c r="P151" s="2856"/>
      <c r="Q151" s="2856"/>
      <c r="R151" s="2856"/>
      <c r="S151" s="2856"/>
      <c r="T151" s="2856"/>
      <c r="U151" s="2856"/>
      <c r="V151" s="2856"/>
      <c r="W151" s="2856"/>
      <c r="X151" s="2856"/>
      <c r="Y151" s="2856"/>
      <c r="Z151" s="2856"/>
      <c r="AA151" s="2856"/>
      <c r="AB151" s="2856"/>
      <c r="AC151" s="2856"/>
      <c r="AD151" s="2856"/>
      <c r="AE151" s="2856"/>
      <c r="AF151" s="2856"/>
      <c r="AG151" s="2856"/>
      <c r="AH151" s="2856"/>
      <c r="AI151" s="2856"/>
      <c r="AJ151" s="2856"/>
      <c r="AK151" s="2856"/>
      <c r="AL151" s="2856"/>
      <c r="AM151" s="2856"/>
      <c r="AN151" s="2856"/>
      <c r="AO151" s="2856"/>
      <c r="AP151" s="2856"/>
      <c r="AQ151" s="2856"/>
      <c r="AR151" s="2856"/>
      <c r="AS151" s="2854"/>
      <c r="AT151" s="1509"/>
      <c r="AU151" s="1509"/>
      <c r="AV151" s="1509"/>
      <c r="AW151" s="1516"/>
      <c r="AX151" s="1499"/>
      <c r="BC151" s="1517"/>
    </row>
    <row r="152" spans="1:55" s="1498" customFormat="1" ht="13" customHeight="1">
      <c r="A152" s="1499"/>
      <c r="C152" s="1513"/>
      <c r="D152" s="1491"/>
      <c r="E152" s="1491"/>
      <c r="F152" s="1491"/>
      <c r="G152" s="1491"/>
      <c r="H152" s="1491"/>
      <c r="I152" s="1512"/>
      <c r="J152" s="2855"/>
      <c r="K152" s="2856"/>
      <c r="L152" s="2856"/>
      <c r="M152" s="2856"/>
      <c r="N152" s="2856"/>
      <c r="O152" s="2856"/>
      <c r="P152" s="2856"/>
      <c r="Q152" s="2856"/>
      <c r="R152" s="2856"/>
      <c r="S152" s="2856"/>
      <c r="T152" s="2856"/>
      <c r="U152" s="2856"/>
      <c r="V152" s="2856"/>
      <c r="W152" s="2856"/>
      <c r="X152" s="2856"/>
      <c r="Y152" s="2856"/>
      <c r="Z152" s="2856"/>
      <c r="AA152" s="2856"/>
      <c r="AB152" s="2856"/>
      <c r="AC152" s="2856"/>
      <c r="AD152" s="2856"/>
      <c r="AE152" s="2856"/>
      <c r="AF152" s="2856"/>
      <c r="AG152" s="2856"/>
      <c r="AH152" s="2856"/>
      <c r="AI152" s="2856"/>
      <c r="AJ152" s="2856"/>
      <c r="AK152" s="2856"/>
      <c r="AL152" s="2856"/>
      <c r="AM152" s="2856"/>
      <c r="AN152" s="2856"/>
      <c r="AO152" s="2856"/>
      <c r="AP152" s="2856"/>
      <c r="AQ152" s="2856"/>
      <c r="AR152" s="2856"/>
      <c r="AS152" s="2854"/>
      <c r="AT152" s="1509"/>
      <c r="AU152" s="1509"/>
      <c r="AV152" s="1509"/>
      <c r="AW152" s="1516"/>
      <c r="AX152" s="1499"/>
      <c r="BC152" s="1517"/>
    </row>
    <row r="153" spans="1:55" s="1498" customFormat="1" ht="13" customHeight="1">
      <c r="A153" s="1499"/>
      <c r="C153" s="1513"/>
      <c r="D153" s="1491"/>
      <c r="E153" s="1491"/>
      <c r="F153" s="1491"/>
      <c r="G153" s="1491"/>
      <c r="H153" s="1491"/>
      <c r="I153" s="1512"/>
      <c r="J153" s="2855"/>
      <c r="K153" s="2856"/>
      <c r="L153" s="2856"/>
      <c r="M153" s="2856"/>
      <c r="N153" s="2856"/>
      <c r="O153" s="2856"/>
      <c r="P153" s="2856"/>
      <c r="Q153" s="2856"/>
      <c r="R153" s="2856"/>
      <c r="S153" s="2856"/>
      <c r="T153" s="2856"/>
      <c r="U153" s="2856"/>
      <c r="V153" s="2856"/>
      <c r="W153" s="2856"/>
      <c r="X153" s="2856"/>
      <c r="Y153" s="2856"/>
      <c r="Z153" s="2856"/>
      <c r="AA153" s="2856"/>
      <c r="AB153" s="2856"/>
      <c r="AC153" s="2856"/>
      <c r="AD153" s="2856"/>
      <c r="AE153" s="2856"/>
      <c r="AF153" s="2856"/>
      <c r="AG153" s="2856"/>
      <c r="AH153" s="2856"/>
      <c r="AI153" s="2856"/>
      <c r="AJ153" s="2856"/>
      <c r="AK153" s="2856"/>
      <c r="AL153" s="2856"/>
      <c r="AM153" s="2856"/>
      <c r="AN153" s="2856"/>
      <c r="AO153" s="2856"/>
      <c r="AP153" s="2856"/>
      <c r="AQ153" s="2856"/>
      <c r="AR153" s="2856"/>
      <c r="AS153" s="2854"/>
      <c r="AT153" s="1509"/>
      <c r="AU153" s="1509"/>
      <c r="AV153" s="1509"/>
      <c r="AW153" s="1516"/>
      <c r="AX153" s="1499"/>
      <c r="BC153" s="1517"/>
    </row>
    <row r="154" spans="1:55" s="1498" customFormat="1" ht="13" customHeight="1">
      <c r="A154" s="1499"/>
      <c r="C154" s="1521"/>
      <c r="D154" s="1522"/>
      <c r="E154" s="1522"/>
      <c r="F154" s="1522"/>
      <c r="G154" s="1522"/>
      <c r="H154" s="1522"/>
      <c r="I154" s="1523"/>
      <c r="J154" s="2857"/>
      <c r="K154" s="2858"/>
      <c r="L154" s="2858"/>
      <c r="M154" s="2858"/>
      <c r="N154" s="2858"/>
      <c r="O154" s="2858"/>
      <c r="P154" s="2858"/>
      <c r="Q154" s="2858"/>
      <c r="R154" s="2858"/>
      <c r="S154" s="2858"/>
      <c r="T154" s="2858"/>
      <c r="U154" s="2858"/>
      <c r="V154" s="2858"/>
      <c r="W154" s="2858"/>
      <c r="X154" s="2858"/>
      <c r="Y154" s="2858"/>
      <c r="Z154" s="2858"/>
      <c r="AA154" s="2858"/>
      <c r="AB154" s="2858"/>
      <c r="AC154" s="2858"/>
      <c r="AD154" s="2858"/>
      <c r="AE154" s="2858"/>
      <c r="AF154" s="2858"/>
      <c r="AG154" s="2858"/>
      <c r="AH154" s="2858"/>
      <c r="AI154" s="2858"/>
      <c r="AJ154" s="2858"/>
      <c r="AK154" s="2858"/>
      <c r="AL154" s="2858"/>
      <c r="AM154" s="2858"/>
      <c r="AN154" s="2858"/>
      <c r="AO154" s="2858"/>
      <c r="AP154" s="2858"/>
      <c r="AQ154" s="2858"/>
      <c r="AR154" s="2858"/>
      <c r="AS154" s="2859"/>
      <c r="AT154" s="1509"/>
      <c r="AU154" s="1509"/>
      <c r="AV154" s="1509"/>
      <c r="AW154" s="1516"/>
      <c r="AX154" s="1499"/>
      <c r="BC154" s="1517"/>
    </row>
    <row r="155" spans="1:55" s="1498" customFormat="1" ht="13" customHeight="1">
      <c r="A155" s="1499"/>
      <c r="C155" s="1524"/>
      <c r="D155" s="1524"/>
      <c r="E155" s="1524"/>
      <c r="F155" s="1524"/>
      <c r="G155" s="1524"/>
      <c r="H155" s="1524"/>
      <c r="I155" s="1525"/>
      <c r="J155" s="1526"/>
      <c r="K155" s="1526"/>
      <c r="L155" s="1526"/>
      <c r="M155" s="1526"/>
      <c r="N155" s="1526"/>
      <c r="O155" s="1526"/>
      <c r="P155" s="1526"/>
      <c r="Q155" s="1526"/>
      <c r="R155" s="1526"/>
      <c r="S155" s="1526"/>
      <c r="T155" s="1526"/>
      <c r="U155" s="1526"/>
      <c r="V155" s="1526"/>
      <c r="W155" s="1526"/>
      <c r="X155" s="1526"/>
      <c r="Y155" s="1526"/>
      <c r="Z155" s="1526"/>
      <c r="AA155" s="1526"/>
      <c r="AB155" s="1526"/>
      <c r="AC155" s="1526"/>
      <c r="AD155" s="1526"/>
      <c r="AE155" s="1526"/>
      <c r="AF155" s="1526"/>
      <c r="AG155" s="1526"/>
      <c r="AH155" s="1526"/>
      <c r="AI155" s="1526"/>
      <c r="AJ155" s="1526"/>
      <c r="AK155" s="1526"/>
      <c r="AL155" s="1526"/>
      <c r="AM155" s="1526"/>
      <c r="AN155" s="1526"/>
      <c r="AO155" s="1526"/>
      <c r="AP155" s="1526"/>
      <c r="AQ155" s="1526"/>
      <c r="AR155" s="1526"/>
      <c r="AS155" s="1526"/>
      <c r="AT155" s="1509"/>
      <c r="AU155" s="1509"/>
      <c r="AV155" s="1509"/>
      <c r="AW155" s="1516"/>
      <c r="AX155" s="1499"/>
      <c r="BC155" s="1517"/>
    </row>
    <row r="156" spans="1:55" s="1498" customFormat="1" ht="13" customHeight="1">
      <c r="A156" s="1499"/>
      <c r="C156" s="1491"/>
      <c r="D156" s="1491"/>
      <c r="E156" s="1491"/>
      <c r="F156" s="1491"/>
      <c r="G156" s="1491"/>
      <c r="H156" s="1491"/>
      <c r="I156" s="1527"/>
      <c r="J156" s="1528"/>
      <c r="K156" s="1528"/>
      <c r="L156" s="1528"/>
      <c r="M156" s="1528"/>
      <c r="N156" s="1528"/>
      <c r="O156" s="1528"/>
      <c r="P156" s="1528"/>
      <c r="Q156" s="1528"/>
      <c r="R156" s="1528"/>
      <c r="S156" s="1528"/>
      <c r="T156" s="1528"/>
      <c r="U156" s="1528"/>
      <c r="V156" s="1528"/>
      <c r="W156" s="1528"/>
      <c r="X156" s="1528"/>
      <c r="Y156" s="1528"/>
      <c r="Z156" s="1528"/>
      <c r="AA156" s="1528"/>
      <c r="AB156" s="1528"/>
      <c r="AC156" s="1528"/>
      <c r="AD156" s="1528"/>
      <c r="AE156" s="1528"/>
      <c r="AF156" s="1528"/>
      <c r="AG156" s="1528"/>
      <c r="AH156" s="1528"/>
      <c r="AI156" s="1528"/>
      <c r="AJ156" s="1528"/>
      <c r="AK156" s="1528"/>
      <c r="AL156" s="1528"/>
      <c r="AM156" s="1528"/>
      <c r="AN156" s="1528"/>
      <c r="AO156" s="1528"/>
      <c r="AP156" s="1528"/>
      <c r="AQ156" s="1528"/>
      <c r="AR156" s="1528"/>
      <c r="AS156" s="1528"/>
      <c r="AT156" s="1509"/>
      <c r="AU156" s="1509"/>
      <c r="AV156" s="1509"/>
      <c r="AW156" s="1516"/>
      <c r="AX156" s="1499"/>
      <c r="BC156" s="1517"/>
    </row>
    <row r="157" spans="1:55" s="1498" customFormat="1" ht="14.25" customHeight="1">
      <c r="B157" s="1498" t="s">
        <v>1338</v>
      </c>
      <c r="AG157" s="1499"/>
      <c r="AH157" s="1499"/>
    </row>
    <row r="158" spans="1:55" s="1498" customFormat="1" ht="6" customHeight="1">
      <c r="AG158" s="1499"/>
      <c r="AH158" s="1499"/>
    </row>
    <row r="159" spans="1:55" s="1498" customFormat="1" ht="13" customHeight="1">
      <c r="A159" s="1499"/>
      <c r="C159" s="1491"/>
      <c r="D159" s="1491"/>
      <c r="E159" s="1491"/>
      <c r="F159" s="1491"/>
      <c r="G159" s="1491"/>
      <c r="H159" s="1491"/>
      <c r="I159" s="1527"/>
      <c r="J159" s="1528"/>
      <c r="K159" s="1528"/>
      <c r="L159" s="1528"/>
      <c r="M159" s="1528"/>
      <c r="N159" s="1528"/>
      <c r="O159" s="1528"/>
      <c r="P159" s="1528"/>
      <c r="Q159" s="1528"/>
      <c r="R159" s="1528"/>
      <c r="S159" s="1528"/>
      <c r="T159" s="1528"/>
      <c r="U159" s="1528"/>
      <c r="V159" s="1528"/>
      <c r="W159" s="1528"/>
      <c r="X159" s="1528"/>
      <c r="Y159" s="1528"/>
      <c r="Z159" s="1528"/>
      <c r="AA159" s="1528"/>
      <c r="AB159" s="1528"/>
      <c r="AC159" s="1528"/>
      <c r="AD159" s="1528"/>
      <c r="AE159" s="1528"/>
      <c r="AF159" s="1528"/>
      <c r="AG159" s="1528"/>
      <c r="AH159" s="1528"/>
      <c r="AI159" s="1528"/>
      <c r="AJ159" s="1528"/>
      <c r="AK159" s="1528"/>
      <c r="AL159" s="1528"/>
      <c r="AM159" s="1528"/>
      <c r="AN159" s="1528"/>
      <c r="AO159" s="1528"/>
      <c r="AP159" s="1528"/>
      <c r="AQ159" s="1528"/>
      <c r="AR159" s="1528"/>
      <c r="AS159" s="1528"/>
      <c r="AT159" s="1509"/>
      <c r="AU159" s="1509"/>
      <c r="AV159" s="1509"/>
      <c r="AW159" s="1516"/>
      <c r="AX159" s="1499"/>
      <c r="BC159" s="1517"/>
    </row>
    <row r="160" spans="1:55" ht="12" customHeight="1">
      <c r="C160" s="1470" t="s">
        <v>1337</v>
      </c>
    </row>
    <row r="161" spans="1:55" ht="12" customHeight="1">
      <c r="D161" s="1478" t="s">
        <v>425</v>
      </c>
      <c r="N161" s="1529"/>
      <c r="O161" s="1529"/>
      <c r="P161" s="1529"/>
      <c r="Q161" s="1529"/>
      <c r="R161" s="1529"/>
      <c r="S161" s="1529"/>
      <c r="T161" s="1529"/>
      <c r="U161" s="1529"/>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U161" s="1530"/>
      <c r="AV161" s="1530"/>
      <c r="AW161" s="1530"/>
      <c r="AX161" s="1530"/>
      <c r="AY161" s="1530"/>
    </row>
    <row r="162" spans="1:55" ht="12" customHeight="1">
      <c r="D162" s="1478"/>
      <c r="E162" s="1478"/>
      <c r="F162" s="1478"/>
      <c r="G162" s="1478"/>
      <c r="H162" s="1478"/>
      <c r="I162" s="1478"/>
      <c r="J162" s="1478"/>
      <c r="K162" s="1478"/>
      <c r="L162" s="1478"/>
      <c r="M162" s="1479"/>
      <c r="N162" s="1478"/>
      <c r="O162" s="1479" t="s">
        <v>25</v>
      </c>
      <c r="P162" s="2830" t="str">
        <f>'1_入力シート【基本情報】'!$DS$97</f>
        <v/>
      </c>
      <c r="Q162" s="2830"/>
      <c r="R162" s="1478" t="s">
        <v>412</v>
      </c>
      <c r="S162" s="1478"/>
      <c r="T162" s="1478"/>
      <c r="U162" s="1478"/>
      <c r="V162" s="1480"/>
      <c r="W162" s="1478"/>
      <c r="X162" s="1478"/>
      <c r="Y162" s="1479" t="s">
        <v>25</v>
      </c>
      <c r="Z162" s="2860" t="str">
        <f>'1_入力シート【基本情報】'!$DS$98</f>
        <v/>
      </c>
      <c r="AA162" s="2860"/>
      <c r="AB162" s="2860"/>
      <c r="AC162" s="2860"/>
      <c r="AD162" s="2860"/>
      <c r="AE162" s="2860"/>
      <c r="AF162" s="2860"/>
      <c r="AG162" s="2860"/>
      <c r="AH162" s="1481" t="s">
        <v>413</v>
      </c>
      <c r="AI162" s="1478"/>
      <c r="AJ162" s="1478"/>
      <c r="AK162" s="1478"/>
      <c r="AL162" s="1479" t="s">
        <v>414</v>
      </c>
      <c r="AM162" s="2831" t="str">
        <f>IF('1_入力シート【基本情報】'!AB99="","",DBCS('1_入力シート【基本情報】'!AB99))</f>
        <v/>
      </c>
      <c r="AN162" s="2831"/>
      <c r="AO162" s="2831"/>
      <c r="AP162" s="2831"/>
      <c r="AQ162" s="2831"/>
      <c r="AR162" s="2831"/>
      <c r="AS162" s="1478" t="s">
        <v>415</v>
      </c>
    </row>
    <row r="163" spans="1:55" ht="12" customHeight="1">
      <c r="D163" s="1478"/>
      <c r="E163" s="1478"/>
      <c r="F163" s="1478"/>
      <c r="G163" s="1478"/>
      <c r="H163" s="1478"/>
      <c r="I163" s="1478"/>
      <c r="J163" s="1478"/>
      <c r="K163" s="1478"/>
      <c r="L163" s="1478"/>
      <c r="M163" s="1478"/>
      <c r="N163" s="1478"/>
      <c r="O163" s="1478" t="s">
        <v>264</v>
      </c>
      <c r="P163" s="1478"/>
      <c r="Q163" s="1478"/>
      <c r="R163" s="1478"/>
      <c r="S163" s="1478"/>
      <c r="T163" s="1478"/>
      <c r="U163" s="1478"/>
      <c r="V163" s="1478"/>
      <c r="W163" s="1478"/>
      <c r="X163" s="1478"/>
      <c r="Y163" s="1478"/>
      <c r="Z163" s="1478"/>
      <c r="AA163" s="1478"/>
      <c r="AB163" s="1478"/>
      <c r="AC163" s="1478"/>
      <c r="AD163" s="1478"/>
      <c r="AE163" s="1478"/>
      <c r="AF163" s="1478"/>
      <c r="AG163" s="1480"/>
      <c r="AH163" s="1478"/>
      <c r="AI163" s="1478"/>
      <c r="AJ163" s="1478"/>
      <c r="AK163" s="1478"/>
      <c r="AL163" s="1479" t="s">
        <v>414</v>
      </c>
      <c r="AM163" s="2831" t="str">
        <f>IF('1_入力シート【基本情報】'!AB100="","",DBCS('1_入力シート【基本情報】'!AB100))</f>
        <v/>
      </c>
      <c r="AN163" s="2831"/>
      <c r="AO163" s="2831"/>
      <c r="AP163" s="2831"/>
      <c r="AQ163" s="2831"/>
      <c r="AR163" s="2831"/>
      <c r="AS163" s="1478" t="s">
        <v>415</v>
      </c>
    </row>
    <row r="164" spans="1:55" ht="12" customHeight="1">
      <c r="D164" s="1478" t="s">
        <v>416</v>
      </c>
      <c r="E164" s="1478"/>
      <c r="F164" s="1478"/>
      <c r="G164" s="1478"/>
      <c r="H164" s="1478"/>
      <c r="I164" s="1478"/>
      <c r="J164" s="1479"/>
      <c r="K164" s="1478"/>
      <c r="L164" s="1480"/>
      <c r="M164" s="1479"/>
      <c r="N164" s="1478"/>
      <c r="O164" s="2790" t="str">
        <f>IF('1_入力シート【基本情報】'!AB101="","",ASC('1_入力シート【基本情報】'!AB101))</f>
        <v/>
      </c>
      <c r="P164" s="2790"/>
      <c r="Q164" s="2790"/>
      <c r="R164" s="2790"/>
      <c r="S164" s="2790"/>
      <c r="T164" s="2790"/>
      <c r="U164" s="2790"/>
      <c r="V164" s="2790"/>
      <c r="W164" s="2790"/>
      <c r="X164" s="2790"/>
      <c r="Y164" s="2790"/>
      <c r="Z164" s="2790"/>
      <c r="AA164" s="2790"/>
      <c r="AB164" s="2790"/>
      <c r="AC164" s="2790"/>
      <c r="AD164" s="2790"/>
      <c r="AE164" s="2790"/>
      <c r="AF164" s="2790"/>
      <c r="AG164" s="2790"/>
      <c r="AH164" s="2790"/>
      <c r="AI164" s="2790"/>
      <c r="AJ164" s="2790"/>
      <c r="AK164" s="2790"/>
      <c r="AL164" s="2790"/>
      <c r="AM164" s="2790"/>
      <c r="AN164" s="2790"/>
      <c r="AO164" s="2790"/>
      <c r="AP164" s="2790"/>
      <c r="AQ164" s="2790"/>
      <c r="AR164" s="2790"/>
      <c r="AS164" s="2790"/>
    </row>
    <row r="165" spans="1:55" ht="12" customHeight="1">
      <c r="D165" s="1478" t="s">
        <v>417</v>
      </c>
      <c r="E165" s="1478"/>
      <c r="F165" s="1478"/>
      <c r="G165" s="1478"/>
      <c r="H165" s="1478"/>
      <c r="I165" s="1478"/>
      <c r="J165" s="1479"/>
      <c r="K165" s="1478"/>
      <c r="L165" s="1480"/>
      <c r="M165" s="1479"/>
      <c r="N165" s="1478"/>
      <c r="O165" s="2790" t="str">
        <f>IF('1_入力シート【基本情報】'!AB102="","",ASC('1_入力シート【基本情報】'!AB102))</f>
        <v/>
      </c>
      <c r="P165" s="2790"/>
      <c r="Q165" s="2790"/>
      <c r="R165" s="2790"/>
      <c r="S165" s="2790"/>
      <c r="T165" s="2790"/>
      <c r="U165" s="2790"/>
      <c r="V165" s="2790"/>
      <c r="W165" s="2790"/>
      <c r="X165" s="2790"/>
      <c r="Y165" s="2790"/>
      <c r="Z165" s="2790"/>
      <c r="AA165" s="2790"/>
      <c r="AB165" s="2790"/>
      <c r="AC165" s="2790"/>
      <c r="AD165" s="2790"/>
      <c r="AE165" s="2790"/>
      <c r="AF165" s="2790"/>
      <c r="AG165" s="2790"/>
      <c r="AH165" s="2790"/>
      <c r="AI165" s="2790"/>
      <c r="AJ165" s="2790"/>
      <c r="AK165" s="2790"/>
      <c r="AL165" s="2790"/>
      <c r="AM165" s="2790"/>
      <c r="AN165" s="2790"/>
      <c r="AO165" s="2790"/>
      <c r="AP165" s="2790"/>
      <c r="AQ165" s="2790"/>
      <c r="AR165" s="2790"/>
      <c r="AS165" s="2790"/>
    </row>
    <row r="166" spans="1:55" ht="12" customHeight="1">
      <c r="D166" s="1478" t="s">
        <v>418</v>
      </c>
      <c r="E166" s="1478"/>
      <c r="F166" s="1478"/>
      <c r="G166" s="1478"/>
      <c r="H166" s="1478"/>
      <c r="I166" s="1478"/>
      <c r="J166" s="1479"/>
      <c r="K166" s="1478"/>
      <c r="L166" s="1480"/>
      <c r="M166" s="1478"/>
      <c r="N166" s="1478"/>
      <c r="O166" s="2783" t="str">
        <f>IF('1_入力シート【基本情報】'!DS96=FALSE,IF('1_入力シート【基本情報】'!AB103="","",'1_入力シート【基本情報】'!AB103),IF('1_入力シート【基本情報】'!DS67="","",'1_入力シート【基本情報】'!DS67))</f>
        <v/>
      </c>
      <c r="P166" s="2783"/>
      <c r="Q166" s="2783"/>
      <c r="R166" s="2783"/>
      <c r="S166" s="2783"/>
      <c r="T166" s="2783"/>
      <c r="U166" s="2783"/>
      <c r="V166" s="2783"/>
      <c r="W166" s="2783"/>
      <c r="X166" s="2783"/>
      <c r="Y166" s="2783"/>
      <c r="Z166" s="2783"/>
      <c r="AA166" s="2783"/>
      <c r="AB166" s="2783"/>
      <c r="AC166" s="2783"/>
      <c r="AD166" s="2783"/>
      <c r="AE166" s="2783"/>
      <c r="AF166" s="2783"/>
      <c r="AG166" s="2783"/>
      <c r="AH166" s="2783"/>
      <c r="AI166" s="2783"/>
      <c r="AJ166" s="2783"/>
      <c r="AK166" s="2783"/>
      <c r="AL166" s="2783"/>
      <c r="AM166" s="2783"/>
      <c r="AN166" s="2783"/>
      <c r="AO166" s="2783"/>
      <c r="AP166" s="2783"/>
      <c r="AQ166" s="2783"/>
      <c r="AR166" s="2783"/>
      <c r="AS166" s="2783"/>
    </row>
    <row r="167" spans="1:55" ht="12" customHeight="1">
      <c r="D167" s="1478"/>
      <c r="E167" s="1478"/>
      <c r="F167" s="1478"/>
      <c r="G167" s="1478"/>
      <c r="H167" s="1478"/>
      <c r="I167" s="1478"/>
      <c r="J167" s="1479"/>
      <c r="K167" s="1478"/>
      <c r="L167" s="1479"/>
      <c r="M167" s="1478"/>
      <c r="N167" s="1478"/>
      <c r="O167" s="1479" t="s">
        <v>25</v>
      </c>
      <c r="P167" s="2784" t="str">
        <f>IF('1_入力シート【基本情報】'!DS96=FALSE,IF('1_入力シート【基本情報】'!DS104="","",'1_入力シート【基本情報】'!DS104),IF('1_入力シート【基本情報】'!DS68="","",'1_入力シート【基本情報】'!DS68))</f>
        <v/>
      </c>
      <c r="Q167" s="2784"/>
      <c r="R167" s="1478" t="s">
        <v>419</v>
      </c>
      <c r="S167" s="1478"/>
      <c r="T167" s="1478"/>
      <c r="U167" s="1478"/>
      <c r="V167" s="1478"/>
      <c r="W167" s="1478"/>
      <c r="X167" s="1479"/>
      <c r="Y167" s="1479" t="s">
        <v>25</v>
      </c>
      <c r="Z167" s="2784" t="str">
        <f>IF('1_入力シート【基本情報】'!DS96=FALSE,IF('1_入力シート【基本情報】'!AB105="","",DBCS('1_入力シート【基本情報】'!AB105)),IF('1_入力シート【基本情報】'!DS69="","",DBCS('1_入力シート【基本情報】'!DS69)))</f>
        <v/>
      </c>
      <c r="AA167" s="2784"/>
      <c r="AB167" s="2784"/>
      <c r="AC167" s="2784"/>
      <c r="AD167" s="2784"/>
      <c r="AE167" s="2784"/>
      <c r="AF167" s="1481" t="s">
        <v>420</v>
      </c>
      <c r="AG167" s="1481"/>
      <c r="AH167" s="1478"/>
      <c r="AI167" s="1480"/>
      <c r="AJ167" s="1478"/>
      <c r="AK167" s="1478"/>
      <c r="AL167" s="1479" t="s">
        <v>414</v>
      </c>
      <c r="AM167" s="2785" t="str">
        <f>IF('1_入力シート【基本情報】'!DS96=TRUE,DBCS('1_入力シート【基本情報】'!DS70),DBCS('1_入力シート【基本情報】'!DS106))</f>
        <v/>
      </c>
      <c r="AN167" s="2785"/>
      <c r="AO167" s="2785"/>
      <c r="AP167" s="2785"/>
      <c r="AQ167" s="2785"/>
      <c r="AR167" s="2785"/>
      <c r="AS167" s="1478" t="s">
        <v>415</v>
      </c>
    </row>
    <row r="168" spans="1:55" ht="12" customHeight="1">
      <c r="D168" s="1478" t="s">
        <v>421</v>
      </c>
      <c r="E168" s="1478"/>
      <c r="F168" s="1478"/>
      <c r="G168" s="1478"/>
      <c r="H168" s="1478"/>
      <c r="I168" s="1478"/>
      <c r="J168" s="1478"/>
      <c r="K168" s="1478"/>
      <c r="L168" s="1478"/>
      <c r="M168" s="1478"/>
      <c r="N168" s="1478"/>
      <c r="O168" s="2786" t="str">
        <f>IF('1_入力シート【基本情報】'!DS96=TRUE,'1_入力シート【基本情報】'!DS71,'1_入力シート【基本情報】'!DS107)</f>
        <v>-</v>
      </c>
      <c r="P168" s="2786"/>
      <c r="Q168" s="2786"/>
      <c r="R168" s="2786"/>
      <c r="S168" s="2786"/>
      <c r="T168" s="2786"/>
      <c r="U168" s="2786"/>
      <c r="V168" s="1478"/>
      <c r="W168" s="1478"/>
      <c r="X168" s="1478"/>
      <c r="Y168" s="1478"/>
      <c r="Z168" s="1478"/>
      <c r="AA168" s="1478"/>
      <c r="AB168" s="1478"/>
      <c r="AC168" s="1478"/>
      <c r="AD168" s="1478"/>
      <c r="AE168" s="1478"/>
      <c r="AF168" s="1478"/>
      <c r="AG168" s="1478"/>
      <c r="AH168" s="1478"/>
      <c r="AI168" s="1478"/>
      <c r="AJ168" s="1478"/>
      <c r="AK168" s="1479"/>
      <c r="AL168" s="1479"/>
      <c r="AM168" s="1478"/>
      <c r="AN168" s="1478"/>
      <c r="AO168" s="1478"/>
      <c r="AP168" s="1478"/>
      <c r="AQ168" s="1478"/>
      <c r="AR168" s="1478"/>
      <c r="AS168" s="1478"/>
    </row>
    <row r="169" spans="1:55" ht="12" customHeight="1">
      <c r="D169" s="1478" t="s">
        <v>422</v>
      </c>
      <c r="E169" s="1478"/>
      <c r="F169" s="1478"/>
      <c r="G169" s="1478"/>
      <c r="H169" s="1478"/>
      <c r="I169" s="1478"/>
      <c r="J169" s="1478"/>
      <c r="K169" s="1478"/>
      <c r="L169" s="1480"/>
      <c r="M169" s="1478"/>
      <c r="N169" s="1478"/>
      <c r="O169" s="2783" t="str">
        <f>IF('1_入力シート【基本情報】'!DS96=TRUE,'1_入力シート【基本情報】'!DS72,'1_入力シート【基本情報】'!DS108)</f>
        <v/>
      </c>
      <c r="P169" s="2783"/>
      <c r="Q169" s="2783"/>
      <c r="R169" s="2783"/>
      <c r="S169" s="2783"/>
      <c r="T169" s="2783"/>
      <c r="U169" s="2783"/>
      <c r="V169" s="2783"/>
      <c r="W169" s="2783"/>
      <c r="X169" s="2783"/>
      <c r="Y169" s="2783"/>
      <c r="Z169" s="2783"/>
      <c r="AA169" s="2783"/>
      <c r="AB169" s="2783"/>
      <c r="AC169" s="2783"/>
      <c r="AD169" s="2783"/>
      <c r="AE169" s="2783"/>
      <c r="AF169" s="2783"/>
      <c r="AG169" s="2783"/>
      <c r="AH169" s="2783"/>
      <c r="AI169" s="2783"/>
      <c r="AJ169" s="2783"/>
      <c r="AK169" s="2783"/>
      <c r="AL169" s="2783"/>
      <c r="AM169" s="2783"/>
      <c r="AN169" s="2783"/>
      <c r="AO169" s="2783"/>
      <c r="AP169" s="2783"/>
      <c r="AQ169" s="2783"/>
      <c r="AR169" s="2783"/>
      <c r="AS169" s="2783"/>
    </row>
    <row r="170" spans="1:55" ht="12" customHeight="1">
      <c r="D170" s="1478" t="s">
        <v>423</v>
      </c>
      <c r="E170" s="1478"/>
      <c r="F170" s="1478"/>
      <c r="G170" s="1478"/>
      <c r="H170" s="1478"/>
      <c r="I170" s="1478"/>
      <c r="J170" s="1478"/>
      <c r="K170" s="1478"/>
      <c r="L170" s="1482"/>
      <c r="M170" s="1478"/>
      <c r="N170" s="1478"/>
      <c r="O170" s="2787" t="str">
        <f>IF('1_入力シート【基本情報】'!DS96=TRUE,'1_入力シート【基本情報】'!DS73,'1_入力シート【基本情報】'!DS109)</f>
        <v>--</v>
      </c>
      <c r="P170" s="2787"/>
      <c r="Q170" s="2787"/>
      <c r="R170" s="2787"/>
      <c r="S170" s="2787"/>
      <c r="T170" s="2787"/>
      <c r="U170" s="2787"/>
      <c r="V170" s="2787"/>
      <c r="W170" s="2787"/>
      <c r="X170" s="2787"/>
      <c r="Y170" s="2787"/>
      <c r="Z170" s="2787"/>
      <c r="AA170" s="2787"/>
      <c r="AB170" s="2787"/>
      <c r="AC170" s="1482"/>
      <c r="AD170" s="1482"/>
      <c r="AE170" s="1482"/>
      <c r="AF170" s="1482"/>
      <c r="AG170" s="1482"/>
      <c r="AH170" s="1482"/>
      <c r="AI170" s="1482"/>
      <c r="AJ170" s="1482"/>
      <c r="AK170" s="1482"/>
      <c r="AL170" s="1482"/>
      <c r="AM170" s="1482"/>
      <c r="AN170" s="1482"/>
      <c r="AO170" s="1482"/>
      <c r="AP170" s="1482"/>
      <c r="AQ170" s="1482"/>
      <c r="AR170" s="1482"/>
      <c r="AS170" s="1482"/>
    </row>
    <row r="171" spans="1:55" s="1498" customFormat="1" ht="13" customHeight="1">
      <c r="A171" s="1499"/>
      <c r="C171" s="1491"/>
      <c r="D171" s="1491"/>
      <c r="E171" s="1491"/>
      <c r="F171" s="1491"/>
      <c r="G171" s="1491"/>
      <c r="H171" s="1491"/>
      <c r="I171" s="1527"/>
      <c r="J171" s="1528"/>
      <c r="K171" s="1528"/>
      <c r="L171" s="1528"/>
      <c r="M171" s="1528"/>
      <c r="N171" s="1528"/>
      <c r="O171" s="1528"/>
      <c r="P171" s="1528"/>
      <c r="Q171" s="1528"/>
      <c r="R171" s="1528"/>
      <c r="S171" s="1528"/>
      <c r="T171" s="1528"/>
      <c r="U171" s="1528"/>
      <c r="V171" s="1528"/>
      <c r="W171" s="1528"/>
      <c r="X171" s="1528"/>
      <c r="Y171" s="1528"/>
      <c r="Z171" s="1528"/>
      <c r="AA171" s="1528"/>
      <c r="AB171" s="1528"/>
      <c r="AC171" s="1528"/>
      <c r="AD171" s="1528"/>
      <c r="AE171" s="1528"/>
      <c r="AF171" s="1528"/>
      <c r="AG171" s="1528"/>
      <c r="AH171" s="1528"/>
      <c r="AI171" s="1528"/>
      <c r="AJ171" s="1528"/>
      <c r="AK171" s="1528"/>
      <c r="AL171" s="1528"/>
      <c r="AM171" s="1528"/>
      <c r="AN171" s="1528"/>
      <c r="AO171" s="1528"/>
      <c r="AP171" s="1528"/>
      <c r="AQ171" s="1528"/>
      <c r="AR171" s="1528"/>
      <c r="AS171" s="1528"/>
      <c r="AT171" s="1509"/>
      <c r="AU171" s="1509"/>
      <c r="AV171" s="1509"/>
      <c r="AW171" s="1516"/>
      <c r="AX171" s="1499"/>
      <c r="BC171" s="1517"/>
    </row>
    <row r="172" spans="1:55" s="1498" customFormat="1" ht="13" customHeight="1">
      <c r="A172" s="1499"/>
      <c r="C172" s="1491"/>
      <c r="D172" s="1491"/>
      <c r="E172" s="1491"/>
      <c r="F172" s="1491"/>
      <c r="G172" s="1491"/>
      <c r="H172" s="1491"/>
      <c r="I172" s="1527"/>
      <c r="J172" s="1528"/>
      <c r="K172" s="1528"/>
      <c r="L172" s="1528"/>
      <c r="M172" s="1528"/>
      <c r="N172" s="1528"/>
      <c r="O172" s="1528"/>
      <c r="P172" s="1528"/>
      <c r="Q172" s="1528"/>
      <c r="R172" s="1528"/>
      <c r="S172" s="1528"/>
      <c r="T172" s="1528"/>
      <c r="U172" s="1528"/>
      <c r="V172" s="1528"/>
      <c r="W172" s="1528"/>
      <c r="X172" s="1528"/>
      <c r="Y172" s="1528"/>
      <c r="Z172" s="1528"/>
      <c r="AA172" s="1528"/>
      <c r="AB172" s="1528"/>
      <c r="AC172" s="1528"/>
      <c r="AD172" s="1528"/>
      <c r="AE172" s="1528"/>
      <c r="AF172" s="1528"/>
      <c r="AG172" s="1528"/>
      <c r="AH172" s="1528"/>
      <c r="AI172" s="1528"/>
      <c r="AJ172" s="1528"/>
      <c r="AK172" s="1528"/>
      <c r="AL172" s="1528"/>
      <c r="AM172" s="1528"/>
      <c r="AN172" s="1528"/>
      <c r="AO172" s="1528"/>
      <c r="AP172" s="1528"/>
      <c r="AQ172" s="1528"/>
      <c r="AR172" s="1528"/>
      <c r="AS172" s="1528"/>
      <c r="AT172" s="1509"/>
      <c r="AU172" s="1509"/>
      <c r="AV172" s="1509"/>
      <c r="AW172" s="1516"/>
      <c r="AX172" s="1499"/>
      <c r="BC172" s="1517"/>
    </row>
    <row r="173" spans="1:55" s="1498" customFormat="1" ht="13" customHeight="1">
      <c r="A173" s="1472"/>
      <c r="B173" s="1500"/>
      <c r="C173" s="1531"/>
      <c r="D173" s="1531"/>
      <c r="E173" s="1531"/>
      <c r="F173" s="1531"/>
      <c r="G173" s="1531"/>
      <c r="H173" s="1531"/>
      <c r="I173" s="1500"/>
      <c r="J173" s="1528"/>
      <c r="K173" s="1528"/>
      <c r="L173" s="1528"/>
      <c r="M173" s="1528"/>
      <c r="N173" s="1528"/>
      <c r="O173" s="1528"/>
      <c r="P173" s="1528"/>
      <c r="Q173" s="1528"/>
      <c r="R173" s="1528"/>
      <c r="S173" s="1528"/>
      <c r="T173" s="1528"/>
      <c r="U173" s="1528"/>
      <c r="V173" s="1528"/>
      <c r="W173" s="1528"/>
      <c r="X173" s="1528"/>
      <c r="Y173" s="1528"/>
      <c r="Z173" s="1528"/>
      <c r="AA173" s="1528"/>
      <c r="AB173" s="1528"/>
      <c r="AC173" s="1528"/>
      <c r="AD173" s="1528"/>
      <c r="AE173" s="1528"/>
      <c r="AF173" s="1528"/>
      <c r="AG173" s="1528"/>
      <c r="AH173" s="1528"/>
      <c r="AI173" s="1528"/>
      <c r="AJ173" s="1528"/>
      <c r="AK173" s="1528"/>
      <c r="AL173" s="1528"/>
      <c r="AM173" s="1528"/>
      <c r="AN173" s="1528"/>
      <c r="AO173" s="1528"/>
      <c r="AP173" s="1528"/>
      <c r="AQ173" s="1528"/>
      <c r="AR173" s="1528"/>
      <c r="AS173" s="1528"/>
      <c r="AT173" s="1509"/>
      <c r="AU173" s="1509"/>
      <c r="AV173" s="1509"/>
      <c r="AW173" s="1516"/>
      <c r="AX173" s="1499"/>
      <c r="BC173" s="1517"/>
    </row>
    <row r="174" spans="1:55" s="1498" customFormat="1" ht="14.25" customHeight="1">
      <c r="A174" s="1500"/>
      <c r="B174" s="1500"/>
      <c r="C174" s="1500"/>
      <c r="D174" s="1500"/>
      <c r="E174" s="1500"/>
      <c r="F174" s="1500"/>
      <c r="G174" s="1500"/>
      <c r="H174" s="1500"/>
      <c r="I174" s="1500"/>
      <c r="J174" s="1500"/>
      <c r="K174" s="1500"/>
      <c r="L174" s="1500"/>
      <c r="M174" s="1500"/>
      <c r="N174" s="1500"/>
      <c r="O174" s="1500"/>
      <c r="P174" s="1500"/>
      <c r="Q174" s="1500"/>
      <c r="R174" s="1500"/>
      <c r="S174" s="1500"/>
      <c r="T174" s="1500"/>
      <c r="U174" s="1500"/>
      <c r="V174" s="1500"/>
      <c r="W174" s="1500"/>
      <c r="X174" s="1500"/>
      <c r="Y174" s="1500"/>
      <c r="Z174" s="1500"/>
      <c r="AA174" s="1500"/>
      <c r="AB174" s="1500"/>
      <c r="AC174" s="1500"/>
      <c r="AD174" s="1500"/>
      <c r="AE174" s="1500"/>
      <c r="AF174" s="1500"/>
      <c r="AG174" s="1472"/>
      <c r="AH174" s="1472"/>
      <c r="AI174" s="1500"/>
      <c r="AJ174" s="1500"/>
      <c r="AK174" s="1500"/>
      <c r="AL174" s="1500"/>
      <c r="AM174" s="1500"/>
      <c r="AN174" s="1500"/>
      <c r="AO174" s="1500"/>
      <c r="AP174" s="1500"/>
      <c r="AQ174" s="1500"/>
      <c r="AR174" s="1500"/>
      <c r="AS174" s="1500"/>
    </row>
    <row r="175" spans="1:55" s="1498" customFormat="1" ht="6" customHeight="1">
      <c r="A175" s="1500"/>
      <c r="B175" s="1500"/>
      <c r="C175" s="1500"/>
      <c r="D175" s="1500"/>
      <c r="E175" s="1500"/>
      <c r="F175" s="1500"/>
      <c r="G175" s="1500"/>
      <c r="H175" s="1500"/>
      <c r="I175" s="1500"/>
      <c r="J175" s="1500"/>
      <c r="K175" s="1500"/>
      <c r="L175" s="1500"/>
      <c r="M175" s="1500"/>
      <c r="N175" s="1500"/>
      <c r="O175" s="1500"/>
      <c r="P175" s="1500"/>
      <c r="Q175" s="1500"/>
      <c r="R175" s="1500"/>
      <c r="S175" s="1500"/>
      <c r="T175" s="1500"/>
      <c r="U175" s="1500"/>
      <c r="V175" s="1500"/>
      <c r="W175" s="1500"/>
      <c r="X175" s="1500"/>
      <c r="Y175" s="1500"/>
      <c r="Z175" s="1500"/>
      <c r="AA175" s="1500"/>
      <c r="AB175" s="1500"/>
      <c r="AC175" s="1500"/>
      <c r="AD175" s="1500"/>
      <c r="AE175" s="1500"/>
      <c r="AF175" s="1500"/>
      <c r="AG175" s="1472"/>
      <c r="AH175" s="1472"/>
      <c r="AI175" s="1500"/>
      <c r="AJ175" s="1500"/>
      <c r="AK175" s="1500"/>
      <c r="AL175" s="1500"/>
      <c r="AM175" s="1500"/>
      <c r="AN175" s="1500"/>
      <c r="AO175" s="1500"/>
      <c r="AP175" s="1500"/>
      <c r="AQ175" s="1500"/>
      <c r="AR175" s="1500"/>
      <c r="AS175" s="1500"/>
    </row>
    <row r="176" spans="1:55" s="1498" customFormat="1" ht="13" customHeight="1">
      <c r="A176" s="1472"/>
      <c r="B176" s="1500"/>
      <c r="C176" s="1531"/>
      <c r="D176" s="1531"/>
      <c r="E176" s="1531"/>
      <c r="F176" s="1531"/>
      <c r="G176" s="1531"/>
      <c r="H176" s="1531"/>
      <c r="I176" s="1500"/>
      <c r="J176" s="1528"/>
      <c r="K176" s="1528"/>
      <c r="L176" s="1528"/>
      <c r="M176" s="1528"/>
      <c r="N176" s="1528"/>
      <c r="O176" s="1528"/>
      <c r="P176" s="1528"/>
      <c r="Q176" s="1528"/>
      <c r="R176" s="1528"/>
      <c r="S176" s="1528"/>
      <c r="T176" s="1528"/>
      <c r="U176" s="1528"/>
      <c r="V176" s="1528"/>
      <c r="W176" s="1528"/>
      <c r="X176" s="1528"/>
      <c r="Y176" s="1528"/>
      <c r="Z176" s="1528"/>
      <c r="AA176" s="1528"/>
      <c r="AB176" s="1528"/>
      <c r="AC176" s="1528"/>
      <c r="AD176" s="1528"/>
      <c r="AE176" s="1528"/>
      <c r="AF176" s="1528"/>
      <c r="AG176" s="1528"/>
      <c r="AH176" s="1528"/>
      <c r="AI176" s="1528"/>
      <c r="AJ176" s="1528"/>
      <c r="AK176" s="1528"/>
      <c r="AL176" s="1528"/>
      <c r="AM176" s="1528"/>
      <c r="AN176" s="1528"/>
      <c r="AO176" s="1528"/>
      <c r="AP176" s="1528"/>
      <c r="AQ176" s="1528"/>
      <c r="AR176" s="1528"/>
      <c r="AS176" s="1528"/>
      <c r="AT176" s="1509"/>
      <c r="AU176" s="1509"/>
      <c r="AV176" s="1509"/>
      <c r="AW176" s="1516"/>
      <c r="AX176" s="1499"/>
      <c r="BC176" s="1517"/>
    </row>
    <row r="177" spans="1:55" s="1498" customFormat="1" ht="13" customHeight="1">
      <c r="A177" s="1472"/>
      <c r="B177" s="1500"/>
      <c r="C177" s="1531"/>
      <c r="D177" s="1037"/>
      <c r="E177" s="1037"/>
      <c r="F177" s="1037"/>
      <c r="G177" s="1037"/>
      <c r="H177" s="1037"/>
      <c r="I177" s="1037"/>
      <c r="J177" s="1532"/>
      <c r="K177" s="1528"/>
      <c r="L177" s="1528"/>
      <c r="M177" s="1528"/>
      <c r="N177" s="1528"/>
      <c r="O177" s="1528"/>
      <c r="P177" s="1528"/>
      <c r="Q177" s="1528"/>
      <c r="R177" s="1528"/>
      <c r="S177" s="1528"/>
      <c r="T177" s="1528"/>
      <c r="U177" s="1528"/>
      <c r="V177" s="1528"/>
      <c r="W177" s="1528"/>
      <c r="X177" s="1528"/>
      <c r="Y177" s="1528"/>
      <c r="Z177" s="1528"/>
      <c r="AA177" s="1528"/>
      <c r="AB177" s="1528"/>
      <c r="AC177" s="1528"/>
      <c r="AD177" s="1528"/>
      <c r="AE177" s="1528"/>
      <c r="AF177" s="1528"/>
      <c r="AG177" s="1528"/>
      <c r="AH177" s="1528"/>
      <c r="AI177" s="1528"/>
      <c r="AJ177" s="1528"/>
      <c r="AK177" s="1528"/>
      <c r="AL177" s="1528"/>
      <c r="AM177" s="1528"/>
      <c r="AN177" s="1528"/>
      <c r="AO177" s="1528"/>
      <c r="AP177" s="1528"/>
      <c r="AQ177" s="1528"/>
      <c r="AR177" s="1528"/>
      <c r="AS177" s="1528"/>
      <c r="AT177" s="1509"/>
      <c r="AU177" s="1509"/>
      <c r="AV177" s="1509"/>
      <c r="AW177" s="1516"/>
      <c r="AX177" s="1499"/>
      <c r="BC177" s="1517"/>
    </row>
    <row r="178" spans="1:55" s="1498" customFormat="1" ht="13" customHeight="1">
      <c r="A178" s="1472"/>
      <c r="B178" s="1500"/>
      <c r="C178" s="1511"/>
      <c r="D178" s="1531"/>
      <c r="E178" s="1531"/>
      <c r="F178" s="1531"/>
      <c r="G178" s="1531"/>
      <c r="H178" s="1531"/>
      <c r="I178" s="1500"/>
      <c r="J178" s="1528"/>
      <c r="K178" s="1528"/>
      <c r="L178" s="1528"/>
      <c r="M178" s="1528"/>
      <c r="N178" s="1528"/>
      <c r="O178" s="1528"/>
      <c r="P178" s="1528"/>
      <c r="Q178" s="1528"/>
      <c r="R178" s="1528"/>
      <c r="S178" s="1528"/>
      <c r="T178" s="1528"/>
      <c r="U178" s="1528"/>
      <c r="V178" s="1528"/>
      <c r="W178" s="1528"/>
      <c r="X178" s="1528"/>
      <c r="Y178" s="1528"/>
      <c r="Z178" s="1528"/>
      <c r="AA178" s="1528"/>
      <c r="AB178" s="1528"/>
      <c r="AC178" s="1528"/>
      <c r="AD178" s="1528"/>
      <c r="AE178" s="1528"/>
      <c r="AF178" s="1528"/>
      <c r="AG178" s="1528"/>
      <c r="AH178" s="1528"/>
      <c r="AI178" s="1528"/>
      <c r="AJ178" s="1528"/>
      <c r="AK178" s="1528"/>
      <c r="AL178" s="1528"/>
      <c r="AM178" s="1528"/>
      <c r="AN178" s="1528"/>
      <c r="AO178" s="1528"/>
      <c r="AP178" s="1528"/>
      <c r="AQ178" s="1528"/>
      <c r="AR178" s="1528"/>
      <c r="AS178" s="1528"/>
      <c r="AT178" s="1509"/>
      <c r="AU178" s="1509"/>
      <c r="AV178" s="1509"/>
      <c r="AW178" s="1516"/>
      <c r="AX178" s="1499"/>
      <c r="BC178" s="1517"/>
    </row>
    <row r="179" spans="1:55" s="1498" customFormat="1" ht="13" customHeight="1">
      <c r="A179" s="1472"/>
      <c r="B179" s="1500"/>
      <c r="C179" s="1531"/>
      <c r="D179" s="1531"/>
      <c r="E179" s="1531"/>
      <c r="F179" s="1531"/>
      <c r="G179" s="1531"/>
      <c r="H179" s="1531"/>
      <c r="I179" s="1500"/>
      <c r="J179" s="1528"/>
      <c r="K179" s="1528"/>
      <c r="L179" s="1528"/>
      <c r="M179" s="1528"/>
      <c r="N179" s="1528"/>
      <c r="O179" s="1528"/>
      <c r="P179" s="1528"/>
      <c r="Q179" s="1528"/>
      <c r="R179" s="1528"/>
      <c r="S179" s="1528"/>
      <c r="T179" s="1528"/>
      <c r="U179" s="1528"/>
      <c r="V179" s="1528"/>
      <c r="W179" s="1528"/>
      <c r="X179" s="1528"/>
      <c r="Y179" s="1528"/>
      <c r="Z179" s="1528"/>
      <c r="AA179" s="1528"/>
      <c r="AB179" s="1528"/>
      <c r="AC179" s="1528"/>
      <c r="AD179" s="1528"/>
      <c r="AE179" s="1528"/>
      <c r="AF179" s="1528"/>
      <c r="AG179" s="1528"/>
      <c r="AH179" s="1528"/>
      <c r="AI179" s="1528"/>
      <c r="AJ179" s="1528"/>
      <c r="AK179" s="1528"/>
      <c r="AL179" s="1528"/>
      <c r="AM179" s="1528"/>
      <c r="AN179" s="1528"/>
      <c r="AO179" s="1528"/>
      <c r="AP179" s="1528"/>
      <c r="AQ179" s="1528"/>
      <c r="AR179" s="1528"/>
      <c r="AS179" s="1528"/>
      <c r="AT179" s="1509"/>
      <c r="AU179" s="1509"/>
      <c r="AV179" s="1509"/>
      <c r="AW179" s="1516"/>
      <c r="AX179" s="1499"/>
      <c r="BC179" s="1517"/>
    </row>
    <row r="180" spans="1:55" s="1498" customFormat="1" ht="13" customHeight="1">
      <c r="A180" s="1472"/>
      <c r="B180" s="1500"/>
      <c r="C180" s="1531"/>
      <c r="D180" s="1531"/>
      <c r="E180" s="1531"/>
      <c r="F180" s="1531"/>
      <c r="G180" s="1531"/>
      <c r="H180" s="1531"/>
      <c r="I180" s="1500"/>
      <c r="J180" s="1528"/>
      <c r="K180" s="1528"/>
      <c r="L180" s="1528"/>
      <c r="M180" s="1528"/>
      <c r="N180" s="1528"/>
      <c r="O180" s="1528"/>
      <c r="P180" s="1528"/>
      <c r="Q180" s="1528"/>
      <c r="R180" s="1528"/>
      <c r="S180" s="1528"/>
      <c r="T180" s="1528"/>
      <c r="U180" s="1528"/>
      <c r="V180" s="1528"/>
      <c r="W180" s="1528"/>
      <c r="X180" s="1528"/>
      <c r="Y180" s="1528"/>
      <c r="Z180" s="1528"/>
      <c r="AA180" s="1528"/>
      <c r="AB180" s="1528"/>
      <c r="AC180" s="1528"/>
      <c r="AD180" s="1528"/>
      <c r="AE180" s="1528"/>
      <c r="AF180" s="1528"/>
      <c r="AG180" s="1528"/>
      <c r="AH180" s="1528"/>
      <c r="AI180" s="1528"/>
      <c r="AJ180" s="1528"/>
      <c r="AK180" s="1528"/>
      <c r="AL180" s="1528"/>
      <c r="AM180" s="1528"/>
      <c r="AN180" s="1528"/>
      <c r="AO180" s="1528"/>
      <c r="AP180" s="1528"/>
      <c r="AQ180" s="1528"/>
      <c r="AR180" s="1528"/>
      <c r="AS180" s="1528"/>
      <c r="AT180" s="1509"/>
      <c r="AU180" s="1509"/>
      <c r="AV180" s="1509"/>
      <c r="AW180" s="1516"/>
      <c r="AX180" s="1499"/>
      <c r="BC180" s="1517"/>
    </row>
    <row r="181" spans="1:55" s="1498" customFormat="1" ht="13" customHeight="1">
      <c r="A181" s="1472"/>
      <c r="B181" s="1500"/>
      <c r="C181" s="1531"/>
      <c r="D181" s="1531"/>
      <c r="E181" s="1531"/>
      <c r="F181" s="1531"/>
      <c r="G181" s="1531"/>
      <c r="H181" s="1531"/>
      <c r="I181" s="1500"/>
      <c r="J181" s="1528"/>
      <c r="K181" s="1528"/>
      <c r="L181" s="1528"/>
      <c r="M181" s="1528"/>
      <c r="N181" s="1528"/>
      <c r="O181" s="1528"/>
      <c r="P181" s="1528"/>
      <c r="Q181" s="1528"/>
      <c r="R181" s="1528"/>
      <c r="S181" s="1528"/>
      <c r="T181" s="1528"/>
      <c r="U181" s="1528"/>
      <c r="V181" s="1528"/>
      <c r="W181" s="1528"/>
      <c r="X181" s="1528"/>
      <c r="Y181" s="1528"/>
      <c r="Z181" s="1528"/>
      <c r="AA181" s="1528"/>
      <c r="AB181" s="1528"/>
      <c r="AC181" s="1528"/>
      <c r="AD181" s="1528"/>
      <c r="AE181" s="1528"/>
      <c r="AF181" s="1528"/>
      <c r="AG181" s="1528"/>
      <c r="AH181" s="1528"/>
      <c r="AI181" s="1528"/>
      <c r="AJ181" s="1528"/>
      <c r="AK181" s="1528"/>
      <c r="AL181" s="1528"/>
      <c r="AM181" s="1528"/>
      <c r="AN181" s="1528"/>
      <c r="AO181" s="1528"/>
      <c r="AP181" s="1528"/>
      <c r="AQ181" s="1528"/>
      <c r="AR181" s="1528"/>
      <c r="AS181" s="1528"/>
      <c r="AT181" s="1509"/>
      <c r="AU181" s="1509"/>
      <c r="AV181" s="1509"/>
      <c r="AW181" s="1516"/>
      <c r="AX181" s="1499"/>
      <c r="BC181" s="1517"/>
    </row>
    <row r="182" spans="1:55" s="1498" customFormat="1" ht="13" customHeight="1">
      <c r="A182" s="1472"/>
      <c r="B182" s="1500"/>
      <c r="C182" s="1531"/>
      <c r="D182" s="1531"/>
      <c r="E182" s="1531"/>
      <c r="F182" s="1531"/>
      <c r="G182" s="1531"/>
      <c r="H182" s="1531"/>
      <c r="I182" s="1500"/>
      <c r="J182" s="1528"/>
      <c r="K182" s="1528"/>
      <c r="L182" s="1528"/>
      <c r="M182" s="1528"/>
      <c r="N182" s="1528"/>
      <c r="O182" s="1528"/>
      <c r="P182" s="1528"/>
      <c r="Q182" s="1528"/>
      <c r="R182" s="1528"/>
      <c r="S182" s="1528"/>
      <c r="T182" s="1528"/>
      <c r="U182" s="1528"/>
      <c r="V182" s="1528"/>
      <c r="W182" s="1528"/>
      <c r="X182" s="1528"/>
      <c r="Y182" s="1528"/>
      <c r="Z182" s="1528"/>
      <c r="AA182" s="1528"/>
      <c r="AB182" s="1528"/>
      <c r="AC182" s="1528"/>
      <c r="AD182" s="1528"/>
      <c r="AE182" s="1528"/>
      <c r="AF182" s="1528"/>
      <c r="AG182" s="1528"/>
      <c r="AH182" s="1528"/>
      <c r="AI182" s="1528"/>
      <c r="AJ182" s="1528"/>
      <c r="AK182" s="1528"/>
      <c r="AL182" s="1528"/>
      <c r="AM182" s="1528"/>
      <c r="AN182" s="1528"/>
      <c r="AO182" s="1528"/>
      <c r="AP182" s="1528"/>
      <c r="AQ182" s="1528"/>
      <c r="AR182" s="1528"/>
      <c r="AS182" s="1528"/>
      <c r="AT182" s="1509"/>
      <c r="AU182" s="1509"/>
      <c r="AV182" s="1509"/>
      <c r="AW182" s="1516"/>
      <c r="AX182" s="1499"/>
      <c r="BC182" s="1517"/>
    </row>
    <row r="183" spans="1:55" s="1498" customFormat="1" ht="13" customHeight="1">
      <c r="A183" s="1472"/>
      <c r="B183" s="1500"/>
      <c r="C183" s="1531"/>
      <c r="D183" s="1531"/>
      <c r="E183" s="1531"/>
      <c r="F183" s="1531"/>
      <c r="G183" s="1531"/>
      <c r="H183" s="1531"/>
      <c r="I183" s="1500"/>
      <c r="J183" s="1528"/>
      <c r="K183" s="1528"/>
      <c r="L183" s="1528"/>
      <c r="M183" s="1528"/>
      <c r="N183" s="1528"/>
      <c r="O183" s="1528"/>
      <c r="P183" s="1528"/>
      <c r="Q183" s="1528"/>
      <c r="R183" s="1528"/>
      <c r="S183" s="1528"/>
      <c r="T183" s="1528"/>
      <c r="U183" s="1528"/>
      <c r="V183" s="1528"/>
      <c r="W183" s="1528"/>
      <c r="X183" s="1528"/>
      <c r="Y183" s="1528"/>
      <c r="Z183" s="1528"/>
      <c r="AA183" s="1528"/>
      <c r="AB183" s="1528"/>
      <c r="AC183" s="1528"/>
      <c r="AD183" s="1528"/>
      <c r="AE183" s="1528"/>
      <c r="AF183" s="1528"/>
      <c r="AG183" s="1528"/>
      <c r="AH183" s="1528"/>
      <c r="AI183" s="1528"/>
      <c r="AJ183" s="1528"/>
      <c r="AK183" s="1528"/>
      <c r="AL183" s="1528"/>
      <c r="AM183" s="1528"/>
      <c r="AN183" s="1528"/>
      <c r="AO183" s="1528"/>
      <c r="AP183" s="1528"/>
      <c r="AQ183" s="1528"/>
      <c r="AR183" s="1528"/>
      <c r="AS183" s="1528"/>
      <c r="AT183" s="1509"/>
      <c r="AU183" s="1509"/>
      <c r="AV183" s="1509"/>
      <c r="AW183" s="1516"/>
      <c r="AX183" s="1499"/>
      <c r="BC183" s="1517"/>
    </row>
    <row r="184" spans="1:55" s="1498" customFormat="1" ht="13" customHeight="1">
      <c r="A184" s="1472"/>
      <c r="B184" s="1500"/>
      <c r="C184" s="1531"/>
      <c r="D184" s="1531"/>
      <c r="E184" s="1531"/>
      <c r="F184" s="1531"/>
      <c r="G184" s="1531"/>
      <c r="H184" s="1531"/>
      <c r="I184" s="1500"/>
      <c r="J184" s="1528"/>
      <c r="K184" s="1528"/>
      <c r="L184" s="1528"/>
      <c r="M184" s="1528"/>
      <c r="N184" s="1528"/>
      <c r="O184" s="1528"/>
      <c r="P184" s="1528"/>
      <c r="Q184" s="1528"/>
      <c r="R184" s="1528"/>
      <c r="S184" s="1528"/>
      <c r="T184" s="1528"/>
      <c r="U184" s="1528"/>
      <c r="V184" s="1528"/>
      <c r="W184" s="1528"/>
      <c r="X184" s="1528"/>
      <c r="Y184" s="1528"/>
      <c r="Z184" s="1528"/>
      <c r="AA184" s="1528"/>
      <c r="AB184" s="1528"/>
      <c r="AC184" s="1528"/>
      <c r="AD184" s="1528"/>
      <c r="AE184" s="1528"/>
      <c r="AF184" s="1528"/>
      <c r="AG184" s="1528"/>
      <c r="AH184" s="1528"/>
      <c r="AI184" s="1528"/>
      <c r="AJ184" s="1528"/>
      <c r="AK184" s="1528"/>
      <c r="AL184" s="1528"/>
      <c r="AM184" s="1528"/>
      <c r="AN184" s="1528"/>
      <c r="AO184" s="1528"/>
      <c r="AP184" s="1528"/>
      <c r="AQ184" s="1528"/>
      <c r="AR184" s="1528"/>
      <c r="AS184" s="1528"/>
      <c r="AT184" s="1509"/>
      <c r="AU184" s="1509"/>
      <c r="AV184" s="1509"/>
      <c r="AW184" s="1516"/>
      <c r="AX184" s="1499"/>
      <c r="BC184" s="1517"/>
    </row>
    <row r="185" spans="1:55" s="1498" customFormat="1" ht="13" customHeight="1">
      <c r="A185" s="1472"/>
      <c r="B185" s="1500"/>
      <c r="C185" s="1531"/>
      <c r="D185" s="1531"/>
      <c r="E185" s="1531"/>
      <c r="F185" s="1531"/>
      <c r="G185" s="1531"/>
      <c r="H185" s="1531"/>
      <c r="I185" s="1500"/>
      <c r="J185" s="1528"/>
      <c r="K185" s="1528"/>
      <c r="L185" s="1528"/>
      <c r="M185" s="1528"/>
      <c r="N185" s="1528"/>
      <c r="O185" s="1528"/>
      <c r="P185" s="1528"/>
      <c r="Q185" s="1528"/>
      <c r="R185" s="1528"/>
      <c r="S185" s="1528"/>
      <c r="T185" s="1528"/>
      <c r="U185" s="1528"/>
      <c r="V185" s="1528"/>
      <c r="W185" s="1528"/>
      <c r="X185" s="1528"/>
      <c r="Y185" s="1528"/>
      <c r="Z185" s="1528"/>
      <c r="AA185" s="1528"/>
      <c r="AB185" s="1528"/>
      <c r="AC185" s="1528"/>
      <c r="AD185" s="1528"/>
      <c r="AE185" s="1528"/>
      <c r="AF185" s="1528"/>
      <c r="AG185" s="1528"/>
      <c r="AH185" s="1528"/>
      <c r="AI185" s="1528"/>
      <c r="AJ185" s="1528"/>
      <c r="AK185" s="1528"/>
      <c r="AL185" s="1528"/>
      <c r="AM185" s="1528"/>
      <c r="AN185" s="1528"/>
      <c r="AO185" s="1528"/>
      <c r="AP185" s="1528"/>
      <c r="AQ185" s="1528"/>
      <c r="AR185" s="1528"/>
      <c r="AS185" s="1528"/>
      <c r="AT185" s="1509"/>
      <c r="AU185" s="1509"/>
      <c r="AV185" s="1509"/>
      <c r="AW185" s="1516"/>
      <c r="AX185" s="1499"/>
      <c r="BC185" s="1517"/>
    </row>
    <row r="186" spans="1:55" s="1498" customFormat="1" ht="13" customHeight="1">
      <c r="A186" s="1472"/>
      <c r="B186" s="1500"/>
      <c r="C186" s="1531"/>
      <c r="D186" s="1531"/>
      <c r="E186" s="1531"/>
      <c r="F186" s="1531"/>
      <c r="G186" s="1531"/>
      <c r="H186" s="1531"/>
      <c r="I186" s="1500"/>
      <c r="J186" s="1528"/>
      <c r="K186" s="1528"/>
      <c r="L186" s="1528"/>
      <c r="M186" s="1528"/>
      <c r="N186" s="1528"/>
      <c r="O186" s="1528"/>
      <c r="P186" s="1528"/>
      <c r="Q186" s="1528"/>
      <c r="R186" s="1528"/>
      <c r="S186" s="1528"/>
      <c r="T186" s="1528"/>
      <c r="U186" s="1528"/>
      <c r="V186" s="1528"/>
      <c r="W186" s="1528"/>
      <c r="X186" s="1528"/>
      <c r="Y186" s="1528"/>
      <c r="Z186" s="1528"/>
      <c r="AA186" s="1528"/>
      <c r="AB186" s="1528"/>
      <c r="AC186" s="1528"/>
      <c r="AD186" s="1528"/>
      <c r="AE186" s="1528"/>
      <c r="AF186" s="1528"/>
      <c r="AG186" s="1528"/>
      <c r="AH186" s="1528"/>
      <c r="AI186" s="1528"/>
      <c r="AJ186" s="1528"/>
      <c r="AK186" s="1528"/>
      <c r="AL186" s="1528"/>
      <c r="AM186" s="1528"/>
      <c r="AN186" s="1528"/>
      <c r="AO186" s="1528"/>
      <c r="AP186" s="1528"/>
      <c r="AQ186" s="1528"/>
      <c r="AR186" s="1528"/>
      <c r="AS186" s="1528"/>
      <c r="AT186" s="1509"/>
      <c r="AU186" s="1509"/>
      <c r="AV186" s="1509"/>
      <c r="AW186" s="1516"/>
      <c r="AX186" s="1499"/>
      <c r="BC186" s="1517"/>
    </row>
    <row r="187" spans="1:55" s="1498" customFormat="1" ht="13" customHeight="1">
      <c r="A187" s="1499"/>
      <c r="C187" s="1491"/>
      <c r="D187" s="1491"/>
      <c r="E187" s="1491"/>
      <c r="F187" s="1491"/>
      <c r="G187" s="1491"/>
      <c r="H187" s="1491"/>
      <c r="I187" s="1527"/>
      <c r="J187" s="1037"/>
      <c r="K187" s="1037"/>
      <c r="L187" s="1037"/>
      <c r="M187" s="1037"/>
      <c r="N187" s="1037"/>
      <c r="O187" s="1037"/>
      <c r="P187" s="1037"/>
      <c r="Q187" s="1037"/>
      <c r="R187" s="1037"/>
      <c r="S187" s="1037"/>
      <c r="T187" s="1037"/>
      <c r="U187" s="1037"/>
      <c r="V187" s="1037"/>
      <c r="W187" s="1037"/>
      <c r="X187" s="1037"/>
      <c r="Y187" s="1037"/>
      <c r="Z187" s="1037"/>
      <c r="AA187" s="1037"/>
      <c r="AB187" s="1037"/>
      <c r="AC187" s="1037"/>
      <c r="AD187" s="1037"/>
      <c r="AE187" s="1037"/>
      <c r="AF187" s="1037"/>
      <c r="AG187" s="1037"/>
      <c r="AH187" s="1037"/>
      <c r="AI187" s="1037"/>
      <c r="AJ187" s="1037"/>
      <c r="AK187" s="1037"/>
      <c r="AL187" s="1037"/>
      <c r="AM187" s="1037"/>
      <c r="AN187" s="1037"/>
      <c r="AO187" s="1037"/>
      <c r="AP187" s="1037"/>
      <c r="AQ187" s="1037"/>
      <c r="AR187" s="1037"/>
      <c r="AS187" s="1037"/>
      <c r="AT187" s="1509"/>
      <c r="AU187" s="1509"/>
      <c r="AV187" s="1509"/>
      <c r="AW187" s="1516"/>
      <c r="AX187" s="1499"/>
      <c r="BC187" s="1517"/>
    </row>
    <row r="188" spans="1:55" ht="14.15" customHeight="1">
      <c r="B188" s="2788" t="s">
        <v>445</v>
      </c>
      <c r="C188" s="2788"/>
      <c r="D188" s="2788"/>
      <c r="E188" s="2788"/>
      <c r="F188" s="2788"/>
      <c r="G188" s="2788"/>
      <c r="H188" s="2788"/>
      <c r="I188" s="2788"/>
      <c r="J188" s="2788"/>
      <c r="K188" s="2788"/>
      <c r="L188" s="2788"/>
      <c r="M188" s="2788"/>
      <c r="N188" s="2788"/>
      <c r="O188" s="2788"/>
      <c r="P188" s="2788"/>
      <c r="Q188" s="2788"/>
      <c r="R188" s="2788"/>
      <c r="S188" s="2788"/>
      <c r="T188" s="2788"/>
      <c r="U188" s="2788"/>
      <c r="V188" s="2788"/>
      <c r="W188" s="2788"/>
      <c r="X188" s="2788"/>
      <c r="Y188" s="2788"/>
      <c r="Z188" s="2788"/>
      <c r="AA188" s="2788"/>
      <c r="AB188" s="2788"/>
      <c r="AC188" s="2788"/>
      <c r="AD188" s="2788"/>
      <c r="AE188" s="2788"/>
      <c r="AF188" s="2788"/>
      <c r="AG188" s="2788"/>
      <c r="AH188" s="2788"/>
      <c r="AI188" s="2788"/>
      <c r="AJ188" s="2788"/>
      <c r="AK188" s="2788"/>
      <c r="AL188" s="2788"/>
      <c r="AM188" s="2788"/>
      <c r="AN188" s="2788"/>
      <c r="AO188" s="2788"/>
      <c r="AP188" s="2788"/>
      <c r="AQ188" s="2788"/>
      <c r="AR188" s="2788"/>
      <c r="AS188" s="2788"/>
      <c r="AT188" s="2788"/>
      <c r="AU188" s="1497"/>
      <c r="AZ188" s="1492"/>
    </row>
    <row r="189" spans="1:55" ht="14.15" customHeight="1">
      <c r="B189" s="1461" t="s">
        <v>446</v>
      </c>
      <c r="AG189" s="1499"/>
      <c r="AH189" s="1499"/>
    </row>
    <row r="190" spans="1:55" ht="4.5" customHeight="1"/>
    <row r="191" spans="1:55" ht="4.5" customHeight="1"/>
    <row r="192" spans="1:55" ht="14.15" customHeight="1">
      <c r="B192" s="1470" t="s">
        <v>447</v>
      </c>
    </row>
    <row r="193" spans="2:45" ht="13" customHeight="1">
      <c r="D193" s="1470" t="s">
        <v>448</v>
      </c>
      <c r="O193" s="1486" t="str">
        <f>'1_入力シート【基本情報】'!DO116</f>
        <v/>
      </c>
      <c r="P193" s="1533" t="s">
        <v>449</v>
      </c>
      <c r="V193" s="1486" t="str">
        <f>'1_入力シート【基本情報】'!DP116</f>
        <v/>
      </c>
      <c r="W193" s="1534" t="s">
        <v>268</v>
      </c>
    </row>
    <row r="194" spans="2:45" ht="13" customHeight="1">
      <c r="D194" s="1470"/>
      <c r="O194" s="1486" t="str">
        <f>IF(OR('1_入力シート【基本情報】'!DQ116="レ",'1_入力シート【基本情報】'!DR116="レ"),"レ","")</f>
        <v/>
      </c>
      <c r="P194" s="1533" t="s">
        <v>450</v>
      </c>
      <c r="T194" s="2777" t="str">
        <f>IF('1_入力シート【基本情報】'!DQ116="レ",'1_入力シート【基本情報】'!DQ115,"")&amp;IF(AND('1_入力シート【基本情報】'!DQ116="レ",'1_入力シート【基本情報】'!DR116="レ"),"、","")&amp;IF('1_入力シート【基本情報】'!AB118="","",'1_入力シート【基本情報】'!AB118)</f>
        <v/>
      </c>
      <c r="U194" s="2777"/>
      <c r="V194" s="2777"/>
      <c r="W194" s="2777"/>
      <c r="X194" s="2777"/>
      <c r="Y194" s="2777"/>
      <c r="Z194" s="2777"/>
      <c r="AA194" s="2777"/>
      <c r="AB194" s="2777"/>
      <c r="AC194" s="2777"/>
      <c r="AD194" s="2777"/>
      <c r="AE194" s="2777"/>
      <c r="AF194" s="1461" t="s">
        <v>22</v>
      </c>
      <c r="AI194" s="1486" t="str">
        <f>'1_入力シート【基本情報】'!DS116</f>
        <v/>
      </c>
      <c r="AJ194" s="1534" t="s">
        <v>270</v>
      </c>
    </row>
    <row r="195" spans="2:45" ht="13" customHeight="1">
      <c r="D195" s="1470" t="s">
        <v>451</v>
      </c>
      <c r="O195" s="2843" t="str">
        <f>IF('1_入力シート【基本情報】'!AB119="","",SUBSTITUTE(TRIM('1_入力シート【基本情報】'!AB119&amp;"　"&amp;'1_入力シート【基本情報】'!AB120&amp;"　"&amp;'1_入力シート【基本情報】'!AB121),"　","、"))</f>
        <v/>
      </c>
      <c r="P195" s="2843"/>
      <c r="Q195" s="2843"/>
      <c r="R195" s="2843"/>
      <c r="S195" s="2843"/>
      <c r="T195" s="2843"/>
      <c r="U195" s="2843"/>
      <c r="V195" s="2843"/>
      <c r="W195" s="2843"/>
      <c r="X195" s="2843"/>
      <c r="Y195" s="2843"/>
      <c r="Z195" s="2843"/>
      <c r="AA195" s="2843"/>
      <c r="AB195" s="2843"/>
      <c r="AC195" s="2843"/>
      <c r="AD195" s="2843"/>
      <c r="AE195" s="2843"/>
      <c r="AF195" s="2843"/>
      <c r="AG195" s="2843"/>
      <c r="AH195" s="2843"/>
      <c r="AI195" s="2843"/>
      <c r="AJ195" s="2843"/>
      <c r="AK195" s="2843"/>
      <c r="AL195" s="2843"/>
      <c r="AM195" s="2843"/>
      <c r="AN195" s="2843"/>
      <c r="AO195" s="2843"/>
      <c r="AP195" s="2843"/>
      <c r="AQ195" s="2843"/>
      <c r="AR195" s="2843"/>
      <c r="AS195" s="2843"/>
    </row>
    <row r="196" spans="2:45" ht="12" hidden="1" customHeight="1">
      <c r="N196" s="1535"/>
    </row>
    <row r="197" spans="2:45" ht="12" hidden="1" customHeight="1">
      <c r="N197" s="1535"/>
    </row>
    <row r="198" spans="2:45" ht="12" hidden="1" customHeight="1">
      <c r="N198" s="1535"/>
    </row>
    <row r="199" spans="2:45" ht="4.5" customHeight="1"/>
    <row r="200" spans="2:45" ht="4.5" customHeight="1"/>
    <row r="201" spans="2:45" ht="14.15" customHeight="1">
      <c r="B201" s="1470" t="s">
        <v>452</v>
      </c>
    </row>
    <row r="202" spans="2:45" ht="13" customHeight="1">
      <c r="D202" s="1470" t="s">
        <v>453</v>
      </c>
      <c r="O202" s="1486" t="str">
        <f>'1_入力シート【基本情報】'!DO128</f>
        <v/>
      </c>
      <c r="P202" s="1536" t="s">
        <v>454</v>
      </c>
      <c r="AA202" s="1486" t="str">
        <f>'1_入力シート【基本情報】'!DP128</f>
        <v/>
      </c>
      <c r="AB202" s="1461" t="s">
        <v>455</v>
      </c>
      <c r="AI202" s="1487"/>
      <c r="AJ202" s="1487"/>
      <c r="AK202" s="1487"/>
      <c r="AL202" s="1487"/>
      <c r="AM202" s="1487"/>
      <c r="AN202" s="1487"/>
    </row>
    <row r="203" spans="2:45" ht="13" customHeight="1">
      <c r="D203" s="1470"/>
      <c r="O203" s="1486" t="str">
        <f>'1_入力シート【基本情報】'!DQ128</f>
        <v/>
      </c>
      <c r="P203" s="1536" t="s">
        <v>456</v>
      </c>
      <c r="Q203" s="1534"/>
      <c r="AA203" s="1486" t="str">
        <f>'1_入力シート【基本情報】'!DR128</f>
        <v/>
      </c>
      <c r="AB203" s="1461" t="s">
        <v>450</v>
      </c>
      <c r="AC203" s="1534"/>
      <c r="AD203" s="1534"/>
      <c r="AE203" s="1534"/>
      <c r="AF203" s="2777" t="str">
        <f>IF('1_入力シート【基本情報】'!AB130="","",'1_入力シート【基本情報】'!AB130)</f>
        <v/>
      </c>
      <c r="AG203" s="2777"/>
      <c r="AH203" s="2777"/>
      <c r="AI203" s="2777"/>
      <c r="AJ203" s="2777"/>
      <c r="AK203" s="2777"/>
      <c r="AL203" s="2777"/>
      <c r="AM203" s="2777"/>
      <c r="AN203" s="2777"/>
      <c r="AO203" s="2777"/>
      <c r="AP203" s="2777"/>
      <c r="AQ203" s="2777"/>
      <c r="AR203" s="1534" t="s">
        <v>22</v>
      </c>
    </row>
    <row r="204" spans="2:45" ht="13" customHeight="1">
      <c r="D204" s="1470" t="s">
        <v>457</v>
      </c>
      <c r="P204" s="1536" t="s">
        <v>283</v>
      </c>
      <c r="R204" s="2778" t="str">
        <f>IF('1_入力シート【基本情報】'!AB131="","",'1_入力シート【基本情報】'!AB131)</f>
        <v/>
      </c>
      <c r="S204" s="2778"/>
      <c r="T204" s="2778"/>
      <c r="U204" s="1533" t="s">
        <v>17</v>
      </c>
      <c r="X204" s="1533" t="s">
        <v>284</v>
      </c>
      <c r="Z204" s="2778" t="str">
        <f>IF('1_入力シート【基本情報】'!AB132="","",'1_入力シート【基本情報】'!AB132)</f>
        <v/>
      </c>
      <c r="AA204" s="2778"/>
      <c r="AB204" s="2778"/>
      <c r="AC204" s="1536" t="s">
        <v>17</v>
      </c>
    </row>
    <row r="205" spans="2:45" ht="13" customHeight="1">
      <c r="D205" s="1470" t="s">
        <v>458</v>
      </c>
      <c r="O205" s="2776" t="str">
        <f>IF('1_入力シート【基本情報】'!AB133="","",'1_入力シート【基本情報】'!AB133)</f>
        <v/>
      </c>
      <c r="P205" s="2776"/>
      <c r="Q205" s="2776"/>
      <c r="R205" s="2776"/>
      <c r="S205" s="2776"/>
      <c r="T205" s="2776"/>
      <c r="U205" s="2776"/>
      <c r="V205" s="2776"/>
      <c r="W205" s="1536" t="s">
        <v>28</v>
      </c>
    </row>
    <row r="206" spans="2:45" ht="13" customHeight="1">
      <c r="D206" s="1470" t="s">
        <v>459</v>
      </c>
      <c r="O206" s="2776" t="str">
        <f>IF('1_入力シート【基本情報】'!AB134="","",'1_入力シート【基本情報】'!AB134)</f>
        <v/>
      </c>
      <c r="P206" s="2776"/>
      <c r="Q206" s="2776"/>
      <c r="R206" s="2776"/>
      <c r="S206" s="2776"/>
      <c r="T206" s="2776"/>
      <c r="U206" s="2776"/>
      <c r="V206" s="2776"/>
      <c r="W206" s="1536" t="s">
        <v>28</v>
      </c>
    </row>
    <row r="207" spans="2:45" ht="13" customHeight="1">
      <c r="D207" s="1470" t="s">
        <v>460</v>
      </c>
      <c r="O207" s="2776" t="str">
        <f>IF('2_入力シート【用途面積】'!E13=0,"",'2_入力シート【用途面積】'!E13)</f>
        <v/>
      </c>
      <c r="P207" s="2776"/>
      <c r="Q207" s="2776"/>
      <c r="R207" s="2776"/>
      <c r="S207" s="2776"/>
      <c r="T207" s="2776"/>
      <c r="U207" s="2776"/>
      <c r="V207" s="2776"/>
      <c r="W207" s="1536" t="s">
        <v>28</v>
      </c>
    </row>
    <row r="208" spans="2:45" ht="12" hidden="1" customHeight="1">
      <c r="N208" s="1535"/>
    </row>
    <row r="209" spans="2:44" ht="12" hidden="1" customHeight="1">
      <c r="N209" s="1535"/>
    </row>
    <row r="210" spans="2:44" ht="12" hidden="1" customHeight="1">
      <c r="N210" s="1535"/>
    </row>
    <row r="211" spans="2:44" ht="4.5" customHeight="1"/>
    <row r="212" spans="2:44" ht="4.5" customHeight="1"/>
    <row r="213" spans="2:44" ht="14.15" customHeight="1">
      <c r="B213" s="1470" t="s">
        <v>461</v>
      </c>
      <c r="U213" s="1470" t="s">
        <v>25</v>
      </c>
      <c r="W213" s="2788" t="s">
        <v>462</v>
      </c>
      <c r="X213" s="2788"/>
      <c r="Y213" s="2788"/>
      <c r="AA213" s="1461" t="s">
        <v>22</v>
      </c>
      <c r="AC213" s="1470" t="s">
        <v>25</v>
      </c>
      <c r="AE213" s="2788" t="s">
        <v>463</v>
      </c>
      <c r="AF213" s="2788"/>
      <c r="AG213" s="2788"/>
      <c r="AI213" s="1461" t="s">
        <v>22</v>
      </c>
      <c r="AJ213" s="2800" t="s">
        <v>954</v>
      </c>
      <c r="AK213" s="2800"/>
      <c r="AL213" s="2800"/>
      <c r="AM213" s="2800"/>
      <c r="AN213" s="2800"/>
      <c r="AO213" s="2800"/>
      <c r="AP213" s="2800"/>
      <c r="AQ213" s="2800"/>
      <c r="AR213" s="2800"/>
    </row>
    <row r="214" spans="2:44" ht="13" customHeight="1">
      <c r="D214" s="1470" t="s">
        <v>464</v>
      </c>
      <c r="N214" s="1470" t="s">
        <v>25</v>
      </c>
      <c r="O214" s="2778"/>
      <c r="P214" s="2778"/>
      <c r="Q214" s="2778"/>
      <c r="R214" s="1461" t="s">
        <v>330</v>
      </c>
      <c r="U214" s="1470" t="s">
        <v>25</v>
      </c>
      <c r="V214" s="2777"/>
      <c r="W214" s="2777"/>
      <c r="X214" s="2777"/>
      <c r="Y214" s="2777"/>
      <c r="Z214" s="2777"/>
      <c r="AA214" s="1461" t="s">
        <v>22</v>
      </c>
      <c r="AC214" s="1470" t="s">
        <v>25</v>
      </c>
      <c r="AD214" s="2776"/>
      <c r="AE214" s="2776"/>
      <c r="AF214" s="2776"/>
      <c r="AG214" s="2776"/>
      <c r="AH214" s="1536" t="s">
        <v>28</v>
      </c>
      <c r="AI214" s="1461" t="s">
        <v>22</v>
      </c>
    </row>
    <row r="215" spans="2:44" ht="13" customHeight="1">
      <c r="C215" s="1470"/>
      <c r="U215" s="1470" t="s">
        <v>25</v>
      </c>
      <c r="V215" s="2777"/>
      <c r="W215" s="2777"/>
      <c r="X215" s="2777"/>
      <c r="Y215" s="2777"/>
      <c r="Z215" s="2777"/>
      <c r="AA215" s="1461" t="s">
        <v>22</v>
      </c>
      <c r="AC215" s="1470" t="s">
        <v>25</v>
      </c>
      <c r="AD215" s="2776"/>
      <c r="AE215" s="2776"/>
      <c r="AF215" s="2776"/>
      <c r="AG215" s="2776"/>
      <c r="AH215" s="1536" t="s">
        <v>28</v>
      </c>
      <c r="AI215" s="1461" t="s">
        <v>22</v>
      </c>
    </row>
    <row r="216" spans="2:44" ht="13" customHeight="1">
      <c r="C216" s="1470"/>
      <c r="U216" s="1470" t="s">
        <v>25</v>
      </c>
      <c r="V216" s="2777"/>
      <c r="W216" s="2777"/>
      <c r="X216" s="2777"/>
      <c r="Y216" s="2777"/>
      <c r="Z216" s="2777"/>
      <c r="AA216" s="1461" t="s">
        <v>22</v>
      </c>
      <c r="AC216" s="1470" t="s">
        <v>25</v>
      </c>
      <c r="AD216" s="2776"/>
      <c r="AE216" s="2776"/>
      <c r="AF216" s="2776"/>
      <c r="AG216" s="2776"/>
      <c r="AH216" s="1536" t="s">
        <v>28</v>
      </c>
      <c r="AI216" s="1461" t="s">
        <v>22</v>
      </c>
    </row>
    <row r="217" spans="2:44" ht="13" customHeight="1">
      <c r="C217" s="1470"/>
      <c r="N217" s="1470" t="s">
        <v>25</v>
      </c>
      <c r="O217" s="2778"/>
      <c r="P217" s="2778"/>
      <c r="Q217" s="2778"/>
      <c r="R217" s="1461" t="s">
        <v>330</v>
      </c>
      <c r="U217" s="1470" t="s">
        <v>25</v>
      </c>
      <c r="V217" s="2777"/>
      <c r="W217" s="2777"/>
      <c r="X217" s="2777"/>
      <c r="Y217" s="2777"/>
      <c r="Z217" s="2777"/>
      <c r="AA217" s="1461" t="s">
        <v>22</v>
      </c>
      <c r="AC217" s="1470" t="s">
        <v>25</v>
      </c>
      <c r="AD217" s="2776"/>
      <c r="AE217" s="2776"/>
      <c r="AF217" s="2776"/>
      <c r="AG217" s="2776"/>
      <c r="AH217" s="1536" t="s">
        <v>28</v>
      </c>
      <c r="AI217" s="1461" t="s">
        <v>22</v>
      </c>
    </row>
    <row r="218" spans="2:44" ht="13" customHeight="1">
      <c r="C218" s="1470"/>
      <c r="U218" s="1470" t="s">
        <v>25</v>
      </c>
      <c r="V218" s="2777"/>
      <c r="W218" s="2777"/>
      <c r="X218" s="2777"/>
      <c r="Y218" s="2777"/>
      <c r="Z218" s="2777"/>
      <c r="AA218" s="1461" t="s">
        <v>22</v>
      </c>
      <c r="AC218" s="1470" t="s">
        <v>25</v>
      </c>
      <c r="AD218" s="2776"/>
      <c r="AE218" s="2776"/>
      <c r="AF218" s="2776"/>
      <c r="AG218" s="2776"/>
      <c r="AH218" s="1536" t="s">
        <v>28</v>
      </c>
      <c r="AI218" s="1461" t="s">
        <v>22</v>
      </c>
    </row>
    <row r="219" spans="2:44" ht="13" customHeight="1">
      <c r="C219" s="1470"/>
      <c r="U219" s="1470" t="s">
        <v>25</v>
      </c>
      <c r="V219" s="2777"/>
      <c r="W219" s="2777"/>
      <c r="X219" s="2777"/>
      <c r="Y219" s="2777"/>
      <c r="Z219" s="2777"/>
      <c r="AA219" s="1461" t="s">
        <v>22</v>
      </c>
      <c r="AC219" s="1470" t="s">
        <v>25</v>
      </c>
      <c r="AD219" s="2776"/>
      <c r="AE219" s="2776"/>
      <c r="AF219" s="2776"/>
      <c r="AG219" s="2776"/>
      <c r="AH219" s="1536" t="s">
        <v>28</v>
      </c>
      <c r="AI219" s="1461" t="s">
        <v>22</v>
      </c>
    </row>
    <row r="220" spans="2:44" ht="13" customHeight="1">
      <c r="C220" s="1470"/>
      <c r="N220" s="1470" t="s">
        <v>25</v>
      </c>
      <c r="O220" s="2778"/>
      <c r="P220" s="2778"/>
      <c r="Q220" s="2778"/>
      <c r="R220" s="1461" t="s">
        <v>330</v>
      </c>
      <c r="U220" s="1470" t="s">
        <v>25</v>
      </c>
      <c r="V220" s="2777"/>
      <c r="W220" s="2777"/>
      <c r="X220" s="2777"/>
      <c r="Y220" s="2777"/>
      <c r="Z220" s="2777"/>
      <c r="AA220" s="1461" t="s">
        <v>22</v>
      </c>
      <c r="AC220" s="1470" t="s">
        <v>25</v>
      </c>
      <c r="AD220" s="2776"/>
      <c r="AE220" s="2776"/>
      <c r="AF220" s="2776"/>
      <c r="AG220" s="2776"/>
      <c r="AH220" s="1536" t="s">
        <v>28</v>
      </c>
      <c r="AI220" s="1461" t="s">
        <v>22</v>
      </c>
    </row>
    <row r="221" spans="2:44" ht="13" customHeight="1">
      <c r="C221" s="1470"/>
      <c r="U221" s="1470" t="s">
        <v>25</v>
      </c>
      <c r="V221" s="2777"/>
      <c r="W221" s="2777"/>
      <c r="X221" s="2777"/>
      <c r="Y221" s="2777"/>
      <c r="Z221" s="2777"/>
      <c r="AA221" s="1461" t="s">
        <v>22</v>
      </c>
      <c r="AC221" s="1470" t="s">
        <v>25</v>
      </c>
      <c r="AD221" s="2776"/>
      <c r="AE221" s="2776"/>
      <c r="AF221" s="2776"/>
      <c r="AG221" s="2776"/>
      <c r="AH221" s="1536" t="s">
        <v>28</v>
      </c>
      <c r="AI221" s="1461" t="s">
        <v>22</v>
      </c>
    </row>
    <row r="222" spans="2:44" ht="13" customHeight="1">
      <c r="C222" s="1470"/>
      <c r="U222" s="1470" t="s">
        <v>25</v>
      </c>
      <c r="V222" s="2777"/>
      <c r="W222" s="2777"/>
      <c r="X222" s="2777"/>
      <c r="Y222" s="2777"/>
      <c r="Z222" s="2777"/>
      <c r="AA222" s="1461" t="s">
        <v>22</v>
      </c>
      <c r="AC222" s="1470" t="s">
        <v>25</v>
      </c>
      <c r="AD222" s="2776"/>
      <c r="AE222" s="2776"/>
      <c r="AF222" s="2776"/>
      <c r="AG222" s="2776"/>
      <c r="AH222" s="1536" t="s">
        <v>28</v>
      </c>
      <c r="AI222" s="1461" t="s">
        <v>22</v>
      </c>
    </row>
    <row r="223" spans="2:44" ht="13" customHeight="1">
      <c r="C223" s="1470"/>
      <c r="N223" s="1470" t="s">
        <v>25</v>
      </c>
      <c r="O223" s="2778"/>
      <c r="P223" s="2778"/>
      <c r="Q223" s="2778"/>
      <c r="R223" s="1461" t="s">
        <v>330</v>
      </c>
      <c r="U223" s="1470" t="s">
        <v>25</v>
      </c>
      <c r="V223" s="2777"/>
      <c r="W223" s="2777"/>
      <c r="X223" s="2777"/>
      <c r="Y223" s="2777"/>
      <c r="Z223" s="2777"/>
      <c r="AA223" s="1461" t="s">
        <v>22</v>
      </c>
      <c r="AC223" s="1470" t="s">
        <v>25</v>
      </c>
      <c r="AD223" s="2776"/>
      <c r="AE223" s="2776"/>
      <c r="AF223" s="2776"/>
      <c r="AG223" s="2776"/>
      <c r="AH223" s="1536" t="s">
        <v>28</v>
      </c>
      <c r="AI223" s="1461" t="s">
        <v>22</v>
      </c>
    </row>
    <row r="224" spans="2:44" ht="13" customHeight="1">
      <c r="C224" s="1470"/>
      <c r="U224" s="1470" t="s">
        <v>25</v>
      </c>
      <c r="V224" s="2777"/>
      <c r="W224" s="2777"/>
      <c r="X224" s="2777"/>
      <c r="Y224" s="2777"/>
      <c r="Z224" s="2777"/>
      <c r="AA224" s="1461" t="s">
        <v>22</v>
      </c>
      <c r="AC224" s="1470" t="s">
        <v>25</v>
      </c>
      <c r="AD224" s="2776"/>
      <c r="AE224" s="2776"/>
      <c r="AF224" s="2776"/>
      <c r="AG224" s="2776"/>
      <c r="AH224" s="1536" t="s">
        <v>28</v>
      </c>
      <c r="AI224" s="1461" t="s">
        <v>22</v>
      </c>
    </row>
    <row r="225" spans="2:46" ht="13" customHeight="1">
      <c r="C225" s="1470"/>
      <c r="U225" s="1470" t="s">
        <v>25</v>
      </c>
      <c r="V225" s="2777"/>
      <c r="W225" s="2777"/>
      <c r="X225" s="2777"/>
      <c r="Y225" s="2777"/>
      <c r="Z225" s="2777"/>
      <c r="AA225" s="1461" t="s">
        <v>22</v>
      </c>
      <c r="AC225" s="1470" t="s">
        <v>25</v>
      </c>
      <c r="AD225" s="2776"/>
      <c r="AE225" s="2776"/>
      <c r="AF225" s="2776"/>
      <c r="AG225" s="2776"/>
      <c r="AH225" s="1536" t="s">
        <v>28</v>
      </c>
      <c r="AI225" s="1461" t="s">
        <v>22</v>
      </c>
    </row>
    <row r="226" spans="2:46" ht="13" customHeight="1">
      <c r="C226" s="1470"/>
      <c r="N226" s="1470" t="s">
        <v>25</v>
      </c>
      <c r="O226" s="2778"/>
      <c r="P226" s="2778"/>
      <c r="Q226" s="2778"/>
      <c r="R226" s="1461" t="s">
        <v>330</v>
      </c>
      <c r="U226" s="1470" t="s">
        <v>25</v>
      </c>
      <c r="V226" s="2777"/>
      <c r="W226" s="2777"/>
      <c r="X226" s="2777"/>
      <c r="Y226" s="2777"/>
      <c r="Z226" s="2777"/>
      <c r="AA226" s="1461" t="s">
        <v>22</v>
      </c>
      <c r="AC226" s="1470" t="s">
        <v>25</v>
      </c>
      <c r="AD226" s="2776"/>
      <c r="AE226" s="2776"/>
      <c r="AF226" s="2776"/>
      <c r="AG226" s="2776"/>
      <c r="AH226" s="1536" t="s">
        <v>28</v>
      </c>
      <c r="AI226" s="1461" t="s">
        <v>22</v>
      </c>
    </row>
    <row r="227" spans="2:46" ht="13" customHeight="1">
      <c r="C227" s="1470"/>
      <c r="U227" s="1470" t="s">
        <v>25</v>
      </c>
      <c r="V227" s="2777"/>
      <c r="W227" s="2777"/>
      <c r="X227" s="2777"/>
      <c r="Y227" s="2777"/>
      <c r="Z227" s="2777"/>
      <c r="AA227" s="1461" t="s">
        <v>22</v>
      </c>
      <c r="AC227" s="1470" t="s">
        <v>25</v>
      </c>
      <c r="AD227" s="2776"/>
      <c r="AE227" s="2776"/>
      <c r="AF227" s="2776"/>
      <c r="AG227" s="2776"/>
      <c r="AH227" s="1536" t="s">
        <v>28</v>
      </c>
      <c r="AI227" s="1461" t="s">
        <v>22</v>
      </c>
    </row>
    <row r="228" spans="2:46" ht="13" customHeight="1">
      <c r="C228" s="1470"/>
      <c r="U228" s="1470" t="s">
        <v>25</v>
      </c>
      <c r="V228" s="2777"/>
      <c r="W228" s="2777"/>
      <c r="X228" s="2777"/>
      <c r="Y228" s="2777"/>
      <c r="Z228" s="2777"/>
      <c r="AA228" s="1461" t="s">
        <v>22</v>
      </c>
      <c r="AC228" s="1470" t="s">
        <v>25</v>
      </c>
      <c r="AD228" s="2776"/>
      <c r="AE228" s="2776"/>
      <c r="AF228" s="2776"/>
      <c r="AG228" s="2776"/>
      <c r="AH228" s="1536" t="s">
        <v>28</v>
      </c>
      <c r="AI228" s="1461" t="s">
        <v>22</v>
      </c>
    </row>
    <row r="229" spans="2:46" ht="13" customHeight="1">
      <c r="D229" s="1470" t="s">
        <v>465</v>
      </c>
      <c r="U229" s="1470" t="s">
        <v>25</v>
      </c>
      <c r="V229" s="2777"/>
      <c r="W229" s="2777"/>
      <c r="X229" s="2777"/>
      <c r="Y229" s="2777"/>
      <c r="Z229" s="2777"/>
      <c r="AA229" s="1461" t="s">
        <v>22</v>
      </c>
      <c r="AC229" s="1470" t="s">
        <v>25</v>
      </c>
      <c r="AD229" s="2776"/>
      <c r="AE229" s="2776"/>
      <c r="AF229" s="2776"/>
      <c r="AG229" s="2776"/>
      <c r="AH229" s="1536" t="s">
        <v>28</v>
      </c>
      <c r="AI229" s="1461" t="s">
        <v>22</v>
      </c>
    </row>
    <row r="230" spans="2:46" ht="13" customHeight="1">
      <c r="C230" s="1470"/>
      <c r="U230" s="1470" t="s">
        <v>25</v>
      </c>
      <c r="V230" s="2777"/>
      <c r="W230" s="2777"/>
      <c r="X230" s="2777"/>
      <c r="Y230" s="2777"/>
      <c r="Z230" s="2777"/>
      <c r="AA230" s="1461" t="s">
        <v>22</v>
      </c>
      <c r="AC230" s="1470" t="s">
        <v>25</v>
      </c>
      <c r="AD230" s="2776"/>
      <c r="AE230" s="2776"/>
      <c r="AF230" s="2776"/>
      <c r="AG230" s="2776"/>
      <c r="AH230" s="1536" t="s">
        <v>28</v>
      </c>
      <c r="AI230" s="1461" t="s">
        <v>22</v>
      </c>
    </row>
    <row r="231" spans="2:46" ht="13" customHeight="1">
      <c r="C231" s="1470"/>
      <c r="U231" s="1470" t="s">
        <v>25</v>
      </c>
      <c r="V231" s="2777"/>
      <c r="W231" s="2777"/>
      <c r="X231" s="2777"/>
      <c r="Y231" s="2777"/>
      <c r="Z231" s="2777"/>
      <c r="AA231" s="1461" t="s">
        <v>22</v>
      </c>
      <c r="AC231" s="1470" t="s">
        <v>25</v>
      </c>
      <c r="AD231" s="2776"/>
      <c r="AE231" s="2776"/>
      <c r="AF231" s="2776"/>
      <c r="AG231" s="2776"/>
      <c r="AH231" s="1536" t="s">
        <v>28</v>
      </c>
      <c r="AI231" s="1461" t="s">
        <v>22</v>
      </c>
    </row>
    <row r="232" spans="2:46" ht="13" hidden="1" customHeight="1">
      <c r="B232" s="1470" t="s">
        <v>466</v>
      </c>
    </row>
    <row r="233" spans="2:46" ht="13" hidden="1" customHeight="1">
      <c r="C233" s="1470" t="s">
        <v>425</v>
      </c>
      <c r="J233" s="1487" t="s">
        <v>467</v>
      </c>
      <c r="K233" s="2779"/>
      <c r="L233" s="2779"/>
      <c r="M233" s="1461" t="s">
        <v>468</v>
      </c>
      <c r="V233" s="1487"/>
      <c r="W233" s="1468" t="s">
        <v>25</v>
      </c>
      <c r="X233" s="2779"/>
      <c r="Y233" s="2779"/>
      <c r="Z233" s="2779"/>
      <c r="AA233" s="2779"/>
      <c r="AB233" s="2779"/>
      <c r="AC233" s="2779"/>
      <c r="AG233" s="1487" t="s">
        <v>469</v>
      </c>
      <c r="AH233" s="2861"/>
      <c r="AI233" s="2861"/>
      <c r="AJ233" s="2861"/>
      <c r="AK233" s="2861"/>
      <c r="AL233" s="2861"/>
      <c r="AM233" s="2861"/>
      <c r="AN233" s="2861"/>
      <c r="AO233" s="1461" t="s">
        <v>4</v>
      </c>
    </row>
    <row r="234" spans="2:46" ht="13" hidden="1" customHeight="1">
      <c r="C234" s="1470"/>
      <c r="J234" s="1461" t="s">
        <v>470</v>
      </c>
      <c r="AG234" s="1487" t="s">
        <v>3</v>
      </c>
      <c r="AH234" s="2861"/>
      <c r="AI234" s="2861"/>
      <c r="AJ234" s="2861"/>
      <c r="AK234" s="2861"/>
      <c r="AL234" s="2861"/>
      <c r="AM234" s="2861"/>
      <c r="AN234" s="2861"/>
      <c r="AO234" s="1461" t="s">
        <v>4</v>
      </c>
    </row>
    <row r="235" spans="2:46" ht="12" hidden="1" customHeight="1">
      <c r="C235" s="1470"/>
      <c r="J235" s="1461" t="s">
        <v>471</v>
      </c>
      <c r="AG235" s="1487" t="s">
        <v>3</v>
      </c>
      <c r="AH235" s="2861"/>
      <c r="AI235" s="2861"/>
      <c r="AJ235" s="2861"/>
      <c r="AK235" s="2861"/>
      <c r="AL235" s="2861"/>
      <c r="AM235" s="2861"/>
      <c r="AN235" s="2861"/>
      <c r="AO235" s="1461" t="s">
        <v>4</v>
      </c>
    </row>
    <row r="236" spans="2:46" ht="13" hidden="1" customHeight="1">
      <c r="C236" s="1470" t="s">
        <v>416</v>
      </c>
      <c r="N236" s="2829"/>
      <c r="O236" s="2829"/>
      <c r="P236" s="2829"/>
      <c r="Q236" s="2829"/>
      <c r="R236" s="2829"/>
      <c r="S236" s="2829"/>
      <c r="T236" s="2829"/>
      <c r="U236" s="2829"/>
      <c r="V236" s="2829"/>
      <c r="W236" s="2829"/>
      <c r="X236" s="2829"/>
      <c r="Y236" s="2829"/>
      <c r="Z236" s="2829"/>
      <c r="AA236" s="2829"/>
      <c r="AB236" s="2829"/>
      <c r="AC236" s="2829"/>
      <c r="AD236" s="2829"/>
      <c r="AE236" s="2829"/>
      <c r="AF236" s="2829"/>
      <c r="AG236" s="2829"/>
      <c r="AH236" s="2829"/>
      <c r="AI236" s="2829"/>
      <c r="AJ236" s="2829"/>
      <c r="AK236" s="2829"/>
      <c r="AL236" s="2829"/>
      <c r="AM236" s="2829"/>
      <c r="AN236" s="2829"/>
      <c r="AO236" s="2829"/>
      <c r="AP236" s="2829"/>
      <c r="AQ236" s="2829"/>
      <c r="AR236" s="2829"/>
      <c r="AS236" s="2829"/>
      <c r="AT236" s="2829"/>
    </row>
    <row r="237" spans="2:46" ht="13" hidden="1" customHeight="1">
      <c r="C237" s="1470" t="s">
        <v>472</v>
      </c>
      <c r="N237" s="2862"/>
      <c r="O237" s="2862"/>
      <c r="P237" s="2862"/>
      <c r="Q237" s="2862"/>
      <c r="R237" s="2862"/>
      <c r="S237" s="2862"/>
      <c r="T237" s="2862"/>
      <c r="U237" s="2862"/>
      <c r="V237" s="2862"/>
      <c r="W237" s="2862"/>
      <c r="X237" s="2862"/>
      <c r="Y237" s="2862"/>
      <c r="Z237" s="2862"/>
      <c r="AA237" s="2862"/>
      <c r="AB237" s="2862"/>
      <c r="AC237" s="2862"/>
      <c r="AD237" s="2862"/>
      <c r="AE237" s="2862"/>
      <c r="AF237" s="2862"/>
      <c r="AG237" s="2862"/>
      <c r="AH237" s="2862"/>
      <c r="AI237" s="2862"/>
      <c r="AJ237" s="2862"/>
      <c r="AK237" s="2862"/>
      <c r="AL237" s="2862"/>
      <c r="AM237" s="2862"/>
      <c r="AN237" s="2862"/>
      <c r="AO237" s="2862"/>
      <c r="AP237" s="2862"/>
      <c r="AQ237" s="2862"/>
      <c r="AR237" s="2862"/>
      <c r="AS237" s="2862"/>
      <c r="AT237" s="2862"/>
    </row>
    <row r="238" spans="2:46" ht="13" hidden="1" customHeight="1">
      <c r="C238" s="1470" t="s">
        <v>473</v>
      </c>
      <c r="N238" s="2829"/>
      <c r="O238" s="2829"/>
      <c r="P238" s="2829"/>
      <c r="Q238" s="2829"/>
      <c r="R238" s="2829"/>
      <c r="S238" s="2829"/>
      <c r="T238" s="2829"/>
      <c r="U238" s="2829"/>
      <c r="V238" s="2829"/>
      <c r="W238" s="2829"/>
      <c r="X238" s="2829"/>
      <c r="Y238" s="2829"/>
      <c r="Z238" s="2829"/>
      <c r="AA238" s="2829"/>
      <c r="AB238" s="2829"/>
      <c r="AC238" s="2829"/>
      <c r="AD238" s="2829"/>
      <c r="AE238" s="2829"/>
      <c r="AF238" s="2829"/>
      <c r="AG238" s="2829"/>
      <c r="AH238" s="2829"/>
      <c r="AI238" s="2829"/>
      <c r="AJ238" s="2829"/>
      <c r="AK238" s="2829"/>
      <c r="AL238" s="2829"/>
      <c r="AM238" s="2829"/>
      <c r="AN238" s="2829"/>
      <c r="AO238" s="2829"/>
      <c r="AP238" s="2829"/>
      <c r="AQ238" s="2829"/>
      <c r="AR238" s="2829"/>
      <c r="AS238" s="2829"/>
      <c r="AT238" s="2829"/>
    </row>
    <row r="239" spans="2:46" ht="13" hidden="1" customHeight="1">
      <c r="C239" s="1470"/>
      <c r="J239" s="1487" t="s">
        <v>467</v>
      </c>
      <c r="K239" s="2779"/>
      <c r="L239" s="2779"/>
      <c r="M239" s="1461" t="s">
        <v>474</v>
      </c>
      <c r="V239" s="1487"/>
      <c r="W239" s="1468" t="s">
        <v>25</v>
      </c>
      <c r="X239" s="2779"/>
      <c r="Y239" s="2779"/>
      <c r="Z239" s="2779"/>
      <c r="AA239" s="2779"/>
      <c r="AG239" s="1487" t="s">
        <v>475</v>
      </c>
      <c r="AH239" s="2861"/>
      <c r="AI239" s="2861"/>
      <c r="AJ239" s="2861"/>
      <c r="AK239" s="2861"/>
      <c r="AL239" s="2861"/>
      <c r="AM239" s="2861"/>
      <c r="AN239" s="2861"/>
      <c r="AO239" s="1461" t="s">
        <v>4</v>
      </c>
    </row>
    <row r="240" spans="2:46" ht="13" hidden="1" customHeight="1">
      <c r="C240" s="1470" t="s">
        <v>476</v>
      </c>
      <c r="N240" s="2864"/>
      <c r="O240" s="2864"/>
      <c r="P240" s="2864"/>
      <c r="Q240" s="2864"/>
      <c r="R240" s="2864"/>
      <c r="S240" s="2864"/>
      <c r="T240" s="2864"/>
      <c r="U240" s="2864"/>
      <c r="V240" s="2864"/>
      <c r="W240" s="1476"/>
      <c r="X240" s="1476"/>
      <c r="Y240" s="1476"/>
      <c r="Z240" s="1476"/>
      <c r="AA240" s="1476"/>
      <c r="AB240" s="1476"/>
      <c r="AC240" s="1476"/>
      <c r="AD240" s="1476"/>
      <c r="AE240" s="1476"/>
      <c r="AF240" s="1476"/>
      <c r="AG240" s="1476"/>
      <c r="AH240" s="1476"/>
      <c r="AI240" s="1476"/>
      <c r="AJ240" s="1476"/>
      <c r="AK240" s="1476"/>
      <c r="AL240" s="1476"/>
      <c r="AM240" s="1476"/>
      <c r="AN240" s="1476"/>
      <c r="AO240" s="1476"/>
      <c r="AP240" s="1477"/>
    </row>
    <row r="241" spans="2:46" ht="13" hidden="1" customHeight="1">
      <c r="C241" s="1470" t="s">
        <v>477</v>
      </c>
      <c r="N241" s="2829"/>
      <c r="O241" s="2829"/>
      <c r="P241" s="2829"/>
      <c r="Q241" s="2829"/>
      <c r="R241" s="2829"/>
      <c r="S241" s="2829"/>
      <c r="T241" s="2829"/>
      <c r="U241" s="2829"/>
      <c r="V241" s="2829"/>
      <c r="W241" s="2829"/>
      <c r="X241" s="2829"/>
      <c r="Y241" s="2829"/>
      <c r="Z241" s="2829"/>
      <c r="AA241" s="2829"/>
      <c r="AB241" s="2829"/>
      <c r="AC241" s="2829"/>
      <c r="AD241" s="2829"/>
      <c r="AE241" s="2829"/>
      <c r="AF241" s="2829"/>
      <c r="AG241" s="2829"/>
      <c r="AH241" s="2829"/>
      <c r="AI241" s="2829"/>
      <c r="AJ241" s="2829"/>
      <c r="AK241" s="2829"/>
      <c r="AL241" s="2829"/>
      <c r="AM241" s="2829"/>
      <c r="AN241" s="2829"/>
      <c r="AO241" s="2829"/>
      <c r="AP241" s="2829"/>
      <c r="AQ241" s="2829"/>
      <c r="AR241" s="2829"/>
      <c r="AS241" s="2829"/>
      <c r="AT241" s="2829"/>
    </row>
    <row r="242" spans="2:46" ht="13" hidden="1" customHeight="1">
      <c r="C242" s="1470" t="s">
        <v>423</v>
      </c>
      <c r="N242" s="2862"/>
      <c r="O242" s="2862"/>
      <c r="P242" s="2862"/>
      <c r="Q242" s="2862"/>
      <c r="R242" s="2862"/>
      <c r="S242" s="2862"/>
      <c r="T242" s="2862"/>
      <c r="U242" s="2862"/>
      <c r="V242" s="2862"/>
      <c r="W242" s="2862"/>
      <c r="X242" s="2862"/>
      <c r="Y242" s="2862"/>
      <c r="Z242" s="2862"/>
      <c r="AA242" s="2862"/>
      <c r="AB242" s="2862"/>
      <c r="AC242" s="2862"/>
      <c r="AD242" s="2862"/>
      <c r="AE242" s="1537"/>
      <c r="AF242" s="1537"/>
      <c r="AG242" s="1537"/>
      <c r="AH242" s="1537"/>
      <c r="AI242" s="1537"/>
      <c r="AJ242" s="1537"/>
      <c r="AK242" s="1537"/>
      <c r="AL242" s="1537"/>
      <c r="AM242" s="1537"/>
      <c r="AN242" s="1537"/>
      <c r="AO242" s="1537"/>
      <c r="AP242" s="1538"/>
    </row>
    <row r="243" spans="2:46" ht="4.5" customHeight="1"/>
    <row r="244" spans="2:46" ht="4.5" customHeight="1"/>
    <row r="245" spans="2:46" ht="12" hidden="1" customHeight="1"/>
    <row r="246" spans="2:46" ht="12" hidden="1" customHeight="1"/>
    <row r="247" spans="2:46" ht="12" hidden="1" customHeight="1"/>
    <row r="248" spans="2:46" ht="14.15" customHeight="1">
      <c r="B248" s="1470" t="s">
        <v>478</v>
      </c>
      <c r="O248" s="1486" t="str">
        <f>'1_入力シート【基本情報】'!DO141</f>
        <v/>
      </c>
      <c r="P248" s="1461" t="s">
        <v>285</v>
      </c>
      <c r="V248" s="1488"/>
      <c r="AF248" s="1486" t="str">
        <f>'1_入力シート【基本情報】'!DP141</f>
        <v/>
      </c>
      <c r="AG248" s="1461" t="s">
        <v>479</v>
      </c>
    </row>
    <row r="249" spans="2:46" ht="13" customHeight="1">
      <c r="O249" s="1486" t="str">
        <f>'1_入力シート【基本情報】'!DQ141</f>
        <v/>
      </c>
      <c r="P249" s="1461" t="s">
        <v>480</v>
      </c>
      <c r="Z249" s="2861" t="str">
        <f>IF('1_入力シート【基本情報】'!AF142="","",'1_入力シート【基本情報】'!AF142)</f>
        <v/>
      </c>
      <c r="AA249" s="2861"/>
      <c r="AB249" s="2861"/>
      <c r="AC249" s="1534" t="s">
        <v>330</v>
      </c>
      <c r="AF249" s="1486" t="str">
        <f>'1_入力シート【基本情報】'!DR141</f>
        <v/>
      </c>
      <c r="AG249" s="1461" t="s">
        <v>481</v>
      </c>
      <c r="AP249" s="2861" t="str">
        <f>IF('1_入力シート【基本情報】'!AF143="","",'1_入力シート【基本情報】'!AF143)</f>
        <v/>
      </c>
      <c r="AQ249" s="2861"/>
      <c r="AR249" s="2861"/>
      <c r="AS249" s="1534" t="s">
        <v>330</v>
      </c>
    </row>
    <row r="250" spans="2:46" ht="13" customHeight="1">
      <c r="C250" s="1470"/>
      <c r="O250" s="1486" t="str">
        <f>'1_入力シート【基本情報】'!DS141</f>
        <v/>
      </c>
      <c r="P250" s="1461" t="s">
        <v>482</v>
      </c>
      <c r="S250" s="1488"/>
      <c r="T250" s="1488"/>
      <c r="U250" s="1488"/>
      <c r="V250" s="1488"/>
      <c r="W250" s="1488"/>
      <c r="X250" s="1488"/>
      <c r="Y250" s="1488"/>
      <c r="Z250" s="1488"/>
      <c r="AA250" s="1488"/>
      <c r="AB250" s="1488"/>
    </row>
    <row r="251" spans="2:46" ht="13" customHeight="1">
      <c r="C251" s="1470"/>
      <c r="O251" s="1486" t="str">
        <f>'1_入力シート【基本情報】'!DT141</f>
        <v/>
      </c>
      <c r="P251" s="1461" t="s">
        <v>450</v>
      </c>
      <c r="S251" s="1488"/>
      <c r="T251" s="2835" t="str">
        <f>IF('1_入力シート【基本情報】'!AF145="","",'1_入力シート【基本情報】'!AF145)</f>
        <v/>
      </c>
      <c r="U251" s="2835"/>
      <c r="V251" s="2835"/>
      <c r="W251" s="2835"/>
      <c r="X251" s="2835"/>
      <c r="Y251" s="2835"/>
      <c r="Z251" s="2835"/>
      <c r="AA251" s="2835"/>
      <c r="AB251" s="2835"/>
      <c r="AC251" s="2835"/>
      <c r="AD251" s="2835"/>
      <c r="AE251" s="2835"/>
      <c r="AF251" s="2835"/>
      <c r="AG251" s="2835"/>
      <c r="AH251" s="2835"/>
      <c r="AI251" s="2835"/>
      <c r="AJ251" s="2835"/>
      <c r="AK251" s="2835"/>
      <c r="AL251" s="2835"/>
      <c r="AM251" s="2835"/>
      <c r="AN251" s="2835"/>
      <c r="AO251" s="2835"/>
      <c r="AP251" s="1534" t="s">
        <v>22</v>
      </c>
    </row>
    <row r="252" spans="2:46" ht="12" hidden="1" customHeight="1"/>
    <row r="253" spans="2:46" ht="12" hidden="1" customHeight="1"/>
    <row r="254" spans="2:46" ht="4.5" customHeight="1"/>
    <row r="255" spans="2:46" ht="4.5" customHeight="1"/>
    <row r="256" spans="2:46" ht="14.15" customHeight="1">
      <c r="B256" s="1470" t="s">
        <v>483</v>
      </c>
    </row>
    <row r="257" spans="2:45" ht="13" customHeight="1">
      <c r="K257" s="2801" t="str">
        <f>IF('1_入力シート【基本情報】'!AB151="","",'1_入力シート【基本情報】'!AB151)</f>
        <v/>
      </c>
      <c r="L257" s="2801"/>
      <c r="M257" s="2826" t="str">
        <f>IF('1_入力シート【基本情報】'!AE151="","",'1_入力シート【基本情報】'!AE151)</f>
        <v/>
      </c>
      <c r="N257" s="2826"/>
      <c r="O257" s="1469" t="s">
        <v>12</v>
      </c>
      <c r="P257" s="2863" t="str">
        <f>IF('1_入力シート【基本情報】'!AJ151="","",'1_入力シート【基本情報】'!AJ151)</f>
        <v/>
      </c>
      <c r="Q257" s="2863"/>
      <c r="R257" s="1469" t="s">
        <v>383</v>
      </c>
      <c r="S257" s="2827" t="str">
        <f>IF('1_入力シート【基本情報】'!AO151="","",'1_入力シート【基本情報】'!AO151)</f>
        <v/>
      </c>
      <c r="T257" s="2827"/>
      <c r="U257" s="1469" t="s">
        <v>399</v>
      </c>
      <c r="X257" s="1461" t="s">
        <v>384</v>
      </c>
      <c r="AA257" s="2842">
        <f>IF('1_入力シート【基本情報】'!AB153="",'1_入力シート【基本情報】'!AB152,CONCATENATE('1_入力シート【基本情報】'!AB152,"．",'1_入力シート【基本情報】'!AB153))</f>
        <v>0</v>
      </c>
      <c r="AB257" s="2842"/>
      <c r="AC257" s="2842"/>
      <c r="AD257" s="2842"/>
      <c r="AE257" s="2842"/>
      <c r="AF257" s="2842"/>
      <c r="AG257" s="2842"/>
      <c r="AH257" s="2842"/>
      <c r="AI257" s="2842"/>
      <c r="AJ257" s="2842"/>
      <c r="AK257" s="2842"/>
      <c r="AL257" s="2842"/>
      <c r="AM257" s="2842"/>
      <c r="AN257" s="2842"/>
      <c r="AO257" s="2842"/>
      <c r="AP257" s="2842"/>
      <c r="AQ257" s="2842"/>
      <c r="AR257" s="2842"/>
      <c r="AS257" s="1461" t="s">
        <v>22</v>
      </c>
    </row>
    <row r="258" spans="2:45" ht="13" customHeight="1">
      <c r="K258" s="2801" t="str">
        <f>IF('1_入力シート【基本情報】'!AB154="","",'1_入力シート【基本情報】'!AB154)</f>
        <v/>
      </c>
      <c r="L258" s="2801"/>
      <c r="M258" s="2826" t="str">
        <f>IF('1_入力シート【基本情報】'!AE154="","",'1_入力シート【基本情報】'!AE154)</f>
        <v/>
      </c>
      <c r="N258" s="2826"/>
      <c r="O258" s="1469" t="s">
        <v>12</v>
      </c>
      <c r="P258" s="2863" t="str">
        <f>IF('1_入力シート【基本情報】'!AJ154="","",'1_入力シート【基本情報】'!AJ154)</f>
        <v/>
      </c>
      <c r="Q258" s="2863"/>
      <c r="R258" s="1469" t="s">
        <v>383</v>
      </c>
      <c r="S258" s="2827" t="str">
        <f>IF('1_入力シート【基本情報】'!AO154="","",'1_入力シート【基本情報】'!AO154)</f>
        <v/>
      </c>
      <c r="T258" s="2827"/>
      <c r="U258" s="1469" t="s">
        <v>399</v>
      </c>
      <c r="X258" s="1461" t="s">
        <v>384</v>
      </c>
      <c r="AA258" s="2842">
        <f>IF('1_入力シート【基本情報】'!AB156="",'1_入力シート【基本情報】'!AB155,CONCATENATE('1_入力シート【基本情報】'!AB155,"．",'1_入力シート【基本情報】'!AB156))</f>
        <v>0</v>
      </c>
      <c r="AB258" s="2842"/>
      <c r="AC258" s="2842"/>
      <c r="AD258" s="2842"/>
      <c r="AE258" s="2842"/>
      <c r="AF258" s="2842"/>
      <c r="AG258" s="2842"/>
      <c r="AH258" s="2842"/>
      <c r="AI258" s="2842"/>
      <c r="AJ258" s="2842"/>
      <c r="AK258" s="2842"/>
      <c r="AL258" s="2842"/>
      <c r="AM258" s="2842"/>
      <c r="AN258" s="2842"/>
      <c r="AO258" s="2842"/>
      <c r="AP258" s="2842"/>
      <c r="AQ258" s="2842"/>
      <c r="AR258" s="2842"/>
      <c r="AS258" s="1461" t="s">
        <v>22</v>
      </c>
    </row>
    <row r="259" spans="2:45" ht="13" customHeight="1">
      <c r="K259" s="2801" t="str">
        <f>IF('1_入力シート【基本情報】'!AB157="","",'1_入力シート【基本情報】'!AB157)</f>
        <v/>
      </c>
      <c r="L259" s="2801"/>
      <c r="M259" s="2826" t="str">
        <f>IF('1_入力シート【基本情報】'!AE157="","",'1_入力シート【基本情報】'!AE157)</f>
        <v/>
      </c>
      <c r="N259" s="2826"/>
      <c r="O259" s="1469" t="s">
        <v>12</v>
      </c>
      <c r="P259" s="2863" t="str">
        <f>IF('1_入力シート【基本情報】'!AJ157="","",'1_入力シート【基本情報】'!AJ157)</f>
        <v/>
      </c>
      <c r="Q259" s="2863"/>
      <c r="R259" s="1469" t="s">
        <v>383</v>
      </c>
      <c r="S259" s="2827" t="str">
        <f>IF('1_入力シート【基本情報】'!AO157="","",'1_入力シート【基本情報】'!AO157)</f>
        <v/>
      </c>
      <c r="T259" s="2827"/>
      <c r="U259" s="1469" t="s">
        <v>399</v>
      </c>
      <c r="X259" s="1461" t="s">
        <v>384</v>
      </c>
      <c r="AA259" s="2842">
        <f>IF('1_入力シート【基本情報】'!AB159="",'1_入力シート【基本情報】'!AB158,CONCATENATE('1_入力シート【基本情報】'!AB158,"．",'1_入力シート【基本情報】'!AB159))</f>
        <v>0</v>
      </c>
      <c r="AB259" s="2842"/>
      <c r="AC259" s="2842"/>
      <c r="AD259" s="2842"/>
      <c r="AE259" s="2842"/>
      <c r="AF259" s="2842"/>
      <c r="AG259" s="2842"/>
      <c r="AH259" s="2842"/>
      <c r="AI259" s="2842"/>
      <c r="AJ259" s="2842"/>
      <c r="AK259" s="2842"/>
      <c r="AL259" s="2842"/>
      <c r="AM259" s="2842"/>
      <c r="AN259" s="2842"/>
      <c r="AO259" s="2842"/>
      <c r="AP259" s="2842"/>
      <c r="AQ259" s="2842"/>
      <c r="AR259" s="2842"/>
      <c r="AS259" s="1461" t="s">
        <v>22</v>
      </c>
    </row>
    <row r="260" spans="2:45" ht="13" customHeight="1">
      <c r="J260" s="1539"/>
      <c r="K260" s="2801" t="str">
        <f>IF('1_入力シート【基本情報】'!AB160="","",'1_入力シート【基本情報】'!AB160)</f>
        <v/>
      </c>
      <c r="L260" s="2801"/>
      <c r="M260" s="2826" t="str">
        <f>IF('1_入力シート【基本情報】'!AE160="","",'1_入力シート【基本情報】'!AE160)</f>
        <v/>
      </c>
      <c r="N260" s="2826"/>
      <c r="O260" s="1469" t="s">
        <v>12</v>
      </c>
      <c r="P260" s="2863" t="str">
        <f>IF('1_入力シート【基本情報】'!AJ160="","",'1_入力シート【基本情報】'!AJ160)</f>
        <v/>
      </c>
      <c r="Q260" s="2863"/>
      <c r="R260" s="1469" t="s">
        <v>383</v>
      </c>
      <c r="S260" s="2827" t="str">
        <f>IF('1_入力シート【基本情報】'!AO160="","",'1_入力シート【基本情報】'!AO160)</f>
        <v/>
      </c>
      <c r="T260" s="2827"/>
      <c r="U260" s="1469" t="s">
        <v>399</v>
      </c>
      <c r="X260" s="1461" t="s">
        <v>384</v>
      </c>
      <c r="AA260" s="2842">
        <f>IF('1_入力シート【基本情報】'!AB162="",'1_入力シート【基本情報】'!AB161,CONCATENATE('1_入力シート【基本情報】'!AB161,"．",'1_入力シート【基本情報】'!AB162))</f>
        <v>0</v>
      </c>
      <c r="AB260" s="2842"/>
      <c r="AC260" s="2842"/>
      <c r="AD260" s="2842"/>
      <c r="AE260" s="2842"/>
      <c r="AF260" s="2842"/>
      <c r="AG260" s="2842"/>
      <c r="AH260" s="2842"/>
      <c r="AI260" s="2842"/>
      <c r="AJ260" s="2842"/>
      <c r="AK260" s="2842"/>
      <c r="AL260" s="2842"/>
      <c r="AM260" s="2842"/>
      <c r="AN260" s="2842"/>
      <c r="AO260" s="2842"/>
      <c r="AP260" s="2842"/>
      <c r="AQ260" s="2842"/>
      <c r="AR260" s="2842"/>
      <c r="AS260" s="1461" t="s">
        <v>22</v>
      </c>
    </row>
    <row r="261" spans="2:45" ht="12" hidden="1" customHeight="1">
      <c r="C261" s="1470"/>
    </row>
    <row r="262" spans="2:45" ht="12" hidden="1" customHeight="1">
      <c r="C262" s="1470"/>
    </row>
    <row r="263" spans="2:45" ht="12" hidden="1" customHeight="1">
      <c r="C263" s="1470"/>
    </row>
    <row r="264" spans="2:45" ht="4.5" customHeight="1"/>
    <row r="265" spans="2:45" ht="4.5" customHeight="1"/>
    <row r="266" spans="2:45" ht="12" hidden="1" customHeight="1"/>
    <row r="267" spans="2:45" ht="12" hidden="1" customHeight="1">
      <c r="B267" s="1470"/>
    </row>
    <row r="268" spans="2:45" ht="12" hidden="1" customHeight="1">
      <c r="B268" s="1470"/>
    </row>
    <row r="269" spans="2:45" ht="12" hidden="1" customHeight="1">
      <c r="B269" s="1470"/>
    </row>
    <row r="270" spans="2:45" ht="12" hidden="1" customHeight="1">
      <c r="B270" s="1470"/>
    </row>
    <row r="271" spans="2:45" ht="14.15" customHeight="1">
      <c r="B271" s="1470" t="s">
        <v>484</v>
      </c>
    </row>
    <row r="272" spans="2:45" ht="13" customHeight="1">
      <c r="D272" s="1470" t="s">
        <v>485</v>
      </c>
      <c r="P272" s="1486" t="str">
        <f>IF(OR('1_入力シート【基本情報】'!DO169="レ",'1_入力シート【基本情報】'!DP169="レ"),"レ","")</f>
        <v/>
      </c>
      <c r="Q272" s="1461" t="s">
        <v>486</v>
      </c>
      <c r="R272" s="1488"/>
      <c r="S272" s="1486" t="str">
        <f>IF('1_入力シート【基本情報】'!DP169="レ","レ","")</f>
        <v/>
      </c>
      <c r="T272" s="1461" t="s">
        <v>487</v>
      </c>
      <c r="AB272" s="1486" t="str">
        <f>IF('1_入力シート【基本情報】'!DQ169="レ","レ","")</f>
        <v/>
      </c>
      <c r="AC272" s="1461" t="s">
        <v>226</v>
      </c>
    </row>
    <row r="273" spans="2:46" ht="13" customHeight="1">
      <c r="D273" s="1470" t="s">
        <v>488</v>
      </c>
      <c r="P273" s="1486" t="str">
        <f>IF('1_入力シート【基本情報】'!DO171="レ","レ","")</f>
        <v/>
      </c>
      <c r="Q273" s="1461" t="s">
        <v>489</v>
      </c>
      <c r="S273" s="1486" t="str">
        <f>IF('1_入力シート【基本情報】'!DP171="レ","レ","")</f>
        <v/>
      </c>
      <c r="T273" s="1461" t="s">
        <v>226</v>
      </c>
    </row>
    <row r="274" spans="2:46" ht="12" customHeight="1">
      <c r="D274" s="1470"/>
      <c r="P274" s="1461" t="s">
        <v>250</v>
      </c>
      <c r="U274" s="2801" t="str">
        <f>IF('1_入力シート【基本情報】'!AB172="","",'1_入力シート【基本情報】'!AB172)</f>
        <v/>
      </c>
      <c r="V274" s="2801"/>
      <c r="W274" s="2826" t="str">
        <f>IF('1_入力シート【基本情報】'!AE172="","",'1_入力シート【基本情報】'!AE172)</f>
        <v/>
      </c>
      <c r="X274" s="2826"/>
      <c r="Y274" s="1461" t="s">
        <v>12</v>
      </c>
      <c r="Z274" s="2827" t="str">
        <f>IF('1_入力シート【基本情報】'!AJ172="","",'1_入力シート【基本情報】'!AJ172)</f>
        <v/>
      </c>
      <c r="AA274" s="2827"/>
      <c r="AB274" s="1461" t="s">
        <v>383</v>
      </c>
      <c r="AC274" s="2827" t="str">
        <f>IF('1_入力シート【基本情報】'!AO172="","",'1_入力シート【基本情報】'!AO172)</f>
        <v/>
      </c>
      <c r="AD274" s="2827"/>
      <c r="AE274" s="1461" t="s">
        <v>399</v>
      </c>
      <c r="AG274" s="1461" t="s">
        <v>3</v>
      </c>
      <c r="AH274" s="2866" t="str">
        <f>IF('1_入力シート【基本情報】'!AB173="","",'1_入力シート【基本情報】'!AB173)</f>
        <v/>
      </c>
      <c r="AI274" s="2866"/>
      <c r="AJ274" s="2866"/>
      <c r="AK274" s="2866"/>
      <c r="AL274" s="2866"/>
      <c r="AM274" s="2866"/>
      <c r="AN274" s="2866"/>
      <c r="AO274" s="2866"/>
      <c r="AP274" s="2866"/>
      <c r="AQ274" s="2866"/>
      <c r="AR274" s="2866"/>
      <c r="AS274" s="1540" t="s">
        <v>415</v>
      </c>
    </row>
    <row r="275" spans="2:46" ht="13" customHeight="1">
      <c r="D275" s="1470"/>
      <c r="P275" s="1461" t="s">
        <v>490</v>
      </c>
      <c r="U275" s="1486" t="str">
        <f>IF('1_入力シート【基本情報】'!DO175="レ","レ","")</f>
        <v/>
      </c>
      <c r="V275" s="1461" t="s">
        <v>291</v>
      </c>
      <c r="AA275" s="1486" t="str">
        <f>IF('1_入力シート【基本情報】'!DP175="レ","レ","")</f>
        <v/>
      </c>
      <c r="AB275" s="1461" t="s">
        <v>491</v>
      </c>
      <c r="AK275" s="2865" t="str">
        <f>IF('1_入力シート【基本情報】'!AB175="","",'1_入力シート【基本情報】'!AB175)</f>
        <v/>
      </c>
      <c r="AL275" s="2865"/>
      <c r="AM275" s="2865"/>
      <c r="AN275" s="2865"/>
      <c r="AO275" s="2865"/>
      <c r="AP275" s="2865"/>
      <c r="AQ275" s="2865"/>
      <c r="AR275" s="2865"/>
      <c r="AS275" s="1469" t="s">
        <v>22</v>
      </c>
    </row>
    <row r="276" spans="2:46" ht="13" customHeight="1">
      <c r="D276" s="1470" t="s">
        <v>492</v>
      </c>
      <c r="R276" s="1486" t="str">
        <f>IF('1_入力シート【基本情報】'!DO177="レ","レ","")</f>
        <v/>
      </c>
      <c r="S276" s="1461" t="s">
        <v>489</v>
      </c>
      <c r="U276" s="1486" t="str">
        <f>IF('1_入力シート【基本情報】'!DP177="レ","レ","")</f>
        <v/>
      </c>
      <c r="V276" s="1461" t="s">
        <v>226</v>
      </c>
    </row>
    <row r="277" spans="2:46" ht="13" customHeight="1">
      <c r="D277" s="1470" t="s">
        <v>493</v>
      </c>
      <c r="P277" s="1486" t="str">
        <f>IF('1_入力シート【基本情報】'!DR177="レ","レ","")</f>
        <v/>
      </c>
      <c r="Q277" s="1461" t="s">
        <v>489</v>
      </c>
      <c r="S277" s="1486" t="str">
        <f>IF('1_入力シート【基本情報】'!DS177="レ","レ","")</f>
        <v/>
      </c>
      <c r="T277" s="1461" t="s">
        <v>226</v>
      </c>
    </row>
    <row r="278" spans="2:46" ht="13" customHeight="1">
      <c r="D278" s="1470"/>
      <c r="P278" s="1461" t="s">
        <v>250</v>
      </c>
      <c r="U278" s="2801" t="str">
        <f>IF('1_入力シート【基本情報】'!AB178="","",'1_入力シート【基本情報】'!AB178)</f>
        <v/>
      </c>
      <c r="V278" s="2801"/>
      <c r="W278" s="2801" t="str">
        <f>IF('1_入力シート【基本情報】'!AE178="","",'1_入力シート【基本情報】'!AE178)</f>
        <v/>
      </c>
      <c r="X278" s="2801"/>
      <c r="Y278" s="1461" t="s">
        <v>12</v>
      </c>
      <c r="Z278" s="2801" t="str">
        <f>IF('1_入力シート【基本情報】'!AJ178="","",'1_入力シート【基本情報】'!AJ178)</f>
        <v/>
      </c>
      <c r="AA278" s="2801"/>
      <c r="AB278" s="1461" t="s">
        <v>383</v>
      </c>
      <c r="AC278" s="2801" t="str">
        <f>IF('1_入力シート【基本情報】'!AO178="","",'1_入力シート【基本情報】'!AO178)</f>
        <v/>
      </c>
      <c r="AD278" s="2801"/>
      <c r="AE278" s="1461" t="s">
        <v>399</v>
      </c>
      <c r="AG278" s="1461" t="s">
        <v>3</v>
      </c>
      <c r="AH278" s="2866" t="str">
        <f>IF('1_入力シート【基本情報】'!AB179="","",'1_入力シート【基本情報】'!AB179)</f>
        <v/>
      </c>
      <c r="AI278" s="2866"/>
      <c r="AJ278" s="2866"/>
      <c r="AK278" s="2866"/>
      <c r="AL278" s="2866"/>
      <c r="AM278" s="2866"/>
      <c r="AN278" s="2866"/>
      <c r="AO278" s="2866"/>
      <c r="AP278" s="2866"/>
      <c r="AQ278" s="2866"/>
      <c r="AR278" s="2866"/>
      <c r="AS278" s="1540" t="s">
        <v>415</v>
      </c>
    </row>
    <row r="279" spans="2:46" ht="13" customHeight="1">
      <c r="D279" s="1470"/>
      <c r="P279" s="1461" t="s">
        <v>494</v>
      </c>
      <c r="U279" s="1486" t="str">
        <f>IF('1_入力シート【基本情報】'!DO181="レ","レ","")</f>
        <v/>
      </c>
      <c r="V279" s="1461" t="s">
        <v>291</v>
      </c>
      <c r="AA279" s="1486" t="str">
        <f>IF('1_入力シート【基本情報】'!DP181="レ","レ","")</f>
        <v/>
      </c>
      <c r="AB279" s="1461" t="s">
        <v>491</v>
      </c>
      <c r="AK279" s="2865" t="str">
        <f>IF('1_入力シート【基本情報】'!AB181="","",'1_入力シート【基本情報】'!AB181)</f>
        <v/>
      </c>
      <c r="AL279" s="2865"/>
      <c r="AM279" s="2865"/>
      <c r="AN279" s="2865"/>
      <c r="AO279" s="2865"/>
      <c r="AP279" s="2865"/>
      <c r="AQ279" s="2865"/>
      <c r="AR279" s="2865"/>
      <c r="AS279" s="1469" t="s">
        <v>22</v>
      </c>
    </row>
    <row r="280" spans="2:46" ht="13" customHeight="1">
      <c r="D280" s="1470" t="s">
        <v>495</v>
      </c>
      <c r="V280" s="1486" t="str">
        <f>IF('1_入力シート【基本情報】'!DO197="レ","レ","")</f>
        <v/>
      </c>
      <c r="W280" s="1461" t="s">
        <v>489</v>
      </c>
      <c r="Y280" s="1486" t="str">
        <f>IF('1_入力シート【基本情報】'!DP197="レ","レ","")</f>
        <v/>
      </c>
      <c r="Z280" s="1461" t="s">
        <v>226</v>
      </c>
    </row>
    <row r="281" spans="2:46" ht="13" customHeight="1">
      <c r="D281" s="1470" t="s">
        <v>496</v>
      </c>
      <c r="V281" s="1486" t="str">
        <f>IF('1_入力シート【基本情報】'!DR197="レ","レ","")</f>
        <v/>
      </c>
      <c r="W281" s="1461" t="s">
        <v>489</v>
      </c>
      <c r="Y281" s="1486" t="str">
        <f>IF('1_入力シート【基本情報】'!DS197="レ","レ","")</f>
        <v/>
      </c>
      <c r="Z281" s="1461" t="s">
        <v>226</v>
      </c>
      <c r="AB281" s="1486" t="str">
        <f>IF('1_入力シート【基本情報】'!DT197="レ","レ","")</f>
        <v/>
      </c>
      <c r="AC281" s="1461" t="s">
        <v>293</v>
      </c>
    </row>
    <row r="282" spans="2:46" ht="13" hidden="1" customHeight="1">
      <c r="B282" s="1470" t="s">
        <v>466</v>
      </c>
    </row>
    <row r="283" spans="2:46" ht="13" hidden="1" customHeight="1">
      <c r="C283" s="1470" t="s">
        <v>425</v>
      </c>
      <c r="J283" s="1487" t="s">
        <v>467</v>
      </c>
      <c r="K283" s="2779"/>
      <c r="L283" s="2779"/>
      <c r="M283" s="1461" t="s">
        <v>468</v>
      </c>
      <c r="V283" s="1487"/>
      <c r="W283" s="1468" t="s">
        <v>25</v>
      </c>
      <c r="X283" s="2779"/>
      <c r="Y283" s="2779"/>
      <c r="Z283" s="2779"/>
      <c r="AA283" s="2779"/>
      <c r="AB283" s="2779"/>
      <c r="AC283" s="2779"/>
      <c r="AG283" s="1487" t="s">
        <v>469</v>
      </c>
      <c r="AH283" s="2861"/>
      <c r="AI283" s="2861"/>
      <c r="AJ283" s="2861"/>
      <c r="AK283" s="2861"/>
      <c r="AL283" s="2861"/>
      <c r="AM283" s="2861"/>
      <c r="AN283" s="2861"/>
      <c r="AO283" s="1461" t="s">
        <v>4</v>
      </c>
    </row>
    <row r="284" spans="2:46" ht="13" hidden="1" customHeight="1">
      <c r="C284" s="1470"/>
      <c r="J284" s="1461" t="s">
        <v>497</v>
      </c>
      <c r="AG284" s="1487" t="s">
        <v>3</v>
      </c>
      <c r="AH284" s="2861"/>
      <c r="AI284" s="2861"/>
      <c r="AJ284" s="2861"/>
      <c r="AK284" s="2861"/>
      <c r="AL284" s="2861"/>
      <c r="AM284" s="2861"/>
      <c r="AN284" s="2861"/>
      <c r="AO284" s="1461" t="s">
        <v>4</v>
      </c>
    </row>
    <row r="285" spans="2:46" ht="12" hidden="1" customHeight="1">
      <c r="C285" s="1470"/>
      <c r="J285" s="1461" t="s">
        <v>471</v>
      </c>
      <c r="AG285" s="1487" t="s">
        <v>3</v>
      </c>
      <c r="AH285" s="2861"/>
      <c r="AI285" s="2861"/>
      <c r="AJ285" s="2861"/>
      <c r="AK285" s="2861"/>
      <c r="AL285" s="2861"/>
      <c r="AM285" s="2861"/>
      <c r="AN285" s="2861"/>
      <c r="AO285" s="1461" t="s">
        <v>4</v>
      </c>
    </row>
    <row r="286" spans="2:46" ht="13" hidden="1" customHeight="1">
      <c r="C286" s="1470" t="s">
        <v>416</v>
      </c>
      <c r="N286" s="2829"/>
      <c r="O286" s="2829"/>
      <c r="P286" s="2829"/>
      <c r="Q286" s="2829"/>
      <c r="R286" s="2829"/>
      <c r="S286" s="2829"/>
      <c r="T286" s="2829"/>
      <c r="U286" s="2829"/>
      <c r="V286" s="2829"/>
      <c r="W286" s="2829"/>
      <c r="X286" s="2829"/>
      <c r="Y286" s="2829"/>
      <c r="Z286" s="2829"/>
      <c r="AA286" s="2829"/>
      <c r="AB286" s="2829"/>
      <c r="AC286" s="2829"/>
      <c r="AD286" s="2829"/>
      <c r="AE286" s="2829"/>
      <c r="AF286" s="2829"/>
      <c r="AG286" s="2829"/>
      <c r="AH286" s="2829"/>
      <c r="AI286" s="2829"/>
      <c r="AJ286" s="2829"/>
      <c r="AK286" s="2829"/>
      <c r="AL286" s="2829"/>
      <c r="AM286" s="2829"/>
      <c r="AN286" s="2829"/>
      <c r="AO286" s="2829"/>
      <c r="AP286" s="2829"/>
      <c r="AQ286" s="2829"/>
      <c r="AR286" s="2829"/>
      <c r="AS286" s="2829"/>
      <c r="AT286" s="2829"/>
    </row>
    <row r="287" spans="2:46" ht="13" hidden="1" customHeight="1">
      <c r="C287" s="1470" t="s">
        <v>472</v>
      </c>
      <c r="N287" s="2862"/>
      <c r="O287" s="2862"/>
      <c r="P287" s="2862"/>
      <c r="Q287" s="2862"/>
      <c r="R287" s="2862"/>
      <c r="S287" s="2862"/>
      <c r="T287" s="2862"/>
      <c r="U287" s="2862"/>
      <c r="V287" s="2862"/>
      <c r="W287" s="2862"/>
      <c r="X287" s="2862"/>
      <c r="Y287" s="2862"/>
      <c r="Z287" s="2862"/>
      <c r="AA287" s="2862"/>
      <c r="AB287" s="2862"/>
      <c r="AC287" s="2862"/>
      <c r="AD287" s="2862"/>
      <c r="AE287" s="2862"/>
      <c r="AF287" s="2862"/>
      <c r="AG287" s="2862"/>
      <c r="AH287" s="2862"/>
      <c r="AI287" s="2862"/>
      <c r="AJ287" s="2862"/>
      <c r="AK287" s="2862"/>
      <c r="AL287" s="2862"/>
      <c r="AM287" s="2862"/>
      <c r="AN287" s="2862"/>
      <c r="AO287" s="2862"/>
      <c r="AP287" s="2862"/>
      <c r="AQ287" s="2862"/>
      <c r="AR287" s="2862"/>
      <c r="AS287" s="2862"/>
      <c r="AT287" s="2862"/>
    </row>
    <row r="288" spans="2:46" ht="13" hidden="1" customHeight="1">
      <c r="C288" s="1470" t="s">
        <v>473</v>
      </c>
      <c r="N288" s="2829"/>
      <c r="O288" s="2829"/>
      <c r="P288" s="2829"/>
      <c r="Q288" s="2829"/>
      <c r="R288" s="2829"/>
      <c r="S288" s="2829"/>
      <c r="T288" s="2829"/>
      <c r="U288" s="2829"/>
      <c r="V288" s="2829"/>
      <c r="W288" s="2829"/>
      <c r="X288" s="2829"/>
      <c r="Y288" s="2829"/>
      <c r="Z288" s="2829"/>
      <c r="AA288" s="2829"/>
      <c r="AB288" s="2829"/>
      <c r="AC288" s="2829"/>
      <c r="AD288" s="2829"/>
      <c r="AE288" s="2829"/>
      <c r="AF288" s="2829"/>
      <c r="AG288" s="2829"/>
      <c r="AH288" s="2829"/>
      <c r="AI288" s="2829"/>
      <c r="AJ288" s="2829"/>
      <c r="AK288" s="2829"/>
      <c r="AL288" s="2829"/>
      <c r="AM288" s="2829"/>
      <c r="AN288" s="2829"/>
      <c r="AO288" s="2829"/>
      <c r="AP288" s="2829"/>
      <c r="AQ288" s="2829"/>
      <c r="AR288" s="2829"/>
      <c r="AS288" s="2829"/>
      <c r="AT288" s="2829"/>
    </row>
    <row r="289" spans="2:46" ht="13" hidden="1" customHeight="1">
      <c r="C289" s="1470"/>
      <c r="J289" s="1487" t="s">
        <v>467</v>
      </c>
      <c r="K289" s="2779"/>
      <c r="L289" s="2779"/>
      <c r="M289" s="1461" t="s">
        <v>474</v>
      </c>
      <c r="V289" s="1487"/>
      <c r="W289" s="1468" t="s">
        <v>25</v>
      </c>
      <c r="X289" s="2779"/>
      <c r="Y289" s="2779"/>
      <c r="Z289" s="2779"/>
      <c r="AA289" s="2779"/>
      <c r="AG289" s="1487" t="s">
        <v>475</v>
      </c>
      <c r="AH289" s="2861"/>
      <c r="AI289" s="2861"/>
      <c r="AJ289" s="2861"/>
      <c r="AK289" s="2861"/>
      <c r="AL289" s="2861"/>
      <c r="AM289" s="2861"/>
      <c r="AN289" s="2861"/>
      <c r="AO289" s="1461" t="s">
        <v>4</v>
      </c>
    </row>
    <row r="290" spans="2:46" ht="13" hidden="1" customHeight="1">
      <c r="C290" s="1470" t="s">
        <v>476</v>
      </c>
      <c r="N290" s="2864"/>
      <c r="O290" s="2864"/>
      <c r="P290" s="2864"/>
      <c r="Q290" s="2864"/>
      <c r="R290" s="2864"/>
      <c r="S290" s="2864"/>
      <c r="T290" s="2864"/>
      <c r="U290" s="2864"/>
      <c r="V290" s="2864"/>
      <c r="W290" s="1476"/>
      <c r="X290" s="1476"/>
      <c r="Y290" s="1476"/>
      <c r="Z290" s="1476"/>
      <c r="AA290" s="1476"/>
      <c r="AB290" s="1476"/>
      <c r="AC290" s="1476"/>
      <c r="AD290" s="1476"/>
      <c r="AE290" s="1476"/>
      <c r="AF290" s="1476"/>
      <c r="AG290" s="1476"/>
      <c r="AH290" s="1476"/>
      <c r="AI290" s="1476"/>
      <c r="AJ290" s="1476"/>
      <c r="AK290" s="1476"/>
      <c r="AL290" s="1476"/>
      <c r="AM290" s="1476"/>
      <c r="AN290" s="1476"/>
      <c r="AO290" s="1476"/>
      <c r="AP290" s="1477"/>
    </row>
    <row r="291" spans="2:46" ht="13" hidden="1" customHeight="1">
      <c r="C291" s="1470" t="s">
        <v>477</v>
      </c>
      <c r="N291" s="2829"/>
      <c r="O291" s="2829"/>
      <c r="P291" s="2829"/>
      <c r="Q291" s="2829"/>
      <c r="R291" s="2829"/>
      <c r="S291" s="2829"/>
      <c r="T291" s="2829"/>
      <c r="U291" s="2829"/>
      <c r="V291" s="2829"/>
      <c r="W291" s="2829"/>
      <c r="X291" s="2829"/>
      <c r="Y291" s="2829"/>
      <c r="Z291" s="2829"/>
      <c r="AA291" s="2829"/>
      <c r="AB291" s="2829"/>
      <c r="AC291" s="2829"/>
      <c r="AD291" s="2829"/>
      <c r="AE291" s="2829"/>
      <c r="AF291" s="2829"/>
      <c r="AG291" s="2829"/>
      <c r="AH291" s="2829"/>
      <c r="AI291" s="2829"/>
      <c r="AJ291" s="2829"/>
      <c r="AK291" s="2829"/>
      <c r="AL291" s="2829"/>
      <c r="AM291" s="2829"/>
      <c r="AN291" s="2829"/>
      <c r="AO291" s="2829"/>
      <c r="AP291" s="2829"/>
      <c r="AQ291" s="2829"/>
      <c r="AR291" s="2829"/>
      <c r="AS291" s="2829"/>
      <c r="AT291" s="2829"/>
    </row>
    <row r="292" spans="2:46" ht="13" hidden="1" customHeight="1">
      <c r="C292" s="1470" t="s">
        <v>423</v>
      </c>
      <c r="N292" s="2862"/>
      <c r="O292" s="2862"/>
      <c r="P292" s="2862"/>
      <c r="Q292" s="2862"/>
      <c r="R292" s="2862"/>
      <c r="S292" s="2862"/>
      <c r="T292" s="2862"/>
      <c r="U292" s="2862"/>
      <c r="V292" s="2862"/>
      <c r="W292" s="2862"/>
      <c r="X292" s="2862"/>
      <c r="Y292" s="2862"/>
      <c r="Z292" s="2862"/>
      <c r="AA292" s="2862"/>
      <c r="AB292" s="2862"/>
      <c r="AC292" s="2862"/>
      <c r="AD292" s="2862"/>
      <c r="AE292" s="1537"/>
      <c r="AF292" s="1537"/>
      <c r="AG292" s="1537"/>
      <c r="AH292" s="1537"/>
      <c r="AI292" s="1537"/>
      <c r="AJ292" s="1537"/>
      <c r="AK292" s="1537"/>
      <c r="AL292" s="1537"/>
      <c r="AM292" s="1537"/>
      <c r="AN292" s="1537"/>
      <c r="AO292" s="1537"/>
      <c r="AP292" s="1538"/>
    </row>
    <row r="293" spans="2:46" ht="4.5" customHeight="1"/>
    <row r="294" spans="2:46" ht="4.5" customHeight="1"/>
    <row r="295" spans="2:46" ht="12" hidden="1" customHeight="1"/>
    <row r="296" spans="2:46" ht="14.15" customHeight="1">
      <c r="B296" s="1470" t="s">
        <v>498</v>
      </c>
    </row>
    <row r="297" spans="2:46" ht="13" customHeight="1">
      <c r="C297" s="2925" t="str">
        <f>IF('1_入力シート【基本情報】'!DW200="","",'1_入力シート【基本情報】'!DW200&amp;CHAR(10))&amp;IF('1_入力シート【基本情報】'!AB200="","",'1_入力シート【基本情報】'!AB200)</f>
        <v/>
      </c>
      <c r="D297" s="2925"/>
      <c r="E297" s="2925"/>
      <c r="F297" s="2925"/>
      <c r="G297" s="2925"/>
      <c r="H297" s="2925"/>
      <c r="I297" s="2925"/>
      <c r="J297" s="2925"/>
      <c r="K297" s="2925"/>
      <c r="L297" s="2925"/>
      <c r="M297" s="2925"/>
      <c r="N297" s="2925"/>
      <c r="O297" s="2925"/>
      <c r="P297" s="2925"/>
      <c r="Q297" s="2925"/>
      <c r="R297" s="2925"/>
      <c r="S297" s="2925"/>
      <c r="T297" s="2925"/>
      <c r="U297" s="2925"/>
      <c r="V297" s="2925"/>
      <c r="W297" s="2925"/>
      <c r="X297" s="2925"/>
      <c r="Y297" s="2925"/>
      <c r="Z297" s="2925"/>
      <c r="AA297" s="2925"/>
      <c r="AB297" s="2925"/>
      <c r="AC297" s="2925"/>
      <c r="AD297" s="2925"/>
      <c r="AE297" s="2925"/>
      <c r="AF297" s="2925"/>
      <c r="AG297" s="2925"/>
      <c r="AH297" s="2925"/>
      <c r="AI297" s="2925"/>
      <c r="AJ297" s="2925"/>
      <c r="AK297" s="2925"/>
      <c r="AL297" s="2925"/>
      <c r="AM297" s="2925"/>
      <c r="AN297" s="2925"/>
      <c r="AO297" s="2925"/>
      <c r="AP297" s="2925"/>
      <c r="AQ297" s="2925"/>
      <c r="AR297" s="2925"/>
      <c r="AS297" s="2925"/>
    </row>
    <row r="298" spans="2:46" ht="13" customHeight="1">
      <c r="C298" s="2925"/>
      <c r="D298" s="2925"/>
      <c r="E298" s="2925"/>
      <c r="F298" s="2925"/>
      <c r="G298" s="2925"/>
      <c r="H298" s="2925"/>
      <c r="I298" s="2925"/>
      <c r="J298" s="2925"/>
      <c r="K298" s="2925"/>
      <c r="L298" s="2925"/>
      <c r="M298" s="2925"/>
      <c r="N298" s="2925"/>
      <c r="O298" s="2925"/>
      <c r="P298" s="2925"/>
      <c r="Q298" s="2925"/>
      <c r="R298" s="2925"/>
      <c r="S298" s="2925"/>
      <c r="T298" s="2925"/>
      <c r="U298" s="2925"/>
      <c r="V298" s="2925"/>
      <c r="W298" s="2925"/>
      <c r="X298" s="2925"/>
      <c r="Y298" s="2925"/>
      <c r="Z298" s="2925"/>
      <c r="AA298" s="2925"/>
      <c r="AB298" s="2925"/>
      <c r="AC298" s="2925"/>
      <c r="AD298" s="2925"/>
      <c r="AE298" s="2925"/>
      <c r="AF298" s="2925"/>
      <c r="AG298" s="2925"/>
      <c r="AH298" s="2925"/>
      <c r="AI298" s="2925"/>
      <c r="AJ298" s="2925"/>
      <c r="AK298" s="2925"/>
      <c r="AL298" s="2925"/>
      <c r="AM298" s="2925"/>
      <c r="AN298" s="2925"/>
      <c r="AO298" s="2925"/>
      <c r="AP298" s="2925"/>
      <c r="AQ298" s="2925"/>
      <c r="AR298" s="2925"/>
      <c r="AS298" s="2925"/>
    </row>
    <row r="299" spans="2:46" ht="13" customHeight="1">
      <c r="C299" s="2925"/>
      <c r="D299" s="2925"/>
      <c r="E299" s="2925"/>
      <c r="F299" s="2925"/>
      <c r="G299" s="2925"/>
      <c r="H299" s="2925"/>
      <c r="I299" s="2925"/>
      <c r="J299" s="2925"/>
      <c r="K299" s="2925"/>
      <c r="L299" s="2925"/>
      <c r="M299" s="2925"/>
      <c r="N299" s="2925"/>
      <c r="O299" s="2925"/>
      <c r="P299" s="2925"/>
      <c r="Q299" s="2925"/>
      <c r="R299" s="2925"/>
      <c r="S299" s="2925"/>
      <c r="T299" s="2925"/>
      <c r="U299" s="2925"/>
      <c r="V299" s="2925"/>
      <c r="W299" s="2925"/>
      <c r="X299" s="2925"/>
      <c r="Y299" s="2925"/>
      <c r="Z299" s="2925"/>
      <c r="AA299" s="2925"/>
      <c r="AB299" s="2925"/>
      <c r="AC299" s="2925"/>
      <c r="AD299" s="2925"/>
      <c r="AE299" s="2925"/>
      <c r="AF299" s="2925"/>
      <c r="AG299" s="2925"/>
      <c r="AH299" s="2925"/>
      <c r="AI299" s="2925"/>
      <c r="AJ299" s="2925"/>
      <c r="AK299" s="2925"/>
      <c r="AL299" s="2925"/>
      <c r="AM299" s="2925"/>
      <c r="AN299" s="2925"/>
      <c r="AO299" s="2925"/>
      <c r="AP299" s="2925"/>
      <c r="AQ299" s="2925"/>
      <c r="AR299" s="2925"/>
      <c r="AS299" s="2925"/>
    </row>
    <row r="300" spans="2:46" ht="13" customHeight="1">
      <c r="C300" s="2925"/>
      <c r="D300" s="2925"/>
      <c r="E300" s="2925"/>
      <c r="F300" s="2925"/>
      <c r="G300" s="2925"/>
      <c r="H300" s="2925"/>
      <c r="I300" s="2925"/>
      <c r="J300" s="2925"/>
      <c r="K300" s="2925"/>
      <c r="L300" s="2925"/>
      <c r="M300" s="2925"/>
      <c r="N300" s="2925"/>
      <c r="O300" s="2925"/>
      <c r="P300" s="2925"/>
      <c r="Q300" s="2925"/>
      <c r="R300" s="2925"/>
      <c r="S300" s="2925"/>
      <c r="T300" s="2925"/>
      <c r="U300" s="2925"/>
      <c r="V300" s="2925"/>
      <c r="W300" s="2925"/>
      <c r="X300" s="2925"/>
      <c r="Y300" s="2925"/>
      <c r="Z300" s="2925"/>
      <c r="AA300" s="2925"/>
      <c r="AB300" s="2925"/>
      <c r="AC300" s="2925"/>
      <c r="AD300" s="2925"/>
      <c r="AE300" s="2925"/>
      <c r="AF300" s="2925"/>
      <c r="AG300" s="2925"/>
      <c r="AH300" s="2925"/>
      <c r="AI300" s="2925"/>
      <c r="AJ300" s="2925"/>
      <c r="AK300" s="2925"/>
      <c r="AL300" s="2925"/>
      <c r="AM300" s="2925"/>
      <c r="AN300" s="2925"/>
      <c r="AO300" s="2925"/>
      <c r="AP300" s="2925"/>
      <c r="AQ300" s="2925"/>
      <c r="AR300" s="2925"/>
      <c r="AS300" s="2925"/>
    </row>
    <row r="301" spans="2:46" ht="13" customHeight="1">
      <c r="C301" s="2925"/>
      <c r="D301" s="2925"/>
      <c r="E301" s="2925"/>
      <c r="F301" s="2925"/>
      <c r="G301" s="2925"/>
      <c r="H301" s="2925"/>
      <c r="I301" s="2925"/>
      <c r="J301" s="2925"/>
      <c r="K301" s="2925"/>
      <c r="L301" s="2925"/>
      <c r="M301" s="2925"/>
      <c r="N301" s="2925"/>
      <c r="O301" s="2925"/>
      <c r="P301" s="2925"/>
      <c r="Q301" s="2925"/>
      <c r="R301" s="2925"/>
      <c r="S301" s="2925"/>
      <c r="T301" s="2925"/>
      <c r="U301" s="2925"/>
      <c r="V301" s="2925"/>
      <c r="W301" s="2925"/>
      <c r="X301" s="2925"/>
      <c r="Y301" s="2925"/>
      <c r="Z301" s="2925"/>
      <c r="AA301" s="2925"/>
      <c r="AB301" s="2925"/>
      <c r="AC301" s="2925"/>
      <c r="AD301" s="2925"/>
      <c r="AE301" s="2925"/>
      <c r="AF301" s="2925"/>
      <c r="AG301" s="2925"/>
      <c r="AH301" s="2925"/>
      <c r="AI301" s="2925"/>
      <c r="AJ301" s="2925"/>
      <c r="AK301" s="2925"/>
      <c r="AL301" s="2925"/>
      <c r="AM301" s="2925"/>
      <c r="AN301" s="2925"/>
      <c r="AO301" s="2925"/>
      <c r="AP301" s="2925"/>
      <c r="AQ301" s="2925"/>
      <c r="AR301" s="2925"/>
      <c r="AS301" s="2925"/>
    </row>
    <row r="302" spans="2:46" ht="12.75" customHeight="1">
      <c r="C302" s="2925"/>
      <c r="D302" s="2925"/>
      <c r="E302" s="2925"/>
      <c r="F302" s="2925"/>
      <c r="G302" s="2925"/>
      <c r="H302" s="2925"/>
      <c r="I302" s="2925"/>
      <c r="J302" s="2925"/>
      <c r="K302" s="2925"/>
      <c r="L302" s="2925"/>
      <c r="M302" s="2925"/>
      <c r="N302" s="2925"/>
      <c r="O302" s="2925"/>
      <c r="P302" s="2925"/>
      <c r="Q302" s="2925"/>
      <c r="R302" s="2925"/>
      <c r="S302" s="2925"/>
      <c r="T302" s="2925"/>
      <c r="U302" s="2925"/>
      <c r="V302" s="2925"/>
      <c r="W302" s="2925"/>
      <c r="X302" s="2925"/>
      <c r="Y302" s="2925"/>
      <c r="Z302" s="2925"/>
      <c r="AA302" s="2925"/>
      <c r="AB302" s="2925"/>
      <c r="AC302" s="2925"/>
      <c r="AD302" s="2925"/>
      <c r="AE302" s="2925"/>
      <c r="AF302" s="2925"/>
      <c r="AG302" s="2925"/>
      <c r="AH302" s="2925"/>
      <c r="AI302" s="2925"/>
      <c r="AJ302" s="2925"/>
      <c r="AK302" s="2925"/>
      <c r="AL302" s="2925"/>
      <c r="AM302" s="2925"/>
      <c r="AN302" s="2925"/>
      <c r="AO302" s="2925"/>
      <c r="AP302" s="2925"/>
      <c r="AQ302" s="2925"/>
      <c r="AR302" s="2925"/>
      <c r="AS302" s="2925"/>
    </row>
    <row r="303" spans="2:46" ht="12.75" customHeight="1">
      <c r="C303" s="2925"/>
      <c r="D303" s="2925"/>
      <c r="E303" s="2925"/>
      <c r="F303" s="2925"/>
      <c r="G303" s="2925"/>
      <c r="H303" s="2925"/>
      <c r="I303" s="2925"/>
      <c r="J303" s="2925"/>
      <c r="K303" s="2925"/>
      <c r="L303" s="2925"/>
      <c r="M303" s="2925"/>
      <c r="N303" s="2925"/>
      <c r="O303" s="2925"/>
      <c r="P303" s="2925"/>
      <c r="Q303" s="2925"/>
      <c r="R303" s="2925"/>
      <c r="S303" s="2925"/>
      <c r="T303" s="2925"/>
      <c r="U303" s="2925"/>
      <c r="V303" s="2925"/>
      <c r="W303" s="2925"/>
      <c r="X303" s="2925"/>
      <c r="Y303" s="2925"/>
      <c r="Z303" s="2925"/>
      <c r="AA303" s="2925"/>
      <c r="AB303" s="2925"/>
      <c r="AC303" s="2925"/>
      <c r="AD303" s="2925"/>
      <c r="AE303" s="2925"/>
      <c r="AF303" s="2925"/>
      <c r="AG303" s="2925"/>
      <c r="AH303" s="2925"/>
      <c r="AI303" s="2925"/>
      <c r="AJ303" s="2925"/>
      <c r="AK303" s="2925"/>
      <c r="AL303" s="2925"/>
      <c r="AM303" s="2925"/>
      <c r="AN303" s="2925"/>
      <c r="AO303" s="2925"/>
      <c r="AP303" s="2925"/>
      <c r="AQ303" s="2925"/>
      <c r="AR303" s="2925"/>
      <c r="AS303" s="2925"/>
    </row>
    <row r="305" spans="2:48" ht="4.5" customHeight="1"/>
    <row r="306" spans="2:48" ht="5.25" customHeight="1">
      <c r="AU306" s="1485"/>
      <c r="AV306" s="1485"/>
    </row>
    <row r="307" spans="2:48">
      <c r="AU307" s="1485"/>
      <c r="AV307" s="1485"/>
    </row>
    <row r="308" spans="2:48">
      <c r="AU308" s="1485"/>
      <c r="AV308" s="1485"/>
    </row>
    <row r="309" spans="2:48" ht="14.15" customHeight="1">
      <c r="B309" s="2788" t="s">
        <v>928</v>
      </c>
      <c r="C309" s="2788"/>
      <c r="D309" s="2788"/>
      <c r="E309" s="2788"/>
      <c r="F309" s="2788"/>
      <c r="G309" s="2788"/>
      <c r="H309" s="2788"/>
      <c r="I309" s="2788"/>
      <c r="J309" s="2788"/>
      <c r="K309" s="2788"/>
      <c r="L309" s="2788"/>
      <c r="M309" s="2788"/>
      <c r="N309" s="2788"/>
      <c r="O309" s="2788"/>
      <c r="P309" s="2788"/>
      <c r="Q309" s="2788"/>
      <c r="R309" s="2788"/>
      <c r="S309" s="2788"/>
      <c r="T309" s="2788"/>
      <c r="U309" s="2788"/>
      <c r="V309" s="2788"/>
      <c r="W309" s="2788"/>
      <c r="X309" s="2788"/>
      <c r="Y309" s="2788"/>
      <c r="Z309" s="2788"/>
      <c r="AA309" s="2788"/>
      <c r="AB309" s="2788"/>
      <c r="AC309" s="2788"/>
      <c r="AD309" s="2788"/>
      <c r="AE309" s="2788"/>
      <c r="AF309" s="2788"/>
      <c r="AG309" s="2788"/>
      <c r="AH309" s="2788"/>
      <c r="AI309" s="2788"/>
      <c r="AJ309" s="2788"/>
      <c r="AK309" s="2788"/>
      <c r="AL309" s="2788"/>
      <c r="AM309" s="2788"/>
      <c r="AN309" s="2788"/>
      <c r="AO309" s="2788"/>
      <c r="AP309" s="2788"/>
      <c r="AQ309" s="2788"/>
      <c r="AR309" s="2788"/>
      <c r="AS309" s="2788"/>
      <c r="AT309" s="2788"/>
      <c r="AU309" s="1485"/>
      <c r="AV309" s="1485"/>
    </row>
    <row r="310" spans="2:48" ht="14.15" customHeight="1">
      <c r="B310" s="1461" t="s">
        <v>864</v>
      </c>
      <c r="AG310" s="1499"/>
      <c r="AH310" s="1499"/>
      <c r="AU310" s="1485"/>
      <c r="AV310" s="1485"/>
    </row>
    <row r="311" spans="2:48" ht="4.5" customHeight="1">
      <c r="AU311" s="1485"/>
      <c r="AV311" s="1485"/>
    </row>
    <row r="312" spans="2:48" ht="4.5" customHeight="1">
      <c r="AU312" s="1485"/>
      <c r="AV312" s="1485"/>
    </row>
    <row r="313" spans="2:48" ht="13" customHeight="1">
      <c r="B313" s="2906" t="s">
        <v>352</v>
      </c>
      <c r="C313" s="2906"/>
      <c r="D313" s="2906"/>
      <c r="E313" s="2906"/>
      <c r="F313" s="2905" t="s">
        <v>290</v>
      </c>
      <c r="G313" s="2905"/>
      <c r="H313" s="2905"/>
      <c r="I313" s="2905"/>
      <c r="J313" s="2905"/>
      <c r="K313" s="2909" t="str">
        <f>IF('2_入力シート【用途面積】'!G4="","",'2_入力シート【用途面積】'!G4)</f>
        <v/>
      </c>
      <c r="L313" s="2909"/>
      <c r="M313" s="2909"/>
      <c r="N313" s="2909"/>
      <c r="O313" s="2909"/>
      <c r="P313" s="2909" t="str">
        <f>IF('2_入力シート【用途面積】'!I4="","",'2_入力シート【用途面積】'!I4)</f>
        <v/>
      </c>
      <c r="Q313" s="2909"/>
      <c r="R313" s="2909"/>
      <c r="S313" s="2909"/>
      <c r="T313" s="2909"/>
      <c r="U313" s="2909" t="str">
        <f>IF('2_入力シート【用途面積】'!K4="","",'2_入力シート【用途面積】'!K4)</f>
        <v/>
      </c>
      <c r="V313" s="2909"/>
      <c r="W313" s="2909"/>
      <c r="X313" s="2909"/>
      <c r="Y313" s="2909"/>
      <c r="Z313" s="2909" t="str">
        <f>IF('2_入力シート【用途面積】'!M4="","",'2_入力シート【用途面積】'!M4)</f>
        <v/>
      </c>
      <c r="AA313" s="2909"/>
      <c r="AB313" s="2909"/>
      <c r="AC313" s="2909"/>
      <c r="AD313" s="2909"/>
      <c r="AE313" s="2909" t="str">
        <f>IF('2_入力シート【用途面積】'!O4="","",'2_入力シート【用途面積】'!O4)</f>
        <v/>
      </c>
      <c r="AF313" s="2909"/>
      <c r="AG313" s="2909"/>
      <c r="AH313" s="2909"/>
      <c r="AI313" s="2909"/>
      <c r="AJ313" s="2909" t="str">
        <f>IF('2_入力シート【用途面積】'!Q4="","",'2_入力シート【用途面積】'!Q4)</f>
        <v/>
      </c>
      <c r="AK313" s="2909"/>
      <c r="AL313" s="2909"/>
      <c r="AM313" s="2909"/>
      <c r="AN313" s="2909"/>
      <c r="AO313" s="2909" t="str">
        <f>IF('2_入力シート【用途面積】'!S4="","",'2_入力シート【用途面積】'!S4)</f>
        <v/>
      </c>
      <c r="AP313" s="2909"/>
      <c r="AQ313" s="2909"/>
      <c r="AR313" s="2909"/>
      <c r="AS313" s="2909"/>
      <c r="AT313" s="1470"/>
      <c r="AU313" s="1485"/>
      <c r="AV313" s="1485"/>
    </row>
    <row r="314" spans="2:48" ht="13" customHeight="1">
      <c r="B314" s="2906"/>
      <c r="C314" s="2906"/>
      <c r="D314" s="2906"/>
      <c r="E314" s="2906"/>
      <c r="F314" s="2905"/>
      <c r="G314" s="2905"/>
      <c r="H314" s="2905"/>
      <c r="I314" s="2905"/>
      <c r="J314" s="2905"/>
      <c r="K314" s="2909"/>
      <c r="L314" s="2909"/>
      <c r="M314" s="2909"/>
      <c r="N314" s="2909"/>
      <c r="O314" s="2909"/>
      <c r="P314" s="2909"/>
      <c r="Q314" s="2909"/>
      <c r="R314" s="2909"/>
      <c r="S314" s="2909"/>
      <c r="T314" s="2909"/>
      <c r="U314" s="2909"/>
      <c r="V314" s="2909"/>
      <c r="W314" s="2909"/>
      <c r="X314" s="2909"/>
      <c r="Y314" s="2909"/>
      <c r="Z314" s="2909"/>
      <c r="AA314" s="2909"/>
      <c r="AB314" s="2909"/>
      <c r="AC314" s="2909"/>
      <c r="AD314" s="2909"/>
      <c r="AE314" s="2909"/>
      <c r="AF314" s="2909"/>
      <c r="AG314" s="2909"/>
      <c r="AH314" s="2909"/>
      <c r="AI314" s="2909"/>
      <c r="AJ314" s="2909"/>
      <c r="AK314" s="2909"/>
      <c r="AL314" s="2909"/>
      <c r="AM314" s="2909"/>
      <c r="AN314" s="2909"/>
      <c r="AO314" s="2909"/>
      <c r="AP314" s="2909"/>
      <c r="AQ314" s="2909"/>
      <c r="AR314" s="2909"/>
      <c r="AS314" s="2909"/>
      <c r="AT314" s="1470"/>
      <c r="AU314" s="1485"/>
      <c r="AV314" s="1485"/>
    </row>
    <row r="315" spans="2:48" ht="13" customHeight="1">
      <c r="B315" s="2906"/>
      <c r="C315" s="2906"/>
      <c r="D315" s="2906"/>
      <c r="E315" s="2906"/>
      <c r="F315" s="2905"/>
      <c r="G315" s="2905"/>
      <c r="H315" s="2905"/>
      <c r="I315" s="2905"/>
      <c r="J315" s="2905"/>
      <c r="K315" s="2909" t="str">
        <f>IF('2_入力シート【用途面積】'!G7="","",'2_入力シート【用途面積】'!G7)</f>
        <v/>
      </c>
      <c r="L315" s="2909"/>
      <c r="M315" s="2909"/>
      <c r="N315" s="2909"/>
      <c r="O315" s="2909"/>
      <c r="P315" s="2909" t="str">
        <f>IF('2_入力シート【用途面積】'!I7="","",'2_入力シート【用途面積】'!I7)</f>
        <v/>
      </c>
      <c r="Q315" s="2909"/>
      <c r="R315" s="2909"/>
      <c r="S315" s="2909"/>
      <c r="T315" s="2909"/>
      <c r="U315" s="2909" t="str">
        <f>IF('2_入力シート【用途面積】'!K7="","",'2_入力シート【用途面積】'!K7)</f>
        <v/>
      </c>
      <c r="V315" s="2909"/>
      <c r="W315" s="2909"/>
      <c r="X315" s="2909"/>
      <c r="Y315" s="2909"/>
      <c r="Z315" s="2909" t="str">
        <f>IF('2_入力シート【用途面積】'!M7="","",'2_入力シート【用途面積】'!M7)</f>
        <v/>
      </c>
      <c r="AA315" s="2909"/>
      <c r="AB315" s="2909"/>
      <c r="AC315" s="2909"/>
      <c r="AD315" s="2909"/>
      <c r="AE315" s="2909" t="str">
        <f>IF('2_入力シート【用途面積】'!O7="","",'2_入力シート【用途面積】'!O7)</f>
        <v/>
      </c>
      <c r="AF315" s="2909"/>
      <c r="AG315" s="2909"/>
      <c r="AH315" s="2909"/>
      <c r="AI315" s="2909"/>
      <c r="AJ315" s="2909" t="str">
        <f>IF('2_入力シート【用途面積】'!Q7="","",'2_入力シート【用途面積】'!Q7)</f>
        <v/>
      </c>
      <c r="AK315" s="2909"/>
      <c r="AL315" s="2909"/>
      <c r="AM315" s="2909"/>
      <c r="AN315" s="2909"/>
      <c r="AO315" s="2910" t="str">
        <f>IF('2_入力シート【用途面積】'!S7="","",'2_入力シート【用途面積】'!S7)</f>
        <v/>
      </c>
      <c r="AP315" s="2910"/>
      <c r="AQ315" s="2910"/>
      <c r="AR315" s="2910"/>
      <c r="AS315" s="2910"/>
      <c r="AT315" s="1470"/>
      <c r="AU315" s="1485"/>
      <c r="AV315" s="1485"/>
    </row>
    <row r="316" spans="2:48" ht="13" customHeight="1">
      <c r="B316" s="2906"/>
      <c r="C316" s="2906"/>
      <c r="D316" s="2906"/>
      <c r="E316" s="2906"/>
      <c r="F316" s="2905"/>
      <c r="G316" s="2905"/>
      <c r="H316" s="2905"/>
      <c r="I316" s="2905"/>
      <c r="J316" s="2905"/>
      <c r="K316" s="2909"/>
      <c r="L316" s="2909"/>
      <c r="M316" s="2909"/>
      <c r="N316" s="2909"/>
      <c r="O316" s="2909"/>
      <c r="P316" s="2909"/>
      <c r="Q316" s="2909"/>
      <c r="R316" s="2909"/>
      <c r="S316" s="2909"/>
      <c r="T316" s="2909"/>
      <c r="U316" s="2909"/>
      <c r="V316" s="2909"/>
      <c r="W316" s="2909"/>
      <c r="X316" s="2909"/>
      <c r="Y316" s="2909"/>
      <c r="Z316" s="2909"/>
      <c r="AA316" s="2909"/>
      <c r="AB316" s="2909"/>
      <c r="AC316" s="2909"/>
      <c r="AD316" s="2909"/>
      <c r="AE316" s="2909"/>
      <c r="AF316" s="2909"/>
      <c r="AG316" s="2909"/>
      <c r="AH316" s="2909"/>
      <c r="AI316" s="2909"/>
      <c r="AJ316" s="2909"/>
      <c r="AK316" s="2909"/>
      <c r="AL316" s="2909"/>
      <c r="AM316" s="2909"/>
      <c r="AN316" s="2909"/>
      <c r="AO316" s="2910"/>
      <c r="AP316" s="2910"/>
      <c r="AQ316" s="2910"/>
      <c r="AR316" s="2910"/>
      <c r="AS316" s="2910"/>
      <c r="AT316" s="1470"/>
      <c r="AU316" s="1485"/>
      <c r="AV316" s="1485"/>
    </row>
    <row r="317" spans="2:48" ht="13" customHeight="1">
      <c r="B317" s="2906"/>
      <c r="C317" s="2906"/>
      <c r="D317" s="2906"/>
      <c r="E317" s="2906"/>
      <c r="F317" s="2905"/>
      <c r="G317" s="2905"/>
      <c r="H317" s="2905"/>
      <c r="I317" s="2905"/>
      <c r="J317" s="2905"/>
      <c r="K317" s="2909"/>
      <c r="L317" s="2909"/>
      <c r="M317" s="2909"/>
      <c r="N317" s="2909"/>
      <c r="O317" s="2909"/>
      <c r="P317" s="2909"/>
      <c r="Q317" s="2909"/>
      <c r="R317" s="2909"/>
      <c r="S317" s="2909"/>
      <c r="T317" s="2909"/>
      <c r="U317" s="2909"/>
      <c r="V317" s="2909"/>
      <c r="W317" s="2909"/>
      <c r="X317" s="2909"/>
      <c r="Y317" s="2909"/>
      <c r="Z317" s="2909"/>
      <c r="AA317" s="2909"/>
      <c r="AB317" s="2909"/>
      <c r="AC317" s="2909"/>
      <c r="AD317" s="2909"/>
      <c r="AE317" s="2909"/>
      <c r="AF317" s="2909"/>
      <c r="AG317" s="2909"/>
      <c r="AH317" s="2909"/>
      <c r="AI317" s="2909"/>
      <c r="AJ317" s="2909"/>
      <c r="AK317" s="2909"/>
      <c r="AL317" s="2909"/>
      <c r="AM317" s="2909"/>
      <c r="AN317" s="2909"/>
      <c r="AO317" s="2910"/>
      <c r="AP317" s="2910"/>
      <c r="AQ317" s="2910"/>
      <c r="AR317" s="2910"/>
      <c r="AS317" s="2910"/>
      <c r="AT317" s="1470"/>
      <c r="AU317" s="1485"/>
      <c r="AV317" s="1485"/>
    </row>
    <row r="318" spans="2:48" ht="13" customHeight="1">
      <c r="B318" s="2906"/>
      <c r="C318" s="2906"/>
      <c r="D318" s="2906"/>
      <c r="E318" s="2906"/>
      <c r="F318" s="2905"/>
      <c r="G318" s="2905"/>
      <c r="H318" s="2905"/>
      <c r="I318" s="2905"/>
      <c r="J318" s="2905"/>
      <c r="K318" s="2909"/>
      <c r="L318" s="2909"/>
      <c r="M318" s="2909"/>
      <c r="N318" s="2909"/>
      <c r="O318" s="2909"/>
      <c r="P318" s="2909"/>
      <c r="Q318" s="2909"/>
      <c r="R318" s="2909"/>
      <c r="S318" s="2909"/>
      <c r="T318" s="2909"/>
      <c r="U318" s="2909"/>
      <c r="V318" s="2909"/>
      <c r="W318" s="2909"/>
      <c r="X318" s="2909"/>
      <c r="Y318" s="2909"/>
      <c r="Z318" s="2909"/>
      <c r="AA318" s="2909"/>
      <c r="AB318" s="2909"/>
      <c r="AC318" s="2909"/>
      <c r="AD318" s="2909"/>
      <c r="AE318" s="2909"/>
      <c r="AF318" s="2909"/>
      <c r="AG318" s="2909"/>
      <c r="AH318" s="2909"/>
      <c r="AI318" s="2909"/>
      <c r="AJ318" s="2909"/>
      <c r="AK318" s="2909"/>
      <c r="AL318" s="2909"/>
      <c r="AM318" s="2909"/>
      <c r="AN318" s="2909"/>
      <c r="AO318" s="2910"/>
      <c r="AP318" s="2910"/>
      <c r="AQ318" s="2910"/>
      <c r="AR318" s="2910"/>
      <c r="AS318" s="2910"/>
      <c r="AT318" s="1470"/>
      <c r="AU318" s="1485"/>
      <c r="AV318" s="1485"/>
    </row>
    <row r="319" spans="2:48" ht="13" customHeight="1" thickBot="1">
      <c r="B319" s="2926" t="s">
        <v>365</v>
      </c>
      <c r="C319" s="2927"/>
      <c r="D319" s="2927"/>
      <c r="E319" s="2928"/>
      <c r="F319" s="2907">
        <f>'2_入力シート【用途面積】'!E13</f>
        <v>0</v>
      </c>
      <c r="G319" s="2908"/>
      <c r="H319" s="2908"/>
      <c r="I319" s="2908"/>
      <c r="J319" s="1541" t="s">
        <v>28</v>
      </c>
      <c r="K319" s="2907">
        <f>'2_入力シート【用途面積】'!G13</f>
        <v>0</v>
      </c>
      <c r="L319" s="2908"/>
      <c r="M319" s="2908"/>
      <c r="N319" s="2908"/>
      <c r="O319" s="1541" t="s">
        <v>28</v>
      </c>
      <c r="P319" s="2907">
        <f>'2_入力シート【用途面積】'!I13</f>
        <v>0</v>
      </c>
      <c r="Q319" s="2908"/>
      <c r="R319" s="2908"/>
      <c r="S319" s="2908"/>
      <c r="T319" s="1541" t="s">
        <v>28</v>
      </c>
      <c r="U319" s="2907">
        <f>'2_入力シート【用途面積】'!K13</f>
        <v>0</v>
      </c>
      <c r="V319" s="2908"/>
      <c r="W319" s="2908"/>
      <c r="X319" s="2908"/>
      <c r="Y319" s="1541" t="s">
        <v>28</v>
      </c>
      <c r="Z319" s="2907">
        <f>'2_入力シート【用途面積】'!M13</f>
        <v>0</v>
      </c>
      <c r="AA319" s="2908"/>
      <c r="AB319" s="2908"/>
      <c r="AC319" s="2908"/>
      <c r="AD319" s="1541" t="s">
        <v>28</v>
      </c>
      <c r="AE319" s="2907">
        <f>'2_入力シート【用途面積】'!O13</f>
        <v>0</v>
      </c>
      <c r="AF319" s="2908"/>
      <c r="AG319" s="2908"/>
      <c r="AH319" s="2908"/>
      <c r="AI319" s="1541" t="s">
        <v>28</v>
      </c>
      <c r="AJ319" s="2907">
        <f>'2_入力シート【用途面積】'!Q13</f>
        <v>0</v>
      </c>
      <c r="AK319" s="2908"/>
      <c r="AL319" s="2908"/>
      <c r="AM319" s="2908"/>
      <c r="AN319" s="1541" t="s">
        <v>28</v>
      </c>
      <c r="AO319" s="2907">
        <f>'2_入力シート【用途面積】'!S13</f>
        <v>0</v>
      </c>
      <c r="AP319" s="2908"/>
      <c r="AQ319" s="2908"/>
      <c r="AR319" s="2908"/>
      <c r="AS319" s="1541" t="s">
        <v>28</v>
      </c>
      <c r="AT319" s="1470"/>
      <c r="AU319" s="1485"/>
      <c r="AV319" s="1485"/>
    </row>
    <row r="320" spans="2:48" ht="13" customHeight="1" thickTop="1">
      <c r="B320" s="2911" t="s">
        <v>361</v>
      </c>
      <c r="C320" s="2912"/>
      <c r="D320" s="2912"/>
      <c r="E320" s="1542" t="s">
        <v>17</v>
      </c>
      <c r="F320" s="2794">
        <f>'2_入力シート【用途面積】'!E14</f>
        <v>0</v>
      </c>
      <c r="G320" s="2795"/>
      <c r="H320" s="2795"/>
      <c r="I320" s="2795"/>
      <c r="J320" s="1543" t="s">
        <v>28</v>
      </c>
      <c r="K320" s="2794" t="str">
        <f>IF('2_入力シート【用途面積】'!G14="","",'2_入力シート【用途面積】'!G14)</f>
        <v/>
      </c>
      <c r="L320" s="2795"/>
      <c r="M320" s="2795"/>
      <c r="N320" s="2795"/>
      <c r="O320" s="1543" t="s">
        <v>28</v>
      </c>
      <c r="P320" s="2794" t="str">
        <f>IF('2_入力シート【用途面積】'!I14="","",'2_入力シート【用途面積】'!I14)</f>
        <v/>
      </c>
      <c r="Q320" s="2795"/>
      <c r="R320" s="2795"/>
      <c r="S320" s="2795"/>
      <c r="T320" s="1543" t="s">
        <v>28</v>
      </c>
      <c r="U320" s="2794" t="str">
        <f>IF('2_入力シート【用途面積】'!K14="","",'2_入力シート【用途面積】'!K14)</f>
        <v/>
      </c>
      <c r="V320" s="2795"/>
      <c r="W320" s="2795"/>
      <c r="X320" s="2795"/>
      <c r="Y320" s="1543" t="s">
        <v>28</v>
      </c>
      <c r="Z320" s="2794" t="str">
        <f>IF('2_入力シート【用途面積】'!M14="","",'2_入力シート【用途面積】'!M14)</f>
        <v/>
      </c>
      <c r="AA320" s="2795"/>
      <c r="AB320" s="2795"/>
      <c r="AC320" s="2795"/>
      <c r="AD320" s="1543" t="s">
        <v>28</v>
      </c>
      <c r="AE320" s="2794" t="str">
        <f>IF('2_入力シート【用途面積】'!O14="","",'2_入力シート【用途面積】'!O14)</f>
        <v/>
      </c>
      <c r="AF320" s="2795"/>
      <c r="AG320" s="2795"/>
      <c r="AH320" s="2795"/>
      <c r="AI320" s="1543" t="s">
        <v>28</v>
      </c>
      <c r="AJ320" s="2794" t="str">
        <f>IF('2_入力シート【用途面積】'!Q14="","",'2_入力シート【用途面積】'!Q14)</f>
        <v/>
      </c>
      <c r="AK320" s="2795"/>
      <c r="AL320" s="2795"/>
      <c r="AM320" s="2795"/>
      <c r="AN320" s="1543" t="s">
        <v>28</v>
      </c>
      <c r="AO320" s="2794" t="str">
        <f>IF('2_入力シート【用途面積】'!S14="","",'2_入力シート【用途面積】'!S14)</f>
        <v/>
      </c>
      <c r="AP320" s="2795"/>
      <c r="AQ320" s="2795"/>
      <c r="AR320" s="2795"/>
      <c r="AS320" s="1543" t="s">
        <v>28</v>
      </c>
      <c r="AT320" s="1470"/>
      <c r="AU320" s="1485"/>
      <c r="AV320" s="1485"/>
    </row>
    <row r="321" spans="2:48" ht="13" customHeight="1">
      <c r="B321" s="2913" t="s">
        <v>362</v>
      </c>
      <c r="C321" s="2914"/>
      <c r="D321" s="2914"/>
      <c r="E321" s="1542" t="s">
        <v>17</v>
      </c>
      <c r="F321" s="2794">
        <f>'2_入力シート【用途面積】'!E15</f>
        <v>0</v>
      </c>
      <c r="G321" s="2795"/>
      <c r="H321" s="2795"/>
      <c r="I321" s="2795"/>
      <c r="J321" s="1543" t="s">
        <v>28</v>
      </c>
      <c r="K321" s="2794" t="str">
        <f>IF('2_入力シート【用途面積】'!G15="","",'2_入力シート【用途面積】'!G15)</f>
        <v/>
      </c>
      <c r="L321" s="2795"/>
      <c r="M321" s="2795"/>
      <c r="N321" s="2795"/>
      <c r="O321" s="1543" t="s">
        <v>28</v>
      </c>
      <c r="P321" s="2794" t="str">
        <f>IF('2_入力シート【用途面積】'!I15="","",'2_入力シート【用途面積】'!I15)</f>
        <v/>
      </c>
      <c r="Q321" s="2795"/>
      <c r="R321" s="2795"/>
      <c r="S321" s="2795"/>
      <c r="T321" s="1543" t="s">
        <v>28</v>
      </c>
      <c r="U321" s="2794" t="str">
        <f>IF('2_入力シート【用途面積】'!K15="","",'2_入力シート【用途面積】'!K15)</f>
        <v/>
      </c>
      <c r="V321" s="2795"/>
      <c r="W321" s="2795"/>
      <c r="X321" s="2795"/>
      <c r="Y321" s="1543" t="s">
        <v>28</v>
      </c>
      <c r="Z321" s="2794" t="str">
        <f>IF('2_入力シート【用途面積】'!M15="","",'2_入力シート【用途面積】'!M15)</f>
        <v/>
      </c>
      <c r="AA321" s="2795"/>
      <c r="AB321" s="2795"/>
      <c r="AC321" s="2795"/>
      <c r="AD321" s="1543" t="s">
        <v>28</v>
      </c>
      <c r="AE321" s="2794" t="str">
        <f>IF('2_入力シート【用途面積】'!O15="","",'2_入力シート【用途面積】'!O15)</f>
        <v/>
      </c>
      <c r="AF321" s="2795"/>
      <c r="AG321" s="2795"/>
      <c r="AH321" s="2795"/>
      <c r="AI321" s="1543" t="s">
        <v>28</v>
      </c>
      <c r="AJ321" s="2794" t="str">
        <f>IF('2_入力シート【用途面積】'!Q15="","",'2_入力シート【用途面積】'!Q15)</f>
        <v/>
      </c>
      <c r="AK321" s="2795"/>
      <c r="AL321" s="2795"/>
      <c r="AM321" s="2795"/>
      <c r="AN321" s="1543" t="s">
        <v>28</v>
      </c>
      <c r="AO321" s="2794" t="str">
        <f>IF('2_入力シート【用途面積】'!S15="","",'2_入力シート【用途面積】'!S15)</f>
        <v/>
      </c>
      <c r="AP321" s="2795"/>
      <c r="AQ321" s="2795"/>
      <c r="AR321" s="2795"/>
      <c r="AS321" s="1543" t="s">
        <v>28</v>
      </c>
      <c r="AT321" s="1470"/>
      <c r="AU321" s="1485"/>
      <c r="AV321" s="1485"/>
    </row>
    <row r="322" spans="2:48" ht="13" customHeight="1">
      <c r="B322" s="2913" t="s">
        <v>363</v>
      </c>
      <c r="C322" s="2914"/>
      <c r="D322" s="2914"/>
      <c r="E322" s="1542" t="s">
        <v>17</v>
      </c>
      <c r="F322" s="2794">
        <f>'2_入力シート【用途面積】'!E16</f>
        <v>0</v>
      </c>
      <c r="G322" s="2795"/>
      <c r="H322" s="2795"/>
      <c r="I322" s="2795"/>
      <c r="J322" s="1543" t="s">
        <v>28</v>
      </c>
      <c r="K322" s="2794" t="str">
        <f>IF('2_入力シート【用途面積】'!G16="","",'2_入力シート【用途面積】'!G16)</f>
        <v/>
      </c>
      <c r="L322" s="2795"/>
      <c r="M322" s="2795"/>
      <c r="N322" s="2795"/>
      <c r="O322" s="1543" t="s">
        <v>28</v>
      </c>
      <c r="P322" s="2794" t="str">
        <f>IF('2_入力シート【用途面積】'!I16="","",'2_入力シート【用途面積】'!I16)</f>
        <v/>
      </c>
      <c r="Q322" s="2795"/>
      <c r="R322" s="2795"/>
      <c r="S322" s="2795"/>
      <c r="T322" s="1543" t="s">
        <v>28</v>
      </c>
      <c r="U322" s="2794" t="str">
        <f>IF('2_入力シート【用途面積】'!K16="","",'2_入力シート【用途面積】'!K16)</f>
        <v/>
      </c>
      <c r="V322" s="2795"/>
      <c r="W322" s="2795"/>
      <c r="X322" s="2795"/>
      <c r="Y322" s="1543" t="s">
        <v>28</v>
      </c>
      <c r="Z322" s="2794" t="str">
        <f>IF('2_入力シート【用途面積】'!M16="","",'2_入力シート【用途面積】'!M16)</f>
        <v/>
      </c>
      <c r="AA322" s="2795"/>
      <c r="AB322" s="2795"/>
      <c r="AC322" s="2795"/>
      <c r="AD322" s="1543" t="s">
        <v>28</v>
      </c>
      <c r="AE322" s="2794" t="str">
        <f>IF('2_入力シート【用途面積】'!O16="","",'2_入力シート【用途面積】'!O16)</f>
        <v/>
      </c>
      <c r="AF322" s="2795"/>
      <c r="AG322" s="2795"/>
      <c r="AH322" s="2795"/>
      <c r="AI322" s="1543" t="s">
        <v>28</v>
      </c>
      <c r="AJ322" s="2794" t="str">
        <f>IF('2_入力シート【用途面積】'!Q16="","",'2_入力シート【用途面積】'!Q16)</f>
        <v/>
      </c>
      <c r="AK322" s="2795"/>
      <c r="AL322" s="2795"/>
      <c r="AM322" s="2795"/>
      <c r="AN322" s="1543" t="s">
        <v>28</v>
      </c>
      <c r="AO322" s="2794" t="str">
        <f>IF('2_入力シート【用途面積】'!S16="","",'2_入力シート【用途面積】'!S16)</f>
        <v/>
      </c>
      <c r="AP322" s="2795"/>
      <c r="AQ322" s="2795"/>
      <c r="AR322" s="2795"/>
      <c r="AS322" s="1543" t="s">
        <v>28</v>
      </c>
      <c r="AT322" s="1470"/>
      <c r="AU322" s="1485"/>
      <c r="AV322" s="1485"/>
    </row>
    <row r="323" spans="2:48" ht="13" customHeight="1">
      <c r="B323" s="2915" t="s">
        <v>364</v>
      </c>
      <c r="C323" s="2916"/>
      <c r="D323" s="2916"/>
      <c r="E323" s="1542" t="s">
        <v>17</v>
      </c>
      <c r="F323" s="2796">
        <f>'2_入力シート【用途面積】'!E17</f>
        <v>0</v>
      </c>
      <c r="G323" s="2797"/>
      <c r="H323" s="2797"/>
      <c r="I323" s="2797"/>
      <c r="J323" s="1544" t="s">
        <v>28</v>
      </c>
      <c r="K323" s="2796" t="str">
        <f>IF('2_入力シート【用途面積】'!G17="","",'2_入力シート【用途面積】'!G17)</f>
        <v/>
      </c>
      <c r="L323" s="2797"/>
      <c r="M323" s="2797"/>
      <c r="N323" s="2797"/>
      <c r="O323" s="1544" t="s">
        <v>28</v>
      </c>
      <c r="P323" s="2796" t="str">
        <f>IF('2_入力シート【用途面積】'!I17="","",'2_入力シート【用途面積】'!I17)</f>
        <v/>
      </c>
      <c r="Q323" s="2797"/>
      <c r="R323" s="2797"/>
      <c r="S323" s="2797"/>
      <c r="T323" s="1544" t="s">
        <v>28</v>
      </c>
      <c r="U323" s="2796" t="str">
        <f>IF('2_入力シート【用途面積】'!K17="","",'2_入力シート【用途面積】'!K17)</f>
        <v/>
      </c>
      <c r="V323" s="2797"/>
      <c r="W323" s="2797"/>
      <c r="X323" s="2797"/>
      <c r="Y323" s="1544" t="s">
        <v>28</v>
      </c>
      <c r="Z323" s="2796" t="str">
        <f>IF('2_入力シート【用途面積】'!M17="","",'2_入力シート【用途面積】'!M17)</f>
        <v/>
      </c>
      <c r="AA323" s="2797"/>
      <c r="AB323" s="2797"/>
      <c r="AC323" s="2797"/>
      <c r="AD323" s="1544" t="s">
        <v>28</v>
      </c>
      <c r="AE323" s="2796" t="str">
        <f>IF('2_入力シート【用途面積】'!O17="","",'2_入力シート【用途面積】'!O17)</f>
        <v/>
      </c>
      <c r="AF323" s="2797"/>
      <c r="AG323" s="2797"/>
      <c r="AH323" s="2797"/>
      <c r="AI323" s="1544" t="s">
        <v>28</v>
      </c>
      <c r="AJ323" s="2796" t="str">
        <f>IF('2_入力シート【用途面積】'!Q17="","",'2_入力シート【用途面積】'!Q17)</f>
        <v/>
      </c>
      <c r="AK323" s="2797"/>
      <c r="AL323" s="2797"/>
      <c r="AM323" s="2797"/>
      <c r="AN323" s="1544" t="s">
        <v>28</v>
      </c>
      <c r="AO323" s="2796" t="str">
        <f>IF('2_入力シート【用途面積】'!S17="","",'2_入力シート【用途面積】'!S17)</f>
        <v/>
      </c>
      <c r="AP323" s="2797"/>
      <c r="AQ323" s="2797"/>
      <c r="AR323" s="2797"/>
      <c r="AS323" s="1544" t="s">
        <v>28</v>
      </c>
      <c r="AT323" s="1470"/>
      <c r="AU323" s="1485"/>
      <c r="AV323" s="1485"/>
    </row>
    <row r="324" spans="2:48" ht="13" customHeight="1">
      <c r="B324" s="2917" t="s">
        <v>353</v>
      </c>
      <c r="C324" s="2918"/>
      <c r="D324" s="2918"/>
      <c r="E324" s="1545" t="s">
        <v>17</v>
      </c>
      <c r="F324" s="2798">
        <f>'2_入力シート【用途面積】'!E18</f>
        <v>0</v>
      </c>
      <c r="G324" s="2799"/>
      <c r="H324" s="2799"/>
      <c r="I324" s="2799"/>
      <c r="J324" s="1546" t="s">
        <v>28</v>
      </c>
      <c r="K324" s="2798" t="str">
        <f>IF('2_入力シート【用途面積】'!G18="","",'2_入力シート【用途面積】'!G18)</f>
        <v/>
      </c>
      <c r="L324" s="2799"/>
      <c r="M324" s="2799"/>
      <c r="N324" s="2799"/>
      <c r="O324" s="1546" t="s">
        <v>28</v>
      </c>
      <c r="P324" s="2798" t="str">
        <f>IF('2_入力シート【用途面積】'!I18="","",'2_入力シート【用途面積】'!I18)</f>
        <v/>
      </c>
      <c r="Q324" s="2799"/>
      <c r="R324" s="2799"/>
      <c r="S324" s="2799"/>
      <c r="T324" s="1546" t="s">
        <v>28</v>
      </c>
      <c r="U324" s="2798" t="str">
        <f>IF('2_入力シート【用途面積】'!K18="","",'2_入力シート【用途面積】'!K18)</f>
        <v/>
      </c>
      <c r="V324" s="2799"/>
      <c r="W324" s="2799"/>
      <c r="X324" s="2799"/>
      <c r="Y324" s="1546" t="s">
        <v>28</v>
      </c>
      <c r="Z324" s="2798" t="str">
        <f>IF('2_入力シート【用途面積】'!M18="","",'2_入力シート【用途面積】'!M18)</f>
        <v/>
      </c>
      <c r="AA324" s="2799"/>
      <c r="AB324" s="2799"/>
      <c r="AC324" s="2799"/>
      <c r="AD324" s="1546" t="s">
        <v>28</v>
      </c>
      <c r="AE324" s="2798" t="str">
        <f>IF('2_入力シート【用途面積】'!O18="","",'2_入力シート【用途面積】'!O18)</f>
        <v/>
      </c>
      <c r="AF324" s="2799"/>
      <c r="AG324" s="2799"/>
      <c r="AH324" s="2799"/>
      <c r="AI324" s="1546" t="s">
        <v>28</v>
      </c>
      <c r="AJ324" s="2798" t="str">
        <f>IF('2_入力シート【用途面積】'!Q18="","",'2_入力シート【用途面積】'!Q18)</f>
        <v/>
      </c>
      <c r="AK324" s="2799"/>
      <c r="AL324" s="2799"/>
      <c r="AM324" s="2799"/>
      <c r="AN324" s="1546" t="s">
        <v>28</v>
      </c>
      <c r="AO324" s="2798" t="str">
        <f>IF('2_入力シート【用途面積】'!S18="","",'2_入力シート【用途面積】'!S18)</f>
        <v/>
      </c>
      <c r="AP324" s="2799"/>
      <c r="AQ324" s="2799"/>
      <c r="AR324" s="2799"/>
      <c r="AS324" s="1546" t="s">
        <v>28</v>
      </c>
      <c r="AT324" s="1470"/>
      <c r="AU324" s="1485"/>
      <c r="AV324" s="1485"/>
    </row>
    <row r="325" spans="2:48" ht="13" customHeight="1">
      <c r="B325" s="2913" t="s">
        <v>354</v>
      </c>
      <c r="C325" s="2914"/>
      <c r="D325" s="2914"/>
      <c r="E325" s="1542" t="s">
        <v>17</v>
      </c>
      <c r="F325" s="2794">
        <f>'2_入力シート【用途面積】'!E19</f>
        <v>0</v>
      </c>
      <c r="G325" s="2795"/>
      <c r="H325" s="2795"/>
      <c r="I325" s="2795"/>
      <c r="J325" s="1543" t="s">
        <v>28</v>
      </c>
      <c r="K325" s="2794" t="str">
        <f>IF('2_入力シート【用途面積】'!G19="","",'2_入力シート【用途面積】'!G19)</f>
        <v/>
      </c>
      <c r="L325" s="2795"/>
      <c r="M325" s="2795"/>
      <c r="N325" s="2795"/>
      <c r="O325" s="1543" t="s">
        <v>28</v>
      </c>
      <c r="P325" s="2794" t="str">
        <f>IF('2_入力シート【用途面積】'!I19="","",'2_入力シート【用途面積】'!I19)</f>
        <v/>
      </c>
      <c r="Q325" s="2795"/>
      <c r="R325" s="2795"/>
      <c r="S325" s="2795"/>
      <c r="T325" s="1543" t="s">
        <v>28</v>
      </c>
      <c r="U325" s="2794" t="str">
        <f>IF('2_入力シート【用途面積】'!K19="","",'2_入力シート【用途面積】'!K19)</f>
        <v/>
      </c>
      <c r="V325" s="2795"/>
      <c r="W325" s="2795"/>
      <c r="X325" s="2795"/>
      <c r="Y325" s="1543" t="s">
        <v>28</v>
      </c>
      <c r="Z325" s="2794" t="str">
        <f>IF('2_入力シート【用途面積】'!M19="","",'2_入力シート【用途面積】'!M19)</f>
        <v/>
      </c>
      <c r="AA325" s="2795"/>
      <c r="AB325" s="2795"/>
      <c r="AC325" s="2795"/>
      <c r="AD325" s="1543" t="s">
        <v>28</v>
      </c>
      <c r="AE325" s="2794" t="str">
        <f>IF('2_入力シート【用途面積】'!O19="","",'2_入力シート【用途面積】'!O19)</f>
        <v/>
      </c>
      <c r="AF325" s="2795"/>
      <c r="AG325" s="2795"/>
      <c r="AH325" s="2795"/>
      <c r="AI325" s="1543" t="s">
        <v>28</v>
      </c>
      <c r="AJ325" s="2794" t="str">
        <f>IF('2_入力シート【用途面積】'!Q19="","",'2_入力シート【用途面積】'!Q19)</f>
        <v/>
      </c>
      <c r="AK325" s="2795"/>
      <c r="AL325" s="2795"/>
      <c r="AM325" s="2795"/>
      <c r="AN325" s="1543" t="s">
        <v>28</v>
      </c>
      <c r="AO325" s="2794" t="str">
        <f>IF('2_入力シート【用途面積】'!S19="","",'2_入力シート【用途面積】'!S19)</f>
        <v/>
      </c>
      <c r="AP325" s="2795"/>
      <c r="AQ325" s="2795"/>
      <c r="AR325" s="2795"/>
      <c r="AS325" s="1543" t="s">
        <v>28</v>
      </c>
      <c r="AT325" s="1470"/>
      <c r="AU325" s="1485"/>
      <c r="AV325" s="1485"/>
    </row>
    <row r="326" spans="2:48" ht="13" customHeight="1">
      <c r="B326" s="2913" t="s">
        <v>355</v>
      </c>
      <c r="C326" s="2914"/>
      <c r="D326" s="2914"/>
      <c r="E326" s="1542" t="s">
        <v>17</v>
      </c>
      <c r="F326" s="2794">
        <f>'2_入力シート【用途面積】'!E20</f>
        <v>0</v>
      </c>
      <c r="G326" s="2795"/>
      <c r="H326" s="2795"/>
      <c r="I326" s="2795"/>
      <c r="J326" s="1543" t="s">
        <v>28</v>
      </c>
      <c r="K326" s="2794" t="str">
        <f>IF('2_入力シート【用途面積】'!G20="","",'2_入力シート【用途面積】'!G20)</f>
        <v/>
      </c>
      <c r="L326" s="2795"/>
      <c r="M326" s="2795"/>
      <c r="N326" s="2795"/>
      <c r="O326" s="1543" t="s">
        <v>28</v>
      </c>
      <c r="P326" s="2794" t="str">
        <f>IF('2_入力シート【用途面積】'!I20="","",'2_入力シート【用途面積】'!I20)</f>
        <v/>
      </c>
      <c r="Q326" s="2795"/>
      <c r="R326" s="2795"/>
      <c r="S326" s="2795"/>
      <c r="T326" s="1543" t="s">
        <v>28</v>
      </c>
      <c r="U326" s="2794" t="str">
        <f>IF('2_入力シート【用途面積】'!K20="","",'2_入力シート【用途面積】'!K20)</f>
        <v/>
      </c>
      <c r="V326" s="2795"/>
      <c r="W326" s="2795"/>
      <c r="X326" s="2795"/>
      <c r="Y326" s="1543" t="s">
        <v>28</v>
      </c>
      <c r="Z326" s="2794" t="str">
        <f>IF('2_入力シート【用途面積】'!M20="","",'2_入力シート【用途面積】'!M20)</f>
        <v/>
      </c>
      <c r="AA326" s="2795"/>
      <c r="AB326" s="2795"/>
      <c r="AC326" s="2795"/>
      <c r="AD326" s="1543" t="s">
        <v>28</v>
      </c>
      <c r="AE326" s="2794" t="str">
        <f>IF('2_入力シート【用途面積】'!O20="","",'2_入力シート【用途面積】'!O20)</f>
        <v/>
      </c>
      <c r="AF326" s="2795"/>
      <c r="AG326" s="2795"/>
      <c r="AH326" s="2795"/>
      <c r="AI326" s="1543" t="s">
        <v>28</v>
      </c>
      <c r="AJ326" s="2794" t="str">
        <f>IF('2_入力シート【用途面積】'!Q20="","",'2_入力シート【用途面積】'!Q20)</f>
        <v/>
      </c>
      <c r="AK326" s="2795"/>
      <c r="AL326" s="2795"/>
      <c r="AM326" s="2795"/>
      <c r="AN326" s="1543" t="s">
        <v>28</v>
      </c>
      <c r="AO326" s="2794" t="str">
        <f>IF('2_入力シート【用途面積】'!S20="","",'2_入力シート【用途面積】'!S20)</f>
        <v/>
      </c>
      <c r="AP326" s="2795"/>
      <c r="AQ326" s="2795"/>
      <c r="AR326" s="2795"/>
      <c r="AS326" s="1543" t="s">
        <v>28</v>
      </c>
      <c r="AT326" s="1470"/>
      <c r="AU326" s="1485"/>
      <c r="AV326" s="1485"/>
    </row>
    <row r="327" spans="2:48" ht="13" customHeight="1">
      <c r="B327" s="2913" t="s">
        <v>356</v>
      </c>
      <c r="C327" s="2914"/>
      <c r="D327" s="2914"/>
      <c r="E327" s="1542" t="s">
        <v>17</v>
      </c>
      <c r="F327" s="2794">
        <f>'2_入力シート【用途面積】'!E21</f>
        <v>0</v>
      </c>
      <c r="G327" s="2795"/>
      <c r="H327" s="2795"/>
      <c r="I327" s="2795"/>
      <c r="J327" s="1543" t="s">
        <v>28</v>
      </c>
      <c r="K327" s="2794" t="str">
        <f>IF('2_入力シート【用途面積】'!G21="","",'2_入力シート【用途面積】'!G21)</f>
        <v/>
      </c>
      <c r="L327" s="2795"/>
      <c r="M327" s="2795"/>
      <c r="N327" s="2795"/>
      <c r="O327" s="1543" t="s">
        <v>28</v>
      </c>
      <c r="P327" s="2794" t="str">
        <f>IF('2_入力シート【用途面積】'!I21="","",'2_入力シート【用途面積】'!I21)</f>
        <v/>
      </c>
      <c r="Q327" s="2795"/>
      <c r="R327" s="2795"/>
      <c r="S327" s="2795"/>
      <c r="T327" s="1543" t="s">
        <v>28</v>
      </c>
      <c r="U327" s="2794" t="str">
        <f>IF('2_入力シート【用途面積】'!K21="","",'2_入力シート【用途面積】'!K21)</f>
        <v/>
      </c>
      <c r="V327" s="2795"/>
      <c r="W327" s="2795"/>
      <c r="X327" s="2795"/>
      <c r="Y327" s="1543" t="s">
        <v>28</v>
      </c>
      <c r="Z327" s="2794" t="str">
        <f>IF('2_入力シート【用途面積】'!M21="","",'2_入力シート【用途面積】'!M21)</f>
        <v/>
      </c>
      <c r="AA327" s="2795"/>
      <c r="AB327" s="2795"/>
      <c r="AC327" s="2795"/>
      <c r="AD327" s="1543" t="s">
        <v>28</v>
      </c>
      <c r="AE327" s="2794" t="str">
        <f>IF('2_入力シート【用途面積】'!O21="","",'2_入力シート【用途面積】'!O21)</f>
        <v/>
      </c>
      <c r="AF327" s="2795"/>
      <c r="AG327" s="2795"/>
      <c r="AH327" s="2795"/>
      <c r="AI327" s="1543" t="s">
        <v>28</v>
      </c>
      <c r="AJ327" s="2794" t="str">
        <f>IF('2_入力シート【用途面積】'!Q21="","",'2_入力シート【用途面積】'!Q21)</f>
        <v/>
      </c>
      <c r="AK327" s="2795"/>
      <c r="AL327" s="2795"/>
      <c r="AM327" s="2795"/>
      <c r="AN327" s="1543" t="s">
        <v>28</v>
      </c>
      <c r="AO327" s="2794" t="str">
        <f>IF('2_入力シート【用途面積】'!S21="","",'2_入力シート【用途面積】'!S21)</f>
        <v/>
      </c>
      <c r="AP327" s="2795"/>
      <c r="AQ327" s="2795"/>
      <c r="AR327" s="2795"/>
      <c r="AS327" s="1543" t="s">
        <v>28</v>
      </c>
      <c r="AT327" s="1470"/>
      <c r="AU327" s="1485"/>
      <c r="AV327" s="1485"/>
    </row>
    <row r="328" spans="2:48" ht="13" customHeight="1">
      <c r="B328" s="2915" t="s">
        <v>357</v>
      </c>
      <c r="C328" s="2916"/>
      <c r="D328" s="2916"/>
      <c r="E328" s="1547" t="s">
        <v>17</v>
      </c>
      <c r="F328" s="2796">
        <f>'2_入力シート【用途面積】'!E22</f>
        <v>0</v>
      </c>
      <c r="G328" s="2797"/>
      <c r="H328" s="2797"/>
      <c r="I328" s="2797"/>
      <c r="J328" s="1544" t="s">
        <v>28</v>
      </c>
      <c r="K328" s="2796" t="str">
        <f>IF('2_入力シート【用途面積】'!G22="","",'2_入力シート【用途面積】'!G22)</f>
        <v/>
      </c>
      <c r="L328" s="2797"/>
      <c r="M328" s="2797"/>
      <c r="N328" s="2797"/>
      <c r="O328" s="1544" t="s">
        <v>28</v>
      </c>
      <c r="P328" s="2796" t="str">
        <f>IF('2_入力シート【用途面積】'!I22="","",'2_入力シート【用途面積】'!I22)</f>
        <v/>
      </c>
      <c r="Q328" s="2797"/>
      <c r="R328" s="2797"/>
      <c r="S328" s="2797"/>
      <c r="T328" s="1544" t="s">
        <v>28</v>
      </c>
      <c r="U328" s="2796" t="str">
        <f>IF('2_入力シート【用途面積】'!K22="","",'2_入力シート【用途面積】'!K22)</f>
        <v/>
      </c>
      <c r="V328" s="2797"/>
      <c r="W328" s="2797"/>
      <c r="X328" s="2797"/>
      <c r="Y328" s="1544" t="s">
        <v>28</v>
      </c>
      <c r="Z328" s="2796" t="str">
        <f>IF('2_入力シート【用途面積】'!M22="","",'2_入力シート【用途面積】'!M22)</f>
        <v/>
      </c>
      <c r="AA328" s="2797"/>
      <c r="AB328" s="2797"/>
      <c r="AC328" s="2797"/>
      <c r="AD328" s="1544" t="s">
        <v>28</v>
      </c>
      <c r="AE328" s="2796" t="str">
        <f>IF('2_入力シート【用途面積】'!O22="","",'2_入力シート【用途面積】'!O22)</f>
        <v/>
      </c>
      <c r="AF328" s="2797"/>
      <c r="AG328" s="2797"/>
      <c r="AH328" s="2797"/>
      <c r="AI328" s="1544" t="s">
        <v>28</v>
      </c>
      <c r="AJ328" s="2796" t="str">
        <f>IF('2_入力シート【用途面積】'!Q22="","",'2_入力シート【用途面積】'!Q22)</f>
        <v/>
      </c>
      <c r="AK328" s="2797"/>
      <c r="AL328" s="2797"/>
      <c r="AM328" s="2797"/>
      <c r="AN328" s="1544" t="s">
        <v>28</v>
      </c>
      <c r="AO328" s="2796" t="str">
        <f>IF('2_入力シート【用途面積】'!S22="","",'2_入力シート【用途面積】'!S22)</f>
        <v/>
      </c>
      <c r="AP328" s="2797"/>
      <c r="AQ328" s="2797"/>
      <c r="AR328" s="2797"/>
      <c r="AS328" s="1544" t="s">
        <v>28</v>
      </c>
      <c r="AT328" s="1470"/>
      <c r="AU328" s="1485"/>
      <c r="AV328" s="1485"/>
    </row>
    <row r="329" spans="2:48" ht="13" customHeight="1">
      <c r="B329" s="1548"/>
      <c r="C329" s="2923">
        <v>1</v>
      </c>
      <c r="D329" s="2924"/>
      <c r="E329" s="1545" t="s">
        <v>17</v>
      </c>
      <c r="F329" s="2798">
        <f>'2_入力シート【用途面積】'!E23</f>
        <v>0</v>
      </c>
      <c r="G329" s="2799"/>
      <c r="H329" s="2799"/>
      <c r="I329" s="2799"/>
      <c r="J329" s="1546" t="s">
        <v>28</v>
      </c>
      <c r="K329" s="2798" t="str">
        <f>IF('2_入力シート【用途面積】'!G23="","",'2_入力シート【用途面積】'!G23)</f>
        <v/>
      </c>
      <c r="L329" s="2799"/>
      <c r="M329" s="2799"/>
      <c r="N329" s="2799"/>
      <c r="O329" s="1546" t="s">
        <v>28</v>
      </c>
      <c r="P329" s="2798" t="str">
        <f>IF('2_入力シート【用途面積】'!I23="","",'2_入力シート【用途面積】'!I23)</f>
        <v/>
      </c>
      <c r="Q329" s="2799"/>
      <c r="R329" s="2799"/>
      <c r="S329" s="2799"/>
      <c r="T329" s="1546" t="s">
        <v>28</v>
      </c>
      <c r="U329" s="2798" t="str">
        <f>IF('2_入力シート【用途面積】'!K23="","",'2_入力シート【用途面積】'!K23)</f>
        <v/>
      </c>
      <c r="V329" s="2799"/>
      <c r="W329" s="2799"/>
      <c r="X329" s="2799"/>
      <c r="Y329" s="1546" t="s">
        <v>28</v>
      </c>
      <c r="Z329" s="2798" t="str">
        <f>IF('2_入力シート【用途面積】'!M23="","",'2_入力シート【用途面積】'!M23)</f>
        <v/>
      </c>
      <c r="AA329" s="2799"/>
      <c r="AB329" s="2799"/>
      <c r="AC329" s="2799"/>
      <c r="AD329" s="1546" t="s">
        <v>28</v>
      </c>
      <c r="AE329" s="2798" t="str">
        <f>IF('2_入力シート【用途面積】'!O23="","",'2_入力シート【用途面積】'!O23)</f>
        <v/>
      </c>
      <c r="AF329" s="2799"/>
      <c r="AG329" s="2799"/>
      <c r="AH329" s="2799"/>
      <c r="AI329" s="1546" t="s">
        <v>28</v>
      </c>
      <c r="AJ329" s="2798" t="str">
        <f>IF('2_入力シート【用途面積】'!Q23="","",'2_入力シート【用途面積】'!Q23)</f>
        <v/>
      </c>
      <c r="AK329" s="2799"/>
      <c r="AL329" s="2799"/>
      <c r="AM329" s="2799"/>
      <c r="AN329" s="1546" t="s">
        <v>28</v>
      </c>
      <c r="AO329" s="2798" t="str">
        <f>IF('2_入力シート【用途面積】'!S23="","",'2_入力シート【用途面積】'!S23)</f>
        <v/>
      </c>
      <c r="AP329" s="2799"/>
      <c r="AQ329" s="2799"/>
      <c r="AR329" s="2799"/>
      <c r="AS329" s="1546" t="s">
        <v>28</v>
      </c>
      <c r="AT329" s="1470"/>
      <c r="AU329" s="1485"/>
      <c r="AV329" s="1485"/>
    </row>
    <row r="330" spans="2:48" ht="13" customHeight="1">
      <c r="B330" s="1549"/>
      <c r="C330" s="2921">
        <v>2</v>
      </c>
      <c r="D330" s="2922"/>
      <c r="E330" s="1542" t="s">
        <v>17</v>
      </c>
      <c r="F330" s="2794">
        <f>'2_入力シート【用途面積】'!E24</f>
        <v>0</v>
      </c>
      <c r="G330" s="2795"/>
      <c r="H330" s="2795"/>
      <c r="I330" s="2795"/>
      <c r="J330" s="1543" t="s">
        <v>28</v>
      </c>
      <c r="K330" s="2794" t="str">
        <f>IF('2_入力シート【用途面積】'!G24="","",'2_入力シート【用途面積】'!G24)</f>
        <v/>
      </c>
      <c r="L330" s="2795"/>
      <c r="M330" s="2795"/>
      <c r="N330" s="2795"/>
      <c r="O330" s="1543" t="s">
        <v>28</v>
      </c>
      <c r="P330" s="2794" t="str">
        <f>IF('2_入力シート【用途面積】'!I24="","",'2_入力シート【用途面積】'!I24)</f>
        <v/>
      </c>
      <c r="Q330" s="2795"/>
      <c r="R330" s="2795"/>
      <c r="S330" s="2795"/>
      <c r="T330" s="1543" t="s">
        <v>28</v>
      </c>
      <c r="U330" s="2794" t="str">
        <f>IF('2_入力シート【用途面積】'!K24="","",'2_入力シート【用途面積】'!K24)</f>
        <v/>
      </c>
      <c r="V330" s="2795"/>
      <c r="W330" s="2795"/>
      <c r="X330" s="2795"/>
      <c r="Y330" s="1543" t="s">
        <v>28</v>
      </c>
      <c r="Z330" s="2794" t="str">
        <f>IF('2_入力シート【用途面積】'!M24="","",'2_入力シート【用途面積】'!M24)</f>
        <v/>
      </c>
      <c r="AA330" s="2795"/>
      <c r="AB330" s="2795"/>
      <c r="AC330" s="2795"/>
      <c r="AD330" s="1543" t="s">
        <v>28</v>
      </c>
      <c r="AE330" s="2794" t="str">
        <f>IF('2_入力シート【用途面積】'!O24="","",'2_入力シート【用途面積】'!O24)</f>
        <v/>
      </c>
      <c r="AF330" s="2795"/>
      <c r="AG330" s="2795"/>
      <c r="AH330" s="2795"/>
      <c r="AI330" s="1543" t="s">
        <v>28</v>
      </c>
      <c r="AJ330" s="2794" t="str">
        <f>IF('2_入力シート【用途面積】'!Q24="","",'2_入力シート【用途面積】'!Q24)</f>
        <v/>
      </c>
      <c r="AK330" s="2795"/>
      <c r="AL330" s="2795"/>
      <c r="AM330" s="2795"/>
      <c r="AN330" s="1543" t="s">
        <v>28</v>
      </c>
      <c r="AO330" s="2794" t="str">
        <f>IF('2_入力シート【用途面積】'!S24="","",'2_入力シート【用途面積】'!S24)</f>
        <v/>
      </c>
      <c r="AP330" s="2795"/>
      <c r="AQ330" s="2795"/>
      <c r="AR330" s="2795"/>
      <c r="AS330" s="1543" t="s">
        <v>28</v>
      </c>
      <c r="AT330" s="1470"/>
      <c r="AU330" s="1485"/>
      <c r="AV330" s="1485"/>
    </row>
    <row r="331" spans="2:48" ht="13" customHeight="1">
      <c r="B331" s="1549"/>
      <c r="C331" s="2921">
        <v>3</v>
      </c>
      <c r="D331" s="2922"/>
      <c r="E331" s="1542" t="s">
        <v>17</v>
      </c>
      <c r="F331" s="2794">
        <f>'2_入力シート【用途面積】'!E25</f>
        <v>0</v>
      </c>
      <c r="G331" s="2795"/>
      <c r="H331" s="2795"/>
      <c r="I331" s="2795"/>
      <c r="J331" s="1543" t="s">
        <v>28</v>
      </c>
      <c r="K331" s="2794" t="str">
        <f>IF('2_入力シート【用途面積】'!G25="","",'2_入力シート【用途面積】'!G25)</f>
        <v/>
      </c>
      <c r="L331" s="2795"/>
      <c r="M331" s="2795"/>
      <c r="N331" s="2795"/>
      <c r="O331" s="1543" t="s">
        <v>28</v>
      </c>
      <c r="P331" s="2794" t="str">
        <f>IF('2_入力シート【用途面積】'!I25="","",'2_入力シート【用途面積】'!I25)</f>
        <v/>
      </c>
      <c r="Q331" s="2795"/>
      <c r="R331" s="2795"/>
      <c r="S331" s="2795"/>
      <c r="T331" s="1543" t="s">
        <v>28</v>
      </c>
      <c r="U331" s="2794" t="str">
        <f>IF('2_入力シート【用途面積】'!K25="","",'2_入力シート【用途面積】'!K25)</f>
        <v/>
      </c>
      <c r="V331" s="2795"/>
      <c r="W331" s="2795"/>
      <c r="X331" s="2795"/>
      <c r="Y331" s="1543" t="s">
        <v>28</v>
      </c>
      <c r="Z331" s="2794" t="str">
        <f>IF('2_入力シート【用途面積】'!M25="","",'2_入力シート【用途面積】'!M25)</f>
        <v/>
      </c>
      <c r="AA331" s="2795"/>
      <c r="AB331" s="2795"/>
      <c r="AC331" s="2795"/>
      <c r="AD331" s="1543" t="s">
        <v>28</v>
      </c>
      <c r="AE331" s="2794" t="str">
        <f>IF('2_入力シート【用途面積】'!O25="","",'2_入力シート【用途面積】'!O25)</f>
        <v/>
      </c>
      <c r="AF331" s="2795"/>
      <c r="AG331" s="2795"/>
      <c r="AH331" s="2795"/>
      <c r="AI331" s="1543" t="s">
        <v>28</v>
      </c>
      <c r="AJ331" s="2794" t="str">
        <f>IF('2_入力シート【用途面積】'!Q25="","",'2_入力シート【用途面積】'!Q25)</f>
        <v/>
      </c>
      <c r="AK331" s="2795"/>
      <c r="AL331" s="2795"/>
      <c r="AM331" s="2795"/>
      <c r="AN331" s="1543" t="s">
        <v>28</v>
      </c>
      <c r="AO331" s="2794" t="str">
        <f>IF('2_入力シート【用途面積】'!S25="","",'2_入力シート【用途面積】'!S25)</f>
        <v/>
      </c>
      <c r="AP331" s="2795"/>
      <c r="AQ331" s="2795"/>
      <c r="AR331" s="2795"/>
      <c r="AS331" s="1543" t="s">
        <v>28</v>
      </c>
      <c r="AT331" s="1551"/>
      <c r="AU331" s="1485"/>
      <c r="AV331" s="1485"/>
    </row>
    <row r="332" spans="2:48" ht="13" customHeight="1">
      <c r="B332" s="1549"/>
      <c r="C332" s="2921">
        <v>4</v>
      </c>
      <c r="D332" s="2922"/>
      <c r="E332" s="1542" t="s">
        <v>17</v>
      </c>
      <c r="F332" s="2794">
        <f>'2_入力シート【用途面積】'!E26</f>
        <v>0</v>
      </c>
      <c r="G332" s="2795"/>
      <c r="H332" s="2795"/>
      <c r="I332" s="2795"/>
      <c r="J332" s="1543" t="s">
        <v>28</v>
      </c>
      <c r="K332" s="2794" t="str">
        <f>IF('2_入力シート【用途面積】'!G26="","",'2_入力シート【用途面積】'!G26)</f>
        <v/>
      </c>
      <c r="L332" s="2795"/>
      <c r="M332" s="2795"/>
      <c r="N332" s="2795"/>
      <c r="O332" s="1543" t="s">
        <v>28</v>
      </c>
      <c r="P332" s="2794" t="str">
        <f>IF('2_入力シート【用途面積】'!I26="","",'2_入力シート【用途面積】'!I26)</f>
        <v/>
      </c>
      <c r="Q332" s="2795"/>
      <c r="R332" s="2795"/>
      <c r="S332" s="2795"/>
      <c r="T332" s="1543" t="s">
        <v>28</v>
      </c>
      <c r="U332" s="2794" t="str">
        <f>IF('2_入力シート【用途面積】'!K26="","",'2_入力シート【用途面積】'!K26)</f>
        <v/>
      </c>
      <c r="V332" s="2795"/>
      <c r="W332" s="2795"/>
      <c r="X332" s="2795"/>
      <c r="Y332" s="1543" t="s">
        <v>28</v>
      </c>
      <c r="Z332" s="2794" t="str">
        <f>IF('2_入力シート【用途面積】'!M26="","",'2_入力シート【用途面積】'!M26)</f>
        <v/>
      </c>
      <c r="AA332" s="2795"/>
      <c r="AB332" s="2795"/>
      <c r="AC332" s="2795"/>
      <c r="AD332" s="1543" t="s">
        <v>28</v>
      </c>
      <c r="AE332" s="2794" t="str">
        <f>IF('2_入力シート【用途面積】'!O26="","",'2_入力シート【用途面積】'!O26)</f>
        <v/>
      </c>
      <c r="AF332" s="2795"/>
      <c r="AG332" s="2795"/>
      <c r="AH332" s="2795"/>
      <c r="AI332" s="1543" t="s">
        <v>28</v>
      </c>
      <c r="AJ332" s="2794" t="str">
        <f>IF('2_入力シート【用途面積】'!Q26="","",'2_入力シート【用途面積】'!Q26)</f>
        <v/>
      </c>
      <c r="AK332" s="2795"/>
      <c r="AL332" s="2795"/>
      <c r="AM332" s="2795"/>
      <c r="AN332" s="1543" t="s">
        <v>28</v>
      </c>
      <c r="AO332" s="2794" t="str">
        <f>IF('2_入力シート【用途面積】'!S26="","",'2_入力シート【用途面積】'!S26)</f>
        <v/>
      </c>
      <c r="AP332" s="2795"/>
      <c r="AQ332" s="2795"/>
      <c r="AR332" s="2795"/>
      <c r="AS332" s="1543" t="s">
        <v>28</v>
      </c>
      <c r="AT332" s="1470"/>
      <c r="AU332" s="1485"/>
      <c r="AV332" s="1485"/>
    </row>
    <row r="333" spans="2:48" ht="13" customHeight="1">
      <c r="B333" s="1552"/>
      <c r="C333" s="2919">
        <v>5</v>
      </c>
      <c r="D333" s="2920"/>
      <c r="E333" s="1547" t="s">
        <v>17</v>
      </c>
      <c r="F333" s="2796">
        <f>'2_入力シート【用途面積】'!E27</f>
        <v>0</v>
      </c>
      <c r="G333" s="2797"/>
      <c r="H333" s="2797"/>
      <c r="I333" s="2797"/>
      <c r="J333" s="1544" t="s">
        <v>28</v>
      </c>
      <c r="K333" s="2796" t="str">
        <f>IF('2_入力シート【用途面積】'!G27="","",'2_入力シート【用途面積】'!G27)</f>
        <v/>
      </c>
      <c r="L333" s="2797"/>
      <c r="M333" s="2797"/>
      <c r="N333" s="2797"/>
      <c r="O333" s="1544" t="s">
        <v>28</v>
      </c>
      <c r="P333" s="2796" t="str">
        <f>IF('2_入力シート【用途面積】'!I27="","",'2_入力シート【用途面積】'!I27)</f>
        <v/>
      </c>
      <c r="Q333" s="2797"/>
      <c r="R333" s="2797"/>
      <c r="S333" s="2797"/>
      <c r="T333" s="1544" t="s">
        <v>28</v>
      </c>
      <c r="U333" s="2796" t="str">
        <f>IF('2_入力シート【用途面積】'!K27="","",'2_入力シート【用途面積】'!K27)</f>
        <v/>
      </c>
      <c r="V333" s="2797"/>
      <c r="W333" s="2797"/>
      <c r="X333" s="2797"/>
      <c r="Y333" s="1544" t="s">
        <v>28</v>
      </c>
      <c r="Z333" s="2796" t="str">
        <f>IF('2_入力シート【用途面積】'!M27="","",'2_入力シート【用途面積】'!M27)</f>
        <v/>
      </c>
      <c r="AA333" s="2797"/>
      <c r="AB333" s="2797"/>
      <c r="AC333" s="2797"/>
      <c r="AD333" s="1544" t="s">
        <v>28</v>
      </c>
      <c r="AE333" s="2796" t="str">
        <f>IF('2_入力シート【用途面積】'!O27="","",'2_入力シート【用途面積】'!O27)</f>
        <v/>
      </c>
      <c r="AF333" s="2797"/>
      <c r="AG333" s="2797"/>
      <c r="AH333" s="2797"/>
      <c r="AI333" s="1544" t="s">
        <v>28</v>
      </c>
      <c r="AJ333" s="2796" t="str">
        <f>IF('2_入力シート【用途面積】'!Q27="","",'2_入力シート【用途面積】'!Q27)</f>
        <v/>
      </c>
      <c r="AK333" s="2797"/>
      <c r="AL333" s="2797"/>
      <c r="AM333" s="2797"/>
      <c r="AN333" s="1544" t="s">
        <v>28</v>
      </c>
      <c r="AO333" s="2796" t="str">
        <f>IF('2_入力シート【用途面積】'!S27="","",'2_入力シート【用途面積】'!S27)</f>
        <v/>
      </c>
      <c r="AP333" s="2797"/>
      <c r="AQ333" s="2797"/>
      <c r="AR333" s="2797"/>
      <c r="AS333" s="1544" t="s">
        <v>28</v>
      </c>
      <c r="AT333" s="1470"/>
      <c r="AU333" s="1485"/>
      <c r="AV333" s="1485"/>
    </row>
    <row r="334" spans="2:48" ht="13" customHeight="1">
      <c r="B334" s="1548"/>
      <c r="C334" s="2921">
        <v>6</v>
      </c>
      <c r="D334" s="2922"/>
      <c r="E334" s="1545" t="s">
        <v>17</v>
      </c>
      <c r="F334" s="2798">
        <f>'2_入力シート【用途面積】'!E28</f>
        <v>0</v>
      </c>
      <c r="G334" s="2799"/>
      <c r="H334" s="2799"/>
      <c r="I334" s="2799"/>
      <c r="J334" s="1546" t="s">
        <v>28</v>
      </c>
      <c r="K334" s="2798" t="str">
        <f>IF('2_入力シート【用途面積】'!G28="","",'2_入力シート【用途面積】'!G28)</f>
        <v/>
      </c>
      <c r="L334" s="2799"/>
      <c r="M334" s="2799"/>
      <c r="N334" s="2799"/>
      <c r="O334" s="1546" t="s">
        <v>28</v>
      </c>
      <c r="P334" s="2798" t="str">
        <f>IF('2_入力シート【用途面積】'!I28="","",'2_入力シート【用途面積】'!I28)</f>
        <v/>
      </c>
      <c r="Q334" s="2799"/>
      <c r="R334" s="2799"/>
      <c r="S334" s="2799"/>
      <c r="T334" s="1546" t="s">
        <v>28</v>
      </c>
      <c r="U334" s="2798" t="str">
        <f>IF('2_入力シート【用途面積】'!K28="","",'2_入力シート【用途面積】'!K28)</f>
        <v/>
      </c>
      <c r="V334" s="2799"/>
      <c r="W334" s="2799"/>
      <c r="X334" s="2799"/>
      <c r="Y334" s="1546" t="s">
        <v>28</v>
      </c>
      <c r="Z334" s="2798" t="str">
        <f>IF('2_入力シート【用途面積】'!M28="","",'2_入力シート【用途面積】'!M28)</f>
        <v/>
      </c>
      <c r="AA334" s="2799"/>
      <c r="AB334" s="2799"/>
      <c r="AC334" s="2799"/>
      <c r="AD334" s="1546" t="s">
        <v>28</v>
      </c>
      <c r="AE334" s="2798" t="str">
        <f>IF('2_入力シート【用途面積】'!O28="","",'2_入力シート【用途面積】'!O28)</f>
        <v/>
      </c>
      <c r="AF334" s="2799"/>
      <c r="AG334" s="2799"/>
      <c r="AH334" s="2799"/>
      <c r="AI334" s="1546" t="s">
        <v>28</v>
      </c>
      <c r="AJ334" s="2798" t="str">
        <f>IF('2_入力シート【用途面積】'!Q28="","",'2_入力シート【用途面積】'!Q28)</f>
        <v/>
      </c>
      <c r="AK334" s="2799"/>
      <c r="AL334" s="2799"/>
      <c r="AM334" s="2799"/>
      <c r="AN334" s="1546" t="s">
        <v>28</v>
      </c>
      <c r="AO334" s="2798" t="str">
        <f>IF('2_入力シート【用途面積】'!S28="","",'2_入力シート【用途面積】'!S28)</f>
        <v/>
      </c>
      <c r="AP334" s="2799"/>
      <c r="AQ334" s="2799"/>
      <c r="AR334" s="2799"/>
      <c r="AS334" s="1546" t="s">
        <v>28</v>
      </c>
      <c r="AT334" s="1470"/>
      <c r="AU334" s="1485"/>
      <c r="AV334" s="1485"/>
    </row>
    <row r="335" spans="2:48" ht="13" customHeight="1">
      <c r="B335" s="1549"/>
      <c r="C335" s="2921">
        <v>7</v>
      </c>
      <c r="D335" s="2922"/>
      <c r="E335" s="1542" t="s">
        <v>17</v>
      </c>
      <c r="F335" s="2794">
        <f>'2_入力シート【用途面積】'!E29</f>
        <v>0</v>
      </c>
      <c r="G335" s="2795"/>
      <c r="H335" s="2795"/>
      <c r="I335" s="2795"/>
      <c r="J335" s="1543" t="s">
        <v>28</v>
      </c>
      <c r="K335" s="2794" t="str">
        <f>IF('2_入力シート【用途面積】'!G29="","",'2_入力シート【用途面積】'!G29)</f>
        <v/>
      </c>
      <c r="L335" s="2795"/>
      <c r="M335" s="2795"/>
      <c r="N335" s="2795"/>
      <c r="O335" s="1543" t="s">
        <v>28</v>
      </c>
      <c r="P335" s="2794" t="str">
        <f>IF('2_入力シート【用途面積】'!I29="","",'2_入力シート【用途面積】'!I29)</f>
        <v/>
      </c>
      <c r="Q335" s="2795"/>
      <c r="R335" s="2795"/>
      <c r="S335" s="2795"/>
      <c r="T335" s="1543" t="s">
        <v>28</v>
      </c>
      <c r="U335" s="2794" t="str">
        <f>IF('2_入力シート【用途面積】'!K29="","",'2_入力シート【用途面積】'!K29)</f>
        <v/>
      </c>
      <c r="V335" s="2795"/>
      <c r="W335" s="2795"/>
      <c r="X335" s="2795"/>
      <c r="Y335" s="1543" t="s">
        <v>28</v>
      </c>
      <c r="Z335" s="2794" t="str">
        <f>IF('2_入力シート【用途面積】'!M29="","",'2_入力シート【用途面積】'!M29)</f>
        <v/>
      </c>
      <c r="AA335" s="2795"/>
      <c r="AB335" s="2795"/>
      <c r="AC335" s="2795"/>
      <c r="AD335" s="1543" t="s">
        <v>28</v>
      </c>
      <c r="AE335" s="2794" t="str">
        <f>IF('2_入力シート【用途面積】'!O29="","",'2_入力シート【用途面積】'!O29)</f>
        <v/>
      </c>
      <c r="AF335" s="2795"/>
      <c r="AG335" s="2795"/>
      <c r="AH335" s="2795"/>
      <c r="AI335" s="1543" t="s">
        <v>28</v>
      </c>
      <c r="AJ335" s="2794" t="str">
        <f>IF('2_入力シート【用途面積】'!Q29="","",'2_入力シート【用途面積】'!Q29)</f>
        <v/>
      </c>
      <c r="AK335" s="2795"/>
      <c r="AL335" s="2795"/>
      <c r="AM335" s="2795"/>
      <c r="AN335" s="1543" t="s">
        <v>28</v>
      </c>
      <c r="AO335" s="2794" t="str">
        <f>IF('2_入力シート【用途面積】'!S29="","",'2_入力シート【用途面積】'!S29)</f>
        <v/>
      </c>
      <c r="AP335" s="2795"/>
      <c r="AQ335" s="2795"/>
      <c r="AR335" s="2795"/>
      <c r="AS335" s="1543" t="s">
        <v>28</v>
      </c>
      <c r="AT335" s="1551"/>
      <c r="AU335" s="1485"/>
      <c r="AV335" s="1485"/>
    </row>
    <row r="336" spans="2:48" ht="13" customHeight="1">
      <c r="B336" s="1549"/>
      <c r="C336" s="2921">
        <v>8</v>
      </c>
      <c r="D336" s="2922"/>
      <c r="E336" s="1542" t="s">
        <v>17</v>
      </c>
      <c r="F336" s="2794">
        <f>'2_入力シート【用途面積】'!E30</f>
        <v>0</v>
      </c>
      <c r="G336" s="2795"/>
      <c r="H336" s="2795"/>
      <c r="I336" s="2795"/>
      <c r="J336" s="1543" t="s">
        <v>28</v>
      </c>
      <c r="K336" s="2794" t="str">
        <f>IF('2_入力シート【用途面積】'!G30="","",'2_入力シート【用途面積】'!G30)</f>
        <v/>
      </c>
      <c r="L336" s="2795"/>
      <c r="M336" s="2795"/>
      <c r="N336" s="2795"/>
      <c r="O336" s="1543" t="s">
        <v>28</v>
      </c>
      <c r="P336" s="2794" t="str">
        <f>IF('2_入力シート【用途面積】'!I30="","",'2_入力シート【用途面積】'!I30)</f>
        <v/>
      </c>
      <c r="Q336" s="2795"/>
      <c r="R336" s="2795"/>
      <c r="S336" s="2795"/>
      <c r="T336" s="1543" t="s">
        <v>28</v>
      </c>
      <c r="U336" s="2794" t="str">
        <f>IF('2_入力シート【用途面積】'!K30="","",'2_入力シート【用途面積】'!K30)</f>
        <v/>
      </c>
      <c r="V336" s="2795"/>
      <c r="W336" s="2795"/>
      <c r="X336" s="2795"/>
      <c r="Y336" s="1543" t="s">
        <v>28</v>
      </c>
      <c r="Z336" s="2794" t="str">
        <f>IF('2_入力シート【用途面積】'!M30="","",'2_入力シート【用途面積】'!M30)</f>
        <v/>
      </c>
      <c r="AA336" s="2795"/>
      <c r="AB336" s="2795"/>
      <c r="AC336" s="2795"/>
      <c r="AD336" s="1543" t="s">
        <v>28</v>
      </c>
      <c r="AE336" s="2794" t="str">
        <f>IF('2_入力シート【用途面積】'!O30="","",'2_入力シート【用途面積】'!O30)</f>
        <v/>
      </c>
      <c r="AF336" s="2795"/>
      <c r="AG336" s="2795"/>
      <c r="AH336" s="2795"/>
      <c r="AI336" s="1543" t="s">
        <v>28</v>
      </c>
      <c r="AJ336" s="2794" t="str">
        <f>IF('2_入力シート【用途面積】'!Q30="","",'2_入力シート【用途面積】'!Q30)</f>
        <v/>
      </c>
      <c r="AK336" s="2795"/>
      <c r="AL336" s="2795"/>
      <c r="AM336" s="2795"/>
      <c r="AN336" s="1543" t="s">
        <v>28</v>
      </c>
      <c r="AO336" s="2794" t="str">
        <f>IF('2_入力シート【用途面積】'!S30="","",'2_入力シート【用途面積】'!S30)</f>
        <v/>
      </c>
      <c r="AP336" s="2795"/>
      <c r="AQ336" s="2795"/>
      <c r="AR336" s="2795"/>
      <c r="AS336" s="1543" t="s">
        <v>28</v>
      </c>
      <c r="AT336" s="1470"/>
      <c r="AU336" s="1485"/>
      <c r="AV336" s="1485"/>
    </row>
    <row r="337" spans="2:48" ht="13" customHeight="1">
      <c r="B337" s="1549"/>
      <c r="C337" s="2921">
        <v>9</v>
      </c>
      <c r="D337" s="2922"/>
      <c r="E337" s="1542" t="s">
        <v>17</v>
      </c>
      <c r="F337" s="2794">
        <f>'2_入力シート【用途面積】'!E31</f>
        <v>0</v>
      </c>
      <c r="G337" s="2795"/>
      <c r="H337" s="2795"/>
      <c r="I337" s="2795"/>
      <c r="J337" s="1543" t="s">
        <v>28</v>
      </c>
      <c r="K337" s="2794" t="str">
        <f>IF('2_入力シート【用途面積】'!G31="","",'2_入力シート【用途面積】'!G31)</f>
        <v/>
      </c>
      <c r="L337" s="2795"/>
      <c r="M337" s="2795"/>
      <c r="N337" s="2795"/>
      <c r="O337" s="1543" t="s">
        <v>28</v>
      </c>
      <c r="P337" s="2794" t="str">
        <f>IF('2_入力シート【用途面積】'!I31="","",'2_入力シート【用途面積】'!I31)</f>
        <v/>
      </c>
      <c r="Q337" s="2795"/>
      <c r="R337" s="2795"/>
      <c r="S337" s="2795"/>
      <c r="T337" s="1543" t="s">
        <v>28</v>
      </c>
      <c r="U337" s="2794" t="str">
        <f>IF('2_入力シート【用途面積】'!K31="","",'2_入力シート【用途面積】'!K31)</f>
        <v/>
      </c>
      <c r="V337" s="2795"/>
      <c r="W337" s="2795"/>
      <c r="X337" s="2795"/>
      <c r="Y337" s="1543" t="s">
        <v>28</v>
      </c>
      <c r="Z337" s="2794" t="str">
        <f>IF('2_入力シート【用途面積】'!M31="","",'2_入力シート【用途面積】'!M31)</f>
        <v/>
      </c>
      <c r="AA337" s="2795"/>
      <c r="AB337" s="2795"/>
      <c r="AC337" s="2795"/>
      <c r="AD337" s="1543" t="s">
        <v>28</v>
      </c>
      <c r="AE337" s="2794" t="str">
        <f>IF('2_入力シート【用途面積】'!O31="","",'2_入力シート【用途面積】'!O31)</f>
        <v/>
      </c>
      <c r="AF337" s="2795"/>
      <c r="AG337" s="2795"/>
      <c r="AH337" s="2795"/>
      <c r="AI337" s="1543" t="s">
        <v>28</v>
      </c>
      <c r="AJ337" s="2794" t="str">
        <f>IF('2_入力シート【用途面積】'!Q31="","",'2_入力シート【用途面積】'!Q31)</f>
        <v/>
      </c>
      <c r="AK337" s="2795"/>
      <c r="AL337" s="2795"/>
      <c r="AM337" s="2795"/>
      <c r="AN337" s="1543" t="s">
        <v>28</v>
      </c>
      <c r="AO337" s="2794" t="str">
        <f>IF('2_入力シート【用途面積】'!S31="","",'2_入力シート【用途面積】'!S31)</f>
        <v/>
      </c>
      <c r="AP337" s="2795"/>
      <c r="AQ337" s="2795"/>
      <c r="AR337" s="2795"/>
      <c r="AS337" s="1543" t="s">
        <v>28</v>
      </c>
      <c r="AT337" s="1470"/>
      <c r="AU337" s="1485"/>
      <c r="AV337" s="1485"/>
    </row>
    <row r="338" spans="2:48" ht="13" customHeight="1">
      <c r="B338" s="1552"/>
      <c r="C338" s="2919">
        <v>10</v>
      </c>
      <c r="D338" s="2920"/>
      <c r="E338" s="1547" t="s">
        <v>17</v>
      </c>
      <c r="F338" s="2796">
        <f>'2_入力シート【用途面積】'!E32</f>
        <v>0</v>
      </c>
      <c r="G338" s="2797"/>
      <c r="H338" s="2797"/>
      <c r="I338" s="2797"/>
      <c r="J338" s="1544" t="s">
        <v>28</v>
      </c>
      <c r="K338" s="2796" t="str">
        <f>IF('2_入力シート【用途面積】'!G32="","",'2_入力シート【用途面積】'!G32)</f>
        <v/>
      </c>
      <c r="L338" s="2797"/>
      <c r="M338" s="2797"/>
      <c r="N338" s="2797"/>
      <c r="O338" s="1544" t="s">
        <v>28</v>
      </c>
      <c r="P338" s="2796" t="str">
        <f>IF('2_入力シート【用途面積】'!I32="","",'2_入力シート【用途面積】'!I32)</f>
        <v/>
      </c>
      <c r="Q338" s="2797"/>
      <c r="R338" s="2797"/>
      <c r="S338" s="2797"/>
      <c r="T338" s="1544" t="s">
        <v>28</v>
      </c>
      <c r="U338" s="2796" t="str">
        <f>IF('2_入力シート【用途面積】'!K32="","",'2_入力シート【用途面積】'!K32)</f>
        <v/>
      </c>
      <c r="V338" s="2797"/>
      <c r="W338" s="2797"/>
      <c r="X338" s="2797"/>
      <c r="Y338" s="1544" t="s">
        <v>28</v>
      </c>
      <c r="Z338" s="2796" t="str">
        <f>IF('2_入力シート【用途面積】'!M32="","",'2_入力シート【用途面積】'!M32)</f>
        <v/>
      </c>
      <c r="AA338" s="2797"/>
      <c r="AB338" s="2797"/>
      <c r="AC338" s="2797"/>
      <c r="AD338" s="1544" t="s">
        <v>28</v>
      </c>
      <c r="AE338" s="2796" t="str">
        <f>IF('2_入力シート【用途面積】'!O32="","",'2_入力シート【用途面積】'!O32)</f>
        <v/>
      </c>
      <c r="AF338" s="2797"/>
      <c r="AG338" s="2797"/>
      <c r="AH338" s="2797"/>
      <c r="AI338" s="1544" t="s">
        <v>28</v>
      </c>
      <c r="AJ338" s="2796" t="str">
        <f>IF('2_入力シート【用途面積】'!Q32="","",'2_入力シート【用途面積】'!Q32)</f>
        <v/>
      </c>
      <c r="AK338" s="2797"/>
      <c r="AL338" s="2797"/>
      <c r="AM338" s="2797"/>
      <c r="AN338" s="1544" t="s">
        <v>28</v>
      </c>
      <c r="AO338" s="2796" t="str">
        <f>IF('2_入力シート【用途面積】'!S32="","",'2_入力シート【用途面積】'!S32)</f>
        <v/>
      </c>
      <c r="AP338" s="2797"/>
      <c r="AQ338" s="2797"/>
      <c r="AR338" s="2797"/>
      <c r="AS338" s="1544" t="s">
        <v>28</v>
      </c>
      <c r="AT338" s="1470"/>
      <c r="AU338" s="1485"/>
      <c r="AV338" s="1485"/>
    </row>
    <row r="339" spans="2:48" ht="13" customHeight="1">
      <c r="B339" s="1548"/>
      <c r="C339" s="2921">
        <v>11</v>
      </c>
      <c r="D339" s="2922"/>
      <c r="E339" s="1545" t="s">
        <v>17</v>
      </c>
      <c r="F339" s="2798">
        <f>'2_入力シート【用途面積】'!E33</f>
        <v>0</v>
      </c>
      <c r="G339" s="2799"/>
      <c r="H339" s="2799"/>
      <c r="I339" s="2799"/>
      <c r="J339" s="1546" t="s">
        <v>28</v>
      </c>
      <c r="K339" s="2798" t="str">
        <f>IF('2_入力シート【用途面積】'!G33="","",'2_入力シート【用途面積】'!G33)</f>
        <v/>
      </c>
      <c r="L339" s="2799"/>
      <c r="M339" s="2799"/>
      <c r="N339" s="2799"/>
      <c r="O339" s="1546" t="s">
        <v>28</v>
      </c>
      <c r="P339" s="2798" t="str">
        <f>IF('2_入力シート【用途面積】'!I33="","",'2_入力シート【用途面積】'!I33)</f>
        <v/>
      </c>
      <c r="Q339" s="2799"/>
      <c r="R339" s="2799"/>
      <c r="S339" s="2799"/>
      <c r="T339" s="1546" t="s">
        <v>28</v>
      </c>
      <c r="U339" s="2798" t="str">
        <f>IF('2_入力シート【用途面積】'!K33="","",'2_入力シート【用途面積】'!K33)</f>
        <v/>
      </c>
      <c r="V339" s="2799"/>
      <c r="W339" s="2799"/>
      <c r="X339" s="2799"/>
      <c r="Y339" s="1546" t="s">
        <v>28</v>
      </c>
      <c r="Z339" s="2798" t="str">
        <f>IF('2_入力シート【用途面積】'!M33="","",'2_入力シート【用途面積】'!M33)</f>
        <v/>
      </c>
      <c r="AA339" s="2799"/>
      <c r="AB339" s="2799"/>
      <c r="AC339" s="2799"/>
      <c r="AD339" s="1546" t="s">
        <v>28</v>
      </c>
      <c r="AE339" s="2798" t="str">
        <f>IF('2_入力シート【用途面積】'!O33="","",'2_入力シート【用途面積】'!O33)</f>
        <v/>
      </c>
      <c r="AF339" s="2799"/>
      <c r="AG339" s="2799"/>
      <c r="AH339" s="2799"/>
      <c r="AI339" s="1546" t="s">
        <v>28</v>
      </c>
      <c r="AJ339" s="2798" t="str">
        <f>IF('2_入力シート【用途面積】'!Q33="","",'2_入力シート【用途面積】'!Q33)</f>
        <v/>
      </c>
      <c r="AK339" s="2799"/>
      <c r="AL339" s="2799"/>
      <c r="AM339" s="2799"/>
      <c r="AN339" s="1546" t="s">
        <v>28</v>
      </c>
      <c r="AO339" s="2798" t="str">
        <f>IF('2_入力シート【用途面積】'!S33="","",'2_入力シート【用途面積】'!S33)</f>
        <v/>
      </c>
      <c r="AP339" s="2799"/>
      <c r="AQ339" s="2799"/>
      <c r="AR339" s="2799"/>
      <c r="AS339" s="1546" t="s">
        <v>28</v>
      </c>
      <c r="AT339" s="1551"/>
      <c r="AU339" s="1485"/>
      <c r="AV339" s="1485"/>
    </row>
    <row r="340" spans="2:48" ht="13" customHeight="1">
      <c r="B340" s="1549"/>
      <c r="C340" s="2921">
        <v>12</v>
      </c>
      <c r="D340" s="2922"/>
      <c r="E340" s="1542" t="s">
        <v>17</v>
      </c>
      <c r="F340" s="2794">
        <f>'2_入力シート【用途面積】'!E34</f>
        <v>0</v>
      </c>
      <c r="G340" s="2795"/>
      <c r="H340" s="2795"/>
      <c r="I340" s="2795"/>
      <c r="J340" s="1543" t="s">
        <v>28</v>
      </c>
      <c r="K340" s="2794" t="str">
        <f>IF('2_入力シート【用途面積】'!G34="","",'2_入力シート【用途面積】'!G34)</f>
        <v/>
      </c>
      <c r="L340" s="2795"/>
      <c r="M340" s="2795"/>
      <c r="N340" s="2795"/>
      <c r="O340" s="1543" t="s">
        <v>28</v>
      </c>
      <c r="P340" s="2794" t="str">
        <f>IF('2_入力シート【用途面積】'!I34="","",'2_入力シート【用途面積】'!I34)</f>
        <v/>
      </c>
      <c r="Q340" s="2795"/>
      <c r="R340" s="2795"/>
      <c r="S340" s="2795"/>
      <c r="T340" s="1543" t="s">
        <v>28</v>
      </c>
      <c r="U340" s="2794" t="str">
        <f>IF('2_入力シート【用途面積】'!K34="","",'2_入力シート【用途面積】'!K34)</f>
        <v/>
      </c>
      <c r="V340" s="2795"/>
      <c r="W340" s="2795"/>
      <c r="X340" s="2795"/>
      <c r="Y340" s="1543" t="s">
        <v>28</v>
      </c>
      <c r="Z340" s="2794" t="str">
        <f>IF('2_入力シート【用途面積】'!M34="","",'2_入力シート【用途面積】'!M34)</f>
        <v/>
      </c>
      <c r="AA340" s="2795"/>
      <c r="AB340" s="2795"/>
      <c r="AC340" s="2795"/>
      <c r="AD340" s="1543" t="s">
        <v>28</v>
      </c>
      <c r="AE340" s="2794" t="str">
        <f>IF('2_入力シート【用途面積】'!O34="","",'2_入力シート【用途面積】'!O34)</f>
        <v/>
      </c>
      <c r="AF340" s="2795"/>
      <c r="AG340" s="2795"/>
      <c r="AH340" s="2795"/>
      <c r="AI340" s="1543" t="s">
        <v>28</v>
      </c>
      <c r="AJ340" s="2794" t="str">
        <f>IF('2_入力シート【用途面積】'!Q34="","",'2_入力シート【用途面積】'!Q34)</f>
        <v/>
      </c>
      <c r="AK340" s="2795"/>
      <c r="AL340" s="2795"/>
      <c r="AM340" s="2795"/>
      <c r="AN340" s="1543" t="s">
        <v>28</v>
      </c>
      <c r="AO340" s="2794" t="str">
        <f>IF('2_入力シート【用途面積】'!S34="","",'2_入力シート【用途面積】'!S34)</f>
        <v/>
      </c>
      <c r="AP340" s="2795"/>
      <c r="AQ340" s="2795"/>
      <c r="AR340" s="2795"/>
      <c r="AS340" s="1543" t="s">
        <v>28</v>
      </c>
      <c r="AT340" s="1470"/>
      <c r="AU340" s="1485"/>
      <c r="AV340" s="1485"/>
    </row>
    <row r="341" spans="2:48" ht="13" customHeight="1">
      <c r="B341" s="1549"/>
      <c r="C341" s="2921">
        <v>13</v>
      </c>
      <c r="D341" s="2922"/>
      <c r="E341" s="1542" t="s">
        <v>17</v>
      </c>
      <c r="F341" s="2794">
        <f>'2_入力シート【用途面積】'!E35</f>
        <v>0</v>
      </c>
      <c r="G341" s="2795"/>
      <c r="H341" s="2795"/>
      <c r="I341" s="2795"/>
      <c r="J341" s="1543" t="s">
        <v>28</v>
      </c>
      <c r="K341" s="2794" t="str">
        <f>IF('2_入力シート【用途面積】'!G35="","",'2_入力シート【用途面積】'!G35)</f>
        <v/>
      </c>
      <c r="L341" s="2795"/>
      <c r="M341" s="2795"/>
      <c r="N341" s="2795"/>
      <c r="O341" s="1543" t="s">
        <v>28</v>
      </c>
      <c r="P341" s="2794" t="str">
        <f>IF('2_入力シート【用途面積】'!I35="","",'2_入力シート【用途面積】'!I35)</f>
        <v/>
      </c>
      <c r="Q341" s="2795"/>
      <c r="R341" s="2795"/>
      <c r="S341" s="2795"/>
      <c r="T341" s="1543" t="s">
        <v>28</v>
      </c>
      <c r="U341" s="2794" t="str">
        <f>IF('2_入力シート【用途面積】'!K35="","",'2_入力シート【用途面積】'!K35)</f>
        <v/>
      </c>
      <c r="V341" s="2795"/>
      <c r="W341" s="2795"/>
      <c r="X341" s="2795"/>
      <c r="Y341" s="1543" t="s">
        <v>28</v>
      </c>
      <c r="Z341" s="2794" t="str">
        <f>IF('2_入力シート【用途面積】'!M35="","",'2_入力シート【用途面積】'!M35)</f>
        <v/>
      </c>
      <c r="AA341" s="2795"/>
      <c r="AB341" s="2795"/>
      <c r="AC341" s="2795"/>
      <c r="AD341" s="1543" t="s">
        <v>28</v>
      </c>
      <c r="AE341" s="2794" t="str">
        <f>IF('2_入力シート【用途面積】'!O35="","",'2_入力シート【用途面積】'!O35)</f>
        <v/>
      </c>
      <c r="AF341" s="2795"/>
      <c r="AG341" s="2795"/>
      <c r="AH341" s="2795"/>
      <c r="AI341" s="1543" t="s">
        <v>28</v>
      </c>
      <c r="AJ341" s="2794" t="str">
        <f>IF('2_入力シート【用途面積】'!Q35="","",'2_入力シート【用途面積】'!Q35)</f>
        <v/>
      </c>
      <c r="AK341" s="2795"/>
      <c r="AL341" s="2795"/>
      <c r="AM341" s="2795"/>
      <c r="AN341" s="1543" t="s">
        <v>28</v>
      </c>
      <c r="AO341" s="2794" t="str">
        <f>IF('2_入力シート【用途面積】'!S35="","",'2_入力シート【用途面積】'!S35)</f>
        <v/>
      </c>
      <c r="AP341" s="2795"/>
      <c r="AQ341" s="2795"/>
      <c r="AR341" s="2795"/>
      <c r="AS341" s="1543" t="s">
        <v>28</v>
      </c>
      <c r="AT341" s="1470"/>
      <c r="AU341" s="1485"/>
      <c r="AV341" s="1485"/>
    </row>
    <row r="342" spans="2:48" ht="13" customHeight="1">
      <c r="B342" s="1549"/>
      <c r="C342" s="2921">
        <v>14</v>
      </c>
      <c r="D342" s="2922"/>
      <c r="E342" s="1542" t="s">
        <v>17</v>
      </c>
      <c r="F342" s="2794">
        <f>'2_入力シート【用途面積】'!E36</f>
        <v>0</v>
      </c>
      <c r="G342" s="2795"/>
      <c r="H342" s="2795"/>
      <c r="I342" s="2795"/>
      <c r="J342" s="1543" t="s">
        <v>28</v>
      </c>
      <c r="K342" s="2794" t="str">
        <f>IF('2_入力シート【用途面積】'!G36="","",'2_入力シート【用途面積】'!G36)</f>
        <v/>
      </c>
      <c r="L342" s="2795"/>
      <c r="M342" s="2795"/>
      <c r="N342" s="2795"/>
      <c r="O342" s="1543" t="s">
        <v>28</v>
      </c>
      <c r="P342" s="2794" t="str">
        <f>IF('2_入力シート【用途面積】'!I36="","",'2_入力シート【用途面積】'!I36)</f>
        <v/>
      </c>
      <c r="Q342" s="2795"/>
      <c r="R342" s="2795"/>
      <c r="S342" s="2795"/>
      <c r="T342" s="1543" t="s">
        <v>28</v>
      </c>
      <c r="U342" s="2794" t="str">
        <f>IF('2_入力シート【用途面積】'!K36="","",'2_入力シート【用途面積】'!K36)</f>
        <v/>
      </c>
      <c r="V342" s="2795"/>
      <c r="W342" s="2795"/>
      <c r="X342" s="2795"/>
      <c r="Y342" s="1543" t="s">
        <v>28</v>
      </c>
      <c r="Z342" s="2794" t="str">
        <f>IF('2_入力シート【用途面積】'!M36="","",'2_入力シート【用途面積】'!M36)</f>
        <v/>
      </c>
      <c r="AA342" s="2795"/>
      <c r="AB342" s="2795"/>
      <c r="AC342" s="2795"/>
      <c r="AD342" s="1543" t="s">
        <v>28</v>
      </c>
      <c r="AE342" s="2794" t="str">
        <f>IF('2_入力シート【用途面積】'!O36="","",'2_入力シート【用途面積】'!O36)</f>
        <v/>
      </c>
      <c r="AF342" s="2795"/>
      <c r="AG342" s="2795"/>
      <c r="AH342" s="2795"/>
      <c r="AI342" s="1543" t="s">
        <v>28</v>
      </c>
      <c r="AJ342" s="2794" t="str">
        <f>IF('2_入力シート【用途面積】'!Q36="","",'2_入力シート【用途面積】'!Q36)</f>
        <v/>
      </c>
      <c r="AK342" s="2795"/>
      <c r="AL342" s="2795"/>
      <c r="AM342" s="2795"/>
      <c r="AN342" s="1543" t="s">
        <v>28</v>
      </c>
      <c r="AO342" s="2794" t="str">
        <f>IF('2_入力シート【用途面積】'!S36="","",'2_入力シート【用途面積】'!S36)</f>
        <v/>
      </c>
      <c r="AP342" s="2795"/>
      <c r="AQ342" s="2795"/>
      <c r="AR342" s="2795"/>
      <c r="AS342" s="1543" t="s">
        <v>28</v>
      </c>
      <c r="AT342" s="1470"/>
      <c r="AU342" s="1485"/>
      <c r="AV342" s="1485"/>
    </row>
    <row r="343" spans="2:48" ht="13" customHeight="1">
      <c r="B343" s="1552"/>
      <c r="C343" s="2919">
        <v>15</v>
      </c>
      <c r="D343" s="2920"/>
      <c r="E343" s="1547" t="s">
        <v>17</v>
      </c>
      <c r="F343" s="2796">
        <f>'2_入力シート【用途面積】'!E37</f>
        <v>0</v>
      </c>
      <c r="G343" s="2797"/>
      <c r="H343" s="2797"/>
      <c r="I343" s="2797"/>
      <c r="J343" s="1544" t="s">
        <v>28</v>
      </c>
      <c r="K343" s="2796" t="str">
        <f>IF('2_入力シート【用途面積】'!G37="","",'2_入力シート【用途面積】'!G37)</f>
        <v/>
      </c>
      <c r="L343" s="2797"/>
      <c r="M343" s="2797"/>
      <c r="N343" s="2797"/>
      <c r="O343" s="1544" t="s">
        <v>28</v>
      </c>
      <c r="P343" s="2796" t="str">
        <f>IF('2_入力シート【用途面積】'!I37="","",'2_入力シート【用途面積】'!I37)</f>
        <v/>
      </c>
      <c r="Q343" s="2797"/>
      <c r="R343" s="2797"/>
      <c r="S343" s="2797"/>
      <c r="T343" s="1544" t="s">
        <v>28</v>
      </c>
      <c r="U343" s="2796" t="str">
        <f>IF('2_入力シート【用途面積】'!K37="","",'2_入力シート【用途面積】'!K37)</f>
        <v/>
      </c>
      <c r="V343" s="2797"/>
      <c r="W343" s="2797"/>
      <c r="X343" s="2797"/>
      <c r="Y343" s="1544" t="s">
        <v>28</v>
      </c>
      <c r="Z343" s="2796" t="str">
        <f>IF('2_入力シート【用途面積】'!M37="","",'2_入力シート【用途面積】'!M37)</f>
        <v/>
      </c>
      <c r="AA343" s="2797"/>
      <c r="AB343" s="2797"/>
      <c r="AC343" s="2797"/>
      <c r="AD343" s="1544" t="s">
        <v>28</v>
      </c>
      <c r="AE343" s="2796" t="str">
        <f>IF('2_入力シート【用途面積】'!O37="","",'2_入力シート【用途面積】'!O37)</f>
        <v/>
      </c>
      <c r="AF343" s="2797"/>
      <c r="AG343" s="2797"/>
      <c r="AH343" s="2797"/>
      <c r="AI343" s="1544" t="s">
        <v>28</v>
      </c>
      <c r="AJ343" s="2796" t="str">
        <f>IF('2_入力シート【用途面積】'!Q37="","",'2_入力シート【用途面積】'!Q37)</f>
        <v/>
      </c>
      <c r="AK343" s="2797"/>
      <c r="AL343" s="2797"/>
      <c r="AM343" s="2797"/>
      <c r="AN343" s="1544" t="s">
        <v>28</v>
      </c>
      <c r="AO343" s="2796" t="str">
        <f>IF('2_入力シート【用途面積】'!S37="","",'2_入力シート【用途面積】'!S37)</f>
        <v/>
      </c>
      <c r="AP343" s="2797"/>
      <c r="AQ343" s="2797"/>
      <c r="AR343" s="2797"/>
      <c r="AS343" s="1544" t="s">
        <v>28</v>
      </c>
      <c r="AT343" s="1551"/>
      <c r="AU343" s="1485"/>
      <c r="AV343" s="1485"/>
    </row>
    <row r="344" spans="2:48" ht="13" customHeight="1">
      <c r="B344" s="1548"/>
      <c r="C344" s="2921">
        <v>16</v>
      </c>
      <c r="D344" s="2922"/>
      <c r="E344" s="1545" t="s">
        <v>17</v>
      </c>
      <c r="F344" s="2798">
        <f>'2_入力シート【用途面積】'!E38</f>
        <v>0</v>
      </c>
      <c r="G344" s="2799"/>
      <c r="H344" s="2799"/>
      <c r="I344" s="2799"/>
      <c r="J344" s="1546" t="s">
        <v>28</v>
      </c>
      <c r="K344" s="2798" t="str">
        <f>IF('2_入力シート【用途面積】'!G38="","",'2_入力シート【用途面積】'!G38)</f>
        <v/>
      </c>
      <c r="L344" s="2799"/>
      <c r="M344" s="2799"/>
      <c r="N344" s="2799"/>
      <c r="O344" s="1546" t="s">
        <v>28</v>
      </c>
      <c r="P344" s="2798" t="str">
        <f>IF('2_入力シート【用途面積】'!I38="","",'2_入力シート【用途面積】'!I38)</f>
        <v/>
      </c>
      <c r="Q344" s="2799"/>
      <c r="R344" s="2799"/>
      <c r="S344" s="2799"/>
      <c r="T344" s="1546" t="s">
        <v>28</v>
      </c>
      <c r="U344" s="2798" t="str">
        <f>IF('2_入力シート【用途面積】'!K38="","",'2_入力シート【用途面積】'!K38)</f>
        <v/>
      </c>
      <c r="V344" s="2799"/>
      <c r="W344" s="2799"/>
      <c r="X344" s="2799"/>
      <c r="Y344" s="1546" t="s">
        <v>28</v>
      </c>
      <c r="Z344" s="2798" t="str">
        <f>IF('2_入力シート【用途面積】'!M38="","",'2_入力シート【用途面積】'!M38)</f>
        <v/>
      </c>
      <c r="AA344" s="2799"/>
      <c r="AB344" s="2799"/>
      <c r="AC344" s="2799"/>
      <c r="AD344" s="1546" t="s">
        <v>28</v>
      </c>
      <c r="AE344" s="2798" t="str">
        <f>IF('2_入力シート【用途面積】'!O38="","",'2_入力シート【用途面積】'!O38)</f>
        <v/>
      </c>
      <c r="AF344" s="2799"/>
      <c r="AG344" s="2799"/>
      <c r="AH344" s="2799"/>
      <c r="AI344" s="1546" t="s">
        <v>28</v>
      </c>
      <c r="AJ344" s="2798" t="str">
        <f>IF('2_入力シート【用途面積】'!Q38="","",'2_入力シート【用途面積】'!Q38)</f>
        <v/>
      </c>
      <c r="AK344" s="2799"/>
      <c r="AL344" s="2799"/>
      <c r="AM344" s="2799"/>
      <c r="AN344" s="1546" t="s">
        <v>28</v>
      </c>
      <c r="AO344" s="2798" t="str">
        <f>IF('2_入力シート【用途面積】'!S38="","",'2_入力シート【用途面積】'!S38)</f>
        <v/>
      </c>
      <c r="AP344" s="2799"/>
      <c r="AQ344" s="2799"/>
      <c r="AR344" s="2799"/>
      <c r="AS344" s="1546" t="s">
        <v>28</v>
      </c>
      <c r="AT344" s="1470"/>
      <c r="AU344" s="1485"/>
      <c r="AV344" s="1485"/>
    </row>
    <row r="345" spans="2:48" ht="13" customHeight="1">
      <c r="B345" s="1549"/>
      <c r="C345" s="2921">
        <v>17</v>
      </c>
      <c r="D345" s="2922"/>
      <c r="E345" s="1542" t="s">
        <v>17</v>
      </c>
      <c r="F345" s="2794">
        <f>'2_入力シート【用途面積】'!E39</f>
        <v>0</v>
      </c>
      <c r="G345" s="2795"/>
      <c r="H345" s="2795"/>
      <c r="I345" s="2795"/>
      <c r="J345" s="1543" t="s">
        <v>28</v>
      </c>
      <c r="K345" s="2794" t="str">
        <f>IF('2_入力シート【用途面積】'!G39="","",'2_入力シート【用途面積】'!G39)</f>
        <v/>
      </c>
      <c r="L345" s="2795"/>
      <c r="M345" s="2795"/>
      <c r="N345" s="2795"/>
      <c r="O345" s="1543" t="s">
        <v>28</v>
      </c>
      <c r="P345" s="2794" t="str">
        <f>IF('2_入力シート【用途面積】'!I39="","",'2_入力シート【用途面積】'!I39)</f>
        <v/>
      </c>
      <c r="Q345" s="2795"/>
      <c r="R345" s="2795"/>
      <c r="S345" s="2795"/>
      <c r="T345" s="1543" t="s">
        <v>28</v>
      </c>
      <c r="U345" s="2794" t="str">
        <f>IF('2_入力シート【用途面積】'!K39="","",'2_入力シート【用途面積】'!K39)</f>
        <v/>
      </c>
      <c r="V345" s="2795"/>
      <c r="W345" s="2795"/>
      <c r="X345" s="2795"/>
      <c r="Y345" s="1543" t="s">
        <v>28</v>
      </c>
      <c r="Z345" s="2794" t="str">
        <f>IF('2_入力シート【用途面積】'!M39="","",'2_入力シート【用途面積】'!M39)</f>
        <v/>
      </c>
      <c r="AA345" s="2795"/>
      <c r="AB345" s="2795"/>
      <c r="AC345" s="2795"/>
      <c r="AD345" s="1543" t="s">
        <v>28</v>
      </c>
      <c r="AE345" s="2794" t="str">
        <f>IF('2_入力シート【用途面積】'!O39="","",'2_入力シート【用途面積】'!O39)</f>
        <v/>
      </c>
      <c r="AF345" s="2795"/>
      <c r="AG345" s="2795"/>
      <c r="AH345" s="2795"/>
      <c r="AI345" s="1543" t="s">
        <v>28</v>
      </c>
      <c r="AJ345" s="2794" t="str">
        <f>IF('2_入力シート【用途面積】'!Q39="","",'2_入力シート【用途面積】'!Q39)</f>
        <v/>
      </c>
      <c r="AK345" s="2795"/>
      <c r="AL345" s="2795"/>
      <c r="AM345" s="2795"/>
      <c r="AN345" s="1543" t="s">
        <v>28</v>
      </c>
      <c r="AO345" s="2794" t="str">
        <f>IF('2_入力シート【用途面積】'!S39="","",'2_入力シート【用途面積】'!S39)</f>
        <v/>
      </c>
      <c r="AP345" s="2795"/>
      <c r="AQ345" s="2795"/>
      <c r="AR345" s="2795"/>
      <c r="AS345" s="1543" t="s">
        <v>28</v>
      </c>
      <c r="AT345" s="1470"/>
      <c r="AU345" s="1485"/>
      <c r="AV345" s="1485"/>
    </row>
    <row r="346" spans="2:48" ht="13" customHeight="1">
      <c r="B346" s="1549"/>
      <c r="C346" s="2921">
        <v>18</v>
      </c>
      <c r="D346" s="2922"/>
      <c r="E346" s="1542" t="s">
        <v>17</v>
      </c>
      <c r="F346" s="2794">
        <f>'2_入力シート【用途面積】'!E40</f>
        <v>0</v>
      </c>
      <c r="G346" s="2795"/>
      <c r="H346" s="2795"/>
      <c r="I346" s="2795"/>
      <c r="J346" s="1543" t="s">
        <v>28</v>
      </c>
      <c r="K346" s="2794" t="str">
        <f>IF('2_入力シート【用途面積】'!G40="","",'2_入力シート【用途面積】'!G40)</f>
        <v/>
      </c>
      <c r="L346" s="2795"/>
      <c r="M346" s="2795"/>
      <c r="N346" s="2795"/>
      <c r="O346" s="1543" t="s">
        <v>28</v>
      </c>
      <c r="P346" s="2794" t="str">
        <f>IF('2_入力シート【用途面積】'!I40="","",'2_入力シート【用途面積】'!I40)</f>
        <v/>
      </c>
      <c r="Q346" s="2795"/>
      <c r="R346" s="2795"/>
      <c r="S346" s="2795"/>
      <c r="T346" s="1543" t="s">
        <v>28</v>
      </c>
      <c r="U346" s="2794" t="str">
        <f>IF('2_入力シート【用途面積】'!K40="","",'2_入力シート【用途面積】'!K40)</f>
        <v/>
      </c>
      <c r="V346" s="2795"/>
      <c r="W346" s="2795"/>
      <c r="X346" s="2795"/>
      <c r="Y346" s="1543" t="s">
        <v>28</v>
      </c>
      <c r="Z346" s="2794" t="str">
        <f>IF('2_入力シート【用途面積】'!M40="","",'2_入力シート【用途面積】'!M40)</f>
        <v/>
      </c>
      <c r="AA346" s="2795"/>
      <c r="AB346" s="2795"/>
      <c r="AC346" s="2795"/>
      <c r="AD346" s="1543" t="s">
        <v>28</v>
      </c>
      <c r="AE346" s="2794" t="str">
        <f>IF('2_入力シート【用途面積】'!O40="","",'2_入力シート【用途面積】'!O40)</f>
        <v/>
      </c>
      <c r="AF346" s="2795"/>
      <c r="AG346" s="2795"/>
      <c r="AH346" s="2795"/>
      <c r="AI346" s="1543" t="s">
        <v>28</v>
      </c>
      <c r="AJ346" s="2794" t="str">
        <f>IF('2_入力シート【用途面積】'!Q40="","",'2_入力シート【用途面積】'!Q40)</f>
        <v/>
      </c>
      <c r="AK346" s="2795"/>
      <c r="AL346" s="2795"/>
      <c r="AM346" s="2795"/>
      <c r="AN346" s="1543" t="s">
        <v>28</v>
      </c>
      <c r="AO346" s="2794" t="str">
        <f>IF('2_入力シート【用途面積】'!S40="","",'2_入力シート【用途面積】'!S40)</f>
        <v/>
      </c>
      <c r="AP346" s="2795"/>
      <c r="AQ346" s="2795"/>
      <c r="AR346" s="2795"/>
      <c r="AS346" s="1543" t="s">
        <v>28</v>
      </c>
      <c r="AT346" s="1470"/>
      <c r="AU346" s="1485"/>
      <c r="AV346" s="1485"/>
    </row>
    <row r="347" spans="2:48" ht="13" customHeight="1">
      <c r="B347" s="1549"/>
      <c r="C347" s="2921">
        <v>19</v>
      </c>
      <c r="D347" s="2922"/>
      <c r="E347" s="1542" t="s">
        <v>17</v>
      </c>
      <c r="F347" s="2794">
        <f>'2_入力シート【用途面積】'!E41</f>
        <v>0</v>
      </c>
      <c r="G347" s="2795"/>
      <c r="H347" s="2795"/>
      <c r="I347" s="2795"/>
      <c r="J347" s="1543" t="s">
        <v>28</v>
      </c>
      <c r="K347" s="2794" t="str">
        <f>IF('2_入力シート【用途面積】'!G41="","",'2_入力シート【用途面積】'!G41)</f>
        <v/>
      </c>
      <c r="L347" s="2795"/>
      <c r="M347" s="2795"/>
      <c r="N347" s="2795"/>
      <c r="O347" s="1543" t="s">
        <v>28</v>
      </c>
      <c r="P347" s="2794" t="str">
        <f>IF('2_入力シート【用途面積】'!I41="","",'2_入力シート【用途面積】'!I41)</f>
        <v/>
      </c>
      <c r="Q347" s="2795"/>
      <c r="R347" s="2795"/>
      <c r="S347" s="2795"/>
      <c r="T347" s="1543" t="s">
        <v>28</v>
      </c>
      <c r="U347" s="2794" t="str">
        <f>IF('2_入力シート【用途面積】'!K41="","",'2_入力シート【用途面積】'!K41)</f>
        <v/>
      </c>
      <c r="V347" s="2795"/>
      <c r="W347" s="2795"/>
      <c r="X347" s="2795"/>
      <c r="Y347" s="1543" t="s">
        <v>28</v>
      </c>
      <c r="Z347" s="2794" t="str">
        <f>IF('2_入力シート【用途面積】'!M41="","",'2_入力シート【用途面積】'!M41)</f>
        <v/>
      </c>
      <c r="AA347" s="2795"/>
      <c r="AB347" s="2795"/>
      <c r="AC347" s="2795"/>
      <c r="AD347" s="1543" t="s">
        <v>28</v>
      </c>
      <c r="AE347" s="2794" t="str">
        <f>IF('2_入力シート【用途面積】'!O41="","",'2_入力シート【用途面積】'!O41)</f>
        <v/>
      </c>
      <c r="AF347" s="2795"/>
      <c r="AG347" s="2795"/>
      <c r="AH347" s="2795"/>
      <c r="AI347" s="1543" t="s">
        <v>28</v>
      </c>
      <c r="AJ347" s="2794" t="str">
        <f>IF('2_入力シート【用途面積】'!Q41="","",'2_入力シート【用途面積】'!Q41)</f>
        <v/>
      </c>
      <c r="AK347" s="2795"/>
      <c r="AL347" s="2795"/>
      <c r="AM347" s="2795"/>
      <c r="AN347" s="1543" t="s">
        <v>28</v>
      </c>
      <c r="AO347" s="2794" t="str">
        <f>IF('2_入力シート【用途面積】'!S41="","",'2_入力シート【用途面積】'!S41)</f>
        <v/>
      </c>
      <c r="AP347" s="2795"/>
      <c r="AQ347" s="2795"/>
      <c r="AR347" s="2795"/>
      <c r="AS347" s="1543" t="s">
        <v>28</v>
      </c>
      <c r="AT347" s="1551"/>
      <c r="AU347" s="1485"/>
      <c r="AV347" s="1485"/>
    </row>
    <row r="348" spans="2:48" ht="13" customHeight="1">
      <c r="B348" s="1552"/>
      <c r="C348" s="2919">
        <v>20</v>
      </c>
      <c r="D348" s="2920"/>
      <c r="E348" s="1547" t="s">
        <v>17</v>
      </c>
      <c r="F348" s="2796">
        <f>'2_入力シート【用途面積】'!E42</f>
        <v>0</v>
      </c>
      <c r="G348" s="2797"/>
      <c r="H348" s="2797"/>
      <c r="I348" s="2797"/>
      <c r="J348" s="1544" t="s">
        <v>28</v>
      </c>
      <c r="K348" s="2796" t="str">
        <f>IF('2_入力シート【用途面積】'!G42="","",'2_入力シート【用途面積】'!G42)</f>
        <v/>
      </c>
      <c r="L348" s="2797"/>
      <c r="M348" s="2797"/>
      <c r="N348" s="2797"/>
      <c r="O348" s="1544" t="s">
        <v>28</v>
      </c>
      <c r="P348" s="2796" t="str">
        <f>IF('2_入力シート【用途面積】'!I42="","",'2_入力シート【用途面積】'!I42)</f>
        <v/>
      </c>
      <c r="Q348" s="2797"/>
      <c r="R348" s="2797"/>
      <c r="S348" s="2797"/>
      <c r="T348" s="1544" t="s">
        <v>28</v>
      </c>
      <c r="U348" s="2796" t="str">
        <f>IF('2_入力シート【用途面積】'!K42="","",'2_入力シート【用途面積】'!K42)</f>
        <v/>
      </c>
      <c r="V348" s="2797"/>
      <c r="W348" s="2797"/>
      <c r="X348" s="2797"/>
      <c r="Y348" s="1544" t="s">
        <v>28</v>
      </c>
      <c r="Z348" s="2796" t="str">
        <f>IF('2_入力シート【用途面積】'!M42="","",'2_入力シート【用途面積】'!M42)</f>
        <v/>
      </c>
      <c r="AA348" s="2797"/>
      <c r="AB348" s="2797"/>
      <c r="AC348" s="2797"/>
      <c r="AD348" s="1544" t="s">
        <v>28</v>
      </c>
      <c r="AE348" s="2796" t="str">
        <f>IF('2_入力シート【用途面積】'!O42="","",'2_入力シート【用途面積】'!O42)</f>
        <v/>
      </c>
      <c r="AF348" s="2797"/>
      <c r="AG348" s="2797"/>
      <c r="AH348" s="2797"/>
      <c r="AI348" s="1544" t="s">
        <v>28</v>
      </c>
      <c r="AJ348" s="2796" t="str">
        <f>IF('2_入力シート【用途面積】'!Q42="","",'2_入力シート【用途面積】'!Q42)</f>
        <v/>
      </c>
      <c r="AK348" s="2797"/>
      <c r="AL348" s="2797"/>
      <c r="AM348" s="2797"/>
      <c r="AN348" s="1544" t="s">
        <v>28</v>
      </c>
      <c r="AO348" s="2796" t="str">
        <f>IF('2_入力シート【用途面積】'!S42="","",'2_入力シート【用途面積】'!S42)</f>
        <v/>
      </c>
      <c r="AP348" s="2797"/>
      <c r="AQ348" s="2797"/>
      <c r="AR348" s="2797"/>
      <c r="AS348" s="1544" t="s">
        <v>28</v>
      </c>
      <c r="AT348" s="1470"/>
      <c r="AU348" s="1485"/>
      <c r="AV348" s="1485"/>
    </row>
    <row r="349" spans="2:48" ht="13" customHeight="1">
      <c r="B349" s="1548"/>
      <c r="C349" s="2921">
        <v>21</v>
      </c>
      <c r="D349" s="2922"/>
      <c r="E349" s="1545" t="s">
        <v>17</v>
      </c>
      <c r="F349" s="2798">
        <f>'2_入力シート【用途面積】'!E43</f>
        <v>0</v>
      </c>
      <c r="G349" s="2799"/>
      <c r="H349" s="2799"/>
      <c r="I349" s="2799"/>
      <c r="J349" s="1546" t="s">
        <v>28</v>
      </c>
      <c r="K349" s="2798" t="str">
        <f>IF('2_入力シート【用途面積】'!G43="","",'2_入力シート【用途面積】'!G43)</f>
        <v/>
      </c>
      <c r="L349" s="2799"/>
      <c r="M349" s="2799"/>
      <c r="N349" s="2799"/>
      <c r="O349" s="1546" t="s">
        <v>28</v>
      </c>
      <c r="P349" s="2798" t="str">
        <f>IF('2_入力シート【用途面積】'!I43="","",'2_入力シート【用途面積】'!I43)</f>
        <v/>
      </c>
      <c r="Q349" s="2799"/>
      <c r="R349" s="2799"/>
      <c r="S349" s="2799"/>
      <c r="T349" s="1546" t="s">
        <v>28</v>
      </c>
      <c r="U349" s="2798" t="str">
        <f>IF('2_入力シート【用途面積】'!K43="","",'2_入力シート【用途面積】'!K43)</f>
        <v/>
      </c>
      <c r="V349" s="2799"/>
      <c r="W349" s="2799"/>
      <c r="X349" s="2799"/>
      <c r="Y349" s="1546" t="s">
        <v>28</v>
      </c>
      <c r="Z349" s="2798" t="str">
        <f>IF('2_入力シート【用途面積】'!M43="","",'2_入力シート【用途面積】'!M43)</f>
        <v/>
      </c>
      <c r="AA349" s="2799"/>
      <c r="AB349" s="2799"/>
      <c r="AC349" s="2799"/>
      <c r="AD349" s="1546" t="s">
        <v>28</v>
      </c>
      <c r="AE349" s="2798" t="str">
        <f>IF('2_入力シート【用途面積】'!O43="","",'2_入力シート【用途面積】'!O43)</f>
        <v/>
      </c>
      <c r="AF349" s="2799"/>
      <c r="AG349" s="2799"/>
      <c r="AH349" s="2799"/>
      <c r="AI349" s="1546" t="s">
        <v>28</v>
      </c>
      <c r="AJ349" s="2798" t="str">
        <f>IF('2_入力シート【用途面積】'!Q43="","",'2_入力シート【用途面積】'!Q43)</f>
        <v/>
      </c>
      <c r="AK349" s="2799"/>
      <c r="AL349" s="2799"/>
      <c r="AM349" s="2799"/>
      <c r="AN349" s="1546" t="s">
        <v>28</v>
      </c>
      <c r="AO349" s="2798" t="str">
        <f>IF('2_入力シート【用途面積】'!S43="","",'2_入力シート【用途面積】'!S43)</f>
        <v/>
      </c>
      <c r="AP349" s="2799"/>
      <c r="AQ349" s="2799"/>
      <c r="AR349" s="2799"/>
      <c r="AS349" s="1546" t="s">
        <v>28</v>
      </c>
      <c r="AT349" s="1470"/>
      <c r="AU349" s="1485"/>
      <c r="AV349" s="1485"/>
    </row>
    <row r="350" spans="2:48" ht="13" customHeight="1">
      <c r="B350" s="1549"/>
      <c r="C350" s="2921">
        <v>22</v>
      </c>
      <c r="D350" s="2922"/>
      <c r="E350" s="1542" t="s">
        <v>17</v>
      </c>
      <c r="F350" s="2794">
        <f>'2_入力シート【用途面積】'!E44</f>
        <v>0</v>
      </c>
      <c r="G350" s="2795"/>
      <c r="H350" s="2795"/>
      <c r="I350" s="2795"/>
      <c r="J350" s="1543" t="s">
        <v>28</v>
      </c>
      <c r="K350" s="2794" t="str">
        <f>IF('2_入力シート【用途面積】'!G44="","",'2_入力シート【用途面積】'!G44)</f>
        <v/>
      </c>
      <c r="L350" s="2795"/>
      <c r="M350" s="2795"/>
      <c r="N350" s="2795"/>
      <c r="O350" s="1543" t="s">
        <v>28</v>
      </c>
      <c r="P350" s="2794" t="str">
        <f>IF('2_入力シート【用途面積】'!I44="","",'2_入力シート【用途面積】'!I44)</f>
        <v/>
      </c>
      <c r="Q350" s="2795"/>
      <c r="R350" s="2795"/>
      <c r="S350" s="2795"/>
      <c r="T350" s="1543" t="s">
        <v>28</v>
      </c>
      <c r="U350" s="2794" t="str">
        <f>IF('2_入力シート【用途面積】'!K44="","",'2_入力シート【用途面積】'!K44)</f>
        <v/>
      </c>
      <c r="V350" s="2795"/>
      <c r="W350" s="2795"/>
      <c r="X350" s="2795"/>
      <c r="Y350" s="1543" t="s">
        <v>28</v>
      </c>
      <c r="Z350" s="2794" t="str">
        <f>IF('2_入力シート【用途面積】'!M44="","",'2_入力シート【用途面積】'!M44)</f>
        <v/>
      </c>
      <c r="AA350" s="2795"/>
      <c r="AB350" s="2795"/>
      <c r="AC350" s="2795"/>
      <c r="AD350" s="1543" t="s">
        <v>28</v>
      </c>
      <c r="AE350" s="2794" t="str">
        <f>IF('2_入力シート【用途面積】'!O44="","",'2_入力シート【用途面積】'!O44)</f>
        <v/>
      </c>
      <c r="AF350" s="2795"/>
      <c r="AG350" s="2795"/>
      <c r="AH350" s="2795"/>
      <c r="AI350" s="1543" t="s">
        <v>28</v>
      </c>
      <c r="AJ350" s="2794" t="str">
        <f>IF('2_入力シート【用途面積】'!Q44="","",'2_入力シート【用途面積】'!Q44)</f>
        <v/>
      </c>
      <c r="AK350" s="2795"/>
      <c r="AL350" s="2795"/>
      <c r="AM350" s="2795"/>
      <c r="AN350" s="1543" t="s">
        <v>28</v>
      </c>
      <c r="AO350" s="2794" t="str">
        <f>IF('2_入力シート【用途面積】'!S44="","",'2_入力シート【用途面積】'!S44)</f>
        <v/>
      </c>
      <c r="AP350" s="2795"/>
      <c r="AQ350" s="2795"/>
      <c r="AR350" s="2795"/>
      <c r="AS350" s="1543" t="s">
        <v>28</v>
      </c>
      <c r="AT350" s="1470"/>
      <c r="AU350" s="1485"/>
      <c r="AV350" s="1485"/>
    </row>
    <row r="351" spans="2:48" ht="13" customHeight="1">
      <c r="B351" s="1549"/>
      <c r="C351" s="2921">
        <v>23</v>
      </c>
      <c r="D351" s="2922"/>
      <c r="E351" s="1542" t="s">
        <v>17</v>
      </c>
      <c r="F351" s="2794">
        <f>'2_入力シート【用途面積】'!E45</f>
        <v>0</v>
      </c>
      <c r="G351" s="2795"/>
      <c r="H351" s="2795"/>
      <c r="I351" s="2795"/>
      <c r="J351" s="1543" t="s">
        <v>28</v>
      </c>
      <c r="K351" s="2794" t="str">
        <f>IF('2_入力シート【用途面積】'!G45="","",'2_入力シート【用途面積】'!G45)</f>
        <v/>
      </c>
      <c r="L351" s="2795"/>
      <c r="M351" s="2795"/>
      <c r="N351" s="2795"/>
      <c r="O351" s="1543" t="s">
        <v>28</v>
      </c>
      <c r="P351" s="2794" t="str">
        <f>IF('2_入力シート【用途面積】'!I45="","",'2_入力シート【用途面積】'!I45)</f>
        <v/>
      </c>
      <c r="Q351" s="2795"/>
      <c r="R351" s="2795"/>
      <c r="S351" s="2795"/>
      <c r="T351" s="1543" t="s">
        <v>28</v>
      </c>
      <c r="U351" s="2794" t="str">
        <f>IF('2_入力シート【用途面積】'!K45="","",'2_入力シート【用途面積】'!K45)</f>
        <v/>
      </c>
      <c r="V351" s="2795"/>
      <c r="W351" s="2795"/>
      <c r="X351" s="2795"/>
      <c r="Y351" s="1543" t="s">
        <v>28</v>
      </c>
      <c r="Z351" s="2794" t="str">
        <f>IF('2_入力シート【用途面積】'!M45="","",'2_入力シート【用途面積】'!M45)</f>
        <v/>
      </c>
      <c r="AA351" s="2795"/>
      <c r="AB351" s="2795"/>
      <c r="AC351" s="2795"/>
      <c r="AD351" s="1543" t="s">
        <v>28</v>
      </c>
      <c r="AE351" s="2794" t="str">
        <f>IF('2_入力シート【用途面積】'!O45="","",'2_入力シート【用途面積】'!O45)</f>
        <v/>
      </c>
      <c r="AF351" s="2795"/>
      <c r="AG351" s="2795"/>
      <c r="AH351" s="2795"/>
      <c r="AI351" s="1543" t="s">
        <v>28</v>
      </c>
      <c r="AJ351" s="2794" t="str">
        <f>IF('2_入力シート【用途面積】'!Q45="","",'2_入力シート【用途面積】'!Q45)</f>
        <v/>
      </c>
      <c r="AK351" s="2795"/>
      <c r="AL351" s="2795"/>
      <c r="AM351" s="2795"/>
      <c r="AN351" s="1543" t="s">
        <v>28</v>
      </c>
      <c r="AO351" s="2794" t="str">
        <f>IF('2_入力シート【用途面積】'!S45="","",'2_入力シート【用途面積】'!S45)</f>
        <v/>
      </c>
      <c r="AP351" s="2795"/>
      <c r="AQ351" s="2795"/>
      <c r="AR351" s="2795"/>
      <c r="AS351" s="1543" t="s">
        <v>28</v>
      </c>
      <c r="AT351" s="1551"/>
      <c r="AU351" s="1485"/>
      <c r="AV351" s="1485"/>
    </row>
    <row r="352" spans="2:48" ht="13" customHeight="1">
      <c r="B352" s="1549"/>
      <c r="C352" s="2921">
        <v>24</v>
      </c>
      <c r="D352" s="2922"/>
      <c r="E352" s="1542" t="s">
        <v>17</v>
      </c>
      <c r="F352" s="2794">
        <f>'2_入力シート【用途面積】'!E46</f>
        <v>0</v>
      </c>
      <c r="G352" s="2795"/>
      <c r="H352" s="2795"/>
      <c r="I352" s="2795"/>
      <c r="J352" s="1543" t="s">
        <v>28</v>
      </c>
      <c r="K352" s="2794" t="str">
        <f>IF('2_入力シート【用途面積】'!G46="","",'2_入力シート【用途面積】'!G46)</f>
        <v/>
      </c>
      <c r="L352" s="2795"/>
      <c r="M352" s="2795"/>
      <c r="N352" s="2795"/>
      <c r="O352" s="1543" t="s">
        <v>28</v>
      </c>
      <c r="P352" s="2794" t="str">
        <f>IF('2_入力シート【用途面積】'!I46="","",'2_入力シート【用途面積】'!I46)</f>
        <v/>
      </c>
      <c r="Q352" s="2795"/>
      <c r="R352" s="2795"/>
      <c r="S352" s="2795"/>
      <c r="T352" s="1543" t="s">
        <v>28</v>
      </c>
      <c r="U352" s="2794" t="str">
        <f>IF('2_入力シート【用途面積】'!K46="","",'2_入力シート【用途面積】'!K46)</f>
        <v/>
      </c>
      <c r="V352" s="2795"/>
      <c r="W352" s="2795"/>
      <c r="X352" s="2795"/>
      <c r="Y352" s="1543" t="s">
        <v>28</v>
      </c>
      <c r="Z352" s="2794" t="str">
        <f>IF('2_入力シート【用途面積】'!M46="","",'2_入力シート【用途面積】'!M46)</f>
        <v/>
      </c>
      <c r="AA352" s="2795"/>
      <c r="AB352" s="2795"/>
      <c r="AC352" s="2795"/>
      <c r="AD352" s="1543" t="s">
        <v>28</v>
      </c>
      <c r="AE352" s="2794" t="str">
        <f>IF('2_入力シート【用途面積】'!O46="","",'2_入力シート【用途面積】'!O46)</f>
        <v/>
      </c>
      <c r="AF352" s="2795"/>
      <c r="AG352" s="2795"/>
      <c r="AH352" s="2795"/>
      <c r="AI352" s="1543" t="s">
        <v>28</v>
      </c>
      <c r="AJ352" s="2794" t="str">
        <f>IF('2_入力シート【用途面積】'!Q46="","",'2_入力シート【用途面積】'!Q46)</f>
        <v/>
      </c>
      <c r="AK352" s="2795"/>
      <c r="AL352" s="2795"/>
      <c r="AM352" s="2795"/>
      <c r="AN352" s="1543" t="s">
        <v>28</v>
      </c>
      <c r="AO352" s="2794" t="str">
        <f>IF('2_入力シート【用途面積】'!S46="","",'2_入力シート【用途面積】'!S46)</f>
        <v/>
      </c>
      <c r="AP352" s="2795"/>
      <c r="AQ352" s="2795"/>
      <c r="AR352" s="2795"/>
      <c r="AS352" s="1543" t="s">
        <v>28</v>
      </c>
      <c r="AT352" s="1470"/>
      <c r="AU352" s="1485"/>
      <c r="AV352" s="1485"/>
    </row>
    <row r="353" spans="2:48" ht="13" customHeight="1">
      <c r="B353" s="1552"/>
      <c r="C353" s="2919">
        <v>25</v>
      </c>
      <c r="D353" s="2920"/>
      <c r="E353" s="1547" t="s">
        <v>17</v>
      </c>
      <c r="F353" s="2796">
        <f>'2_入力シート【用途面積】'!E47</f>
        <v>0</v>
      </c>
      <c r="G353" s="2797"/>
      <c r="H353" s="2797"/>
      <c r="I353" s="2797"/>
      <c r="J353" s="1544" t="s">
        <v>28</v>
      </c>
      <c r="K353" s="2796" t="str">
        <f>IF('2_入力シート【用途面積】'!G47="","",'2_入力シート【用途面積】'!G47)</f>
        <v/>
      </c>
      <c r="L353" s="2797"/>
      <c r="M353" s="2797"/>
      <c r="N353" s="2797"/>
      <c r="O353" s="1544" t="s">
        <v>28</v>
      </c>
      <c r="P353" s="2796" t="str">
        <f>IF('2_入力シート【用途面積】'!I47="","",'2_入力シート【用途面積】'!I47)</f>
        <v/>
      </c>
      <c r="Q353" s="2797"/>
      <c r="R353" s="2797"/>
      <c r="S353" s="2797"/>
      <c r="T353" s="1544" t="s">
        <v>28</v>
      </c>
      <c r="U353" s="2796" t="str">
        <f>IF('2_入力シート【用途面積】'!K47="","",'2_入力シート【用途面積】'!K47)</f>
        <v/>
      </c>
      <c r="V353" s="2797"/>
      <c r="W353" s="2797"/>
      <c r="X353" s="2797"/>
      <c r="Y353" s="1544" t="s">
        <v>28</v>
      </c>
      <c r="Z353" s="2796" t="str">
        <f>IF('2_入力シート【用途面積】'!M47="","",'2_入力シート【用途面積】'!M47)</f>
        <v/>
      </c>
      <c r="AA353" s="2797"/>
      <c r="AB353" s="2797"/>
      <c r="AC353" s="2797"/>
      <c r="AD353" s="1544" t="s">
        <v>28</v>
      </c>
      <c r="AE353" s="2796" t="str">
        <f>IF('2_入力シート【用途面積】'!O47="","",'2_入力シート【用途面積】'!O47)</f>
        <v/>
      </c>
      <c r="AF353" s="2797"/>
      <c r="AG353" s="2797"/>
      <c r="AH353" s="2797"/>
      <c r="AI353" s="1544" t="s">
        <v>28</v>
      </c>
      <c r="AJ353" s="2796" t="str">
        <f>IF('2_入力シート【用途面積】'!Q47="","",'2_入力シート【用途面積】'!Q47)</f>
        <v/>
      </c>
      <c r="AK353" s="2797"/>
      <c r="AL353" s="2797"/>
      <c r="AM353" s="2797"/>
      <c r="AN353" s="1544" t="s">
        <v>28</v>
      </c>
      <c r="AO353" s="2796" t="str">
        <f>IF('2_入力シート【用途面積】'!S47="","",'2_入力シート【用途面積】'!S47)</f>
        <v/>
      </c>
      <c r="AP353" s="2797"/>
      <c r="AQ353" s="2797"/>
      <c r="AR353" s="2797"/>
      <c r="AS353" s="1544" t="s">
        <v>28</v>
      </c>
      <c r="AT353" s="1470"/>
      <c r="AU353" s="1485"/>
      <c r="AV353" s="1485"/>
    </row>
    <row r="354" spans="2:48" ht="13" customHeight="1">
      <c r="B354" s="1548"/>
      <c r="C354" s="2921">
        <v>26</v>
      </c>
      <c r="D354" s="2922"/>
      <c r="E354" s="1545" t="s">
        <v>17</v>
      </c>
      <c r="F354" s="2798">
        <f>'2_入力シート【用途面積】'!E48</f>
        <v>0</v>
      </c>
      <c r="G354" s="2799"/>
      <c r="H354" s="2799"/>
      <c r="I354" s="2799"/>
      <c r="J354" s="1546" t="s">
        <v>28</v>
      </c>
      <c r="K354" s="2798" t="str">
        <f>IF('2_入力シート【用途面積】'!G48="","",'2_入力シート【用途面積】'!G48)</f>
        <v/>
      </c>
      <c r="L354" s="2799"/>
      <c r="M354" s="2799"/>
      <c r="N354" s="2799"/>
      <c r="O354" s="1546" t="s">
        <v>28</v>
      </c>
      <c r="P354" s="2798" t="str">
        <f>IF('2_入力シート【用途面積】'!I48="","",'2_入力シート【用途面積】'!I48)</f>
        <v/>
      </c>
      <c r="Q354" s="2799"/>
      <c r="R354" s="2799"/>
      <c r="S354" s="2799"/>
      <c r="T354" s="1546" t="s">
        <v>28</v>
      </c>
      <c r="U354" s="2798" t="str">
        <f>IF('2_入力シート【用途面積】'!K48="","",'2_入力シート【用途面積】'!K48)</f>
        <v/>
      </c>
      <c r="V354" s="2799"/>
      <c r="W354" s="2799"/>
      <c r="X354" s="2799"/>
      <c r="Y354" s="1546" t="s">
        <v>28</v>
      </c>
      <c r="Z354" s="2798" t="str">
        <f>IF('2_入力シート【用途面積】'!M48="","",'2_入力シート【用途面積】'!M48)</f>
        <v/>
      </c>
      <c r="AA354" s="2799"/>
      <c r="AB354" s="2799"/>
      <c r="AC354" s="2799"/>
      <c r="AD354" s="1546" t="s">
        <v>28</v>
      </c>
      <c r="AE354" s="2798" t="str">
        <f>IF('2_入力シート【用途面積】'!O48="","",'2_入力シート【用途面積】'!O48)</f>
        <v/>
      </c>
      <c r="AF354" s="2799"/>
      <c r="AG354" s="2799"/>
      <c r="AH354" s="2799"/>
      <c r="AI354" s="1546" t="s">
        <v>28</v>
      </c>
      <c r="AJ354" s="2798" t="str">
        <f>IF('2_入力シート【用途面積】'!Q48="","",'2_入力シート【用途面積】'!Q48)</f>
        <v/>
      </c>
      <c r="AK354" s="2799"/>
      <c r="AL354" s="2799"/>
      <c r="AM354" s="2799"/>
      <c r="AN354" s="1546" t="s">
        <v>28</v>
      </c>
      <c r="AO354" s="2798" t="str">
        <f>IF('2_入力シート【用途面積】'!S48="","",'2_入力シート【用途面積】'!S48)</f>
        <v/>
      </c>
      <c r="AP354" s="2799"/>
      <c r="AQ354" s="2799"/>
      <c r="AR354" s="2799"/>
      <c r="AS354" s="1546" t="s">
        <v>28</v>
      </c>
      <c r="AT354" s="1470"/>
      <c r="AU354" s="1485"/>
      <c r="AV354" s="1485"/>
    </row>
    <row r="355" spans="2:48" ht="13" customHeight="1">
      <c r="B355" s="1549"/>
      <c r="C355" s="2921">
        <v>27</v>
      </c>
      <c r="D355" s="2922"/>
      <c r="E355" s="1542" t="s">
        <v>17</v>
      </c>
      <c r="F355" s="2794">
        <f>'2_入力シート【用途面積】'!E49</f>
        <v>0</v>
      </c>
      <c r="G355" s="2795"/>
      <c r="H355" s="2795"/>
      <c r="I355" s="2795"/>
      <c r="J355" s="1543" t="s">
        <v>28</v>
      </c>
      <c r="K355" s="2794" t="str">
        <f>IF('2_入力シート【用途面積】'!G49="","",'2_入力シート【用途面積】'!G49)</f>
        <v/>
      </c>
      <c r="L355" s="2795"/>
      <c r="M355" s="2795"/>
      <c r="N355" s="2795"/>
      <c r="O355" s="1543" t="s">
        <v>28</v>
      </c>
      <c r="P355" s="2794" t="str">
        <f>IF('2_入力シート【用途面積】'!I49="","",'2_入力シート【用途面積】'!I49)</f>
        <v/>
      </c>
      <c r="Q355" s="2795"/>
      <c r="R355" s="2795"/>
      <c r="S355" s="2795"/>
      <c r="T355" s="1543" t="s">
        <v>28</v>
      </c>
      <c r="U355" s="2794" t="str">
        <f>IF('2_入力シート【用途面積】'!K49="","",'2_入力シート【用途面積】'!K49)</f>
        <v/>
      </c>
      <c r="V355" s="2795"/>
      <c r="W355" s="2795"/>
      <c r="X355" s="2795"/>
      <c r="Y355" s="1543" t="s">
        <v>28</v>
      </c>
      <c r="Z355" s="2794" t="str">
        <f>IF('2_入力シート【用途面積】'!M49="","",'2_入力シート【用途面積】'!M49)</f>
        <v/>
      </c>
      <c r="AA355" s="2795"/>
      <c r="AB355" s="2795"/>
      <c r="AC355" s="2795"/>
      <c r="AD355" s="1543" t="s">
        <v>28</v>
      </c>
      <c r="AE355" s="2794" t="str">
        <f>IF('2_入力シート【用途面積】'!O49="","",'2_入力シート【用途面積】'!O49)</f>
        <v/>
      </c>
      <c r="AF355" s="2795"/>
      <c r="AG355" s="2795"/>
      <c r="AH355" s="2795"/>
      <c r="AI355" s="1543" t="s">
        <v>28</v>
      </c>
      <c r="AJ355" s="2794" t="str">
        <f>IF('2_入力シート【用途面積】'!Q49="","",'2_入力シート【用途面積】'!Q49)</f>
        <v/>
      </c>
      <c r="AK355" s="2795"/>
      <c r="AL355" s="2795"/>
      <c r="AM355" s="2795"/>
      <c r="AN355" s="1543" t="s">
        <v>28</v>
      </c>
      <c r="AO355" s="2794" t="str">
        <f>IF('2_入力シート【用途面積】'!S49="","",'2_入力シート【用途面積】'!S49)</f>
        <v/>
      </c>
      <c r="AP355" s="2795"/>
      <c r="AQ355" s="2795"/>
      <c r="AR355" s="2795"/>
      <c r="AS355" s="1543" t="s">
        <v>28</v>
      </c>
      <c r="AT355" s="1470"/>
      <c r="AU355" s="1485"/>
      <c r="AV355" s="1485"/>
    </row>
    <row r="356" spans="2:48" ht="13" customHeight="1">
      <c r="B356" s="1549"/>
      <c r="C356" s="2921">
        <v>28</v>
      </c>
      <c r="D356" s="2922"/>
      <c r="E356" s="1542" t="s">
        <v>17</v>
      </c>
      <c r="F356" s="2794">
        <f>'2_入力シート【用途面積】'!E50</f>
        <v>0</v>
      </c>
      <c r="G356" s="2795"/>
      <c r="H356" s="2795"/>
      <c r="I356" s="2795"/>
      <c r="J356" s="1543" t="s">
        <v>28</v>
      </c>
      <c r="K356" s="2794" t="str">
        <f>IF('2_入力シート【用途面積】'!G50="","",'2_入力シート【用途面積】'!G50)</f>
        <v/>
      </c>
      <c r="L356" s="2795"/>
      <c r="M356" s="2795"/>
      <c r="N356" s="2795"/>
      <c r="O356" s="1543" t="s">
        <v>28</v>
      </c>
      <c r="P356" s="2794" t="str">
        <f>IF('2_入力シート【用途面積】'!I50="","",'2_入力シート【用途面積】'!I50)</f>
        <v/>
      </c>
      <c r="Q356" s="2795"/>
      <c r="R356" s="2795"/>
      <c r="S356" s="2795"/>
      <c r="T356" s="1543" t="s">
        <v>28</v>
      </c>
      <c r="U356" s="2794" t="str">
        <f>IF('2_入力シート【用途面積】'!K50="","",'2_入力シート【用途面積】'!K50)</f>
        <v/>
      </c>
      <c r="V356" s="2795"/>
      <c r="W356" s="2795"/>
      <c r="X356" s="2795"/>
      <c r="Y356" s="1543" t="s">
        <v>28</v>
      </c>
      <c r="Z356" s="2794" t="str">
        <f>IF('2_入力シート【用途面積】'!M50="","",'2_入力シート【用途面積】'!M50)</f>
        <v/>
      </c>
      <c r="AA356" s="2795"/>
      <c r="AB356" s="2795"/>
      <c r="AC356" s="2795"/>
      <c r="AD356" s="1543" t="s">
        <v>28</v>
      </c>
      <c r="AE356" s="2794" t="str">
        <f>IF('2_入力シート【用途面積】'!O50="","",'2_入力シート【用途面積】'!O50)</f>
        <v/>
      </c>
      <c r="AF356" s="2795"/>
      <c r="AG356" s="2795"/>
      <c r="AH356" s="2795"/>
      <c r="AI356" s="1543" t="s">
        <v>28</v>
      </c>
      <c r="AJ356" s="2794" t="str">
        <f>IF('2_入力シート【用途面積】'!Q50="","",'2_入力シート【用途面積】'!Q50)</f>
        <v/>
      </c>
      <c r="AK356" s="2795"/>
      <c r="AL356" s="2795"/>
      <c r="AM356" s="2795"/>
      <c r="AN356" s="1543" t="s">
        <v>28</v>
      </c>
      <c r="AO356" s="2794" t="str">
        <f>IF('2_入力シート【用途面積】'!S50="","",'2_入力シート【用途面積】'!S50)</f>
        <v/>
      </c>
      <c r="AP356" s="2795"/>
      <c r="AQ356" s="2795"/>
      <c r="AR356" s="2795"/>
      <c r="AS356" s="1543" t="s">
        <v>28</v>
      </c>
      <c r="AT356" s="1470"/>
      <c r="AU356" s="1485"/>
      <c r="AV356" s="1485"/>
    </row>
    <row r="357" spans="2:48" ht="13" customHeight="1">
      <c r="B357" s="1549"/>
      <c r="C357" s="2921">
        <v>29</v>
      </c>
      <c r="D357" s="2922"/>
      <c r="E357" s="1542" t="s">
        <v>17</v>
      </c>
      <c r="F357" s="2794">
        <f>'2_入力シート【用途面積】'!E51</f>
        <v>0</v>
      </c>
      <c r="G357" s="2795"/>
      <c r="H357" s="2795"/>
      <c r="I357" s="2795"/>
      <c r="J357" s="1543" t="s">
        <v>28</v>
      </c>
      <c r="K357" s="2794" t="str">
        <f>IF('2_入力シート【用途面積】'!G51="","",'2_入力シート【用途面積】'!G51)</f>
        <v/>
      </c>
      <c r="L357" s="2795"/>
      <c r="M357" s="2795"/>
      <c r="N357" s="2795"/>
      <c r="O357" s="1543" t="s">
        <v>28</v>
      </c>
      <c r="P357" s="2794" t="str">
        <f>IF('2_入力シート【用途面積】'!I51="","",'2_入力シート【用途面積】'!I51)</f>
        <v/>
      </c>
      <c r="Q357" s="2795"/>
      <c r="R357" s="2795"/>
      <c r="S357" s="2795"/>
      <c r="T357" s="1543" t="s">
        <v>28</v>
      </c>
      <c r="U357" s="2794" t="str">
        <f>IF('2_入力シート【用途面積】'!K51="","",'2_入力シート【用途面積】'!K51)</f>
        <v/>
      </c>
      <c r="V357" s="2795"/>
      <c r="W357" s="2795"/>
      <c r="X357" s="2795"/>
      <c r="Y357" s="1543" t="s">
        <v>28</v>
      </c>
      <c r="Z357" s="2794" t="str">
        <f>IF('2_入力シート【用途面積】'!M51="","",'2_入力シート【用途面積】'!M51)</f>
        <v/>
      </c>
      <c r="AA357" s="2795"/>
      <c r="AB357" s="2795"/>
      <c r="AC357" s="2795"/>
      <c r="AD357" s="1543" t="s">
        <v>28</v>
      </c>
      <c r="AE357" s="2794" t="str">
        <f>IF('2_入力シート【用途面積】'!O51="","",'2_入力シート【用途面積】'!O51)</f>
        <v/>
      </c>
      <c r="AF357" s="2795"/>
      <c r="AG357" s="2795"/>
      <c r="AH357" s="2795"/>
      <c r="AI357" s="1543" t="s">
        <v>28</v>
      </c>
      <c r="AJ357" s="2794" t="str">
        <f>IF('2_入力シート【用途面積】'!Q51="","",'2_入力シート【用途面積】'!Q51)</f>
        <v/>
      </c>
      <c r="AK357" s="2795"/>
      <c r="AL357" s="2795"/>
      <c r="AM357" s="2795"/>
      <c r="AN357" s="1543" t="s">
        <v>28</v>
      </c>
      <c r="AO357" s="2794" t="str">
        <f>IF('2_入力シート【用途面積】'!S51="","",'2_入力シート【用途面積】'!S51)</f>
        <v/>
      </c>
      <c r="AP357" s="2795"/>
      <c r="AQ357" s="2795"/>
      <c r="AR357" s="2795"/>
      <c r="AS357" s="1543" t="s">
        <v>28</v>
      </c>
      <c r="AT357" s="1470"/>
      <c r="AU357" s="1485"/>
      <c r="AV357" s="1485"/>
    </row>
    <row r="358" spans="2:48" ht="13" customHeight="1">
      <c r="B358" s="1552"/>
      <c r="C358" s="2919">
        <v>30</v>
      </c>
      <c r="D358" s="2920"/>
      <c r="E358" s="1547" t="s">
        <v>17</v>
      </c>
      <c r="F358" s="2796">
        <f>'2_入力シート【用途面積】'!E52</f>
        <v>0</v>
      </c>
      <c r="G358" s="2797"/>
      <c r="H358" s="2797"/>
      <c r="I358" s="2797"/>
      <c r="J358" s="1544" t="s">
        <v>28</v>
      </c>
      <c r="K358" s="2796" t="str">
        <f>IF('2_入力シート【用途面積】'!G52="","",'2_入力シート【用途面積】'!G52)</f>
        <v/>
      </c>
      <c r="L358" s="2797"/>
      <c r="M358" s="2797"/>
      <c r="N358" s="2797"/>
      <c r="O358" s="1544" t="s">
        <v>28</v>
      </c>
      <c r="P358" s="2796" t="str">
        <f>IF('2_入力シート【用途面積】'!I52="","",'2_入力シート【用途面積】'!I52)</f>
        <v/>
      </c>
      <c r="Q358" s="2797"/>
      <c r="R358" s="2797"/>
      <c r="S358" s="2797"/>
      <c r="T358" s="1544" t="s">
        <v>28</v>
      </c>
      <c r="U358" s="2796" t="str">
        <f>IF('2_入力シート【用途面積】'!K52="","",'2_入力シート【用途面積】'!K52)</f>
        <v/>
      </c>
      <c r="V358" s="2797"/>
      <c r="W358" s="2797"/>
      <c r="X358" s="2797"/>
      <c r="Y358" s="1544" t="s">
        <v>28</v>
      </c>
      <c r="Z358" s="2796" t="str">
        <f>IF('2_入力シート【用途面積】'!M52="","",'2_入力シート【用途面積】'!M52)</f>
        <v/>
      </c>
      <c r="AA358" s="2797"/>
      <c r="AB358" s="2797"/>
      <c r="AC358" s="2797"/>
      <c r="AD358" s="1544" t="s">
        <v>28</v>
      </c>
      <c r="AE358" s="2796" t="str">
        <f>IF('2_入力シート【用途面積】'!O52="","",'2_入力シート【用途面積】'!O52)</f>
        <v/>
      </c>
      <c r="AF358" s="2797"/>
      <c r="AG358" s="2797"/>
      <c r="AH358" s="2797"/>
      <c r="AI358" s="1544" t="s">
        <v>28</v>
      </c>
      <c r="AJ358" s="2796" t="str">
        <f>IF('2_入力シート【用途面積】'!Q52="","",'2_入力シート【用途面積】'!Q52)</f>
        <v/>
      </c>
      <c r="AK358" s="2797"/>
      <c r="AL358" s="2797"/>
      <c r="AM358" s="2797"/>
      <c r="AN358" s="1544" t="s">
        <v>28</v>
      </c>
      <c r="AO358" s="2796" t="str">
        <f>IF('2_入力シート【用途面積】'!S52="","",'2_入力シート【用途面積】'!S52)</f>
        <v/>
      </c>
      <c r="AP358" s="2797"/>
      <c r="AQ358" s="2797"/>
      <c r="AR358" s="2797"/>
      <c r="AS358" s="1544" t="s">
        <v>28</v>
      </c>
      <c r="AT358" s="1470"/>
      <c r="AU358" s="1485"/>
      <c r="AV358" s="1485"/>
    </row>
    <row r="359" spans="2:48" ht="13" customHeight="1">
      <c r="B359" s="1548"/>
      <c r="C359" s="2921">
        <v>31</v>
      </c>
      <c r="D359" s="2922"/>
      <c r="E359" s="1545" t="s">
        <v>17</v>
      </c>
      <c r="F359" s="2798">
        <f>'2_入力シート【用途面積】'!E53</f>
        <v>0</v>
      </c>
      <c r="G359" s="2799"/>
      <c r="H359" s="2799"/>
      <c r="I359" s="2799"/>
      <c r="J359" s="1546" t="s">
        <v>28</v>
      </c>
      <c r="K359" s="2798" t="str">
        <f>IF('2_入力シート【用途面積】'!G53="","",'2_入力シート【用途面積】'!G53)</f>
        <v/>
      </c>
      <c r="L359" s="2799"/>
      <c r="M359" s="2799"/>
      <c r="N359" s="2799"/>
      <c r="O359" s="1546" t="s">
        <v>28</v>
      </c>
      <c r="P359" s="2798" t="str">
        <f>IF('2_入力シート【用途面積】'!I53="","",'2_入力シート【用途面積】'!I53)</f>
        <v/>
      </c>
      <c r="Q359" s="2799"/>
      <c r="R359" s="2799"/>
      <c r="S359" s="2799"/>
      <c r="T359" s="1546" t="s">
        <v>28</v>
      </c>
      <c r="U359" s="2798" t="str">
        <f>IF('2_入力シート【用途面積】'!K53="","",'2_入力シート【用途面積】'!K53)</f>
        <v/>
      </c>
      <c r="V359" s="2799"/>
      <c r="W359" s="2799"/>
      <c r="X359" s="2799"/>
      <c r="Y359" s="1546" t="s">
        <v>28</v>
      </c>
      <c r="Z359" s="2798" t="str">
        <f>IF('2_入力シート【用途面積】'!M53="","",'2_入力シート【用途面積】'!M53)</f>
        <v/>
      </c>
      <c r="AA359" s="2799"/>
      <c r="AB359" s="2799"/>
      <c r="AC359" s="2799"/>
      <c r="AD359" s="1546" t="s">
        <v>28</v>
      </c>
      <c r="AE359" s="2798" t="str">
        <f>IF('2_入力シート【用途面積】'!O53="","",'2_入力シート【用途面積】'!O53)</f>
        <v/>
      </c>
      <c r="AF359" s="2799"/>
      <c r="AG359" s="2799"/>
      <c r="AH359" s="2799"/>
      <c r="AI359" s="1546" t="s">
        <v>28</v>
      </c>
      <c r="AJ359" s="2798" t="str">
        <f>IF('2_入力シート【用途面積】'!Q53="","",'2_入力シート【用途面積】'!Q53)</f>
        <v/>
      </c>
      <c r="AK359" s="2799"/>
      <c r="AL359" s="2799"/>
      <c r="AM359" s="2799"/>
      <c r="AN359" s="1546" t="s">
        <v>28</v>
      </c>
      <c r="AO359" s="2798" t="str">
        <f>IF('2_入力シート【用途面積】'!S53="","",'2_入力シート【用途面積】'!S53)</f>
        <v/>
      </c>
      <c r="AP359" s="2799"/>
      <c r="AQ359" s="2799"/>
      <c r="AR359" s="2799"/>
      <c r="AS359" s="1546" t="s">
        <v>28</v>
      </c>
      <c r="AT359" s="1535"/>
      <c r="AU359" s="1485"/>
      <c r="AV359" s="1485"/>
    </row>
    <row r="360" spans="2:48" ht="13" customHeight="1">
      <c r="B360" s="1549"/>
      <c r="C360" s="2921">
        <v>32</v>
      </c>
      <c r="D360" s="2922"/>
      <c r="E360" s="1542" t="s">
        <v>17</v>
      </c>
      <c r="F360" s="2794">
        <f>'2_入力シート【用途面積】'!E54</f>
        <v>0</v>
      </c>
      <c r="G360" s="2795"/>
      <c r="H360" s="2795"/>
      <c r="I360" s="2795"/>
      <c r="J360" s="1543" t="s">
        <v>28</v>
      </c>
      <c r="K360" s="2794" t="str">
        <f>IF('2_入力シート【用途面積】'!G54="","",'2_入力シート【用途面積】'!G54)</f>
        <v/>
      </c>
      <c r="L360" s="2795"/>
      <c r="M360" s="2795"/>
      <c r="N360" s="2795"/>
      <c r="O360" s="1543" t="s">
        <v>28</v>
      </c>
      <c r="P360" s="2794" t="str">
        <f>IF('2_入力シート【用途面積】'!I54="","",'2_入力シート【用途面積】'!I54)</f>
        <v/>
      </c>
      <c r="Q360" s="2795"/>
      <c r="R360" s="2795"/>
      <c r="S360" s="2795"/>
      <c r="T360" s="1543" t="s">
        <v>28</v>
      </c>
      <c r="U360" s="2794" t="str">
        <f>IF('2_入力シート【用途面積】'!K54="","",'2_入力シート【用途面積】'!K54)</f>
        <v/>
      </c>
      <c r="V360" s="2795"/>
      <c r="W360" s="2795"/>
      <c r="X360" s="2795"/>
      <c r="Y360" s="1543" t="s">
        <v>28</v>
      </c>
      <c r="Z360" s="2794" t="str">
        <f>IF('2_入力シート【用途面積】'!M54="","",'2_入力シート【用途面積】'!M54)</f>
        <v/>
      </c>
      <c r="AA360" s="2795"/>
      <c r="AB360" s="2795"/>
      <c r="AC360" s="2795"/>
      <c r="AD360" s="1543" t="s">
        <v>28</v>
      </c>
      <c r="AE360" s="2794" t="str">
        <f>IF('2_入力シート【用途面積】'!O54="","",'2_入力シート【用途面積】'!O54)</f>
        <v/>
      </c>
      <c r="AF360" s="2795"/>
      <c r="AG360" s="2795"/>
      <c r="AH360" s="2795"/>
      <c r="AI360" s="1543" t="s">
        <v>28</v>
      </c>
      <c r="AJ360" s="2794" t="str">
        <f>IF('2_入力シート【用途面積】'!Q54="","",'2_入力シート【用途面積】'!Q54)</f>
        <v/>
      </c>
      <c r="AK360" s="2795"/>
      <c r="AL360" s="2795"/>
      <c r="AM360" s="2795"/>
      <c r="AN360" s="1543" t="s">
        <v>28</v>
      </c>
      <c r="AO360" s="2794" t="str">
        <f>IF('2_入力シート【用途面積】'!S54="","",'2_入力シート【用途面積】'!S54)</f>
        <v/>
      </c>
      <c r="AP360" s="2795"/>
      <c r="AQ360" s="2795"/>
      <c r="AR360" s="2795"/>
      <c r="AS360" s="1543" t="s">
        <v>28</v>
      </c>
      <c r="AT360" s="1535"/>
      <c r="AU360" s="1485"/>
      <c r="AV360" s="1485"/>
    </row>
    <row r="361" spans="2:48" ht="13" customHeight="1">
      <c r="B361" s="1549"/>
      <c r="C361" s="2921">
        <v>33</v>
      </c>
      <c r="D361" s="2922"/>
      <c r="E361" s="1542" t="s">
        <v>17</v>
      </c>
      <c r="F361" s="2794">
        <f>'2_入力シート【用途面積】'!E55</f>
        <v>0</v>
      </c>
      <c r="G361" s="2795"/>
      <c r="H361" s="2795"/>
      <c r="I361" s="2795"/>
      <c r="J361" s="1543" t="s">
        <v>28</v>
      </c>
      <c r="K361" s="2794" t="str">
        <f>IF('2_入力シート【用途面積】'!G55="","",'2_入力シート【用途面積】'!G55)</f>
        <v/>
      </c>
      <c r="L361" s="2795"/>
      <c r="M361" s="2795"/>
      <c r="N361" s="2795"/>
      <c r="O361" s="1543" t="s">
        <v>28</v>
      </c>
      <c r="P361" s="2794" t="str">
        <f>IF('2_入力シート【用途面積】'!I55="","",'2_入力シート【用途面積】'!I55)</f>
        <v/>
      </c>
      <c r="Q361" s="2795"/>
      <c r="R361" s="2795"/>
      <c r="S361" s="2795"/>
      <c r="T361" s="1543" t="s">
        <v>28</v>
      </c>
      <c r="U361" s="2794" t="str">
        <f>IF('2_入力シート【用途面積】'!K55="","",'2_入力シート【用途面積】'!K55)</f>
        <v/>
      </c>
      <c r="V361" s="2795"/>
      <c r="W361" s="2795"/>
      <c r="X361" s="2795"/>
      <c r="Y361" s="1543" t="s">
        <v>28</v>
      </c>
      <c r="Z361" s="2794" t="str">
        <f>IF('2_入力シート【用途面積】'!M55="","",'2_入力シート【用途面積】'!M55)</f>
        <v/>
      </c>
      <c r="AA361" s="2795"/>
      <c r="AB361" s="2795"/>
      <c r="AC361" s="2795"/>
      <c r="AD361" s="1543" t="s">
        <v>28</v>
      </c>
      <c r="AE361" s="2794" t="str">
        <f>IF('2_入力シート【用途面積】'!O55="","",'2_入力シート【用途面積】'!O55)</f>
        <v/>
      </c>
      <c r="AF361" s="2795"/>
      <c r="AG361" s="2795"/>
      <c r="AH361" s="2795"/>
      <c r="AI361" s="1543" t="s">
        <v>28</v>
      </c>
      <c r="AJ361" s="2794" t="str">
        <f>IF('2_入力シート【用途面積】'!Q55="","",'2_入力シート【用途面積】'!Q55)</f>
        <v/>
      </c>
      <c r="AK361" s="2795"/>
      <c r="AL361" s="2795"/>
      <c r="AM361" s="2795"/>
      <c r="AN361" s="1543" t="s">
        <v>28</v>
      </c>
      <c r="AO361" s="2794" t="str">
        <f>IF('2_入力シート【用途面積】'!S55="","",'2_入力シート【用途面積】'!S55)</f>
        <v/>
      </c>
      <c r="AP361" s="2795"/>
      <c r="AQ361" s="2795"/>
      <c r="AR361" s="2795"/>
      <c r="AS361" s="1543" t="s">
        <v>28</v>
      </c>
      <c r="AT361" s="1470"/>
      <c r="AU361" s="1485"/>
      <c r="AV361" s="1485"/>
    </row>
    <row r="362" spans="2:48" ht="13" customHeight="1">
      <c r="B362" s="1549"/>
      <c r="C362" s="2921">
        <v>34</v>
      </c>
      <c r="D362" s="2922"/>
      <c r="E362" s="1542" t="s">
        <v>17</v>
      </c>
      <c r="F362" s="2794">
        <f>'2_入力シート【用途面積】'!E56</f>
        <v>0</v>
      </c>
      <c r="G362" s="2795"/>
      <c r="H362" s="2795"/>
      <c r="I362" s="2795"/>
      <c r="J362" s="1543" t="s">
        <v>28</v>
      </c>
      <c r="K362" s="2794" t="str">
        <f>IF('2_入力シート【用途面積】'!G56="","",'2_入力シート【用途面積】'!G56)</f>
        <v/>
      </c>
      <c r="L362" s="2795"/>
      <c r="M362" s="2795"/>
      <c r="N362" s="2795"/>
      <c r="O362" s="1543" t="s">
        <v>28</v>
      </c>
      <c r="P362" s="2794" t="str">
        <f>IF('2_入力シート【用途面積】'!I56="","",'2_入力シート【用途面積】'!I56)</f>
        <v/>
      </c>
      <c r="Q362" s="2795"/>
      <c r="R362" s="2795"/>
      <c r="S362" s="2795"/>
      <c r="T362" s="1543" t="s">
        <v>28</v>
      </c>
      <c r="U362" s="2794" t="str">
        <f>IF('2_入力シート【用途面積】'!K56="","",'2_入力シート【用途面積】'!K56)</f>
        <v/>
      </c>
      <c r="V362" s="2795"/>
      <c r="W362" s="2795"/>
      <c r="X362" s="2795"/>
      <c r="Y362" s="1543" t="s">
        <v>28</v>
      </c>
      <c r="Z362" s="2794" t="str">
        <f>IF('2_入力シート【用途面積】'!M56="","",'2_入力シート【用途面積】'!M56)</f>
        <v/>
      </c>
      <c r="AA362" s="2795"/>
      <c r="AB362" s="2795"/>
      <c r="AC362" s="2795"/>
      <c r="AD362" s="1543" t="s">
        <v>28</v>
      </c>
      <c r="AE362" s="2794" t="str">
        <f>IF('2_入力シート【用途面積】'!O56="","",'2_入力シート【用途面積】'!O56)</f>
        <v/>
      </c>
      <c r="AF362" s="2795"/>
      <c r="AG362" s="2795"/>
      <c r="AH362" s="2795"/>
      <c r="AI362" s="1543" t="s">
        <v>28</v>
      </c>
      <c r="AJ362" s="2794" t="str">
        <f>IF('2_入力シート【用途面積】'!Q56="","",'2_入力シート【用途面積】'!Q56)</f>
        <v/>
      </c>
      <c r="AK362" s="2795"/>
      <c r="AL362" s="2795"/>
      <c r="AM362" s="2795"/>
      <c r="AN362" s="1543" t="s">
        <v>28</v>
      </c>
      <c r="AO362" s="2794" t="str">
        <f>IF('2_入力シート【用途面積】'!S56="","",'2_入力シート【用途面積】'!S56)</f>
        <v/>
      </c>
      <c r="AP362" s="2795"/>
      <c r="AQ362" s="2795"/>
      <c r="AR362" s="2795"/>
      <c r="AS362" s="1543" t="s">
        <v>28</v>
      </c>
      <c r="AT362" s="1470"/>
      <c r="AU362" s="1485"/>
      <c r="AV362" s="1485"/>
    </row>
    <row r="363" spans="2:48" ht="13" customHeight="1">
      <c r="B363" s="1552"/>
      <c r="C363" s="2919">
        <v>35</v>
      </c>
      <c r="D363" s="2920"/>
      <c r="E363" s="1547" t="s">
        <v>17</v>
      </c>
      <c r="F363" s="2796">
        <f>'2_入力シート【用途面積】'!E57</f>
        <v>0</v>
      </c>
      <c r="G363" s="2797"/>
      <c r="H363" s="2797"/>
      <c r="I363" s="2797"/>
      <c r="J363" s="1544" t="s">
        <v>28</v>
      </c>
      <c r="K363" s="2796" t="str">
        <f>IF('2_入力シート【用途面積】'!G57="","",'2_入力シート【用途面積】'!G57)</f>
        <v/>
      </c>
      <c r="L363" s="2797"/>
      <c r="M363" s="2797"/>
      <c r="N363" s="2797"/>
      <c r="O363" s="1544" t="s">
        <v>28</v>
      </c>
      <c r="P363" s="2796" t="str">
        <f>IF('2_入力シート【用途面積】'!I57="","",'2_入力シート【用途面積】'!I57)</f>
        <v/>
      </c>
      <c r="Q363" s="2797"/>
      <c r="R363" s="2797"/>
      <c r="S363" s="2797"/>
      <c r="T363" s="1544" t="s">
        <v>28</v>
      </c>
      <c r="U363" s="2796" t="str">
        <f>IF('2_入力シート【用途面積】'!K57="","",'2_入力シート【用途面積】'!K57)</f>
        <v/>
      </c>
      <c r="V363" s="2797"/>
      <c r="W363" s="2797"/>
      <c r="X363" s="2797"/>
      <c r="Y363" s="1544" t="s">
        <v>28</v>
      </c>
      <c r="Z363" s="2796" t="str">
        <f>IF('2_入力シート【用途面積】'!M57="","",'2_入力シート【用途面積】'!M57)</f>
        <v/>
      </c>
      <c r="AA363" s="2797"/>
      <c r="AB363" s="2797"/>
      <c r="AC363" s="2797"/>
      <c r="AD363" s="1544" t="s">
        <v>28</v>
      </c>
      <c r="AE363" s="2796" t="str">
        <f>IF('2_入力シート【用途面積】'!O57="","",'2_入力シート【用途面積】'!O57)</f>
        <v/>
      </c>
      <c r="AF363" s="2797"/>
      <c r="AG363" s="2797"/>
      <c r="AH363" s="2797"/>
      <c r="AI363" s="1544" t="s">
        <v>28</v>
      </c>
      <c r="AJ363" s="2796" t="str">
        <f>IF('2_入力シート【用途面積】'!Q57="","",'2_入力シート【用途面積】'!Q57)</f>
        <v/>
      </c>
      <c r="AK363" s="2797"/>
      <c r="AL363" s="2797"/>
      <c r="AM363" s="2797"/>
      <c r="AN363" s="1544" t="s">
        <v>28</v>
      </c>
      <c r="AO363" s="2796" t="str">
        <f>IF('2_入力シート【用途面積】'!S57="","",'2_入力シート【用途面積】'!S57)</f>
        <v/>
      </c>
      <c r="AP363" s="2797"/>
      <c r="AQ363" s="2797"/>
      <c r="AR363" s="2797"/>
      <c r="AS363" s="1544" t="s">
        <v>28</v>
      </c>
      <c r="AT363" s="1470"/>
      <c r="AU363" s="1485"/>
      <c r="AV363" s="1485"/>
    </row>
    <row r="364" spans="2:48" ht="13" customHeight="1">
      <c r="B364" s="1548"/>
      <c r="C364" s="2921">
        <v>36</v>
      </c>
      <c r="D364" s="2922"/>
      <c r="E364" s="1545" t="s">
        <v>17</v>
      </c>
      <c r="F364" s="2798">
        <f>'2_入力シート【用途面積】'!E58</f>
        <v>0</v>
      </c>
      <c r="G364" s="2799"/>
      <c r="H364" s="2799"/>
      <c r="I364" s="2799"/>
      <c r="J364" s="1546" t="s">
        <v>28</v>
      </c>
      <c r="K364" s="2798" t="str">
        <f>IF('2_入力シート【用途面積】'!G58="","",'2_入力シート【用途面積】'!G58)</f>
        <v/>
      </c>
      <c r="L364" s="2799"/>
      <c r="M364" s="2799"/>
      <c r="N364" s="2799"/>
      <c r="O364" s="1546" t="s">
        <v>28</v>
      </c>
      <c r="P364" s="2798" t="str">
        <f>IF('2_入力シート【用途面積】'!I58="","",'2_入力シート【用途面積】'!I58)</f>
        <v/>
      </c>
      <c r="Q364" s="2799"/>
      <c r="R364" s="2799"/>
      <c r="S364" s="2799"/>
      <c r="T364" s="1546" t="s">
        <v>28</v>
      </c>
      <c r="U364" s="2798" t="str">
        <f>IF('2_入力シート【用途面積】'!K58="","",'2_入力シート【用途面積】'!K58)</f>
        <v/>
      </c>
      <c r="V364" s="2799"/>
      <c r="W364" s="2799"/>
      <c r="X364" s="2799"/>
      <c r="Y364" s="1546" t="s">
        <v>28</v>
      </c>
      <c r="Z364" s="2798" t="str">
        <f>IF('2_入力シート【用途面積】'!M58="","",'2_入力シート【用途面積】'!M58)</f>
        <v/>
      </c>
      <c r="AA364" s="2799"/>
      <c r="AB364" s="2799"/>
      <c r="AC364" s="2799"/>
      <c r="AD364" s="1546" t="s">
        <v>28</v>
      </c>
      <c r="AE364" s="2798" t="str">
        <f>IF('2_入力シート【用途面積】'!O58="","",'2_入力シート【用途面積】'!O58)</f>
        <v/>
      </c>
      <c r="AF364" s="2799"/>
      <c r="AG364" s="2799"/>
      <c r="AH364" s="2799"/>
      <c r="AI364" s="1546" t="s">
        <v>28</v>
      </c>
      <c r="AJ364" s="2798" t="str">
        <f>IF('2_入力シート【用途面積】'!Q58="","",'2_入力シート【用途面積】'!Q58)</f>
        <v/>
      </c>
      <c r="AK364" s="2799"/>
      <c r="AL364" s="2799"/>
      <c r="AM364" s="2799"/>
      <c r="AN364" s="1546" t="s">
        <v>28</v>
      </c>
      <c r="AO364" s="2798" t="str">
        <f>IF('2_入力シート【用途面積】'!S58="","",'2_入力シート【用途面積】'!S58)</f>
        <v/>
      </c>
      <c r="AP364" s="2799"/>
      <c r="AQ364" s="2799"/>
      <c r="AR364" s="2799"/>
      <c r="AS364" s="1546" t="s">
        <v>28</v>
      </c>
      <c r="AT364" s="1470"/>
      <c r="AU364" s="1485"/>
      <c r="AV364" s="1485"/>
    </row>
    <row r="365" spans="2:48" ht="13" customHeight="1">
      <c r="B365" s="1549"/>
      <c r="C365" s="2921">
        <v>37</v>
      </c>
      <c r="D365" s="2922"/>
      <c r="E365" s="1542" t="s">
        <v>17</v>
      </c>
      <c r="F365" s="2794">
        <f>'2_入力シート【用途面積】'!E59</f>
        <v>0</v>
      </c>
      <c r="G365" s="2795"/>
      <c r="H365" s="2795"/>
      <c r="I365" s="2795"/>
      <c r="J365" s="1543" t="s">
        <v>28</v>
      </c>
      <c r="K365" s="2794" t="str">
        <f>IF('2_入力シート【用途面積】'!G59="","",'2_入力シート【用途面積】'!G59)</f>
        <v/>
      </c>
      <c r="L365" s="2795"/>
      <c r="M365" s="2795"/>
      <c r="N365" s="2795"/>
      <c r="O365" s="1543" t="s">
        <v>28</v>
      </c>
      <c r="P365" s="2794" t="str">
        <f>IF('2_入力シート【用途面積】'!I59="","",'2_入力シート【用途面積】'!I59)</f>
        <v/>
      </c>
      <c r="Q365" s="2795"/>
      <c r="R365" s="2795"/>
      <c r="S365" s="2795"/>
      <c r="T365" s="1543" t="s">
        <v>28</v>
      </c>
      <c r="U365" s="2794" t="str">
        <f>IF('2_入力シート【用途面積】'!K59="","",'2_入力シート【用途面積】'!K59)</f>
        <v/>
      </c>
      <c r="V365" s="2795"/>
      <c r="W365" s="2795"/>
      <c r="X365" s="2795"/>
      <c r="Y365" s="1543" t="s">
        <v>28</v>
      </c>
      <c r="Z365" s="2794" t="str">
        <f>IF('2_入力シート【用途面積】'!M59="","",'2_入力シート【用途面積】'!M59)</f>
        <v/>
      </c>
      <c r="AA365" s="2795"/>
      <c r="AB365" s="2795"/>
      <c r="AC365" s="2795"/>
      <c r="AD365" s="1543" t="s">
        <v>28</v>
      </c>
      <c r="AE365" s="2794" t="str">
        <f>IF('2_入力シート【用途面積】'!O59="","",'2_入力シート【用途面積】'!O59)</f>
        <v/>
      </c>
      <c r="AF365" s="2795"/>
      <c r="AG365" s="2795"/>
      <c r="AH365" s="2795"/>
      <c r="AI365" s="1543" t="s">
        <v>28</v>
      </c>
      <c r="AJ365" s="2794" t="str">
        <f>IF('2_入力シート【用途面積】'!Q59="","",'2_入力シート【用途面積】'!Q59)</f>
        <v/>
      </c>
      <c r="AK365" s="2795"/>
      <c r="AL365" s="2795"/>
      <c r="AM365" s="2795"/>
      <c r="AN365" s="1543" t="s">
        <v>28</v>
      </c>
      <c r="AO365" s="2794" t="str">
        <f>IF('2_入力シート【用途面積】'!S59="","",'2_入力シート【用途面積】'!S59)</f>
        <v/>
      </c>
      <c r="AP365" s="2795"/>
      <c r="AQ365" s="2795"/>
      <c r="AR365" s="2795"/>
      <c r="AS365" s="1543" t="s">
        <v>28</v>
      </c>
      <c r="AT365" s="1470"/>
      <c r="AU365" s="1485"/>
      <c r="AV365" s="1485"/>
    </row>
    <row r="366" spans="2:48" ht="13" customHeight="1">
      <c r="B366" s="1549"/>
      <c r="C366" s="2921">
        <v>38</v>
      </c>
      <c r="D366" s="2922"/>
      <c r="E366" s="1542" t="s">
        <v>17</v>
      </c>
      <c r="F366" s="2794">
        <f>'2_入力シート【用途面積】'!E60</f>
        <v>0</v>
      </c>
      <c r="G366" s="2795"/>
      <c r="H366" s="2795"/>
      <c r="I366" s="2795"/>
      <c r="J366" s="1543" t="s">
        <v>28</v>
      </c>
      <c r="K366" s="2794" t="str">
        <f>IF('2_入力シート【用途面積】'!G60="","",'2_入力シート【用途面積】'!G60)</f>
        <v/>
      </c>
      <c r="L366" s="2795"/>
      <c r="M366" s="2795"/>
      <c r="N366" s="2795"/>
      <c r="O366" s="1543" t="s">
        <v>28</v>
      </c>
      <c r="P366" s="2794" t="str">
        <f>IF('2_入力シート【用途面積】'!I60="","",'2_入力シート【用途面積】'!I60)</f>
        <v/>
      </c>
      <c r="Q366" s="2795"/>
      <c r="R366" s="2795"/>
      <c r="S366" s="2795"/>
      <c r="T366" s="1543" t="s">
        <v>28</v>
      </c>
      <c r="U366" s="2794" t="str">
        <f>IF('2_入力シート【用途面積】'!K60="","",'2_入力シート【用途面積】'!K60)</f>
        <v/>
      </c>
      <c r="V366" s="2795"/>
      <c r="W366" s="2795"/>
      <c r="X366" s="2795"/>
      <c r="Y366" s="1543" t="s">
        <v>28</v>
      </c>
      <c r="Z366" s="2794" t="str">
        <f>IF('2_入力シート【用途面積】'!M60="","",'2_入力シート【用途面積】'!M60)</f>
        <v/>
      </c>
      <c r="AA366" s="2795"/>
      <c r="AB366" s="2795"/>
      <c r="AC366" s="2795"/>
      <c r="AD366" s="1543" t="s">
        <v>28</v>
      </c>
      <c r="AE366" s="2794" t="str">
        <f>IF('2_入力シート【用途面積】'!O60="","",'2_入力シート【用途面積】'!O60)</f>
        <v/>
      </c>
      <c r="AF366" s="2795"/>
      <c r="AG366" s="2795"/>
      <c r="AH366" s="2795"/>
      <c r="AI366" s="1543" t="s">
        <v>28</v>
      </c>
      <c r="AJ366" s="2794" t="str">
        <f>IF('2_入力シート【用途面積】'!Q60="","",'2_入力シート【用途面積】'!Q60)</f>
        <v/>
      </c>
      <c r="AK366" s="2795"/>
      <c r="AL366" s="2795"/>
      <c r="AM366" s="2795"/>
      <c r="AN366" s="1543" t="s">
        <v>28</v>
      </c>
      <c r="AO366" s="2794" t="str">
        <f>IF('2_入力シート【用途面積】'!S60="","",'2_入力シート【用途面積】'!S60)</f>
        <v/>
      </c>
      <c r="AP366" s="2795"/>
      <c r="AQ366" s="2795"/>
      <c r="AR366" s="2795"/>
      <c r="AS366" s="1543" t="s">
        <v>28</v>
      </c>
      <c r="AT366" s="1470"/>
      <c r="AU366" s="1485"/>
      <c r="AV366" s="1485"/>
    </row>
    <row r="367" spans="2:48" ht="13" customHeight="1">
      <c r="B367" s="1549"/>
      <c r="C367" s="2921">
        <v>39</v>
      </c>
      <c r="D367" s="2922"/>
      <c r="E367" s="1542" t="s">
        <v>17</v>
      </c>
      <c r="F367" s="2794">
        <f>'2_入力シート【用途面積】'!E61</f>
        <v>0</v>
      </c>
      <c r="G367" s="2795"/>
      <c r="H367" s="2795"/>
      <c r="I367" s="2795"/>
      <c r="J367" s="1543" t="s">
        <v>28</v>
      </c>
      <c r="K367" s="2794" t="str">
        <f>IF('2_入力シート【用途面積】'!G61="","",'2_入力シート【用途面積】'!G61)</f>
        <v/>
      </c>
      <c r="L367" s="2795"/>
      <c r="M367" s="2795"/>
      <c r="N367" s="2795"/>
      <c r="O367" s="1543" t="s">
        <v>28</v>
      </c>
      <c r="P367" s="2794" t="str">
        <f>IF('2_入力シート【用途面積】'!I61="","",'2_入力シート【用途面積】'!I61)</f>
        <v/>
      </c>
      <c r="Q367" s="2795"/>
      <c r="R367" s="2795"/>
      <c r="S367" s="2795"/>
      <c r="T367" s="1543" t="s">
        <v>28</v>
      </c>
      <c r="U367" s="2794" t="str">
        <f>IF('2_入力シート【用途面積】'!K61="","",'2_入力シート【用途面積】'!K61)</f>
        <v/>
      </c>
      <c r="V367" s="2795"/>
      <c r="W367" s="2795"/>
      <c r="X367" s="2795"/>
      <c r="Y367" s="1543" t="s">
        <v>28</v>
      </c>
      <c r="Z367" s="2794" t="str">
        <f>IF('2_入力シート【用途面積】'!M61="","",'2_入力シート【用途面積】'!M61)</f>
        <v/>
      </c>
      <c r="AA367" s="2795"/>
      <c r="AB367" s="2795"/>
      <c r="AC367" s="2795"/>
      <c r="AD367" s="1543" t="s">
        <v>28</v>
      </c>
      <c r="AE367" s="2794" t="str">
        <f>IF('2_入力シート【用途面積】'!O61="","",'2_入力シート【用途面積】'!O61)</f>
        <v/>
      </c>
      <c r="AF367" s="2795"/>
      <c r="AG367" s="2795"/>
      <c r="AH367" s="2795"/>
      <c r="AI367" s="1543" t="s">
        <v>28</v>
      </c>
      <c r="AJ367" s="2794" t="str">
        <f>IF('2_入力シート【用途面積】'!Q61="","",'2_入力シート【用途面積】'!Q61)</f>
        <v/>
      </c>
      <c r="AK367" s="2795"/>
      <c r="AL367" s="2795"/>
      <c r="AM367" s="2795"/>
      <c r="AN367" s="1543" t="s">
        <v>28</v>
      </c>
      <c r="AO367" s="2794" t="str">
        <f>IF('2_入力シート【用途面積】'!S61="","",'2_入力シート【用途面積】'!S61)</f>
        <v/>
      </c>
      <c r="AP367" s="2795"/>
      <c r="AQ367" s="2795"/>
      <c r="AR367" s="2795"/>
      <c r="AS367" s="1543" t="s">
        <v>28</v>
      </c>
      <c r="AT367" s="1475"/>
      <c r="AU367" s="1485"/>
      <c r="AV367" s="1485"/>
    </row>
    <row r="368" spans="2:48" ht="13" customHeight="1">
      <c r="B368" s="1552"/>
      <c r="C368" s="2919">
        <v>40</v>
      </c>
      <c r="D368" s="2920"/>
      <c r="E368" s="1547" t="s">
        <v>17</v>
      </c>
      <c r="F368" s="2796">
        <f>'2_入力シート【用途面積】'!E62</f>
        <v>0</v>
      </c>
      <c r="G368" s="2797"/>
      <c r="H368" s="2797"/>
      <c r="I368" s="2797"/>
      <c r="J368" s="1544" t="s">
        <v>28</v>
      </c>
      <c r="K368" s="2796" t="str">
        <f>IF('2_入力シート【用途面積】'!G62="","",'2_入力シート【用途面積】'!G62)</f>
        <v/>
      </c>
      <c r="L368" s="2797"/>
      <c r="M368" s="2797"/>
      <c r="N368" s="2797"/>
      <c r="O368" s="1544" t="s">
        <v>28</v>
      </c>
      <c r="P368" s="2796" t="str">
        <f>IF('2_入力シート【用途面積】'!I62="","",'2_入力シート【用途面積】'!I62)</f>
        <v/>
      </c>
      <c r="Q368" s="2797"/>
      <c r="R368" s="2797"/>
      <c r="S368" s="2797"/>
      <c r="T368" s="1544" t="s">
        <v>28</v>
      </c>
      <c r="U368" s="2796" t="str">
        <f>IF('2_入力シート【用途面積】'!K62="","",'2_入力シート【用途面積】'!K62)</f>
        <v/>
      </c>
      <c r="V368" s="2797"/>
      <c r="W368" s="2797"/>
      <c r="X368" s="2797"/>
      <c r="Y368" s="1544" t="s">
        <v>28</v>
      </c>
      <c r="Z368" s="2796" t="str">
        <f>IF('2_入力シート【用途面積】'!M62="","",'2_入力シート【用途面積】'!M62)</f>
        <v/>
      </c>
      <c r="AA368" s="2797"/>
      <c r="AB368" s="2797"/>
      <c r="AC368" s="2797"/>
      <c r="AD368" s="1544" t="s">
        <v>28</v>
      </c>
      <c r="AE368" s="2796" t="str">
        <f>IF('2_入力シート【用途面積】'!O62="","",'2_入力シート【用途面積】'!O62)</f>
        <v/>
      </c>
      <c r="AF368" s="2797"/>
      <c r="AG368" s="2797"/>
      <c r="AH368" s="2797"/>
      <c r="AI368" s="1544" t="s">
        <v>28</v>
      </c>
      <c r="AJ368" s="2796" t="str">
        <f>IF('2_入力シート【用途面積】'!Q62="","",'2_入力シート【用途面積】'!Q62)</f>
        <v/>
      </c>
      <c r="AK368" s="2797"/>
      <c r="AL368" s="2797"/>
      <c r="AM368" s="2797"/>
      <c r="AN368" s="1544" t="s">
        <v>28</v>
      </c>
      <c r="AO368" s="2796" t="str">
        <f>IF('2_入力シート【用途面積】'!S62="","",'2_入力シート【用途面積】'!S62)</f>
        <v/>
      </c>
      <c r="AP368" s="2797"/>
      <c r="AQ368" s="2797"/>
      <c r="AR368" s="2797"/>
      <c r="AS368" s="1544" t="s">
        <v>28</v>
      </c>
      <c r="AT368" s="1475"/>
      <c r="AU368" s="1485"/>
      <c r="AV368" s="1485"/>
    </row>
    <row r="369" spans="2:48" ht="13" customHeight="1">
      <c r="B369" s="1548"/>
      <c r="C369" s="2921">
        <v>41</v>
      </c>
      <c r="D369" s="2922"/>
      <c r="E369" s="1545" t="s">
        <v>17</v>
      </c>
      <c r="F369" s="2798">
        <f>'2_入力シート【用途面積】'!E63</f>
        <v>0</v>
      </c>
      <c r="G369" s="2799"/>
      <c r="H369" s="2799"/>
      <c r="I369" s="2799"/>
      <c r="J369" s="1546" t="s">
        <v>28</v>
      </c>
      <c r="K369" s="2798" t="str">
        <f>IF('2_入力シート【用途面積】'!G63="","",'2_入力シート【用途面積】'!G63)</f>
        <v/>
      </c>
      <c r="L369" s="2799"/>
      <c r="M369" s="2799"/>
      <c r="N369" s="2799"/>
      <c r="O369" s="1546" t="s">
        <v>28</v>
      </c>
      <c r="P369" s="2798" t="str">
        <f>IF('2_入力シート【用途面積】'!I63="","",'2_入力シート【用途面積】'!I63)</f>
        <v/>
      </c>
      <c r="Q369" s="2799"/>
      <c r="R369" s="2799"/>
      <c r="S369" s="2799"/>
      <c r="T369" s="1546" t="s">
        <v>28</v>
      </c>
      <c r="U369" s="2798" t="str">
        <f>IF('2_入力シート【用途面積】'!K63="","",'2_入力シート【用途面積】'!K63)</f>
        <v/>
      </c>
      <c r="V369" s="2799"/>
      <c r="W369" s="2799"/>
      <c r="X369" s="2799"/>
      <c r="Y369" s="1546" t="s">
        <v>28</v>
      </c>
      <c r="Z369" s="2798" t="str">
        <f>IF('2_入力シート【用途面積】'!M63="","",'2_入力シート【用途面積】'!M63)</f>
        <v/>
      </c>
      <c r="AA369" s="2799"/>
      <c r="AB369" s="2799"/>
      <c r="AC369" s="2799"/>
      <c r="AD369" s="1546" t="s">
        <v>28</v>
      </c>
      <c r="AE369" s="2798" t="str">
        <f>IF('2_入力シート【用途面積】'!O63="","",'2_入力シート【用途面積】'!O63)</f>
        <v/>
      </c>
      <c r="AF369" s="2799"/>
      <c r="AG369" s="2799"/>
      <c r="AH369" s="2799"/>
      <c r="AI369" s="1546" t="s">
        <v>28</v>
      </c>
      <c r="AJ369" s="2798" t="str">
        <f>IF('2_入力シート【用途面積】'!Q63="","",'2_入力シート【用途面積】'!Q63)</f>
        <v/>
      </c>
      <c r="AK369" s="2799"/>
      <c r="AL369" s="2799"/>
      <c r="AM369" s="2799"/>
      <c r="AN369" s="1546" t="s">
        <v>28</v>
      </c>
      <c r="AO369" s="2798" t="str">
        <f>IF('2_入力シート【用途面積】'!S63="","",'2_入力シート【用途面積】'!S63)</f>
        <v/>
      </c>
      <c r="AP369" s="2799"/>
      <c r="AQ369" s="2799"/>
      <c r="AR369" s="2799"/>
      <c r="AS369" s="1546" t="s">
        <v>28</v>
      </c>
      <c r="AT369" s="1475"/>
      <c r="AU369" s="1485"/>
      <c r="AV369" s="1485"/>
    </row>
    <row r="370" spans="2:48" ht="13" customHeight="1">
      <c r="B370" s="1549"/>
      <c r="C370" s="2921">
        <v>42</v>
      </c>
      <c r="D370" s="2922"/>
      <c r="E370" s="1542" t="s">
        <v>17</v>
      </c>
      <c r="F370" s="2794">
        <f>'2_入力シート【用途面積】'!E64</f>
        <v>0</v>
      </c>
      <c r="G370" s="2795"/>
      <c r="H370" s="2795"/>
      <c r="I370" s="2795"/>
      <c r="J370" s="1543" t="s">
        <v>28</v>
      </c>
      <c r="K370" s="2794" t="str">
        <f>IF('2_入力シート【用途面積】'!G64="","",'2_入力シート【用途面積】'!G64)</f>
        <v/>
      </c>
      <c r="L370" s="2795"/>
      <c r="M370" s="2795"/>
      <c r="N370" s="2795"/>
      <c r="O370" s="1543" t="s">
        <v>28</v>
      </c>
      <c r="P370" s="2794" t="str">
        <f>IF('2_入力シート【用途面積】'!I64="","",'2_入力シート【用途面積】'!I64)</f>
        <v/>
      </c>
      <c r="Q370" s="2795"/>
      <c r="R370" s="2795"/>
      <c r="S370" s="2795"/>
      <c r="T370" s="1543" t="s">
        <v>28</v>
      </c>
      <c r="U370" s="2794" t="str">
        <f>IF('2_入力シート【用途面積】'!K64="","",'2_入力シート【用途面積】'!K64)</f>
        <v/>
      </c>
      <c r="V370" s="2795"/>
      <c r="W370" s="2795"/>
      <c r="X370" s="2795"/>
      <c r="Y370" s="1543" t="s">
        <v>28</v>
      </c>
      <c r="Z370" s="2794" t="str">
        <f>IF('2_入力シート【用途面積】'!M64="","",'2_入力シート【用途面積】'!M64)</f>
        <v/>
      </c>
      <c r="AA370" s="2795"/>
      <c r="AB370" s="2795"/>
      <c r="AC370" s="2795"/>
      <c r="AD370" s="1543" t="s">
        <v>28</v>
      </c>
      <c r="AE370" s="2794" t="str">
        <f>IF('2_入力シート【用途面積】'!O64="","",'2_入力シート【用途面積】'!O64)</f>
        <v/>
      </c>
      <c r="AF370" s="2795"/>
      <c r="AG370" s="2795"/>
      <c r="AH370" s="2795"/>
      <c r="AI370" s="1543" t="s">
        <v>28</v>
      </c>
      <c r="AJ370" s="2794" t="str">
        <f>IF('2_入力シート【用途面積】'!Q64="","",'2_入力シート【用途面積】'!Q64)</f>
        <v/>
      </c>
      <c r="AK370" s="2795"/>
      <c r="AL370" s="2795"/>
      <c r="AM370" s="2795"/>
      <c r="AN370" s="1543" t="s">
        <v>28</v>
      </c>
      <c r="AO370" s="2794" t="str">
        <f>IF('2_入力シート【用途面積】'!S64="","",'2_入力シート【用途面積】'!S64)</f>
        <v/>
      </c>
      <c r="AP370" s="2795"/>
      <c r="AQ370" s="2795"/>
      <c r="AR370" s="2795"/>
      <c r="AS370" s="1543" t="s">
        <v>28</v>
      </c>
      <c r="AT370" s="1470"/>
      <c r="AU370" s="1485"/>
      <c r="AV370" s="1485"/>
    </row>
    <row r="371" spans="2:48" ht="13" customHeight="1">
      <c r="B371" s="1549"/>
      <c r="C371" s="2921">
        <v>43</v>
      </c>
      <c r="D371" s="2922"/>
      <c r="E371" s="1542" t="s">
        <v>17</v>
      </c>
      <c r="F371" s="2794">
        <f>'2_入力シート【用途面積】'!E65</f>
        <v>0</v>
      </c>
      <c r="G371" s="2795"/>
      <c r="H371" s="2795"/>
      <c r="I371" s="2795"/>
      <c r="J371" s="1543" t="s">
        <v>28</v>
      </c>
      <c r="K371" s="2794" t="str">
        <f>IF('2_入力シート【用途面積】'!G65="","",'2_入力シート【用途面積】'!G65)</f>
        <v/>
      </c>
      <c r="L371" s="2795"/>
      <c r="M371" s="2795"/>
      <c r="N371" s="2795"/>
      <c r="O371" s="1543" t="s">
        <v>28</v>
      </c>
      <c r="P371" s="2794" t="str">
        <f>IF('2_入力シート【用途面積】'!I65="","",'2_入力シート【用途面積】'!I65)</f>
        <v/>
      </c>
      <c r="Q371" s="2795"/>
      <c r="R371" s="2795"/>
      <c r="S371" s="2795"/>
      <c r="T371" s="1543" t="s">
        <v>28</v>
      </c>
      <c r="U371" s="2794" t="str">
        <f>IF('2_入力シート【用途面積】'!K65="","",'2_入力シート【用途面積】'!K65)</f>
        <v/>
      </c>
      <c r="V371" s="2795"/>
      <c r="W371" s="2795"/>
      <c r="X371" s="2795"/>
      <c r="Y371" s="1543" t="s">
        <v>28</v>
      </c>
      <c r="Z371" s="2794" t="str">
        <f>IF('2_入力シート【用途面積】'!M65="","",'2_入力シート【用途面積】'!M65)</f>
        <v/>
      </c>
      <c r="AA371" s="2795"/>
      <c r="AB371" s="2795"/>
      <c r="AC371" s="2795"/>
      <c r="AD371" s="1543" t="s">
        <v>28</v>
      </c>
      <c r="AE371" s="2794" t="str">
        <f>IF('2_入力シート【用途面積】'!O65="","",'2_入力シート【用途面積】'!O65)</f>
        <v/>
      </c>
      <c r="AF371" s="2795"/>
      <c r="AG371" s="2795"/>
      <c r="AH371" s="2795"/>
      <c r="AI371" s="1543" t="s">
        <v>28</v>
      </c>
      <c r="AJ371" s="2794" t="str">
        <f>IF('2_入力シート【用途面積】'!Q65="","",'2_入力シート【用途面積】'!Q65)</f>
        <v/>
      </c>
      <c r="AK371" s="2795"/>
      <c r="AL371" s="2795"/>
      <c r="AM371" s="2795"/>
      <c r="AN371" s="1543" t="s">
        <v>28</v>
      </c>
      <c r="AO371" s="2794" t="str">
        <f>IF('2_入力シート【用途面積】'!S65="","",'2_入力シート【用途面積】'!S65)</f>
        <v/>
      </c>
      <c r="AP371" s="2795"/>
      <c r="AQ371" s="2795"/>
      <c r="AR371" s="2795"/>
      <c r="AS371" s="1543" t="s">
        <v>28</v>
      </c>
      <c r="AT371" s="1477"/>
      <c r="AU371" s="1485"/>
      <c r="AV371" s="1485"/>
    </row>
    <row r="372" spans="2:48" ht="13" customHeight="1">
      <c r="B372" s="1549"/>
      <c r="C372" s="2921">
        <v>44</v>
      </c>
      <c r="D372" s="2922"/>
      <c r="E372" s="1542" t="s">
        <v>17</v>
      </c>
      <c r="F372" s="2794">
        <f>'2_入力シート【用途面積】'!E66</f>
        <v>0</v>
      </c>
      <c r="G372" s="2795"/>
      <c r="H372" s="2795"/>
      <c r="I372" s="2795"/>
      <c r="J372" s="1543" t="s">
        <v>28</v>
      </c>
      <c r="K372" s="2794" t="str">
        <f>IF('2_入力シート【用途面積】'!G66="","",'2_入力シート【用途面積】'!G66)</f>
        <v/>
      </c>
      <c r="L372" s="2795"/>
      <c r="M372" s="2795"/>
      <c r="N372" s="2795"/>
      <c r="O372" s="1543" t="s">
        <v>28</v>
      </c>
      <c r="P372" s="2794" t="str">
        <f>IF('2_入力シート【用途面積】'!I66="","",'2_入力シート【用途面積】'!I66)</f>
        <v/>
      </c>
      <c r="Q372" s="2795"/>
      <c r="R372" s="2795"/>
      <c r="S372" s="2795"/>
      <c r="T372" s="1543" t="s">
        <v>28</v>
      </c>
      <c r="U372" s="2794" t="str">
        <f>IF('2_入力シート【用途面積】'!K66="","",'2_入力シート【用途面積】'!K66)</f>
        <v/>
      </c>
      <c r="V372" s="2795"/>
      <c r="W372" s="2795"/>
      <c r="X372" s="2795"/>
      <c r="Y372" s="1543" t="s">
        <v>28</v>
      </c>
      <c r="Z372" s="2794" t="str">
        <f>IF('2_入力シート【用途面積】'!M66="","",'2_入力シート【用途面積】'!M66)</f>
        <v/>
      </c>
      <c r="AA372" s="2795"/>
      <c r="AB372" s="2795"/>
      <c r="AC372" s="2795"/>
      <c r="AD372" s="1543" t="s">
        <v>28</v>
      </c>
      <c r="AE372" s="2794" t="str">
        <f>IF('2_入力シート【用途面積】'!O66="","",'2_入力シート【用途面積】'!O66)</f>
        <v/>
      </c>
      <c r="AF372" s="2795"/>
      <c r="AG372" s="2795"/>
      <c r="AH372" s="2795"/>
      <c r="AI372" s="1543" t="s">
        <v>28</v>
      </c>
      <c r="AJ372" s="2794" t="str">
        <f>IF('2_入力シート【用途面積】'!Q66="","",'2_入力シート【用途面積】'!Q66)</f>
        <v/>
      </c>
      <c r="AK372" s="2795"/>
      <c r="AL372" s="2795"/>
      <c r="AM372" s="2795"/>
      <c r="AN372" s="1543" t="s">
        <v>28</v>
      </c>
      <c r="AO372" s="2794" t="str">
        <f>IF('2_入力シート【用途面積】'!S66="","",'2_入力シート【用途面積】'!S66)</f>
        <v/>
      </c>
      <c r="AP372" s="2795"/>
      <c r="AQ372" s="2795"/>
      <c r="AR372" s="2795"/>
      <c r="AS372" s="1543" t="s">
        <v>28</v>
      </c>
      <c r="AT372" s="1475"/>
      <c r="AU372" s="1485"/>
      <c r="AV372" s="1485"/>
    </row>
    <row r="373" spans="2:48" ht="13" customHeight="1">
      <c r="B373" s="1552"/>
      <c r="C373" s="2919">
        <v>45</v>
      </c>
      <c r="D373" s="2920"/>
      <c r="E373" s="1547" t="s">
        <v>17</v>
      </c>
      <c r="F373" s="2796">
        <f>'2_入力シート【用途面積】'!E67</f>
        <v>0</v>
      </c>
      <c r="G373" s="2797"/>
      <c r="H373" s="2797"/>
      <c r="I373" s="2797"/>
      <c r="J373" s="1544" t="s">
        <v>28</v>
      </c>
      <c r="K373" s="2796" t="str">
        <f>IF('2_入力シート【用途面積】'!G67="","",'2_入力シート【用途面積】'!G67)</f>
        <v/>
      </c>
      <c r="L373" s="2797"/>
      <c r="M373" s="2797"/>
      <c r="N373" s="2797"/>
      <c r="O373" s="1544" t="s">
        <v>28</v>
      </c>
      <c r="P373" s="2796" t="str">
        <f>IF('2_入力シート【用途面積】'!I67="","",'2_入力シート【用途面積】'!I67)</f>
        <v/>
      </c>
      <c r="Q373" s="2797"/>
      <c r="R373" s="2797"/>
      <c r="S373" s="2797"/>
      <c r="T373" s="1544" t="s">
        <v>28</v>
      </c>
      <c r="U373" s="2796" t="str">
        <f>IF('2_入力シート【用途面積】'!K67="","",'2_入力シート【用途面積】'!K67)</f>
        <v/>
      </c>
      <c r="V373" s="2797"/>
      <c r="W373" s="2797"/>
      <c r="X373" s="2797"/>
      <c r="Y373" s="1544" t="s">
        <v>28</v>
      </c>
      <c r="Z373" s="2796" t="str">
        <f>IF('2_入力シート【用途面積】'!M67="","",'2_入力シート【用途面積】'!M67)</f>
        <v/>
      </c>
      <c r="AA373" s="2797"/>
      <c r="AB373" s="2797"/>
      <c r="AC373" s="2797"/>
      <c r="AD373" s="1544" t="s">
        <v>28</v>
      </c>
      <c r="AE373" s="2796" t="str">
        <f>IF('2_入力シート【用途面積】'!O67="","",'2_入力シート【用途面積】'!O67)</f>
        <v/>
      </c>
      <c r="AF373" s="2797"/>
      <c r="AG373" s="2797"/>
      <c r="AH373" s="2797"/>
      <c r="AI373" s="1544" t="s">
        <v>28</v>
      </c>
      <c r="AJ373" s="2796" t="str">
        <f>IF('2_入力シート【用途面積】'!Q67="","",'2_入力シート【用途面積】'!Q67)</f>
        <v/>
      </c>
      <c r="AK373" s="2797"/>
      <c r="AL373" s="2797"/>
      <c r="AM373" s="2797"/>
      <c r="AN373" s="1544" t="s">
        <v>28</v>
      </c>
      <c r="AO373" s="2796" t="str">
        <f>IF('2_入力シート【用途面積】'!S67="","",'2_入力シート【用途面積】'!S67)</f>
        <v/>
      </c>
      <c r="AP373" s="2797"/>
      <c r="AQ373" s="2797"/>
      <c r="AR373" s="2797"/>
      <c r="AS373" s="1544" t="s">
        <v>28</v>
      </c>
      <c r="AT373" s="1538"/>
      <c r="AU373" s="1485"/>
      <c r="AV373" s="1485"/>
    </row>
    <row r="374" spans="2:48" ht="13" customHeight="1">
      <c r="B374" s="1548"/>
      <c r="C374" s="2921">
        <v>46</v>
      </c>
      <c r="D374" s="2922"/>
      <c r="E374" s="1545" t="s">
        <v>17</v>
      </c>
      <c r="F374" s="2798">
        <f>'2_入力シート【用途面積】'!E68</f>
        <v>0</v>
      </c>
      <c r="G374" s="2799"/>
      <c r="H374" s="2799"/>
      <c r="I374" s="2799"/>
      <c r="J374" s="1546" t="s">
        <v>28</v>
      </c>
      <c r="K374" s="2798" t="str">
        <f>IF('2_入力シート【用途面積】'!G68="","",'2_入力シート【用途面積】'!G68)</f>
        <v/>
      </c>
      <c r="L374" s="2799"/>
      <c r="M374" s="2799"/>
      <c r="N374" s="2799"/>
      <c r="O374" s="1546" t="s">
        <v>28</v>
      </c>
      <c r="P374" s="2798" t="str">
        <f>IF('2_入力シート【用途面積】'!I68="","",'2_入力シート【用途面積】'!I68)</f>
        <v/>
      </c>
      <c r="Q374" s="2799"/>
      <c r="R374" s="2799"/>
      <c r="S374" s="2799"/>
      <c r="T374" s="1546" t="s">
        <v>28</v>
      </c>
      <c r="U374" s="2798" t="str">
        <f>IF('2_入力シート【用途面積】'!K68="","",'2_入力シート【用途面積】'!K68)</f>
        <v/>
      </c>
      <c r="V374" s="2799"/>
      <c r="W374" s="2799"/>
      <c r="X374" s="2799"/>
      <c r="Y374" s="1546" t="s">
        <v>28</v>
      </c>
      <c r="Z374" s="2798" t="str">
        <f>IF('2_入力シート【用途面積】'!M68="","",'2_入力シート【用途面積】'!M68)</f>
        <v/>
      </c>
      <c r="AA374" s="2799"/>
      <c r="AB374" s="2799"/>
      <c r="AC374" s="2799"/>
      <c r="AD374" s="1546" t="s">
        <v>28</v>
      </c>
      <c r="AE374" s="2798" t="str">
        <f>IF('2_入力シート【用途面積】'!O68="","",'2_入力シート【用途面積】'!O68)</f>
        <v/>
      </c>
      <c r="AF374" s="2799"/>
      <c r="AG374" s="2799"/>
      <c r="AH374" s="2799"/>
      <c r="AI374" s="1546" t="s">
        <v>28</v>
      </c>
      <c r="AJ374" s="2798" t="str">
        <f>IF('2_入力シート【用途面積】'!Q68="","",'2_入力シート【用途面積】'!Q68)</f>
        <v/>
      </c>
      <c r="AK374" s="2799"/>
      <c r="AL374" s="2799"/>
      <c r="AM374" s="2799"/>
      <c r="AN374" s="1546" t="s">
        <v>28</v>
      </c>
      <c r="AO374" s="2798" t="str">
        <f>IF('2_入力シート【用途面積】'!S68="","",'2_入力シート【用途面積】'!S68)</f>
        <v/>
      </c>
      <c r="AP374" s="2799"/>
      <c r="AQ374" s="2799"/>
      <c r="AR374" s="2799"/>
      <c r="AS374" s="1546" t="s">
        <v>28</v>
      </c>
      <c r="AT374" s="1470"/>
      <c r="AU374" s="1485"/>
      <c r="AV374" s="1485"/>
    </row>
    <row r="375" spans="2:48" ht="13" customHeight="1">
      <c r="B375" s="1549"/>
      <c r="C375" s="2921">
        <v>47</v>
      </c>
      <c r="D375" s="2922"/>
      <c r="E375" s="1542" t="s">
        <v>17</v>
      </c>
      <c r="F375" s="2794">
        <f>'2_入力シート【用途面積】'!E69</f>
        <v>0</v>
      </c>
      <c r="G375" s="2795"/>
      <c r="H375" s="2795"/>
      <c r="I375" s="2795"/>
      <c r="J375" s="1543" t="s">
        <v>28</v>
      </c>
      <c r="K375" s="2794" t="str">
        <f>IF('2_入力シート【用途面積】'!G69="","",'2_入力シート【用途面積】'!G69)</f>
        <v/>
      </c>
      <c r="L375" s="2795"/>
      <c r="M375" s="2795"/>
      <c r="N375" s="2795"/>
      <c r="O375" s="1543" t="s">
        <v>28</v>
      </c>
      <c r="P375" s="2794" t="str">
        <f>IF('2_入力シート【用途面積】'!I69="","",'2_入力シート【用途面積】'!I69)</f>
        <v/>
      </c>
      <c r="Q375" s="2795"/>
      <c r="R375" s="2795"/>
      <c r="S375" s="2795"/>
      <c r="T375" s="1543" t="s">
        <v>28</v>
      </c>
      <c r="U375" s="2794" t="str">
        <f>IF('2_入力シート【用途面積】'!K69="","",'2_入力シート【用途面積】'!K69)</f>
        <v/>
      </c>
      <c r="V375" s="2795"/>
      <c r="W375" s="2795"/>
      <c r="X375" s="2795"/>
      <c r="Y375" s="1543" t="s">
        <v>28</v>
      </c>
      <c r="Z375" s="2794" t="str">
        <f>IF('2_入力シート【用途面積】'!M69="","",'2_入力シート【用途面積】'!M69)</f>
        <v/>
      </c>
      <c r="AA375" s="2795"/>
      <c r="AB375" s="2795"/>
      <c r="AC375" s="2795"/>
      <c r="AD375" s="1543" t="s">
        <v>28</v>
      </c>
      <c r="AE375" s="2794" t="str">
        <f>IF('2_入力シート【用途面積】'!O69="","",'2_入力シート【用途面積】'!O69)</f>
        <v/>
      </c>
      <c r="AF375" s="2795"/>
      <c r="AG375" s="2795"/>
      <c r="AH375" s="2795"/>
      <c r="AI375" s="1543" t="s">
        <v>28</v>
      </c>
      <c r="AJ375" s="2794" t="str">
        <f>IF('2_入力シート【用途面積】'!Q69="","",'2_入力シート【用途面積】'!Q69)</f>
        <v/>
      </c>
      <c r="AK375" s="2795"/>
      <c r="AL375" s="2795"/>
      <c r="AM375" s="2795"/>
      <c r="AN375" s="1543" t="s">
        <v>28</v>
      </c>
      <c r="AO375" s="2794" t="str">
        <f>IF('2_入力シート【用途面積】'!S69="","",'2_入力シート【用途面積】'!S69)</f>
        <v/>
      </c>
      <c r="AP375" s="2795"/>
      <c r="AQ375" s="2795"/>
      <c r="AR375" s="2795"/>
      <c r="AS375" s="1543" t="s">
        <v>28</v>
      </c>
      <c r="AT375" s="1470"/>
      <c r="AU375" s="1485"/>
      <c r="AV375" s="1485"/>
    </row>
    <row r="376" spans="2:48" ht="13" customHeight="1">
      <c r="B376" s="1549"/>
      <c r="C376" s="2921">
        <v>48</v>
      </c>
      <c r="D376" s="2922"/>
      <c r="E376" s="1542" t="s">
        <v>17</v>
      </c>
      <c r="F376" s="2794">
        <f>'2_入力シート【用途面積】'!E70</f>
        <v>0</v>
      </c>
      <c r="G376" s="2795"/>
      <c r="H376" s="2795"/>
      <c r="I376" s="2795"/>
      <c r="J376" s="1543" t="s">
        <v>28</v>
      </c>
      <c r="K376" s="2794" t="str">
        <f>IF('2_入力シート【用途面積】'!G70="","",'2_入力シート【用途面積】'!G70)</f>
        <v/>
      </c>
      <c r="L376" s="2795"/>
      <c r="M376" s="2795"/>
      <c r="N376" s="2795"/>
      <c r="O376" s="1543" t="s">
        <v>28</v>
      </c>
      <c r="P376" s="2794" t="str">
        <f>IF('2_入力シート【用途面積】'!I70="","",'2_入力シート【用途面積】'!I70)</f>
        <v/>
      </c>
      <c r="Q376" s="2795"/>
      <c r="R376" s="2795"/>
      <c r="S376" s="2795"/>
      <c r="T376" s="1543" t="s">
        <v>28</v>
      </c>
      <c r="U376" s="2794" t="str">
        <f>IF('2_入力シート【用途面積】'!K70="","",'2_入力シート【用途面積】'!K70)</f>
        <v/>
      </c>
      <c r="V376" s="2795"/>
      <c r="W376" s="2795"/>
      <c r="X376" s="2795"/>
      <c r="Y376" s="1543" t="s">
        <v>28</v>
      </c>
      <c r="Z376" s="2794" t="str">
        <f>IF('2_入力シート【用途面積】'!M70="","",'2_入力シート【用途面積】'!M70)</f>
        <v/>
      </c>
      <c r="AA376" s="2795"/>
      <c r="AB376" s="2795"/>
      <c r="AC376" s="2795"/>
      <c r="AD376" s="1543" t="s">
        <v>28</v>
      </c>
      <c r="AE376" s="2794" t="str">
        <f>IF('2_入力シート【用途面積】'!O70="","",'2_入力シート【用途面積】'!O70)</f>
        <v/>
      </c>
      <c r="AF376" s="2795"/>
      <c r="AG376" s="2795"/>
      <c r="AH376" s="2795"/>
      <c r="AI376" s="1543" t="s">
        <v>28</v>
      </c>
      <c r="AJ376" s="2794" t="str">
        <f>IF('2_入力シート【用途面積】'!Q70="","",'2_入力シート【用途面積】'!Q70)</f>
        <v/>
      </c>
      <c r="AK376" s="2795"/>
      <c r="AL376" s="2795"/>
      <c r="AM376" s="2795"/>
      <c r="AN376" s="1543" t="s">
        <v>28</v>
      </c>
      <c r="AO376" s="2794" t="str">
        <f>IF('2_入力シート【用途面積】'!S70="","",'2_入力シート【用途面積】'!S70)</f>
        <v/>
      </c>
      <c r="AP376" s="2795"/>
      <c r="AQ376" s="2795"/>
      <c r="AR376" s="2795"/>
      <c r="AS376" s="1543" t="s">
        <v>28</v>
      </c>
      <c r="AT376" s="1470"/>
      <c r="AU376" s="1485"/>
      <c r="AV376" s="1485"/>
    </row>
    <row r="377" spans="2:48" ht="13" customHeight="1">
      <c r="B377" s="1549"/>
      <c r="C377" s="2921">
        <v>49</v>
      </c>
      <c r="D377" s="2922"/>
      <c r="E377" s="1542" t="s">
        <v>17</v>
      </c>
      <c r="F377" s="2794">
        <f>'2_入力シート【用途面積】'!E71</f>
        <v>0</v>
      </c>
      <c r="G377" s="2795"/>
      <c r="H377" s="2795"/>
      <c r="I377" s="2795"/>
      <c r="J377" s="1543" t="s">
        <v>28</v>
      </c>
      <c r="K377" s="2794" t="str">
        <f>IF('2_入力シート【用途面積】'!G71="","",'2_入力シート【用途面積】'!G71)</f>
        <v/>
      </c>
      <c r="L377" s="2795"/>
      <c r="M377" s="2795"/>
      <c r="N377" s="2795"/>
      <c r="O377" s="1543" t="s">
        <v>28</v>
      </c>
      <c r="P377" s="2794" t="str">
        <f>IF('2_入力シート【用途面積】'!I71="","",'2_入力シート【用途面積】'!I71)</f>
        <v/>
      </c>
      <c r="Q377" s="2795"/>
      <c r="R377" s="2795"/>
      <c r="S377" s="2795"/>
      <c r="T377" s="1543" t="s">
        <v>28</v>
      </c>
      <c r="U377" s="2794" t="str">
        <f>IF('2_入力シート【用途面積】'!K71="","",'2_入力シート【用途面積】'!K71)</f>
        <v/>
      </c>
      <c r="V377" s="2795"/>
      <c r="W377" s="2795"/>
      <c r="X377" s="2795"/>
      <c r="Y377" s="1543" t="s">
        <v>28</v>
      </c>
      <c r="Z377" s="2794" t="str">
        <f>IF('2_入力シート【用途面積】'!M71="","",'2_入力シート【用途面積】'!M71)</f>
        <v/>
      </c>
      <c r="AA377" s="2795"/>
      <c r="AB377" s="2795"/>
      <c r="AC377" s="2795"/>
      <c r="AD377" s="1543" t="s">
        <v>28</v>
      </c>
      <c r="AE377" s="2794" t="str">
        <f>IF('2_入力シート【用途面積】'!O71="","",'2_入力シート【用途面積】'!O71)</f>
        <v/>
      </c>
      <c r="AF377" s="2795"/>
      <c r="AG377" s="2795"/>
      <c r="AH377" s="2795"/>
      <c r="AI377" s="1543" t="s">
        <v>28</v>
      </c>
      <c r="AJ377" s="2794" t="str">
        <f>IF('2_入力シート【用途面積】'!Q71="","",'2_入力シート【用途面積】'!Q71)</f>
        <v/>
      </c>
      <c r="AK377" s="2795"/>
      <c r="AL377" s="2795"/>
      <c r="AM377" s="2795"/>
      <c r="AN377" s="1543" t="s">
        <v>28</v>
      </c>
      <c r="AO377" s="2794" t="str">
        <f>IF('2_入力シート【用途面積】'!S71="","",'2_入力シート【用途面積】'!S71)</f>
        <v/>
      </c>
      <c r="AP377" s="2795"/>
      <c r="AQ377" s="2795"/>
      <c r="AR377" s="2795"/>
      <c r="AS377" s="1543" t="s">
        <v>28</v>
      </c>
      <c r="AT377" s="1470"/>
      <c r="AU377" s="1485"/>
      <c r="AV377" s="1485"/>
    </row>
    <row r="378" spans="2:48" ht="13" customHeight="1">
      <c r="B378" s="1552"/>
      <c r="C378" s="2919">
        <v>50</v>
      </c>
      <c r="D378" s="2920">
        <v>50</v>
      </c>
      <c r="E378" s="1547" t="s">
        <v>17</v>
      </c>
      <c r="F378" s="2796">
        <f>'2_入力シート【用途面積】'!E72</f>
        <v>0</v>
      </c>
      <c r="G378" s="2797"/>
      <c r="H378" s="2797"/>
      <c r="I378" s="2797"/>
      <c r="J378" s="1544" t="s">
        <v>28</v>
      </c>
      <c r="K378" s="2796" t="str">
        <f>IF('2_入力シート【用途面積】'!G72="","",'2_入力シート【用途面積】'!G72)</f>
        <v/>
      </c>
      <c r="L378" s="2797"/>
      <c r="M378" s="2797"/>
      <c r="N378" s="2797"/>
      <c r="O378" s="1544" t="s">
        <v>28</v>
      </c>
      <c r="P378" s="2796" t="str">
        <f>IF('2_入力シート【用途面積】'!I72="","",'2_入力シート【用途面積】'!I72)</f>
        <v/>
      </c>
      <c r="Q378" s="2797"/>
      <c r="R378" s="2797"/>
      <c r="S378" s="2797"/>
      <c r="T378" s="1544" t="s">
        <v>28</v>
      </c>
      <c r="U378" s="2796" t="str">
        <f>IF('2_入力シート【用途面積】'!K72="","",'2_入力シート【用途面積】'!K72)</f>
        <v/>
      </c>
      <c r="V378" s="2797"/>
      <c r="W378" s="2797"/>
      <c r="X378" s="2797"/>
      <c r="Y378" s="1544" t="s">
        <v>28</v>
      </c>
      <c r="Z378" s="2796" t="str">
        <f>IF('2_入力シート【用途面積】'!M72="","",'2_入力シート【用途面積】'!M72)</f>
        <v/>
      </c>
      <c r="AA378" s="2797"/>
      <c r="AB378" s="2797"/>
      <c r="AC378" s="2797"/>
      <c r="AD378" s="1544" t="s">
        <v>28</v>
      </c>
      <c r="AE378" s="2796" t="str">
        <f>IF('2_入力シート【用途面積】'!O72="","",'2_入力シート【用途面積】'!O72)</f>
        <v/>
      </c>
      <c r="AF378" s="2797"/>
      <c r="AG378" s="2797"/>
      <c r="AH378" s="2797"/>
      <c r="AI378" s="1544" t="s">
        <v>28</v>
      </c>
      <c r="AJ378" s="2796" t="str">
        <f>IF('2_入力シート【用途面積】'!Q72="","",'2_入力シート【用途面積】'!Q72)</f>
        <v/>
      </c>
      <c r="AK378" s="2797"/>
      <c r="AL378" s="2797"/>
      <c r="AM378" s="2797"/>
      <c r="AN378" s="1544" t="s">
        <v>28</v>
      </c>
      <c r="AO378" s="2796" t="str">
        <f>IF('2_入力シート【用途面積】'!S72="","",'2_入力シート【用途面積】'!S72)</f>
        <v/>
      </c>
      <c r="AP378" s="2797"/>
      <c r="AQ378" s="2797"/>
      <c r="AR378" s="2797"/>
      <c r="AS378" s="1544" t="s">
        <v>28</v>
      </c>
      <c r="AT378" s="1470"/>
      <c r="AU378" s="1485"/>
      <c r="AV378" s="1485"/>
    </row>
    <row r="379" spans="2:48" ht="11.9" customHeight="1">
      <c r="B379" s="1470"/>
      <c r="AU379" s="1485"/>
      <c r="AV379" s="1485"/>
    </row>
    <row r="380" spans="2:48" ht="14.15" customHeight="1">
      <c r="B380" s="2788" t="s">
        <v>499</v>
      </c>
      <c r="C380" s="2788"/>
      <c r="D380" s="2788"/>
      <c r="E380" s="2788"/>
      <c r="F380" s="2788"/>
      <c r="G380" s="2788"/>
      <c r="H380" s="2788"/>
      <c r="I380" s="2788"/>
      <c r="J380" s="2788"/>
      <c r="K380" s="2788"/>
      <c r="L380" s="2788"/>
      <c r="M380" s="2788"/>
      <c r="N380" s="2788"/>
      <c r="O380" s="2788"/>
      <c r="P380" s="2788"/>
      <c r="Q380" s="2788"/>
      <c r="R380" s="2788"/>
      <c r="S380" s="2788"/>
      <c r="T380" s="2788"/>
      <c r="U380" s="2788"/>
      <c r="V380" s="2788"/>
      <c r="W380" s="2788"/>
      <c r="X380" s="2788"/>
      <c r="Y380" s="2788"/>
      <c r="Z380" s="2788"/>
      <c r="AA380" s="2788"/>
      <c r="AB380" s="2788"/>
      <c r="AC380" s="2788"/>
      <c r="AD380" s="2788"/>
      <c r="AE380" s="2788"/>
      <c r="AF380" s="2788"/>
      <c r="AG380" s="2788"/>
      <c r="AH380" s="2788"/>
      <c r="AI380" s="2788"/>
      <c r="AJ380" s="2788"/>
      <c r="AK380" s="2788"/>
      <c r="AL380" s="2788"/>
      <c r="AM380" s="2788"/>
      <c r="AN380" s="2788"/>
      <c r="AO380" s="2788"/>
      <c r="AP380" s="2788"/>
      <c r="AQ380" s="2788"/>
      <c r="AR380" s="2788"/>
      <c r="AS380" s="2788"/>
      <c r="AT380" s="2788"/>
      <c r="AU380" s="1485"/>
      <c r="AV380" s="1485"/>
    </row>
    <row r="381" spans="2:48" ht="14.15" customHeight="1">
      <c r="B381" s="1461" t="s">
        <v>500</v>
      </c>
      <c r="AG381" s="1499"/>
      <c r="AH381" s="1499"/>
      <c r="AU381" s="1485"/>
      <c r="AV381" s="1485"/>
    </row>
    <row r="382" spans="2:48" ht="4.5" customHeight="1"/>
    <row r="383" spans="2:48" ht="4.5" customHeight="1"/>
    <row r="384" spans="2:48" ht="14.15" customHeight="1">
      <c r="B384" s="1470" t="s">
        <v>501</v>
      </c>
    </row>
    <row r="385" spans="2:45" ht="13" customHeight="1">
      <c r="D385" s="1470" t="s">
        <v>502</v>
      </c>
      <c r="S385" s="2801" t="str">
        <f>'1_入力シート【基本情報】'!AB209</f>
        <v>令和</v>
      </c>
      <c r="T385" s="2801"/>
      <c r="U385" s="2827" t="str">
        <f>IF('1_入力シート【基本情報】'!AE209="","",'1_入力シート【基本情報】'!AE209)</f>
        <v/>
      </c>
      <c r="V385" s="2827"/>
      <c r="W385" s="1469" t="s">
        <v>12</v>
      </c>
      <c r="X385" s="2827" t="str">
        <f>IF('1_入力シート【基本情報】'!AJ209="","",'1_入力シート【基本情報】'!AJ209)</f>
        <v/>
      </c>
      <c r="Y385" s="2827"/>
      <c r="Z385" s="1469" t="s">
        <v>383</v>
      </c>
      <c r="AA385" s="2827" t="str">
        <f>IF('1_入力シート【基本情報】'!AO209="","",'1_入力シート【基本情報】'!AO209)</f>
        <v/>
      </c>
      <c r="AB385" s="2827"/>
      <c r="AC385" s="1488" t="s">
        <v>503</v>
      </c>
    </row>
    <row r="386" spans="2:45" ht="13" customHeight="1">
      <c r="D386" s="1470" t="s">
        <v>504</v>
      </c>
      <c r="O386" s="1486" t="str">
        <f>IF('1_入力シート【基本情報】'!DO211="レ","レ","")</f>
        <v/>
      </c>
      <c r="P386" s="1461" t="s">
        <v>505</v>
      </c>
      <c r="S386" s="2801" t="str">
        <f>IF('1_入力シート【基本情報】'!AB211="","",'1_入力シート【基本情報】'!AB211)</f>
        <v/>
      </c>
      <c r="T386" s="2801"/>
      <c r="U386" s="2826" t="str">
        <f>IF('1_入力シート【基本情報】'!AE211="","",'1_入力シート【基本情報】'!AE211)</f>
        <v/>
      </c>
      <c r="V386" s="2826"/>
      <c r="W386" s="1469" t="s">
        <v>12</v>
      </c>
      <c r="X386" s="2827" t="str">
        <f>IF('1_入力シート【基本情報】'!AJ211="","",'1_入力シート【基本情報】'!AJ211)</f>
        <v/>
      </c>
      <c r="Y386" s="2827"/>
      <c r="Z386" s="1469" t="s">
        <v>383</v>
      </c>
      <c r="AA386" s="2827" t="str">
        <f>IF('1_入力シート【基本情報】'!AO211="","",'1_入力シート【基本情報】'!AO211)</f>
        <v/>
      </c>
      <c r="AB386" s="2827"/>
      <c r="AC386" s="1461" t="s">
        <v>506</v>
      </c>
      <c r="AH386" s="1486" t="str">
        <f>IF('1_入力シート【基本情報】'!DP211="レ","レ","")</f>
        <v/>
      </c>
      <c r="AI386" s="1461" t="s">
        <v>297</v>
      </c>
      <c r="AL386" s="1533"/>
    </row>
    <row r="387" spans="2:45" ht="13" customHeight="1">
      <c r="D387" s="1470" t="s">
        <v>507</v>
      </c>
      <c r="O387" s="1486" t="str">
        <f>IF('1_入力シート【基本情報】'!DO213="レ","レ","")</f>
        <v/>
      </c>
      <c r="P387" s="1461" t="s">
        <v>505</v>
      </c>
      <c r="S387" s="2801" t="str">
        <f>IF('1_入力シート【基本情報】'!AB213="","",'1_入力シート【基本情報】'!AB213)</f>
        <v/>
      </c>
      <c r="T387" s="2801"/>
      <c r="U387" s="2826" t="str">
        <f>IF('1_入力シート【基本情報】'!AE213="","",'1_入力シート【基本情報】'!AE213)</f>
        <v/>
      </c>
      <c r="V387" s="2826"/>
      <c r="W387" s="1469" t="s">
        <v>12</v>
      </c>
      <c r="X387" s="2827" t="str">
        <f>IF('1_入力シート【基本情報】'!AJ213="","",'1_入力シート【基本情報】'!AJ213)</f>
        <v/>
      </c>
      <c r="Y387" s="2827"/>
      <c r="Z387" s="1469" t="s">
        <v>383</v>
      </c>
      <c r="AA387" s="2827" t="str">
        <f>IF('1_入力シート【基本情報】'!AO213="","",'1_入力シート【基本情報】'!AO213)</f>
        <v/>
      </c>
      <c r="AB387" s="2827"/>
      <c r="AC387" s="1461" t="s">
        <v>506</v>
      </c>
      <c r="AH387" s="1486" t="str">
        <f>IF('1_入力シート【基本情報】'!DP213="レ","レ","")</f>
        <v/>
      </c>
      <c r="AI387" s="1461" t="s">
        <v>297</v>
      </c>
    </row>
    <row r="388" spans="2:45" ht="13" customHeight="1">
      <c r="D388" s="1470" t="s">
        <v>508</v>
      </c>
      <c r="O388" s="1486" t="str">
        <f>IF('1_入力シート【基本情報】'!DO215="レ","レ","")</f>
        <v/>
      </c>
      <c r="P388" s="1461" t="s">
        <v>505</v>
      </c>
      <c r="S388" s="2801" t="str">
        <f>IF('1_入力シート【基本情報】'!AB215="","",'1_入力シート【基本情報】'!AB215)</f>
        <v/>
      </c>
      <c r="T388" s="2801"/>
      <c r="U388" s="2826" t="str">
        <f>IF('1_入力シート【基本情報】'!AE215="","",'1_入力シート【基本情報】'!AE215)</f>
        <v/>
      </c>
      <c r="V388" s="2826"/>
      <c r="W388" s="1469" t="s">
        <v>12</v>
      </c>
      <c r="X388" s="2827" t="str">
        <f>IF('1_入力シート【基本情報】'!AJ215="","",'1_入力シート【基本情報】'!AJ215)</f>
        <v/>
      </c>
      <c r="Y388" s="2827"/>
      <c r="Z388" s="1469" t="s">
        <v>383</v>
      </c>
      <c r="AA388" s="2827" t="str">
        <f>IF('1_入力シート【基本情報】'!AO215="","",'1_入力シート【基本情報】'!AO215)</f>
        <v/>
      </c>
      <c r="AB388" s="2827"/>
      <c r="AC388" s="1461" t="s">
        <v>506</v>
      </c>
      <c r="AH388" s="1486" t="str">
        <f>IF('1_入力シート【基本情報】'!DP215="レ","レ","")</f>
        <v/>
      </c>
      <c r="AI388" s="1461" t="s">
        <v>297</v>
      </c>
    </row>
    <row r="389" spans="2:45" ht="13" customHeight="1">
      <c r="D389" s="1470" t="s">
        <v>509</v>
      </c>
      <c r="O389" s="1486" t="str">
        <f>IF('1_入力シート【基本情報】'!DO217="レ","レ","")</f>
        <v/>
      </c>
      <c r="P389" s="1461" t="s">
        <v>505</v>
      </c>
      <c r="S389" s="2801" t="str">
        <f>IF('1_入力シート【基本情報】'!AB217="","",'1_入力シート【基本情報】'!AB217)</f>
        <v/>
      </c>
      <c r="T389" s="2801"/>
      <c r="U389" s="2826" t="str">
        <f>IF('1_入力シート【基本情報】'!AE217="","",'1_入力シート【基本情報】'!AE217)</f>
        <v/>
      </c>
      <c r="V389" s="2826"/>
      <c r="W389" s="1469" t="s">
        <v>12</v>
      </c>
      <c r="X389" s="2827" t="str">
        <f>IF('1_入力シート【基本情報】'!AJ217="","",'1_入力シート【基本情報】'!AJ217)</f>
        <v/>
      </c>
      <c r="Y389" s="2827"/>
      <c r="Z389" s="1469" t="s">
        <v>383</v>
      </c>
      <c r="AA389" s="2827" t="str">
        <f>IF('1_入力シート【基本情報】'!AO217="","",'1_入力シート【基本情報】'!AO217)</f>
        <v/>
      </c>
      <c r="AB389" s="2827"/>
      <c r="AC389" s="1461" t="s">
        <v>506</v>
      </c>
      <c r="AH389" s="1486" t="str">
        <f>IF('1_入力シート【基本情報】'!DP217="レ","レ","")</f>
        <v/>
      </c>
      <c r="AI389" s="1461" t="s">
        <v>297</v>
      </c>
    </row>
    <row r="390" spans="2:45" ht="12" hidden="1" customHeight="1">
      <c r="N390" s="1535"/>
      <c r="Y390" s="2779"/>
      <c r="Z390" s="2779"/>
      <c r="AA390" s="2779"/>
      <c r="AB390" s="2779"/>
      <c r="AD390" s="2779"/>
      <c r="AE390" s="2779"/>
      <c r="AF390" s="2779"/>
      <c r="AG390" s="2779"/>
    </row>
    <row r="391" spans="2:45" ht="12" hidden="1" customHeight="1">
      <c r="N391" s="1535"/>
      <c r="Y391" s="2779"/>
      <c r="Z391" s="2779"/>
      <c r="AA391" s="2779"/>
      <c r="AB391" s="2779"/>
      <c r="AD391" s="2779"/>
      <c r="AE391" s="2779"/>
      <c r="AF391" s="2779"/>
      <c r="AG391" s="2779"/>
    </row>
    <row r="392" spans="2:45" ht="12" hidden="1" customHeight="1">
      <c r="N392" s="1535"/>
      <c r="Y392" s="2779"/>
      <c r="Z392" s="2779"/>
      <c r="AA392" s="2779"/>
      <c r="AB392" s="2779"/>
      <c r="AD392" s="2779"/>
      <c r="AE392" s="2779"/>
      <c r="AF392" s="2779"/>
      <c r="AG392" s="2779"/>
    </row>
    <row r="393" spans="2:45" ht="4.5" customHeight="1"/>
    <row r="394" spans="2:45" ht="4.5" customHeight="1"/>
    <row r="395" spans="2:45" ht="14.15" customHeight="1">
      <c r="B395" s="1470" t="s">
        <v>510</v>
      </c>
      <c r="N395" s="1553"/>
      <c r="O395" s="1553"/>
      <c r="P395" s="1553"/>
      <c r="Q395" s="1553"/>
      <c r="R395" s="1553"/>
      <c r="S395" s="1553"/>
      <c r="T395" s="1553"/>
      <c r="U395" s="1553"/>
      <c r="V395" s="1553"/>
      <c r="Y395" s="2800"/>
      <c r="Z395" s="2800"/>
      <c r="AA395" s="2800"/>
      <c r="AB395" s="2800"/>
      <c r="AC395" s="2800"/>
      <c r="AD395" s="2800"/>
      <c r="AE395" s="2800"/>
      <c r="AF395" s="2800"/>
      <c r="AG395" s="2800"/>
    </row>
    <row r="396" spans="2:45" ht="14.15" customHeight="1">
      <c r="B396" s="1470"/>
      <c r="C396" s="1470" t="s">
        <v>511</v>
      </c>
    </row>
    <row r="397" spans="2:45" ht="14.15" customHeight="1">
      <c r="B397" s="1470"/>
      <c r="C397" s="1470"/>
      <c r="D397" s="1470" t="s">
        <v>432</v>
      </c>
      <c r="O397" s="1486" t="str">
        <f>IF('1_入力シート【基本情報】'!DP304="レ","レ",IF('1_入力シート【基本情報】'!DO304="レ","レ",""))</f>
        <v/>
      </c>
      <c r="P397" s="1461" t="s">
        <v>914</v>
      </c>
      <c r="Y397" s="1486" t="str">
        <f>'1_入力シート【基本情報】'!DP304</f>
        <v/>
      </c>
      <c r="Z397" s="1461" t="s">
        <v>434</v>
      </c>
      <c r="AH397" s="1486" t="str">
        <f>IF(OR('1_入力シート【基本情報】'!DN304="レ",'1_入力シート【基本情報】'!DM304="レ"),"レ","")</f>
        <v/>
      </c>
      <c r="AI397" s="1461" t="s">
        <v>435</v>
      </c>
    </row>
    <row r="398" spans="2:45" ht="14.15" customHeight="1">
      <c r="B398" s="1470"/>
      <c r="D398" s="1470" t="s">
        <v>436</v>
      </c>
      <c r="N398" s="2800" t="s">
        <v>1370</v>
      </c>
      <c r="O398" s="2800"/>
      <c r="P398" s="2800"/>
      <c r="Q398" s="2800"/>
      <c r="R398" s="2800"/>
      <c r="S398" s="2800"/>
      <c r="T398" s="2800"/>
      <c r="U398" s="2800"/>
      <c r="V398" s="2800"/>
      <c r="W398" s="1484"/>
      <c r="X398" s="1484"/>
      <c r="Y398" s="1484"/>
      <c r="Z398" s="1484"/>
      <c r="AA398" s="1484"/>
      <c r="AB398" s="1484"/>
      <c r="AC398" s="1484"/>
      <c r="AD398" s="1484"/>
      <c r="AE398" s="1484"/>
      <c r="AF398" s="1484"/>
      <c r="AG398" s="1484"/>
      <c r="AH398" s="1484"/>
      <c r="AI398" s="1484"/>
      <c r="AJ398" s="1484"/>
      <c r="AK398" s="1484"/>
      <c r="AL398" s="1484"/>
      <c r="AM398" s="1484"/>
      <c r="AN398" s="1484"/>
      <c r="AO398" s="1484"/>
      <c r="AP398" s="1484"/>
      <c r="AQ398" s="1484"/>
      <c r="AR398" s="1484"/>
      <c r="AS398" s="1484"/>
    </row>
    <row r="399" spans="2:45" ht="14.15" customHeight="1">
      <c r="B399" s="1470"/>
      <c r="D399" s="1470" t="s">
        <v>512</v>
      </c>
      <c r="O399" s="1486" t="str">
        <f>IF(OR('1_入力シート【基本情報】'!EB304="レ",'1_入力シート【基本情報】'!EG304="レ"),"レ","")</f>
        <v/>
      </c>
      <c r="P399" s="1461" t="s">
        <v>438</v>
      </c>
      <c r="R399" s="2801" t="str">
        <f>IF(AND(T399="31",W399&lt;5),"平成","令和")</f>
        <v>令和</v>
      </c>
      <c r="S399" s="2801"/>
      <c r="T399" s="2827" t="str">
        <f>IF('1_入力シート【基本情報】'!ED304&lt;&gt;"",'1_入力シート【基本情報】'!ED304,IF('1_入力シート【基本情報】'!EI304&lt;&gt;"",'1_入力シート【基本情報】'!EI304,""))</f>
        <v/>
      </c>
      <c r="U399" s="2827"/>
      <c r="V399" s="1490" t="s">
        <v>12</v>
      </c>
      <c r="W399" s="2827" t="str">
        <f>IF('1_入力シート【基本情報】'!EE304&lt;&gt;"",'1_入力シート【基本情報】'!EE304,IF('1_入力シート【基本情報】'!EJ304&lt;&gt;"",'1_入力シート【基本情報】'!EJ304,""))</f>
        <v/>
      </c>
      <c r="X399" s="2827"/>
      <c r="Y399" s="1461" t="s">
        <v>439</v>
      </c>
      <c r="AH399" s="1486" t="str">
        <f>IF(AND(O399&lt;&gt;"レ",(OR('1_入力シート【基本情報】'!EF304="レ",'1_入力シート【基本情報】'!EK304="レ"))),"レ","")</f>
        <v/>
      </c>
      <c r="AI399" s="1461" t="s">
        <v>440</v>
      </c>
      <c r="AM399" s="1461" t="str">
        <f>IF('1_入力シート【基本情報】'!ES304="改善済","（改善済）","")&amp;IF('1_入力シート【基本情報】'!ES304="一部改善済","（一部改善済）","")</f>
        <v/>
      </c>
    </row>
    <row r="400" spans="2:45" ht="14.15" customHeight="1">
      <c r="B400" s="1470"/>
      <c r="C400" s="1470" t="s">
        <v>513</v>
      </c>
    </row>
    <row r="401" spans="2:45" ht="14.15" customHeight="1">
      <c r="B401" s="1470"/>
      <c r="C401" s="1470"/>
      <c r="D401" s="1470" t="s">
        <v>514</v>
      </c>
      <c r="O401" s="1486" t="str">
        <f>IF('1_入力シート【基本情報】'!DP322="レ","レ",IF('1_入力シート【基本情報】'!DO322="レ","レ",""))</f>
        <v/>
      </c>
      <c r="P401" s="1461" t="s">
        <v>914</v>
      </c>
      <c r="Y401" s="1486" t="str">
        <f>'1_入力シート【基本情報】'!DP322</f>
        <v/>
      </c>
      <c r="Z401" s="1461" t="s">
        <v>434</v>
      </c>
      <c r="AH401" s="1486" t="str">
        <f>IF(OR('1_入力シート【基本情報】'!DN322="レ",'1_入力シート【基本情報】'!DM322="レ"),"レ","")</f>
        <v/>
      </c>
      <c r="AI401" s="1461" t="s">
        <v>435</v>
      </c>
    </row>
    <row r="402" spans="2:45" ht="14.15" customHeight="1">
      <c r="B402" s="1470"/>
      <c r="D402" s="1470" t="s">
        <v>515</v>
      </c>
      <c r="N402" s="2800" t="s">
        <v>1370</v>
      </c>
      <c r="O402" s="2800"/>
      <c r="P402" s="2800"/>
      <c r="Q402" s="2800"/>
      <c r="R402" s="2800"/>
      <c r="S402" s="2800"/>
      <c r="T402" s="2800"/>
      <c r="U402" s="2800"/>
      <c r="V402" s="2800"/>
      <c r="W402" s="1484"/>
      <c r="X402" s="1484"/>
      <c r="Y402" s="1484"/>
      <c r="Z402" s="1484"/>
      <c r="AA402" s="1484"/>
      <c r="AB402" s="1484"/>
      <c r="AC402" s="1484"/>
      <c r="AD402" s="1484"/>
      <c r="AE402" s="1484"/>
      <c r="AF402" s="1484"/>
      <c r="AG402" s="1484"/>
      <c r="AH402" s="1484"/>
      <c r="AI402" s="1484"/>
      <c r="AJ402" s="1484"/>
      <c r="AK402" s="1484"/>
      <c r="AL402" s="1484"/>
      <c r="AM402" s="1484"/>
      <c r="AN402" s="1484"/>
      <c r="AO402" s="1484"/>
      <c r="AP402" s="1484"/>
      <c r="AQ402" s="1484"/>
      <c r="AR402" s="1484"/>
      <c r="AS402" s="1484"/>
    </row>
    <row r="403" spans="2:45" ht="14.15" customHeight="1">
      <c r="B403" s="1470"/>
      <c r="D403" s="1470" t="s">
        <v>512</v>
      </c>
      <c r="O403" s="1486" t="str">
        <f>IF(OR('1_入力シート【基本情報】'!EB322="レ",'1_入力シート【基本情報】'!EG322="レ"),"レ","")</f>
        <v/>
      </c>
      <c r="P403" s="1461" t="s">
        <v>438</v>
      </c>
      <c r="R403" s="2801" t="str">
        <f>IF(AND(T403="31",W403&lt;5),"平成","令和")</f>
        <v>令和</v>
      </c>
      <c r="S403" s="2801"/>
      <c r="T403" s="2827" t="str">
        <f>IF('1_入力シート【基本情報】'!ED322&lt;&gt;"",'1_入力シート【基本情報】'!ED322,IF('1_入力シート【基本情報】'!EI322&lt;&gt;"",'1_入力シート【基本情報】'!EI322,""))</f>
        <v/>
      </c>
      <c r="U403" s="2827"/>
      <c r="V403" s="1490" t="s">
        <v>12</v>
      </c>
      <c r="W403" s="2827" t="str">
        <f>IF('1_入力シート【基本情報】'!EE322&lt;&gt;"",'1_入力シート【基本情報】'!EE322,IF('1_入力シート【基本情報】'!EJ322&lt;&gt;"",'1_入力シート【基本情報】'!EJ322,""))</f>
        <v/>
      </c>
      <c r="X403" s="2827"/>
      <c r="Y403" s="1461" t="s">
        <v>439</v>
      </c>
      <c r="AH403" s="1486" t="str">
        <f>IF(AND(O403&lt;&gt;"レ",(OR('1_入力シート【基本情報】'!EF322="レ",'1_入力シート【基本情報】'!EK322="レ"))),"レ","")</f>
        <v/>
      </c>
      <c r="AI403" s="1461" t="s">
        <v>440</v>
      </c>
      <c r="AM403" s="1461" t="str">
        <f>IF('1_入力シート【基本情報】'!ES322="改善済","（改善済）","")&amp;IF('1_入力シート【基本情報】'!ES322="一部改善済","（一部改善済）","")</f>
        <v/>
      </c>
    </row>
    <row r="404" spans="2:45" ht="14.15" customHeight="1">
      <c r="B404" s="1470"/>
      <c r="C404" s="1470" t="s">
        <v>516</v>
      </c>
    </row>
    <row r="405" spans="2:45" ht="14.15" customHeight="1">
      <c r="B405" s="1470"/>
      <c r="C405" s="1470"/>
      <c r="D405" s="1470" t="s">
        <v>514</v>
      </c>
      <c r="O405" s="1486" t="str">
        <f>IF('1_入力シート【基本情報】'!DP349="レ","レ",IF('1_入力シート【基本情報】'!DO349="レ","レ",""))</f>
        <v/>
      </c>
      <c r="P405" s="1461" t="s">
        <v>914</v>
      </c>
      <c r="Y405" s="1486" t="str">
        <f>'1_入力シート【基本情報】'!DP349</f>
        <v/>
      </c>
      <c r="Z405" s="1461" t="s">
        <v>434</v>
      </c>
      <c r="AH405" s="1486" t="str">
        <f>IF(OR('1_入力シート【基本情報】'!DN349="レ",'1_入力シート【基本情報】'!DM349="レ"),"レ","")</f>
        <v/>
      </c>
      <c r="AI405" s="1461" t="s">
        <v>435</v>
      </c>
    </row>
    <row r="406" spans="2:45" ht="14.15" customHeight="1">
      <c r="B406" s="1470"/>
      <c r="D406" s="1470" t="s">
        <v>515</v>
      </c>
      <c r="N406" s="2800" t="s">
        <v>1370</v>
      </c>
      <c r="O406" s="2800"/>
      <c r="P406" s="2800"/>
      <c r="Q406" s="2800"/>
      <c r="R406" s="2800"/>
      <c r="S406" s="2800"/>
      <c r="T406" s="2800"/>
      <c r="U406" s="2800"/>
      <c r="V406" s="2800"/>
      <c r="W406" s="1484"/>
      <c r="X406" s="1484"/>
      <c r="Y406" s="1484"/>
      <c r="Z406" s="1484"/>
      <c r="AA406" s="1484"/>
      <c r="AB406" s="1484"/>
      <c r="AC406" s="1484"/>
      <c r="AD406" s="1484"/>
      <c r="AE406" s="1484"/>
      <c r="AF406" s="1484"/>
      <c r="AG406" s="1484"/>
      <c r="AH406" s="1484"/>
      <c r="AI406" s="1484"/>
      <c r="AJ406" s="1484"/>
      <c r="AK406" s="1484"/>
      <c r="AL406" s="1484"/>
      <c r="AM406" s="1484"/>
      <c r="AN406" s="1484"/>
      <c r="AO406" s="1484"/>
      <c r="AP406" s="1484"/>
      <c r="AQ406" s="1484"/>
      <c r="AR406" s="1484"/>
      <c r="AS406" s="1484"/>
    </row>
    <row r="407" spans="2:45" ht="14.15" customHeight="1">
      <c r="B407" s="1470"/>
      <c r="D407" s="1470" t="s">
        <v>512</v>
      </c>
      <c r="O407" s="1486" t="str">
        <f>IF(OR('1_入力シート【基本情報】'!EB349="レ",'1_入力シート【基本情報】'!EG349="レ"),"レ","")</f>
        <v/>
      </c>
      <c r="P407" s="1461" t="s">
        <v>438</v>
      </c>
      <c r="R407" s="2801" t="str">
        <f>IF(AND(T407="31",W407&lt;5),"平成","令和")</f>
        <v>令和</v>
      </c>
      <c r="S407" s="2801"/>
      <c r="T407" s="2827" t="str">
        <f>IF('1_入力シート【基本情報】'!ED349&lt;&gt;"",'1_入力シート【基本情報】'!ED349,IF('1_入力シート【基本情報】'!EI349&lt;&gt;"",'1_入力シート【基本情報】'!EI349,""))</f>
        <v/>
      </c>
      <c r="U407" s="2827"/>
      <c r="V407" s="1490" t="s">
        <v>12</v>
      </c>
      <c r="W407" s="2827" t="str">
        <f>IF('1_入力シート【基本情報】'!EE349&lt;&gt;"",'1_入力シート【基本情報】'!EE349,IF('1_入力シート【基本情報】'!EJ349&lt;&gt;"",'1_入力シート【基本情報】'!EJ349,""))</f>
        <v/>
      </c>
      <c r="X407" s="2827"/>
      <c r="Y407" s="1461" t="s">
        <v>439</v>
      </c>
      <c r="AH407" s="1486" t="str">
        <f>IF(AND(O407&lt;&gt;"レ",(OR('1_入力シート【基本情報】'!EF349="レ",'1_入力シート【基本情報】'!EK349="レ"))),"レ","")</f>
        <v/>
      </c>
      <c r="AI407" s="1461" t="s">
        <v>440</v>
      </c>
      <c r="AM407" s="1461" t="str">
        <f>IF('1_入力シート【基本情報】'!ES349="改善済","（改善済）","")&amp;IF('1_入力シート【基本情報】'!ES349="一部改善済","（一部改善済）","")</f>
        <v/>
      </c>
    </row>
    <row r="408" spans="2:45" ht="14.15" customHeight="1">
      <c r="B408" s="1470"/>
      <c r="C408" s="1470" t="s">
        <v>517</v>
      </c>
    </row>
    <row r="409" spans="2:45" ht="14.15" customHeight="1">
      <c r="B409" s="1470"/>
      <c r="C409" s="1470"/>
      <c r="D409" s="1470" t="s">
        <v>514</v>
      </c>
      <c r="O409" s="1486" t="str">
        <f>IF('1_入力シート【基本情報】'!DP531="レ","レ",IF('1_入力シート【基本情報】'!DO531="レ","レ",""))</f>
        <v/>
      </c>
      <c r="P409" s="1461" t="s">
        <v>914</v>
      </c>
      <c r="Y409" s="1486" t="str">
        <f>'1_入力シート【基本情報】'!DP531</f>
        <v/>
      </c>
      <c r="Z409" s="1461" t="s">
        <v>434</v>
      </c>
      <c r="AH409" s="1486" t="str">
        <f>IF(OR('1_入力シート【基本情報】'!DN531="レ",'1_入力シート【基本情報】'!DM531="レ"),"レ","")</f>
        <v/>
      </c>
      <c r="AI409" s="1461" t="s">
        <v>435</v>
      </c>
    </row>
    <row r="410" spans="2:45" ht="14.15" customHeight="1">
      <c r="B410" s="1470"/>
      <c r="D410" s="1470" t="s">
        <v>515</v>
      </c>
      <c r="N410" s="2800" t="s">
        <v>1370</v>
      </c>
      <c r="O410" s="2800"/>
      <c r="P410" s="2800"/>
      <c r="Q410" s="2800"/>
      <c r="R410" s="2800"/>
      <c r="S410" s="2800"/>
      <c r="T410" s="2800"/>
      <c r="U410" s="2800"/>
      <c r="V410" s="2800"/>
      <c r="W410" s="1484"/>
      <c r="X410" s="1484"/>
      <c r="Y410" s="1484"/>
      <c r="Z410" s="1484"/>
      <c r="AA410" s="1484"/>
      <c r="AB410" s="1484"/>
      <c r="AC410" s="1484"/>
      <c r="AD410" s="1484"/>
      <c r="AE410" s="1484"/>
      <c r="AF410" s="1484"/>
      <c r="AG410" s="1484"/>
      <c r="AH410" s="1484"/>
      <c r="AI410" s="1484"/>
      <c r="AJ410" s="1484"/>
      <c r="AK410" s="1484"/>
      <c r="AL410" s="1484"/>
      <c r="AM410" s="1484"/>
      <c r="AN410" s="1484"/>
      <c r="AO410" s="1484"/>
      <c r="AP410" s="1484"/>
      <c r="AQ410" s="1484"/>
      <c r="AR410" s="1484"/>
      <c r="AS410" s="1484"/>
    </row>
    <row r="411" spans="2:45" ht="14.15" customHeight="1">
      <c r="B411" s="1470"/>
      <c r="D411" s="1470" t="s">
        <v>512</v>
      </c>
      <c r="O411" s="1486" t="str">
        <f>IF(OR('1_入力シート【基本情報】'!EB531="レ",'1_入力シート【基本情報】'!EG531="レ"),"レ","")</f>
        <v/>
      </c>
      <c r="P411" s="1461" t="s">
        <v>438</v>
      </c>
      <c r="R411" s="2801" t="str">
        <f>IF(AND(T411="31",W411&lt;5),"平成","令和")</f>
        <v>令和</v>
      </c>
      <c r="S411" s="2801"/>
      <c r="T411" s="2827" t="str">
        <f>IF('1_入力シート【基本情報】'!ED531&lt;&gt;"",'1_入力シート【基本情報】'!ED531,IF('1_入力シート【基本情報】'!EI531&lt;&gt;"",'1_入力シート【基本情報】'!EI531,""))</f>
        <v/>
      </c>
      <c r="U411" s="2827"/>
      <c r="V411" s="1490" t="s">
        <v>12</v>
      </c>
      <c r="W411" s="2827" t="str">
        <f>IF('1_入力シート【基本情報】'!EE531&lt;&gt;"",'1_入力シート【基本情報】'!EE531,IF('1_入力シート【基本情報】'!EJ531&lt;&gt;"",'1_入力シート【基本情報】'!EJ531,""))</f>
        <v/>
      </c>
      <c r="X411" s="2827"/>
      <c r="Y411" s="1461" t="s">
        <v>439</v>
      </c>
      <c r="AH411" s="1486" t="str">
        <f>IF(AND(O411&lt;&gt;"レ",(OR('1_入力シート【基本情報】'!EF531="レ",'1_入力シート【基本情報】'!EK531="レ"))),"レ","")</f>
        <v/>
      </c>
      <c r="AI411" s="1461" t="s">
        <v>440</v>
      </c>
      <c r="AM411" s="1461" t="str">
        <f>IF('1_入力シート【基本情報】'!ES531="改善済","（改善済）","")&amp;IF('1_入力シート【基本情報】'!ES531="一部改善済","（一部改善済）","")</f>
        <v/>
      </c>
    </row>
    <row r="412" spans="2:45" ht="14.15" customHeight="1">
      <c r="B412" s="1470"/>
      <c r="C412" s="1470" t="s">
        <v>518</v>
      </c>
    </row>
    <row r="413" spans="2:45" ht="14.15" customHeight="1">
      <c r="B413" s="1470"/>
      <c r="C413" s="1470"/>
      <c r="D413" s="1470" t="s">
        <v>514</v>
      </c>
      <c r="O413" s="1486" t="str">
        <f>IF('1_入力シート【基本情報】'!DP423="レ","レ",IF('1_入力シート【基本情報】'!DO423="レ","レ",""))</f>
        <v/>
      </c>
      <c r="P413" s="1461" t="s">
        <v>914</v>
      </c>
      <c r="Y413" s="1486" t="str">
        <f>'1_入力シート【基本情報】'!DP423</f>
        <v/>
      </c>
      <c r="Z413" s="1461" t="s">
        <v>434</v>
      </c>
      <c r="AH413" s="1486" t="str">
        <f>IF(OR('1_入力シート【基本情報】'!DN423="レ",'1_入力シート【基本情報】'!DM423="レ"),"レ","")</f>
        <v/>
      </c>
      <c r="AI413" s="1461" t="s">
        <v>435</v>
      </c>
    </row>
    <row r="414" spans="2:45" ht="14.15" customHeight="1">
      <c r="B414" s="1470"/>
      <c r="D414" s="1470" t="s">
        <v>515</v>
      </c>
      <c r="N414" s="2800" t="s">
        <v>1370</v>
      </c>
      <c r="O414" s="2800"/>
      <c r="P414" s="2800"/>
      <c r="Q414" s="2800"/>
      <c r="R414" s="2800"/>
      <c r="S414" s="2800"/>
      <c r="T414" s="2800"/>
      <c r="U414" s="2800"/>
      <c r="V414" s="2800"/>
      <c r="W414" s="1484"/>
      <c r="X414" s="1484"/>
      <c r="Y414" s="1484"/>
      <c r="Z414" s="1484"/>
      <c r="AA414" s="1484"/>
      <c r="AB414" s="1484"/>
      <c r="AC414" s="1484"/>
      <c r="AD414" s="1484"/>
      <c r="AE414" s="1484"/>
      <c r="AF414" s="1484"/>
      <c r="AG414" s="1484"/>
      <c r="AH414" s="1484"/>
      <c r="AI414" s="1484"/>
      <c r="AJ414" s="1484"/>
      <c r="AK414" s="1484"/>
      <c r="AL414" s="1484"/>
      <c r="AM414" s="1484"/>
      <c r="AN414" s="1484"/>
      <c r="AO414" s="1484"/>
      <c r="AP414" s="1484"/>
      <c r="AQ414" s="1484"/>
      <c r="AR414" s="1484"/>
      <c r="AS414" s="1484"/>
    </row>
    <row r="415" spans="2:45" ht="14.15" customHeight="1">
      <c r="B415" s="1470"/>
      <c r="D415" s="1470" t="s">
        <v>512</v>
      </c>
      <c r="O415" s="1486" t="str">
        <f>IF(OR('1_入力シート【基本情報】'!EB423="レ",'1_入力シート【基本情報】'!EG423="レ"),"レ","")</f>
        <v/>
      </c>
      <c r="P415" s="1461" t="s">
        <v>438</v>
      </c>
      <c r="R415" s="2801" t="str">
        <f>IF(AND(T415="31",W415&lt;5),"平成","令和")</f>
        <v>令和</v>
      </c>
      <c r="S415" s="2801"/>
      <c r="T415" s="2827" t="str">
        <f>IF('1_入力シート【基本情報】'!ED423&lt;&gt;"",'1_入力シート【基本情報】'!ED423,IF('1_入力シート【基本情報】'!EI423&lt;&gt;"",'1_入力シート【基本情報】'!EI423,""))</f>
        <v/>
      </c>
      <c r="U415" s="2827"/>
      <c r="V415" s="1490" t="s">
        <v>12</v>
      </c>
      <c r="W415" s="2827" t="str">
        <f>IF('1_入力シート【基本情報】'!EE423&lt;&gt;"",'1_入力シート【基本情報】'!EE423,IF('1_入力シート【基本情報】'!EJ423&lt;&gt;"",'1_入力シート【基本情報】'!EJ423,""))</f>
        <v/>
      </c>
      <c r="X415" s="2827"/>
      <c r="Y415" s="1461" t="s">
        <v>439</v>
      </c>
      <c r="AH415" s="1486" t="str">
        <f>IF(AND(O415&lt;&gt;"レ",(OR('1_入力シート【基本情報】'!EF423="レ",'1_入力シート【基本情報】'!EK423="レ"))),"レ","")</f>
        <v/>
      </c>
      <c r="AI415" s="1461" t="s">
        <v>440</v>
      </c>
      <c r="AM415" s="1461" t="str">
        <f>IF('1_入力シート【基本情報】'!ES423="改善済","（改善済）","")&amp;IF('1_入力シート【基本情報】'!ES423="一部改善済","（一部改善済）","")</f>
        <v/>
      </c>
    </row>
    <row r="416" spans="2:45" ht="14.15" customHeight="1">
      <c r="B416" s="1470"/>
      <c r="C416" s="1470" t="s">
        <v>519</v>
      </c>
    </row>
    <row r="417" spans="2:45" ht="14.15" customHeight="1">
      <c r="B417" s="1470"/>
      <c r="C417" s="1470"/>
      <c r="D417" s="1470" t="s">
        <v>514</v>
      </c>
      <c r="O417" s="1486" t="str">
        <f>IF('1_入力シート【基本情報】'!DP472="レ","レ",IF('1_入力シート【基本情報】'!DO472="レ","レ",""))</f>
        <v/>
      </c>
      <c r="P417" s="1461" t="s">
        <v>914</v>
      </c>
      <c r="Y417" s="1486" t="str">
        <f>'1_入力シート【基本情報】'!DP472</f>
        <v/>
      </c>
      <c r="Z417" s="1461" t="s">
        <v>434</v>
      </c>
      <c r="AH417" s="1486" t="str">
        <f>IF(OR('1_入力シート【基本情報】'!DN472="レ",'1_入力シート【基本情報】'!DM472="レ"),"レ","")</f>
        <v/>
      </c>
      <c r="AI417" s="1461" t="s">
        <v>435</v>
      </c>
    </row>
    <row r="418" spans="2:45" ht="14.15" customHeight="1">
      <c r="B418" s="1470"/>
      <c r="D418" s="1470" t="s">
        <v>515</v>
      </c>
      <c r="N418" s="2800" t="s">
        <v>1370</v>
      </c>
      <c r="O418" s="2800"/>
      <c r="P418" s="2800"/>
      <c r="Q418" s="2800"/>
      <c r="R418" s="2800"/>
      <c r="S418" s="2800"/>
      <c r="T418" s="2800"/>
      <c r="U418" s="2800"/>
      <c r="V418" s="2800"/>
      <c r="W418" s="1484"/>
      <c r="X418" s="1484"/>
      <c r="Y418" s="1484"/>
      <c r="Z418" s="1484"/>
      <c r="AA418" s="1484"/>
      <c r="AB418" s="1484"/>
      <c r="AC418" s="1484"/>
      <c r="AD418" s="1484"/>
      <c r="AE418" s="1484"/>
      <c r="AF418" s="1484"/>
      <c r="AG418" s="1484"/>
      <c r="AH418" s="1484"/>
      <c r="AI418" s="1484"/>
      <c r="AJ418" s="1484"/>
      <c r="AK418" s="1484"/>
      <c r="AL418" s="1484"/>
      <c r="AM418" s="1484"/>
      <c r="AN418" s="1484"/>
      <c r="AO418" s="1484"/>
      <c r="AP418" s="1484"/>
      <c r="AQ418" s="1484"/>
      <c r="AR418" s="1484"/>
      <c r="AS418" s="1484"/>
    </row>
    <row r="419" spans="2:45" ht="14.15" customHeight="1">
      <c r="B419" s="1470"/>
      <c r="D419" s="1470" t="s">
        <v>512</v>
      </c>
      <c r="O419" s="1486" t="str">
        <f>IF(OR('1_入力シート【基本情報】'!EB472="レ",'1_入力シート【基本情報】'!EG472="レ"),"レ","")</f>
        <v/>
      </c>
      <c r="P419" s="1461" t="s">
        <v>438</v>
      </c>
      <c r="R419" s="2801" t="str">
        <f>IF(AND(T419="31",W419&lt;5),"平成","令和")</f>
        <v>令和</v>
      </c>
      <c r="S419" s="2801"/>
      <c r="T419" s="2827" t="str">
        <f>IF('1_入力シート【基本情報】'!ED472&lt;&gt;"",'1_入力シート【基本情報】'!ED472,IF('1_入力シート【基本情報】'!EI472&lt;&gt;"",'1_入力シート【基本情報】'!EI472,""))</f>
        <v/>
      </c>
      <c r="U419" s="2827"/>
      <c r="V419" s="1490" t="s">
        <v>12</v>
      </c>
      <c r="W419" s="2827" t="str">
        <f>IF('1_入力シート【基本情報】'!EE472&lt;&gt;"",'1_入力シート【基本情報】'!EE472,IF('1_入力シート【基本情報】'!EJ472&lt;&gt;"",'1_入力シート【基本情報】'!EJ472,""))</f>
        <v/>
      </c>
      <c r="X419" s="2827"/>
      <c r="Y419" s="1461" t="s">
        <v>439</v>
      </c>
      <c r="AH419" s="1486" t="str">
        <f>IF(AND(O419&lt;&gt;"レ",(OR('1_入力シート【基本情報】'!EF472="レ",'1_入力シート【基本情報】'!EK472="レ"))),"レ","")</f>
        <v/>
      </c>
      <c r="AI419" s="1461" t="s">
        <v>440</v>
      </c>
      <c r="AM419" s="1461" t="str">
        <f>IF('1_入力シート【基本情報】'!ES472="改善済","（改善済）","")&amp;IF('1_入力シート【基本情報】'!ES472="一部改善済","（一部改善済）","")</f>
        <v/>
      </c>
    </row>
    <row r="420" spans="2:45" ht="12" hidden="1" customHeight="1">
      <c r="N420" s="1535"/>
    </row>
    <row r="421" spans="2:45" ht="12" hidden="1" customHeight="1">
      <c r="N421" s="1535"/>
    </row>
    <row r="422" spans="2:45" ht="12" hidden="1" customHeight="1">
      <c r="N422" s="1535"/>
    </row>
    <row r="423" spans="2:45" ht="4.5" customHeight="1"/>
    <row r="424" spans="2:45" ht="4.5" customHeight="1"/>
    <row r="425" spans="2:45" ht="14.15" customHeight="1">
      <c r="B425" s="1470" t="s">
        <v>520</v>
      </c>
      <c r="AB425" s="1470" t="s">
        <v>521</v>
      </c>
    </row>
    <row r="426" spans="2:45" ht="13" customHeight="1">
      <c r="D426" s="1470" t="s">
        <v>522</v>
      </c>
      <c r="Q426" s="1486" t="str">
        <f>IF('1_入力シート【基本情報】'!DS224&gt;0,"レ","")</f>
        <v/>
      </c>
      <c r="R426" s="1536" t="s">
        <v>523</v>
      </c>
      <c r="AB426" s="1533" t="s">
        <v>25</v>
      </c>
      <c r="AC426" s="2867" t="str">
        <f>IF('1_入力シート【基本情報】'!DS224=1,'1_入力シート【基本情報】'!AB224,'1_入力シート【基本情報】'!DR225)</f>
        <v/>
      </c>
      <c r="AD426" s="2867"/>
      <c r="AE426" s="2867"/>
      <c r="AF426" s="2867"/>
      <c r="AG426" s="2867"/>
      <c r="AH426" s="2867"/>
      <c r="AI426" s="2867"/>
      <c r="AJ426" s="2867"/>
      <c r="AK426" s="2867"/>
      <c r="AL426" s="2867"/>
      <c r="AM426" s="2867"/>
      <c r="AN426" s="2867"/>
      <c r="AO426" s="2867"/>
      <c r="AP426" s="2867"/>
      <c r="AQ426" s="2868"/>
      <c r="AR426" s="2868"/>
      <c r="AS426" s="1536" t="s">
        <v>22</v>
      </c>
    </row>
    <row r="427" spans="2:45" ht="13" customHeight="1">
      <c r="Q427" s="1486" t="str">
        <f>IF('1_入力シート【基本情報】'!DP224="レ","レ","")</f>
        <v/>
      </c>
      <c r="R427" s="1536" t="s">
        <v>524</v>
      </c>
      <c r="AB427" s="1533" t="s">
        <v>25</v>
      </c>
      <c r="AC427" s="2867" t="str">
        <f>IF('1_入力シート【基本情報】'!DP224="レ",'1_入力シート【基本情報】'!AB224,"")</f>
        <v/>
      </c>
      <c r="AD427" s="2867"/>
      <c r="AE427" s="2867"/>
      <c r="AF427" s="2867"/>
      <c r="AG427" s="2867"/>
      <c r="AH427" s="2867"/>
      <c r="AI427" s="2867"/>
      <c r="AJ427" s="2867"/>
      <c r="AK427" s="2867"/>
      <c r="AL427" s="2867"/>
      <c r="AM427" s="2867"/>
      <c r="AN427" s="2867"/>
      <c r="AO427" s="2867"/>
      <c r="AP427" s="2867"/>
      <c r="AQ427" s="2869"/>
      <c r="AR427" s="2869"/>
      <c r="AS427" s="1536" t="s">
        <v>22</v>
      </c>
    </row>
    <row r="428" spans="2:45" ht="13" customHeight="1">
      <c r="Q428" s="1486" t="str">
        <f>IF('1_入力シート【基本情報】'!DQ224="レ","レ","")</f>
        <v/>
      </c>
      <c r="R428" s="1536" t="s">
        <v>525</v>
      </c>
    </row>
    <row r="429" spans="2:45" ht="13" customHeight="1">
      <c r="D429" s="1470" t="s">
        <v>1373</v>
      </c>
      <c r="Q429" s="1486" t="str">
        <f>IF('1_入力シート【基本情報】'!DO226="レ","レ","")</f>
        <v/>
      </c>
      <c r="R429" s="1461" t="s">
        <v>438</v>
      </c>
      <c r="T429" s="2801" t="str">
        <f>IF(AND(V429="31",Y429&lt;5),"平成","令和")</f>
        <v>令和</v>
      </c>
      <c r="U429" s="2801"/>
      <c r="V429" s="2827" t="str">
        <f>IF('1_入力シート【基本情報】'!AE226="","",'1_入力シート【基本情報】'!AE226)</f>
        <v/>
      </c>
      <c r="W429" s="2827"/>
      <c r="X429" s="1490" t="s">
        <v>12</v>
      </c>
      <c r="Y429" s="2827" t="str">
        <f>IF('1_入力シート【基本情報】'!AJ226="","",'1_入力シート【基本情報】'!AJ226)</f>
        <v/>
      </c>
      <c r="Z429" s="2827"/>
      <c r="AA429" s="1461" t="s">
        <v>439</v>
      </c>
      <c r="AJ429" s="1486" t="str">
        <f>IF('1_入力シート【基本情報】'!DP226="レ","レ","")</f>
        <v/>
      </c>
      <c r="AK429" s="1461" t="s">
        <v>440</v>
      </c>
    </row>
    <row r="430" spans="2:45" ht="13" hidden="1" customHeight="1">
      <c r="B430" s="1470" t="s">
        <v>466</v>
      </c>
    </row>
    <row r="431" spans="2:45" ht="13" hidden="1" customHeight="1">
      <c r="C431" s="1470" t="s">
        <v>425</v>
      </c>
      <c r="J431" s="1487" t="s">
        <v>467</v>
      </c>
      <c r="K431" s="2779"/>
      <c r="L431" s="2779"/>
      <c r="M431" s="1461" t="s">
        <v>468</v>
      </c>
      <c r="V431" s="1487"/>
      <c r="W431" s="1468" t="s">
        <v>25</v>
      </c>
      <c r="X431" s="2779"/>
      <c r="Y431" s="2779"/>
      <c r="Z431" s="2779"/>
      <c r="AA431" s="2779"/>
      <c r="AB431" s="2779"/>
      <c r="AC431" s="2779"/>
      <c r="AG431" s="1487" t="s">
        <v>469</v>
      </c>
      <c r="AH431" s="2861"/>
      <c r="AI431" s="2861"/>
      <c r="AJ431" s="2861"/>
      <c r="AK431" s="2861"/>
      <c r="AL431" s="2861"/>
      <c r="AM431" s="2861"/>
      <c r="AN431" s="2861"/>
      <c r="AO431" s="1461" t="s">
        <v>4</v>
      </c>
    </row>
    <row r="432" spans="2:45" ht="13" hidden="1" customHeight="1">
      <c r="C432" s="1470"/>
      <c r="J432" s="1461" t="s">
        <v>470</v>
      </c>
      <c r="AG432" s="1487" t="s">
        <v>3</v>
      </c>
      <c r="AH432" s="2861"/>
      <c r="AI432" s="2861"/>
      <c r="AJ432" s="2861"/>
      <c r="AK432" s="2861"/>
      <c r="AL432" s="2861"/>
      <c r="AM432" s="2861"/>
      <c r="AN432" s="2861"/>
      <c r="AO432" s="1461" t="s">
        <v>4</v>
      </c>
    </row>
    <row r="433" spans="2:46" ht="12" hidden="1" customHeight="1">
      <c r="C433" s="1470"/>
      <c r="J433" s="1461" t="s">
        <v>471</v>
      </c>
      <c r="AG433" s="1487" t="s">
        <v>3</v>
      </c>
      <c r="AH433" s="2861"/>
      <c r="AI433" s="2861"/>
      <c r="AJ433" s="2861"/>
      <c r="AK433" s="2861"/>
      <c r="AL433" s="2861"/>
      <c r="AM433" s="2861"/>
      <c r="AN433" s="2861"/>
      <c r="AO433" s="1461" t="s">
        <v>4</v>
      </c>
    </row>
    <row r="434" spans="2:46" ht="13" hidden="1" customHeight="1">
      <c r="C434" s="1470" t="s">
        <v>416</v>
      </c>
      <c r="N434" s="2829"/>
      <c r="O434" s="2829"/>
      <c r="P434" s="2829"/>
      <c r="Q434" s="2829"/>
      <c r="R434" s="2829"/>
      <c r="S434" s="2829"/>
      <c r="T434" s="2829"/>
      <c r="U434" s="2829"/>
      <c r="V434" s="2829"/>
      <c r="W434" s="2829"/>
      <c r="X434" s="2829"/>
      <c r="Y434" s="2829"/>
      <c r="Z434" s="2829"/>
      <c r="AA434" s="2829"/>
      <c r="AB434" s="2829"/>
      <c r="AC434" s="2829"/>
      <c r="AD434" s="2829"/>
      <c r="AE434" s="2829"/>
      <c r="AF434" s="2829"/>
      <c r="AG434" s="2829"/>
      <c r="AH434" s="2829"/>
      <c r="AI434" s="2829"/>
      <c r="AJ434" s="2829"/>
      <c r="AK434" s="2829"/>
      <c r="AL434" s="2829"/>
      <c r="AM434" s="2829"/>
      <c r="AN434" s="2829"/>
      <c r="AO434" s="2829"/>
      <c r="AP434" s="2829"/>
      <c r="AQ434" s="2829"/>
      <c r="AR434" s="2829"/>
      <c r="AS434" s="2829"/>
      <c r="AT434" s="2829"/>
    </row>
    <row r="435" spans="2:46" ht="13" hidden="1" customHeight="1">
      <c r="C435" s="1470" t="s">
        <v>472</v>
      </c>
      <c r="N435" s="2862"/>
      <c r="O435" s="2862"/>
      <c r="P435" s="2862"/>
      <c r="Q435" s="2862"/>
      <c r="R435" s="2862"/>
      <c r="S435" s="2862"/>
      <c r="T435" s="2862"/>
      <c r="U435" s="2862"/>
      <c r="V435" s="2862"/>
      <c r="W435" s="2862"/>
      <c r="X435" s="2862"/>
      <c r="Y435" s="2862"/>
      <c r="Z435" s="2862"/>
      <c r="AA435" s="2862"/>
      <c r="AB435" s="2862"/>
      <c r="AC435" s="2862"/>
      <c r="AD435" s="2862"/>
      <c r="AE435" s="2862"/>
      <c r="AF435" s="2862"/>
      <c r="AG435" s="2862"/>
      <c r="AH435" s="2862"/>
      <c r="AI435" s="2862"/>
      <c r="AJ435" s="2862"/>
      <c r="AK435" s="2862"/>
      <c r="AL435" s="2862"/>
      <c r="AM435" s="2862"/>
      <c r="AN435" s="2862"/>
      <c r="AO435" s="2862"/>
      <c r="AP435" s="2862"/>
      <c r="AQ435" s="2862"/>
      <c r="AR435" s="2862"/>
      <c r="AS435" s="2862"/>
      <c r="AT435" s="2862"/>
    </row>
    <row r="436" spans="2:46" ht="13" hidden="1" customHeight="1">
      <c r="C436" s="1470" t="s">
        <v>473</v>
      </c>
      <c r="N436" s="2829"/>
      <c r="O436" s="2829"/>
      <c r="P436" s="2829"/>
      <c r="Q436" s="2829"/>
      <c r="R436" s="2829"/>
      <c r="S436" s="2829"/>
      <c r="T436" s="2829"/>
      <c r="U436" s="2829"/>
      <c r="V436" s="2829"/>
      <c r="W436" s="2829"/>
      <c r="X436" s="2829"/>
      <c r="Y436" s="2829"/>
      <c r="Z436" s="2829"/>
      <c r="AA436" s="2829"/>
      <c r="AB436" s="2829"/>
      <c r="AC436" s="2829"/>
      <c r="AD436" s="2829"/>
      <c r="AE436" s="2829"/>
      <c r="AF436" s="2829"/>
      <c r="AG436" s="2829"/>
      <c r="AH436" s="2829"/>
      <c r="AI436" s="2829"/>
      <c r="AJ436" s="2829"/>
      <c r="AK436" s="2829"/>
      <c r="AL436" s="2829"/>
      <c r="AM436" s="2829"/>
      <c r="AN436" s="2829"/>
      <c r="AO436" s="2829"/>
      <c r="AP436" s="2829"/>
      <c r="AQ436" s="2829"/>
      <c r="AR436" s="2829"/>
      <c r="AS436" s="2829"/>
      <c r="AT436" s="2829"/>
    </row>
    <row r="437" spans="2:46" ht="13" hidden="1" customHeight="1">
      <c r="C437" s="1470"/>
      <c r="J437" s="1487" t="s">
        <v>467</v>
      </c>
      <c r="K437" s="2779"/>
      <c r="L437" s="2779"/>
      <c r="M437" s="1461" t="s">
        <v>474</v>
      </c>
      <c r="V437" s="1487"/>
      <c r="W437" s="1468" t="s">
        <v>25</v>
      </c>
      <c r="X437" s="2779"/>
      <c r="Y437" s="2779"/>
      <c r="Z437" s="2779"/>
      <c r="AA437" s="2779"/>
      <c r="AG437" s="1487" t="s">
        <v>475</v>
      </c>
      <c r="AH437" s="2861"/>
      <c r="AI437" s="2861"/>
      <c r="AJ437" s="2861"/>
      <c r="AK437" s="2861"/>
      <c r="AL437" s="2861"/>
      <c r="AM437" s="2861"/>
      <c r="AN437" s="2861"/>
      <c r="AO437" s="1461" t="s">
        <v>4</v>
      </c>
    </row>
    <row r="438" spans="2:46" ht="13" hidden="1" customHeight="1">
      <c r="C438" s="1470" t="s">
        <v>476</v>
      </c>
      <c r="N438" s="2864"/>
      <c r="O438" s="2864"/>
      <c r="P438" s="2864"/>
      <c r="Q438" s="2864"/>
      <c r="R438" s="2864"/>
      <c r="S438" s="2864"/>
      <c r="T438" s="2864"/>
      <c r="U438" s="2864"/>
      <c r="V438" s="2864"/>
      <c r="W438" s="1476"/>
      <c r="X438" s="1476"/>
      <c r="Y438" s="1476"/>
      <c r="Z438" s="1476"/>
      <c r="AA438" s="1476"/>
      <c r="AB438" s="1476"/>
      <c r="AC438" s="1476"/>
      <c r="AD438" s="1476"/>
      <c r="AE438" s="1476"/>
      <c r="AF438" s="1476"/>
      <c r="AG438" s="1476"/>
      <c r="AH438" s="1476"/>
      <c r="AI438" s="1476"/>
      <c r="AJ438" s="1476"/>
      <c r="AK438" s="1476"/>
      <c r="AL438" s="1476"/>
      <c r="AM438" s="1476"/>
      <c r="AN438" s="1476"/>
      <c r="AO438" s="1476"/>
      <c r="AP438" s="1477"/>
    </row>
    <row r="439" spans="2:46" ht="13" hidden="1" customHeight="1">
      <c r="C439" s="1470" t="s">
        <v>477</v>
      </c>
      <c r="N439" s="2829"/>
      <c r="O439" s="2829"/>
      <c r="P439" s="2829"/>
      <c r="Q439" s="2829"/>
      <c r="R439" s="2829"/>
      <c r="S439" s="2829"/>
      <c r="T439" s="2829"/>
      <c r="U439" s="2829"/>
      <c r="V439" s="2829"/>
      <c r="W439" s="2829"/>
      <c r="X439" s="2829"/>
      <c r="Y439" s="2829"/>
      <c r="Z439" s="2829"/>
      <c r="AA439" s="2829"/>
      <c r="AB439" s="2829"/>
      <c r="AC439" s="2829"/>
      <c r="AD439" s="2829"/>
      <c r="AE439" s="2829"/>
      <c r="AF439" s="2829"/>
      <c r="AG439" s="2829"/>
      <c r="AH439" s="2829"/>
      <c r="AI439" s="2829"/>
      <c r="AJ439" s="2829"/>
      <c r="AK439" s="2829"/>
      <c r="AL439" s="2829"/>
      <c r="AM439" s="2829"/>
      <c r="AN439" s="2829"/>
      <c r="AO439" s="2829"/>
      <c r="AP439" s="2829"/>
      <c r="AQ439" s="2829"/>
      <c r="AR439" s="2829"/>
      <c r="AS439" s="2829"/>
      <c r="AT439" s="2829"/>
    </row>
    <row r="440" spans="2:46" ht="13" hidden="1" customHeight="1">
      <c r="C440" s="1470" t="s">
        <v>423</v>
      </c>
      <c r="N440" s="2862"/>
      <c r="O440" s="2862"/>
      <c r="P440" s="2862"/>
      <c r="Q440" s="2862"/>
      <c r="R440" s="2862"/>
      <c r="S440" s="2862"/>
      <c r="T440" s="2862"/>
      <c r="U440" s="2862"/>
      <c r="V440" s="2862"/>
      <c r="W440" s="2862"/>
      <c r="X440" s="2862"/>
      <c r="Y440" s="2862"/>
      <c r="Z440" s="2862"/>
      <c r="AA440" s="2862"/>
      <c r="AB440" s="2862"/>
      <c r="AC440" s="2862"/>
      <c r="AD440" s="2862"/>
      <c r="AE440" s="1537"/>
      <c r="AF440" s="1537"/>
      <c r="AG440" s="1537"/>
      <c r="AH440" s="1537"/>
      <c r="AI440" s="1537"/>
      <c r="AJ440" s="1537"/>
      <c r="AK440" s="1537"/>
      <c r="AL440" s="1537"/>
      <c r="AM440" s="1537"/>
      <c r="AN440" s="1537"/>
      <c r="AO440" s="1537"/>
      <c r="AP440" s="1538"/>
    </row>
    <row r="441" spans="2:46" ht="4.5" customHeight="1"/>
    <row r="442" spans="2:46" ht="4.5" customHeight="1"/>
    <row r="443" spans="2:46" ht="12" hidden="1" customHeight="1"/>
    <row r="444" spans="2:46" ht="12" hidden="1" customHeight="1"/>
    <row r="445" spans="2:46" ht="12" hidden="1" customHeight="1"/>
    <row r="446" spans="2:46" ht="14.15" customHeight="1">
      <c r="B446" s="1470" t="s">
        <v>526</v>
      </c>
    </row>
    <row r="447" spans="2:46" ht="13" customHeight="1">
      <c r="D447" s="1470" t="s">
        <v>527</v>
      </c>
      <c r="R447" s="1486" t="str">
        <f>IF('1_入力シート【基本情報】'!DO233="レ","レ","")</f>
        <v/>
      </c>
      <c r="S447" s="1536" t="s">
        <v>528</v>
      </c>
      <c r="U447" s="1486" t="str">
        <f>IF('1_入力シート【基本情報】'!DP233="レ","レ","")</f>
        <v/>
      </c>
      <c r="V447" s="1536" t="s">
        <v>529</v>
      </c>
      <c r="X447" s="2801" t="str">
        <f>IF('1_入力シート【基本情報】'!AB233="","",'1_入力シート【基本情報】'!AB233)</f>
        <v/>
      </c>
      <c r="Y447" s="2801"/>
      <c r="Z447" s="2801" t="str">
        <f>IF('1_入力シート【基本情報】'!AE233="","",'1_入力シート【基本情報】'!AE233)</f>
        <v/>
      </c>
      <c r="AA447" s="2801"/>
      <c r="AB447" s="1469" t="s">
        <v>12</v>
      </c>
      <c r="AC447" s="2801" t="str">
        <f>IF('1_入力シート【基本情報】'!AJ233="","",'1_入力シート【基本情報】'!AJ233)</f>
        <v/>
      </c>
      <c r="AD447" s="2801"/>
      <c r="AE447" s="1488" t="s">
        <v>2772</v>
      </c>
      <c r="AI447" s="1461" t="s">
        <v>2773</v>
      </c>
      <c r="AK447" s="1461" t="s">
        <v>2774</v>
      </c>
      <c r="AM447" s="1486" t="str">
        <f>IF('1_入力シート【基本情報】'!DQ233="レ","レ","")</f>
        <v/>
      </c>
      <c r="AN447" s="1536" t="s">
        <v>331</v>
      </c>
    </row>
    <row r="448" spans="2:46" ht="13" customHeight="1">
      <c r="C448" s="1470"/>
      <c r="D448" s="1470" t="s">
        <v>530</v>
      </c>
      <c r="R448" s="1486" t="str">
        <f>IF('1_入力シート【基本情報】'!DO235="レ","レ","")</f>
        <v/>
      </c>
      <c r="S448" s="1536" t="s">
        <v>528</v>
      </c>
      <c r="U448" s="1486" t="str">
        <f>IF('1_入力シート【基本情報】'!DP235="レ","レ","")</f>
        <v/>
      </c>
      <c r="V448" s="1536" t="s">
        <v>529</v>
      </c>
      <c r="X448" s="2801" t="str">
        <f>IF('1_入力シート【基本情報】'!AB235="","",'1_入力シート【基本情報】'!AB235)</f>
        <v/>
      </c>
      <c r="Y448" s="2801"/>
      <c r="Z448" s="2801" t="str">
        <f>IF('1_入力シート【基本情報】'!AE235="","",'1_入力シート【基本情報】'!AE235)</f>
        <v/>
      </c>
      <c r="AA448" s="2801"/>
      <c r="AB448" s="1469" t="s">
        <v>12</v>
      </c>
      <c r="AC448" s="2801" t="str">
        <f>IF('1_入力シート【基本情報】'!AJ235="","",'1_入力シート【基本情報】'!AJ235)</f>
        <v/>
      </c>
      <c r="AD448" s="2801"/>
      <c r="AE448" s="1488" t="s">
        <v>2772</v>
      </c>
      <c r="AI448" s="1461" t="s">
        <v>2773</v>
      </c>
      <c r="AK448" s="1461" t="s">
        <v>2774</v>
      </c>
      <c r="AM448" s="1486" t="str">
        <f>IF('1_入力シート【基本情報】'!DQ235="レ","レ","")</f>
        <v/>
      </c>
      <c r="AN448" s="1536" t="s">
        <v>331</v>
      </c>
    </row>
    <row r="449" spans="2:40" ht="12" hidden="1" customHeight="1"/>
    <row r="450" spans="2:40" ht="12" hidden="1" customHeight="1"/>
    <row r="451" spans="2:40" ht="4.5" customHeight="1"/>
    <row r="452" spans="2:40" ht="4.5" customHeight="1"/>
    <row r="453" spans="2:40" ht="14.15" customHeight="1">
      <c r="B453" s="1470" t="s">
        <v>531</v>
      </c>
    </row>
    <row r="454" spans="2:40" ht="13" customHeight="1">
      <c r="D454" s="1554" t="s">
        <v>532</v>
      </c>
      <c r="O454" s="1486" t="str">
        <f>IF('1_入力シート【基本情報】'!DO242="レ","レ","")</f>
        <v/>
      </c>
      <c r="P454" s="1461" t="s">
        <v>20</v>
      </c>
      <c r="R454" s="1486" t="str">
        <f>IF('1_入力シート【基本情報】'!DP242="レ","レ","")</f>
        <v/>
      </c>
      <c r="S454" s="1461" t="s">
        <v>440</v>
      </c>
    </row>
    <row r="455" spans="2:40" ht="13" customHeight="1">
      <c r="D455" s="1554" t="s">
        <v>533</v>
      </c>
      <c r="O455" s="1486" t="str">
        <f>IF('1_入力シート【基本情報】'!DR242="レ","レ","")</f>
        <v/>
      </c>
      <c r="P455" s="1461" t="s">
        <v>20</v>
      </c>
      <c r="R455" s="1486" t="str">
        <f>IF('1_入力シート【基本情報】'!DS242="レ","レ","")</f>
        <v/>
      </c>
      <c r="S455" s="1461" t="s">
        <v>440</v>
      </c>
    </row>
    <row r="456" spans="2:40" ht="13" customHeight="1">
      <c r="D456" s="1470" t="s">
        <v>534</v>
      </c>
      <c r="M456" s="1486" t="str">
        <f>IF('1_入力シート【基本情報】'!DO246="レ","レ","")</f>
        <v/>
      </c>
      <c r="N456" s="1461" t="s">
        <v>535</v>
      </c>
      <c r="R456" s="1486" t="str">
        <f>IF('1_入力シート【基本情報】'!DP246="レ","レ","")</f>
        <v/>
      </c>
      <c r="S456" s="1461" t="s">
        <v>536</v>
      </c>
      <c r="W456" s="1461" t="s">
        <v>25</v>
      </c>
      <c r="X456" s="2801" t="str">
        <f>IF(AND(Z456="31",AC456&lt;5),"平成","令和")</f>
        <v>令和</v>
      </c>
      <c r="Y456" s="2801"/>
      <c r="Z456" s="2830" t="str">
        <f>IF('1_入力シート【基本情報】'!DO248="","",'1_入力シート【基本情報】'!DO248)</f>
        <v/>
      </c>
      <c r="AA456" s="2830"/>
      <c r="AB456" s="1490" t="s">
        <v>12</v>
      </c>
      <c r="AC456" s="2830" t="str">
        <f>IF('1_入力シート【基本情報】'!DP248="","",'1_入力シート【基本情報】'!DP248)</f>
        <v/>
      </c>
      <c r="AD456" s="2830"/>
      <c r="AE456" s="1461" t="s">
        <v>439</v>
      </c>
      <c r="AM456" s="1486" t="str">
        <f>IF('1_入力シート【基本情報】'!DQ246="レ","レ","")</f>
        <v/>
      </c>
      <c r="AN456" s="1461" t="s">
        <v>332</v>
      </c>
    </row>
    <row r="457" spans="2:40" ht="12" hidden="1" customHeight="1">
      <c r="C457" s="1470"/>
    </row>
    <row r="458" spans="2:40" ht="12" hidden="1" customHeight="1">
      <c r="C458" s="1470"/>
    </row>
    <row r="459" spans="2:40" ht="12" hidden="1" customHeight="1">
      <c r="C459" s="1470"/>
    </row>
    <row r="460" spans="2:40" ht="4.5" customHeight="1"/>
    <row r="461" spans="2:40" ht="4.5" customHeight="1"/>
    <row r="462" spans="2:40" ht="12" hidden="1" customHeight="1"/>
    <row r="463" spans="2:40" ht="12" hidden="1" customHeight="1">
      <c r="B463" s="1470"/>
    </row>
    <row r="464" spans="2:40" ht="12" hidden="1" customHeight="1">
      <c r="B464" s="1470"/>
    </row>
    <row r="465" spans="1:48" ht="12" hidden="1" customHeight="1">
      <c r="B465" s="1470"/>
    </row>
    <row r="466" spans="1:48" ht="12" hidden="1" customHeight="1">
      <c r="B466" s="1470"/>
    </row>
    <row r="467" spans="1:48" ht="14.15" customHeight="1">
      <c r="B467" s="1470" t="s">
        <v>537</v>
      </c>
    </row>
    <row r="468" spans="1:48" ht="13" customHeight="1">
      <c r="C468" s="2882" t="str">
        <f>IF('1_入力シート【基本情報】'!AB255="","",'1_入力シート【基本情報】'!AB255)</f>
        <v/>
      </c>
      <c r="D468" s="2882"/>
      <c r="E468" s="2882"/>
      <c r="F468" s="2882"/>
      <c r="G468" s="2882"/>
      <c r="H468" s="2882"/>
      <c r="I468" s="2882"/>
      <c r="J468" s="2882"/>
      <c r="K468" s="2882"/>
      <c r="L468" s="2882"/>
      <c r="M468" s="2882"/>
      <c r="N468" s="2882"/>
      <c r="O468" s="2882"/>
      <c r="P468" s="2882"/>
      <c r="Q468" s="2882"/>
      <c r="R468" s="2882"/>
      <c r="S468" s="2882"/>
      <c r="T468" s="2882"/>
      <c r="U468" s="2882"/>
      <c r="V468" s="2882"/>
      <c r="W468" s="2882"/>
      <c r="X468" s="2882"/>
      <c r="Y468" s="2882"/>
      <c r="Z468" s="2882"/>
      <c r="AA468" s="2882"/>
      <c r="AB468" s="2882"/>
      <c r="AC468" s="2882"/>
      <c r="AD468" s="2882"/>
      <c r="AE468" s="2882"/>
      <c r="AF468" s="2882"/>
      <c r="AG468" s="2882"/>
      <c r="AH468" s="2882"/>
      <c r="AI468" s="2882"/>
      <c r="AJ468" s="2882"/>
      <c r="AK468" s="2882"/>
      <c r="AL468" s="2882"/>
      <c r="AM468" s="2882"/>
      <c r="AN468" s="2882"/>
      <c r="AO468" s="2882"/>
      <c r="AP468" s="2882"/>
      <c r="AQ468" s="2882"/>
      <c r="AR468" s="2882"/>
      <c r="AS468" s="2882"/>
    </row>
    <row r="469" spans="1:48" ht="13" customHeight="1">
      <c r="C469" s="2883"/>
      <c r="D469" s="2883"/>
      <c r="E469" s="2883"/>
      <c r="F469" s="2883"/>
      <c r="G469" s="2883"/>
      <c r="H469" s="2883"/>
      <c r="I469" s="2883"/>
      <c r="J469" s="2883"/>
      <c r="K469" s="2883"/>
      <c r="L469" s="2883"/>
      <c r="M469" s="2883"/>
      <c r="N469" s="2883"/>
      <c r="O469" s="2883"/>
      <c r="P469" s="2883"/>
      <c r="Q469" s="2883"/>
      <c r="R469" s="2883"/>
      <c r="S469" s="2883"/>
      <c r="T469" s="2883"/>
      <c r="U469" s="2883"/>
      <c r="V469" s="2883"/>
      <c r="W469" s="2883"/>
      <c r="X469" s="2883"/>
      <c r="Y469" s="2883"/>
      <c r="Z469" s="2883"/>
      <c r="AA469" s="2883"/>
      <c r="AB469" s="2883"/>
      <c r="AC469" s="2883"/>
      <c r="AD469" s="2883"/>
      <c r="AE469" s="2883"/>
      <c r="AF469" s="2883"/>
      <c r="AG469" s="2883"/>
      <c r="AH469" s="2883"/>
      <c r="AI469" s="2883"/>
      <c r="AJ469" s="2883"/>
      <c r="AK469" s="2883"/>
      <c r="AL469" s="2883"/>
      <c r="AM469" s="2883"/>
      <c r="AN469" s="2883"/>
      <c r="AO469" s="2883"/>
      <c r="AP469" s="2883"/>
      <c r="AQ469" s="2883"/>
      <c r="AR469" s="2883"/>
      <c r="AS469" s="2883"/>
    </row>
    <row r="470" spans="1:48" ht="13" customHeight="1">
      <c r="C470" s="2883"/>
      <c r="D470" s="2883"/>
      <c r="E470" s="2883"/>
      <c r="F470" s="2883"/>
      <c r="G470" s="2883"/>
      <c r="H470" s="2883"/>
      <c r="I470" s="2883"/>
      <c r="J470" s="2883"/>
      <c r="K470" s="2883"/>
      <c r="L470" s="2883"/>
      <c r="M470" s="2883"/>
      <c r="N470" s="2883"/>
      <c r="O470" s="2883"/>
      <c r="P470" s="2883"/>
      <c r="Q470" s="2883"/>
      <c r="R470" s="2883"/>
      <c r="S470" s="2883"/>
      <c r="T470" s="2883"/>
      <c r="U470" s="2883"/>
      <c r="V470" s="2883"/>
      <c r="W470" s="2883"/>
      <c r="X470" s="2883"/>
      <c r="Y470" s="2883"/>
      <c r="Z470" s="2883"/>
      <c r="AA470" s="2883"/>
      <c r="AB470" s="2883"/>
      <c r="AC470" s="2883"/>
      <c r="AD470" s="2883"/>
      <c r="AE470" s="2883"/>
      <c r="AF470" s="2883"/>
      <c r="AG470" s="2883"/>
      <c r="AH470" s="2883"/>
      <c r="AI470" s="2883"/>
      <c r="AJ470" s="2883"/>
      <c r="AK470" s="2883"/>
      <c r="AL470" s="2883"/>
      <c r="AM470" s="2883"/>
      <c r="AN470" s="2883"/>
      <c r="AO470" s="2883"/>
      <c r="AP470" s="2883"/>
      <c r="AQ470" s="2883"/>
      <c r="AR470" s="2883"/>
      <c r="AS470" s="2883"/>
    </row>
    <row r="471" spans="1:48" ht="13" customHeight="1">
      <c r="C471" s="2883"/>
      <c r="D471" s="2883"/>
      <c r="E471" s="2883"/>
      <c r="F471" s="2883"/>
      <c r="G471" s="2883"/>
      <c r="H471" s="2883"/>
      <c r="I471" s="2883"/>
      <c r="J471" s="2883"/>
      <c r="K471" s="2883"/>
      <c r="L471" s="2883"/>
      <c r="M471" s="2883"/>
      <c r="N471" s="2883"/>
      <c r="O471" s="2883"/>
      <c r="P471" s="2883"/>
      <c r="Q471" s="2883"/>
      <c r="R471" s="2883"/>
      <c r="S471" s="2883"/>
      <c r="T471" s="2883"/>
      <c r="U471" s="2883"/>
      <c r="V471" s="2883"/>
      <c r="W471" s="2883"/>
      <c r="X471" s="2883"/>
      <c r="Y471" s="2883"/>
      <c r="Z471" s="2883"/>
      <c r="AA471" s="2883"/>
      <c r="AB471" s="2883"/>
      <c r="AC471" s="2883"/>
      <c r="AD471" s="2883"/>
      <c r="AE471" s="2883"/>
      <c r="AF471" s="2883"/>
      <c r="AG471" s="2883"/>
      <c r="AH471" s="2883"/>
      <c r="AI471" s="2883"/>
      <c r="AJ471" s="2883"/>
      <c r="AK471" s="2883"/>
      <c r="AL471" s="2883"/>
      <c r="AM471" s="2883"/>
      <c r="AN471" s="2883"/>
      <c r="AO471" s="2883"/>
      <c r="AP471" s="2883"/>
      <c r="AQ471" s="2883"/>
      <c r="AR471" s="2883"/>
      <c r="AS471" s="2883"/>
    </row>
    <row r="472" spans="1:48" ht="13" customHeight="1">
      <c r="C472" s="2883"/>
      <c r="D472" s="2883"/>
      <c r="E472" s="2883"/>
      <c r="F472" s="2883"/>
      <c r="G472" s="2883"/>
      <c r="H472" s="2883"/>
      <c r="I472" s="2883"/>
      <c r="J472" s="2883"/>
      <c r="K472" s="2883"/>
      <c r="L472" s="2883"/>
      <c r="M472" s="2883"/>
      <c r="N472" s="2883"/>
      <c r="O472" s="2883"/>
      <c r="P472" s="2883"/>
      <c r="Q472" s="2883"/>
      <c r="R472" s="2883"/>
      <c r="S472" s="2883"/>
      <c r="T472" s="2883"/>
      <c r="U472" s="2883"/>
      <c r="V472" s="2883"/>
      <c r="W472" s="2883"/>
      <c r="X472" s="2883"/>
      <c r="Y472" s="2883"/>
      <c r="Z472" s="2883"/>
      <c r="AA472" s="2883"/>
      <c r="AB472" s="2883"/>
      <c r="AC472" s="2883"/>
      <c r="AD472" s="2883"/>
      <c r="AE472" s="2883"/>
      <c r="AF472" s="2883"/>
      <c r="AG472" s="2883"/>
      <c r="AH472" s="2883"/>
      <c r="AI472" s="2883"/>
      <c r="AJ472" s="2883"/>
      <c r="AK472" s="2883"/>
      <c r="AL472" s="2883"/>
      <c r="AM472" s="2883"/>
      <c r="AN472" s="2883"/>
      <c r="AO472" s="2883"/>
      <c r="AP472" s="2883"/>
      <c r="AQ472" s="2883"/>
      <c r="AR472" s="2883"/>
      <c r="AS472" s="2883"/>
    </row>
    <row r="473" spans="1:48" ht="13" customHeight="1">
      <c r="C473" s="2883"/>
      <c r="D473" s="2883"/>
      <c r="E473" s="2883"/>
      <c r="F473" s="2883"/>
      <c r="G473" s="2883"/>
      <c r="H473" s="2883"/>
      <c r="I473" s="2883"/>
      <c r="J473" s="2883"/>
      <c r="K473" s="2883"/>
      <c r="L473" s="2883"/>
      <c r="M473" s="2883"/>
      <c r="N473" s="2883"/>
      <c r="O473" s="2883"/>
      <c r="P473" s="2883"/>
      <c r="Q473" s="2883"/>
      <c r="R473" s="2883"/>
      <c r="S473" s="2883"/>
      <c r="T473" s="2883"/>
      <c r="U473" s="2883"/>
      <c r="V473" s="2883"/>
      <c r="W473" s="2883"/>
      <c r="X473" s="2883"/>
      <c r="Y473" s="2883"/>
      <c r="Z473" s="2883"/>
      <c r="AA473" s="2883"/>
      <c r="AB473" s="2883"/>
      <c r="AC473" s="2883"/>
      <c r="AD473" s="2883"/>
      <c r="AE473" s="2883"/>
      <c r="AF473" s="2883"/>
      <c r="AG473" s="2883"/>
      <c r="AH473" s="2883"/>
      <c r="AI473" s="2883"/>
      <c r="AJ473" s="2883"/>
      <c r="AK473" s="2883"/>
      <c r="AL473" s="2883"/>
      <c r="AM473" s="2883"/>
      <c r="AN473" s="2883"/>
      <c r="AO473" s="2883"/>
      <c r="AP473" s="2883"/>
      <c r="AQ473" s="2883"/>
      <c r="AR473" s="2883"/>
      <c r="AS473" s="2883"/>
    </row>
    <row r="474" spans="1:48" ht="13" customHeight="1">
      <c r="C474" s="2883"/>
      <c r="D474" s="2883"/>
      <c r="E474" s="2883"/>
      <c r="F474" s="2883"/>
      <c r="G474" s="2883"/>
      <c r="H474" s="2883"/>
      <c r="I474" s="2883"/>
      <c r="J474" s="2883"/>
      <c r="K474" s="2883"/>
      <c r="L474" s="2883"/>
      <c r="M474" s="2883"/>
      <c r="N474" s="2883"/>
      <c r="O474" s="2883"/>
      <c r="P474" s="2883"/>
      <c r="Q474" s="2883"/>
      <c r="R474" s="2883"/>
      <c r="S474" s="2883"/>
      <c r="T474" s="2883"/>
      <c r="U474" s="2883"/>
      <c r="V474" s="2883"/>
      <c r="W474" s="2883"/>
      <c r="X474" s="2883"/>
      <c r="Y474" s="2883"/>
      <c r="Z474" s="2883"/>
      <c r="AA474" s="2883"/>
      <c r="AB474" s="2883"/>
      <c r="AC474" s="2883"/>
      <c r="AD474" s="2883"/>
      <c r="AE474" s="2883"/>
      <c r="AF474" s="2883"/>
      <c r="AG474" s="2883"/>
      <c r="AH474" s="2883"/>
      <c r="AI474" s="2883"/>
      <c r="AJ474" s="2883"/>
      <c r="AK474" s="2883"/>
      <c r="AL474" s="2883"/>
      <c r="AM474" s="2883"/>
      <c r="AN474" s="2883"/>
      <c r="AO474" s="2883"/>
      <c r="AP474" s="2883"/>
      <c r="AQ474" s="2883"/>
      <c r="AR474" s="2883"/>
      <c r="AS474" s="2883"/>
    </row>
    <row r="475" spans="1:48" ht="13" customHeight="1">
      <c r="C475" s="2883"/>
      <c r="D475" s="2883"/>
      <c r="E475" s="2883"/>
      <c r="F475" s="2883"/>
      <c r="G475" s="2883"/>
      <c r="H475" s="2883"/>
      <c r="I475" s="2883"/>
      <c r="J475" s="2883"/>
      <c r="K475" s="2883"/>
      <c r="L475" s="2883"/>
      <c r="M475" s="2883"/>
      <c r="N475" s="2883"/>
      <c r="O475" s="2883"/>
      <c r="P475" s="2883"/>
      <c r="Q475" s="2883"/>
      <c r="R475" s="2883"/>
      <c r="S475" s="2883"/>
      <c r="T475" s="2883"/>
      <c r="U475" s="2883"/>
      <c r="V475" s="2883"/>
      <c r="W475" s="2883"/>
      <c r="X475" s="2883"/>
      <c r="Y475" s="2883"/>
      <c r="Z475" s="2883"/>
      <c r="AA475" s="2883"/>
      <c r="AB475" s="2883"/>
      <c r="AC475" s="2883"/>
      <c r="AD475" s="2883"/>
      <c r="AE475" s="2883"/>
      <c r="AF475" s="2883"/>
      <c r="AG475" s="2883"/>
      <c r="AH475" s="2883"/>
      <c r="AI475" s="2883"/>
      <c r="AJ475" s="2883"/>
      <c r="AK475" s="2883"/>
      <c r="AL475" s="2883"/>
      <c r="AM475" s="2883"/>
      <c r="AN475" s="2883"/>
      <c r="AO475" s="2883"/>
      <c r="AP475" s="2883"/>
      <c r="AQ475" s="2883"/>
      <c r="AR475" s="2883"/>
      <c r="AS475" s="2883"/>
    </row>
    <row r="476" spans="1:48" ht="13" customHeight="1"/>
    <row r="477" spans="1:48" ht="4.5" customHeight="1"/>
    <row r="478" spans="1:48" ht="4.5" customHeight="1"/>
    <row r="479" spans="1:48" ht="12" hidden="1" customHeight="1">
      <c r="A479" s="1536"/>
      <c r="B479" s="1536"/>
      <c r="C479" s="1536"/>
      <c r="D479" s="1536"/>
      <c r="E479" s="1536"/>
      <c r="F479" s="1536"/>
      <c r="G479" s="1536"/>
      <c r="H479" s="1536"/>
      <c r="I479" s="1536"/>
      <c r="J479" s="1536"/>
      <c r="K479" s="1536"/>
      <c r="L479" s="1536"/>
      <c r="M479" s="1536"/>
      <c r="N479" s="1536"/>
      <c r="O479" s="1536"/>
      <c r="P479" s="1536"/>
      <c r="Q479" s="1536"/>
      <c r="R479" s="1536"/>
      <c r="S479" s="1536"/>
      <c r="T479" s="1536"/>
      <c r="U479" s="1536"/>
      <c r="V479" s="1536"/>
      <c r="W479" s="1536"/>
      <c r="X479" s="1536"/>
      <c r="Y479" s="1536"/>
      <c r="Z479" s="1536"/>
      <c r="AA479" s="1536"/>
      <c r="AB479" s="1536"/>
      <c r="AC479" s="1536"/>
      <c r="AD479" s="1536"/>
      <c r="AE479" s="1536"/>
      <c r="AF479" s="1536"/>
      <c r="AG479" s="1536"/>
      <c r="AH479" s="1536"/>
      <c r="AI479" s="1536"/>
      <c r="AJ479" s="1536"/>
      <c r="AK479" s="1536"/>
      <c r="AL479" s="1536"/>
      <c r="AM479" s="1536"/>
      <c r="AN479" s="1536"/>
      <c r="AO479" s="1536"/>
      <c r="AP479" s="1536"/>
      <c r="AQ479" s="1536"/>
      <c r="AR479" s="1536"/>
      <c r="AS479" s="1536"/>
      <c r="AT479" s="1536"/>
      <c r="AU479" s="1536"/>
      <c r="AV479" s="1536"/>
    </row>
    <row r="480" spans="1:48" ht="12" hidden="1" customHeight="1">
      <c r="A480" s="1536"/>
      <c r="B480" s="1536"/>
      <c r="C480" s="1536"/>
      <c r="D480" s="1536"/>
      <c r="E480" s="1536"/>
      <c r="F480" s="1536"/>
      <c r="G480" s="1536"/>
      <c r="H480" s="1536"/>
      <c r="I480" s="1536"/>
      <c r="J480" s="1536"/>
      <c r="K480" s="1536"/>
      <c r="L480" s="1536"/>
      <c r="M480" s="1536"/>
      <c r="N480" s="1536"/>
      <c r="O480" s="1536"/>
      <c r="P480" s="1536"/>
      <c r="Q480" s="1536"/>
      <c r="R480" s="1536"/>
      <c r="S480" s="1536"/>
      <c r="T480" s="1536"/>
      <c r="U480" s="1536"/>
      <c r="V480" s="1536"/>
      <c r="W480" s="1536"/>
      <c r="X480" s="1536"/>
      <c r="Y480" s="1536"/>
      <c r="Z480" s="1536"/>
      <c r="AA480" s="1536"/>
      <c r="AB480" s="1536"/>
      <c r="AC480" s="1536"/>
      <c r="AD480" s="1536"/>
      <c r="AE480" s="1536"/>
      <c r="AF480" s="1536"/>
      <c r="AG480" s="1536"/>
      <c r="AH480" s="1536"/>
      <c r="AI480" s="1536"/>
      <c r="AJ480" s="1536"/>
      <c r="AK480" s="1536"/>
      <c r="AL480" s="1536"/>
      <c r="AM480" s="1536"/>
      <c r="AN480" s="1536"/>
      <c r="AO480" s="1536"/>
      <c r="AP480" s="1536"/>
      <c r="AQ480" s="1536"/>
      <c r="AR480" s="1536"/>
      <c r="AS480" s="1536"/>
      <c r="AT480" s="1536"/>
      <c r="AU480" s="1536"/>
      <c r="AV480" s="1536"/>
    </row>
    <row r="481" spans="1:55" ht="12" hidden="1" customHeight="1">
      <c r="A481" s="1536"/>
      <c r="B481" s="1536"/>
      <c r="C481" s="1536"/>
      <c r="D481" s="1536"/>
      <c r="E481" s="1536"/>
      <c r="F481" s="1536"/>
      <c r="G481" s="1536"/>
      <c r="H481" s="1536"/>
      <c r="I481" s="1536"/>
      <c r="J481" s="1536"/>
      <c r="K481" s="1536"/>
      <c r="L481" s="1536"/>
      <c r="M481" s="1536"/>
      <c r="N481" s="1536"/>
      <c r="O481" s="1536"/>
      <c r="P481" s="1536"/>
      <c r="Q481" s="1536"/>
      <c r="R481" s="1536"/>
      <c r="S481" s="1536"/>
      <c r="T481" s="1536"/>
      <c r="U481" s="1536"/>
      <c r="V481" s="1536"/>
      <c r="W481" s="1536"/>
      <c r="X481" s="1536"/>
      <c r="Y481" s="1536"/>
      <c r="Z481" s="1536"/>
      <c r="AA481" s="1536"/>
      <c r="AB481" s="1536"/>
      <c r="AC481" s="1536"/>
      <c r="AD481" s="1536"/>
      <c r="AE481" s="1536"/>
      <c r="AF481" s="1536"/>
      <c r="AG481" s="1536"/>
      <c r="AH481" s="1536"/>
      <c r="AI481" s="1536"/>
      <c r="AJ481" s="1536"/>
      <c r="AK481" s="1536"/>
      <c r="AL481" s="1536"/>
      <c r="AM481" s="1536"/>
      <c r="AN481" s="1536"/>
      <c r="AO481" s="1536"/>
      <c r="AP481" s="1536"/>
      <c r="AQ481" s="1536"/>
      <c r="AR481" s="1536"/>
      <c r="AS481" s="1536"/>
      <c r="AT481" s="1536"/>
      <c r="AU481" s="1536"/>
      <c r="AV481" s="1536"/>
    </row>
    <row r="482" spans="1:55" ht="12" customHeight="1">
      <c r="A482" s="1536"/>
      <c r="B482" s="1536"/>
      <c r="C482" s="1536"/>
      <c r="D482" s="1536"/>
      <c r="E482" s="1536"/>
      <c r="F482" s="1536"/>
      <c r="G482" s="1536"/>
      <c r="H482" s="1536"/>
      <c r="I482" s="1536"/>
      <c r="J482" s="1536"/>
      <c r="K482" s="1536"/>
      <c r="L482" s="1536"/>
      <c r="M482" s="1536"/>
      <c r="N482" s="1536"/>
      <c r="O482" s="1536"/>
      <c r="P482" s="1536"/>
      <c r="Q482" s="1536"/>
      <c r="R482" s="1536"/>
      <c r="S482" s="1536"/>
      <c r="T482" s="1536"/>
      <c r="U482" s="1536"/>
      <c r="V482" s="1536"/>
      <c r="W482" s="1536"/>
      <c r="X482" s="1536"/>
      <c r="Y482" s="1536"/>
      <c r="Z482" s="1536"/>
      <c r="AA482" s="1536"/>
      <c r="AB482" s="1536"/>
      <c r="AC482" s="1536"/>
      <c r="AD482" s="1536"/>
      <c r="AE482" s="1536"/>
      <c r="AF482" s="1536"/>
      <c r="AG482" s="1536"/>
      <c r="AH482" s="1536"/>
      <c r="AI482" s="1536"/>
      <c r="AJ482" s="1536"/>
      <c r="AK482" s="1536"/>
      <c r="AL482" s="1536"/>
      <c r="AM482" s="1536"/>
      <c r="AN482" s="1536"/>
      <c r="AO482" s="1536"/>
      <c r="AP482" s="1536"/>
      <c r="AQ482" s="1536"/>
      <c r="AR482" s="1536"/>
      <c r="AS482" s="1536"/>
      <c r="AT482" s="1536"/>
      <c r="AU482" s="1536"/>
      <c r="AV482" s="1536"/>
    </row>
    <row r="483" spans="1:55" ht="12" customHeight="1">
      <c r="A483" s="1536"/>
      <c r="B483" s="1536"/>
      <c r="C483" s="1536"/>
      <c r="D483" s="1536"/>
      <c r="E483" s="1536"/>
      <c r="F483" s="1536"/>
      <c r="G483" s="1536"/>
      <c r="H483" s="1536"/>
      <c r="I483" s="1536"/>
      <c r="J483" s="1536"/>
      <c r="K483" s="1536"/>
      <c r="L483" s="1536"/>
      <c r="M483" s="1536"/>
      <c r="N483" s="1536"/>
      <c r="O483" s="1536"/>
      <c r="P483" s="1536"/>
      <c r="Q483" s="1536"/>
      <c r="R483" s="1536"/>
      <c r="S483" s="1536"/>
      <c r="T483" s="1536"/>
      <c r="U483" s="1536"/>
      <c r="V483" s="1536"/>
      <c r="W483" s="1536"/>
      <c r="X483" s="1536"/>
      <c r="Y483" s="1536"/>
      <c r="Z483" s="1536"/>
      <c r="AA483" s="1536"/>
      <c r="AB483" s="1536"/>
      <c r="AC483" s="1536"/>
      <c r="AD483" s="1536"/>
      <c r="AE483" s="1536"/>
      <c r="AF483" s="1536"/>
      <c r="AG483" s="1536"/>
      <c r="AH483" s="1536"/>
      <c r="AI483" s="1536"/>
      <c r="AJ483" s="1536"/>
      <c r="AK483" s="1536"/>
      <c r="AL483" s="1536"/>
      <c r="AM483" s="1536"/>
      <c r="AN483" s="1536"/>
      <c r="AO483" s="1536"/>
      <c r="AP483" s="1536"/>
      <c r="AQ483" s="1536"/>
      <c r="AR483" s="1536"/>
      <c r="AS483" s="1536"/>
      <c r="AT483" s="1536"/>
      <c r="AU483" s="1536"/>
      <c r="AV483" s="1536"/>
    </row>
    <row r="484" spans="1:55" ht="12" customHeight="1">
      <c r="A484" s="1536"/>
      <c r="B484" s="1536"/>
      <c r="C484" s="1536"/>
      <c r="D484" s="1536"/>
      <c r="E484" s="1536"/>
      <c r="F484" s="1536"/>
      <c r="G484" s="1536"/>
      <c r="H484" s="1536"/>
      <c r="I484" s="1536"/>
      <c r="J484" s="1536"/>
      <c r="K484" s="1536"/>
      <c r="L484" s="1536"/>
      <c r="M484" s="1536"/>
      <c r="N484" s="1536"/>
      <c r="O484" s="1536"/>
      <c r="P484" s="1536"/>
      <c r="Q484" s="1536"/>
      <c r="R484" s="1536"/>
      <c r="S484" s="1536"/>
      <c r="T484" s="1536"/>
      <c r="U484" s="1536"/>
      <c r="V484" s="1536"/>
      <c r="W484" s="1536"/>
      <c r="X484" s="1536"/>
      <c r="Y484" s="1536"/>
      <c r="Z484" s="1536"/>
      <c r="AA484" s="1536"/>
      <c r="AB484" s="1536"/>
      <c r="AC484" s="1536"/>
      <c r="AD484" s="1536"/>
      <c r="AE484" s="1536"/>
      <c r="AF484" s="1536"/>
      <c r="AG484" s="1536"/>
      <c r="AH484" s="1536"/>
      <c r="AI484" s="1536"/>
      <c r="AJ484" s="1536"/>
      <c r="AK484" s="1536"/>
      <c r="AL484" s="1536"/>
      <c r="AM484" s="1536"/>
      <c r="AN484" s="1536"/>
      <c r="AO484" s="1536"/>
      <c r="AP484" s="1536"/>
      <c r="AQ484" s="1536"/>
      <c r="AR484" s="1536"/>
      <c r="AS484" s="1536"/>
      <c r="AT484" s="1536"/>
      <c r="AU484" s="1536"/>
      <c r="AV484" s="1536"/>
    </row>
    <row r="485" spans="1:55" ht="12" customHeight="1">
      <c r="A485" s="1536"/>
      <c r="B485" s="1536"/>
      <c r="C485" s="1536"/>
      <c r="D485" s="1536"/>
      <c r="E485" s="1536"/>
      <c r="F485" s="1536"/>
      <c r="G485" s="1536"/>
      <c r="H485" s="1536"/>
      <c r="I485" s="1536"/>
      <c r="J485" s="1536"/>
      <c r="K485" s="1536"/>
      <c r="L485" s="1536"/>
      <c r="M485" s="1536"/>
      <c r="N485" s="1536"/>
      <c r="O485" s="1536"/>
      <c r="P485" s="1536"/>
      <c r="Q485" s="1536"/>
      <c r="R485" s="1536"/>
      <c r="S485" s="1536"/>
      <c r="T485" s="1536"/>
      <c r="U485" s="1536"/>
      <c r="V485" s="1536"/>
      <c r="W485" s="1536"/>
      <c r="X485" s="1536"/>
      <c r="Y485" s="1536"/>
      <c r="Z485" s="1536"/>
      <c r="AA485" s="1536"/>
      <c r="AB485" s="1536"/>
      <c r="AC485" s="1536"/>
      <c r="AD485" s="1536"/>
      <c r="AE485" s="1536"/>
      <c r="AF485" s="1536"/>
      <c r="AG485" s="1536"/>
      <c r="AH485" s="1536"/>
      <c r="AI485" s="1536"/>
      <c r="AJ485" s="1536"/>
      <c r="AK485" s="1536"/>
      <c r="AL485" s="1536"/>
      <c r="AM485" s="1536"/>
      <c r="AN485" s="1536"/>
      <c r="AO485" s="1536"/>
      <c r="AP485" s="1536"/>
      <c r="AQ485" s="1536"/>
      <c r="AR485" s="1536"/>
      <c r="AS485" s="1536"/>
      <c r="AT485" s="1536"/>
      <c r="AU485" s="1536"/>
      <c r="AV485" s="1536"/>
    </row>
    <row r="486" spans="1:55" ht="12" customHeight="1">
      <c r="A486" s="1536"/>
      <c r="B486" s="1536"/>
      <c r="C486" s="1536"/>
      <c r="D486" s="1536"/>
      <c r="E486" s="1536"/>
      <c r="F486" s="1536"/>
      <c r="G486" s="1536"/>
      <c r="H486" s="1536"/>
      <c r="I486" s="1536"/>
      <c r="J486" s="1536"/>
      <c r="K486" s="1536"/>
      <c r="L486" s="1536"/>
      <c r="M486" s="1536"/>
      <c r="N486" s="1536"/>
      <c r="O486" s="1536"/>
      <c r="P486" s="1536"/>
      <c r="Q486" s="1536"/>
      <c r="R486" s="1536"/>
      <c r="S486" s="1536"/>
      <c r="T486" s="1536"/>
      <c r="U486" s="1536"/>
      <c r="V486" s="1536"/>
      <c r="W486" s="1536"/>
      <c r="X486" s="1536"/>
      <c r="Y486" s="1536"/>
      <c r="Z486" s="1536"/>
      <c r="AA486" s="1536"/>
      <c r="AB486" s="1536"/>
      <c r="AC486" s="1536"/>
      <c r="AD486" s="1536"/>
      <c r="AE486" s="1536"/>
      <c r="AF486" s="1536"/>
      <c r="AG486" s="1536"/>
      <c r="AH486" s="1536"/>
      <c r="AI486" s="1536"/>
      <c r="AJ486" s="1536"/>
      <c r="AK486" s="1536"/>
      <c r="AL486" s="1536"/>
      <c r="AM486" s="1536"/>
      <c r="AN486" s="1536"/>
      <c r="AO486" s="1536"/>
      <c r="AP486" s="1536"/>
      <c r="AQ486" s="1536"/>
      <c r="AR486" s="1536"/>
      <c r="AS486" s="1536"/>
      <c r="AT486" s="1536"/>
      <c r="AU486" s="1536"/>
      <c r="AV486" s="1536"/>
    </row>
    <row r="487" spans="1:55" ht="12" customHeight="1">
      <c r="A487" s="1536"/>
      <c r="B487" s="1536"/>
      <c r="C487" s="1536"/>
      <c r="D487" s="1536"/>
      <c r="E487" s="1536"/>
      <c r="F487" s="1536"/>
      <c r="G487" s="1536"/>
      <c r="H487" s="1536"/>
      <c r="I487" s="1536"/>
      <c r="J487" s="1536"/>
      <c r="K487" s="1536"/>
      <c r="L487" s="1536"/>
      <c r="M487" s="1536"/>
      <c r="N487" s="1536"/>
      <c r="O487" s="1536"/>
      <c r="P487" s="1536"/>
      <c r="Q487" s="1536"/>
      <c r="R487" s="1536"/>
      <c r="S487" s="1536"/>
      <c r="T487" s="1536"/>
      <c r="U487" s="1536"/>
      <c r="V487" s="1536"/>
      <c r="W487" s="1536"/>
      <c r="X487" s="1536"/>
      <c r="Y487" s="1536"/>
      <c r="Z487" s="1536"/>
      <c r="AA487" s="1536"/>
      <c r="AB487" s="1536"/>
      <c r="AC487" s="1536"/>
      <c r="AD487" s="1536"/>
      <c r="AE487" s="1536"/>
      <c r="AF487" s="1536"/>
      <c r="AG487" s="1536"/>
      <c r="AH487" s="1536"/>
      <c r="AI487" s="1536"/>
      <c r="AJ487" s="1536"/>
      <c r="AK487" s="1536"/>
      <c r="AL487" s="1536"/>
      <c r="AM487" s="1536"/>
      <c r="AN487" s="1536"/>
      <c r="AO487" s="1536"/>
      <c r="AP487" s="1536"/>
      <c r="AQ487" s="1536"/>
      <c r="AR487" s="1536"/>
      <c r="AS487" s="1536"/>
      <c r="AT487" s="1536"/>
      <c r="AU487" s="1536"/>
      <c r="AV487" s="1536"/>
    </row>
    <row r="488" spans="1:55" ht="12" customHeight="1">
      <c r="A488" s="1536"/>
      <c r="B488" s="1536"/>
      <c r="C488" s="1536"/>
      <c r="D488" s="1536"/>
      <c r="E488" s="1536"/>
      <c r="F488" s="1536"/>
      <c r="G488" s="1536"/>
      <c r="H488" s="1536"/>
      <c r="I488" s="1536"/>
      <c r="J488" s="1536"/>
      <c r="K488" s="1536"/>
      <c r="L488" s="1536"/>
      <c r="M488" s="1536"/>
      <c r="N488" s="1536"/>
      <c r="O488" s="1536"/>
      <c r="P488" s="1536"/>
      <c r="Q488" s="1536"/>
      <c r="R488" s="1536"/>
      <c r="S488" s="1536"/>
      <c r="T488" s="1536"/>
      <c r="U488" s="1536"/>
      <c r="V488" s="1536"/>
      <c r="W488" s="1536"/>
      <c r="X488" s="1536"/>
      <c r="Y488" s="1536"/>
      <c r="Z488" s="1536"/>
      <c r="AA488" s="1536"/>
      <c r="AB488" s="1536"/>
      <c r="AC488" s="1536"/>
      <c r="AD488" s="1536"/>
      <c r="AE488" s="1536"/>
      <c r="AF488" s="1536"/>
      <c r="AG488" s="1536"/>
      <c r="AH488" s="1536"/>
      <c r="AI488" s="1536"/>
      <c r="AJ488" s="1536"/>
      <c r="AK488" s="1536"/>
      <c r="AL488" s="1536"/>
      <c r="AM488" s="1536"/>
      <c r="AN488" s="1536"/>
      <c r="AO488" s="1536"/>
      <c r="AP488" s="1536"/>
      <c r="AQ488" s="1536"/>
      <c r="AR488" s="1536"/>
      <c r="AS488" s="1536"/>
      <c r="AT488" s="1536"/>
      <c r="AU488" s="1536"/>
      <c r="AV488" s="1536"/>
    </row>
    <row r="489" spans="1:55" ht="13" customHeight="1">
      <c r="B489" s="2788" t="s">
        <v>929</v>
      </c>
      <c r="C489" s="2788"/>
      <c r="D489" s="2788"/>
      <c r="E489" s="2788"/>
      <c r="F489" s="2788"/>
      <c r="G489" s="2788"/>
      <c r="H489" s="2788"/>
      <c r="I489" s="2788"/>
      <c r="J489" s="2788"/>
      <c r="K489" s="2788"/>
      <c r="L489" s="2788"/>
      <c r="M489" s="2788"/>
      <c r="N489" s="2788"/>
      <c r="O489" s="2788"/>
      <c r="P489" s="2788"/>
      <c r="Q489" s="2788"/>
      <c r="R489" s="2788"/>
      <c r="S489" s="2788"/>
      <c r="T489" s="2788"/>
      <c r="U489" s="2788"/>
      <c r="V489" s="2788"/>
      <c r="W489" s="2788"/>
      <c r="X489" s="2788"/>
      <c r="Y489" s="2788"/>
      <c r="Z489" s="2788"/>
      <c r="AA489" s="2788"/>
      <c r="AB489" s="2788"/>
      <c r="AC489" s="2788"/>
      <c r="AD489" s="2788"/>
      <c r="AE489" s="2788"/>
      <c r="AF489" s="2788"/>
      <c r="AG489" s="2788"/>
      <c r="AH489" s="2788"/>
      <c r="AI489" s="2788"/>
      <c r="AJ489" s="2788"/>
      <c r="AK489" s="2788"/>
      <c r="AL489" s="2788"/>
      <c r="AM489" s="2788"/>
      <c r="AN489" s="2788"/>
      <c r="AO489" s="2788"/>
      <c r="AP489" s="2788"/>
      <c r="AQ489" s="2788"/>
      <c r="AR489" s="2788"/>
      <c r="AS489" s="2788"/>
      <c r="AT489" s="2788"/>
      <c r="AU489" s="1497"/>
    </row>
    <row r="490" spans="1:55" ht="6" customHeight="1"/>
    <row r="491" spans="1:55" s="1498" customFormat="1" ht="14.25" customHeight="1">
      <c r="B491" s="1498" t="s">
        <v>1186</v>
      </c>
      <c r="AG491" s="1499"/>
      <c r="AH491" s="1499"/>
    </row>
    <row r="492" spans="1:55" s="1498" customFormat="1" ht="6" customHeight="1">
      <c r="AG492" s="1499"/>
      <c r="AH492" s="1499"/>
    </row>
    <row r="493" spans="1:55" s="1498" customFormat="1" ht="6" customHeight="1">
      <c r="A493" s="1499"/>
      <c r="B493" s="1500"/>
      <c r="C493" s="1499"/>
      <c r="D493" s="1499"/>
      <c r="E493" s="1499"/>
      <c r="F493" s="1499"/>
      <c r="G493" s="1499"/>
      <c r="H493" s="1499"/>
      <c r="I493" s="1499"/>
      <c r="J493" s="1499"/>
      <c r="K493" s="1499"/>
      <c r="L493" s="1499"/>
      <c r="M493" s="1499"/>
      <c r="N493" s="1499"/>
      <c r="O493" s="1499"/>
      <c r="P493" s="1499"/>
      <c r="Q493" s="1499"/>
      <c r="R493" s="1499"/>
      <c r="S493" s="1499"/>
      <c r="T493" s="1499"/>
      <c r="U493" s="1499"/>
      <c r="V493" s="1499"/>
      <c r="W493" s="1499"/>
      <c r="X493" s="1499"/>
      <c r="Y493" s="1499"/>
      <c r="Z493" s="1499"/>
      <c r="AA493" s="1499"/>
      <c r="AB493" s="1499"/>
      <c r="AC493" s="1499"/>
      <c r="AD493" s="1499"/>
      <c r="AE493" s="1499"/>
      <c r="AF493" s="1499"/>
      <c r="AG493" s="1499"/>
      <c r="AH493" s="1499"/>
      <c r="AI493" s="1499"/>
      <c r="AJ493" s="1499"/>
      <c r="AK493" s="1499"/>
      <c r="AL493" s="1499"/>
      <c r="AM493" s="1499"/>
      <c r="AN493" s="1499"/>
      <c r="AO493" s="1499"/>
      <c r="AP493" s="1499"/>
      <c r="AQ493" s="1499"/>
      <c r="AR493" s="1499"/>
      <c r="AS493" s="1499"/>
      <c r="AT493" s="1499"/>
      <c r="AU493" s="1499"/>
      <c r="AV493" s="1499"/>
    </row>
    <row r="494" spans="1:55" s="1498" customFormat="1" ht="13" hidden="1" customHeight="1">
      <c r="A494" s="1499"/>
      <c r="C494" s="1501" t="s">
        <v>890</v>
      </c>
      <c r="D494" s="1502"/>
      <c r="E494" s="1502"/>
      <c r="F494" s="1502"/>
      <c r="G494" s="1502"/>
      <c r="H494" s="1502"/>
      <c r="I494" s="1503"/>
      <c r="J494" s="1504" t="s">
        <v>891</v>
      </c>
      <c r="K494" s="1505"/>
      <c r="L494" s="1505"/>
      <c r="M494" s="1505"/>
      <c r="N494" s="1505"/>
      <c r="O494" s="1505"/>
      <c r="P494" s="1505"/>
      <c r="Q494" s="1505"/>
      <c r="R494" s="1506"/>
      <c r="S494" s="1506"/>
      <c r="T494" s="1506"/>
      <c r="U494" s="1507" t="str">
        <f>IF('1_入力シート【基本情報】'!DP304="レ","レ",IF('1_入力シート【基本情報】'!DO304="レ","レ",""))</f>
        <v/>
      </c>
      <c r="V494" s="1505" t="s">
        <v>892</v>
      </c>
      <c r="W494" s="1505"/>
      <c r="X494" s="1505"/>
      <c r="Y494" s="1505"/>
      <c r="Z494" s="1505"/>
      <c r="AA494" s="1505"/>
      <c r="AB494" s="1506"/>
      <c r="AC494" s="1505" t="s">
        <v>467</v>
      </c>
      <c r="AD494" s="1507" t="str">
        <f>'1_入力シート【基本情報】'!DP304</f>
        <v/>
      </c>
      <c r="AE494" s="1505" t="s">
        <v>893</v>
      </c>
      <c r="AF494" s="1505"/>
      <c r="AG494" s="1505"/>
      <c r="AH494" s="1505"/>
      <c r="AI494" s="1505"/>
      <c r="AJ494" s="1506"/>
      <c r="AK494" s="1505"/>
      <c r="AL494" s="1505"/>
      <c r="AM494" s="1505"/>
      <c r="AN494" s="1505"/>
      <c r="AO494" s="1505"/>
      <c r="AP494" s="1505"/>
      <c r="AQ494" s="1505"/>
      <c r="AR494" s="1505"/>
      <c r="AS494" s="1508"/>
      <c r="AT494" s="1509"/>
      <c r="AU494" s="1509"/>
      <c r="AV494" s="1509"/>
      <c r="AW494" s="1499"/>
      <c r="AX494" s="1499"/>
    </row>
    <row r="495" spans="1:55" s="1498" customFormat="1" ht="13" hidden="1" customHeight="1">
      <c r="A495" s="1499"/>
      <c r="C495" s="1510" t="s">
        <v>894</v>
      </c>
      <c r="D495" s="1511"/>
      <c r="E495" s="1511"/>
      <c r="F495" s="1511"/>
      <c r="G495" s="1511"/>
      <c r="H495" s="1511"/>
      <c r="I495" s="1512"/>
      <c r="J495" s="1513"/>
      <c r="K495" s="1491"/>
      <c r="L495" s="1491"/>
      <c r="M495" s="1491"/>
      <c r="N495" s="1491"/>
      <c r="O495" s="1491"/>
      <c r="P495" s="1491"/>
      <c r="Q495" s="1491"/>
      <c r="R495" s="1491"/>
      <c r="S495" s="1491"/>
      <c r="T495" s="1491"/>
      <c r="U495" s="1514" t="str">
        <f>IF(OR('1_入力シート【基本情報】'!DN304="レ",'1_入力シート【基本情報】'!DM304="レ"),"レ","")</f>
        <v/>
      </c>
      <c r="V495" s="1491" t="s">
        <v>903</v>
      </c>
      <c r="W495" s="1491"/>
      <c r="X495" s="1491"/>
      <c r="Y495" s="1491"/>
      <c r="Z495" s="1491"/>
      <c r="AA495" s="1491"/>
      <c r="AB495" s="1491"/>
      <c r="AC495" s="1491"/>
      <c r="AD495" s="1491"/>
      <c r="AE495" s="1491"/>
      <c r="AF495" s="1491"/>
      <c r="AG495" s="1491"/>
      <c r="AH495" s="1491"/>
      <c r="AI495" s="1491"/>
      <c r="AJ495" s="1491"/>
      <c r="AK495" s="1491"/>
      <c r="AL495" s="1491"/>
      <c r="AM495" s="1491"/>
      <c r="AN495" s="1491"/>
      <c r="AO495" s="1491"/>
      <c r="AP495" s="1491"/>
      <c r="AQ495" s="1491"/>
      <c r="AR495" s="1491"/>
      <c r="AS495" s="1515"/>
      <c r="AT495" s="1509"/>
      <c r="AU495" s="1509"/>
      <c r="AV495" s="1509"/>
      <c r="AW495" s="1516"/>
      <c r="AX495" s="1499"/>
      <c r="BC495" s="1517"/>
    </row>
    <row r="496" spans="1:55" s="1498" customFormat="1" ht="13" customHeight="1">
      <c r="A496" s="1499"/>
      <c r="C496" s="2819" t="s">
        <v>894</v>
      </c>
      <c r="D496" s="2820"/>
      <c r="E496" s="2820"/>
      <c r="F496" s="2820"/>
      <c r="G496" s="2820"/>
      <c r="H496" s="2820"/>
      <c r="I496" s="2821"/>
      <c r="J496" s="2819" t="s">
        <v>895</v>
      </c>
      <c r="K496" s="2820"/>
      <c r="L496" s="2820"/>
      <c r="M496" s="2820"/>
      <c r="N496" s="2820"/>
      <c r="O496" s="2821"/>
      <c r="P496" s="2802" t="str">
        <f>'1_入力シート【基本情報】'!$DY$304</f>
        <v/>
      </c>
      <c r="Q496" s="2803"/>
      <c r="R496" s="2803"/>
      <c r="S496" s="2803"/>
      <c r="T496" s="2803"/>
      <c r="U496" s="2803"/>
      <c r="V496" s="2803"/>
      <c r="W496" s="2803"/>
      <c r="X496" s="2803"/>
      <c r="Y496" s="2803"/>
      <c r="Z496" s="2803"/>
      <c r="AA496" s="2803"/>
      <c r="AB496" s="2803"/>
      <c r="AC496" s="2803"/>
      <c r="AD496" s="2803"/>
      <c r="AE496" s="2803"/>
      <c r="AF496" s="2803"/>
      <c r="AG496" s="2803"/>
      <c r="AH496" s="2803"/>
      <c r="AI496" s="2803"/>
      <c r="AJ496" s="2803"/>
      <c r="AK496" s="2803"/>
      <c r="AL496" s="2803"/>
      <c r="AM496" s="2803"/>
      <c r="AN496" s="2803"/>
      <c r="AO496" s="2803"/>
      <c r="AP496" s="2803"/>
      <c r="AQ496" s="2803"/>
      <c r="AR496" s="2803"/>
      <c r="AS496" s="2804"/>
      <c r="AT496" s="1509"/>
      <c r="AU496" s="1509"/>
      <c r="AV496" s="1509"/>
      <c r="AW496" s="1516"/>
      <c r="AX496" s="1499"/>
      <c r="BC496" s="1517"/>
    </row>
    <row r="497" spans="1:55" s="1498" customFormat="1" ht="13" customHeight="1">
      <c r="A497" s="1499"/>
      <c r="C497" s="1513"/>
      <c r="D497" s="1491"/>
      <c r="E497" s="1491"/>
      <c r="F497" s="1491"/>
      <c r="G497" s="1491"/>
      <c r="H497" s="1491"/>
      <c r="I497" s="1512"/>
      <c r="J497" s="1518"/>
      <c r="K497" s="1555"/>
      <c r="L497" s="1555"/>
      <c r="M497" s="1555"/>
      <c r="N497" s="1555"/>
      <c r="O497" s="1556"/>
      <c r="P497" s="2805"/>
      <c r="Q497" s="2806"/>
      <c r="R497" s="2806"/>
      <c r="S497" s="2806"/>
      <c r="T497" s="2806"/>
      <c r="U497" s="2806"/>
      <c r="V497" s="2806"/>
      <c r="W497" s="2806"/>
      <c r="X497" s="2806"/>
      <c r="Y497" s="2806"/>
      <c r="Z497" s="2806"/>
      <c r="AA497" s="2806"/>
      <c r="AB497" s="2806"/>
      <c r="AC497" s="2806"/>
      <c r="AD497" s="2806"/>
      <c r="AE497" s="2806"/>
      <c r="AF497" s="2806"/>
      <c r="AG497" s="2806"/>
      <c r="AH497" s="2806"/>
      <c r="AI497" s="2806"/>
      <c r="AJ497" s="2806"/>
      <c r="AK497" s="2806"/>
      <c r="AL497" s="2806"/>
      <c r="AM497" s="2806"/>
      <c r="AN497" s="2806"/>
      <c r="AO497" s="2806"/>
      <c r="AP497" s="2806"/>
      <c r="AQ497" s="2806"/>
      <c r="AR497" s="2806"/>
      <c r="AS497" s="2807"/>
      <c r="AT497" s="1509"/>
      <c r="AU497" s="1509"/>
      <c r="AV497" s="1509"/>
      <c r="AW497" s="1516"/>
      <c r="AX497" s="1499"/>
      <c r="BC497" s="1517"/>
    </row>
    <row r="498" spans="1:55" s="1498" customFormat="1" ht="13" customHeight="1">
      <c r="A498" s="1499"/>
      <c r="C498" s="1513"/>
      <c r="D498" s="1491"/>
      <c r="E498" s="1491"/>
      <c r="F498" s="1491"/>
      <c r="G498" s="1491"/>
      <c r="H498" s="1491"/>
      <c r="I498" s="1512"/>
      <c r="J498" s="1518"/>
      <c r="K498" s="1555"/>
      <c r="L498" s="1555"/>
      <c r="M498" s="1555"/>
      <c r="N498" s="1555"/>
      <c r="O498" s="1556"/>
      <c r="P498" s="2805"/>
      <c r="Q498" s="2806"/>
      <c r="R498" s="2806"/>
      <c r="S498" s="2806"/>
      <c r="T498" s="2806"/>
      <c r="U498" s="2806"/>
      <c r="V498" s="2806"/>
      <c r="W498" s="2806"/>
      <c r="X498" s="2806"/>
      <c r="Y498" s="2806"/>
      <c r="Z498" s="2806"/>
      <c r="AA498" s="2806"/>
      <c r="AB498" s="2806"/>
      <c r="AC498" s="2806"/>
      <c r="AD498" s="2806"/>
      <c r="AE498" s="2806"/>
      <c r="AF498" s="2806"/>
      <c r="AG498" s="2806"/>
      <c r="AH498" s="2806"/>
      <c r="AI498" s="2806"/>
      <c r="AJ498" s="2806"/>
      <c r="AK498" s="2806"/>
      <c r="AL498" s="2806"/>
      <c r="AM498" s="2806"/>
      <c r="AN498" s="2806"/>
      <c r="AO498" s="2806"/>
      <c r="AP498" s="2806"/>
      <c r="AQ498" s="2806"/>
      <c r="AR498" s="2806"/>
      <c r="AS498" s="2807"/>
      <c r="AT498" s="1509"/>
      <c r="AU498" s="1509"/>
      <c r="AV498" s="1509"/>
      <c r="AW498" s="1516"/>
      <c r="AX498" s="1499"/>
      <c r="BC498" s="1517"/>
    </row>
    <row r="499" spans="1:55" s="1498" customFormat="1" ht="13" customHeight="1">
      <c r="A499" s="1499"/>
      <c r="C499" s="1513"/>
      <c r="D499" s="1491"/>
      <c r="E499" s="1491"/>
      <c r="F499" s="1491"/>
      <c r="G499" s="1491"/>
      <c r="H499" s="1491"/>
      <c r="I499" s="1512"/>
      <c r="J499" s="1518"/>
      <c r="K499" s="1555"/>
      <c r="L499" s="1555"/>
      <c r="M499" s="1555"/>
      <c r="N499" s="1555"/>
      <c r="O499" s="1556"/>
      <c r="P499" s="2805"/>
      <c r="Q499" s="2806"/>
      <c r="R499" s="2806"/>
      <c r="S499" s="2806"/>
      <c r="T499" s="2806"/>
      <c r="U499" s="2806"/>
      <c r="V499" s="2806"/>
      <c r="W499" s="2806"/>
      <c r="X499" s="2806"/>
      <c r="Y499" s="2806"/>
      <c r="Z499" s="2806"/>
      <c r="AA499" s="2806"/>
      <c r="AB499" s="2806"/>
      <c r="AC499" s="2806"/>
      <c r="AD499" s="2806"/>
      <c r="AE499" s="2806"/>
      <c r="AF499" s="2806"/>
      <c r="AG499" s="2806"/>
      <c r="AH499" s="2806"/>
      <c r="AI499" s="2806"/>
      <c r="AJ499" s="2806"/>
      <c r="AK499" s="2806"/>
      <c r="AL499" s="2806"/>
      <c r="AM499" s="2806"/>
      <c r="AN499" s="2806"/>
      <c r="AO499" s="2806"/>
      <c r="AP499" s="2806"/>
      <c r="AQ499" s="2806"/>
      <c r="AR499" s="2806"/>
      <c r="AS499" s="2807"/>
      <c r="AT499" s="1509"/>
      <c r="AU499" s="1509"/>
      <c r="AV499" s="1509"/>
      <c r="AW499" s="1516"/>
      <c r="AX499" s="1499"/>
      <c r="BC499" s="1517"/>
    </row>
    <row r="500" spans="1:55" s="1498" customFormat="1" ht="13" customHeight="1">
      <c r="A500" s="1499"/>
      <c r="C500" s="1513"/>
      <c r="D500" s="1491"/>
      <c r="E500" s="1491"/>
      <c r="F500" s="1491"/>
      <c r="G500" s="1491"/>
      <c r="H500" s="1491"/>
      <c r="I500" s="1512"/>
      <c r="J500" s="1518"/>
      <c r="K500" s="1555"/>
      <c r="L500" s="1555"/>
      <c r="M500" s="1555"/>
      <c r="N500" s="1555"/>
      <c r="O500" s="1556"/>
      <c r="P500" s="2805"/>
      <c r="Q500" s="2806"/>
      <c r="R500" s="2806"/>
      <c r="S500" s="2806"/>
      <c r="T500" s="2806"/>
      <c r="U500" s="2806"/>
      <c r="V500" s="2806"/>
      <c r="W500" s="2806"/>
      <c r="X500" s="2806"/>
      <c r="Y500" s="2806"/>
      <c r="Z500" s="2806"/>
      <c r="AA500" s="2806"/>
      <c r="AB500" s="2806"/>
      <c r="AC500" s="2806"/>
      <c r="AD500" s="2806"/>
      <c r="AE500" s="2806"/>
      <c r="AF500" s="2806"/>
      <c r="AG500" s="2806"/>
      <c r="AH500" s="2806"/>
      <c r="AI500" s="2806"/>
      <c r="AJ500" s="2806"/>
      <c r="AK500" s="2806"/>
      <c r="AL500" s="2806"/>
      <c r="AM500" s="2806"/>
      <c r="AN500" s="2806"/>
      <c r="AO500" s="2806"/>
      <c r="AP500" s="2806"/>
      <c r="AQ500" s="2806"/>
      <c r="AR500" s="2806"/>
      <c r="AS500" s="2807"/>
      <c r="AT500" s="1509"/>
      <c r="AU500" s="1509"/>
      <c r="AV500" s="1509"/>
      <c r="AW500" s="1516"/>
      <c r="AX500" s="1499"/>
      <c r="BC500" s="1517"/>
    </row>
    <row r="501" spans="1:55" s="1498" customFormat="1" ht="13" customHeight="1">
      <c r="A501" s="1499"/>
      <c r="C501" s="1513"/>
      <c r="D501" s="1491"/>
      <c r="E501" s="1491"/>
      <c r="F501" s="1491"/>
      <c r="G501" s="1491"/>
      <c r="H501" s="1491"/>
      <c r="I501" s="1512"/>
      <c r="J501" s="1518"/>
      <c r="K501" s="1555"/>
      <c r="L501" s="1555"/>
      <c r="M501" s="1555"/>
      <c r="N501" s="1555"/>
      <c r="O501" s="1556"/>
      <c r="P501" s="2805"/>
      <c r="Q501" s="2806"/>
      <c r="R501" s="2806"/>
      <c r="S501" s="2806"/>
      <c r="T501" s="2806"/>
      <c r="U501" s="2806"/>
      <c r="V501" s="2806"/>
      <c r="W501" s="2806"/>
      <c r="X501" s="2806"/>
      <c r="Y501" s="2806"/>
      <c r="Z501" s="2806"/>
      <c r="AA501" s="2806"/>
      <c r="AB501" s="2806"/>
      <c r="AC501" s="2806"/>
      <c r="AD501" s="2806"/>
      <c r="AE501" s="2806"/>
      <c r="AF501" s="2806"/>
      <c r="AG501" s="2806"/>
      <c r="AH501" s="2806"/>
      <c r="AI501" s="2806"/>
      <c r="AJ501" s="2806"/>
      <c r="AK501" s="2806"/>
      <c r="AL501" s="2806"/>
      <c r="AM501" s="2806"/>
      <c r="AN501" s="2806"/>
      <c r="AO501" s="2806"/>
      <c r="AP501" s="2806"/>
      <c r="AQ501" s="2806"/>
      <c r="AR501" s="2806"/>
      <c r="AS501" s="2807"/>
      <c r="AT501" s="1509"/>
      <c r="AU501" s="1509"/>
      <c r="AV501" s="1509"/>
      <c r="AW501" s="1516"/>
      <c r="AX501" s="1499"/>
      <c r="BC501" s="1517"/>
    </row>
    <row r="502" spans="1:55" s="1498" customFormat="1" ht="13" customHeight="1">
      <c r="A502" s="1499"/>
      <c r="C502" s="1513"/>
      <c r="D502" s="1491"/>
      <c r="E502" s="1491"/>
      <c r="F502" s="1491"/>
      <c r="G502" s="1491"/>
      <c r="H502" s="1491"/>
      <c r="I502" s="1512"/>
      <c r="J502" s="1518"/>
      <c r="K502" s="1555"/>
      <c r="L502" s="1555"/>
      <c r="M502" s="1555"/>
      <c r="N502" s="1555"/>
      <c r="O502" s="1556"/>
      <c r="P502" s="2805"/>
      <c r="Q502" s="2806"/>
      <c r="R502" s="2806"/>
      <c r="S502" s="2806"/>
      <c r="T502" s="2806"/>
      <c r="U502" s="2806"/>
      <c r="V502" s="2806"/>
      <c r="W502" s="2806"/>
      <c r="X502" s="2806"/>
      <c r="Y502" s="2806"/>
      <c r="Z502" s="2806"/>
      <c r="AA502" s="2806"/>
      <c r="AB502" s="2806"/>
      <c r="AC502" s="2806"/>
      <c r="AD502" s="2806"/>
      <c r="AE502" s="2806"/>
      <c r="AF502" s="2806"/>
      <c r="AG502" s="2806"/>
      <c r="AH502" s="2806"/>
      <c r="AI502" s="2806"/>
      <c r="AJ502" s="2806"/>
      <c r="AK502" s="2806"/>
      <c r="AL502" s="2806"/>
      <c r="AM502" s="2806"/>
      <c r="AN502" s="2806"/>
      <c r="AO502" s="2806"/>
      <c r="AP502" s="2806"/>
      <c r="AQ502" s="2806"/>
      <c r="AR502" s="2806"/>
      <c r="AS502" s="2807"/>
      <c r="AT502" s="1509"/>
      <c r="AU502" s="1509"/>
      <c r="AV502" s="1509"/>
      <c r="AW502" s="1516"/>
      <c r="AX502" s="1499"/>
      <c r="BC502" s="1517"/>
    </row>
    <row r="503" spans="1:55" s="1498" customFormat="1" ht="13" customHeight="1">
      <c r="A503" s="1499"/>
      <c r="C503" s="1521"/>
      <c r="D503" s="1522"/>
      <c r="E503" s="1522"/>
      <c r="F503" s="1522"/>
      <c r="G503" s="1522"/>
      <c r="H503" s="1522"/>
      <c r="I503" s="1523"/>
      <c r="J503" s="1557"/>
      <c r="K503" s="1558"/>
      <c r="L503" s="1558"/>
      <c r="M503" s="1558"/>
      <c r="N503" s="1558"/>
      <c r="O503" s="1559"/>
      <c r="P503" s="2808"/>
      <c r="Q503" s="2809"/>
      <c r="R503" s="2809"/>
      <c r="S503" s="2809"/>
      <c r="T503" s="2809"/>
      <c r="U503" s="2809"/>
      <c r="V503" s="2809"/>
      <c r="W503" s="2809"/>
      <c r="X503" s="2809"/>
      <c r="Y503" s="2809"/>
      <c r="Z503" s="2809"/>
      <c r="AA503" s="2809"/>
      <c r="AB503" s="2809"/>
      <c r="AC503" s="2809"/>
      <c r="AD503" s="2809"/>
      <c r="AE503" s="2809"/>
      <c r="AF503" s="2809"/>
      <c r="AG503" s="2809"/>
      <c r="AH503" s="2809"/>
      <c r="AI503" s="2809"/>
      <c r="AJ503" s="2809"/>
      <c r="AK503" s="2809"/>
      <c r="AL503" s="2809"/>
      <c r="AM503" s="2809"/>
      <c r="AN503" s="2809"/>
      <c r="AO503" s="2809"/>
      <c r="AP503" s="2809"/>
      <c r="AQ503" s="2809"/>
      <c r="AR503" s="2809"/>
      <c r="AS503" s="2810"/>
      <c r="AT503" s="1509"/>
      <c r="AU503" s="1509"/>
      <c r="AV503" s="1509"/>
      <c r="AW503" s="1516"/>
      <c r="AX503" s="1499"/>
      <c r="BC503" s="1517"/>
    </row>
    <row r="504" spans="1:55" s="1498" customFormat="1" ht="13" hidden="1" customHeight="1" thickBot="1">
      <c r="A504" s="1499"/>
      <c r="C504" s="1560"/>
      <c r="D504" s="1561"/>
      <c r="E504" s="1561"/>
      <c r="F504" s="1561"/>
      <c r="G504" s="1561"/>
      <c r="H504" s="1561"/>
      <c r="I504" s="1562"/>
      <c r="J504" s="1563" t="s">
        <v>896</v>
      </c>
      <c r="K504" s="1564"/>
      <c r="L504" s="1564"/>
      <c r="M504" s="1564"/>
      <c r="N504" s="1564"/>
      <c r="O504" s="1565"/>
      <c r="P504" s="1561"/>
      <c r="Q504" s="1561"/>
      <c r="R504" s="1561"/>
      <c r="S504" s="1561"/>
      <c r="T504" s="1561"/>
      <c r="U504" s="1566" t="str">
        <f>IF(OR('1_入力シート【基本情報】'!EB304="レ",'1_入力シート【基本情報】'!EC304="レ",'1_入力シート【基本情報】'!EG304="レ",'1_入力シート【基本情報】'!EH304="レ"),"レ","")</f>
        <v/>
      </c>
      <c r="V504" s="1561" t="s">
        <v>904</v>
      </c>
      <c r="W504" s="1561"/>
      <c r="X504" s="1567"/>
      <c r="Y504" s="1567"/>
      <c r="Z504" s="1568" t="s">
        <v>905</v>
      </c>
      <c r="AA504" s="2811" t="str">
        <f>IF('1_入力シート【基本情報】'!ED304&lt;&gt;"",'1_入力シート【基本情報】'!ED304,IF('1_入力シート【基本情報】'!EI304&lt;&gt;"",'1_入力シート【基本情報】'!EI304,""))</f>
        <v/>
      </c>
      <c r="AB504" s="2818"/>
      <c r="AC504" s="1561" t="s">
        <v>889</v>
      </c>
      <c r="AD504" s="2811" t="str">
        <f>IF('1_入力シート【基本情報】'!EE304&lt;&gt;"",'1_入力シート【基本情報】'!EE304,IF('1_入力シート【基本情報】'!EJ304&lt;&gt;"",'1_入力シート【基本情報】'!EJ304,""))</f>
        <v/>
      </c>
      <c r="AE504" s="2811"/>
      <c r="AF504" s="1561" t="str">
        <f>IF(OR('1_入力シート【基本情報】'!EC304="レ",'1_入力シート【基本情報】'!EH304="レ"),"月に改善)","月に改善予定)")</f>
        <v>月に改善予定)</v>
      </c>
      <c r="AG504" s="1561"/>
      <c r="AH504" s="1561"/>
      <c r="AI504" s="1561"/>
      <c r="AJ504" s="1561"/>
      <c r="AK504" s="1561"/>
      <c r="AL504" s="1569" t="str">
        <f>IF(OR('1_入力シート【基本情報】'!EF304="レ",'1_入力シート【基本情報】'!EK304="レ"),"レ","")</f>
        <v/>
      </c>
      <c r="AM504" s="1561" t="s">
        <v>906</v>
      </c>
      <c r="AN504" s="1561"/>
      <c r="AO504" s="1561"/>
      <c r="AP504" s="1561"/>
      <c r="AQ504" s="1561"/>
      <c r="AR504" s="1561"/>
      <c r="AS504" s="1570"/>
      <c r="AT504" s="1509"/>
      <c r="AU504" s="1509"/>
      <c r="AV504" s="1509"/>
      <c r="AW504" s="1516"/>
      <c r="AX504" s="1499"/>
      <c r="BC504" s="1517"/>
    </row>
    <row r="505" spans="1:55" s="1498" customFormat="1" ht="13" hidden="1" customHeight="1">
      <c r="A505" s="1499"/>
      <c r="C505" s="1571" t="s">
        <v>897</v>
      </c>
      <c r="D505" s="1502"/>
      <c r="E505" s="1502"/>
      <c r="F505" s="1502"/>
      <c r="G505" s="1502"/>
      <c r="H505" s="1502"/>
      <c r="I505" s="1503"/>
      <c r="J505" s="1572" t="s">
        <v>891</v>
      </c>
      <c r="K505" s="1573"/>
      <c r="L505" s="1573"/>
      <c r="M505" s="1573"/>
      <c r="N505" s="1573"/>
      <c r="O505" s="1574"/>
      <c r="P505" s="1505"/>
      <c r="Q505" s="1505"/>
      <c r="R505" s="1506"/>
      <c r="S505" s="1506"/>
      <c r="T505" s="1506"/>
      <c r="U505" s="1575" t="str">
        <f>IF('1_入力シート【基本情報】'!DP322="レ","レ",IF('1_入力シート【基本情報】'!DO322="レ","レ",""))</f>
        <v/>
      </c>
      <c r="V505" s="1505" t="s">
        <v>892</v>
      </c>
      <c r="W505" s="1505"/>
      <c r="X505" s="1505"/>
      <c r="Y505" s="1505"/>
      <c r="Z505" s="1505"/>
      <c r="AA505" s="1505"/>
      <c r="AB505" s="1506"/>
      <c r="AC505" s="1505" t="s">
        <v>467</v>
      </c>
      <c r="AD505" s="1507" t="str">
        <f>'1_入力シート【基本情報】'!DP322</f>
        <v/>
      </c>
      <c r="AE505" s="1505" t="s">
        <v>893</v>
      </c>
      <c r="AF505" s="1505"/>
      <c r="AG505" s="1505"/>
      <c r="AH505" s="1505"/>
      <c r="AI505" s="1505"/>
      <c r="AJ505" s="1506"/>
      <c r="AK505" s="1505"/>
      <c r="AL505" s="1505"/>
      <c r="AM505" s="1505"/>
      <c r="AN505" s="1505"/>
      <c r="AO505" s="1505"/>
      <c r="AP505" s="1505"/>
      <c r="AQ505" s="1505"/>
      <c r="AR505" s="1505"/>
      <c r="AS505" s="1576"/>
      <c r="AT505" s="1509"/>
      <c r="AU505" s="1509"/>
      <c r="AV505" s="1509"/>
      <c r="AW505" s="1516"/>
      <c r="AX505" s="1499"/>
      <c r="BC505" s="1517"/>
    </row>
    <row r="506" spans="1:55" s="1498" customFormat="1" ht="13" hidden="1" customHeight="1" thickBot="1">
      <c r="A506" s="1499"/>
      <c r="C506" s="1577" t="s">
        <v>898</v>
      </c>
      <c r="D506" s="1511"/>
      <c r="E506" s="1511"/>
      <c r="F506" s="1511"/>
      <c r="G506" s="1511"/>
      <c r="H506" s="1511"/>
      <c r="I506" s="1512"/>
      <c r="J506" s="1557"/>
      <c r="K506" s="1558"/>
      <c r="L506" s="1558"/>
      <c r="M506" s="1558"/>
      <c r="N506" s="1558"/>
      <c r="O506" s="1559"/>
      <c r="P506" s="1522"/>
      <c r="Q506" s="1522"/>
      <c r="R506" s="1522"/>
      <c r="S506" s="1522"/>
      <c r="T506" s="1522"/>
      <c r="U506" s="1578" t="str">
        <f>IF(OR('1_入力シート【基本情報】'!DN322="レ",'1_入力シート【基本情報】'!DM322="レ"),"レ","")</f>
        <v/>
      </c>
      <c r="V506" s="1522" t="s">
        <v>903</v>
      </c>
      <c r="W506" s="1522"/>
      <c r="X506" s="1522"/>
      <c r="Y506" s="1522"/>
      <c r="Z506" s="1522"/>
      <c r="AA506" s="1522"/>
      <c r="AB506" s="1522"/>
      <c r="AC506" s="1522"/>
      <c r="AD506" s="1522"/>
      <c r="AE506" s="1522"/>
      <c r="AF506" s="1522"/>
      <c r="AG506" s="1522"/>
      <c r="AH506" s="1522"/>
      <c r="AI506" s="1522"/>
      <c r="AJ506" s="1522"/>
      <c r="AK506" s="1522"/>
      <c r="AL506" s="1522"/>
      <c r="AM506" s="1522"/>
      <c r="AN506" s="1522"/>
      <c r="AO506" s="1522"/>
      <c r="AP506" s="1522"/>
      <c r="AQ506" s="1522"/>
      <c r="AR506" s="1522"/>
      <c r="AS506" s="1579"/>
      <c r="AT506" s="1509"/>
      <c r="AU506" s="1509"/>
      <c r="AV506" s="1509"/>
      <c r="AW506" s="1516"/>
      <c r="AX506" s="1499"/>
      <c r="BC506" s="1517"/>
    </row>
    <row r="507" spans="1:55" s="1498" customFormat="1" ht="13" customHeight="1">
      <c r="A507" s="1499"/>
      <c r="C507" s="2823" t="s">
        <v>898</v>
      </c>
      <c r="D507" s="2824"/>
      <c r="E507" s="2824"/>
      <c r="F507" s="2824"/>
      <c r="G507" s="2824"/>
      <c r="H507" s="2824"/>
      <c r="I507" s="2825"/>
      <c r="J507" s="2819" t="s">
        <v>895</v>
      </c>
      <c r="K507" s="2820"/>
      <c r="L507" s="2820"/>
      <c r="M507" s="2820"/>
      <c r="N507" s="2820"/>
      <c r="O507" s="2821"/>
      <c r="P507" s="2802" t="str">
        <f>'1_入力シート【基本情報】'!$DY$322</f>
        <v/>
      </c>
      <c r="Q507" s="2803"/>
      <c r="R507" s="2803"/>
      <c r="S507" s="2803"/>
      <c r="T507" s="2803"/>
      <c r="U507" s="2803"/>
      <c r="V507" s="2803"/>
      <c r="W507" s="2803"/>
      <c r="X507" s="2803"/>
      <c r="Y507" s="2803"/>
      <c r="Z507" s="2803"/>
      <c r="AA507" s="2803"/>
      <c r="AB507" s="2803"/>
      <c r="AC507" s="2803"/>
      <c r="AD507" s="2803"/>
      <c r="AE507" s="2803"/>
      <c r="AF507" s="2803"/>
      <c r="AG507" s="2803"/>
      <c r="AH507" s="2803"/>
      <c r="AI507" s="2803"/>
      <c r="AJ507" s="2803"/>
      <c r="AK507" s="2803"/>
      <c r="AL507" s="2803"/>
      <c r="AM507" s="2803"/>
      <c r="AN507" s="2803"/>
      <c r="AO507" s="2803"/>
      <c r="AP507" s="2803"/>
      <c r="AQ507" s="2803"/>
      <c r="AR507" s="2803"/>
      <c r="AS507" s="2804"/>
      <c r="AT507" s="1509"/>
      <c r="AU507" s="1509"/>
      <c r="AV507" s="1509"/>
      <c r="AW507" s="1516"/>
      <c r="AX507" s="1499"/>
      <c r="BC507" s="1517"/>
    </row>
    <row r="508" spans="1:55" s="1498" customFormat="1" ht="13" customHeight="1">
      <c r="A508" s="1499"/>
      <c r="C508" s="1577"/>
      <c r="D508" s="1491"/>
      <c r="E508" s="1491"/>
      <c r="F508" s="1491"/>
      <c r="G508" s="1491"/>
      <c r="H508" s="1491"/>
      <c r="I508" s="1512"/>
      <c r="J508" s="1518"/>
      <c r="K508" s="1555"/>
      <c r="L508" s="1555"/>
      <c r="M508" s="1555"/>
      <c r="N508" s="1555"/>
      <c r="O508" s="1556"/>
      <c r="P508" s="2805"/>
      <c r="Q508" s="2806"/>
      <c r="R508" s="2806"/>
      <c r="S508" s="2806"/>
      <c r="T508" s="2806"/>
      <c r="U508" s="2806"/>
      <c r="V508" s="2806"/>
      <c r="W508" s="2806"/>
      <c r="X508" s="2806"/>
      <c r="Y508" s="2806"/>
      <c r="Z508" s="2806"/>
      <c r="AA508" s="2806"/>
      <c r="AB508" s="2806"/>
      <c r="AC508" s="2806"/>
      <c r="AD508" s="2806"/>
      <c r="AE508" s="2806"/>
      <c r="AF508" s="2806"/>
      <c r="AG508" s="2806"/>
      <c r="AH508" s="2806"/>
      <c r="AI508" s="2806"/>
      <c r="AJ508" s="2806"/>
      <c r="AK508" s="2806"/>
      <c r="AL508" s="2806"/>
      <c r="AM508" s="2806"/>
      <c r="AN508" s="2806"/>
      <c r="AO508" s="2806"/>
      <c r="AP508" s="2806"/>
      <c r="AQ508" s="2806"/>
      <c r="AR508" s="2806"/>
      <c r="AS508" s="2807"/>
      <c r="AT508" s="1509"/>
      <c r="AU508" s="1509"/>
      <c r="AV508" s="1509"/>
      <c r="AW508" s="1516"/>
      <c r="AX508" s="1499"/>
      <c r="BC508" s="1517"/>
    </row>
    <row r="509" spans="1:55" s="1498" customFormat="1" ht="13" customHeight="1">
      <c r="A509" s="1499"/>
      <c r="C509" s="1513"/>
      <c r="D509" s="1491"/>
      <c r="E509" s="1491"/>
      <c r="F509" s="1491"/>
      <c r="G509" s="1491"/>
      <c r="H509" s="1491"/>
      <c r="I509" s="1512"/>
      <c r="J509" s="1518"/>
      <c r="K509" s="1555"/>
      <c r="L509" s="1555"/>
      <c r="M509" s="1555"/>
      <c r="N509" s="1555"/>
      <c r="O509" s="1556"/>
      <c r="P509" s="2805"/>
      <c r="Q509" s="2806"/>
      <c r="R509" s="2806"/>
      <c r="S509" s="2806"/>
      <c r="T509" s="2806"/>
      <c r="U509" s="2806"/>
      <c r="V509" s="2806"/>
      <c r="W509" s="2806"/>
      <c r="X509" s="2806"/>
      <c r="Y509" s="2806"/>
      <c r="Z509" s="2806"/>
      <c r="AA509" s="2806"/>
      <c r="AB509" s="2806"/>
      <c r="AC509" s="2806"/>
      <c r="AD509" s="2806"/>
      <c r="AE509" s="2806"/>
      <c r="AF509" s="2806"/>
      <c r="AG509" s="2806"/>
      <c r="AH509" s="2806"/>
      <c r="AI509" s="2806"/>
      <c r="AJ509" s="2806"/>
      <c r="AK509" s="2806"/>
      <c r="AL509" s="2806"/>
      <c r="AM509" s="2806"/>
      <c r="AN509" s="2806"/>
      <c r="AO509" s="2806"/>
      <c r="AP509" s="2806"/>
      <c r="AQ509" s="2806"/>
      <c r="AR509" s="2806"/>
      <c r="AS509" s="2807"/>
      <c r="AT509" s="1509"/>
      <c r="AU509" s="1509"/>
      <c r="AV509" s="1509"/>
      <c r="AW509" s="1516"/>
      <c r="AX509" s="1499"/>
      <c r="BC509" s="1517"/>
    </row>
    <row r="510" spans="1:55" s="1498" customFormat="1" ht="13" customHeight="1">
      <c r="A510" s="1499"/>
      <c r="C510" s="1513"/>
      <c r="D510" s="1491"/>
      <c r="E510" s="1491"/>
      <c r="F510" s="1491"/>
      <c r="G510" s="1491"/>
      <c r="H510" s="1491"/>
      <c r="I510" s="1512"/>
      <c r="J510" s="1518"/>
      <c r="K510" s="1555"/>
      <c r="L510" s="1555"/>
      <c r="M510" s="1555"/>
      <c r="N510" s="1555"/>
      <c r="O510" s="1556"/>
      <c r="P510" s="2805"/>
      <c r="Q510" s="2806"/>
      <c r="R510" s="2806"/>
      <c r="S510" s="2806"/>
      <c r="T510" s="2806"/>
      <c r="U510" s="2806"/>
      <c r="V510" s="2806"/>
      <c r="W510" s="2806"/>
      <c r="X510" s="2806"/>
      <c r="Y510" s="2806"/>
      <c r="Z510" s="2806"/>
      <c r="AA510" s="2806"/>
      <c r="AB510" s="2806"/>
      <c r="AC510" s="2806"/>
      <c r="AD510" s="2806"/>
      <c r="AE510" s="2806"/>
      <c r="AF510" s="2806"/>
      <c r="AG510" s="2806"/>
      <c r="AH510" s="2806"/>
      <c r="AI510" s="2806"/>
      <c r="AJ510" s="2806"/>
      <c r="AK510" s="2806"/>
      <c r="AL510" s="2806"/>
      <c r="AM510" s="2806"/>
      <c r="AN510" s="2806"/>
      <c r="AO510" s="2806"/>
      <c r="AP510" s="2806"/>
      <c r="AQ510" s="2806"/>
      <c r="AR510" s="2806"/>
      <c r="AS510" s="2807"/>
      <c r="AT510" s="1509"/>
      <c r="AU510" s="1509"/>
      <c r="AV510" s="1509"/>
      <c r="AW510" s="1516"/>
      <c r="AX510" s="1499"/>
      <c r="BC510" s="1517"/>
    </row>
    <row r="511" spans="1:55" s="1498" customFormat="1" ht="13" customHeight="1">
      <c r="A511" s="1499"/>
      <c r="C511" s="1513"/>
      <c r="D511" s="1491"/>
      <c r="E511" s="1491"/>
      <c r="F511" s="1491"/>
      <c r="G511" s="1491"/>
      <c r="H511" s="1491"/>
      <c r="I511" s="1512"/>
      <c r="J511" s="1518"/>
      <c r="K511" s="1555"/>
      <c r="L511" s="1555"/>
      <c r="M511" s="1555"/>
      <c r="N511" s="1555"/>
      <c r="O511" s="1556"/>
      <c r="P511" s="2805"/>
      <c r="Q511" s="2806"/>
      <c r="R511" s="2806"/>
      <c r="S511" s="2806"/>
      <c r="T511" s="2806"/>
      <c r="U511" s="2806"/>
      <c r="V511" s="2806"/>
      <c r="W511" s="2806"/>
      <c r="X511" s="2806"/>
      <c r="Y511" s="2806"/>
      <c r="Z511" s="2806"/>
      <c r="AA511" s="2806"/>
      <c r="AB511" s="2806"/>
      <c r="AC511" s="2806"/>
      <c r="AD511" s="2806"/>
      <c r="AE511" s="2806"/>
      <c r="AF511" s="2806"/>
      <c r="AG511" s="2806"/>
      <c r="AH511" s="2806"/>
      <c r="AI511" s="2806"/>
      <c r="AJ511" s="2806"/>
      <c r="AK511" s="2806"/>
      <c r="AL511" s="2806"/>
      <c r="AM511" s="2806"/>
      <c r="AN511" s="2806"/>
      <c r="AO511" s="2806"/>
      <c r="AP511" s="2806"/>
      <c r="AQ511" s="2806"/>
      <c r="AR511" s="2806"/>
      <c r="AS511" s="2807"/>
      <c r="AT511" s="1509"/>
      <c r="AU511" s="1509"/>
      <c r="AV511" s="1509"/>
      <c r="AW511" s="1516"/>
      <c r="AX511" s="1499"/>
      <c r="BC511" s="1517"/>
    </row>
    <row r="512" spans="1:55" s="1498" customFormat="1" ht="13" customHeight="1">
      <c r="A512" s="1499"/>
      <c r="C512" s="1513"/>
      <c r="D512" s="1491"/>
      <c r="E512" s="1491"/>
      <c r="F512" s="1491"/>
      <c r="G512" s="1491"/>
      <c r="H512" s="1491"/>
      <c r="I512" s="1512"/>
      <c r="J512" s="1518"/>
      <c r="K512" s="1555"/>
      <c r="L512" s="1555"/>
      <c r="M512" s="1555"/>
      <c r="N512" s="1555"/>
      <c r="O512" s="1556"/>
      <c r="P512" s="2805"/>
      <c r="Q512" s="2806"/>
      <c r="R512" s="2806"/>
      <c r="S512" s="2806"/>
      <c r="T512" s="2806"/>
      <c r="U512" s="2806"/>
      <c r="V512" s="2806"/>
      <c r="W512" s="2806"/>
      <c r="X512" s="2806"/>
      <c r="Y512" s="2806"/>
      <c r="Z512" s="2806"/>
      <c r="AA512" s="2806"/>
      <c r="AB512" s="2806"/>
      <c r="AC512" s="2806"/>
      <c r="AD512" s="2806"/>
      <c r="AE512" s="2806"/>
      <c r="AF512" s="2806"/>
      <c r="AG512" s="2806"/>
      <c r="AH512" s="2806"/>
      <c r="AI512" s="2806"/>
      <c r="AJ512" s="2806"/>
      <c r="AK512" s="2806"/>
      <c r="AL512" s="2806"/>
      <c r="AM512" s="2806"/>
      <c r="AN512" s="2806"/>
      <c r="AO512" s="2806"/>
      <c r="AP512" s="2806"/>
      <c r="AQ512" s="2806"/>
      <c r="AR512" s="2806"/>
      <c r="AS512" s="2807"/>
      <c r="AT512" s="1509"/>
      <c r="AU512" s="1509"/>
      <c r="AV512" s="1509"/>
      <c r="AW512" s="1516"/>
      <c r="AX512" s="1499"/>
      <c r="BC512" s="1517"/>
    </row>
    <row r="513" spans="1:55" s="1498" customFormat="1" ht="13" customHeight="1">
      <c r="A513" s="1499"/>
      <c r="C513" s="1513"/>
      <c r="D513" s="1491"/>
      <c r="E513" s="1491"/>
      <c r="F513" s="1491"/>
      <c r="G513" s="1491"/>
      <c r="H513" s="1491"/>
      <c r="I513" s="1512"/>
      <c r="J513" s="1518"/>
      <c r="K513" s="1555"/>
      <c r="L513" s="1555"/>
      <c r="M513" s="1555"/>
      <c r="N513" s="1555"/>
      <c r="O513" s="1556"/>
      <c r="P513" s="2805"/>
      <c r="Q513" s="2806"/>
      <c r="R513" s="2806"/>
      <c r="S513" s="2806"/>
      <c r="T513" s="2806"/>
      <c r="U513" s="2806"/>
      <c r="V513" s="2806"/>
      <c r="W513" s="2806"/>
      <c r="X513" s="2806"/>
      <c r="Y513" s="2806"/>
      <c r="Z513" s="2806"/>
      <c r="AA513" s="2806"/>
      <c r="AB513" s="2806"/>
      <c r="AC513" s="2806"/>
      <c r="AD513" s="2806"/>
      <c r="AE513" s="2806"/>
      <c r="AF513" s="2806"/>
      <c r="AG513" s="2806"/>
      <c r="AH513" s="2806"/>
      <c r="AI513" s="2806"/>
      <c r="AJ513" s="2806"/>
      <c r="AK513" s="2806"/>
      <c r="AL513" s="2806"/>
      <c r="AM513" s="2806"/>
      <c r="AN513" s="2806"/>
      <c r="AO513" s="2806"/>
      <c r="AP513" s="2806"/>
      <c r="AQ513" s="2806"/>
      <c r="AR513" s="2806"/>
      <c r="AS513" s="2807"/>
      <c r="AT513" s="1509"/>
      <c r="AU513" s="1509"/>
      <c r="AV513" s="1509"/>
      <c r="AW513" s="1516"/>
      <c r="AX513" s="1499"/>
      <c r="BC513" s="1517"/>
    </row>
    <row r="514" spans="1:55" s="1498" customFormat="1" ht="13" customHeight="1">
      <c r="A514" s="1499"/>
      <c r="C514" s="1513"/>
      <c r="D514" s="1491"/>
      <c r="E514" s="1491"/>
      <c r="F514" s="1491"/>
      <c r="G514" s="1491"/>
      <c r="H514" s="1491"/>
      <c r="I514" s="1512"/>
      <c r="J514" s="1518"/>
      <c r="K514" s="1555"/>
      <c r="L514" s="1555"/>
      <c r="M514" s="1555"/>
      <c r="N514" s="1555"/>
      <c r="O514" s="1556"/>
      <c r="P514" s="2805"/>
      <c r="Q514" s="2806"/>
      <c r="R514" s="2806"/>
      <c r="S514" s="2806"/>
      <c r="T514" s="2806"/>
      <c r="U514" s="2806"/>
      <c r="V514" s="2806"/>
      <c r="W514" s="2806"/>
      <c r="X514" s="2806"/>
      <c r="Y514" s="2806"/>
      <c r="Z514" s="2806"/>
      <c r="AA514" s="2806"/>
      <c r="AB514" s="2806"/>
      <c r="AC514" s="2806"/>
      <c r="AD514" s="2806"/>
      <c r="AE514" s="2806"/>
      <c r="AF514" s="2806"/>
      <c r="AG514" s="2806"/>
      <c r="AH514" s="2806"/>
      <c r="AI514" s="2806"/>
      <c r="AJ514" s="2806"/>
      <c r="AK514" s="2806"/>
      <c r="AL514" s="2806"/>
      <c r="AM514" s="2806"/>
      <c r="AN514" s="2806"/>
      <c r="AO514" s="2806"/>
      <c r="AP514" s="2806"/>
      <c r="AQ514" s="2806"/>
      <c r="AR514" s="2806"/>
      <c r="AS514" s="2807"/>
      <c r="AT514" s="1509"/>
      <c r="AU514" s="1509"/>
      <c r="AV514" s="1509"/>
      <c r="AW514" s="1516"/>
      <c r="AX514" s="1499"/>
      <c r="BC514" s="1517"/>
    </row>
    <row r="515" spans="1:55" s="1498" customFormat="1" ht="13" customHeight="1">
      <c r="A515" s="1499"/>
      <c r="C515" s="1513"/>
      <c r="D515" s="1491"/>
      <c r="E515" s="1491"/>
      <c r="F515" s="1491"/>
      <c r="G515" s="1491"/>
      <c r="H515" s="1491"/>
      <c r="I515" s="1512"/>
      <c r="J515" s="1518"/>
      <c r="K515" s="1555"/>
      <c r="L515" s="1555"/>
      <c r="M515" s="1555"/>
      <c r="N515" s="1555"/>
      <c r="O515" s="1556"/>
      <c r="P515" s="2805"/>
      <c r="Q515" s="2806"/>
      <c r="R515" s="2806"/>
      <c r="S515" s="2806"/>
      <c r="T515" s="2806"/>
      <c r="U515" s="2806"/>
      <c r="V515" s="2806"/>
      <c r="W515" s="2806"/>
      <c r="X515" s="2806"/>
      <c r="Y515" s="2806"/>
      <c r="Z515" s="2806"/>
      <c r="AA515" s="2806"/>
      <c r="AB515" s="2806"/>
      <c r="AC515" s="2806"/>
      <c r="AD515" s="2806"/>
      <c r="AE515" s="2806"/>
      <c r="AF515" s="2806"/>
      <c r="AG515" s="2806"/>
      <c r="AH515" s="2806"/>
      <c r="AI515" s="2806"/>
      <c r="AJ515" s="2806"/>
      <c r="AK515" s="2806"/>
      <c r="AL515" s="2806"/>
      <c r="AM515" s="2806"/>
      <c r="AN515" s="2806"/>
      <c r="AO515" s="2806"/>
      <c r="AP515" s="2806"/>
      <c r="AQ515" s="2806"/>
      <c r="AR515" s="2806"/>
      <c r="AS515" s="2807"/>
      <c r="AT515" s="1509"/>
      <c r="AU515" s="1509"/>
      <c r="AV515" s="1509"/>
      <c r="AW515" s="1516"/>
      <c r="AX515" s="1499"/>
      <c r="BC515" s="1517"/>
    </row>
    <row r="516" spans="1:55" s="1498" customFormat="1" ht="13" customHeight="1">
      <c r="A516" s="1499"/>
      <c r="C516" s="1521"/>
      <c r="D516" s="1522"/>
      <c r="E516" s="1522"/>
      <c r="F516" s="1522"/>
      <c r="G516" s="1522"/>
      <c r="H516" s="1522"/>
      <c r="I516" s="1523"/>
      <c r="J516" s="1557"/>
      <c r="K516" s="1558"/>
      <c r="L516" s="1558"/>
      <c r="M516" s="1558"/>
      <c r="N516" s="1558"/>
      <c r="O516" s="1559"/>
      <c r="P516" s="2808"/>
      <c r="Q516" s="2809"/>
      <c r="R516" s="2809"/>
      <c r="S516" s="2809"/>
      <c r="T516" s="2809"/>
      <c r="U516" s="2809"/>
      <c r="V516" s="2809"/>
      <c r="W516" s="2809"/>
      <c r="X516" s="2809"/>
      <c r="Y516" s="2809"/>
      <c r="Z516" s="2809"/>
      <c r="AA516" s="2809"/>
      <c r="AB516" s="2809"/>
      <c r="AC516" s="2809"/>
      <c r="AD516" s="2809"/>
      <c r="AE516" s="2809"/>
      <c r="AF516" s="2809"/>
      <c r="AG516" s="2809"/>
      <c r="AH516" s="2809"/>
      <c r="AI516" s="2809"/>
      <c r="AJ516" s="2809"/>
      <c r="AK516" s="2809"/>
      <c r="AL516" s="2809"/>
      <c r="AM516" s="2809"/>
      <c r="AN516" s="2809"/>
      <c r="AO516" s="2809"/>
      <c r="AP516" s="2809"/>
      <c r="AQ516" s="2809"/>
      <c r="AR516" s="2809"/>
      <c r="AS516" s="2810"/>
      <c r="AT516" s="1509"/>
      <c r="AU516" s="1509"/>
      <c r="AV516" s="1509"/>
      <c r="AW516" s="1516"/>
      <c r="AX516" s="1499"/>
      <c r="BC516" s="1517"/>
    </row>
    <row r="517" spans="1:55" s="1498" customFormat="1" ht="13" hidden="1" customHeight="1" thickBot="1">
      <c r="A517" s="1499"/>
      <c r="C517" s="1560"/>
      <c r="D517" s="1561"/>
      <c r="E517" s="1561"/>
      <c r="F517" s="1561"/>
      <c r="G517" s="1561"/>
      <c r="H517" s="1561"/>
      <c r="I517" s="1561"/>
      <c r="J517" s="1563" t="s">
        <v>896</v>
      </c>
      <c r="K517" s="1564"/>
      <c r="L517" s="1564"/>
      <c r="M517" s="1564"/>
      <c r="N517" s="1564"/>
      <c r="O517" s="1565"/>
      <c r="P517" s="1561"/>
      <c r="Q517" s="1561"/>
      <c r="R517" s="1561"/>
      <c r="S517" s="1561"/>
      <c r="T517" s="1561"/>
      <c r="U517" s="1566" t="str">
        <f>IF(OR('1_入力シート【基本情報】'!EB322="レ",'1_入力シート【基本情報】'!EC322="レ",'1_入力シート【基本情報】'!EG322="レ",'1_入力シート【基本情報】'!EH322="レ"),"レ","")</f>
        <v/>
      </c>
      <c r="V517" s="1561" t="s">
        <v>904</v>
      </c>
      <c r="W517" s="1561"/>
      <c r="X517" s="1567"/>
      <c r="Y517" s="1567"/>
      <c r="Z517" s="1568" t="s">
        <v>905</v>
      </c>
      <c r="AA517" s="2811" t="str">
        <f>IF('1_入力シート【基本情報】'!ED322&lt;&gt;"",'1_入力シート【基本情報】'!ED322,IF('1_入力シート【基本情報】'!EI322&lt;&gt;"",'1_入力シート【基本情報】'!EI322,""))</f>
        <v/>
      </c>
      <c r="AB517" s="2818"/>
      <c r="AC517" s="1561" t="s">
        <v>889</v>
      </c>
      <c r="AD517" s="2811" t="str">
        <f>IF('1_入力シート【基本情報】'!EE322&lt;&gt;"",'1_入力シート【基本情報】'!EE322,IF('1_入力シート【基本情報】'!EJ322&lt;&gt;"",'1_入力シート【基本情報】'!EJ322,""))</f>
        <v/>
      </c>
      <c r="AE517" s="2811"/>
      <c r="AF517" s="1561" t="str">
        <f>IF(OR('1_入力シート【基本情報】'!EC322="レ",'1_入力シート【基本情報】'!EH322="レ"),"月に改善)","月に改善予定)")</f>
        <v>月に改善予定)</v>
      </c>
      <c r="AG517" s="1561"/>
      <c r="AH517" s="1561"/>
      <c r="AI517" s="1561"/>
      <c r="AJ517" s="1561"/>
      <c r="AK517" s="1561"/>
      <c r="AL517" s="1569" t="str">
        <f>IF(OR('1_入力シート【基本情報】'!EF322="レ",'1_入力シート【基本情報】'!EK322="レ"),"レ","")</f>
        <v/>
      </c>
      <c r="AM517" s="1561" t="s">
        <v>906</v>
      </c>
      <c r="AN517" s="1561"/>
      <c r="AO517" s="1561"/>
      <c r="AP517" s="1561"/>
      <c r="AQ517" s="1561"/>
      <c r="AR517" s="1561"/>
      <c r="AS517" s="1570"/>
      <c r="AT517" s="1509"/>
      <c r="AU517" s="1509"/>
      <c r="AV517" s="1509"/>
      <c r="AW517" s="1516"/>
      <c r="AX517" s="1499"/>
      <c r="BC517" s="1517"/>
    </row>
    <row r="518" spans="1:55" s="1498" customFormat="1" ht="13" hidden="1" customHeight="1">
      <c r="A518" s="1499"/>
      <c r="C518" s="1571" t="s">
        <v>899</v>
      </c>
      <c r="D518" s="1502"/>
      <c r="E518" s="1502"/>
      <c r="F518" s="1502"/>
      <c r="G518" s="1502"/>
      <c r="H518" s="1502"/>
      <c r="I518" s="1503"/>
      <c r="J518" s="1572" t="s">
        <v>891</v>
      </c>
      <c r="K518" s="1573"/>
      <c r="L518" s="1573"/>
      <c r="M518" s="1573"/>
      <c r="N518" s="1573"/>
      <c r="O518" s="1574"/>
      <c r="P518" s="1505"/>
      <c r="Q518" s="1505"/>
      <c r="R518" s="1505"/>
      <c r="S518" s="1505"/>
      <c r="T518" s="1505"/>
      <c r="U518" s="1575" t="str">
        <f>IF('1_入力シート【基本情報】'!DP349="レ","レ",IF('1_入力シート【基本情報】'!DO349="レ","レ",""))</f>
        <v/>
      </c>
      <c r="V518" s="1505" t="s">
        <v>892</v>
      </c>
      <c r="W518" s="1505"/>
      <c r="X518" s="1505"/>
      <c r="Y518" s="1505"/>
      <c r="Z518" s="1505"/>
      <c r="AA518" s="1505"/>
      <c r="AB518" s="1506"/>
      <c r="AC518" s="1505" t="s">
        <v>467</v>
      </c>
      <c r="AD518" s="1507" t="str">
        <f>'1_入力シート【基本情報】'!DP349</f>
        <v/>
      </c>
      <c r="AE518" s="1505" t="s">
        <v>893</v>
      </c>
      <c r="AF518" s="1505"/>
      <c r="AG518" s="1505"/>
      <c r="AH518" s="1505"/>
      <c r="AI518" s="1505"/>
      <c r="AJ518" s="1506"/>
      <c r="AK518" s="1505"/>
      <c r="AL518" s="1505"/>
      <c r="AM518" s="1505"/>
      <c r="AN518" s="1505"/>
      <c r="AO518" s="1505"/>
      <c r="AP518" s="1505"/>
      <c r="AQ518" s="1505"/>
      <c r="AR518" s="1505"/>
      <c r="AS518" s="1576"/>
      <c r="AT518" s="1509"/>
      <c r="AU518" s="1509"/>
      <c r="AV518" s="1509"/>
      <c r="AW518" s="1516"/>
      <c r="AX518" s="1499"/>
      <c r="BC518" s="1517"/>
    </row>
    <row r="519" spans="1:55" s="1498" customFormat="1" ht="13" hidden="1" customHeight="1" thickBot="1">
      <c r="A519" s="1499"/>
      <c r="C519" s="1577" t="s">
        <v>900</v>
      </c>
      <c r="D519" s="1511"/>
      <c r="E519" s="1511"/>
      <c r="F519" s="1511"/>
      <c r="G519" s="1511"/>
      <c r="H519" s="1511"/>
      <c r="I519" s="1512"/>
      <c r="J519" s="1557"/>
      <c r="K519" s="1558"/>
      <c r="L519" s="1558"/>
      <c r="M519" s="1558"/>
      <c r="N519" s="1558"/>
      <c r="O519" s="1559"/>
      <c r="P519" s="1522"/>
      <c r="Q519" s="1522"/>
      <c r="R519" s="1522"/>
      <c r="S519" s="1522"/>
      <c r="T519" s="1522"/>
      <c r="U519" s="1578" t="str">
        <f>IF(OR('1_入力シート【基本情報】'!DN349="レ",'1_入力シート【基本情報】'!DM349="レ"),"レ","")</f>
        <v/>
      </c>
      <c r="V519" s="1522" t="s">
        <v>903</v>
      </c>
      <c r="W519" s="1522"/>
      <c r="X519" s="1522"/>
      <c r="Y519" s="1522"/>
      <c r="Z519" s="1522"/>
      <c r="AA519" s="1522"/>
      <c r="AB519" s="1522"/>
      <c r="AC519" s="1522"/>
      <c r="AD519" s="1522"/>
      <c r="AE519" s="1522"/>
      <c r="AF519" s="1522"/>
      <c r="AG519" s="1522"/>
      <c r="AH519" s="1522"/>
      <c r="AI519" s="1522"/>
      <c r="AJ519" s="1522"/>
      <c r="AK519" s="1522"/>
      <c r="AL519" s="1522"/>
      <c r="AM519" s="1522"/>
      <c r="AN519" s="1522"/>
      <c r="AO519" s="1522"/>
      <c r="AP519" s="1522"/>
      <c r="AQ519" s="1522"/>
      <c r="AR519" s="1522"/>
      <c r="AS519" s="1579"/>
      <c r="AT519" s="1509"/>
      <c r="AU519" s="1509"/>
      <c r="AV519" s="1509"/>
      <c r="AW519" s="1516"/>
      <c r="AX519" s="1499"/>
      <c r="BC519" s="1517"/>
    </row>
    <row r="520" spans="1:55" s="1498" customFormat="1" ht="13" customHeight="1">
      <c r="A520" s="1499"/>
      <c r="C520" s="2823" t="s">
        <v>900</v>
      </c>
      <c r="D520" s="2824"/>
      <c r="E520" s="2824"/>
      <c r="F520" s="2824"/>
      <c r="G520" s="2824"/>
      <c r="H520" s="2824"/>
      <c r="I520" s="2825"/>
      <c r="J520" s="2819" t="s">
        <v>895</v>
      </c>
      <c r="K520" s="2820"/>
      <c r="L520" s="2820"/>
      <c r="M520" s="2820"/>
      <c r="N520" s="2820"/>
      <c r="O520" s="2821"/>
      <c r="P520" s="2802" t="str">
        <f>'1_入力シート【基本情報】'!$DY$349</f>
        <v/>
      </c>
      <c r="Q520" s="2803"/>
      <c r="R520" s="2803"/>
      <c r="S520" s="2803"/>
      <c r="T520" s="2803"/>
      <c r="U520" s="2803"/>
      <c r="V520" s="2803"/>
      <c r="W520" s="2803"/>
      <c r="X520" s="2803"/>
      <c r="Y520" s="2803"/>
      <c r="Z520" s="2803"/>
      <c r="AA520" s="2803"/>
      <c r="AB520" s="2803"/>
      <c r="AC520" s="2803"/>
      <c r="AD520" s="2803"/>
      <c r="AE520" s="2803"/>
      <c r="AF520" s="2803"/>
      <c r="AG520" s="2803"/>
      <c r="AH520" s="2803"/>
      <c r="AI520" s="2803"/>
      <c r="AJ520" s="2803"/>
      <c r="AK520" s="2803"/>
      <c r="AL520" s="2803"/>
      <c r="AM520" s="2803"/>
      <c r="AN520" s="2803"/>
      <c r="AO520" s="2803"/>
      <c r="AP520" s="2803"/>
      <c r="AQ520" s="2803"/>
      <c r="AR520" s="2803"/>
      <c r="AS520" s="2804"/>
      <c r="AT520" s="1509"/>
      <c r="AU520" s="1509"/>
      <c r="AV520" s="1509"/>
      <c r="AW520" s="1516"/>
      <c r="AX520" s="1499"/>
      <c r="BC520" s="1517"/>
    </row>
    <row r="521" spans="1:55" s="1498" customFormat="1" ht="13" customHeight="1">
      <c r="A521" s="1499"/>
      <c r="C521" s="1577"/>
      <c r="D521" s="1491"/>
      <c r="E521" s="1491"/>
      <c r="F521" s="1491"/>
      <c r="G521" s="1491"/>
      <c r="H521" s="1491"/>
      <c r="I521" s="1512"/>
      <c r="J521" s="1518"/>
      <c r="K521" s="1555"/>
      <c r="L521" s="1555"/>
      <c r="M521" s="1555"/>
      <c r="N521" s="1555"/>
      <c r="O521" s="1556"/>
      <c r="P521" s="2805"/>
      <c r="Q521" s="2806"/>
      <c r="R521" s="2806"/>
      <c r="S521" s="2806"/>
      <c r="T521" s="2806"/>
      <c r="U521" s="2806"/>
      <c r="V521" s="2806"/>
      <c r="W521" s="2806"/>
      <c r="X521" s="2806"/>
      <c r="Y521" s="2806"/>
      <c r="Z521" s="2806"/>
      <c r="AA521" s="2806"/>
      <c r="AB521" s="2806"/>
      <c r="AC521" s="2806"/>
      <c r="AD521" s="2806"/>
      <c r="AE521" s="2806"/>
      <c r="AF521" s="2806"/>
      <c r="AG521" s="2806"/>
      <c r="AH521" s="2806"/>
      <c r="AI521" s="2806"/>
      <c r="AJ521" s="2806"/>
      <c r="AK521" s="2806"/>
      <c r="AL521" s="2806"/>
      <c r="AM521" s="2806"/>
      <c r="AN521" s="2806"/>
      <c r="AO521" s="2806"/>
      <c r="AP521" s="2806"/>
      <c r="AQ521" s="2806"/>
      <c r="AR521" s="2806"/>
      <c r="AS521" s="2807"/>
      <c r="AT521" s="1509"/>
      <c r="AU521" s="1509"/>
      <c r="AV521" s="1509"/>
      <c r="AW521" s="1516"/>
      <c r="AX521" s="1499"/>
      <c r="BC521" s="1517"/>
    </row>
    <row r="522" spans="1:55" s="1498" customFormat="1" ht="16.5" customHeight="1">
      <c r="A522" s="1499"/>
      <c r="C522" s="1513"/>
      <c r="D522" s="1491"/>
      <c r="E522" s="1491"/>
      <c r="F522" s="1491"/>
      <c r="G522" s="1491"/>
      <c r="H522" s="1491"/>
      <c r="I522" s="1512"/>
      <c r="J522" s="1518"/>
      <c r="K522" s="1555"/>
      <c r="L522" s="1555"/>
      <c r="M522" s="1555"/>
      <c r="N522" s="1555"/>
      <c r="O522" s="1556"/>
      <c r="P522" s="2805"/>
      <c r="Q522" s="2806"/>
      <c r="R522" s="2806"/>
      <c r="S522" s="2806"/>
      <c r="T522" s="2806"/>
      <c r="U522" s="2806"/>
      <c r="V522" s="2806"/>
      <c r="W522" s="2806"/>
      <c r="X522" s="2806"/>
      <c r="Y522" s="2806"/>
      <c r="Z522" s="2806"/>
      <c r="AA522" s="2806"/>
      <c r="AB522" s="2806"/>
      <c r="AC522" s="2806"/>
      <c r="AD522" s="2806"/>
      <c r="AE522" s="2806"/>
      <c r="AF522" s="2806"/>
      <c r="AG522" s="2806"/>
      <c r="AH522" s="2806"/>
      <c r="AI522" s="2806"/>
      <c r="AJ522" s="2806"/>
      <c r="AK522" s="2806"/>
      <c r="AL522" s="2806"/>
      <c r="AM522" s="2806"/>
      <c r="AN522" s="2806"/>
      <c r="AO522" s="2806"/>
      <c r="AP522" s="2806"/>
      <c r="AQ522" s="2806"/>
      <c r="AR522" s="2806"/>
      <c r="AS522" s="2807"/>
      <c r="AT522" s="1509"/>
      <c r="AU522" s="1509"/>
      <c r="AV522" s="1509"/>
      <c r="AW522" s="1516"/>
      <c r="AX522" s="1499"/>
      <c r="BC522" s="1517"/>
    </row>
    <row r="523" spans="1:55" s="1498" customFormat="1" ht="13" customHeight="1">
      <c r="A523" s="1499"/>
      <c r="C523" s="1513"/>
      <c r="D523" s="1491"/>
      <c r="E523" s="1491"/>
      <c r="F523" s="1491"/>
      <c r="G523" s="1491"/>
      <c r="H523" s="1491"/>
      <c r="I523" s="1512"/>
      <c r="J523" s="1518"/>
      <c r="K523" s="1555"/>
      <c r="L523" s="1555"/>
      <c r="M523" s="1555"/>
      <c r="N523" s="1555"/>
      <c r="O523" s="1556"/>
      <c r="P523" s="2805"/>
      <c r="Q523" s="2806"/>
      <c r="R523" s="2806"/>
      <c r="S523" s="2806"/>
      <c r="T523" s="2806"/>
      <c r="U523" s="2806"/>
      <c r="V523" s="2806"/>
      <c r="W523" s="2806"/>
      <c r="X523" s="2806"/>
      <c r="Y523" s="2806"/>
      <c r="Z523" s="2806"/>
      <c r="AA523" s="2806"/>
      <c r="AB523" s="2806"/>
      <c r="AC523" s="2806"/>
      <c r="AD523" s="2806"/>
      <c r="AE523" s="2806"/>
      <c r="AF523" s="2806"/>
      <c r="AG523" s="2806"/>
      <c r="AH523" s="2806"/>
      <c r="AI523" s="2806"/>
      <c r="AJ523" s="2806"/>
      <c r="AK523" s="2806"/>
      <c r="AL523" s="2806"/>
      <c r="AM523" s="2806"/>
      <c r="AN523" s="2806"/>
      <c r="AO523" s="2806"/>
      <c r="AP523" s="2806"/>
      <c r="AQ523" s="2806"/>
      <c r="AR523" s="2806"/>
      <c r="AS523" s="2807"/>
      <c r="AT523" s="1509"/>
      <c r="AU523" s="1509"/>
      <c r="AV523" s="1509"/>
      <c r="AW523" s="1516"/>
      <c r="AX523" s="1499"/>
      <c r="BC523" s="1517"/>
    </row>
    <row r="524" spans="1:55" s="1498" customFormat="1" ht="13" customHeight="1">
      <c r="A524" s="1499"/>
      <c r="C524" s="1513"/>
      <c r="D524" s="1491"/>
      <c r="E524" s="1491"/>
      <c r="F524" s="1491"/>
      <c r="G524" s="1491"/>
      <c r="H524" s="1491"/>
      <c r="I524" s="1512"/>
      <c r="J524" s="1518"/>
      <c r="K524" s="1555"/>
      <c r="L524" s="1555"/>
      <c r="M524" s="1555"/>
      <c r="N524" s="1555"/>
      <c r="O524" s="1556"/>
      <c r="P524" s="2805"/>
      <c r="Q524" s="2806"/>
      <c r="R524" s="2806"/>
      <c r="S524" s="2806"/>
      <c r="T524" s="2806"/>
      <c r="U524" s="2806"/>
      <c r="V524" s="2806"/>
      <c r="W524" s="2806"/>
      <c r="X524" s="2806"/>
      <c r="Y524" s="2806"/>
      <c r="Z524" s="2806"/>
      <c r="AA524" s="2806"/>
      <c r="AB524" s="2806"/>
      <c r="AC524" s="2806"/>
      <c r="AD524" s="2806"/>
      <c r="AE524" s="2806"/>
      <c r="AF524" s="2806"/>
      <c r="AG524" s="2806"/>
      <c r="AH524" s="2806"/>
      <c r="AI524" s="2806"/>
      <c r="AJ524" s="2806"/>
      <c r="AK524" s="2806"/>
      <c r="AL524" s="2806"/>
      <c r="AM524" s="2806"/>
      <c r="AN524" s="2806"/>
      <c r="AO524" s="2806"/>
      <c r="AP524" s="2806"/>
      <c r="AQ524" s="2806"/>
      <c r="AR524" s="2806"/>
      <c r="AS524" s="2807"/>
      <c r="AT524" s="1509"/>
      <c r="AU524" s="1509"/>
      <c r="AV524" s="1509"/>
      <c r="AW524" s="1516"/>
      <c r="AX524" s="1499"/>
      <c r="BC524" s="1517"/>
    </row>
    <row r="525" spans="1:55" s="1498" customFormat="1" ht="13" customHeight="1">
      <c r="A525" s="1499"/>
      <c r="C525" s="1513"/>
      <c r="D525" s="1491"/>
      <c r="E525" s="1491"/>
      <c r="F525" s="1491"/>
      <c r="G525" s="1491"/>
      <c r="H525" s="1491"/>
      <c r="I525" s="1512"/>
      <c r="J525" s="1518"/>
      <c r="K525" s="1555"/>
      <c r="L525" s="1555"/>
      <c r="M525" s="1555"/>
      <c r="N525" s="1555"/>
      <c r="O525" s="1556"/>
      <c r="P525" s="2805"/>
      <c r="Q525" s="2806"/>
      <c r="R525" s="2806"/>
      <c r="S525" s="2806"/>
      <c r="T525" s="2806"/>
      <c r="U525" s="2806"/>
      <c r="V525" s="2806"/>
      <c r="W525" s="2806"/>
      <c r="X525" s="2806"/>
      <c r="Y525" s="2806"/>
      <c r="Z525" s="2806"/>
      <c r="AA525" s="2806"/>
      <c r="AB525" s="2806"/>
      <c r="AC525" s="2806"/>
      <c r="AD525" s="2806"/>
      <c r="AE525" s="2806"/>
      <c r="AF525" s="2806"/>
      <c r="AG525" s="2806"/>
      <c r="AH525" s="2806"/>
      <c r="AI525" s="2806"/>
      <c r="AJ525" s="2806"/>
      <c r="AK525" s="2806"/>
      <c r="AL525" s="2806"/>
      <c r="AM525" s="2806"/>
      <c r="AN525" s="2806"/>
      <c r="AO525" s="2806"/>
      <c r="AP525" s="2806"/>
      <c r="AQ525" s="2806"/>
      <c r="AR525" s="2806"/>
      <c r="AS525" s="2807"/>
      <c r="AT525" s="1509"/>
      <c r="AU525" s="1509"/>
      <c r="AV525" s="1509"/>
      <c r="AW525" s="1516"/>
      <c r="AX525" s="1499"/>
      <c r="BC525" s="1517"/>
    </row>
    <row r="526" spans="1:55" s="1498" customFormat="1" ht="13" customHeight="1">
      <c r="A526" s="1499"/>
      <c r="C526" s="1513"/>
      <c r="D526" s="1491"/>
      <c r="E526" s="1491"/>
      <c r="F526" s="1491"/>
      <c r="G526" s="1491"/>
      <c r="H526" s="1491"/>
      <c r="I526" s="1512"/>
      <c r="J526" s="1518"/>
      <c r="K526" s="1555"/>
      <c r="L526" s="1555"/>
      <c r="M526" s="1555"/>
      <c r="N526" s="1555"/>
      <c r="O526" s="1556"/>
      <c r="P526" s="2805"/>
      <c r="Q526" s="2806"/>
      <c r="R526" s="2806"/>
      <c r="S526" s="2806"/>
      <c r="T526" s="2806"/>
      <c r="U526" s="2806"/>
      <c r="V526" s="2806"/>
      <c r="W526" s="2806"/>
      <c r="X526" s="2806"/>
      <c r="Y526" s="2806"/>
      <c r="Z526" s="2806"/>
      <c r="AA526" s="2806"/>
      <c r="AB526" s="2806"/>
      <c r="AC526" s="2806"/>
      <c r="AD526" s="2806"/>
      <c r="AE526" s="2806"/>
      <c r="AF526" s="2806"/>
      <c r="AG526" s="2806"/>
      <c r="AH526" s="2806"/>
      <c r="AI526" s="2806"/>
      <c r="AJ526" s="2806"/>
      <c r="AK526" s="2806"/>
      <c r="AL526" s="2806"/>
      <c r="AM526" s="2806"/>
      <c r="AN526" s="2806"/>
      <c r="AO526" s="2806"/>
      <c r="AP526" s="2806"/>
      <c r="AQ526" s="2806"/>
      <c r="AR526" s="2806"/>
      <c r="AS526" s="2807"/>
      <c r="AT526" s="1509"/>
      <c r="AU526" s="1509"/>
      <c r="AV526" s="1509"/>
      <c r="AW526" s="1516"/>
      <c r="AX526" s="1499"/>
      <c r="BC526" s="1517"/>
    </row>
    <row r="527" spans="1:55" s="1498" customFormat="1" ht="13" customHeight="1">
      <c r="A527" s="1499"/>
      <c r="C527" s="1513"/>
      <c r="D527" s="1491"/>
      <c r="E527" s="1491"/>
      <c r="F527" s="1491"/>
      <c r="G527" s="1491"/>
      <c r="H527" s="1491"/>
      <c r="I527" s="1512"/>
      <c r="J527" s="1518"/>
      <c r="K527" s="1555"/>
      <c r="L527" s="1555"/>
      <c r="M527" s="1555"/>
      <c r="N527" s="1555"/>
      <c r="O527" s="1556"/>
      <c r="P527" s="2805"/>
      <c r="Q527" s="2806"/>
      <c r="R527" s="2806"/>
      <c r="S527" s="2806"/>
      <c r="T527" s="2806"/>
      <c r="U527" s="2806"/>
      <c r="V527" s="2806"/>
      <c r="W527" s="2806"/>
      <c r="X527" s="2806"/>
      <c r="Y527" s="2806"/>
      <c r="Z527" s="2806"/>
      <c r="AA527" s="2806"/>
      <c r="AB527" s="2806"/>
      <c r="AC527" s="2806"/>
      <c r="AD527" s="2806"/>
      <c r="AE527" s="2806"/>
      <c r="AF527" s="2806"/>
      <c r="AG527" s="2806"/>
      <c r="AH527" s="2806"/>
      <c r="AI527" s="2806"/>
      <c r="AJ527" s="2806"/>
      <c r="AK527" s="2806"/>
      <c r="AL527" s="2806"/>
      <c r="AM527" s="2806"/>
      <c r="AN527" s="2806"/>
      <c r="AO527" s="2806"/>
      <c r="AP527" s="2806"/>
      <c r="AQ527" s="2806"/>
      <c r="AR527" s="2806"/>
      <c r="AS527" s="2807"/>
      <c r="AT527" s="1509"/>
      <c r="AU527" s="1509"/>
      <c r="AV527" s="1509"/>
      <c r="AW527" s="1516"/>
      <c r="AX527" s="1499"/>
      <c r="BC527" s="1517"/>
    </row>
    <row r="528" spans="1:55" s="1498" customFormat="1" ht="13" customHeight="1">
      <c r="A528" s="1499"/>
      <c r="C528" s="1521"/>
      <c r="D528" s="1522"/>
      <c r="E528" s="1522"/>
      <c r="F528" s="1522"/>
      <c r="G528" s="1522"/>
      <c r="H528" s="1522"/>
      <c r="I528" s="1523"/>
      <c r="J528" s="1557"/>
      <c r="K528" s="1558"/>
      <c r="L528" s="1558"/>
      <c r="M528" s="1558"/>
      <c r="N528" s="1558"/>
      <c r="O528" s="1559"/>
      <c r="P528" s="2808"/>
      <c r="Q528" s="2809"/>
      <c r="R528" s="2809"/>
      <c r="S528" s="2809"/>
      <c r="T528" s="2809"/>
      <c r="U528" s="2809"/>
      <c r="V528" s="2809"/>
      <c r="W528" s="2809"/>
      <c r="X528" s="2809"/>
      <c r="Y528" s="2809"/>
      <c r="Z528" s="2809"/>
      <c r="AA528" s="2809"/>
      <c r="AB528" s="2809"/>
      <c r="AC528" s="2809"/>
      <c r="AD528" s="2809"/>
      <c r="AE528" s="2809"/>
      <c r="AF528" s="2809"/>
      <c r="AG528" s="2809"/>
      <c r="AH528" s="2809"/>
      <c r="AI528" s="2809"/>
      <c r="AJ528" s="2809"/>
      <c r="AK528" s="2809"/>
      <c r="AL528" s="2809"/>
      <c r="AM528" s="2809"/>
      <c r="AN528" s="2809"/>
      <c r="AO528" s="2809"/>
      <c r="AP528" s="2809"/>
      <c r="AQ528" s="2809"/>
      <c r="AR528" s="2809"/>
      <c r="AS528" s="2810"/>
      <c r="AT528" s="1509"/>
      <c r="AU528" s="1509"/>
      <c r="AV528" s="1509"/>
      <c r="AW528" s="1516"/>
      <c r="AX528" s="1499"/>
      <c r="BC528" s="1517"/>
    </row>
    <row r="529" spans="1:55" s="1498" customFormat="1" ht="13" hidden="1" customHeight="1" thickBot="1">
      <c r="A529" s="1499"/>
      <c r="C529" s="1560"/>
      <c r="D529" s="1561"/>
      <c r="E529" s="1561"/>
      <c r="F529" s="1561"/>
      <c r="G529" s="1561"/>
      <c r="H529" s="1561"/>
      <c r="I529" s="1561"/>
      <c r="J529" s="1563" t="s">
        <v>896</v>
      </c>
      <c r="K529" s="1564"/>
      <c r="L529" s="1564"/>
      <c r="M529" s="1564"/>
      <c r="N529" s="1564"/>
      <c r="O529" s="1565"/>
      <c r="P529" s="1561"/>
      <c r="Q529" s="1561"/>
      <c r="R529" s="1561"/>
      <c r="S529" s="1561"/>
      <c r="T529" s="1561"/>
      <c r="U529" s="1566" t="str">
        <f>IF(OR('1_入力シート【基本情報】'!EB349="レ",'1_入力シート【基本情報】'!EC349="レ",'1_入力シート【基本情報】'!EG349="レ",'1_入力シート【基本情報】'!EH349="レ"),"レ","")</f>
        <v/>
      </c>
      <c r="V529" s="1561" t="s">
        <v>904</v>
      </c>
      <c r="W529" s="1561"/>
      <c r="X529" s="1567"/>
      <c r="Y529" s="1567"/>
      <c r="Z529" s="1568" t="s">
        <v>905</v>
      </c>
      <c r="AA529" s="2811" t="str">
        <f>IF('1_入力シート【基本情報】'!ED349&lt;&gt;"",'1_入力シート【基本情報】'!ED349,IF('1_入力シート【基本情報】'!EI349&lt;&gt;"",'1_入力シート【基本情報】'!EI349,""))</f>
        <v/>
      </c>
      <c r="AB529" s="2818"/>
      <c r="AC529" s="1561" t="s">
        <v>889</v>
      </c>
      <c r="AD529" s="2811" t="str">
        <f>IF('1_入力シート【基本情報】'!EE349&lt;&gt;"",'1_入力シート【基本情報】'!EE349,IF('1_入力シート【基本情報】'!EJ349&lt;&gt;"",'1_入力シート【基本情報】'!EJ349,""))</f>
        <v/>
      </c>
      <c r="AE529" s="2811"/>
      <c r="AF529" s="1561" t="str">
        <f>IF(OR('1_入力シート【基本情報】'!EC349="レ",'1_入力シート【基本情報】'!EH349="レ"),"月に改善)","月に改善予定)")</f>
        <v>月に改善予定)</v>
      </c>
      <c r="AG529" s="1561"/>
      <c r="AH529" s="1561"/>
      <c r="AI529" s="1561"/>
      <c r="AJ529" s="1561"/>
      <c r="AK529" s="1561"/>
      <c r="AL529" s="1569" t="str">
        <f>IF(OR('1_入力シート【基本情報】'!EF349="レ",'1_入力シート【基本情報】'!EK349="レ"),"レ","")</f>
        <v/>
      </c>
      <c r="AM529" s="1561" t="s">
        <v>906</v>
      </c>
      <c r="AN529" s="1561"/>
      <c r="AO529" s="1561"/>
      <c r="AP529" s="1561"/>
      <c r="AQ529" s="1561"/>
      <c r="AR529" s="1561"/>
      <c r="AS529" s="1570"/>
      <c r="AT529" s="1509"/>
      <c r="AU529" s="1509"/>
      <c r="AV529" s="1509"/>
      <c r="AW529" s="1516"/>
      <c r="AX529" s="1499"/>
      <c r="BC529" s="1517"/>
    </row>
    <row r="530" spans="1:55" s="1498" customFormat="1" ht="13" hidden="1" customHeight="1">
      <c r="A530" s="1499"/>
      <c r="C530" s="1571" t="s">
        <v>901</v>
      </c>
      <c r="D530" s="1502"/>
      <c r="E530" s="1502"/>
      <c r="F530" s="1502"/>
      <c r="G530" s="1502"/>
      <c r="H530" s="1502"/>
      <c r="I530" s="1580"/>
      <c r="J530" s="1572" t="s">
        <v>891</v>
      </c>
      <c r="K530" s="1573"/>
      <c r="L530" s="1573"/>
      <c r="M530" s="1573"/>
      <c r="N530" s="1573"/>
      <c r="O530" s="1574"/>
      <c r="P530" s="1505"/>
      <c r="Q530" s="1505"/>
      <c r="R530" s="1506"/>
      <c r="S530" s="1506"/>
      <c r="T530" s="1506"/>
      <c r="U530" s="1575" t="str">
        <f>IF('1_入力シート【基本情報】'!DP367="レ","レ",IF('1_入力シート【基本情報】'!DO367="レ","レ",""))</f>
        <v/>
      </c>
      <c r="V530" s="1505" t="s">
        <v>892</v>
      </c>
      <c r="W530" s="1505"/>
      <c r="X530" s="1505"/>
      <c r="Y530" s="1505"/>
      <c r="Z530" s="1505"/>
      <c r="AA530" s="1505"/>
      <c r="AB530" s="1506"/>
      <c r="AC530" s="1505" t="s">
        <v>467</v>
      </c>
      <c r="AD530" s="1507" t="str">
        <f>'1_入力シート【基本情報】'!DP367</f>
        <v/>
      </c>
      <c r="AE530" s="1505" t="s">
        <v>893</v>
      </c>
      <c r="AF530" s="1505"/>
      <c r="AG530" s="1505"/>
      <c r="AH530" s="1505"/>
      <c r="AI530" s="1505"/>
      <c r="AJ530" s="1506"/>
      <c r="AK530" s="1505"/>
      <c r="AL530" s="1505"/>
      <c r="AM530" s="1505"/>
      <c r="AN530" s="1505"/>
      <c r="AO530" s="1505"/>
      <c r="AP530" s="1505"/>
      <c r="AQ530" s="1505"/>
      <c r="AR530" s="1505"/>
      <c r="AS530" s="1576"/>
      <c r="AT530" s="1509"/>
      <c r="AU530" s="1509"/>
      <c r="AV530" s="1509"/>
      <c r="AW530" s="1516"/>
      <c r="AX530" s="1499"/>
      <c r="BC530" s="1517"/>
    </row>
    <row r="531" spans="1:55" s="1498" customFormat="1" ht="13" hidden="1" customHeight="1" thickBot="1">
      <c r="A531" s="1499"/>
      <c r="C531" s="1577" t="s">
        <v>902</v>
      </c>
      <c r="D531" s="1511"/>
      <c r="E531" s="1511"/>
      <c r="F531" s="1511"/>
      <c r="G531" s="1511"/>
      <c r="H531" s="1511"/>
      <c r="I531" s="1581"/>
      <c r="J531" s="1557"/>
      <c r="K531" s="1558"/>
      <c r="L531" s="1558"/>
      <c r="M531" s="1558"/>
      <c r="N531" s="1558"/>
      <c r="O531" s="1559"/>
      <c r="P531" s="1522"/>
      <c r="Q531" s="1522"/>
      <c r="R531" s="1522"/>
      <c r="S531" s="1522"/>
      <c r="T531" s="1522"/>
      <c r="U531" s="1578" t="str">
        <f>IF(OR('1_入力シート【基本情報】'!DN367="レ",'1_入力シート【基本情報】'!DM367="レ"),"レ","")</f>
        <v/>
      </c>
      <c r="V531" s="1522" t="s">
        <v>903</v>
      </c>
      <c r="W531" s="1522"/>
      <c r="X531" s="1522"/>
      <c r="Y531" s="1522"/>
      <c r="Z531" s="1522"/>
      <c r="AA531" s="1522"/>
      <c r="AB531" s="1522"/>
      <c r="AC531" s="1522"/>
      <c r="AD531" s="1522"/>
      <c r="AE531" s="1522"/>
      <c r="AF531" s="1522"/>
      <c r="AG531" s="1522"/>
      <c r="AH531" s="1522"/>
      <c r="AI531" s="1522"/>
      <c r="AJ531" s="1522"/>
      <c r="AK531" s="1522"/>
      <c r="AL531" s="1522"/>
      <c r="AM531" s="1522"/>
      <c r="AN531" s="1522"/>
      <c r="AO531" s="1522"/>
      <c r="AP531" s="1522"/>
      <c r="AQ531" s="1522"/>
      <c r="AR531" s="1522"/>
      <c r="AS531" s="1579"/>
      <c r="AT531" s="1509"/>
      <c r="AU531" s="1509"/>
      <c r="AV531" s="1509"/>
      <c r="AW531" s="1516"/>
      <c r="AX531" s="1499"/>
      <c r="BC531" s="1517"/>
    </row>
    <row r="532" spans="1:55" s="1498" customFormat="1" ht="13" customHeight="1">
      <c r="A532" s="1499"/>
      <c r="C532" s="2823" t="s">
        <v>902</v>
      </c>
      <c r="D532" s="2824"/>
      <c r="E532" s="2824"/>
      <c r="F532" s="2824"/>
      <c r="G532" s="2824"/>
      <c r="H532" s="2824"/>
      <c r="I532" s="2825"/>
      <c r="J532" s="2819" t="s">
        <v>895</v>
      </c>
      <c r="K532" s="2820"/>
      <c r="L532" s="2820"/>
      <c r="M532" s="2820"/>
      <c r="N532" s="2820"/>
      <c r="O532" s="2821"/>
      <c r="P532" s="2802" t="str">
        <f>'1_入力シート【基本情報】'!$DY$367&amp;IF(AND('1_入力シート【基本情報】'!$DY$367&lt;&gt;"",'1_入力シート【基本情報】'!$DY$490&lt;&gt;""),", ","")&amp;'1_入力シート【基本情報】'!$DY$490</f>
        <v/>
      </c>
      <c r="Q532" s="2803"/>
      <c r="R532" s="2803"/>
      <c r="S532" s="2803"/>
      <c r="T532" s="2803"/>
      <c r="U532" s="2803"/>
      <c r="V532" s="2803"/>
      <c r="W532" s="2803"/>
      <c r="X532" s="2803"/>
      <c r="Y532" s="2803"/>
      <c r="Z532" s="2803"/>
      <c r="AA532" s="2803"/>
      <c r="AB532" s="2803"/>
      <c r="AC532" s="2803"/>
      <c r="AD532" s="2803"/>
      <c r="AE532" s="2803"/>
      <c r="AF532" s="2803"/>
      <c r="AG532" s="2803"/>
      <c r="AH532" s="2803"/>
      <c r="AI532" s="2803"/>
      <c r="AJ532" s="2803"/>
      <c r="AK532" s="2803"/>
      <c r="AL532" s="2803"/>
      <c r="AM532" s="2803"/>
      <c r="AN532" s="2803"/>
      <c r="AO532" s="2803"/>
      <c r="AP532" s="2803"/>
      <c r="AQ532" s="2803"/>
      <c r="AR532" s="2803"/>
      <c r="AS532" s="2804"/>
      <c r="AT532" s="1509"/>
      <c r="AU532" s="1509"/>
      <c r="AV532" s="1509"/>
      <c r="AW532" s="1516"/>
      <c r="AX532" s="1499"/>
      <c r="BC532" s="1517"/>
    </row>
    <row r="533" spans="1:55" s="1498" customFormat="1" ht="13" customHeight="1">
      <c r="A533" s="1499"/>
      <c r="C533" s="1577"/>
      <c r="D533" s="1491"/>
      <c r="E533" s="1491"/>
      <c r="F533" s="1491"/>
      <c r="G533" s="1491"/>
      <c r="H533" s="1491"/>
      <c r="I533" s="1512"/>
      <c r="J533" s="1518"/>
      <c r="K533" s="1555"/>
      <c r="L533" s="1555"/>
      <c r="M533" s="1555"/>
      <c r="N533" s="1555"/>
      <c r="O533" s="1556"/>
      <c r="P533" s="2805"/>
      <c r="Q533" s="2806"/>
      <c r="R533" s="2806"/>
      <c r="S533" s="2806"/>
      <c r="T533" s="2806"/>
      <c r="U533" s="2806"/>
      <c r="V533" s="2806"/>
      <c r="W533" s="2806"/>
      <c r="X533" s="2806"/>
      <c r="Y533" s="2806"/>
      <c r="Z533" s="2806"/>
      <c r="AA533" s="2806"/>
      <c r="AB533" s="2806"/>
      <c r="AC533" s="2806"/>
      <c r="AD533" s="2806"/>
      <c r="AE533" s="2806"/>
      <c r="AF533" s="2806"/>
      <c r="AG533" s="2806"/>
      <c r="AH533" s="2806"/>
      <c r="AI533" s="2806"/>
      <c r="AJ533" s="2806"/>
      <c r="AK533" s="2806"/>
      <c r="AL533" s="2806"/>
      <c r="AM533" s="2806"/>
      <c r="AN533" s="2806"/>
      <c r="AO533" s="2806"/>
      <c r="AP533" s="2806"/>
      <c r="AQ533" s="2806"/>
      <c r="AR533" s="2806"/>
      <c r="AS533" s="2807"/>
      <c r="AT533" s="1509"/>
      <c r="AU533" s="1509"/>
      <c r="AV533" s="1509"/>
      <c r="AW533" s="1516"/>
      <c r="AX533" s="1499"/>
      <c r="BC533" s="1517"/>
    </row>
    <row r="534" spans="1:55" s="1498" customFormat="1" ht="13" customHeight="1">
      <c r="A534" s="1499"/>
      <c r="C534" s="1513"/>
      <c r="D534" s="1491"/>
      <c r="E534" s="1491"/>
      <c r="F534" s="1491"/>
      <c r="G534" s="1491"/>
      <c r="H534" s="1491"/>
      <c r="I534" s="1512"/>
      <c r="J534" s="1518"/>
      <c r="K534" s="1555"/>
      <c r="L534" s="1555"/>
      <c r="M534" s="1555"/>
      <c r="N534" s="1555"/>
      <c r="O534" s="1556"/>
      <c r="P534" s="2805"/>
      <c r="Q534" s="2806"/>
      <c r="R534" s="2806"/>
      <c r="S534" s="2806"/>
      <c r="T534" s="2806"/>
      <c r="U534" s="2806"/>
      <c r="V534" s="2806"/>
      <c r="W534" s="2806"/>
      <c r="X534" s="2806"/>
      <c r="Y534" s="2806"/>
      <c r="Z534" s="2806"/>
      <c r="AA534" s="2806"/>
      <c r="AB534" s="2806"/>
      <c r="AC534" s="2806"/>
      <c r="AD534" s="2806"/>
      <c r="AE534" s="2806"/>
      <c r="AF534" s="2806"/>
      <c r="AG534" s="2806"/>
      <c r="AH534" s="2806"/>
      <c r="AI534" s="2806"/>
      <c r="AJ534" s="2806"/>
      <c r="AK534" s="2806"/>
      <c r="AL534" s="2806"/>
      <c r="AM534" s="2806"/>
      <c r="AN534" s="2806"/>
      <c r="AO534" s="2806"/>
      <c r="AP534" s="2806"/>
      <c r="AQ534" s="2806"/>
      <c r="AR534" s="2806"/>
      <c r="AS534" s="2807"/>
      <c r="AT534" s="1509"/>
      <c r="AU534" s="1509"/>
      <c r="AV534" s="1509"/>
      <c r="AW534" s="1516"/>
      <c r="AX534" s="1499"/>
      <c r="BC534" s="1517"/>
    </row>
    <row r="535" spans="1:55" s="1498" customFormat="1" ht="13" customHeight="1">
      <c r="A535" s="1499"/>
      <c r="C535" s="1513"/>
      <c r="D535" s="1491"/>
      <c r="E535" s="1491"/>
      <c r="F535" s="1491"/>
      <c r="G535" s="1491"/>
      <c r="H535" s="1491"/>
      <c r="I535" s="1512"/>
      <c r="J535" s="1518"/>
      <c r="K535" s="1555"/>
      <c r="L535" s="1555"/>
      <c r="M535" s="1555"/>
      <c r="N535" s="1555"/>
      <c r="O535" s="1556"/>
      <c r="P535" s="2805"/>
      <c r="Q535" s="2806"/>
      <c r="R535" s="2806"/>
      <c r="S535" s="2806"/>
      <c r="T535" s="2806"/>
      <c r="U535" s="2806"/>
      <c r="V535" s="2806"/>
      <c r="W535" s="2806"/>
      <c r="X535" s="2806"/>
      <c r="Y535" s="2806"/>
      <c r="Z535" s="2806"/>
      <c r="AA535" s="2806"/>
      <c r="AB535" s="2806"/>
      <c r="AC535" s="2806"/>
      <c r="AD535" s="2806"/>
      <c r="AE535" s="2806"/>
      <c r="AF535" s="2806"/>
      <c r="AG535" s="2806"/>
      <c r="AH535" s="2806"/>
      <c r="AI535" s="2806"/>
      <c r="AJ535" s="2806"/>
      <c r="AK535" s="2806"/>
      <c r="AL535" s="2806"/>
      <c r="AM535" s="2806"/>
      <c r="AN535" s="2806"/>
      <c r="AO535" s="2806"/>
      <c r="AP535" s="2806"/>
      <c r="AQ535" s="2806"/>
      <c r="AR535" s="2806"/>
      <c r="AS535" s="2807"/>
      <c r="AT535" s="1509"/>
      <c r="AU535" s="1509"/>
      <c r="AV535" s="1509"/>
      <c r="AW535" s="1516"/>
      <c r="AX535" s="1499"/>
      <c r="BC535" s="1517"/>
    </row>
    <row r="536" spans="1:55" s="1498" customFormat="1" ht="13" customHeight="1">
      <c r="A536" s="1499"/>
      <c r="C536" s="1513"/>
      <c r="D536" s="1491"/>
      <c r="E536" s="1491"/>
      <c r="F536" s="1491"/>
      <c r="G536" s="1491"/>
      <c r="H536" s="1491"/>
      <c r="I536" s="1512"/>
      <c r="J536" s="1518"/>
      <c r="K536" s="1555"/>
      <c r="L536" s="1555"/>
      <c r="M536" s="1555"/>
      <c r="N536" s="1555"/>
      <c r="O536" s="1556"/>
      <c r="P536" s="2805"/>
      <c r="Q536" s="2806"/>
      <c r="R536" s="2806"/>
      <c r="S536" s="2806"/>
      <c r="T536" s="2806"/>
      <c r="U536" s="2806"/>
      <c r="V536" s="2806"/>
      <c r="W536" s="2806"/>
      <c r="X536" s="2806"/>
      <c r="Y536" s="2806"/>
      <c r="Z536" s="2806"/>
      <c r="AA536" s="2806"/>
      <c r="AB536" s="2806"/>
      <c r="AC536" s="2806"/>
      <c r="AD536" s="2806"/>
      <c r="AE536" s="2806"/>
      <c r="AF536" s="2806"/>
      <c r="AG536" s="2806"/>
      <c r="AH536" s="2806"/>
      <c r="AI536" s="2806"/>
      <c r="AJ536" s="2806"/>
      <c r="AK536" s="2806"/>
      <c r="AL536" s="2806"/>
      <c r="AM536" s="2806"/>
      <c r="AN536" s="2806"/>
      <c r="AO536" s="2806"/>
      <c r="AP536" s="2806"/>
      <c r="AQ536" s="2806"/>
      <c r="AR536" s="2806"/>
      <c r="AS536" s="2807"/>
      <c r="AT536" s="1509"/>
      <c r="AU536" s="1509"/>
      <c r="AV536" s="1509"/>
      <c r="AW536" s="1516"/>
      <c r="AX536" s="1499"/>
      <c r="BC536" s="1517"/>
    </row>
    <row r="537" spans="1:55" s="1498" customFormat="1" ht="13" customHeight="1">
      <c r="A537" s="1499"/>
      <c r="C537" s="1513"/>
      <c r="D537" s="1491"/>
      <c r="E537" s="1491"/>
      <c r="F537" s="1491"/>
      <c r="G537" s="1491"/>
      <c r="H537" s="1491"/>
      <c r="I537" s="1512"/>
      <c r="J537" s="1518"/>
      <c r="K537" s="1555"/>
      <c r="L537" s="1555"/>
      <c r="M537" s="1555"/>
      <c r="N537" s="1555"/>
      <c r="O537" s="1556"/>
      <c r="P537" s="2805"/>
      <c r="Q537" s="2806"/>
      <c r="R537" s="2806"/>
      <c r="S537" s="2806"/>
      <c r="T537" s="2806"/>
      <c r="U537" s="2806"/>
      <c r="V537" s="2806"/>
      <c r="W537" s="2806"/>
      <c r="X537" s="2806"/>
      <c r="Y537" s="2806"/>
      <c r="Z537" s="2806"/>
      <c r="AA537" s="2806"/>
      <c r="AB537" s="2806"/>
      <c r="AC537" s="2806"/>
      <c r="AD537" s="2806"/>
      <c r="AE537" s="2806"/>
      <c r="AF537" s="2806"/>
      <c r="AG537" s="2806"/>
      <c r="AH537" s="2806"/>
      <c r="AI537" s="2806"/>
      <c r="AJ537" s="2806"/>
      <c r="AK537" s="2806"/>
      <c r="AL537" s="2806"/>
      <c r="AM537" s="2806"/>
      <c r="AN537" s="2806"/>
      <c r="AO537" s="2806"/>
      <c r="AP537" s="2806"/>
      <c r="AQ537" s="2806"/>
      <c r="AR537" s="2806"/>
      <c r="AS537" s="2807"/>
      <c r="AT537" s="1509"/>
      <c r="AU537" s="1509"/>
      <c r="AV537" s="1509"/>
      <c r="AW537" s="1516"/>
      <c r="AX537" s="1499"/>
      <c r="BC537" s="1517"/>
    </row>
    <row r="538" spans="1:55" s="1498" customFormat="1" ht="13" customHeight="1">
      <c r="A538" s="1499"/>
      <c r="C538" s="1513"/>
      <c r="D538" s="1491"/>
      <c r="E538" s="1491"/>
      <c r="F538" s="1491"/>
      <c r="G538" s="1491"/>
      <c r="H538" s="1491"/>
      <c r="I538" s="1512"/>
      <c r="J538" s="1518"/>
      <c r="K538" s="1555"/>
      <c r="L538" s="1555"/>
      <c r="M538" s="1555"/>
      <c r="N538" s="1555"/>
      <c r="O538" s="1556"/>
      <c r="P538" s="2805"/>
      <c r="Q538" s="2806"/>
      <c r="R538" s="2806"/>
      <c r="S538" s="2806"/>
      <c r="T538" s="2806"/>
      <c r="U538" s="2806"/>
      <c r="V538" s="2806"/>
      <c r="W538" s="2806"/>
      <c r="X538" s="2806"/>
      <c r="Y538" s="2806"/>
      <c r="Z538" s="2806"/>
      <c r="AA538" s="2806"/>
      <c r="AB538" s="2806"/>
      <c r="AC538" s="2806"/>
      <c r="AD538" s="2806"/>
      <c r="AE538" s="2806"/>
      <c r="AF538" s="2806"/>
      <c r="AG538" s="2806"/>
      <c r="AH538" s="2806"/>
      <c r="AI538" s="2806"/>
      <c r="AJ538" s="2806"/>
      <c r="AK538" s="2806"/>
      <c r="AL538" s="2806"/>
      <c r="AM538" s="2806"/>
      <c r="AN538" s="2806"/>
      <c r="AO538" s="2806"/>
      <c r="AP538" s="2806"/>
      <c r="AQ538" s="2806"/>
      <c r="AR538" s="2806"/>
      <c r="AS538" s="2807"/>
      <c r="AT538" s="1509"/>
      <c r="AU538" s="1509"/>
      <c r="AV538" s="1509"/>
      <c r="AW538" s="1516"/>
      <c r="AX538" s="1499"/>
      <c r="BC538" s="1517"/>
    </row>
    <row r="539" spans="1:55" s="1498" customFormat="1" ht="13" customHeight="1">
      <c r="A539" s="1499"/>
      <c r="C539" s="1513"/>
      <c r="D539" s="1491"/>
      <c r="E539" s="1491"/>
      <c r="F539" s="1491"/>
      <c r="G539" s="1491"/>
      <c r="H539" s="1491"/>
      <c r="I539" s="1512"/>
      <c r="J539" s="1518"/>
      <c r="K539" s="1555"/>
      <c r="L539" s="1555"/>
      <c r="M539" s="1555"/>
      <c r="N539" s="1555"/>
      <c r="O539" s="1556"/>
      <c r="P539" s="2805"/>
      <c r="Q539" s="2806"/>
      <c r="R539" s="2806"/>
      <c r="S539" s="2806"/>
      <c r="T539" s="2806"/>
      <c r="U539" s="2806"/>
      <c r="V539" s="2806"/>
      <c r="W539" s="2806"/>
      <c r="X539" s="2806"/>
      <c r="Y539" s="2806"/>
      <c r="Z539" s="2806"/>
      <c r="AA539" s="2806"/>
      <c r="AB539" s="2806"/>
      <c r="AC539" s="2806"/>
      <c r="AD539" s="2806"/>
      <c r="AE539" s="2806"/>
      <c r="AF539" s="2806"/>
      <c r="AG539" s="2806"/>
      <c r="AH539" s="2806"/>
      <c r="AI539" s="2806"/>
      <c r="AJ539" s="2806"/>
      <c r="AK539" s="2806"/>
      <c r="AL539" s="2806"/>
      <c r="AM539" s="2806"/>
      <c r="AN539" s="2806"/>
      <c r="AO539" s="2806"/>
      <c r="AP539" s="2806"/>
      <c r="AQ539" s="2806"/>
      <c r="AR539" s="2806"/>
      <c r="AS539" s="2807"/>
      <c r="AT539" s="1509"/>
      <c r="AU539" s="1509"/>
      <c r="AV539" s="1509"/>
      <c r="AW539" s="1516"/>
      <c r="AX539" s="1499"/>
      <c r="BC539" s="1517"/>
    </row>
    <row r="540" spans="1:55" s="1498" customFormat="1" ht="13" customHeight="1">
      <c r="A540" s="1499"/>
      <c r="C540" s="1513"/>
      <c r="D540" s="1491"/>
      <c r="E540" s="1491"/>
      <c r="F540" s="1491"/>
      <c r="G540" s="1491"/>
      <c r="H540" s="1491"/>
      <c r="I540" s="1512"/>
      <c r="J540" s="1518"/>
      <c r="K540" s="1555"/>
      <c r="L540" s="1555"/>
      <c r="M540" s="1555"/>
      <c r="N540" s="1555"/>
      <c r="O540" s="1556"/>
      <c r="P540" s="2805"/>
      <c r="Q540" s="2806"/>
      <c r="R540" s="2806"/>
      <c r="S540" s="2806"/>
      <c r="T540" s="2806"/>
      <c r="U540" s="2806"/>
      <c r="V540" s="2806"/>
      <c r="W540" s="2806"/>
      <c r="X540" s="2806"/>
      <c r="Y540" s="2806"/>
      <c r="Z540" s="2806"/>
      <c r="AA540" s="2806"/>
      <c r="AB540" s="2806"/>
      <c r="AC540" s="2806"/>
      <c r="AD540" s="2806"/>
      <c r="AE540" s="2806"/>
      <c r="AF540" s="2806"/>
      <c r="AG540" s="2806"/>
      <c r="AH540" s="2806"/>
      <c r="AI540" s="2806"/>
      <c r="AJ540" s="2806"/>
      <c r="AK540" s="2806"/>
      <c r="AL540" s="2806"/>
      <c r="AM540" s="2806"/>
      <c r="AN540" s="2806"/>
      <c r="AO540" s="2806"/>
      <c r="AP540" s="2806"/>
      <c r="AQ540" s="2806"/>
      <c r="AR540" s="2806"/>
      <c r="AS540" s="2807"/>
      <c r="AT540" s="1509"/>
      <c r="AU540" s="1509"/>
      <c r="AV540" s="1509"/>
      <c r="AW540" s="1516"/>
      <c r="AX540" s="1499"/>
      <c r="BC540" s="1517"/>
    </row>
    <row r="541" spans="1:55" s="1498" customFormat="1" ht="13" customHeight="1">
      <c r="A541" s="1499"/>
      <c r="C541" s="1513"/>
      <c r="D541" s="1491"/>
      <c r="E541" s="1491"/>
      <c r="F541" s="1491"/>
      <c r="G541" s="1491"/>
      <c r="H541" s="1491"/>
      <c r="I541" s="1512"/>
      <c r="J541" s="1518"/>
      <c r="K541" s="1555"/>
      <c r="L541" s="1555"/>
      <c r="M541" s="1555"/>
      <c r="N541" s="1555"/>
      <c r="O541" s="1556"/>
      <c r="P541" s="2805"/>
      <c r="Q541" s="2806"/>
      <c r="R541" s="2806"/>
      <c r="S541" s="2806"/>
      <c r="T541" s="2806"/>
      <c r="U541" s="2806"/>
      <c r="V541" s="2806"/>
      <c r="W541" s="2806"/>
      <c r="X541" s="2806"/>
      <c r="Y541" s="2806"/>
      <c r="Z541" s="2806"/>
      <c r="AA541" s="2806"/>
      <c r="AB541" s="2806"/>
      <c r="AC541" s="2806"/>
      <c r="AD541" s="2806"/>
      <c r="AE541" s="2806"/>
      <c r="AF541" s="2806"/>
      <c r="AG541" s="2806"/>
      <c r="AH541" s="2806"/>
      <c r="AI541" s="2806"/>
      <c r="AJ541" s="2806"/>
      <c r="AK541" s="2806"/>
      <c r="AL541" s="2806"/>
      <c r="AM541" s="2806"/>
      <c r="AN541" s="2806"/>
      <c r="AO541" s="2806"/>
      <c r="AP541" s="2806"/>
      <c r="AQ541" s="2806"/>
      <c r="AR541" s="2806"/>
      <c r="AS541" s="2807"/>
      <c r="AT541" s="1509"/>
      <c r="AU541" s="1509"/>
      <c r="AV541" s="1509"/>
      <c r="AW541" s="1516"/>
      <c r="AX541" s="1499"/>
      <c r="BC541" s="1517"/>
    </row>
    <row r="542" spans="1:55" s="1498" customFormat="1" ht="13" customHeight="1">
      <c r="A542" s="1499"/>
      <c r="C542" s="1513"/>
      <c r="D542" s="1491"/>
      <c r="E542" s="1491"/>
      <c r="F542" s="1491"/>
      <c r="G542" s="1491"/>
      <c r="H542" s="1491"/>
      <c r="I542" s="1512"/>
      <c r="J542" s="1518"/>
      <c r="K542" s="1555"/>
      <c r="L542" s="1555"/>
      <c r="M542" s="1555"/>
      <c r="N542" s="1555"/>
      <c r="O542" s="1556"/>
      <c r="P542" s="2805"/>
      <c r="Q542" s="2806"/>
      <c r="R542" s="2806"/>
      <c r="S542" s="2806"/>
      <c r="T542" s="2806"/>
      <c r="U542" s="2806"/>
      <c r="V542" s="2806"/>
      <c r="W542" s="2806"/>
      <c r="X542" s="2806"/>
      <c r="Y542" s="2806"/>
      <c r="Z542" s="2806"/>
      <c r="AA542" s="2806"/>
      <c r="AB542" s="2806"/>
      <c r="AC542" s="2806"/>
      <c r="AD542" s="2806"/>
      <c r="AE542" s="2806"/>
      <c r="AF542" s="2806"/>
      <c r="AG542" s="2806"/>
      <c r="AH542" s="2806"/>
      <c r="AI542" s="2806"/>
      <c r="AJ542" s="2806"/>
      <c r="AK542" s="2806"/>
      <c r="AL542" s="2806"/>
      <c r="AM542" s="2806"/>
      <c r="AN542" s="2806"/>
      <c r="AO542" s="2806"/>
      <c r="AP542" s="2806"/>
      <c r="AQ542" s="2806"/>
      <c r="AR542" s="2806"/>
      <c r="AS542" s="2807"/>
      <c r="AT542" s="1509"/>
      <c r="AU542" s="1509"/>
      <c r="AV542" s="1509"/>
      <c r="AW542" s="1516"/>
      <c r="AX542" s="1499"/>
      <c r="BC542" s="1517"/>
    </row>
    <row r="543" spans="1:55" s="1498" customFormat="1" ht="13" customHeight="1">
      <c r="A543" s="1499"/>
      <c r="C543" s="1513"/>
      <c r="D543" s="1491"/>
      <c r="E543" s="1491"/>
      <c r="F543" s="1491"/>
      <c r="G543" s="1491"/>
      <c r="H543" s="1491"/>
      <c r="I543" s="1512"/>
      <c r="J543" s="1518"/>
      <c r="K543" s="1555"/>
      <c r="L543" s="1555"/>
      <c r="M543" s="1555"/>
      <c r="N543" s="1555"/>
      <c r="O543" s="1556"/>
      <c r="P543" s="2805"/>
      <c r="Q543" s="2806"/>
      <c r="R543" s="2806"/>
      <c r="S543" s="2806"/>
      <c r="T543" s="2806"/>
      <c r="U543" s="2806"/>
      <c r="V543" s="2806"/>
      <c r="W543" s="2806"/>
      <c r="X543" s="2806"/>
      <c r="Y543" s="2806"/>
      <c r="Z543" s="2806"/>
      <c r="AA543" s="2806"/>
      <c r="AB543" s="2806"/>
      <c r="AC543" s="2806"/>
      <c r="AD543" s="2806"/>
      <c r="AE543" s="2806"/>
      <c r="AF543" s="2806"/>
      <c r="AG543" s="2806"/>
      <c r="AH543" s="2806"/>
      <c r="AI543" s="2806"/>
      <c r="AJ543" s="2806"/>
      <c r="AK543" s="2806"/>
      <c r="AL543" s="2806"/>
      <c r="AM543" s="2806"/>
      <c r="AN543" s="2806"/>
      <c r="AO543" s="2806"/>
      <c r="AP543" s="2806"/>
      <c r="AQ543" s="2806"/>
      <c r="AR543" s="2806"/>
      <c r="AS543" s="2807"/>
      <c r="AT543" s="1509"/>
      <c r="AU543" s="1509"/>
      <c r="AV543" s="1509"/>
      <c r="AW543" s="1516"/>
      <c r="AX543" s="1499"/>
      <c r="BC543" s="1517"/>
    </row>
    <row r="544" spans="1:55" s="1498" customFormat="1" ht="13" customHeight="1">
      <c r="A544" s="1499"/>
      <c r="C544" s="1513"/>
      <c r="D544" s="1491"/>
      <c r="E544" s="1491"/>
      <c r="F544" s="1491"/>
      <c r="G544" s="1491"/>
      <c r="H544" s="1491"/>
      <c r="I544" s="1512"/>
      <c r="J544" s="1518"/>
      <c r="K544" s="1555"/>
      <c r="L544" s="1555"/>
      <c r="M544" s="1555"/>
      <c r="N544" s="1555"/>
      <c r="O544" s="1556"/>
      <c r="P544" s="2805"/>
      <c r="Q544" s="2806"/>
      <c r="R544" s="2806"/>
      <c r="S544" s="2806"/>
      <c r="T544" s="2806"/>
      <c r="U544" s="2806"/>
      <c r="V544" s="2806"/>
      <c r="W544" s="2806"/>
      <c r="X544" s="2806"/>
      <c r="Y544" s="2806"/>
      <c r="Z544" s="2806"/>
      <c r="AA544" s="2806"/>
      <c r="AB544" s="2806"/>
      <c r="AC544" s="2806"/>
      <c r="AD544" s="2806"/>
      <c r="AE544" s="2806"/>
      <c r="AF544" s="2806"/>
      <c r="AG544" s="2806"/>
      <c r="AH544" s="2806"/>
      <c r="AI544" s="2806"/>
      <c r="AJ544" s="2806"/>
      <c r="AK544" s="2806"/>
      <c r="AL544" s="2806"/>
      <c r="AM544" s="2806"/>
      <c r="AN544" s="2806"/>
      <c r="AO544" s="2806"/>
      <c r="AP544" s="2806"/>
      <c r="AQ544" s="2806"/>
      <c r="AR544" s="2806"/>
      <c r="AS544" s="2807"/>
      <c r="AT544" s="1509"/>
      <c r="AU544" s="1509"/>
      <c r="AV544" s="1509"/>
      <c r="AW544" s="1516"/>
      <c r="AX544" s="1499"/>
      <c r="BC544" s="1517"/>
    </row>
    <row r="545" spans="1:55" s="1498" customFormat="1" ht="13" customHeight="1">
      <c r="A545" s="1499"/>
      <c r="C545" s="1513"/>
      <c r="D545" s="1491"/>
      <c r="E545" s="1491"/>
      <c r="F545" s="1491"/>
      <c r="G545" s="1491"/>
      <c r="H545" s="1491"/>
      <c r="I545" s="1512"/>
      <c r="J545" s="1518"/>
      <c r="K545" s="1555"/>
      <c r="L545" s="1555"/>
      <c r="M545" s="1555"/>
      <c r="N545" s="1555"/>
      <c r="O545" s="1556"/>
      <c r="P545" s="2805"/>
      <c r="Q545" s="2806"/>
      <c r="R545" s="2806"/>
      <c r="S545" s="2806"/>
      <c r="T545" s="2806"/>
      <c r="U545" s="2806"/>
      <c r="V545" s="2806"/>
      <c r="W545" s="2806"/>
      <c r="X545" s="2806"/>
      <c r="Y545" s="2806"/>
      <c r="Z545" s="2806"/>
      <c r="AA545" s="2806"/>
      <c r="AB545" s="2806"/>
      <c r="AC545" s="2806"/>
      <c r="AD545" s="2806"/>
      <c r="AE545" s="2806"/>
      <c r="AF545" s="2806"/>
      <c r="AG545" s="2806"/>
      <c r="AH545" s="2806"/>
      <c r="AI545" s="2806"/>
      <c r="AJ545" s="2806"/>
      <c r="AK545" s="2806"/>
      <c r="AL545" s="2806"/>
      <c r="AM545" s="2806"/>
      <c r="AN545" s="2806"/>
      <c r="AO545" s="2806"/>
      <c r="AP545" s="2806"/>
      <c r="AQ545" s="2806"/>
      <c r="AR545" s="2806"/>
      <c r="AS545" s="2807"/>
      <c r="AT545" s="1509"/>
      <c r="AU545" s="1509"/>
      <c r="AV545" s="1509"/>
      <c r="AW545" s="1516"/>
      <c r="AX545" s="1499"/>
      <c r="BC545" s="1517"/>
    </row>
    <row r="546" spans="1:55" s="1498" customFormat="1" ht="13" customHeight="1">
      <c r="A546" s="1499"/>
      <c r="C546" s="1521"/>
      <c r="D546" s="1522"/>
      <c r="E546" s="1522"/>
      <c r="F546" s="1522"/>
      <c r="G546" s="1522"/>
      <c r="H546" s="1522"/>
      <c r="I546" s="1523"/>
      <c r="J546" s="1557"/>
      <c r="K546" s="1558"/>
      <c r="L546" s="1558"/>
      <c r="M546" s="1558"/>
      <c r="N546" s="1558"/>
      <c r="O546" s="1559"/>
      <c r="P546" s="2808"/>
      <c r="Q546" s="2809"/>
      <c r="R546" s="2809"/>
      <c r="S546" s="2809"/>
      <c r="T546" s="2809"/>
      <c r="U546" s="2809"/>
      <c r="V546" s="2809"/>
      <c r="W546" s="2809"/>
      <c r="X546" s="2809"/>
      <c r="Y546" s="2809"/>
      <c r="Z546" s="2809"/>
      <c r="AA546" s="2809"/>
      <c r="AB546" s="2809"/>
      <c r="AC546" s="2809"/>
      <c r="AD546" s="2809"/>
      <c r="AE546" s="2809"/>
      <c r="AF546" s="2809"/>
      <c r="AG546" s="2809"/>
      <c r="AH546" s="2809"/>
      <c r="AI546" s="2809"/>
      <c r="AJ546" s="2809"/>
      <c r="AK546" s="2809"/>
      <c r="AL546" s="2809"/>
      <c r="AM546" s="2809"/>
      <c r="AN546" s="2809"/>
      <c r="AO546" s="2809"/>
      <c r="AP546" s="2809"/>
      <c r="AQ546" s="2809"/>
      <c r="AR546" s="2809"/>
      <c r="AS546" s="2810"/>
      <c r="AT546" s="1582"/>
      <c r="AU546" s="1582"/>
      <c r="AV546" s="1582"/>
      <c r="AW546" s="1583"/>
      <c r="AX546" s="1499"/>
      <c r="AY546" s="1499"/>
    </row>
    <row r="547" spans="1:55" s="1498" customFormat="1" ht="13" hidden="1" customHeight="1" thickBot="1">
      <c r="A547" s="1499"/>
      <c r="C547" s="1584"/>
      <c r="D547" s="1561"/>
      <c r="E547" s="1561"/>
      <c r="F547" s="1561"/>
      <c r="G547" s="1561"/>
      <c r="H547" s="1561"/>
      <c r="I547" s="1561"/>
      <c r="J547" s="1563" t="s">
        <v>896</v>
      </c>
      <c r="K547" s="1564"/>
      <c r="L547" s="1564"/>
      <c r="M547" s="1564"/>
      <c r="N547" s="1564"/>
      <c r="O547" s="1564"/>
      <c r="P547" s="1561"/>
      <c r="Q547" s="1561"/>
      <c r="R547" s="1561"/>
      <c r="S547" s="1561"/>
      <c r="T547" s="1561"/>
      <c r="U547" s="1569" t="str">
        <f>IF(OR('1_入力シート【基本情報】'!EB367="レ",'1_入力シート【基本情報】'!EC367="レ",'1_入力シート【基本情報】'!EG367="レ",'1_入力シート【基本情報】'!EH367="レ"),"レ","")</f>
        <v/>
      </c>
      <c r="V547" s="1561" t="s">
        <v>904</v>
      </c>
      <c r="W547" s="1561"/>
      <c r="X547" s="1567"/>
      <c r="Y547" s="1567"/>
      <c r="Z547" s="1568" t="s">
        <v>905</v>
      </c>
      <c r="AA547" s="2811" t="str">
        <f>IF('1_入力シート【基本情報】'!ED367&lt;&gt;"",'1_入力シート【基本情報】'!ED367,IF('1_入力シート【基本情報】'!EI367&lt;&gt;"",'1_入力シート【基本情報】'!EI367,""))</f>
        <v/>
      </c>
      <c r="AB547" s="2818"/>
      <c r="AC547" s="1561" t="s">
        <v>889</v>
      </c>
      <c r="AD547" s="2811" t="str">
        <f>IF('1_入力シート【基本情報】'!EE367&lt;&gt;"",'1_入力シート【基本情報】'!EE367,IF('1_入力シート【基本情報】'!EJ367&lt;&gt;"",'1_入力シート【基本情報】'!EJ367,""))</f>
        <v/>
      </c>
      <c r="AE547" s="2811"/>
      <c r="AF547" s="1561" t="str">
        <f>IF(OR('1_入力シート【基本情報】'!EC367="レ",'1_入力シート【基本情報】'!EH367="レ"),"月に改善)","月に改善予定)")</f>
        <v>月に改善予定)</v>
      </c>
      <c r="AG547" s="1561"/>
      <c r="AH547" s="1561"/>
      <c r="AI547" s="1561"/>
      <c r="AJ547" s="1561"/>
      <c r="AK547" s="1561"/>
      <c r="AL547" s="1569" t="str">
        <f>IF(OR('1_入力シート【基本情報】'!EF367="レ",'1_入力シート【基本情報】'!EK367="レ"),"レ","")</f>
        <v/>
      </c>
      <c r="AM547" s="1561" t="s">
        <v>906</v>
      </c>
      <c r="AN547" s="1561"/>
      <c r="AO547" s="1561"/>
      <c r="AP547" s="1561"/>
      <c r="AQ547" s="1561"/>
      <c r="AR547" s="1561"/>
      <c r="AS547" s="1585"/>
      <c r="AT547" s="1582"/>
      <c r="AU547" s="1582"/>
      <c r="AV547" s="1582"/>
      <c r="AW547" s="1583"/>
      <c r="AX547" s="1499"/>
      <c r="AY547" s="1499"/>
    </row>
    <row r="548" spans="1:55" s="1498" customFormat="1" ht="13" hidden="1" customHeight="1">
      <c r="A548" s="1499"/>
      <c r="C548" s="1501" t="s">
        <v>907</v>
      </c>
      <c r="D548" s="1502"/>
      <c r="E548" s="1502"/>
      <c r="F548" s="1502"/>
      <c r="G548" s="1502"/>
      <c r="H548" s="1502"/>
      <c r="I548" s="1580"/>
      <c r="J548" s="1572" t="s">
        <v>891</v>
      </c>
      <c r="K548" s="1573"/>
      <c r="L548" s="1573"/>
      <c r="M548" s="1573"/>
      <c r="N548" s="1573"/>
      <c r="O548" s="1573"/>
      <c r="P548" s="1505"/>
      <c r="Q548" s="1505"/>
      <c r="R548" s="1505"/>
      <c r="S548" s="1505"/>
      <c r="T548" s="1505"/>
      <c r="U548" s="1507" t="str">
        <f>IF('1_入力シート【基本情報】'!DP423="レ","レ",IF('1_入力シート【基本情報】'!DO423="レ","レ",""))</f>
        <v/>
      </c>
      <c r="V548" s="1505" t="s">
        <v>892</v>
      </c>
      <c r="W548" s="1505"/>
      <c r="X548" s="1505"/>
      <c r="Y548" s="1505"/>
      <c r="Z548" s="1505"/>
      <c r="AA548" s="1505"/>
      <c r="AB548" s="1506"/>
      <c r="AC548" s="1505" t="s">
        <v>467</v>
      </c>
      <c r="AD548" s="1507" t="str">
        <f>'1_入力シート【基本情報】'!DP423</f>
        <v/>
      </c>
      <c r="AE548" s="1505" t="s">
        <v>893</v>
      </c>
      <c r="AF548" s="1505"/>
      <c r="AG548" s="1505"/>
      <c r="AH548" s="1505"/>
      <c r="AI548" s="1505"/>
      <c r="AJ548" s="1506"/>
      <c r="AK548" s="1505"/>
      <c r="AL548" s="1505"/>
      <c r="AM548" s="1505"/>
      <c r="AN548" s="1505"/>
      <c r="AO548" s="1505"/>
      <c r="AP548" s="1505"/>
      <c r="AQ548" s="1505"/>
      <c r="AR548" s="1505"/>
      <c r="AS548" s="1508"/>
      <c r="AT548" s="1582"/>
      <c r="AU548" s="1582"/>
      <c r="AV548" s="1582"/>
      <c r="AW548" s="1583"/>
      <c r="AX548" s="1499"/>
      <c r="AY548" s="1499"/>
    </row>
    <row r="549" spans="1:55" s="1498" customFormat="1" ht="13" hidden="1" customHeight="1" thickBot="1">
      <c r="A549" s="1499"/>
      <c r="C549" s="1510" t="s">
        <v>908</v>
      </c>
      <c r="D549" s="1511"/>
      <c r="E549" s="1511"/>
      <c r="F549" s="1511"/>
      <c r="G549" s="1511"/>
      <c r="H549" s="1511"/>
      <c r="I549" s="1581"/>
      <c r="J549" s="1518"/>
      <c r="K549" s="1555"/>
      <c r="L549" s="1555"/>
      <c r="M549" s="1555"/>
      <c r="N549" s="1555"/>
      <c r="O549" s="1555"/>
      <c r="P549" s="1491"/>
      <c r="Q549" s="1491"/>
      <c r="R549" s="1491"/>
      <c r="S549" s="1491"/>
      <c r="T549" s="1491"/>
      <c r="U549" s="1514" t="str">
        <f>IF(OR('1_入力シート【基本情報】'!DN423="レ",'1_入力シート【基本情報】'!DM423="レ"),"レ","")</f>
        <v/>
      </c>
      <c r="V549" s="1491" t="s">
        <v>903</v>
      </c>
      <c r="W549" s="1491"/>
      <c r="X549" s="1491"/>
      <c r="Y549" s="1491"/>
      <c r="Z549" s="1491"/>
      <c r="AA549" s="1491"/>
      <c r="AB549" s="1491"/>
      <c r="AC549" s="1491"/>
      <c r="AD549" s="1491"/>
      <c r="AE549" s="1491"/>
      <c r="AF549" s="1491"/>
      <c r="AG549" s="1491"/>
      <c r="AH549" s="1491"/>
      <c r="AI549" s="1491"/>
      <c r="AJ549" s="1491"/>
      <c r="AK549" s="1491"/>
      <c r="AL549" s="1491"/>
      <c r="AM549" s="1491"/>
      <c r="AN549" s="1491"/>
      <c r="AO549" s="1491"/>
      <c r="AP549" s="1491"/>
      <c r="AQ549" s="1491"/>
      <c r="AR549" s="1491"/>
      <c r="AS549" s="1515"/>
      <c r="AT549" s="1582"/>
      <c r="AU549" s="1582"/>
      <c r="AV549" s="1582"/>
      <c r="AW549" s="1583"/>
      <c r="AX549" s="1499"/>
      <c r="AY549" s="1499"/>
    </row>
    <row r="550" spans="1:55" s="1498" customFormat="1" ht="13" customHeight="1">
      <c r="A550" s="1499"/>
      <c r="C550" s="2822" t="s">
        <v>908</v>
      </c>
      <c r="D550" s="2820"/>
      <c r="E550" s="2820"/>
      <c r="F550" s="2820"/>
      <c r="G550" s="2820"/>
      <c r="H550" s="2820"/>
      <c r="I550" s="2821"/>
      <c r="J550" s="2819" t="s">
        <v>895</v>
      </c>
      <c r="K550" s="2820"/>
      <c r="L550" s="2820"/>
      <c r="M550" s="2820"/>
      <c r="N550" s="2820"/>
      <c r="O550" s="2821"/>
      <c r="P550" s="2802" t="str">
        <f>'1_入力シート【基本情報】'!$DY$423</f>
        <v/>
      </c>
      <c r="Q550" s="2803"/>
      <c r="R550" s="2803"/>
      <c r="S550" s="2803"/>
      <c r="T550" s="2803"/>
      <c r="U550" s="2803"/>
      <c r="V550" s="2803"/>
      <c r="W550" s="2803"/>
      <c r="X550" s="2803"/>
      <c r="Y550" s="2803"/>
      <c r="Z550" s="2803"/>
      <c r="AA550" s="2803"/>
      <c r="AB550" s="2803"/>
      <c r="AC550" s="2803"/>
      <c r="AD550" s="2803"/>
      <c r="AE550" s="2803"/>
      <c r="AF550" s="2803"/>
      <c r="AG550" s="2803"/>
      <c r="AH550" s="2803"/>
      <c r="AI550" s="2803"/>
      <c r="AJ550" s="2803"/>
      <c r="AK550" s="2803"/>
      <c r="AL550" s="2803"/>
      <c r="AM550" s="2803"/>
      <c r="AN550" s="2803"/>
      <c r="AO550" s="2803"/>
      <c r="AP550" s="2803"/>
      <c r="AQ550" s="2803"/>
      <c r="AR550" s="2803"/>
      <c r="AS550" s="2804"/>
      <c r="AT550" s="1582"/>
      <c r="AU550" s="1582"/>
      <c r="AV550" s="1582"/>
      <c r="AW550" s="1583"/>
      <c r="AX550" s="1499"/>
      <c r="AY550" s="1499"/>
    </row>
    <row r="551" spans="1:55" s="1498" customFormat="1" ht="13" customHeight="1">
      <c r="A551" s="1499"/>
      <c r="C551" s="1577"/>
      <c r="D551" s="1491"/>
      <c r="E551" s="1491"/>
      <c r="F551" s="1491"/>
      <c r="G551" s="1491"/>
      <c r="H551" s="1491"/>
      <c r="I551" s="1512"/>
      <c r="J551" s="1518"/>
      <c r="K551" s="1555"/>
      <c r="L551" s="1555"/>
      <c r="M551" s="1555"/>
      <c r="N551" s="1555"/>
      <c r="O551" s="1556"/>
      <c r="P551" s="2812"/>
      <c r="Q551" s="2813"/>
      <c r="R551" s="2813"/>
      <c r="S551" s="2813"/>
      <c r="T551" s="2813"/>
      <c r="U551" s="2813"/>
      <c r="V551" s="2813"/>
      <c r="W551" s="2813"/>
      <c r="X551" s="2813"/>
      <c r="Y551" s="2813"/>
      <c r="Z551" s="2813"/>
      <c r="AA551" s="2813"/>
      <c r="AB551" s="2813"/>
      <c r="AC551" s="2813"/>
      <c r="AD551" s="2813"/>
      <c r="AE551" s="2813"/>
      <c r="AF551" s="2813"/>
      <c r="AG551" s="2813"/>
      <c r="AH551" s="2813"/>
      <c r="AI551" s="2813"/>
      <c r="AJ551" s="2813"/>
      <c r="AK551" s="2813"/>
      <c r="AL551" s="2813"/>
      <c r="AM551" s="2813"/>
      <c r="AN551" s="2813"/>
      <c r="AO551" s="2813"/>
      <c r="AP551" s="2813"/>
      <c r="AQ551" s="2813"/>
      <c r="AR551" s="2813"/>
      <c r="AS551" s="2814"/>
      <c r="AT551" s="1582"/>
      <c r="AU551" s="1582"/>
      <c r="AV551" s="1582"/>
      <c r="AW551" s="1583"/>
      <c r="AX551" s="1499"/>
      <c r="AY551" s="1499"/>
    </row>
    <row r="552" spans="1:55" s="1498" customFormat="1" ht="13" customHeight="1">
      <c r="A552" s="1499"/>
      <c r="C552" s="1513"/>
      <c r="D552" s="1491"/>
      <c r="E552" s="1491"/>
      <c r="F552" s="1491"/>
      <c r="G552" s="1491"/>
      <c r="H552" s="1491"/>
      <c r="I552" s="1512"/>
      <c r="J552" s="1518"/>
      <c r="K552" s="1555"/>
      <c r="L552" s="1555"/>
      <c r="M552" s="1555"/>
      <c r="N552" s="1555"/>
      <c r="O552" s="1556"/>
      <c r="P552" s="2812"/>
      <c r="Q552" s="2813"/>
      <c r="R552" s="2813"/>
      <c r="S552" s="2813"/>
      <c r="T552" s="2813"/>
      <c r="U552" s="2813"/>
      <c r="V552" s="2813"/>
      <c r="W552" s="2813"/>
      <c r="X552" s="2813"/>
      <c r="Y552" s="2813"/>
      <c r="Z552" s="2813"/>
      <c r="AA552" s="2813"/>
      <c r="AB552" s="2813"/>
      <c r="AC552" s="2813"/>
      <c r="AD552" s="2813"/>
      <c r="AE552" s="2813"/>
      <c r="AF552" s="2813"/>
      <c r="AG552" s="2813"/>
      <c r="AH552" s="2813"/>
      <c r="AI552" s="2813"/>
      <c r="AJ552" s="2813"/>
      <c r="AK552" s="2813"/>
      <c r="AL552" s="2813"/>
      <c r="AM552" s="2813"/>
      <c r="AN552" s="2813"/>
      <c r="AO552" s="2813"/>
      <c r="AP552" s="2813"/>
      <c r="AQ552" s="2813"/>
      <c r="AR552" s="2813"/>
      <c r="AS552" s="2814"/>
      <c r="AT552" s="1582"/>
      <c r="AU552" s="1582"/>
      <c r="AV552" s="1582"/>
      <c r="AW552" s="1583"/>
      <c r="AX552" s="1499"/>
      <c r="AY552" s="1499"/>
    </row>
    <row r="553" spans="1:55" s="1498" customFormat="1" ht="13" customHeight="1">
      <c r="A553" s="1499"/>
      <c r="C553" s="1513"/>
      <c r="D553" s="1491"/>
      <c r="E553" s="1491"/>
      <c r="F553" s="1491"/>
      <c r="G553" s="1491"/>
      <c r="H553" s="1491"/>
      <c r="I553" s="1512"/>
      <c r="J553" s="1518"/>
      <c r="K553" s="1555"/>
      <c r="L553" s="1555"/>
      <c r="M553" s="1555"/>
      <c r="N553" s="1555"/>
      <c r="O553" s="1556"/>
      <c r="P553" s="2812"/>
      <c r="Q553" s="2813"/>
      <c r="R553" s="2813"/>
      <c r="S553" s="2813"/>
      <c r="T553" s="2813"/>
      <c r="U553" s="2813"/>
      <c r="V553" s="2813"/>
      <c r="W553" s="2813"/>
      <c r="X553" s="2813"/>
      <c r="Y553" s="2813"/>
      <c r="Z553" s="2813"/>
      <c r="AA553" s="2813"/>
      <c r="AB553" s="2813"/>
      <c r="AC553" s="2813"/>
      <c r="AD553" s="2813"/>
      <c r="AE553" s="2813"/>
      <c r="AF553" s="2813"/>
      <c r="AG553" s="2813"/>
      <c r="AH553" s="2813"/>
      <c r="AI553" s="2813"/>
      <c r="AJ553" s="2813"/>
      <c r="AK553" s="2813"/>
      <c r="AL553" s="2813"/>
      <c r="AM553" s="2813"/>
      <c r="AN553" s="2813"/>
      <c r="AO553" s="2813"/>
      <c r="AP553" s="2813"/>
      <c r="AQ553" s="2813"/>
      <c r="AR553" s="2813"/>
      <c r="AS553" s="2814"/>
      <c r="AT553" s="1582"/>
      <c r="AU553" s="1582"/>
      <c r="AV553" s="1582"/>
      <c r="AW553" s="1583"/>
      <c r="AX553" s="1499"/>
      <c r="AY553" s="1499"/>
    </row>
    <row r="554" spans="1:55" s="1498" customFormat="1" ht="13" customHeight="1">
      <c r="A554" s="1499"/>
      <c r="C554" s="1513"/>
      <c r="D554" s="1491"/>
      <c r="E554" s="1491"/>
      <c r="F554" s="1491"/>
      <c r="G554" s="1491"/>
      <c r="H554" s="1491"/>
      <c r="I554" s="1512"/>
      <c r="J554" s="1518"/>
      <c r="K554" s="1555"/>
      <c r="L554" s="1555"/>
      <c r="M554" s="1555"/>
      <c r="N554" s="1555"/>
      <c r="O554" s="1556"/>
      <c r="P554" s="2812"/>
      <c r="Q554" s="2813"/>
      <c r="R554" s="2813"/>
      <c r="S554" s="2813"/>
      <c r="T554" s="2813"/>
      <c r="U554" s="2813"/>
      <c r="V554" s="2813"/>
      <c r="W554" s="2813"/>
      <c r="X554" s="2813"/>
      <c r="Y554" s="2813"/>
      <c r="Z554" s="2813"/>
      <c r="AA554" s="2813"/>
      <c r="AB554" s="2813"/>
      <c r="AC554" s="2813"/>
      <c r="AD554" s="2813"/>
      <c r="AE554" s="2813"/>
      <c r="AF554" s="2813"/>
      <c r="AG554" s="2813"/>
      <c r="AH554" s="2813"/>
      <c r="AI554" s="2813"/>
      <c r="AJ554" s="2813"/>
      <c r="AK554" s="2813"/>
      <c r="AL554" s="2813"/>
      <c r="AM554" s="2813"/>
      <c r="AN554" s="2813"/>
      <c r="AO554" s="2813"/>
      <c r="AP554" s="2813"/>
      <c r="AQ554" s="2813"/>
      <c r="AR554" s="2813"/>
      <c r="AS554" s="2814"/>
      <c r="AT554" s="1582"/>
      <c r="AU554" s="1582"/>
      <c r="AV554" s="1582"/>
      <c r="AW554" s="1583"/>
      <c r="AX554" s="1499"/>
      <c r="AY554" s="1499"/>
    </row>
    <row r="555" spans="1:55" s="1498" customFormat="1" ht="13" customHeight="1">
      <c r="A555" s="1499"/>
      <c r="C555" s="1513"/>
      <c r="D555" s="1491"/>
      <c r="E555" s="1491"/>
      <c r="F555" s="1491"/>
      <c r="G555" s="1491"/>
      <c r="H555" s="1491"/>
      <c r="I555" s="1512"/>
      <c r="J555" s="1518"/>
      <c r="K555" s="1555"/>
      <c r="L555" s="1555"/>
      <c r="M555" s="1555"/>
      <c r="N555" s="1555"/>
      <c r="O555" s="1556"/>
      <c r="P555" s="2812"/>
      <c r="Q555" s="2813"/>
      <c r="R555" s="2813"/>
      <c r="S555" s="2813"/>
      <c r="T555" s="2813"/>
      <c r="U555" s="2813"/>
      <c r="V555" s="2813"/>
      <c r="W555" s="2813"/>
      <c r="X555" s="2813"/>
      <c r="Y555" s="2813"/>
      <c r="Z555" s="2813"/>
      <c r="AA555" s="2813"/>
      <c r="AB555" s="2813"/>
      <c r="AC555" s="2813"/>
      <c r="AD555" s="2813"/>
      <c r="AE555" s="2813"/>
      <c r="AF555" s="2813"/>
      <c r="AG555" s="2813"/>
      <c r="AH555" s="2813"/>
      <c r="AI555" s="2813"/>
      <c r="AJ555" s="2813"/>
      <c r="AK555" s="2813"/>
      <c r="AL555" s="2813"/>
      <c r="AM555" s="2813"/>
      <c r="AN555" s="2813"/>
      <c r="AO555" s="2813"/>
      <c r="AP555" s="2813"/>
      <c r="AQ555" s="2813"/>
      <c r="AR555" s="2813"/>
      <c r="AS555" s="2814"/>
      <c r="AT555" s="1582"/>
      <c r="AU555" s="1582"/>
      <c r="AV555" s="1582"/>
      <c r="AW555" s="1583"/>
      <c r="AX555" s="1499"/>
      <c r="AY555" s="1499"/>
    </row>
    <row r="556" spans="1:55" s="1498" customFormat="1" ht="13" customHeight="1">
      <c r="A556" s="1499"/>
      <c r="C556" s="1513"/>
      <c r="D556" s="1491"/>
      <c r="E556" s="1491"/>
      <c r="F556" s="1491"/>
      <c r="G556" s="1491"/>
      <c r="H556" s="1491"/>
      <c r="I556" s="1512"/>
      <c r="J556" s="1518"/>
      <c r="K556" s="1555"/>
      <c r="L556" s="1555"/>
      <c r="M556" s="1555"/>
      <c r="N556" s="1555"/>
      <c r="O556" s="1556"/>
      <c r="P556" s="2812"/>
      <c r="Q556" s="2813"/>
      <c r="R556" s="2813"/>
      <c r="S556" s="2813"/>
      <c r="T556" s="2813"/>
      <c r="U556" s="2813"/>
      <c r="V556" s="2813"/>
      <c r="W556" s="2813"/>
      <c r="X556" s="2813"/>
      <c r="Y556" s="2813"/>
      <c r="Z556" s="2813"/>
      <c r="AA556" s="2813"/>
      <c r="AB556" s="2813"/>
      <c r="AC556" s="2813"/>
      <c r="AD556" s="2813"/>
      <c r="AE556" s="2813"/>
      <c r="AF556" s="2813"/>
      <c r="AG556" s="2813"/>
      <c r="AH556" s="2813"/>
      <c r="AI556" s="2813"/>
      <c r="AJ556" s="2813"/>
      <c r="AK556" s="2813"/>
      <c r="AL556" s="2813"/>
      <c r="AM556" s="2813"/>
      <c r="AN556" s="2813"/>
      <c r="AO556" s="2813"/>
      <c r="AP556" s="2813"/>
      <c r="AQ556" s="2813"/>
      <c r="AR556" s="2813"/>
      <c r="AS556" s="2814"/>
      <c r="AT556" s="1582"/>
      <c r="AU556" s="1582"/>
      <c r="AV556" s="1582"/>
      <c r="AW556" s="1583"/>
      <c r="AX556" s="1499"/>
      <c r="AY556" s="1499"/>
    </row>
    <row r="557" spans="1:55" s="1498" customFormat="1" ht="13" customHeight="1">
      <c r="A557" s="1499"/>
      <c r="C557" s="1513"/>
      <c r="D557" s="1491"/>
      <c r="E557" s="1491"/>
      <c r="F557" s="1491"/>
      <c r="G557" s="1491"/>
      <c r="H557" s="1491"/>
      <c r="I557" s="1512"/>
      <c r="J557" s="1518"/>
      <c r="K557" s="1555"/>
      <c r="L557" s="1555"/>
      <c r="M557" s="1555"/>
      <c r="N557" s="1555"/>
      <c r="O557" s="1556"/>
      <c r="P557" s="2812"/>
      <c r="Q557" s="2813"/>
      <c r="R557" s="2813"/>
      <c r="S557" s="2813"/>
      <c r="T557" s="2813"/>
      <c r="U557" s="2813"/>
      <c r="V557" s="2813"/>
      <c r="W557" s="2813"/>
      <c r="X557" s="2813"/>
      <c r="Y557" s="2813"/>
      <c r="Z557" s="2813"/>
      <c r="AA557" s="2813"/>
      <c r="AB557" s="2813"/>
      <c r="AC557" s="2813"/>
      <c r="AD557" s="2813"/>
      <c r="AE557" s="2813"/>
      <c r="AF557" s="2813"/>
      <c r="AG557" s="2813"/>
      <c r="AH557" s="2813"/>
      <c r="AI557" s="2813"/>
      <c r="AJ557" s="2813"/>
      <c r="AK557" s="2813"/>
      <c r="AL557" s="2813"/>
      <c r="AM557" s="2813"/>
      <c r="AN557" s="2813"/>
      <c r="AO557" s="2813"/>
      <c r="AP557" s="2813"/>
      <c r="AQ557" s="2813"/>
      <c r="AR557" s="2813"/>
      <c r="AS557" s="2814"/>
      <c r="AT557" s="1582"/>
      <c r="AU557" s="1582"/>
      <c r="AV557" s="1582"/>
      <c r="AW557" s="1583"/>
      <c r="AX557" s="1499"/>
      <c r="AY557" s="1499"/>
    </row>
    <row r="558" spans="1:55" s="1498" customFormat="1" ht="13" customHeight="1">
      <c r="A558" s="1499"/>
      <c r="C558" s="1513"/>
      <c r="D558" s="1491"/>
      <c r="E558" s="1491"/>
      <c r="F558" s="1491"/>
      <c r="G558" s="1491"/>
      <c r="H558" s="1491"/>
      <c r="I558" s="1512"/>
      <c r="J558" s="1518"/>
      <c r="K558" s="1555"/>
      <c r="L558" s="1555"/>
      <c r="M558" s="1555"/>
      <c r="N558" s="1555"/>
      <c r="O558" s="1556"/>
      <c r="P558" s="2812"/>
      <c r="Q558" s="2813"/>
      <c r="R558" s="2813"/>
      <c r="S558" s="2813"/>
      <c r="T558" s="2813"/>
      <c r="U558" s="2813"/>
      <c r="V558" s="2813"/>
      <c r="W558" s="2813"/>
      <c r="X558" s="2813"/>
      <c r="Y558" s="2813"/>
      <c r="Z558" s="2813"/>
      <c r="AA558" s="2813"/>
      <c r="AB558" s="2813"/>
      <c r="AC558" s="2813"/>
      <c r="AD558" s="2813"/>
      <c r="AE558" s="2813"/>
      <c r="AF558" s="2813"/>
      <c r="AG558" s="2813"/>
      <c r="AH558" s="2813"/>
      <c r="AI558" s="2813"/>
      <c r="AJ558" s="2813"/>
      <c r="AK558" s="2813"/>
      <c r="AL558" s="2813"/>
      <c r="AM558" s="2813"/>
      <c r="AN558" s="2813"/>
      <c r="AO558" s="2813"/>
      <c r="AP558" s="2813"/>
      <c r="AQ558" s="2813"/>
      <c r="AR558" s="2813"/>
      <c r="AS558" s="2814"/>
      <c r="AT558" s="1582"/>
      <c r="AU558" s="1582"/>
      <c r="AV558" s="1582"/>
      <c r="AW558" s="1583"/>
      <c r="AX558" s="1499"/>
      <c r="AY558" s="1499"/>
    </row>
    <row r="559" spans="1:55" s="1498" customFormat="1" ht="13" customHeight="1">
      <c r="A559" s="1499"/>
      <c r="C559" s="1513"/>
      <c r="D559" s="1491"/>
      <c r="E559" s="1491"/>
      <c r="F559" s="1491"/>
      <c r="G559" s="1491"/>
      <c r="H559" s="1491"/>
      <c r="I559" s="1512"/>
      <c r="J559" s="1518"/>
      <c r="K559" s="1555"/>
      <c r="L559" s="1555"/>
      <c r="M559" s="1555"/>
      <c r="N559" s="1555"/>
      <c r="O559" s="1556"/>
      <c r="P559" s="2812"/>
      <c r="Q559" s="2813"/>
      <c r="R559" s="2813"/>
      <c r="S559" s="2813"/>
      <c r="T559" s="2813"/>
      <c r="U559" s="2813"/>
      <c r="V559" s="2813"/>
      <c r="W559" s="2813"/>
      <c r="X559" s="2813"/>
      <c r="Y559" s="2813"/>
      <c r="Z559" s="2813"/>
      <c r="AA559" s="2813"/>
      <c r="AB559" s="2813"/>
      <c r="AC559" s="2813"/>
      <c r="AD559" s="2813"/>
      <c r="AE559" s="2813"/>
      <c r="AF559" s="2813"/>
      <c r="AG559" s="2813"/>
      <c r="AH559" s="2813"/>
      <c r="AI559" s="2813"/>
      <c r="AJ559" s="2813"/>
      <c r="AK559" s="2813"/>
      <c r="AL559" s="2813"/>
      <c r="AM559" s="2813"/>
      <c r="AN559" s="2813"/>
      <c r="AO559" s="2813"/>
      <c r="AP559" s="2813"/>
      <c r="AQ559" s="2813"/>
      <c r="AR559" s="2813"/>
      <c r="AS559" s="2814"/>
      <c r="AT559" s="1582"/>
      <c r="AU559" s="1582"/>
      <c r="AV559" s="1582"/>
      <c r="AW559" s="1583"/>
      <c r="AX559" s="1499"/>
      <c r="AY559" s="1499"/>
    </row>
    <row r="560" spans="1:55" s="1498" customFormat="1" ht="13" customHeight="1">
      <c r="A560" s="1499"/>
      <c r="C560" s="1513"/>
      <c r="D560" s="1491"/>
      <c r="E560" s="1491"/>
      <c r="F560" s="1491"/>
      <c r="G560" s="1491"/>
      <c r="H560" s="1491"/>
      <c r="I560" s="1512"/>
      <c r="J560" s="1518"/>
      <c r="K560" s="1555"/>
      <c r="L560" s="1555"/>
      <c r="M560" s="1555"/>
      <c r="N560" s="1555"/>
      <c r="O560" s="1556"/>
      <c r="P560" s="2812"/>
      <c r="Q560" s="2813"/>
      <c r="R560" s="2813"/>
      <c r="S560" s="2813"/>
      <c r="T560" s="2813"/>
      <c r="U560" s="2813"/>
      <c r="V560" s="2813"/>
      <c r="W560" s="2813"/>
      <c r="X560" s="2813"/>
      <c r="Y560" s="2813"/>
      <c r="Z560" s="2813"/>
      <c r="AA560" s="2813"/>
      <c r="AB560" s="2813"/>
      <c r="AC560" s="2813"/>
      <c r="AD560" s="2813"/>
      <c r="AE560" s="2813"/>
      <c r="AF560" s="2813"/>
      <c r="AG560" s="2813"/>
      <c r="AH560" s="2813"/>
      <c r="AI560" s="2813"/>
      <c r="AJ560" s="2813"/>
      <c r="AK560" s="2813"/>
      <c r="AL560" s="2813"/>
      <c r="AM560" s="2813"/>
      <c r="AN560" s="2813"/>
      <c r="AO560" s="2813"/>
      <c r="AP560" s="2813"/>
      <c r="AQ560" s="2813"/>
      <c r="AR560" s="2813"/>
      <c r="AS560" s="2814"/>
      <c r="AT560" s="1582"/>
      <c r="AU560" s="1582"/>
      <c r="AV560" s="1582"/>
      <c r="AW560" s="1583"/>
      <c r="AX560" s="1499"/>
      <c r="AY560" s="1499"/>
    </row>
    <row r="561" spans="1:51" s="1498" customFormat="1" ht="13" customHeight="1">
      <c r="A561" s="1499"/>
      <c r="C561" s="1513"/>
      <c r="D561" s="1491"/>
      <c r="E561" s="1491"/>
      <c r="F561" s="1491"/>
      <c r="G561" s="1491"/>
      <c r="H561" s="1491"/>
      <c r="I561" s="1512"/>
      <c r="J561" s="1518"/>
      <c r="K561" s="1555"/>
      <c r="L561" s="1555"/>
      <c r="M561" s="1555"/>
      <c r="N561" s="1555"/>
      <c r="O561" s="1556"/>
      <c r="P561" s="2812"/>
      <c r="Q561" s="2813"/>
      <c r="R561" s="2813"/>
      <c r="S561" s="2813"/>
      <c r="T561" s="2813"/>
      <c r="U561" s="2813"/>
      <c r="V561" s="2813"/>
      <c r="W561" s="2813"/>
      <c r="X561" s="2813"/>
      <c r="Y561" s="2813"/>
      <c r="Z561" s="2813"/>
      <c r="AA561" s="2813"/>
      <c r="AB561" s="2813"/>
      <c r="AC561" s="2813"/>
      <c r="AD561" s="2813"/>
      <c r="AE561" s="2813"/>
      <c r="AF561" s="2813"/>
      <c r="AG561" s="2813"/>
      <c r="AH561" s="2813"/>
      <c r="AI561" s="2813"/>
      <c r="AJ561" s="2813"/>
      <c r="AK561" s="2813"/>
      <c r="AL561" s="2813"/>
      <c r="AM561" s="2813"/>
      <c r="AN561" s="2813"/>
      <c r="AO561" s="2813"/>
      <c r="AP561" s="2813"/>
      <c r="AQ561" s="2813"/>
      <c r="AR561" s="2813"/>
      <c r="AS561" s="2814"/>
      <c r="AT561" s="1582"/>
      <c r="AU561" s="1582"/>
      <c r="AV561" s="1582"/>
      <c r="AW561" s="1583"/>
      <c r="AX561" s="1499"/>
      <c r="AY561" s="1499"/>
    </row>
    <row r="562" spans="1:51" s="1498" customFormat="1" ht="13" customHeight="1">
      <c r="A562" s="1499"/>
      <c r="C562" s="1513"/>
      <c r="D562" s="1491"/>
      <c r="E562" s="1491"/>
      <c r="F562" s="1491"/>
      <c r="G562" s="1491"/>
      <c r="H562" s="1491"/>
      <c r="I562" s="1512"/>
      <c r="J562" s="1518"/>
      <c r="K562" s="1555"/>
      <c r="L562" s="1555"/>
      <c r="M562" s="1555"/>
      <c r="N562" s="1555"/>
      <c r="O562" s="1556"/>
      <c r="P562" s="2812"/>
      <c r="Q562" s="2813"/>
      <c r="R562" s="2813"/>
      <c r="S562" s="2813"/>
      <c r="T562" s="2813"/>
      <c r="U562" s="2813"/>
      <c r="V562" s="2813"/>
      <c r="W562" s="2813"/>
      <c r="X562" s="2813"/>
      <c r="Y562" s="2813"/>
      <c r="Z562" s="2813"/>
      <c r="AA562" s="2813"/>
      <c r="AB562" s="2813"/>
      <c r="AC562" s="2813"/>
      <c r="AD562" s="2813"/>
      <c r="AE562" s="2813"/>
      <c r="AF562" s="2813"/>
      <c r="AG562" s="2813"/>
      <c r="AH562" s="2813"/>
      <c r="AI562" s="2813"/>
      <c r="AJ562" s="2813"/>
      <c r="AK562" s="2813"/>
      <c r="AL562" s="2813"/>
      <c r="AM562" s="2813"/>
      <c r="AN562" s="2813"/>
      <c r="AO562" s="2813"/>
      <c r="AP562" s="2813"/>
      <c r="AQ562" s="2813"/>
      <c r="AR562" s="2813"/>
      <c r="AS562" s="2814"/>
      <c r="AT562" s="1582"/>
      <c r="AU562" s="1582"/>
      <c r="AV562" s="1582"/>
      <c r="AW562" s="1583"/>
      <c r="AX562" s="1499"/>
      <c r="AY562" s="1499"/>
    </row>
    <row r="563" spans="1:51" s="1586" customFormat="1" ht="13" customHeight="1">
      <c r="A563" s="1471"/>
      <c r="C563" s="1521"/>
      <c r="D563" s="1522"/>
      <c r="E563" s="1522"/>
      <c r="F563" s="1522"/>
      <c r="G563" s="1522"/>
      <c r="H563" s="1522"/>
      <c r="I563" s="1587"/>
      <c r="J563" s="1557"/>
      <c r="K563" s="1558"/>
      <c r="L563" s="1558"/>
      <c r="M563" s="1558"/>
      <c r="N563" s="1558"/>
      <c r="O563" s="1559"/>
      <c r="P563" s="2815"/>
      <c r="Q563" s="2816"/>
      <c r="R563" s="2816"/>
      <c r="S563" s="2816"/>
      <c r="T563" s="2816"/>
      <c r="U563" s="2816"/>
      <c r="V563" s="2816"/>
      <c r="W563" s="2816"/>
      <c r="X563" s="2816"/>
      <c r="Y563" s="2816"/>
      <c r="Z563" s="2816"/>
      <c r="AA563" s="2816"/>
      <c r="AB563" s="2816"/>
      <c r="AC563" s="2816"/>
      <c r="AD563" s="2816"/>
      <c r="AE563" s="2816"/>
      <c r="AF563" s="2816"/>
      <c r="AG563" s="2816"/>
      <c r="AH563" s="2816"/>
      <c r="AI563" s="2816"/>
      <c r="AJ563" s="2816"/>
      <c r="AK563" s="2816"/>
      <c r="AL563" s="2816"/>
      <c r="AM563" s="2816"/>
      <c r="AN563" s="2816"/>
      <c r="AO563" s="2816"/>
      <c r="AP563" s="2816"/>
      <c r="AQ563" s="2816"/>
      <c r="AR563" s="2816"/>
      <c r="AS563" s="2817"/>
      <c r="AT563" s="1582"/>
      <c r="AU563" s="1582"/>
      <c r="AV563" s="1582"/>
      <c r="AW563" s="1583"/>
      <c r="AX563" s="1471"/>
      <c r="AY563" s="1471"/>
    </row>
    <row r="564" spans="1:51" s="1586" customFormat="1" ht="13" hidden="1" customHeight="1" thickBot="1">
      <c r="A564" s="1471"/>
      <c r="C564" s="1560"/>
      <c r="D564" s="1561"/>
      <c r="E564" s="1561"/>
      <c r="F564" s="1561"/>
      <c r="G564" s="1561"/>
      <c r="H564" s="1561"/>
      <c r="I564" s="1561"/>
      <c r="J564" s="1563" t="s">
        <v>896</v>
      </c>
      <c r="K564" s="1564"/>
      <c r="L564" s="1564"/>
      <c r="M564" s="1564"/>
      <c r="N564" s="1564"/>
      <c r="O564" s="1565"/>
      <c r="P564" s="1561"/>
      <c r="Q564" s="1561"/>
      <c r="R564" s="1561"/>
      <c r="S564" s="1561"/>
      <c r="T564" s="1561"/>
      <c r="U564" s="1566" t="str">
        <f>IF(OR('1_入力シート【基本情報】'!EB423="レ",'1_入力シート【基本情報】'!EC423="レ",'1_入力シート【基本情報】'!EG423="レ",'1_入力シート【基本情報】'!EH423="レ"),"レ","")</f>
        <v/>
      </c>
      <c r="V564" s="1561" t="s">
        <v>904</v>
      </c>
      <c r="W564" s="1561"/>
      <c r="X564" s="1567"/>
      <c r="Y564" s="1567"/>
      <c r="Z564" s="1568" t="s">
        <v>905</v>
      </c>
      <c r="AA564" s="2811" t="str">
        <f>IF('1_入力シート【基本情報】'!ED423&lt;&gt;"",'1_入力シート【基本情報】'!ED423,IF('1_入力シート【基本情報】'!EI423&lt;&gt;"",'1_入力シート【基本情報】'!EI423,""))</f>
        <v/>
      </c>
      <c r="AB564" s="2818"/>
      <c r="AC564" s="1561" t="s">
        <v>889</v>
      </c>
      <c r="AD564" s="2811" t="str">
        <f>IF('1_入力シート【基本情報】'!EE423&lt;&gt;"",'1_入力シート【基本情報】'!EE423,IF('1_入力シート【基本情報】'!EJ423&lt;&gt;"",'1_入力シート【基本情報】'!EJ423,""))</f>
        <v/>
      </c>
      <c r="AE564" s="2811"/>
      <c r="AF564" s="1561" t="str">
        <f>IF(OR('1_入力シート【基本情報】'!EC423="レ",'1_入力シート【基本情報】'!EH423="レ"),"月に改善)","月に改善予定)")</f>
        <v>月に改善予定)</v>
      </c>
      <c r="AG564" s="1561"/>
      <c r="AH564" s="1561"/>
      <c r="AI564" s="1561"/>
      <c r="AJ564" s="1561"/>
      <c r="AK564" s="1561"/>
      <c r="AL564" s="1569" t="str">
        <f>IF(OR('1_入力シート【基本情報】'!EF423="レ",'1_入力シート【基本情報】'!EK423="レ"),"レ","")</f>
        <v/>
      </c>
      <c r="AM564" s="1561" t="s">
        <v>906</v>
      </c>
      <c r="AN564" s="1561"/>
      <c r="AO564" s="1561"/>
      <c r="AP564" s="1561"/>
      <c r="AQ564" s="1561"/>
      <c r="AR564" s="1561"/>
      <c r="AS564" s="1570"/>
      <c r="AT564" s="1582"/>
      <c r="AU564" s="1582"/>
      <c r="AV564" s="1582"/>
      <c r="AW564" s="1583"/>
      <c r="AX564" s="1471"/>
      <c r="AY564" s="1471"/>
    </row>
    <row r="565" spans="1:51" s="1586" customFormat="1" ht="13" hidden="1" customHeight="1">
      <c r="A565" s="1471"/>
      <c r="C565" s="1577" t="s">
        <v>909</v>
      </c>
      <c r="D565" s="1511"/>
      <c r="E565" s="1511"/>
      <c r="F565" s="1511"/>
      <c r="G565" s="1511"/>
      <c r="H565" s="1511"/>
      <c r="I565" s="1581"/>
      <c r="J565" s="1518" t="s">
        <v>891</v>
      </c>
      <c r="K565" s="1555"/>
      <c r="L565" s="1555"/>
      <c r="M565" s="1555"/>
      <c r="N565" s="1555"/>
      <c r="O565" s="1556"/>
      <c r="P565" s="1491"/>
      <c r="Q565" s="1491"/>
      <c r="R565" s="1500"/>
      <c r="S565" s="1500"/>
      <c r="T565" s="1500"/>
      <c r="U565" s="1588" t="str">
        <f>IF('1_入力シート【基本情報】'!DP472="レ","レ",IF('1_入力シート【基本情報】'!DO472="レ","レ",""))</f>
        <v/>
      </c>
      <c r="V565" s="1491" t="s">
        <v>892</v>
      </c>
      <c r="W565" s="1491"/>
      <c r="X565" s="1491"/>
      <c r="Y565" s="1491"/>
      <c r="Z565" s="1491"/>
      <c r="AA565" s="1491"/>
      <c r="AB565" s="1527"/>
      <c r="AC565" s="1491" t="s">
        <v>467</v>
      </c>
      <c r="AD565" s="1589" t="str">
        <f>'1_入力シート【基本情報】'!DP472</f>
        <v/>
      </c>
      <c r="AE565" s="1491" t="s">
        <v>893</v>
      </c>
      <c r="AF565" s="1491"/>
      <c r="AG565" s="1491"/>
      <c r="AH565" s="1491"/>
      <c r="AI565" s="1491"/>
      <c r="AJ565" s="1527"/>
      <c r="AK565" s="1491"/>
      <c r="AL565" s="1491"/>
      <c r="AM565" s="1491"/>
      <c r="AN565" s="1491"/>
      <c r="AO565" s="1491"/>
      <c r="AP565" s="1491"/>
      <c r="AQ565" s="1491"/>
      <c r="AR565" s="1491"/>
      <c r="AS565" s="1590"/>
      <c r="AT565" s="1582"/>
      <c r="AU565" s="1582"/>
      <c r="AV565" s="1582"/>
      <c r="AW565" s="1583"/>
      <c r="AX565" s="1471"/>
      <c r="AY565" s="1471"/>
    </row>
    <row r="566" spans="1:51" s="1586" customFormat="1" ht="13" hidden="1" customHeight="1">
      <c r="A566" s="1471"/>
      <c r="C566" s="1591" t="s">
        <v>910</v>
      </c>
      <c r="D566" s="1531"/>
      <c r="E566" s="1531"/>
      <c r="F566" s="1531"/>
      <c r="G566" s="1531"/>
      <c r="H566" s="1531"/>
      <c r="I566" s="1581"/>
      <c r="J566" s="1557"/>
      <c r="K566" s="1558"/>
      <c r="L566" s="1558"/>
      <c r="M566" s="1558"/>
      <c r="N566" s="1558"/>
      <c r="O566" s="1559"/>
      <c r="P566" s="1522"/>
      <c r="Q566" s="1522"/>
      <c r="R566" s="1522"/>
      <c r="S566" s="1522"/>
      <c r="T566" s="1522"/>
      <c r="U566" s="1578" t="str">
        <f>IF(OR('1_入力シート【基本情報】'!DN472="レ",'1_入力シート【基本情報】'!DM472="レ"),"レ","")</f>
        <v/>
      </c>
      <c r="V566" s="1522" t="s">
        <v>903</v>
      </c>
      <c r="W566" s="1522"/>
      <c r="X566" s="1522"/>
      <c r="Y566" s="1522"/>
      <c r="Z566" s="1522"/>
      <c r="AA566" s="1522"/>
      <c r="AB566" s="1522"/>
      <c r="AC566" s="1522"/>
      <c r="AD566" s="1522"/>
      <c r="AE566" s="1522"/>
      <c r="AF566" s="1522"/>
      <c r="AG566" s="1522"/>
      <c r="AH566" s="1522"/>
      <c r="AI566" s="1522"/>
      <c r="AJ566" s="1522"/>
      <c r="AK566" s="1522"/>
      <c r="AL566" s="1522"/>
      <c r="AM566" s="1522"/>
      <c r="AN566" s="1522"/>
      <c r="AO566" s="1522"/>
      <c r="AP566" s="1522"/>
      <c r="AQ566" s="1522"/>
      <c r="AR566" s="1522"/>
      <c r="AS566" s="1579"/>
      <c r="AT566" s="1582"/>
      <c r="AU566" s="1582"/>
      <c r="AV566" s="1582"/>
      <c r="AW566" s="1583"/>
      <c r="AX566" s="1471"/>
      <c r="AY566" s="1471"/>
    </row>
    <row r="567" spans="1:51" s="1586" customFormat="1" ht="13" customHeight="1">
      <c r="A567" s="1471"/>
      <c r="C567" s="2823" t="s">
        <v>910</v>
      </c>
      <c r="D567" s="2824"/>
      <c r="E567" s="2824"/>
      <c r="F567" s="2824"/>
      <c r="G567" s="2824"/>
      <c r="H567" s="2824"/>
      <c r="I567" s="2825"/>
      <c r="J567" s="2819" t="s">
        <v>895</v>
      </c>
      <c r="K567" s="2820"/>
      <c r="L567" s="2820"/>
      <c r="M567" s="2820"/>
      <c r="N567" s="2820"/>
      <c r="O567" s="2821"/>
      <c r="P567" s="2802" t="str">
        <f>'1_入力シート【基本情報】'!$DY$472</f>
        <v/>
      </c>
      <c r="Q567" s="2803"/>
      <c r="R567" s="2803"/>
      <c r="S567" s="2803"/>
      <c r="T567" s="2803"/>
      <c r="U567" s="2803"/>
      <c r="V567" s="2803"/>
      <c r="W567" s="2803"/>
      <c r="X567" s="2803"/>
      <c r="Y567" s="2803"/>
      <c r="Z567" s="2803"/>
      <c r="AA567" s="2803"/>
      <c r="AB567" s="2803"/>
      <c r="AC567" s="2803"/>
      <c r="AD567" s="2803"/>
      <c r="AE567" s="2803"/>
      <c r="AF567" s="2803"/>
      <c r="AG567" s="2803"/>
      <c r="AH567" s="2803"/>
      <c r="AI567" s="2803"/>
      <c r="AJ567" s="2803"/>
      <c r="AK567" s="2803"/>
      <c r="AL567" s="2803"/>
      <c r="AM567" s="2803"/>
      <c r="AN567" s="2803"/>
      <c r="AO567" s="2803"/>
      <c r="AP567" s="2803"/>
      <c r="AQ567" s="2803"/>
      <c r="AR567" s="2803"/>
      <c r="AS567" s="2804"/>
      <c r="AT567" s="1582"/>
      <c r="AU567" s="1582"/>
      <c r="AV567" s="1582"/>
      <c r="AW567" s="1583"/>
      <c r="AX567" s="1471"/>
      <c r="AY567" s="1471"/>
    </row>
    <row r="568" spans="1:51" s="1586" customFormat="1" ht="13" customHeight="1">
      <c r="A568" s="1471"/>
      <c r="C568" s="1591"/>
      <c r="D568" s="1491"/>
      <c r="E568" s="1491"/>
      <c r="F568" s="1491"/>
      <c r="G568" s="1491"/>
      <c r="H568" s="1491"/>
      <c r="I568" s="1581"/>
      <c r="J568" s="1513"/>
      <c r="K568" s="1491"/>
      <c r="L568" s="1491"/>
      <c r="M568" s="1491"/>
      <c r="N568" s="1491"/>
      <c r="O568" s="1590"/>
      <c r="P568" s="2805"/>
      <c r="Q568" s="2806"/>
      <c r="R568" s="2806"/>
      <c r="S568" s="2806"/>
      <c r="T568" s="2806"/>
      <c r="U568" s="2806"/>
      <c r="V568" s="2806"/>
      <c r="W568" s="2806"/>
      <c r="X568" s="2806"/>
      <c r="Y568" s="2806"/>
      <c r="Z568" s="2806"/>
      <c r="AA568" s="2806"/>
      <c r="AB568" s="2806"/>
      <c r="AC568" s="2806"/>
      <c r="AD568" s="2806"/>
      <c r="AE568" s="2806"/>
      <c r="AF568" s="2806"/>
      <c r="AG568" s="2806"/>
      <c r="AH568" s="2806"/>
      <c r="AI568" s="2806"/>
      <c r="AJ568" s="2806"/>
      <c r="AK568" s="2806"/>
      <c r="AL568" s="2806"/>
      <c r="AM568" s="2806"/>
      <c r="AN568" s="2806"/>
      <c r="AO568" s="2806"/>
      <c r="AP568" s="2806"/>
      <c r="AQ568" s="2806"/>
      <c r="AR568" s="2806"/>
      <c r="AS568" s="2807"/>
      <c r="AT568" s="1582"/>
      <c r="AU568" s="1582"/>
      <c r="AV568" s="1582"/>
      <c r="AW568" s="1583"/>
      <c r="AX568" s="1471"/>
      <c r="AY568" s="1471"/>
    </row>
    <row r="569" spans="1:51" s="1586" customFormat="1" ht="13" customHeight="1">
      <c r="A569" s="1471"/>
      <c r="C569" s="1591"/>
      <c r="D569" s="1491"/>
      <c r="E569" s="1491"/>
      <c r="F569" s="1491"/>
      <c r="G569" s="1491"/>
      <c r="H569" s="1491"/>
      <c r="I569" s="1581"/>
      <c r="J569" s="1513"/>
      <c r="K569" s="1491"/>
      <c r="L569" s="1491"/>
      <c r="M569" s="1491"/>
      <c r="N569" s="1491"/>
      <c r="O569" s="1590"/>
      <c r="P569" s="2805"/>
      <c r="Q569" s="2806"/>
      <c r="R569" s="2806"/>
      <c r="S569" s="2806"/>
      <c r="T569" s="2806"/>
      <c r="U569" s="2806"/>
      <c r="V569" s="2806"/>
      <c r="W569" s="2806"/>
      <c r="X569" s="2806"/>
      <c r="Y569" s="2806"/>
      <c r="Z569" s="2806"/>
      <c r="AA569" s="2806"/>
      <c r="AB569" s="2806"/>
      <c r="AC569" s="2806"/>
      <c r="AD569" s="2806"/>
      <c r="AE569" s="2806"/>
      <c r="AF569" s="2806"/>
      <c r="AG569" s="2806"/>
      <c r="AH569" s="2806"/>
      <c r="AI569" s="2806"/>
      <c r="AJ569" s="2806"/>
      <c r="AK569" s="2806"/>
      <c r="AL569" s="2806"/>
      <c r="AM569" s="2806"/>
      <c r="AN569" s="2806"/>
      <c r="AO569" s="2806"/>
      <c r="AP569" s="2806"/>
      <c r="AQ569" s="2806"/>
      <c r="AR569" s="2806"/>
      <c r="AS569" s="2807"/>
      <c r="AT569" s="1582"/>
      <c r="AU569" s="1582"/>
      <c r="AV569" s="1582"/>
      <c r="AW569" s="1583"/>
      <c r="AX569" s="1471"/>
      <c r="AY569" s="1471"/>
    </row>
    <row r="570" spans="1:51" s="1586" customFormat="1" ht="13" customHeight="1">
      <c r="A570" s="1471"/>
      <c r="C570" s="1591"/>
      <c r="D570" s="1491"/>
      <c r="E570" s="1491"/>
      <c r="F570" s="1491"/>
      <c r="G570" s="1491"/>
      <c r="H570" s="1491"/>
      <c r="I570" s="1581"/>
      <c r="J570" s="1513"/>
      <c r="K570" s="1491"/>
      <c r="L570" s="1491"/>
      <c r="M570" s="1491"/>
      <c r="N570" s="1491"/>
      <c r="O570" s="1590"/>
      <c r="P570" s="2805"/>
      <c r="Q570" s="2806"/>
      <c r="R570" s="2806"/>
      <c r="S570" s="2806"/>
      <c r="T570" s="2806"/>
      <c r="U570" s="2806"/>
      <c r="V570" s="2806"/>
      <c r="W570" s="2806"/>
      <c r="X570" s="2806"/>
      <c r="Y570" s="2806"/>
      <c r="Z570" s="2806"/>
      <c r="AA570" s="2806"/>
      <c r="AB570" s="2806"/>
      <c r="AC570" s="2806"/>
      <c r="AD570" s="2806"/>
      <c r="AE570" s="2806"/>
      <c r="AF570" s="2806"/>
      <c r="AG570" s="2806"/>
      <c r="AH570" s="2806"/>
      <c r="AI570" s="2806"/>
      <c r="AJ570" s="2806"/>
      <c r="AK570" s="2806"/>
      <c r="AL570" s="2806"/>
      <c r="AM570" s="2806"/>
      <c r="AN570" s="2806"/>
      <c r="AO570" s="2806"/>
      <c r="AP570" s="2806"/>
      <c r="AQ570" s="2806"/>
      <c r="AR570" s="2806"/>
      <c r="AS570" s="2807"/>
      <c r="AT570" s="1582"/>
      <c r="AU570" s="1582"/>
      <c r="AV570" s="1582"/>
      <c r="AW570" s="1583"/>
      <c r="AX570" s="1471"/>
      <c r="AY570" s="1471"/>
    </row>
    <row r="571" spans="1:51" s="1586" customFormat="1" ht="13" customHeight="1">
      <c r="A571" s="1471"/>
      <c r="C571" s="1591"/>
      <c r="D571" s="1491"/>
      <c r="E571" s="1491"/>
      <c r="F571" s="1491"/>
      <c r="G571" s="1491"/>
      <c r="H571" s="1491"/>
      <c r="I571" s="1581"/>
      <c r="J571" s="1513"/>
      <c r="K571" s="1491"/>
      <c r="L571" s="1491"/>
      <c r="M571" s="1491"/>
      <c r="N571" s="1491"/>
      <c r="O571" s="1590"/>
      <c r="P571" s="2805"/>
      <c r="Q571" s="2806"/>
      <c r="R571" s="2806"/>
      <c r="S571" s="2806"/>
      <c r="T571" s="2806"/>
      <c r="U571" s="2806"/>
      <c r="V571" s="2806"/>
      <c r="W571" s="2806"/>
      <c r="X571" s="2806"/>
      <c r="Y571" s="2806"/>
      <c r="Z571" s="2806"/>
      <c r="AA571" s="2806"/>
      <c r="AB571" s="2806"/>
      <c r="AC571" s="2806"/>
      <c r="AD571" s="2806"/>
      <c r="AE571" s="2806"/>
      <c r="AF571" s="2806"/>
      <c r="AG571" s="2806"/>
      <c r="AH571" s="2806"/>
      <c r="AI571" s="2806"/>
      <c r="AJ571" s="2806"/>
      <c r="AK571" s="2806"/>
      <c r="AL571" s="2806"/>
      <c r="AM571" s="2806"/>
      <c r="AN571" s="2806"/>
      <c r="AO571" s="2806"/>
      <c r="AP571" s="2806"/>
      <c r="AQ571" s="2806"/>
      <c r="AR571" s="2806"/>
      <c r="AS571" s="2807"/>
      <c r="AT571" s="1582"/>
      <c r="AU571" s="1582"/>
      <c r="AV571" s="1582"/>
      <c r="AW571" s="1583"/>
      <c r="AX571" s="1471"/>
      <c r="AY571" s="1471"/>
    </row>
    <row r="572" spans="1:51" s="1586" customFormat="1" ht="13" customHeight="1">
      <c r="A572" s="1471"/>
      <c r="C572" s="1513"/>
      <c r="D572" s="1491"/>
      <c r="E572" s="1491"/>
      <c r="F572" s="1491"/>
      <c r="G572" s="1491"/>
      <c r="H572" s="1491"/>
      <c r="I572" s="1581"/>
      <c r="J572" s="1513"/>
      <c r="K572" s="1491"/>
      <c r="L572" s="1491"/>
      <c r="M572" s="1491"/>
      <c r="N572" s="1491"/>
      <c r="O572" s="1590"/>
      <c r="P572" s="2805"/>
      <c r="Q572" s="2806"/>
      <c r="R572" s="2806"/>
      <c r="S572" s="2806"/>
      <c r="T572" s="2806"/>
      <c r="U572" s="2806"/>
      <c r="V572" s="2806"/>
      <c r="W572" s="2806"/>
      <c r="X572" s="2806"/>
      <c r="Y572" s="2806"/>
      <c r="Z572" s="2806"/>
      <c r="AA572" s="2806"/>
      <c r="AB572" s="2806"/>
      <c r="AC572" s="2806"/>
      <c r="AD572" s="2806"/>
      <c r="AE572" s="2806"/>
      <c r="AF572" s="2806"/>
      <c r="AG572" s="2806"/>
      <c r="AH572" s="2806"/>
      <c r="AI572" s="2806"/>
      <c r="AJ572" s="2806"/>
      <c r="AK572" s="2806"/>
      <c r="AL572" s="2806"/>
      <c r="AM572" s="2806"/>
      <c r="AN572" s="2806"/>
      <c r="AO572" s="2806"/>
      <c r="AP572" s="2806"/>
      <c r="AQ572" s="2806"/>
      <c r="AR572" s="2806"/>
      <c r="AS572" s="2807"/>
      <c r="AT572" s="1582"/>
      <c r="AU572" s="1582"/>
      <c r="AV572" s="1582"/>
      <c r="AW572" s="1583"/>
      <c r="AX572" s="1471"/>
      <c r="AY572" s="1471"/>
    </row>
    <row r="573" spans="1:51" s="1586" customFormat="1" ht="13" customHeight="1">
      <c r="A573" s="1471"/>
      <c r="C573" s="1521"/>
      <c r="D573" s="1522"/>
      <c r="E573" s="1522"/>
      <c r="F573" s="1522"/>
      <c r="G573" s="1522"/>
      <c r="H573" s="1522"/>
      <c r="I573" s="1587"/>
      <c r="J573" s="1521"/>
      <c r="K573" s="1522"/>
      <c r="L573" s="1522"/>
      <c r="M573" s="1522"/>
      <c r="N573" s="1522"/>
      <c r="O573" s="1579"/>
      <c r="P573" s="2808"/>
      <c r="Q573" s="2809"/>
      <c r="R573" s="2809"/>
      <c r="S573" s="2809"/>
      <c r="T573" s="2809"/>
      <c r="U573" s="2809"/>
      <c r="V573" s="2809"/>
      <c r="W573" s="2809"/>
      <c r="X573" s="2809"/>
      <c r="Y573" s="2809"/>
      <c r="Z573" s="2809"/>
      <c r="AA573" s="2809"/>
      <c r="AB573" s="2809"/>
      <c r="AC573" s="2809"/>
      <c r="AD573" s="2809"/>
      <c r="AE573" s="2809"/>
      <c r="AF573" s="2809"/>
      <c r="AG573" s="2809"/>
      <c r="AH573" s="2809"/>
      <c r="AI573" s="2809"/>
      <c r="AJ573" s="2809"/>
      <c r="AK573" s="2809"/>
      <c r="AL573" s="2809"/>
      <c r="AM573" s="2809"/>
      <c r="AN573" s="2809"/>
      <c r="AO573" s="2809"/>
      <c r="AP573" s="2809"/>
      <c r="AQ573" s="2809"/>
      <c r="AR573" s="2809"/>
      <c r="AS573" s="2810"/>
      <c r="AT573" s="1582"/>
      <c r="AU573" s="1582"/>
      <c r="AV573" s="1582"/>
      <c r="AW573" s="1583"/>
      <c r="AX573" s="1471"/>
      <c r="AY573" s="1471"/>
    </row>
    <row r="574" spans="1:51" s="1586" customFormat="1" ht="13" hidden="1" customHeight="1" thickBot="1">
      <c r="A574" s="1471"/>
      <c r="C574" s="1584"/>
      <c r="D574" s="1561"/>
      <c r="E574" s="1561"/>
      <c r="F574" s="1561"/>
      <c r="G574" s="1561"/>
      <c r="H574" s="1561"/>
      <c r="I574" s="1592"/>
      <c r="J574" s="1560" t="s">
        <v>896</v>
      </c>
      <c r="K574" s="1561"/>
      <c r="L574" s="1561"/>
      <c r="M574" s="1561"/>
      <c r="N574" s="1561"/>
      <c r="O574" s="1561"/>
      <c r="P574" s="1561"/>
      <c r="Q574" s="1561"/>
      <c r="R574" s="1561"/>
      <c r="S574" s="1561"/>
      <c r="T574" s="1561"/>
      <c r="U574" s="1569" t="str">
        <f>IF(OR('1_入力シート【基本情報】'!EB472="レ",'1_入力シート【基本情報】'!EC472="レ",'1_入力シート【基本情報】'!EG472="レ",'1_入力シート【基本情報】'!EH472="レ"),"レ","")</f>
        <v/>
      </c>
      <c r="V574" s="1561" t="s">
        <v>904</v>
      </c>
      <c r="W574" s="1561"/>
      <c r="X574" s="1567"/>
      <c r="Y574" s="1567"/>
      <c r="Z574" s="1568" t="s">
        <v>905</v>
      </c>
      <c r="AA574" s="2811" t="str">
        <f>IF('1_入力シート【基本情報】'!ED472&lt;&gt;"",'1_入力シート【基本情報】'!ED472,IF('1_入力シート【基本情報】'!EI472&lt;&gt;"",'1_入力シート【基本情報】'!EI472,""))</f>
        <v/>
      </c>
      <c r="AB574" s="2818"/>
      <c r="AC574" s="1561" t="s">
        <v>889</v>
      </c>
      <c r="AD574" s="2811" t="str">
        <f>IF('1_入力シート【基本情報】'!EE472&lt;&gt;"",'1_入力シート【基本情報】'!EE472,IF('1_入力シート【基本情報】'!EJ472&lt;&gt;"",'1_入力シート【基本情報】'!EJ472,""))</f>
        <v/>
      </c>
      <c r="AE574" s="2811"/>
      <c r="AF574" s="1561" t="str">
        <f>IF(OR('1_入力シート【基本情報】'!EC472="レ",'1_入力シート【基本情報】'!EH472="レ"),"月に改善)","月に改善予定)")</f>
        <v>月に改善予定)</v>
      </c>
      <c r="AG574" s="1561"/>
      <c r="AH574" s="1561"/>
      <c r="AI574" s="1561"/>
      <c r="AJ574" s="1561"/>
      <c r="AK574" s="1561"/>
      <c r="AL574" s="1569" t="str">
        <f>IF(OR('1_入力シート【基本情報】'!EF472="レ",'1_入力シート【基本情報】'!EK472="レ"),"レ","")</f>
        <v/>
      </c>
      <c r="AM574" s="1561" t="s">
        <v>906</v>
      </c>
      <c r="AN574" s="1561"/>
      <c r="AO574" s="1561"/>
      <c r="AP574" s="1561"/>
      <c r="AQ574" s="1561"/>
      <c r="AR574" s="1561"/>
      <c r="AS574" s="1585"/>
      <c r="AT574" s="1582"/>
      <c r="AU574" s="1582"/>
      <c r="AV574" s="1582"/>
      <c r="AW574" s="1583"/>
      <c r="AX574" s="1471"/>
      <c r="AY574" s="1471"/>
    </row>
    <row r="575" spans="1:51" s="1468" customFormat="1" ht="13" customHeight="1">
      <c r="A575" s="1478"/>
      <c r="B575" s="1593"/>
      <c r="C575" s="1593"/>
      <c r="D575" s="1593"/>
      <c r="E575" s="1593"/>
      <c r="F575" s="1593"/>
      <c r="G575" s="1593"/>
      <c r="H575" s="1509"/>
      <c r="I575" s="1509"/>
      <c r="J575" s="1509"/>
      <c r="K575" s="1509"/>
      <c r="L575" s="1509"/>
      <c r="M575" s="1509"/>
      <c r="N575" s="1509"/>
      <c r="O575" s="1509"/>
      <c r="P575" s="1509"/>
      <c r="Q575" s="1509"/>
      <c r="R575" s="1509"/>
      <c r="S575" s="1509"/>
      <c r="T575" s="1509"/>
      <c r="U575" s="1509"/>
      <c r="V575" s="1509"/>
      <c r="W575" s="1509"/>
      <c r="X575" s="1509"/>
      <c r="Y575" s="1509"/>
      <c r="Z575" s="1509"/>
      <c r="AA575" s="1509"/>
      <c r="AB575" s="1594"/>
      <c r="AC575" s="1594"/>
      <c r="AD575" s="1594"/>
      <c r="AE575" s="1594"/>
      <c r="AF575" s="1594"/>
      <c r="AG575" s="1594"/>
      <c r="AH575" s="1490"/>
      <c r="AI575" s="1490"/>
      <c r="AJ575" s="1490"/>
      <c r="AK575" s="1490"/>
      <c r="AL575" s="1490"/>
      <c r="AM575" s="1490"/>
      <c r="AN575" s="1490"/>
      <c r="AO575" s="1490"/>
      <c r="AP575" s="1490"/>
      <c r="AQ575" s="1490"/>
      <c r="AR575" s="1490"/>
      <c r="AS575" s="1490"/>
      <c r="AT575" s="1583"/>
      <c r="AU575" s="1478"/>
      <c r="AV575" s="1478"/>
    </row>
    <row r="576" spans="1:51" s="1468" customFormat="1" ht="36" customHeight="1"/>
    <row r="577" spans="1:52" ht="13" customHeight="1">
      <c r="B577" s="2788" t="s">
        <v>538</v>
      </c>
      <c r="C577" s="2788"/>
      <c r="D577" s="2788"/>
      <c r="E577" s="2788"/>
      <c r="F577" s="2788"/>
      <c r="G577" s="2788"/>
      <c r="H577" s="2788"/>
      <c r="I577" s="2788"/>
      <c r="J577" s="2788"/>
      <c r="K577" s="2788"/>
      <c r="L577" s="2788"/>
      <c r="M577" s="2788"/>
      <c r="N577" s="2788"/>
      <c r="O577" s="2788"/>
      <c r="P577" s="2788"/>
      <c r="Q577" s="2788"/>
      <c r="R577" s="2788"/>
      <c r="S577" s="2788"/>
      <c r="T577" s="2788"/>
      <c r="U577" s="2788"/>
      <c r="V577" s="2788"/>
      <c r="W577" s="2788"/>
      <c r="X577" s="2788"/>
      <c r="Y577" s="2788"/>
      <c r="Z577" s="2788"/>
      <c r="AA577" s="2788"/>
      <c r="AB577" s="2788"/>
      <c r="AC577" s="2788"/>
      <c r="AD577" s="2788"/>
      <c r="AE577" s="2788"/>
      <c r="AF577" s="2788"/>
      <c r="AG577" s="2788"/>
      <c r="AH577" s="2788"/>
      <c r="AI577" s="2788"/>
      <c r="AJ577" s="2788"/>
      <c r="AK577" s="2788"/>
      <c r="AL577" s="2788"/>
      <c r="AM577" s="2788"/>
      <c r="AN577" s="2788"/>
      <c r="AO577" s="2788"/>
      <c r="AP577" s="2788"/>
      <c r="AQ577" s="2788"/>
      <c r="AR577" s="2788"/>
      <c r="AS577" s="2788"/>
      <c r="AT577" s="2788"/>
      <c r="AU577" s="1497"/>
    </row>
    <row r="578" spans="1:52" ht="6" customHeight="1"/>
    <row r="579" spans="1:52" ht="14.25" customHeight="1">
      <c r="B579" s="1461" t="s">
        <v>539</v>
      </c>
      <c r="AG579" s="1499"/>
      <c r="AH579" s="1499"/>
    </row>
    <row r="580" spans="1:52" ht="6" customHeight="1">
      <c r="AG580" s="1499"/>
      <c r="AH580" s="1499"/>
    </row>
    <row r="581" spans="1:52" ht="6" customHeight="1">
      <c r="A581" s="1536"/>
      <c r="B581" s="1470"/>
      <c r="C581" s="1536"/>
      <c r="D581" s="1536"/>
      <c r="E581" s="1536"/>
      <c r="F581" s="1536"/>
      <c r="G581" s="1536"/>
      <c r="H581" s="1536"/>
      <c r="I581" s="1536"/>
      <c r="J581" s="1536"/>
      <c r="K581" s="1536"/>
      <c r="L581" s="1536"/>
      <c r="M581" s="1536"/>
      <c r="N581" s="1536"/>
      <c r="O581" s="1536"/>
      <c r="P581" s="1536"/>
      <c r="Q581" s="1536"/>
      <c r="R581" s="1536"/>
      <c r="S581" s="1536"/>
      <c r="T581" s="1536"/>
      <c r="U581" s="1536"/>
      <c r="V581" s="1536"/>
      <c r="W581" s="1536"/>
      <c r="X581" s="1536"/>
      <c r="Y581" s="1536"/>
      <c r="Z581" s="1536"/>
      <c r="AA581" s="1536"/>
      <c r="AB581" s="1536"/>
      <c r="AC581" s="1536"/>
      <c r="AD581" s="1536"/>
      <c r="AE581" s="1536"/>
      <c r="AF581" s="1536"/>
      <c r="AG581" s="1536"/>
      <c r="AH581" s="1536"/>
      <c r="AI581" s="1536"/>
      <c r="AJ581" s="1536"/>
      <c r="AK581" s="1536"/>
      <c r="AL581" s="1536"/>
      <c r="AM581" s="1536"/>
      <c r="AN581" s="1536"/>
      <c r="AO581" s="1536"/>
      <c r="AP581" s="1536"/>
      <c r="AQ581" s="1536"/>
      <c r="AR581" s="1536"/>
      <c r="AS581" s="1536"/>
      <c r="AT581" s="1536"/>
      <c r="AU581" s="1536"/>
      <c r="AV581" s="1536"/>
    </row>
    <row r="582" spans="1:52" ht="18" customHeight="1">
      <c r="A582" s="1536"/>
      <c r="B582" s="2870" t="s">
        <v>5619</v>
      </c>
      <c r="C582" s="2871"/>
      <c r="D582" s="2871"/>
      <c r="E582" s="2871"/>
      <c r="F582" s="2871"/>
      <c r="G582" s="2872"/>
      <c r="H582" s="2873" t="s">
        <v>540</v>
      </c>
      <c r="I582" s="2874"/>
      <c r="J582" s="2874"/>
      <c r="K582" s="2874"/>
      <c r="L582" s="2874"/>
      <c r="M582" s="2874"/>
      <c r="N582" s="2874"/>
      <c r="O582" s="2874"/>
      <c r="P582" s="2874"/>
      <c r="Q582" s="2875"/>
      <c r="R582" s="2873" t="s">
        <v>541</v>
      </c>
      <c r="S582" s="2874"/>
      <c r="T582" s="2874"/>
      <c r="U582" s="2874"/>
      <c r="V582" s="2874"/>
      <c r="W582" s="2874"/>
      <c r="X582" s="2874"/>
      <c r="Y582" s="2874"/>
      <c r="Z582" s="2874"/>
      <c r="AA582" s="2875"/>
      <c r="AB582" s="2873" t="s">
        <v>915</v>
      </c>
      <c r="AC582" s="2874"/>
      <c r="AD582" s="2874"/>
      <c r="AE582" s="2874"/>
      <c r="AF582" s="2874"/>
      <c r="AG582" s="2875"/>
      <c r="AH582" s="2873" t="s">
        <v>318</v>
      </c>
      <c r="AI582" s="2874"/>
      <c r="AJ582" s="2874"/>
      <c r="AK582" s="2874"/>
      <c r="AL582" s="2874"/>
      <c r="AM582" s="2874"/>
      <c r="AN582" s="2874"/>
      <c r="AO582" s="2874"/>
      <c r="AP582" s="2874"/>
      <c r="AQ582" s="2874"/>
      <c r="AR582" s="2874"/>
      <c r="AS582" s="2875"/>
      <c r="AT582" s="1536"/>
      <c r="AU582" s="1536"/>
    </row>
    <row r="583" spans="1:52" ht="18" customHeight="1">
      <c r="A583" s="1536"/>
      <c r="B583" s="2876" t="s">
        <v>5620</v>
      </c>
      <c r="C583" s="2877"/>
      <c r="D583" s="2877"/>
      <c r="E583" s="2877"/>
      <c r="F583" s="2877"/>
      <c r="G583" s="2878"/>
      <c r="H583" s="2879"/>
      <c r="I583" s="2880"/>
      <c r="J583" s="2880"/>
      <c r="K583" s="2880"/>
      <c r="L583" s="2880"/>
      <c r="M583" s="2880"/>
      <c r="N583" s="2880"/>
      <c r="O583" s="2880"/>
      <c r="P583" s="2880"/>
      <c r="Q583" s="2881"/>
      <c r="R583" s="2879"/>
      <c r="S583" s="2880"/>
      <c r="T583" s="2880"/>
      <c r="U583" s="2880"/>
      <c r="V583" s="2880"/>
      <c r="W583" s="2880"/>
      <c r="X583" s="2880"/>
      <c r="Y583" s="2880"/>
      <c r="Z583" s="2880"/>
      <c r="AA583" s="2881"/>
      <c r="AB583" s="2879" t="s">
        <v>542</v>
      </c>
      <c r="AC583" s="2880"/>
      <c r="AD583" s="2880"/>
      <c r="AE583" s="2880"/>
      <c r="AF583" s="2880"/>
      <c r="AG583" s="2881"/>
      <c r="AH583" s="2879"/>
      <c r="AI583" s="2880"/>
      <c r="AJ583" s="2880"/>
      <c r="AK583" s="2880"/>
      <c r="AL583" s="2880"/>
      <c r="AM583" s="2880"/>
      <c r="AN583" s="2880"/>
      <c r="AO583" s="2880"/>
      <c r="AP583" s="2880"/>
      <c r="AQ583" s="2880"/>
      <c r="AR583" s="2880"/>
      <c r="AS583" s="2881"/>
      <c r="AT583" s="1536"/>
      <c r="AU583" s="1536"/>
    </row>
    <row r="584" spans="1:52" ht="36" customHeight="1">
      <c r="A584" s="1536"/>
      <c r="B584" s="2884" t="str">
        <f>IF('1_入力シート【基本情報】'!DM245&gt;0,'1_入力シート【基本情報】'!M245&amp;'1_入力シート【基本情報】'!P245&amp;"年"&amp;'1_入力シート【基本情報】'!S245&amp;"月","")</f>
        <v/>
      </c>
      <c r="C584" s="2885"/>
      <c r="D584" s="2885"/>
      <c r="E584" s="2885"/>
      <c r="F584" s="2885"/>
      <c r="G584" s="2886"/>
      <c r="H584" s="2887" t="str">
        <f>IF('1_入力シート【基本情報】'!V245="","",'1_入力シート【基本情報】'!V245)</f>
        <v/>
      </c>
      <c r="I584" s="2888"/>
      <c r="J584" s="2888"/>
      <c r="K584" s="2888"/>
      <c r="L584" s="2888"/>
      <c r="M584" s="2888"/>
      <c r="N584" s="2888"/>
      <c r="O584" s="2888"/>
      <c r="P584" s="2888"/>
      <c r="Q584" s="2889"/>
      <c r="R584" s="2887" t="str">
        <f>IF('1_入力シート【基本情報】'!AH245="","",'1_入力シート【基本情報】'!AH245)</f>
        <v/>
      </c>
      <c r="S584" s="2888"/>
      <c r="T584" s="2888"/>
      <c r="U584" s="2888"/>
      <c r="V584" s="2888"/>
      <c r="W584" s="2888"/>
      <c r="X584" s="2888"/>
      <c r="Y584" s="2888"/>
      <c r="Z584" s="2888"/>
      <c r="AA584" s="2889"/>
      <c r="AB584" s="2890" t="str">
        <f>IF(AND('1_入力シート【基本情報】'!DN245&gt;0,'1_入力シート【基本情報】'!DY245&lt;&gt;1),"令和"&amp;'1_入力シート【基本情報】'!AZ245&amp;"年"&amp;'1_入力シート【基本情報】'!BC245&amp;"月",IF('1_入力シート【基本情報】'!DY245=1,"予定なし",""))</f>
        <v/>
      </c>
      <c r="AC584" s="2891"/>
      <c r="AD584" s="2891"/>
      <c r="AE584" s="2891"/>
      <c r="AF584" s="2891"/>
      <c r="AG584" s="2892"/>
      <c r="AH584" s="2887" t="str">
        <f>IF('1_入力シート【基本情報】'!BF245="","",'1_入力シート【基本情報】'!BF245)</f>
        <v/>
      </c>
      <c r="AI584" s="2888"/>
      <c r="AJ584" s="2888"/>
      <c r="AK584" s="2888"/>
      <c r="AL584" s="2888"/>
      <c r="AM584" s="2888"/>
      <c r="AN584" s="2888"/>
      <c r="AO584" s="2888"/>
      <c r="AP584" s="2888"/>
      <c r="AQ584" s="2888"/>
      <c r="AR584" s="2888"/>
      <c r="AS584" s="2889"/>
      <c r="AT584" s="1536"/>
      <c r="AU584" s="1536"/>
    </row>
    <row r="585" spans="1:52" ht="36" customHeight="1">
      <c r="A585" s="1536"/>
      <c r="B585" s="2884" t="str">
        <f>IF('1_入力シート【基本情報】'!DM246&gt;0,'1_入力シート【基本情報】'!M246&amp;'1_入力シート【基本情報】'!P246&amp;"年"&amp;'1_入力シート【基本情報】'!S246&amp;"月","")</f>
        <v/>
      </c>
      <c r="C585" s="2885"/>
      <c r="D585" s="2885"/>
      <c r="E585" s="2885"/>
      <c r="F585" s="2885"/>
      <c r="G585" s="2886"/>
      <c r="H585" s="2887" t="str">
        <f>IF('1_入力シート【基本情報】'!V246="","",'1_入力シート【基本情報】'!V246)</f>
        <v/>
      </c>
      <c r="I585" s="2888"/>
      <c r="J585" s="2888"/>
      <c r="K585" s="2888"/>
      <c r="L585" s="2888"/>
      <c r="M585" s="2888"/>
      <c r="N585" s="2888"/>
      <c r="O585" s="2888"/>
      <c r="P585" s="2888"/>
      <c r="Q585" s="2889"/>
      <c r="R585" s="2887" t="str">
        <f>IF('1_入力シート【基本情報】'!AH246="","",'1_入力シート【基本情報】'!AH246)</f>
        <v/>
      </c>
      <c r="S585" s="2888"/>
      <c r="T585" s="2888"/>
      <c r="U585" s="2888"/>
      <c r="V585" s="2888"/>
      <c r="W585" s="2888"/>
      <c r="X585" s="2888"/>
      <c r="Y585" s="2888"/>
      <c r="Z585" s="2888"/>
      <c r="AA585" s="2889"/>
      <c r="AB585" s="2890" t="str">
        <f>IF(AND('1_入力シート【基本情報】'!DN246&gt;0,'1_入力シート【基本情報】'!DY246&lt;&gt;1),"令和"&amp;'1_入力シート【基本情報】'!AZ246&amp;"年"&amp;'1_入力シート【基本情報】'!BC246&amp;"月",IF('1_入力シート【基本情報】'!DY246=1,"予定なし",""))</f>
        <v/>
      </c>
      <c r="AC585" s="2891"/>
      <c r="AD585" s="2891"/>
      <c r="AE585" s="2891"/>
      <c r="AF585" s="2891"/>
      <c r="AG585" s="2892"/>
      <c r="AH585" s="2887" t="str">
        <f>IF('1_入力シート【基本情報】'!BF246="","",'1_入力シート【基本情報】'!BF246)</f>
        <v/>
      </c>
      <c r="AI585" s="2888"/>
      <c r="AJ585" s="2888"/>
      <c r="AK585" s="2888"/>
      <c r="AL585" s="2888"/>
      <c r="AM585" s="2888"/>
      <c r="AN585" s="2888"/>
      <c r="AO585" s="2888"/>
      <c r="AP585" s="2888"/>
      <c r="AQ585" s="2888"/>
      <c r="AR585" s="2888"/>
      <c r="AS585" s="2889"/>
      <c r="AT585" s="1536"/>
      <c r="AU585" s="1536"/>
    </row>
    <row r="586" spans="1:52" ht="36" customHeight="1">
      <c r="A586" s="1536"/>
      <c r="B586" s="2884" t="str">
        <f>IF('1_入力シート【基本情報】'!DM247&gt;0,'1_入力シート【基本情報】'!M247&amp;'1_入力シート【基本情報】'!P247&amp;"年"&amp;'1_入力シート【基本情報】'!S247&amp;"月","")</f>
        <v/>
      </c>
      <c r="C586" s="2885"/>
      <c r="D586" s="2885"/>
      <c r="E586" s="2885"/>
      <c r="F586" s="2885"/>
      <c r="G586" s="2886"/>
      <c r="H586" s="2887" t="str">
        <f>IF('1_入力シート【基本情報】'!V247="","",'1_入力シート【基本情報】'!V247)</f>
        <v/>
      </c>
      <c r="I586" s="2888"/>
      <c r="J586" s="2888"/>
      <c r="K586" s="2888"/>
      <c r="L586" s="2888"/>
      <c r="M586" s="2888"/>
      <c r="N586" s="2888"/>
      <c r="O586" s="2888"/>
      <c r="P586" s="2888"/>
      <c r="Q586" s="2889"/>
      <c r="R586" s="2887" t="str">
        <f>IF('1_入力シート【基本情報】'!AH247="","",'1_入力シート【基本情報】'!AH247)</f>
        <v/>
      </c>
      <c r="S586" s="2888"/>
      <c r="T586" s="2888"/>
      <c r="U586" s="2888"/>
      <c r="V586" s="2888"/>
      <c r="W586" s="2888"/>
      <c r="X586" s="2888"/>
      <c r="Y586" s="2888"/>
      <c r="Z586" s="2888"/>
      <c r="AA586" s="2889"/>
      <c r="AB586" s="2890" t="str">
        <f>IF(AND('1_入力シート【基本情報】'!DN247&gt;0,'1_入力シート【基本情報】'!DY247&lt;&gt;1),"令和"&amp;'1_入力シート【基本情報】'!AZ247&amp;"年"&amp;'1_入力シート【基本情報】'!BC247&amp;"月",IF('1_入力シート【基本情報】'!DY247=1,"予定なし",""))</f>
        <v/>
      </c>
      <c r="AC586" s="2891"/>
      <c r="AD586" s="2891"/>
      <c r="AE586" s="2891"/>
      <c r="AF586" s="2891"/>
      <c r="AG586" s="2892"/>
      <c r="AH586" s="2887" t="str">
        <f>IF('1_入力シート【基本情報】'!BF247="","",'1_入力シート【基本情報】'!BF247)</f>
        <v/>
      </c>
      <c r="AI586" s="2888"/>
      <c r="AJ586" s="2888"/>
      <c r="AK586" s="2888"/>
      <c r="AL586" s="2888"/>
      <c r="AM586" s="2888"/>
      <c r="AN586" s="2888"/>
      <c r="AO586" s="2888"/>
      <c r="AP586" s="2888"/>
      <c r="AQ586" s="2888"/>
      <c r="AR586" s="2888"/>
      <c r="AS586" s="2889"/>
      <c r="AT586" s="1536"/>
      <c r="AU586" s="1536"/>
    </row>
    <row r="587" spans="1:52" ht="36" customHeight="1">
      <c r="A587" s="1536"/>
      <c r="B587" s="2884" t="str">
        <f>IF('1_入力シート【基本情報】'!DM248&gt;0,'1_入力シート【基本情報】'!M248&amp;'1_入力シート【基本情報】'!P248&amp;"年"&amp;'1_入力シート【基本情報】'!S248&amp;"月","")</f>
        <v/>
      </c>
      <c r="C587" s="2885"/>
      <c r="D587" s="2885"/>
      <c r="E587" s="2885"/>
      <c r="F587" s="2885"/>
      <c r="G587" s="2886"/>
      <c r="H587" s="2887" t="str">
        <f>IF('1_入力シート【基本情報】'!V248="","",'1_入力シート【基本情報】'!V248)</f>
        <v/>
      </c>
      <c r="I587" s="2888"/>
      <c r="J587" s="2888"/>
      <c r="K587" s="2888"/>
      <c r="L587" s="2888"/>
      <c r="M587" s="2888"/>
      <c r="N587" s="2888"/>
      <c r="O587" s="2888"/>
      <c r="P587" s="2888"/>
      <c r="Q587" s="2889"/>
      <c r="R587" s="2887" t="str">
        <f>IF('1_入力シート【基本情報】'!AH248="","",'1_入力シート【基本情報】'!AH248)</f>
        <v/>
      </c>
      <c r="S587" s="2888"/>
      <c r="T587" s="2888"/>
      <c r="U587" s="2888"/>
      <c r="V587" s="2888"/>
      <c r="W587" s="2888"/>
      <c r="X587" s="2888"/>
      <c r="Y587" s="2888"/>
      <c r="Z587" s="2888"/>
      <c r="AA587" s="2889"/>
      <c r="AB587" s="2890" t="str">
        <f>IF(AND('1_入力シート【基本情報】'!DN248&gt;0,'1_入力シート【基本情報】'!DY248&lt;&gt;1),"令和"&amp;'1_入力シート【基本情報】'!AZ248&amp;"年"&amp;'1_入力シート【基本情報】'!BC248&amp;"月",IF('1_入力シート【基本情報】'!DY248=1,"予定なし",""))</f>
        <v/>
      </c>
      <c r="AC587" s="2891"/>
      <c r="AD587" s="2891"/>
      <c r="AE587" s="2891"/>
      <c r="AF587" s="2891"/>
      <c r="AG587" s="2892"/>
      <c r="AH587" s="2887" t="str">
        <f>IF('1_入力シート【基本情報】'!BF248="","",'1_入力シート【基本情報】'!BF248)</f>
        <v/>
      </c>
      <c r="AI587" s="2888"/>
      <c r="AJ587" s="2888"/>
      <c r="AK587" s="2888"/>
      <c r="AL587" s="2888"/>
      <c r="AM587" s="2888"/>
      <c r="AN587" s="2888"/>
      <c r="AO587" s="2888"/>
      <c r="AP587" s="2888"/>
      <c r="AQ587" s="2888"/>
      <c r="AR587" s="2888"/>
      <c r="AS587" s="2889"/>
      <c r="AT587" s="1536"/>
      <c r="AU587" s="1536"/>
    </row>
    <row r="588" spans="1:52" ht="36" customHeight="1">
      <c r="A588" s="1536"/>
      <c r="B588" s="2884" t="str">
        <f>IF('1_入力シート【基本情報】'!DM249&gt;0,'1_入力シート【基本情報】'!M249&amp;'1_入力シート【基本情報】'!P249&amp;"年"&amp;'1_入力シート【基本情報】'!S249&amp;"月","")</f>
        <v/>
      </c>
      <c r="C588" s="2885"/>
      <c r="D588" s="2885"/>
      <c r="E588" s="2885"/>
      <c r="F588" s="2885"/>
      <c r="G588" s="2886"/>
      <c r="H588" s="2887" t="str">
        <f>IF('1_入力シート【基本情報】'!V249="","",'1_入力シート【基本情報】'!V249)</f>
        <v/>
      </c>
      <c r="I588" s="2888"/>
      <c r="J588" s="2888"/>
      <c r="K588" s="2888"/>
      <c r="L588" s="2888"/>
      <c r="M588" s="2888"/>
      <c r="N588" s="2888"/>
      <c r="O588" s="2888"/>
      <c r="P588" s="2888"/>
      <c r="Q588" s="2889"/>
      <c r="R588" s="2887" t="str">
        <f>IF('1_入力シート【基本情報】'!AH249="","",'1_入力シート【基本情報】'!AH249)</f>
        <v/>
      </c>
      <c r="S588" s="2888"/>
      <c r="T588" s="2888"/>
      <c r="U588" s="2888"/>
      <c r="V588" s="2888"/>
      <c r="W588" s="2888"/>
      <c r="X588" s="2888"/>
      <c r="Y588" s="2888"/>
      <c r="Z588" s="2888"/>
      <c r="AA588" s="2889"/>
      <c r="AB588" s="2890" t="str">
        <f>IF(AND('1_入力シート【基本情報】'!DN249&gt;0,'1_入力シート【基本情報】'!DY249&lt;&gt;1),"令和"&amp;'1_入力シート【基本情報】'!AZ249&amp;"年"&amp;'1_入力シート【基本情報】'!BC249&amp;"月",IF('1_入力シート【基本情報】'!DY249=1,"予定なし",""))</f>
        <v/>
      </c>
      <c r="AC588" s="2891"/>
      <c r="AD588" s="2891"/>
      <c r="AE588" s="2891"/>
      <c r="AF588" s="2891"/>
      <c r="AG588" s="2892"/>
      <c r="AH588" s="2887" t="str">
        <f>IF('1_入力シート【基本情報】'!BF249="","",'1_入力シート【基本情報】'!BF249)</f>
        <v/>
      </c>
      <c r="AI588" s="2888"/>
      <c r="AJ588" s="2888"/>
      <c r="AK588" s="2888"/>
      <c r="AL588" s="2888"/>
      <c r="AM588" s="2888"/>
      <c r="AN588" s="2888"/>
      <c r="AO588" s="2888"/>
      <c r="AP588" s="2888"/>
      <c r="AQ588" s="2888"/>
      <c r="AR588" s="2888"/>
      <c r="AS588" s="2889"/>
      <c r="AT588" s="1595"/>
      <c r="AU588" s="1536"/>
      <c r="AZ588" s="1488"/>
    </row>
    <row r="589" spans="1:52" ht="36" customHeight="1">
      <c r="A589" s="1536"/>
      <c r="B589" s="2893"/>
      <c r="C589" s="2893"/>
      <c r="D589" s="2893"/>
      <c r="E589" s="2893"/>
      <c r="F589" s="2893"/>
      <c r="G589" s="2893"/>
      <c r="H589" s="2894"/>
      <c r="I589" s="2894"/>
      <c r="J589" s="2894"/>
      <c r="K589" s="2894"/>
      <c r="L589" s="2894"/>
      <c r="M589" s="2894"/>
      <c r="N589" s="2894"/>
      <c r="O589" s="2894"/>
      <c r="P589" s="2894"/>
      <c r="Q589" s="2894"/>
      <c r="R589" s="2894"/>
      <c r="S589" s="2894"/>
      <c r="T589" s="2894"/>
      <c r="U589" s="2894"/>
      <c r="V589" s="2894"/>
      <c r="W589" s="2894"/>
      <c r="X589" s="2894"/>
      <c r="Y589" s="2894"/>
      <c r="Z589" s="2894"/>
      <c r="AA589" s="2894"/>
      <c r="AB589" s="2895"/>
      <c r="AC589" s="2895"/>
      <c r="AD589" s="2895"/>
      <c r="AE589" s="2895"/>
      <c r="AF589" s="2895"/>
      <c r="AG589" s="2895"/>
      <c r="AH589" s="2896"/>
      <c r="AI589" s="2896"/>
      <c r="AJ589" s="2896"/>
      <c r="AK589" s="2896"/>
      <c r="AL589" s="2896"/>
      <c r="AM589" s="2896"/>
      <c r="AN589" s="2896"/>
      <c r="AO589" s="2896"/>
      <c r="AP589" s="2896"/>
      <c r="AQ589" s="2896"/>
      <c r="AR589" s="2896"/>
      <c r="AS589" s="2896"/>
      <c r="AT589" s="1583"/>
      <c r="AU589" s="1536"/>
      <c r="AV589" s="1536"/>
    </row>
    <row r="590" spans="1:52" ht="36" customHeight="1">
      <c r="A590" s="1536"/>
      <c r="B590" s="2897"/>
      <c r="C590" s="2897"/>
      <c r="D590" s="2897"/>
      <c r="E590" s="2897"/>
      <c r="F590" s="2897"/>
      <c r="G590" s="2897"/>
      <c r="H590" s="2898"/>
      <c r="I590" s="2898"/>
      <c r="J590" s="2898"/>
      <c r="K590" s="2898"/>
      <c r="L590" s="2898"/>
      <c r="M590" s="2898"/>
      <c r="N590" s="2898"/>
      <c r="O590" s="2898"/>
      <c r="P590" s="2898"/>
      <c r="Q590" s="2898"/>
      <c r="R590" s="2898"/>
      <c r="S590" s="2898"/>
      <c r="T590" s="2898"/>
      <c r="U590" s="2898"/>
      <c r="V590" s="2898"/>
      <c r="W590" s="2898"/>
      <c r="X590" s="2898"/>
      <c r="Y590" s="2898"/>
      <c r="Z590" s="2898"/>
      <c r="AA590" s="2898"/>
      <c r="AB590" s="2899"/>
      <c r="AC590" s="2899"/>
      <c r="AD590" s="2899"/>
      <c r="AE590" s="2899"/>
      <c r="AF590" s="2899"/>
      <c r="AG590" s="2899"/>
      <c r="AH590" s="2900"/>
      <c r="AI590" s="2900"/>
      <c r="AJ590" s="2900"/>
      <c r="AK590" s="2900"/>
      <c r="AL590" s="2900"/>
      <c r="AM590" s="2900"/>
      <c r="AN590" s="2900"/>
      <c r="AO590" s="2900"/>
      <c r="AP590" s="2900"/>
      <c r="AQ590" s="2900"/>
      <c r="AR590" s="2900"/>
      <c r="AS590" s="2900"/>
      <c r="AT590" s="1583"/>
      <c r="AU590" s="1536"/>
      <c r="AV590" s="1536"/>
    </row>
    <row r="591" spans="1:52" ht="36" customHeight="1">
      <c r="A591" s="1536"/>
      <c r="B591" s="2897"/>
      <c r="C591" s="2897"/>
      <c r="D591" s="2897"/>
      <c r="E591" s="2897"/>
      <c r="F591" s="2897"/>
      <c r="G591" s="2897"/>
      <c r="H591" s="2898"/>
      <c r="I591" s="2898"/>
      <c r="J591" s="2898"/>
      <c r="K591" s="2898"/>
      <c r="L591" s="2898"/>
      <c r="M591" s="2898"/>
      <c r="N591" s="2898"/>
      <c r="O591" s="2898"/>
      <c r="P591" s="2898"/>
      <c r="Q591" s="2898"/>
      <c r="R591" s="2898"/>
      <c r="S591" s="2898"/>
      <c r="T591" s="2898"/>
      <c r="U591" s="2898"/>
      <c r="V591" s="2898"/>
      <c r="W591" s="2898"/>
      <c r="X591" s="2898"/>
      <c r="Y591" s="2898"/>
      <c r="Z591" s="2898"/>
      <c r="AA591" s="2898"/>
      <c r="AB591" s="2899"/>
      <c r="AC591" s="2899"/>
      <c r="AD591" s="2899"/>
      <c r="AE591" s="2899"/>
      <c r="AF591" s="2899"/>
      <c r="AG591" s="2899"/>
      <c r="AH591" s="2900"/>
      <c r="AI591" s="2900"/>
      <c r="AJ591" s="2900"/>
      <c r="AK591" s="2900"/>
      <c r="AL591" s="2900"/>
      <c r="AM591" s="2900"/>
      <c r="AN591" s="2900"/>
      <c r="AO591" s="2900"/>
      <c r="AP591" s="2900"/>
      <c r="AQ591" s="2900"/>
      <c r="AR591" s="2900"/>
      <c r="AS591" s="2900"/>
      <c r="AT591" s="1583"/>
      <c r="AU591" s="1536"/>
      <c r="AV591" s="1536"/>
    </row>
    <row r="592" spans="1:52" ht="36" customHeight="1">
      <c r="A592" s="1536"/>
      <c r="B592" s="2897"/>
      <c r="C592" s="2897"/>
      <c r="D592" s="2897"/>
      <c r="E592" s="2897"/>
      <c r="F592" s="2897"/>
      <c r="G592" s="2897"/>
      <c r="H592" s="2898"/>
      <c r="I592" s="2898"/>
      <c r="J592" s="2898"/>
      <c r="K592" s="2898"/>
      <c r="L592" s="2898"/>
      <c r="M592" s="2898"/>
      <c r="N592" s="2898"/>
      <c r="O592" s="2898"/>
      <c r="P592" s="2898"/>
      <c r="Q592" s="2898"/>
      <c r="R592" s="2898"/>
      <c r="S592" s="2898"/>
      <c r="T592" s="2898"/>
      <c r="U592" s="2898"/>
      <c r="V592" s="2898"/>
      <c r="W592" s="2898"/>
      <c r="X592" s="2898"/>
      <c r="Y592" s="2898"/>
      <c r="Z592" s="2898"/>
      <c r="AA592" s="2898"/>
      <c r="AB592" s="2899"/>
      <c r="AC592" s="2899"/>
      <c r="AD592" s="2899"/>
      <c r="AE592" s="2899"/>
      <c r="AF592" s="2899"/>
      <c r="AG592" s="2899"/>
      <c r="AH592" s="2900"/>
      <c r="AI592" s="2900"/>
      <c r="AJ592" s="2900"/>
      <c r="AK592" s="2900"/>
      <c r="AL592" s="2900"/>
      <c r="AM592" s="2900"/>
      <c r="AN592" s="2900"/>
      <c r="AO592" s="2900"/>
      <c r="AP592" s="2900"/>
      <c r="AQ592" s="2900"/>
      <c r="AR592" s="2900"/>
      <c r="AS592" s="2900"/>
      <c r="AT592" s="1583"/>
      <c r="AU592" s="1536"/>
      <c r="AV592" s="1536"/>
    </row>
    <row r="593" spans="1:54" ht="36" customHeight="1">
      <c r="A593" s="1536"/>
      <c r="B593" s="2897"/>
      <c r="C593" s="2897"/>
      <c r="D593" s="2897"/>
      <c r="E593" s="2897"/>
      <c r="F593" s="2897"/>
      <c r="G593" s="2897"/>
      <c r="H593" s="2898"/>
      <c r="I593" s="2898"/>
      <c r="J593" s="2898"/>
      <c r="K593" s="2898"/>
      <c r="L593" s="2898"/>
      <c r="M593" s="2898"/>
      <c r="N593" s="2898"/>
      <c r="O593" s="2898"/>
      <c r="P593" s="2898"/>
      <c r="Q593" s="2898"/>
      <c r="R593" s="2898"/>
      <c r="S593" s="2898"/>
      <c r="T593" s="2898"/>
      <c r="U593" s="2898"/>
      <c r="V593" s="2898"/>
      <c r="W593" s="2898"/>
      <c r="X593" s="2898"/>
      <c r="Y593" s="2898"/>
      <c r="Z593" s="2898"/>
      <c r="AA593" s="2898"/>
      <c r="AB593" s="2899"/>
      <c r="AC593" s="2899"/>
      <c r="AD593" s="2899"/>
      <c r="AE593" s="2899"/>
      <c r="AF593" s="2899"/>
      <c r="AG593" s="2899"/>
      <c r="AH593" s="2900"/>
      <c r="AI593" s="2900"/>
      <c r="AJ593" s="2900"/>
      <c r="AK593" s="2900"/>
      <c r="AL593" s="2900"/>
      <c r="AM593" s="2900"/>
      <c r="AN593" s="2900"/>
      <c r="AO593" s="2900"/>
      <c r="AP593" s="2900"/>
      <c r="AQ593" s="2900"/>
      <c r="AR593" s="2900"/>
      <c r="AS593" s="2900"/>
      <c r="AT593" s="1583"/>
      <c r="AU593" s="1536"/>
      <c r="AV593" s="1536"/>
    </row>
    <row r="594" spans="1:54" ht="36" customHeight="1">
      <c r="A594" s="1536"/>
      <c r="B594" s="2897"/>
      <c r="C594" s="2897"/>
      <c r="D594" s="2897"/>
      <c r="E594" s="2897"/>
      <c r="F594" s="2897"/>
      <c r="G594" s="2897"/>
      <c r="H594" s="2898"/>
      <c r="I594" s="2898"/>
      <c r="J594" s="2898"/>
      <c r="K594" s="2898"/>
      <c r="L594" s="2898"/>
      <c r="M594" s="2898"/>
      <c r="N594" s="2898"/>
      <c r="O594" s="2898"/>
      <c r="P594" s="2898"/>
      <c r="Q594" s="2898"/>
      <c r="R594" s="2898"/>
      <c r="S594" s="2898"/>
      <c r="T594" s="2898"/>
      <c r="U594" s="2898"/>
      <c r="V594" s="2898"/>
      <c r="W594" s="2898"/>
      <c r="X594" s="2898"/>
      <c r="Y594" s="2898"/>
      <c r="Z594" s="2898"/>
      <c r="AA594" s="2898"/>
      <c r="AB594" s="2899"/>
      <c r="AC594" s="2899"/>
      <c r="AD594" s="2899"/>
      <c r="AE594" s="2899"/>
      <c r="AF594" s="2899"/>
      <c r="AG594" s="2899"/>
      <c r="AH594" s="2900"/>
      <c r="AI594" s="2900"/>
      <c r="AJ594" s="2900"/>
      <c r="AK594" s="2900"/>
      <c r="AL594" s="2900"/>
      <c r="AM594" s="2900"/>
      <c r="AN594" s="2900"/>
      <c r="AO594" s="2900"/>
      <c r="AP594" s="2900"/>
      <c r="AQ594" s="2900"/>
      <c r="AR594" s="2900"/>
      <c r="AS594" s="2900"/>
      <c r="AT594" s="1583"/>
      <c r="AU594" s="1536"/>
      <c r="AV594" s="1536"/>
    </row>
    <row r="595" spans="1:54" ht="36" customHeight="1">
      <c r="A595" s="1536"/>
      <c r="B595" s="2897"/>
      <c r="C595" s="2897"/>
      <c r="D595" s="2897"/>
      <c r="E595" s="2897"/>
      <c r="F595" s="2897"/>
      <c r="G595" s="2897"/>
      <c r="H595" s="2898"/>
      <c r="I595" s="2898"/>
      <c r="J595" s="2898"/>
      <c r="K595" s="2898"/>
      <c r="L595" s="2898"/>
      <c r="M595" s="2898"/>
      <c r="N595" s="2898"/>
      <c r="O595" s="2898"/>
      <c r="P595" s="2898"/>
      <c r="Q595" s="2898"/>
      <c r="R595" s="2898"/>
      <c r="S595" s="2898"/>
      <c r="T595" s="2898"/>
      <c r="U595" s="2898"/>
      <c r="V595" s="2898"/>
      <c r="W595" s="2898"/>
      <c r="X595" s="2898"/>
      <c r="Y595" s="2898"/>
      <c r="Z595" s="2898"/>
      <c r="AA595" s="2898"/>
      <c r="AB595" s="2899"/>
      <c r="AC595" s="2899"/>
      <c r="AD595" s="2899"/>
      <c r="AE595" s="2899"/>
      <c r="AF595" s="2899"/>
      <c r="AG595" s="2899"/>
      <c r="AH595" s="2900"/>
      <c r="AI595" s="2900"/>
      <c r="AJ595" s="2900"/>
      <c r="AK595" s="2900"/>
      <c r="AL595" s="2900"/>
      <c r="AM595" s="2900"/>
      <c r="AN595" s="2900"/>
      <c r="AO595" s="2900"/>
      <c r="AP595" s="2900"/>
      <c r="AQ595" s="2900"/>
      <c r="AR595" s="2900"/>
      <c r="AS595" s="2900"/>
      <c r="AT595" s="1583"/>
      <c r="AU595" s="1536"/>
      <c r="AV595" s="1536"/>
      <c r="BA595" s="1487"/>
    </row>
    <row r="596" spans="1:54" ht="36" customHeight="1">
      <c r="A596" s="1536"/>
      <c r="B596" s="2897"/>
      <c r="C596" s="2897"/>
      <c r="D596" s="2897"/>
      <c r="E596" s="2897"/>
      <c r="F596" s="2897"/>
      <c r="G596" s="2897"/>
      <c r="H596" s="2898"/>
      <c r="I596" s="2898"/>
      <c r="J596" s="2898"/>
      <c r="K596" s="2898"/>
      <c r="L596" s="2898"/>
      <c r="M596" s="2898"/>
      <c r="N596" s="2898"/>
      <c r="O596" s="2898"/>
      <c r="P596" s="2898"/>
      <c r="Q596" s="2898"/>
      <c r="R596" s="2898"/>
      <c r="S596" s="2898"/>
      <c r="T596" s="2898"/>
      <c r="U596" s="2898"/>
      <c r="V596" s="2898"/>
      <c r="W596" s="2898"/>
      <c r="X596" s="2898"/>
      <c r="Y596" s="2898"/>
      <c r="Z596" s="2898"/>
      <c r="AA596" s="2898"/>
      <c r="AB596" s="2899"/>
      <c r="AC596" s="2899"/>
      <c r="AD596" s="2899"/>
      <c r="AE596" s="2899"/>
      <c r="AF596" s="2899"/>
      <c r="AG596" s="2899"/>
      <c r="AH596" s="2900"/>
      <c r="AI596" s="2900"/>
      <c r="AJ596" s="2900"/>
      <c r="AK596" s="2900"/>
      <c r="AL596" s="2900"/>
      <c r="AM596" s="2900"/>
      <c r="AN596" s="2900"/>
      <c r="AO596" s="2900"/>
      <c r="AP596" s="2900"/>
      <c r="AQ596" s="2900"/>
      <c r="AR596" s="2900"/>
      <c r="AS596" s="2900"/>
      <c r="AT596" s="1583"/>
      <c r="AU596" s="1536"/>
      <c r="AV596" s="1536"/>
    </row>
    <row r="597" spans="1:54" ht="36" customHeight="1">
      <c r="A597" s="1536"/>
      <c r="B597" s="2897"/>
      <c r="C597" s="2897"/>
      <c r="D597" s="2897"/>
      <c r="E597" s="2897"/>
      <c r="F597" s="2897"/>
      <c r="G597" s="2897"/>
      <c r="H597" s="2898"/>
      <c r="I597" s="2898"/>
      <c r="J597" s="2898"/>
      <c r="K597" s="2898"/>
      <c r="L597" s="2898"/>
      <c r="M597" s="2898"/>
      <c r="N597" s="2898"/>
      <c r="O597" s="2898"/>
      <c r="P597" s="2898"/>
      <c r="Q597" s="2898"/>
      <c r="R597" s="2898"/>
      <c r="S597" s="2898"/>
      <c r="T597" s="2898"/>
      <c r="U597" s="2898"/>
      <c r="V597" s="2898"/>
      <c r="W597" s="2898"/>
      <c r="X597" s="2898"/>
      <c r="Y597" s="2898"/>
      <c r="Z597" s="2898"/>
      <c r="AA597" s="2898"/>
      <c r="AB597" s="2899"/>
      <c r="AC597" s="2899"/>
      <c r="AD597" s="2899"/>
      <c r="AE597" s="2899"/>
      <c r="AF597" s="2899"/>
      <c r="AG597" s="2899"/>
      <c r="AH597" s="2900"/>
      <c r="AI597" s="2900"/>
      <c r="AJ597" s="2900"/>
      <c r="AK597" s="2900"/>
      <c r="AL597" s="2900"/>
      <c r="AM597" s="2900"/>
      <c r="AN597" s="2900"/>
      <c r="AO597" s="2900"/>
      <c r="AP597" s="2900"/>
      <c r="AQ597" s="2900"/>
      <c r="AR597" s="2900"/>
      <c r="AS597" s="2900"/>
      <c r="AT597" s="1583"/>
      <c r="AU597" s="1536"/>
      <c r="AV597" s="1536"/>
    </row>
    <row r="598" spans="1:54" ht="36" customHeight="1">
      <c r="A598" s="1536"/>
      <c r="B598" s="2897"/>
      <c r="C598" s="2897"/>
      <c r="D598" s="2897"/>
      <c r="E598" s="2897"/>
      <c r="F598" s="2897"/>
      <c r="G598" s="2897"/>
      <c r="H598" s="2898"/>
      <c r="I598" s="2898"/>
      <c r="J598" s="2898"/>
      <c r="K598" s="2898"/>
      <c r="L598" s="2898"/>
      <c r="M598" s="2898"/>
      <c r="N598" s="2898"/>
      <c r="O598" s="2898"/>
      <c r="P598" s="2898"/>
      <c r="Q598" s="2898"/>
      <c r="R598" s="2898"/>
      <c r="S598" s="2898"/>
      <c r="T598" s="2898"/>
      <c r="U598" s="2898"/>
      <c r="V598" s="2898"/>
      <c r="W598" s="2898"/>
      <c r="X598" s="2898"/>
      <c r="Y598" s="2898"/>
      <c r="Z598" s="2898"/>
      <c r="AA598" s="2898"/>
      <c r="AB598" s="2899"/>
      <c r="AC598" s="2899"/>
      <c r="AD598" s="2899"/>
      <c r="AE598" s="2899"/>
      <c r="AF598" s="2899"/>
      <c r="AG598" s="2899"/>
      <c r="AH598" s="2900"/>
      <c r="AI598" s="2900"/>
      <c r="AJ598" s="2900"/>
      <c r="AK598" s="2900"/>
      <c r="AL598" s="2900"/>
      <c r="AM598" s="2900"/>
      <c r="AN598" s="2900"/>
      <c r="AO598" s="2900"/>
      <c r="AP598" s="2900"/>
      <c r="AQ598" s="2900"/>
      <c r="AR598" s="2900"/>
      <c r="AS598" s="2900"/>
      <c r="AT598" s="1583"/>
      <c r="AU598" s="1536"/>
      <c r="AV598" s="1536"/>
    </row>
    <row r="599" spans="1:54" ht="36" customHeight="1">
      <c r="A599" s="1536"/>
      <c r="B599" s="2897"/>
      <c r="C599" s="2897"/>
      <c r="D599" s="2897"/>
      <c r="E599" s="2897"/>
      <c r="F599" s="2897"/>
      <c r="G599" s="2897"/>
      <c r="H599" s="2898"/>
      <c r="I599" s="2898"/>
      <c r="J599" s="2898"/>
      <c r="K599" s="2898"/>
      <c r="L599" s="2898"/>
      <c r="M599" s="2898"/>
      <c r="N599" s="2898"/>
      <c r="O599" s="2898"/>
      <c r="P599" s="2898"/>
      <c r="Q599" s="2898"/>
      <c r="R599" s="2898"/>
      <c r="S599" s="2898"/>
      <c r="T599" s="2898"/>
      <c r="U599" s="2898"/>
      <c r="V599" s="2898"/>
      <c r="W599" s="2898"/>
      <c r="X599" s="2898"/>
      <c r="Y599" s="2898"/>
      <c r="Z599" s="2898"/>
      <c r="AA599" s="2898"/>
      <c r="AB599" s="2899"/>
      <c r="AC599" s="2899"/>
      <c r="AD599" s="2899"/>
      <c r="AE599" s="2899"/>
      <c r="AF599" s="2899"/>
      <c r="AG599" s="2899"/>
      <c r="AH599" s="2900"/>
      <c r="AI599" s="2900"/>
      <c r="AJ599" s="2900"/>
      <c r="AK599" s="2900"/>
      <c r="AL599" s="2900"/>
      <c r="AM599" s="2900"/>
      <c r="AN599" s="2900"/>
      <c r="AO599" s="2900"/>
      <c r="AP599" s="2900"/>
      <c r="AQ599" s="2900"/>
      <c r="AR599" s="2900"/>
      <c r="AS599" s="2900"/>
      <c r="AT599" s="1583"/>
      <c r="AU599" s="1536"/>
      <c r="AV599" s="1536"/>
    </row>
    <row r="600" spans="1:54" ht="36" customHeight="1">
      <c r="A600" s="1536"/>
      <c r="B600" s="2897"/>
      <c r="C600" s="2897"/>
      <c r="D600" s="2897"/>
      <c r="E600" s="2897"/>
      <c r="F600" s="2897"/>
      <c r="G600" s="2897"/>
      <c r="H600" s="2898"/>
      <c r="I600" s="2898"/>
      <c r="J600" s="2898"/>
      <c r="K600" s="2898"/>
      <c r="L600" s="2898"/>
      <c r="M600" s="2898"/>
      <c r="N600" s="2898"/>
      <c r="O600" s="2898"/>
      <c r="P600" s="2898"/>
      <c r="Q600" s="2898"/>
      <c r="R600" s="2898"/>
      <c r="S600" s="2898"/>
      <c r="T600" s="2898"/>
      <c r="U600" s="2898"/>
      <c r="V600" s="2898"/>
      <c r="W600" s="2898"/>
      <c r="X600" s="2898"/>
      <c r="Y600" s="2898"/>
      <c r="Z600" s="2898"/>
      <c r="AA600" s="2898"/>
      <c r="AB600" s="2899"/>
      <c r="AC600" s="2899"/>
      <c r="AD600" s="2899"/>
      <c r="AE600" s="2899"/>
      <c r="AF600" s="2899"/>
      <c r="AG600" s="2899"/>
      <c r="AH600" s="2900"/>
      <c r="AI600" s="2900"/>
      <c r="AJ600" s="2900"/>
      <c r="AK600" s="2900"/>
      <c r="AL600" s="2900"/>
      <c r="AM600" s="2900"/>
      <c r="AN600" s="2900"/>
      <c r="AO600" s="2900"/>
      <c r="AP600" s="2900"/>
      <c r="AQ600" s="2900"/>
      <c r="AR600" s="2900"/>
      <c r="AS600" s="2900"/>
      <c r="AT600" s="1583"/>
      <c r="AU600" s="1536"/>
      <c r="AV600" s="1536"/>
    </row>
    <row r="601" spans="1:54" ht="36" customHeight="1">
      <c r="A601" s="1536"/>
      <c r="B601" s="2897"/>
      <c r="C601" s="2897"/>
      <c r="D601" s="2897"/>
      <c r="E601" s="2897"/>
      <c r="F601" s="2897"/>
      <c r="G601" s="2897"/>
      <c r="H601" s="2898"/>
      <c r="I601" s="2898"/>
      <c r="J601" s="2898"/>
      <c r="K601" s="2898"/>
      <c r="L601" s="2898"/>
      <c r="M601" s="2898"/>
      <c r="N601" s="2898"/>
      <c r="O601" s="2898"/>
      <c r="P601" s="2898"/>
      <c r="Q601" s="2898"/>
      <c r="R601" s="2898"/>
      <c r="S601" s="2898"/>
      <c r="T601" s="2898"/>
      <c r="U601" s="2898"/>
      <c r="V601" s="2898"/>
      <c r="W601" s="2898"/>
      <c r="X601" s="2898"/>
      <c r="Y601" s="2898"/>
      <c r="Z601" s="2898"/>
      <c r="AA601" s="2898"/>
      <c r="AB601" s="2899"/>
      <c r="AC601" s="2899"/>
      <c r="AD601" s="2899"/>
      <c r="AE601" s="2899"/>
      <c r="AF601" s="2899"/>
      <c r="AG601" s="2899"/>
      <c r="AH601" s="2900"/>
      <c r="AI601" s="2900"/>
      <c r="AJ601" s="2900"/>
      <c r="AK601" s="2900"/>
      <c r="AL601" s="2900"/>
      <c r="AM601" s="2900"/>
      <c r="AN601" s="2900"/>
      <c r="AO601" s="2900"/>
      <c r="AP601" s="2900"/>
      <c r="AQ601" s="2900"/>
      <c r="AR601" s="2900"/>
      <c r="AS601" s="2900"/>
      <c r="AT601" s="1583"/>
      <c r="AU601" s="1536"/>
      <c r="AV601" s="1536"/>
    </row>
    <row r="602" spans="1:54" ht="36" customHeight="1">
      <c r="A602" s="1536"/>
      <c r="B602" s="2897"/>
      <c r="C602" s="2897"/>
      <c r="D602" s="2897"/>
      <c r="E602" s="2897"/>
      <c r="F602" s="2897"/>
      <c r="G602" s="2897"/>
      <c r="H602" s="2898"/>
      <c r="I602" s="2898"/>
      <c r="J602" s="2898"/>
      <c r="K602" s="2898"/>
      <c r="L602" s="2898"/>
      <c r="M602" s="2898"/>
      <c r="N602" s="2898"/>
      <c r="O602" s="2898"/>
      <c r="P602" s="2898"/>
      <c r="Q602" s="2898"/>
      <c r="R602" s="2898"/>
      <c r="S602" s="2898"/>
      <c r="T602" s="2898"/>
      <c r="U602" s="2898"/>
      <c r="V602" s="2898"/>
      <c r="W602" s="2898"/>
      <c r="X602" s="2898"/>
      <c r="Y602" s="2898"/>
      <c r="Z602" s="2898"/>
      <c r="AA602" s="2898"/>
      <c r="AB602" s="2899"/>
      <c r="AC602" s="2899"/>
      <c r="AD602" s="2899"/>
      <c r="AE602" s="2899"/>
      <c r="AF602" s="2899"/>
      <c r="AG602" s="2899"/>
      <c r="AH602" s="2900"/>
      <c r="AI602" s="2900"/>
      <c r="AJ602" s="2900"/>
      <c r="AK602" s="2900"/>
      <c r="AL602" s="2900"/>
      <c r="AM602" s="2900"/>
      <c r="AN602" s="2900"/>
      <c r="AO602" s="2900"/>
      <c r="AP602" s="2900"/>
      <c r="AQ602" s="2900"/>
      <c r="AR602" s="2900"/>
      <c r="AS602" s="2900"/>
      <c r="AT602" s="1583"/>
      <c r="AU602" s="1536"/>
      <c r="AV602" s="1536"/>
      <c r="BA602" s="1487"/>
    </row>
    <row r="603" spans="1:54" ht="36" customHeight="1">
      <c r="A603" s="1468"/>
      <c r="B603" s="1468"/>
      <c r="C603" s="1468"/>
      <c r="D603" s="1468"/>
      <c r="E603" s="1468"/>
      <c r="F603" s="1468"/>
      <c r="G603" s="1468"/>
      <c r="H603" s="1468"/>
      <c r="I603" s="1468"/>
      <c r="J603" s="1468"/>
      <c r="K603" s="1468"/>
      <c r="L603" s="1468"/>
      <c r="M603" s="1468"/>
      <c r="N603" s="1468"/>
      <c r="O603" s="1468"/>
      <c r="P603" s="1468"/>
      <c r="Q603" s="1468"/>
      <c r="R603" s="1468"/>
      <c r="S603" s="1468"/>
      <c r="T603" s="1468"/>
      <c r="U603" s="1468"/>
      <c r="V603" s="1468"/>
      <c r="W603" s="1468"/>
      <c r="X603" s="1468"/>
      <c r="Y603" s="1468"/>
      <c r="Z603" s="1468"/>
      <c r="AA603" s="1468"/>
      <c r="AB603" s="1468"/>
      <c r="AC603" s="1468"/>
      <c r="AD603" s="1468"/>
      <c r="AE603" s="1468"/>
      <c r="AF603" s="1468"/>
      <c r="AG603" s="1468"/>
      <c r="AH603" s="1468"/>
      <c r="AI603" s="1468"/>
      <c r="AJ603" s="1468"/>
      <c r="AK603" s="1468"/>
      <c r="AL603" s="1468"/>
      <c r="AM603" s="1468"/>
      <c r="AN603" s="1468"/>
      <c r="AO603" s="1468"/>
      <c r="AP603" s="1468"/>
      <c r="AQ603" s="1468"/>
      <c r="AR603" s="1468"/>
      <c r="AS603" s="1468"/>
      <c r="AT603" s="1468"/>
      <c r="AU603" s="1468"/>
    </row>
    <row r="604" spans="1:54">
      <c r="A604" s="1468"/>
      <c r="B604" s="1468"/>
      <c r="C604" s="1468"/>
      <c r="D604" s="1468"/>
      <c r="E604" s="1468"/>
      <c r="F604" s="1468"/>
      <c r="G604" s="1468"/>
      <c r="H604" s="1468"/>
      <c r="I604" s="1468"/>
      <c r="J604" s="1468"/>
      <c r="K604" s="1468"/>
      <c r="L604" s="1468"/>
      <c r="M604" s="1468"/>
      <c r="N604" s="1468"/>
      <c r="O604" s="1468"/>
      <c r="P604" s="1468"/>
      <c r="Q604" s="1468"/>
      <c r="R604" s="1468"/>
      <c r="S604" s="1468"/>
      <c r="T604" s="1468"/>
      <c r="U604" s="1468"/>
      <c r="V604" s="1468"/>
      <c r="W604" s="1468"/>
      <c r="X604" s="1468"/>
      <c r="Y604" s="1468"/>
      <c r="Z604" s="1468"/>
      <c r="AA604" s="1468"/>
      <c r="AB604" s="1468"/>
      <c r="AC604" s="1468"/>
      <c r="AD604" s="1468"/>
      <c r="AE604" s="1468"/>
      <c r="AF604" s="1468"/>
      <c r="AG604" s="1468"/>
      <c r="AH604" s="1468"/>
      <c r="AI604" s="1468"/>
      <c r="AJ604" s="1468"/>
      <c r="AK604" s="1468"/>
      <c r="AL604" s="1468"/>
      <c r="AM604" s="1468"/>
      <c r="AN604" s="1468"/>
      <c r="AO604" s="1468"/>
      <c r="AP604" s="1468"/>
      <c r="AQ604" s="1468"/>
      <c r="AR604" s="1468"/>
      <c r="AS604" s="1468"/>
      <c r="AT604" s="1468"/>
      <c r="AU604" s="1497"/>
    </row>
    <row r="605" spans="1:54" s="1596" customFormat="1" ht="13" customHeight="1">
      <c r="B605" s="2901" t="s">
        <v>543</v>
      </c>
      <c r="C605" s="2901"/>
      <c r="D605" s="2901"/>
      <c r="E605" s="2901"/>
      <c r="F605" s="2901"/>
      <c r="G605" s="2901"/>
      <c r="H605" s="2901"/>
      <c r="I605" s="2901"/>
      <c r="J605" s="2901"/>
      <c r="K605" s="2901"/>
      <c r="L605" s="2901"/>
      <c r="M605" s="2901"/>
      <c r="N605" s="2901"/>
      <c r="O605" s="2901"/>
      <c r="P605" s="2901"/>
      <c r="Q605" s="2901"/>
      <c r="R605" s="2901"/>
      <c r="S605" s="2901"/>
      <c r="T605" s="2901"/>
      <c r="U605" s="2901"/>
      <c r="V605" s="2901"/>
      <c r="W605" s="2901"/>
      <c r="X605" s="2901"/>
      <c r="Y605" s="2901"/>
      <c r="Z605" s="2901"/>
      <c r="AA605" s="2901"/>
      <c r="AB605" s="2901"/>
      <c r="AC605" s="2901"/>
      <c r="AD605" s="2901"/>
      <c r="AE605" s="2901"/>
      <c r="AF605" s="2901"/>
      <c r="AG605" s="2901"/>
      <c r="AH605" s="2901"/>
      <c r="AI605" s="2901"/>
      <c r="AJ605" s="2901"/>
      <c r="AK605" s="2901"/>
      <c r="AL605" s="2901"/>
      <c r="AM605" s="2901"/>
      <c r="AN605" s="2901"/>
      <c r="AO605" s="2901"/>
      <c r="AP605" s="2901"/>
      <c r="AQ605" s="2901"/>
      <c r="AR605" s="2901"/>
      <c r="AS605" s="2901"/>
      <c r="AT605" s="2901"/>
      <c r="AU605" s="1597"/>
      <c r="AZ605" s="1461"/>
      <c r="BA605" s="1598"/>
      <c r="BB605" s="1598"/>
    </row>
    <row r="606" spans="1:54" s="1596" customFormat="1" ht="13" customHeight="1">
      <c r="B606" s="2901" t="s">
        <v>544</v>
      </c>
      <c r="C606" s="2901"/>
      <c r="D606" s="2901"/>
      <c r="E606" s="2901"/>
      <c r="F606" s="2901"/>
      <c r="G606" s="2901"/>
      <c r="H606" s="2901"/>
      <c r="I606" s="2901"/>
      <c r="J606" s="2901"/>
      <c r="K606" s="2901"/>
      <c r="L606" s="2901"/>
      <c r="M606" s="2901"/>
      <c r="N606" s="2901"/>
      <c r="O606" s="2901"/>
      <c r="P606" s="2901"/>
      <c r="Q606" s="2901"/>
      <c r="R606" s="2901"/>
      <c r="S606" s="2901"/>
      <c r="T606" s="2901"/>
      <c r="U606" s="2901"/>
      <c r="V606" s="2901"/>
      <c r="W606" s="2901"/>
      <c r="X606" s="2901"/>
      <c r="Y606" s="2901"/>
      <c r="Z606" s="2901"/>
      <c r="AA606" s="2901"/>
      <c r="AB606" s="2901"/>
      <c r="AC606" s="2901"/>
      <c r="AD606" s="2901"/>
      <c r="AE606" s="2901"/>
      <c r="AF606" s="2901"/>
      <c r="AG606" s="2901"/>
      <c r="AH606" s="2901"/>
      <c r="AI606" s="2901"/>
      <c r="AJ606" s="2901"/>
      <c r="AK606" s="2901"/>
      <c r="AL606" s="2901"/>
      <c r="AM606" s="2901"/>
      <c r="AN606" s="2901"/>
      <c r="AO606" s="2901"/>
      <c r="AP606" s="2901"/>
      <c r="AQ606" s="2901"/>
      <c r="AR606" s="2901"/>
      <c r="AS606" s="2901"/>
      <c r="AT606" s="2901"/>
      <c r="AU606" s="1597"/>
      <c r="AZ606" s="1461"/>
      <c r="BA606" s="1599"/>
      <c r="BB606" s="1599"/>
    </row>
    <row r="607" spans="1:54" s="1596" customFormat="1" ht="13" customHeight="1">
      <c r="B607" s="2901" t="s">
        <v>545</v>
      </c>
      <c r="C607" s="2901"/>
      <c r="D607" s="2901"/>
      <c r="E607" s="2901"/>
      <c r="F607" s="2901"/>
      <c r="G607" s="2901"/>
      <c r="H607" s="2901"/>
      <c r="I607" s="2901"/>
      <c r="J607" s="2901"/>
      <c r="K607" s="2901"/>
      <c r="L607" s="2901"/>
      <c r="M607" s="2901"/>
      <c r="N607" s="2901"/>
      <c r="O607" s="2901"/>
      <c r="P607" s="2901"/>
      <c r="Q607" s="2901"/>
      <c r="R607" s="2901"/>
      <c r="S607" s="2901"/>
      <c r="T607" s="2901"/>
      <c r="U607" s="2901"/>
      <c r="V607" s="2901"/>
      <c r="W607" s="2901"/>
      <c r="X607" s="2901"/>
      <c r="Y607" s="2901"/>
      <c r="Z607" s="2901"/>
      <c r="AA607" s="2901"/>
      <c r="AB607" s="2901"/>
      <c r="AC607" s="2901"/>
      <c r="AD607" s="2901"/>
      <c r="AE607" s="2901"/>
      <c r="AF607" s="2901"/>
      <c r="AG607" s="2901"/>
      <c r="AH607" s="2901"/>
      <c r="AI607" s="2901"/>
      <c r="AJ607" s="2901"/>
      <c r="AK607" s="2901"/>
      <c r="AL607" s="2901"/>
      <c r="AM607" s="2901"/>
      <c r="AN607" s="2901"/>
      <c r="AO607" s="2901"/>
      <c r="AP607" s="2901"/>
      <c r="AQ607" s="2901"/>
      <c r="AR607" s="2901"/>
      <c r="AS607" s="2901"/>
      <c r="AT607" s="2901"/>
      <c r="AU607" s="1597"/>
      <c r="AZ607" s="1461"/>
    </row>
    <row r="608" spans="1:54" s="1596" customFormat="1" ht="13" customHeight="1">
      <c r="B608" s="2901" t="s">
        <v>546</v>
      </c>
      <c r="C608" s="2901"/>
      <c r="D608" s="2901"/>
      <c r="E608" s="2901"/>
      <c r="F608" s="2901"/>
      <c r="G608" s="2901"/>
      <c r="H608" s="2901"/>
      <c r="I608" s="2901"/>
      <c r="J608" s="2901"/>
      <c r="K608" s="2901"/>
      <c r="L608" s="2901"/>
      <c r="M608" s="2901"/>
      <c r="N608" s="2901"/>
      <c r="O608" s="2901"/>
      <c r="P608" s="2901"/>
      <c r="Q608" s="2901"/>
      <c r="R608" s="2901"/>
      <c r="S608" s="2901"/>
      <c r="T608" s="2901"/>
      <c r="U608" s="2901"/>
      <c r="V608" s="2901"/>
      <c r="W608" s="2901"/>
      <c r="X608" s="2901"/>
      <c r="Y608" s="2901"/>
      <c r="Z608" s="2901"/>
      <c r="AA608" s="2901"/>
      <c r="AB608" s="2901"/>
      <c r="AC608" s="2901"/>
      <c r="AD608" s="2901"/>
      <c r="AE608" s="2901"/>
      <c r="AF608" s="2901"/>
      <c r="AG608" s="2901"/>
      <c r="AH608" s="2901"/>
      <c r="AI608" s="2901"/>
      <c r="AJ608" s="2901"/>
      <c r="AK608" s="2901"/>
      <c r="AL608" s="2901"/>
      <c r="AM608" s="2901"/>
      <c r="AN608" s="2901"/>
      <c r="AO608" s="2901"/>
      <c r="AP608" s="2901"/>
      <c r="AQ608" s="2901"/>
      <c r="AR608" s="2901"/>
      <c r="AS608" s="2901"/>
      <c r="AT608" s="2901"/>
      <c r="AU608" s="1597"/>
      <c r="AV608" s="1600" t="s">
        <v>546</v>
      </c>
      <c r="AW608" s="1600" t="s">
        <v>546</v>
      </c>
      <c r="AX608" s="1600" t="s">
        <v>546</v>
      </c>
      <c r="AY608" s="1600"/>
    </row>
    <row r="609" spans="2:47" s="1596" customFormat="1" ht="13" customHeight="1">
      <c r="B609" s="2903" t="s">
        <v>547</v>
      </c>
      <c r="C609" s="2903"/>
      <c r="D609" s="2903"/>
      <c r="E609" s="2903"/>
      <c r="F609" s="2903"/>
      <c r="G609" s="2903"/>
      <c r="H609" s="2903"/>
      <c r="I609" s="2903"/>
      <c r="J609" s="2903"/>
      <c r="K609" s="2903"/>
      <c r="L609" s="2903"/>
      <c r="M609" s="2903"/>
      <c r="N609" s="2903"/>
      <c r="O609" s="2903"/>
      <c r="P609" s="2903"/>
      <c r="Q609" s="2903"/>
      <c r="R609" s="2903"/>
      <c r="S609" s="2903"/>
      <c r="T609" s="2903"/>
      <c r="U609" s="2903"/>
      <c r="V609" s="2903"/>
      <c r="W609" s="2903"/>
      <c r="X609" s="2903"/>
      <c r="Y609" s="2903"/>
      <c r="Z609" s="2903"/>
      <c r="AA609" s="2903"/>
      <c r="AB609" s="2903"/>
      <c r="AC609" s="2903"/>
      <c r="AD609" s="2903"/>
      <c r="AE609" s="2903"/>
      <c r="AF609" s="2903"/>
      <c r="AG609" s="2903"/>
      <c r="AH609" s="2903"/>
      <c r="AI609" s="2903"/>
      <c r="AJ609" s="2903"/>
      <c r="AK609" s="2903"/>
      <c r="AL609" s="2903"/>
      <c r="AM609" s="2903"/>
      <c r="AN609" s="2903"/>
      <c r="AO609" s="2903"/>
      <c r="AP609" s="2903"/>
      <c r="AQ609" s="2903"/>
      <c r="AR609" s="2903"/>
      <c r="AS609" s="2903"/>
      <c r="AT609" s="2903"/>
      <c r="AU609" s="1601"/>
    </row>
    <row r="610" spans="2:47" s="1596" customFormat="1" ht="13" customHeight="1">
      <c r="B610" s="2903" t="s">
        <v>548</v>
      </c>
      <c r="C610" s="2903"/>
      <c r="D610" s="2903"/>
      <c r="E610" s="2903"/>
      <c r="F610" s="2903"/>
      <c r="G610" s="2903"/>
      <c r="H610" s="2903"/>
      <c r="I610" s="2903"/>
      <c r="J610" s="2903"/>
      <c r="K610" s="2903"/>
      <c r="L610" s="2903"/>
      <c r="M610" s="2903"/>
      <c r="N610" s="2903"/>
      <c r="O610" s="2903"/>
      <c r="P610" s="2903"/>
      <c r="Q610" s="2903"/>
      <c r="R610" s="2903"/>
      <c r="S610" s="2903"/>
      <c r="T610" s="2903"/>
      <c r="U610" s="2903"/>
      <c r="V610" s="2903"/>
      <c r="W610" s="2903"/>
      <c r="X610" s="2903"/>
      <c r="Y610" s="2903"/>
      <c r="Z610" s="2903"/>
      <c r="AA610" s="2903"/>
      <c r="AB610" s="2903"/>
      <c r="AC610" s="2903"/>
      <c r="AD610" s="2903"/>
      <c r="AE610" s="2903"/>
      <c r="AF610" s="2903"/>
      <c r="AG610" s="2903"/>
      <c r="AH610" s="2903"/>
      <c r="AI610" s="2903"/>
      <c r="AJ610" s="2903"/>
      <c r="AK610" s="2903"/>
      <c r="AL610" s="2903"/>
      <c r="AM610" s="2903"/>
      <c r="AN610" s="2903"/>
      <c r="AO610" s="2903"/>
      <c r="AP610" s="2903"/>
      <c r="AQ610" s="2903"/>
      <c r="AR610" s="2903"/>
      <c r="AS610" s="2903"/>
      <c r="AT610" s="2903"/>
    </row>
    <row r="611" spans="2:47" s="1596" customFormat="1" ht="13" customHeight="1">
      <c r="B611" s="2901" t="s">
        <v>549</v>
      </c>
      <c r="C611" s="2901"/>
      <c r="D611" s="2901"/>
      <c r="E611" s="2901"/>
      <c r="F611" s="2901"/>
      <c r="G611" s="2901"/>
      <c r="H611" s="2901"/>
      <c r="I611" s="2901"/>
      <c r="J611" s="2901"/>
      <c r="K611" s="2901"/>
      <c r="L611" s="2901"/>
      <c r="M611" s="2901"/>
      <c r="N611" s="2901"/>
      <c r="O611" s="2901"/>
      <c r="P611" s="2901"/>
      <c r="Q611" s="2901"/>
      <c r="R611" s="2901"/>
      <c r="S611" s="2901"/>
      <c r="T611" s="2901"/>
      <c r="U611" s="2901"/>
      <c r="V611" s="2901"/>
      <c r="W611" s="2901"/>
      <c r="X611" s="2901"/>
      <c r="Y611" s="2901"/>
      <c r="Z611" s="2901"/>
      <c r="AA611" s="2901"/>
      <c r="AB611" s="2901"/>
      <c r="AC611" s="2901"/>
      <c r="AD611" s="2901"/>
      <c r="AE611" s="2901"/>
      <c r="AF611" s="2901"/>
      <c r="AG611" s="2901"/>
      <c r="AH611" s="2901"/>
      <c r="AI611" s="2901"/>
      <c r="AJ611" s="2901"/>
      <c r="AK611" s="2901"/>
      <c r="AL611" s="2901"/>
      <c r="AM611" s="2901"/>
      <c r="AN611" s="2901"/>
      <c r="AO611" s="2901"/>
      <c r="AP611" s="2901"/>
      <c r="AQ611" s="2901"/>
      <c r="AR611" s="2901"/>
      <c r="AS611" s="2901"/>
      <c r="AT611" s="2901"/>
    </row>
    <row r="612" spans="2:47" s="1596" customFormat="1" ht="13" customHeight="1">
      <c r="B612" s="2901" t="s">
        <v>550</v>
      </c>
      <c r="C612" s="2901"/>
      <c r="D612" s="2901"/>
      <c r="E612" s="2901"/>
      <c r="F612" s="2901"/>
      <c r="G612" s="2901"/>
      <c r="H612" s="2901"/>
      <c r="I612" s="2901"/>
      <c r="J612" s="2901"/>
      <c r="K612" s="2901"/>
      <c r="L612" s="2901"/>
      <c r="M612" s="2901"/>
      <c r="N612" s="2901"/>
      <c r="O612" s="2901"/>
      <c r="P612" s="2901"/>
      <c r="Q612" s="2901"/>
      <c r="R612" s="2901"/>
      <c r="S612" s="2901"/>
      <c r="T612" s="2901"/>
      <c r="U612" s="2901"/>
      <c r="V612" s="2901"/>
      <c r="W612" s="2901"/>
      <c r="X612" s="2901"/>
      <c r="Y612" s="2901"/>
      <c r="Z612" s="2901"/>
      <c r="AA612" s="2901"/>
      <c r="AB612" s="2901"/>
      <c r="AC612" s="2901"/>
      <c r="AD612" s="2901"/>
      <c r="AE612" s="2901"/>
      <c r="AF612" s="2901"/>
      <c r="AG612" s="2901"/>
      <c r="AH612" s="2901"/>
      <c r="AI612" s="2901"/>
      <c r="AJ612" s="2901"/>
      <c r="AK612" s="2901"/>
      <c r="AL612" s="2901"/>
      <c r="AM612" s="2901"/>
      <c r="AN612" s="2901"/>
      <c r="AO612" s="2901"/>
      <c r="AP612" s="2901"/>
      <c r="AQ612" s="2901"/>
      <c r="AR612" s="2901"/>
      <c r="AS612" s="2901"/>
      <c r="AT612" s="2901"/>
    </row>
    <row r="613" spans="2:47" s="1596" customFormat="1" ht="13" customHeight="1">
      <c r="B613" s="2901" t="s">
        <v>551</v>
      </c>
      <c r="C613" s="2901"/>
      <c r="D613" s="2901"/>
      <c r="E613" s="2901"/>
      <c r="F613" s="2901"/>
      <c r="G613" s="2901"/>
      <c r="H613" s="2901"/>
      <c r="I613" s="2901"/>
      <c r="J613" s="2901"/>
      <c r="K613" s="2901"/>
      <c r="L613" s="2901"/>
      <c r="M613" s="2901"/>
      <c r="N613" s="2901"/>
      <c r="O613" s="2901"/>
      <c r="P613" s="2901"/>
      <c r="Q613" s="2901"/>
      <c r="R613" s="2901"/>
      <c r="S613" s="2901"/>
      <c r="T613" s="2901"/>
      <c r="U613" s="2901"/>
      <c r="V613" s="2901"/>
      <c r="W613" s="2901"/>
      <c r="X613" s="2901"/>
      <c r="Y613" s="2901"/>
      <c r="Z613" s="2901"/>
      <c r="AA613" s="2901"/>
      <c r="AB613" s="2901"/>
      <c r="AC613" s="2901"/>
      <c r="AD613" s="2901"/>
      <c r="AE613" s="2901"/>
      <c r="AF613" s="2901"/>
      <c r="AG613" s="2901"/>
      <c r="AH613" s="2901"/>
      <c r="AI613" s="2901"/>
      <c r="AJ613" s="2901"/>
      <c r="AK613" s="2901"/>
      <c r="AL613" s="2901"/>
      <c r="AM613" s="2901"/>
      <c r="AN613" s="2901"/>
      <c r="AO613" s="2901"/>
      <c r="AP613" s="2901"/>
      <c r="AQ613" s="2901"/>
      <c r="AR613" s="2901"/>
      <c r="AS613" s="2901"/>
      <c r="AT613" s="2901"/>
    </row>
    <row r="614" spans="2:47" s="1596" customFormat="1" ht="13" customHeight="1">
      <c r="B614" s="2901" t="s">
        <v>552</v>
      </c>
      <c r="C614" s="2901"/>
      <c r="D614" s="2901"/>
      <c r="E614" s="2901"/>
      <c r="F614" s="2901"/>
      <c r="G614" s="2901"/>
      <c r="H614" s="2901"/>
      <c r="I614" s="2901"/>
      <c r="J614" s="2901"/>
      <c r="K614" s="2901"/>
      <c r="L614" s="2901"/>
      <c r="M614" s="2901"/>
      <c r="N614" s="2901"/>
      <c r="O614" s="2901"/>
      <c r="P614" s="2901"/>
      <c r="Q614" s="2901"/>
      <c r="R614" s="2901"/>
      <c r="S614" s="2901"/>
      <c r="T614" s="2901"/>
      <c r="U614" s="2901"/>
      <c r="V614" s="2901"/>
      <c r="W614" s="2901"/>
      <c r="X614" s="2901"/>
      <c r="Y614" s="2901"/>
      <c r="Z614" s="2901"/>
      <c r="AA614" s="2901"/>
      <c r="AB614" s="2901"/>
      <c r="AC614" s="2901"/>
      <c r="AD614" s="2901"/>
      <c r="AE614" s="2901"/>
      <c r="AF614" s="2901"/>
      <c r="AG614" s="2901"/>
      <c r="AH614" s="2901"/>
      <c r="AI614" s="2901"/>
      <c r="AJ614" s="2901"/>
      <c r="AK614" s="2901"/>
      <c r="AL614" s="2901"/>
      <c r="AM614" s="2901"/>
      <c r="AN614" s="2901"/>
      <c r="AO614" s="2901"/>
      <c r="AP614" s="2901"/>
      <c r="AQ614" s="2901"/>
      <c r="AR614" s="2901"/>
      <c r="AS614" s="2901"/>
      <c r="AT614" s="2901"/>
    </row>
    <row r="615" spans="2:47" s="1596" customFormat="1" ht="13" customHeight="1">
      <c r="B615" s="2902" t="s">
        <v>553</v>
      </c>
      <c r="C615" s="2902"/>
      <c r="D615" s="2902"/>
      <c r="E615" s="2902"/>
      <c r="F615" s="2902"/>
      <c r="G615" s="2902"/>
      <c r="H615" s="2902"/>
      <c r="I615" s="2902"/>
      <c r="J615" s="2902"/>
      <c r="K615" s="2902"/>
      <c r="L615" s="2902"/>
      <c r="M615" s="2902"/>
      <c r="N615" s="2902"/>
      <c r="O615" s="2902"/>
      <c r="P615" s="2902"/>
      <c r="Q615" s="2902"/>
      <c r="R615" s="2902"/>
      <c r="S615" s="2902"/>
      <c r="T615" s="2902"/>
      <c r="U615" s="2902"/>
      <c r="V615" s="2902"/>
      <c r="W615" s="2902"/>
      <c r="X615" s="2902"/>
      <c r="Y615" s="2902"/>
      <c r="Z615" s="2902"/>
      <c r="AA615" s="2902"/>
      <c r="AB615" s="2902"/>
      <c r="AC615" s="2902"/>
      <c r="AD615" s="2902"/>
      <c r="AE615" s="2902"/>
      <c r="AF615" s="2902"/>
      <c r="AG615" s="2902"/>
      <c r="AH615" s="2902"/>
      <c r="AI615" s="2902"/>
      <c r="AJ615" s="2902"/>
      <c r="AK615" s="2902"/>
      <c r="AL615" s="2902"/>
      <c r="AM615" s="2902"/>
      <c r="AN615" s="2902"/>
      <c r="AO615" s="2902"/>
      <c r="AP615" s="2902"/>
      <c r="AQ615" s="2902"/>
      <c r="AR615" s="2902"/>
      <c r="AS615" s="2902"/>
      <c r="AT615" s="2902"/>
    </row>
    <row r="616" spans="2:47" s="1596" customFormat="1" ht="13" customHeight="1">
      <c r="B616" s="2902" t="s">
        <v>554</v>
      </c>
      <c r="C616" s="2902"/>
      <c r="D616" s="2902"/>
      <c r="E616" s="2902"/>
      <c r="F616" s="2902"/>
      <c r="G616" s="2902"/>
      <c r="H616" s="2902"/>
      <c r="I616" s="2902"/>
      <c r="J616" s="2902"/>
      <c r="K616" s="2902"/>
      <c r="L616" s="2902"/>
      <c r="M616" s="2902"/>
      <c r="N616" s="2902"/>
      <c r="O616" s="2902"/>
      <c r="P616" s="2902"/>
      <c r="Q616" s="2902"/>
      <c r="R616" s="2902"/>
      <c r="S616" s="2902"/>
      <c r="T616" s="2902"/>
      <c r="U616" s="2902"/>
      <c r="V616" s="2902"/>
      <c r="W616" s="2902"/>
      <c r="X616" s="2902"/>
      <c r="Y616" s="2902"/>
      <c r="Z616" s="2902"/>
      <c r="AA616" s="2902"/>
      <c r="AB616" s="2902"/>
      <c r="AC616" s="2902"/>
      <c r="AD616" s="2902"/>
      <c r="AE616" s="2902"/>
      <c r="AF616" s="2902"/>
      <c r="AG616" s="2902"/>
      <c r="AH616" s="2902"/>
      <c r="AI616" s="2902"/>
      <c r="AJ616" s="2902"/>
      <c r="AK616" s="2902"/>
      <c r="AL616" s="2902"/>
      <c r="AM616" s="2902"/>
      <c r="AN616" s="2902"/>
      <c r="AO616" s="2902"/>
      <c r="AP616" s="2902"/>
      <c r="AQ616" s="2902"/>
      <c r="AR616" s="2902"/>
      <c r="AS616" s="2902"/>
      <c r="AT616" s="2902"/>
    </row>
    <row r="617" spans="2:47" s="1596" customFormat="1" ht="13" customHeight="1">
      <c r="B617" s="2901" t="s">
        <v>555</v>
      </c>
      <c r="C617" s="2901"/>
      <c r="D617" s="2901"/>
      <c r="E617" s="2901"/>
      <c r="F617" s="2901"/>
      <c r="G617" s="2901"/>
      <c r="H617" s="2901"/>
      <c r="I617" s="2901"/>
      <c r="J617" s="2901"/>
      <c r="K617" s="2901"/>
      <c r="L617" s="2901"/>
      <c r="M617" s="2901"/>
      <c r="N617" s="2901"/>
      <c r="O617" s="2901"/>
      <c r="P617" s="2901"/>
      <c r="Q617" s="2901"/>
      <c r="R617" s="2901"/>
      <c r="S617" s="2901"/>
      <c r="T617" s="2901"/>
      <c r="U617" s="2901"/>
      <c r="V617" s="2901"/>
      <c r="W617" s="2901"/>
      <c r="X617" s="2901"/>
      <c r="Y617" s="2901"/>
      <c r="Z617" s="2901"/>
      <c r="AA617" s="2901"/>
      <c r="AB617" s="2901"/>
      <c r="AC617" s="2901"/>
      <c r="AD617" s="2901"/>
      <c r="AE617" s="2901"/>
      <c r="AF617" s="2901"/>
      <c r="AG617" s="2901"/>
      <c r="AH617" s="2901"/>
      <c r="AI617" s="2901"/>
      <c r="AJ617" s="2901"/>
      <c r="AK617" s="2901"/>
      <c r="AL617" s="2901"/>
      <c r="AM617" s="2901"/>
      <c r="AN617" s="2901"/>
      <c r="AO617" s="2901"/>
      <c r="AP617" s="2901"/>
      <c r="AQ617" s="2901"/>
      <c r="AR617" s="2901"/>
      <c r="AS617" s="2901"/>
      <c r="AT617" s="2901"/>
    </row>
    <row r="618" spans="2:47" s="1596" customFormat="1" ht="13" customHeight="1">
      <c r="B618" s="2901" t="s">
        <v>556</v>
      </c>
      <c r="C618" s="2901"/>
      <c r="D618" s="2901"/>
      <c r="E618" s="2901"/>
      <c r="F618" s="2901"/>
      <c r="G618" s="2901"/>
      <c r="H618" s="2901"/>
      <c r="I618" s="2901"/>
      <c r="J618" s="2901"/>
      <c r="K618" s="2901"/>
      <c r="L618" s="2901"/>
      <c r="M618" s="2901"/>
      <c r="N618" s="2901"/>
      <c r="O618" s="2901"/>
      <c r="P618" s="2901"/>
      <c r="Q618" s="2901"/>
      <c r="R618" s="2901"/>
      <c r="S618" s="2901"/>
      <c r="T618" s="2901"/>
      <c r="U618" s="2901"/>
      <c r="V618" s="2901"/>
      <c r="W618" s="2901"/>
      <c r="X618" s="2901"/>
      <c r="Y618" s="2901"/>
      <c r="Z618" s="2901"/>
      <c r="AA618" s="2901"/>
      <c r="AB618" s="2901"/>
      <c r="AC618" s="2901"/>
      <c r="AD618" s="2901"/>
      <c r="AE618" s="2901"/>
      <c r="AF618" s="2901"/>
      <c r="AG618" s="2901"/>
      <c r="AH618" s="2901"/>
      <c r="AI618" s="2901"/>
      <c r="AJ618" s="2901"/>
      <c r="AK618" s="2901"/>
      <c r="AL618" s="2901"/>
      <c r="AM618" s="2901"/>
      <c r="AN618" s="2901"/>
      <c r="AO618" s="2901"/>
      <c r="AP618" s="2901"/>
      <c r="AQ618" s="2901"/>
      <c r="AR618" s="2901"/>
      <c r="AS618" s="2901"/>
      <c r="AT618" s="2901"/>
    </row>
    <row r="619" spans="2:47" s="1596" customFormat="1" ht="13" customHeight="1">
      <c r="B619" s="2901" t="s">
        <v>557</v>
      </c>
      <c r="C619" s="2901"/>
      <c r="D619" s="2901"/>
      <c r="E619" s="2901"/>
      <c r="F619" s="2901"/>
      <c r="G619" s="2901"/>
      <c r="H619" s="2901"/>
      <c r="I619" s="2901"/>
      <c r="J619" s="2901"/>
      <c r="K619" s="2901"/>
      <c r="L619" s="2901"/>
      <c r="M619" s="2901"/>
      <c r="N619" s="2901"/>
      <c r="O619" s="2901"/>
      <c r="P619" s="2901"/>
      <c r="Q619" s="2901"/>
      <c r="R619" s="2901"/>
      <c r="S619" s="2901"/>
      <c r="T619" s="2901"/>
      <c r="U619" s="2901"/>
      <c r="V619" s="2901"/>
      <c r="W619" s="2901"/>
      <c r="X619" s="2901"/>
      <c r="Y619" s="2901"/>
      <c r="Z619" s="2901"/>
      <c r="AA619" s="2901"/>
      <c r="AB619" s="2901"/>
      <c r="AC619" s="2901"/>
      <c r="AD619" s="2901"/>
      <c r="AE619" s="2901"/>
      <c r="AF619" s="2901"/>
      <c r="AG619" s="2901"/>
      <c r="AH619" s="2901"/>
      <c r="AI619" s="2901"/>
      <c r="AJ619" s="2901"/>
      <c r="AK619" s="2901"/>
      <c r="AL619" s="2901"/>
      <c r="AM619" s="2901"/>
      <c r="AN619" s="2901"/>
      <c r="AO619" s="2901"/>
      <c r="AP619" s="2901"/>
      <c r="AQ619" s="2901"/>
      <c r="AR619" s="2901"/>
      <c r="AS619" s="2901"/>
      <c r="AT619" s="2901"/>
    </row>
    <row r="620" spans="2:47" s="1596" customFormat="1" ht="13" customHeight="1">
      <c r="B620" s="2902" t="s">
        <v>558</v>
      </c>
      <c r="C620" s="2902"/>
      <c r="D620" s="2902"/>
      <c r="E620" s="2902"/>
      <c r="F620" s="2902"/>
      <c r="G620" s="2902"/>
      <c r="H620" s="2902"/>
      <c r="I620" s="2902"/>
      <c r="J620" s="2902"/>
      <c r="K620" s="2902"/>
      <c r="L620" s="2902"/>
      <c r="M620" s="2902"/>
      <c r="N620" s="2902"/>
      <c r="O620" s="2902"/>
      <c r="P620" s="2902"/>
      <c r="Q620" s="2902"/>
      <c r="R620" s="2902"/>
      <c r="S620" s="2902"/>
      <c r="T620" s="2902"/>
      <c r="U620" s="2902"/>
      <c r="V620" s="2902"/>
      <c r="W620" s="2902"/>
      <c r="X620" s="2902"/>
      <c r="Y620" s="2902"/>
      <c r="Z620" s="2902"/>
      <c r="AA620" s="2902"/>
      <c r="AB620" s="2902"/>
      <c r="AC620" s="2902"/>
      <c r="AD620" s="2902"/>
      <c r="AE620" s="2902"/>
      <c r="AF620" s="2902"/>
      <c r="AG620" s="2902"/>
      <c r="AH620" s="2902"/>
      <c r="AI620" s="2902"/>
      <c r="AJ620" s="2902"/>
      <c r="AK620" s="2902"/>
      <c r="AL620" s="2902"/>
      <c r="AM620" s="2902"/>
      <c r="AN620" s="2902"/>
      <c r="AO620" s="2902"/>
      <c r="AP620" s="2902"/>
      <c r="AQ620" s="2902"/>
      <c r="AR620" s="2902"/>
      <c r="AS620" s="2902"/>
      <c r="AT620" s="2902"/>
    </row>
    <row r="621" spans="2:47" s="1596" customFormat="1" ht="13" customHeight="1">
      <c r="B621" s="2902" t="s">
        <v>559</v>
      </c>
      <c r="C621" s="2902"/>
      <c r="D621" s="2902"/>
      <c r="E621" s="2902"/>
      <c r="F621" s="2902"/>
      <c r="G621" s="2902"/>
      <c r="H621" s="2902"/>
      <c r="I621" s="2902"/>
      <c r="J621" s="2902"/>
      <c r="K621" s="2902"/>
      <c r="L621" s="2902"/>
      <c r="M621" s="2902"/>
      <c r="N621" s="2902"/>
      <c r="O621" s="2902"/>
      <c r="P621" s="2902"/>
      <c r="Q621" s="2902"/>
      <c r="R621" s="2902"/>
      <c r="S621" s="2902"/>
      <c r="T621" s="2902"/>
      <c r="U621" s="2902"/>
      <c r="V621" s="2902"/>
      <c r="W621" s="2902"/>
      <c r="X621" s="2902"/>
      <c r="Y621" s="2902"/>
      <c r="Z621" s="2902"/>
      <c r="AA621" s="2902"/>
      <c r="AB621" s="2902"/>
      <c r="AC621" s="2902"/>
      <c r="AD621" s="2902"/>
      <c r="AE621" s="2902"/>
      <c r="AF621" s="2902"/>
      <c r="AG621" s="2902"/>
      <c r="AH621" s="2902"/>
      <c r="AI621" s="2902"/>
      <c r="AJ621" s="2902"/>
      <c r="AK621" s="2902"/>
      <c r="AL621" s="2902"/>
      <c r="AM621" s="2902"/>
      <c r="AN621" s="2902"/>
      <c r="AO621" s="2902"/>
      <c r="AP621" s="2902"/>
      <c r="AQ621" s="2902"/>
      <c r="AR621" s="2902"/>
      <c r="AS621" s="2902"/>
      <c r="AT621" s="2902"/>
    </row>
    <row r="622" spans="2:47" s="1596" customFormat="1" ht="13" customHeight="1">
      <c r="B622" s="2901" t="s">
        <v>560</v>
      </c>
      <c r="C622" s="2901"/>
      <c r="D622" s="2901"/>
      <c r="E622" s="2901"/>
      <c r="F622" s="2901"/>
      <c r="G622" s="2901"/>
      <c r="H622" s="2901"/>
      <c r="I622" s="2901"/>
      <c r="J622" s="2901"/>
      <c r="K622" s="2901"/>
      <c r="L622" s="2901"/>
      <c r="M622" s="2901"/>
      <c r="N622" s="2901"/>
      <c r="O622" s="2901"/>
      <c r="P622" s="2901"/>
      <c r="Q622" s="2901"/>
      <c r="R622" s="2901"/>
      <c r="S622" s="2901"/>
      <c r="T622" s="2901"/>
      <c r="U622" s="2901"/>
      <c r="V622" s="2901"/>
      <c r="W622" s="2901"/>
      <c r="X622" s="2901"/>
      <c r="Y622" s="2901"/>
      <c r="Z622" s="2901"/>
      <c r="AA622" s="2901"/>
      <c r="AB622" s="2901"/>
      <c r="AC622" s="2901"/>
      <c r="AD622" s="2901"/>
      <c r="AE622" s="2901"/>
      <c r="AF622" s="2901"/>
      <c r="AG622" s="2901"/>
      <c r="AH622" s="2901"/>
      <c r="AI622" s="2901"/>
      <c r="AJ622" s="2901"/>
      <c r="AK622" s="2901"/>
      <c r="AL622" s="2901"/>
      <c r="AM622" s="2901"/>
      <c r="AN622" s="2901"/>
      <c r="AO622" s="2901"/>
      <c r="AP622" s="2901"/>
      <c r="AQ622" s="2901"/>
      <c r="AR622" s="2901"/>
      <c r="AS622" s="2901"/>
      <c r="AT622" s="2901"/>
    </row>
    <row r="623" spans="2:47" s="1596" customFormat="1" ht="13" customHeight="1">
      <c r="B623" s="2902" t="s">
        <v>561</v>
      </c>
      <c r="C623" s="2902"/>
      <c r="D623" s="2902"/>
      <c r="E623" s="2902"/>
      <c r="F623" s="2902"/>
      <c r="G623" s="2902"/>
      <c r="H623" s="2902"/>
      <c r="I623" s="2902"/>
      <c r="J623" s="2902"/>
      <c r="K623" s="2902"/>
      <c r="L623" s="2902"/>
      <c r="M623" s="2902"/>
      <c r="N623" s="2902"/>
      <c r="O623" s="2902"/>
      <c r="P623" s="2902"/>
      <c r="Q623" s="2902"/>
      <c r="R623" s="2902"/>
      <c r="S623" s="2902"/>
      <c r="T623" s="2902"/>
      <c r="U623" s="2902"/>
      <c r="V623" s="2902"/>
      <c r="W623" s="2902"/>
      <c r="X623" s="2902"/>
      <c r="Y623" s="2902"/>
      <c r="Z623" s="2902"/>
      <c r="AA623" s="2902"/>
      <c r="AB623" s="2902"/>
      <c r="AC623" s="2902"/>
      <c r="AD623" s="2902"/>
      <c r="AE623" s="2902"/>
      <c r="AF623" s="2902"/>
      <c r="AG623" s="2902"/>
      <c r="AH623" s="2902"/>
      <c r="AI623" s="2902"/>
      <c r="AJ623" s="2902"/>
      <c r="AK623" s="2902"/>
      <c r="AL623" s="2902"/>
      <c r="AM623" s="2902"/>
      <c r="AN623" s="2902"/>
      <c r="AO623" s="2902"/>
      <c r="AP623" s="2902"/>
      <c r="AQ623" s="2902"/>
      <c r="AR623" s="2902"/>
      <c r="AS623" s="2902"/>
      <c r="AT623" s="2902"/>
    </row>
    <row r="624" spans="2:47" s="1596" customFormat="1" ht="13" customHeight="1">
      <c r="B624" s="2901" t="s">
        <v>562</v>
      </c>
      <c r="C624" s="2901"/>
      <c r="D624" s="2901"/>
      <c r="E624" s="2901"/>
      <c r="F624" s="2901"/>
      <c r="G624" s="2901"/>
      <c r="H624" s="2901"/>
      <c r="I624" s="2901"/>
      <c r="J624" s="2901"/>
      <c r="K624" s="2901"/>
      <c r="L624" s="2901"/>
      <c r="M624" s="2901"/>
      <c r="N624" s="2901"/>
      <c r="O624" s="2901"/>
      <c r="P624" s="2901"/>
      <c r="Q624" s="2901"/>
      <c r="R624" s="2901"/>
      <c r="S624" s="2901"/>
      <c r="T624" s="2901"/>
      <c r="U624" s="2901"/>
      <c r="V624" s="2901"/>
      <c r="W624" s="2901"/>
      <c r="X624" s="2901"/>
      <c r="Y624" s="2901"/>
      <c r="Z624" s="2901"/>
      <c r="AA624" s="2901"/>
      <c r="AB624" s="2901"/>
      <c r="AC624" s="2901"/>
      <c r="AD624" s="2901"/>
      <c r="AE624" s="2901"/>
      <c r="AF624" s="2901"/>
      <c r="AG624" s="2901"/>
      <c r="AH624" s="2901"/>
      <c r="AI624" s="2901"/>
      <c r="AJ624" s="2901"/>
      <c r="AK624" s="2901"/>
      <c r="AL624" s="2901"/>
      <c r="AM624" s="2901"/>
      <c r="AN624" s="2901"/>
      <c r="AO624" s="2901"/>
      <c r="AP624" s="2901"/>
      <c r="AQ624" s="2901"/>
      <c r="AR624" s="2901"/>
      <c r="AS624" s="2901"/>
      <c r="AT624" s="2901"/>
      <c r="AU624" s="1597"/>
    </row>
    <row r="625" spans="2:47" s="1596" customFormat="1" ht="13" customHeight="1">
      <c r="B625" s="2901" t="s">
        <v>563</v>
      </c>
      <c r="C625" s="2901"/>
      <c r="D625" s="2901"/>
      <c r="E625" s="2901"/>
      <c r="F625" s="2901"/>
      <c r="G625" s="2901"/>
      <c r="H625" s="2901"/>
      <c r="I625" s="2901"/>
      <c r="J625" s="2901"/>
      <c r="K625" s="2901"/>
      <c r="L625" s="2901"/>
      <c r="M625" s="2901"/>
      <c r="N625" s="2901"/>
      <c r="O625" s="2901"/>
      <c r="P625" s="2901"/>
      <c r="Q625" s="2901"/>
      <c r="R625" s="2901"/>
      <c r="S625" s="2901"/>
      <c r="T625" s="2901"/>
      <c r="U625" s="2901"/>
      <c r="V625" s="2901"/>
      <c r="W625" s="2901"/>
      <c r="X625" s="2901"/>
      <c r="Y625" s="2901"/>
      <c r="Z625" s="2901"/>
      <c r="AA625" s="2901"/>
      <c r="AB625" s="2901"/>
      <c r="AC625" s="2901"/>
      <c r="AD625" s="2901"/>
      <c r="AE625" s="2901"/>
      <c r="AF625" s="2901"/>
      <c r="AG625" s="2901"/>
      <c r="AH625" s="2901"/>
      <c r="AI625" s="2901"/>
      <c r="AJ625" s="2901"/>
      <c r="AK625" s="2901"/>
      <c r="AL625" s="2901"/>
      <c r="AM625" s="2901"/>
      <c r="AN625" s="2901"/>
      <c r="AO625" s="2901"/>
      <c r="AP625" s="2901"/>
      <c r="AQ625" s="2901"/>
      <c r="AR625" s="2901"/>
      <c r="AS625" s="2901"/>
      <c r="AT625" s="2901"/>
      <c r="AU625" s="1597"/>
    </row>
    <row r="626" spans="2:47" s="1596" customFormat="1" ht="13" customHeight="1">
      <c r="B626" s="2901" t="s">
        <v>564</v>
      </c>
      <c r="C626" s="2901"/>
      <c r="D626" s="2901"/>
      <c r="E626" s="2901"/>
      <c r="F626" s="2901"/>
      <c r="G626" s="2901"/>
      <c r="H626" s="2901"/>
      <c r="I626" s="2901"/>
      <c r="J626" s="2901"/>
      <c r="K626" s="2901"/>
      <c r="L626" s="2901"/>
      <c r="M626" s="2901"/>
      <c r="N626" s="2901"/>
      <c r="O626" s="2901"/>
      <c r="P626" s="2901"/>
      <c r="Q626" s="2901"/>
      <c r="R626" s="2901"/>
      <c r="S626" s="2901"/>
      <c r="T626" s="2901"/>
      <c r="U626" s="2901"/>
      <c r="V626" s="2901"/>
      <c r="W626" s="2901"/>
      <c r="X626" s="2901"/>
      <c r="Y626" s="2901"/>
      <c r="Z626" s="2901"/>
      <c r="AA626" s="2901"/>
      <c r="AB626" s="2901"/>
      <c r="AC626" s="2901"/>
      <c r="AD626" s="2901"/>
      <c r="AE626" s="2901"/>
      <c r="AF626" s="2901"/>
      <c r="AG626" s="2901"/>
      <c r="AH626" s="2901"/>
      <c r="AI626" s="2901"/>
      <c r="AJ626" s="2901"/>
      <c r="AK626" s="2901"/>
      <c r="AL626" s="2901"/>
      <c r="AM626" s="2901"/>
      <c r="AN626" s="2901"/>
      <c r="AO626" s="2901"/>
      <c r="AP626" s="2901"/>
      <c r="AQ626" s="2901"/>
      <c r="AR626" s="2901"/>
      <c r="AS626" s="2901"/>
      <c r="AT626" s="2901"/>
      <c r="AU626" s="1597"/>
    </row>
    <row r="627" spans="2:47" s="1596" customFormat="1" ht="13" customHeight="1">
      <c r="B627" s="2901" t="s">
        <v>565</v>
      </c>
      <c r="C627" s="2901"/>
      <c r="D627" s="2901"/>
      <c r="E627" s="2901"/>
      <c r="F627" s="2901"/>
      <c r="G627" s="2901"/>
      <c r="H627" s="2901"/>
      <c r="I627" s="2901"/>
      <c r="J627" s="2901"/>
      <c r="K627" s="2901"/>
      <c r="L627" s="2901"/>
      <c r="M627" s="2901"/>
      <c r="N627" s="2901"/>
      <c r="O627" s="2901"/>
      <c r="P627" s="2901"/>
      <c r="Q627" s="2901"/>
      <c r="R627" s="2901"/>
      <c r="S627" s="2901"/>
      <c r="T627" s="2901"/>
      <c r="U627" s="2901"/>
      <c r="V627" s="2901"/>
      <c r="W627" s="2901"/>
      <c r="X627" s="2901"/>
      <c r="Y627" s="2901"/>
      <c r="Z627" s="2901"/>
      <c r="AA627" s="2901"/>
      <c r="AB627" s="2901"/>
      <c r="AC627" s="2901"/>
      <c r="AD627" s="2901"/>
      <c r="AE627" s="2901"/>
      <c r="AF627" s="2901"/>
      <c r="AG627" s="2901"/>
      <c r="AH627" s="2901"/>
      <c r="AI627" s="2901"/>
      <c r="AJ627" s="2901"/>
      <c r="AK627" s="2901"/>
      <c r="AL627" s="2901"/>
      <c r="AM627" s="2901"/>
      <c r="AN627" s="2901"/>
      <c r="AO627" s="2901"/>
      <c r="AP627" s="2901"/>
      <c r="AQ627" s="2901"/>
      <c r="AR627" s="2901"/>
      <c r="AS627" s="2901"/>
      <c r="AT627" s="2901"/>
      <c r="AU627" s="1597"/>
    </row>
    <row r="628" spans="2:47" s="1596" customFormat="1" ht="13" customHeight="1">
      <c r="B628" s="2901" t="s">
        <v>566</v>
      </c>
      <c r="C628" s="2901"/>
      <c r="D628" s="2901"/>
      <c r="E628" s="2901"/>
      <c r="F628" s="2901"/>
      <c r="G628" s="2901"/>
      <c r="H628" s="2901"/>
      <c r="I628" s="2901"/>
      <c r="J628" s="2901"/>
      <c r="K628" s="2901"/>
      <c r="L628" s="2901"/>
      <c r="M628" s="2901"/>
      <c r="N628" s="2901"/>
      <c r="O628" s="2901"/>
      <c r="P628" s="2901"/>
      <c r="Q628" s="2901"/>
      <c r="R628" s="2901"/>
      <c r="S628" s="2901"/>
      <c r="T628" s="2901"/>
      <c r="U628" s="2901"/>
      <c r="V628" s="2901"/>
      <c r="W628" s="2901"/>
      <c r="X628" s="2901"/>
      <c r="Y628" s="2901"/>
      <c r="Z628" s="2901"/>
      <c r="AA628" s="2901"/>
      <c r="AB628" s="2901"/>
      <c r="AC628" s="2901"/>
      <c r="AD628" s="2901"/>
      <c r="AE628" s="2901"/>
      <c r="AF628" s="2901"/>
      <c r="AG628" s="2901"/>
      <c r="AH628" s="2901"/>
      <c r="AI628" s="2901"/>
      <c r="AJ628" s="2901"/>
      <c r="AK628" s="2901"/>
      <c r="AL628" s="2901"/>
      <c r="AM628" s="2901"/>
      <c r="AN628" s="2901"/>
      <c r="AO628" s="2901"/>
      <c r="AP628" s="2901"/>
      <c r="AQ628" s="2901"/>
      <c r="AR628" s="2901"/>
      <c r="AS628" s="2901"/>
      <c r="AT628" s="2901"/>
      <c r="AU628" s="1597"/>
    </row>
    <row r="629" spans="2:47" s="1596" customFormat="1" ht="13" customHeight="1">
      <c r="B629" s="2901" t="s">
        <v>567</v>
      </c>
      <c r="C629" s="2901"/>
      <c r="D629" s="2901"/>
      <c r="E629" s="2901"/>
      <c r="F629" s="2901"/>
      <c r="G629" s="2901"/>
      <c r="H629" s="2901"/>
      <c r="I629" s="2901"/>
      <c r="J629" s="2901"/>
      <c r="K629" s="2901"/>
      <c r="L629" s="2901"/>
      <c r="M629" s="2901"/>
      <c r="N629" s="2901"/>
      <c r="O629" s="2901"/>
      <c r="P629" s="2901"/>
      <c r="Q629" s="2901"/>
      <c r="R629" s="2901"/>
      <c r="S629" s="2901"/>
      <c r="T629" s="2901"/>
      <c r="U629" s="2901"/>
      <c r="V629" s="2901"/>
      <c r="W629" s="2901"/>
      <c r="X629" s="2901"/>
      <c r="Y629" s="2901"/>
      <c r="Z629" s="2901"/>
      <c r="AA629" s="2901"/>
      <c r="AB629" s="2901"/>
      <c r="AC629" s="2901"/>
      <c r="AD629" s="2901"/>
      <c r="AE629" s="2901"/>
      <c r="AF629" s="2901"/>
      <c r="AG629" s="2901"/>
      <c r="AH629" s="2901"/>
      <c r="AI629" s="2901"/>
      <c r="AJ629" s="2901"/>
      <c r="AK629" s="2901"/>
      <c r="AL629" s="2901"/>
      <c r="AM629" s="2901"/>
      <c r="AN629" s="2901"/>
      <c r="AO629" s="2901"/>
      <c r="AP629" s="2901"/>
      <c r="AQ629" s="2901"/>
      <c r="AR629" s="2901"/>
      <c r="AS629" s="2901"/>
      <c r="AT629" s="2901"/>
      <c r="AU629" s="1597"/>
    </row>
    <row r="630" spans="2:47" s="1596" customFormat="1" ht="13" customHeight="1">
      <c r="B630" s="2901" t="s">
        <v>568</v>
      </c>
      <c r="C630" s="2901"/>
      <c r="D630" s="2901"/>
      <c r="E630" s="2901"/>
      <c r="F630" s="2901"/>
      <c r="G630" s="2901"/>
      <c r="H630" s="2901"/>
      <c r="I630" s="2901"/>
      <c r="J630" s="2901"/>
      <c r="K630" s="2901"/>
      <c r="L630" s="2901"/>
      <c r="M630" s="2901"/>
      <c r="N630" s="2901"/>
      <c r="O630" s="2901"/>
      <c r="P630" s="2901"/>
      <c r="Q630" s="2901"/>
      <c r="R630" s="2901"/>
      <c r="S630" s="2901"/>
      <c r="T630" s="2901"/>
      <c r="U630" s="2901"/>
      <c r="V630" s="2901"/>
      <c r="W630" s="2901"/>
      <c r="X630" s="2901"/>
      <c r="Y630" s="2901"/>
      <c r="Z630" s="2901"/>
      <c r="AA630" s="2901"/>
      <c r="AB630" s="2901"/>
      <c r="AC630" s="2901"/>
      <c r="AD630" s="2901"/>
      <c r="AE630" s="2901"/>
      <c r="AF630" s="2901"/>
      <c r="AG630" s="2901"/>
      <c r="AH630" s="2901"/>
      <c r="AI630" s="2901"/>
      <c r="AJ630" s="2901"/>
      <c r="AK630" s="2901"/>
      <c r="AL630" s="2901"/>
      <c r="AM630" s="2901"/>
      <c r="AN630" s="2901"/>
      <c r="AO630" s="2901"/>
      <c r="AP630" s="2901"/>
      <c r="AQ630" s="2901"/>
      <c r="AR630" s="2901"/>
      <c r="AS630" s="2901"/>
      <c r="AT630" s="2901"/>
      <c r="AU630" s="1597"/>
    </row>
    <row r="631" spans="2:47" s="1596" customFormat="1" ht="13" customHeight="1">
      <c r="B631" s="2901" t="s">
        <v>569</v>
      </c>
      <c r="C631" s="2901"/>
      <c r="D631" s="2901"/>
      <c r="E631" s="2901"/>
      <c r="F631" s="2901"/>
      <c r="G631" s="2901"/>
      <c r="H631" s="2901"/>
      <c r="I631" s="2901"/>
      <c r="J631" s="2901"/>
      <c r="K631" s="2901"/>
      <c r="L631" s="2901"/>
      <c r="M631" s="2901"/>
      <c r="N631" s="2901"/>
      <c r="O631" s="2901"/>
      <c r="P631" s="2901"/>
      <c r="Q631" s="2901"/>
      <c r="R631" s="2901"/>
      <c r="S631" s="2901"/>
      <c r="T631" s="2901"/>
      <c r="U631" s="2901"/>
      <c r="V631" s="2901"/>
      <c r="W631" s="2901"/>
      <c r="X631" s="2901"/>
      <c r="Y631" s="2901"/>
      <c r="Z631" s="2901"/>
      <c r="AA631" s="2901"/>
      <c r="AB631" s="2901"/>
      <c r="AC631" s="2901"/>
      <c r="AD631" s="2901"/>
      <c r="AE631" s="2901"/>
      <c r="AF631" s="2901"/>
      <c r="AG631" s="2901"/>
      <c r="AH631" s="2901"/>
      <c r="AI631" s="2901"/>
      <c r="AJ631" s="2901"/>
      <c r="AK631" s="2901"/>
      <c r="AL631" s="2901"/>
      <c r="AM631" s="2901"/>
      <c r="AN631" s="2901"/>
      <c r="AO631" s="2901"/>
      <c r="AP631" s="2901"/>
      <c r="AQ631" s="2901"/>
      <c r="AR631" s="2901"/>
      <c r="AS631" s="2901"/>
      <c r="AT631" s="2901"/>
      <c r="AU631" s="1597"/>
    </row>
    <row r="632" spans="2:47" s="1596" customFormat="1" ht="13" customHeight="1">
      <c r="B632" s="2901" t="s">
        <v>570</v>
      </c>
      <c r="C632" s="2901"/>
      <c r="D632" s="2901"/>
      <c r="E632" s="2901"/>
      <c r="F632" s="2901"/>
      <c r="G632" s="2901"/>
      <c r="H632" s="2901"/>
      <c r="I632" s="2901"/>
      <c r="J632" s="2901"/>
      <c r="K632" s="2901"/>
      <c r="L632" s="2901"/>
      <c r="M632" s="2901"/>
      <c r="N632" s="2901"/>
      <c r="O632" s="2901"/>
      <c r="P632" s="2901"/>
      <c r="Q632" s="2901"/>
      <c r="R632" s="2901"/>
      <c r="S632" s="2901"/>
      <c r="T632" s="2901"/>
      <c r="U632" s="2901"/>
      <c r="V632" s="2901"/>
      <c r="W632" s="2901"/>
      <c r="X632" s="2901"/>
      <c r="Y632" s="2901"/>
      <c r="Z632" s="2901"/>
      <c r="AA632" s="2901"/>
      <c r="AB632" s="2901"/>
      <c r="AC632" s="2901"/>
      <c r="AD632" s="2901"/>
      <c r="AE632" s="2901"/>
      <c r="AF632" s="2901"/>
      <c r="AG632" s="2901"/>
      <c r="AH632" s="2901"/>
      <c r="AI632" s="2901"/>
      <c r="AJ632" s="2901"/>
      <c r="AK632" s="2901"/>
      <c r="AL632" s="2901"/>
      <c r="AM632" s="2901"/>
      <c r="AN632" s="2901"/>
      <c r="AO632" s="2901"/>
      <c r="AP632" s="2901"/>
      <c r="AQ632" s="2901"/>
      <c r="AR632" s="2901"/>
      <c r="AS632" s="2901"/>
      <c r="AT632" s="2901"/>
      <c r="AU632" s="1597"/>
    </row>
    <row r="633" spans="2:47" s="1596" customFormat="1" ht="13" customHeight="1">
      <c r="B633" s="2901" t="s">
        <v>571</v>
      </c>
      <c r="C633" s="2901"/>
      <c r="D633" s="2901"/>
      <c r="E633" s="2901"/>
      <c r="F633" s="2901"/>
      <c r="G633" s="2901"/>
      <c r="H633" s="2901"/>
      <c r="I633" s="2901"/>
      <c r="J633" s="2901"/>
      <c r="K633" s="2901"/>
      <c r="L633" s="2901"/>
      <c r="M633" s="2901"/>
      <c r="N633" s="2901"/>
      <c r="O633" s="2901"/>
      <c r="P633" s="2901"/>
      <c r="Q633" s="2901"/>
      <c r="R633" s="2901"/>
      <c r="S633" s="2901"/>
      <c r="T633" s="2901"/>
      <c r="U633" s="2901"/>
      <c r="V633" s="2901"/>
      <c r="W633" s="2901"/>
      <c r="X633" s="2901"/>
      <c r="Y633" s="2901"/>
      <c r="Z633" s="2901"/>
      <c r="AA633" s="2901"/>
      <c r="AB633" s="2901"/>
      <c r="AC633" s="2901"/>
      <c r="AD633" s="2901"/>
      <c r="AE633" s="2901"/>
      <c r="AF633" s="2901"/>
      <c r="AG633" s="2901"/>
      <c r="AH633" s="2901"/>
      <c r="AI633" s="2901"/>
      <c r="AJ633" s="2901"/>
      <c r="AK633" s="2901"/>
      <c r="AL633" s="2901"/>
      <c r="AM633" s="2901"/>
      <c r="AN633" s="2901"/>
      <c r="AO633" s="2901"/>
      <c r="AP633" s="2901"/>
      <c r="AQ633" s="2901"/>
      <c r="AR633" s="2901"/>
      <c r="AS633" s="2901"/>
      <c r="AT633" s="2901"/>
      <c r="AU633" s="1597"/>
    </row>
    <row r="634" spans="2:47" s="1596" customFormat="1" ht="13" customHeight="1">
      <c r="B634" s="2901" t="s">
        <v>572</v>
      </c>
      <c r="C634" s="2901"/>
      <c r="D634" s="2901"/>
      <c r="E634" s="2901"/>
      <c r="F634" s="2901"/>
      <c r="G634" s="2901"/>
      <c r="H634" s="2901"/>
      <c r="I634" s="2901"/>
      <c r="J634" s="2901"/>
      <c r="K634" s="2901"/>
      <c r="L634" s="2901"/>
      <c r="M634" s="2901"/>
      <c r="N634" s="2901"/>
      <c r="O634" s="2901"/>
      <c r="P634" s="2901"/>
      <c r="Q634" s="2901"/>
      <c r="R634" s="2901"/>
      <c r="S634" s="2901"/>
      <c r="T634" s="2901"/>
      <c r="U634" s="2901"/>
      <c r="V634" s="2901"/>
      <c r="W634" s="2901"/>
      <c r="X634" s="2901"/>
      <c r="Y634" s="2901"/>
      <c r="Z634" s="2901"/>
      <c r="AA634" s="2901"/>
      <c r="AB634" s="2901"/>
      <c r="AC634" s="2901"/>
      <c r="AD634" s="2901"/>
      <c r="AE634" s="2901"/>
      <c r="AF634" s="2901"/>
      <c r="AG634" s="2901"/>
      <c r="AH634" s="2901"/>
      <c r="AI634" s="2901"/>
      <c r="AJ634" s="2901"/>
      <c r="AK634" s="2901"/>
      <c r="AL634" s="2901"/>
      <c r="AM634" s="2901"/>
      <c r="AN634" s="2901"/>
      <c r="AO634" s="2901"/>
      <c r="AP634" s="2901"/>
      <c r="AQ634" s="2901"/>
      <c r="AR634" s="2901"/>
      <c r="AS634" s="2901"/>
      <c r="AT634" s="2901"/>
      <c r="AU634" s="1597"/>
    </row>
    <row r="635" spans="2:47" s="1596" customFormat="1" ht="13" customHeight="1">
      <c r="B635" s="2901" t="s">
        <v>573</v>
      </c>
      <c r="C635" s="2901"/>
      <c r="D635" s="2901"/>
      <c r="E635" s="2901"/>
      <c r="F635" s="2901"/>
      <c r="G635" s="2901"/>
      <c r="H635" s="2901"/>
      <c r="I635" s="2901"/>
      <c r="J635" s="2901"/>
      <c r="K635" s="2901"/>
      <c r="L635" s="2901"/>
      <c r="M635" s="2901"/>
      <c r="N635" s="2901"/>
      <c r="O635" s="2901"/>
      <c r="P635" s="2901"/>
      <c r="Q635" s="2901"/>
      <c r="R635" s="2901"/>
      <c r="S635" s="2901"/>
      <c r="T635" s="2901"/>
      <c r="U635" s="2901"/>
      <c r="V635" s="2901"/>
      <c r="W635" s="2901"/>
      <c r="X635" s="2901"/>
      <c r="Y635" s="2901"/>
      <c r="Z635" s="2901"/>
      <c r="AA635" s="2901"/>
      <c r="AB635" s="2901"/>
      <c r="AC635" s="2901"/>
      <c r="AD635" s="2901"/>
      <c r="AE635" s="2901"/>
      <c r="AF635" s="2901"/>
      <c r="AG635" s="2901"/>
      <c r="AH635" s="2901"/>
      <c r="AI635" s="2901"/>
      <c r="AJ635" s="2901"/>
      <c r="AK635" s="2901"/>
      <c r="AL635" s="2901"/>
      <c r="AM635" s="2901"/>
      <c r="AN635" s="2901"/>
      <c r="AO635" s="2901"/>
      <c r="AP635" s="2901"/>
      <c r="AQ635" s="2901"/>
      <c r="AR635" s="2901"/>
      <c r="AS635" s="2901"/>
      <c r="AT635" s="2901"/>
    </row>
    <row r="636" spans="2:47" s="1596" customFormat="1" ht="13" customHeight="1">
      <c r="B636" s="2901" t="s">
        <v>574</v>
      </c>
      <c r="C636" s="2901"/>
      <c r="D636" s="2901"/>
      <c r="E636" s="2901"/>
      <c r="F636" s="2901"/>
      <c r="G636" s="2901"/>
      <c r="H636" s="2901"/>
      <c r="I636" s="2901"/>
      <c r="J636" s="2901"/>
      <c r="K636" s="2901"/>
      <c r="L636" s="2901"/>
      <c r="M636" s="2901"/>
      <c r="N636" s="2901"/>
      <c r="O636" s="2901"/>
      <c r="P636" s="2901"/>
      <c r="Q636" s="2901"/>
      <c r="R636" s="2901"/>
      <c r="S636" s="2901"/>
      <c r="T636" s="2901"/>
      <c r="U636" s="2901"/>
      <c r="V636" s="2901"/>
      <c r="W636" s="2901"/>
      <c r="X636" s="2901"/>
      <c r="Y636" s="2901"/>
      <c r="Z636" s="2901"/>
      <c r="AA636" s="2901"/>
      <c r="AB636" s="2901"/>
      <c r="AC636" s="2901"/>
      <c r="AD636" s="2901"/>
      <c r="AE636" s="2901"/>
      <c r="AF636" s="2901"/>
      <c r="AG636" s="2901"/>
      <c r="AH636" s="2901"/>
      <c r="AI636" s="2901"/>
      <c r="AJ636" s="2901"/>
      <c r="AK636" s="2901"/>
      <c r="AL636" s="2901"/>
      <c r="AM636" s="2901"/>
      <c r="AN636" s="2901"/>
      <c r="AO636" s="2901"/>
      <c r="AP636" s="2901"/>
      <c r="AQ636" s="2901"/>
      <c r="AR636" s="2901"/>
      <c r="AS636" s="2901"/>
      <c r="AT636" s="2901"/>
      <c r="AU636" s="1597"/>
    </row>
    <row r="637" spans="2:47" s="1596" customFormat="1" ht="13" customHeight="1">
      <c r="B637" s="2901" t="s">
        <v>575</v>
      </c>
      <c r="C637" s="2901"/>
      <c r="D637" s="2901"/>
      <c r="E637" s="2901"/>
      <c r="F637" s="2901"/>
      <c r="G637" s="2901"/>
      <c r="H637" s="2901"/>
      <c r="I637" s="2901"/>
      <c r="J637" s="2901"/>
      <c r="K637" s="2901"/>
      <c r="L637" s="2901"/>
      <c r="M637" s="2901"/>
      <c r="N637" s="2901"/>
      <c r="O637" s="2901"/>
      <c r="P637" s="2901"/>
      <c r="Q637" s="2901"/>
      <c r="R637" s="2901"/>
      <c r="S637" s="2901"/>
      <c r="T637" s="2901"/>
      <c r="U637" s="2901"/>
      <c r="V637" s="2901"/>
      <c r="W637" s="2901"/>
      <c r="X637" s="2901"/>
      <c r="Y637" s="2901"/>
      <c r="Z637" s="2901"/>
      <c r="AA637" s="2901"/>
      <c r="AB637" s="2901"/>
      <c r="AC637" s="2901"/>
      <c r="AD637" s="2901"/>
      <c r="AE637" s="2901"/>
      <c r="AF637" s="2901"/>
      <c r="AG637" s="2901"/>
      <c r="AH637" s="2901"/>
      <c r="AI637" s="2901"/>
      <c r="AJ637" s="2901"/>
      <c r="AK637" s="2901"/>
      <c r="AL637" s="2901"/>
      <c r="AM637" s="2901"/>
      <c r="AN637" s="2901"/>
      <c r="AO637" s="2901"/>
      <c r="AP637" s="2901"/>
      <c r="AQ637" s="2901"/>
      <c r="AR637" s="2901"/>
      <c r="AS637" s="2901"/>
      <c r="AT637" s="2901"/>
      <c r="AU637" s="1597"/>
    </row>
    <row r="638" spans="2:47" s="1596" customFormat="1" ht="13" customHeight="1">
      <c r="B638" s="2901" t="s">
        <v>576</v>
      </c>
      <c r="C638" s="2901"/>
      <c r="D638" s="2901"/>
      <c r="E638" s="2901"/>
      <c r="F638" s="2901"/>
      <c r="G638" s="2901"/>
      <c r="H638" s="2901"/>
      <c r="I638" s="2901"/>
      <c r="J638" s="2901"/>
      <c r="K638" s="2901"/>
      <c r="L638" s="2901"/>
      <c r="M638" s="2901"/>
      <c r="N638" s="2901"/>
      <c r="O638" s="2901"/>
      <c r="P638" s="2901"/>
      <c r="Q638" s="2901"/>
      <c r="R638" s="2901"/>
      <c r="S638" s="2901"/>
      <c r="T638" s="2901"/>
      <c r="U638" s="2901"/>
      <c r="V638" s="2901"/>
      <c r="W638" s="2901"/>
      <c r="X638" s="2901"/>
      <c r="Y638" s="2901"/>
      <c r="Z638" s="2901"/>
      <c r="AA638" s="2901"/>
      <c r="AB638" s="2901"/>
      <c r="AC638" s="2901"/>
      <c r="AD638" s="2901"/>
      <c r="AE638" s="2901"/>
      <c r="AF638" s="2901"/>
      <c r="AG638" s="2901"/>
      <c r="AH638" s="2901"/>
      <c r="AI638" s="2901"/>
      <c r="AJ638" s="2901"/>
      <c r="AK638" s="2901"/>
      <c r="AL638" s="2901"/>
      <c r="AM638" s="2901"/>
      <c r="AN638" s="2901"/>
      <c r="AO638" s="2901"/>
      <c r="AP638" s="2901"/>
      <c r="AQ638" s="2901"/>
      <c r="AR638" s="2901"/>
      <c r="AS638" s="2901"/>
      <c r="AT638" s="2901"/>
      <c r="AU638" s="1597"/>
    </row>
    <row r="639" spans="2:47" s="1596" customFormat="1" ht="13" customHeight="1">
      <c r="B639" s="2901" t="s">
        <v>577</v>
      </c>
      <c r="C639" s="2901"/>
      <c r="D639" s="2901"/>
      <c r="E639" s="2901"/>
      <c r="F639" s="2901"/>
      <c r="G639" s="2901"/>
      <c r="H639" s="2901"/>
      <c r="I639" s="2901"/>
      <c r="J639" s="2901"/>
      <c r="K639" s="2901"/>
      <c r="L639" s="2901"/>
      <c r="M639" s="2901"/>
      <c r="N639" s="2901"/>
      <c r="O639" s="2901"/>
      <c r="P639" s="2901"/>
      <c r="Q639" s="2901"/>
      <c r="R639" s="2901"/>
      <c r="S639" s="2901"/>
      <c r="T639" s="2901"/>
      <c r="U639" s="2901"/>
      <c r="V639" s="2901"/>
      <c r="W639" s="2901"/>
      <c r="X639" s="2901"/>
      <c r="Y639" s="2901"/>
      <c r="Z639" s="2901"/>
      <c r="AA639" s="2901"/>
      <c r="AB639" s="2901"/>
      <c r="AC639" s="2901"/>
      <c r="AD639" s="2901"/>
      <c r="AE639" s="2901"/>
      <c r="AF639" s="2901"/>
      <c r="AG639" s="2901"/>
      <c r="AH639" s="2901"/>
      <c r="AI639" s="2901"/>
      <c r="AJ639" s="2901"/>
      <c r="AK639" s="2901"/>
      <c r="AL639" s="2901"/>
      <c r="AM639" s="2901"/>
      <c r="AN639" s="2901"/>
      <c r="AO639" s="2901"/>
      <c r="AP639" s="2901"/>
      <c r="AQ639" s="2901"/>
      <c r="AR639" s="2901"/>
      <c r="AS639" s="2901"/>
      <c r="AT639" s="2901"/>
      <c r="AU639" s="1597"/>
    </row>
    <row r="640" spans="2:47" s="1596" customFormat="1" ht="13" customHeight="1">
      <c r="B640" s="2901" t="s">
        <v>578</v>
      </c>
      <c r="C640" s="2901"/>
      <c r="D640" s="2901"/>
      <c r="E640" s="2901"/>
      <c r="F640" s="2901"/>
      <c r="G640" s="2901"/>
      <c r="H640" s="2901"/>
      <c r="I640" s="2901"/>
      <c r="J640" s="2901"/>
      <c r="K640" s="2901"/>
      <c r="L640" s="2901"/>
      <c r="M640" s="2901"/>
      <c r="N640" s="2901"/>
      <c r="O640" s="2901"/>
      <c r="P640" s="2901"/>
      <c r="Q640" s="2901"/>
      <c r="R640" s="2901"/>
      <c r="S640" s="2901"/>
      <c r="T640" s="2901"/>
      <c r="U640" s="2901"/>
      <c r="V640" s="2901"/>
      <c r="W640" s="2901"/>
      <c r="X640" s="2901"/>
      <c r="Y640" s="2901"/>
      <c r="Z640" s="2901"/>
      <c r="AA640" s="2901"/>
      <c r="AB640" s="2901"/>
      <c r="AC640" s="2901"/>
      <c r="AD640" s="2901"/>
      <c r="AE640" s="2901"/>
      <c r="AF640" s="2901"/>
      <c r="AG640" s="2901"/>
      <c r="AH640" s="2901"/>
      <c r="AI640" s="2901"/>
      <c r="AJ640" s="2901"/>
      <c r="AK640" s="2901"/>
      <c r="AL640" s="2901"/>
      <c r="AM640" s="2901"/>
      <c r="AN640" s="2901"/>
      <c r="AO640" s="2901"/>
      <c r="AP640" s="2901"/>
      <c r="AQ640" s="2901"/>
      <c r="AR640" s="2901"/>
      <c r="AS640" s="2901"/>
      <c r="AT640" s="2901"/>
      <c r="AU640" s="1597"/>
    </row>
    <row r="641" spans="2:47" s="1596" customFormat="1" ht="13" customHeight="1">
      <c r="B641" s="2901" t="s">
        <v>579</v>
      </c>
      <c r="C641" s="2901"/>
      <c r="D641" s="2901"/>
      <c r="E641" s="2901"/>
      <c r="F641" s="2901"/>
      <c r="G641" s="2901"/>
      <c r="H641" s="2901"/>
      <c r="I641" s="2901"/>
      <c r="J641" s="2901"/>
      <c r="K641" s="2901"/>
      <c r="L641" s="2901"/>
      <c r="M641" s="2901"/>
      <c r="N641" s="2901"/>
      <c r="O641" s="2901"/>
      <c r="P641" s="2901"/>
      <c r="Q641" s="2901"/>
      <c r="R641" s="2901"/>
      <c r="S641" s="2901"/>
      <c r="T641" s="2901"/>
      <c r="U641" s="2901"/>
      <c r="V641" s="2901"/>
      <c r="W641" s="2901"/>
      <c r="X641" s="2901"/>
      <c r="Y641" s="2901"/>
      <c r="Z641" s="2901"/>
      <c r="AA641" s="2901"/>
      <c r="AB641" s="2901"/>
      <c r="AC641" s="2901"/>
      <c r="AD641" s="2901"/>
      <c r="AE641" s="2901"/>
      <c r="AF641" s="2901"/>
      <c r="AG641" s="2901"/>
      <c r="AH641" s="2901"/>
      <c r="AI641" s="2901"/>
      <c r="AJ641" s="2901"/>
      <c r="AK641" s="2901"/>
      <c r="AL641" s="2901"/>
      <c r="AM641" s="2901"/>
      <c r="AN641" s="2901"/>
      <c r="AO641" s="2901"/>
      <c r="AP641" s="2901"/>
      <c r="AQ641" s="2901"/>
      <c r="AR641" s="2901"/>
      <c r="AS641" s="2901"/>
      <c r="AT641" s="2901"/>
      <c r="AU641" s="1597"/>
    </row>
    <row r="642" spans="2:47" s="1596" customFormat="1" ht="13" customHeight="1">
      <c r="B642" s="2901" t="s">
        <v>580</v>
      </c>
      <c r="C642" s="2901"/>
      <c r="D642" s="2901"/>
      <c r="E642" s="2901"/>
      <c r="F642" s="2901"/>
      <c r="G642" s="2901"/>
      <c r="H642" s="2901"/>
      <c r="I642" s="2901"/>
      <c r="J642" s="2901"/>
      <c r="K642" s="2901"/>
      <c r="L642" s="2901"/>
      <c r="M642" s="2901"/>
      <c r="N642" s="2901"/>
      <c r="O642" s="2901"/>
      <c r="P642" s="2901"/>
      <c r="Q642" s="2901"/>
      <c r="R642" s="2901"/>
      <c r="S642" s="2901"/>
      <c r="T642" s="2901"/>
      <c r="U642" s="2901"/>
      <c r="V642" s="2901"/>
      <c r="W642" s="2901"/>
      <c r="X642" s="2901"/>
      <c r="Y642" s="2901"/>
      <c r="Z642" s="2901"/>
      <c r="AA642" s="2901"/>
      <c r="AB642" s="2901"/>
      <c r="AC642" s="2901"/>
      <c r="AD642" s="2901"/>
      <c r="AE642" s="2901"/>
      <c r="AF642" s="2901"/>
      <c r="AG642" s="2901"/>
      <c r="AH642" s="2901"/>
      <c r="AI642" s="2901"/>
      <c r="AJ642" s="2901"/>
      <c r="AK642" s="2901"/>
      <c r="AL642" s="2901"/>
      <c r="AM642" s="2901"/>
      <c r="AN642" s="2901"/>
      <c r="AO642" s="2901"/>
      <c r="AP642" s="2901"/>
      <c r="AQ642" s="2901"/>
      <c r="AR642" s="2901"/>
      <c r="AS642" s="2901"/>
      <c r="AT642" s="2901"/>
      <c r="AU642" s="1597"/>
    </row>
    <row r="643" spans="2:47" s="1596" customFormat="1" ht="13" customHeight="1">
      <c r="B643" s="2901" t="s">
        <v>581</v>
      </c>
      <c r="C643" s="2901"/>
      <c r="D643" s="2901"/>
      <c r="E643" s="2901"/>
      <c r="F643" s="2901"/>
      <c r="G643" s="2901"/>
      <c r="H643" s="2901"/>
      <c r="I643" s="2901"/>
      <c r="J643" s="2901"/>
      <c r="K643" s="2901"/>
      <c r="L643" s="2901"/>
      <c r="M643" s="2901"/>
      <c r="N643" s="2901"/>
      <c r="O643" s="2901"/>
      <c r="P643" s="2901"/>
      <c r="Q643" s="2901"/>
      <c r="R643" s="2901"/>
      <c r="S643" s="2901"/>
      <c r="T643" s="2901"/>
      <c r="U643" s="2901"/>
      <c r="V643" s="2901"/>
      <c r="W643" s="2901"/>
      <c r="X643" s="2901"/>
      <c r="Y643" s="2901"/>
      <c r="Z643" s="2901"/>
      <c r="AA643" s="2901"/>
      <c r="AB643" s="2901"/>
      <c r="AC643" s="2901"/>
      <c r="AD643" s="2901"/>
      <c r="AE643" s="2901"/>
      <c r="AF643" s="2901"/>
      <c r="AG643" s="2901"/>
      <c r="AH643" s="2901"/>
      <c r="AI643" s="2901"/>
      <c r="AJ643" s="2901"/>
      <c r="AK643" s="2901"/>
      <c r="AL643" s="2901"/>
      <c r="AM643" s="2901"/>
      <c r="AN643" s="2901"/>
      <c r="AO643" s="2901"/>
      <c r="AP643" s="2901"/>
      <c r="AQ643" s="2901"/>
      <c r="AR643" s="2901"/>
      <c r="AS643" s="2901"/>
      <c r="AT643" s="2901"/>
      <c r="AU643" s="1597"/>
    </row>
    <row r="644" spans="2:47" s="1596" customFormat="1" ht="13" customHeight="1">
      <c r="B644" s="2901" t="s">
        <v>582</v>
      </c>
      <c r="C644" s="2901"/>
      <c r="D644" s="2901"/>
      <c r="E644" s="2901"/>
      <c r="F644" s="2901"/>
      <c r="G644" s="2901"/>
      <c r="H644" s="2901"/>
      <c r="I644" s="2901"/>
      <c r="J644" s="2901"/>
      <c r="K644" s="2901"/>
      <c r="L644" s="2901"/>
      <c r="M644" s="2901"/>
      <c r="N644" s="2901"/>
      <c r="O644" s="2901"/>
      <c r="P644" s="2901"/>
      <c r="Q644" s="2901"/>
      <c r="R644" s="2901"/>
      <c r="S644" s="2901"/>
      <c r="T644" s="2901"/>
      <c r="U644" s="2901"/>
      <c r="V644" s="2901"/>
      <c r="W644" s="2901"/>
      <c r="X644" s="2901"/>
      <c r="Y644" s="2901"/>
      <c r="Z644" s="2901"/>
      <c r="AA644" s="2901"/>
      <c r="AB644" s="2901"/>
      <c r="AC644" s="2901"/>
      <c r="AD644" s="2901"/>
      <c r="AE644" s="2901"/>
      <c r="AF644" s="2901"/>
      <c r="AG644" s="2901"/>
      <c r="AH644" s="2901"/>
      <c r="AI644" s="2901"/>
      <c r="AJ644" s="2901"/>
      <c r="AK644" s="2901"/>
      <c r="AL644" s="2901"/>
      <c r="AM644" s="2901"/>
      <c r="AN644" s="2901"/>
      <c r="AO644" s="2901"/>
      <c r="AP644" s="2901"/>
      <c r="AQ644" s="2901"/>
      <c r="AR644" s="2901"/>
      <c r="AS644" s="2901"/>
      <c r="AT644" s="2901"/>
      <c r="AU644" s="1597"/>
    </row>
    <row r="645" spans="2:47" s="1596" customFormat="1" ht="13" customHeight="1">
      <c r="B645" s="2901" t="s">
        <v>583</v>
      </c>
      <c r="C645" s="2901"/>
      <c r="D645" s="2901"/>
      <c r="E645" s="2901"/>
      <c r="F645" s="2901"/>
      <c r="G645" s="2901"/>
      <c r="H645" s="2901"/>
      <c r="I645" s="2901"/>
      <c r="J645" s="2901"/>
      <c r="K645" s="2901"/>
      <c r="L645" s="2901"/>
      <c r="M645" s="2901"/>
      <c r="N645" s="2901"/>
      <c r="O645" s="2901"/>
      <c r="P645" s="2901"/>
      <c r="Q645" s="2901"/>
      <c r="R645" s="2901"/>
      <c r="S645" s="2901"/>
      <c r="T645" s="2901"/>
      <c r="U645" s="2901"/>
      <c r="V645" s="2901"/>
      <c r="W645" s="2901"/>
      <c r="X645" s="2901"/>
      <c r="Y645" s="2901"/>
      <c r="Z645" s="2901"/>
      <c r="AA645" s="2901"/>
      <c r="AB645" s="2901"/>
      <c r="AC645" s="2901"/>
      <c r="AD645" s="2901"/>
      <c r="AE645" s="2901"/>
      <c r="AF645" s="2901"/>
      <c r="AG645" s="2901"/>
      <c r="AH645" s="2901"/>
      <c r="AI645" s="2901"/>
      <c r="AJ645" s="2901"/>
      <c r="AK645" s="2901"/>
      <c r="AL645" s="2901"/>
      <c r="AM645" s="2901"/>
      <c r="AN645" s="2901"/>
      <c r="AO645" s="2901"/>
      <c r="AP645" s="2901"/>
      <c r="AQ645" s="2901"/>
      <c r="AR645" s="2901"/>
      <c r="AS645" s="2901"/>
      <c r="AT645" s="2901"/>
      <c r="AU645" s="1597"/>
    </row>
    <row r="646" spans="2:47" s="1596" customFormat="1" ht="13" customHeight="1">
      <c r="B646" s="2901" t="s">
        <v>584</v>
      </c>
      <c r="C646" s="2901"/>
      <c r="D646" s="2901"/>
      <c r="E646" s="2901"/>
      <c r="F646" s="2901"/>
      <c r="G646" s="2901"/>
      <c r="H646" s="2901"/>
      <c r="I646" s="2901"/>
      <c r="J646" s="2901"/>
      <c r="K646" s="2901"/>
      <c r="L646" s="2901"/>
      <c r="M646" s="2901"/>
      <c r="N646" s="2901"/>
      <c r="O646" s="2901"/>
      <c r="P646" s="2901"/>
      <c r="Q646" s="2901"/>
      <c r="R646" s="2901"/>
      <c r="S646" s="2901"/>
      <c r="T646" s="2901"/>
      <c r="U646" s="2901"/>
      <c r="V646" s="2901"/>
      <c r="W646" s="2901"/>
      <c r="X646" s="2901"/>
      <c r="Y646" s="2901"/>
      <c r="Z646" s="2901"/>
      <c r="AA646" s="2901"/>
      <c r="AB646" s="2901"/>
      <c r="AC646" s="2901"/>
      <c r="AD646" s="2901"/>
      <c r="AE646" s="2901"/>
      <c r="AF646" s="2901"/>
      <c r="AG646" s="2901"/>
      <c r="AH646" s="2901"/>
      <c r="AI646" s="2901"/>
      <c r="AJ646" s="2901"/>
      <c r="AK646" s="2901"/>
      <c r="AL646" s="2901"/>
      <c r="AM646" s="2901"/>
      <c r="AN646" s="2901"/>
      <c r="AO646" s="2901"/>
      <c r="AP646" s="2901"/>
      <c r="AQ646" s="2901"/>
      <c r="AR646" s="2901"/>
      <c r="AS646" s="2901"/>
      <c r="AT646" s="2901"/>
      <c r="AU646" s="1597"/>
    </row>
    <row r="647" spans="2:47" s="1596" customFormat="1" ht="13" customHeight="1">
      <c r="B647" s="2901" t="s">
        <v>585</v>
      </c>
      <c r="C647" s="2901"/>
      <c r="D647" s="2901"/>
      <c r="E647" s="2901"/>
      <c r="F647" s="2901"/>
      <c r="G647" s="2901"/>
      <c r="H647" s="2901"/>
      <c r="I647" s="2901"/>
      <c r="J647" s="2901"/>
      <c r="K647" s="2901"/>
      <c r="L647" s="2901"/>
      <c r="M647" s="2901"/>
      <c r="N647" s="2901"/>
      <c r="O647" s="2901"/>
      <c r="P647" s="2901"/>
      <c r="Q647" s="2901"/>
      <c r="R647" s="2901"/>
      <c r="S647" s="2901"/>
      <c r="T647" s="2901"/>
      <c r="U647" s="2901"/>
      <c r="V647" s="2901"/>
      <c r="W647" s="2901"/>
      <c r="X647" s="2901"/>
      <c r="Y647" s="2901"/>
      <c r="Z647" s="2901"/>
      <c r="AA647" s="2901"/>
      <c r="AB647" s="2901"/>
      <c r="AC647" s="2901"/>
      <c r="AD647" s="2901"/>
      <c r="AE647" s="2901"/>
      <c r="AF647" s="2901"/>
      <c r="AG647" s="2901"/>
      <c r="AH647" s="2901"/>
      <c r="AI647" s="2901"/>
      <c r="AJ647" s="2901"/>
      <c r="AK647" s="2901"/>
      <c r="AL647" s="2901"/>
      <c r="AM647" s="2901"/>
      <c r="AN647" s="2901"/>
      <c r="AO647" s="2901"/>
      <c r="AP647" s="2901"/>
      <c r="AQ647" s="2901"/>
      <c r="AR647" s="2901"/>
      <c r="AS647" s="2901"/>
      <c r="AT647" s="2901"/>
      <c r="AU647" s="1597"/>
    </row>
    <row r="648" spans="2:47" s="1596" customFormat="1" ht="13" customHeight="1">
      <c r="B648" s="2901" t="s">
        <v>586</v>
      </c>
      <c r="C648" s="2901"/>
      <c r="D648" s="2901"/>
      <c r="E648" s="2901"/>
      <c r="F648" s="2901"/>
      <c r="G648" s="2901"/>
      <c r="H648" s="2901"/>
      <c r="I648" s="2901"/>
      <c r="J648" s="2901"/>
      <c r="K648" s="2901"/>
      <c r="L648" s="2901"/>
      <c r="M648" s="2901"/>
      <c r="N648" s="2901"/>
      <c r="O648" s="2901"/>
      <c r="P648" s="2901"/>
      <c r="Q648" s="2901"/>
      <c r="R648" s="2901"/>
      <c r="S648" s="2901"/>
      <c r="T648" s="2901"/>
      <c r="U648" s="2901"/>
      <c r="V648" s="2901"/>
      <c r="W648" s="2901"/>
      <c r="X648" s="2901"/>
      <c r="Y648" s="2901"/>
      <c r="Z648" s="2901"/>
      <c r="AA648" s="2901"/>
      <c r="AB648" s="2901"/>
      <c r="AC648" s="2901"/>
      <c r="AD648" s="2901"/>
      <c r="AE648" s="2901"/>
      <c r="AF648" s="2901"/>
      <c r="AG648" s="2901"/>
      <c r="AH648" s="2901"/>
      <c r="AI648" s="2901"/>
      <c r="AJ648" s="2901"/>
      <c r="AK648" s="2901"/>
      <c r="AL648" s="2901"/>
      <c r="AM648" s="2901"/>
      <c r="AN648" s="2901"/>
      <c r="AO648" s="2901"/>
      <c r="AP648" s="2901"/>
      <c r="AQ648" s="2901"/>
      <c r="AR648" s="2901"/>
      <c r="AS648" s="2901"/>
      <c r="AT648" s="2901"/>
      <c r="AU648" s="1597"/>
    </row>
    <row r="649" spans="2:47" s="1596" customFormat="1" ht="13" customHeight="1">
      <c r="B649" s="2901" t="s">
        <v>587</v>
      </c>
      <c r="C649" s="2901"/>
      <c r="D649" s="2901"/>
      <c r="E649" s="2901"/>
      <c r="F649" s="2901"/>
      <c r="G649" s="2901"/>
      <c r="H649" s="2901"/>
      <c r="I649" s="2901"/>
      <c r="J649" s="2901"/>
      <c r="K649" s="2901"/>
      <c r="L649" s="2901"/>
      <c r="M649" s="2901"/>
      <c r="N649" s="2901"/>
      <c r="O649" s="2901"/>
      <c r="P649" s="2901"/>
      <c r="Q649" s="2901"/>
      <c r="R649" s="2901"/>
      <c r="S649" s="2901"/>
      <c r="T649" s="2901"/>
      <c r="U649" s="2901"/>
      <c r="V649" s="2901"/>
      <c r="W649" s="2901"/>
      <c r="X649" s="2901"/>
      <c r="Y649" s="2901"/>
      <c r="Z649" s="2901"/>
      <c r="AA649" s="2901"/>
      <c r="AB649" s="2901"/>
      <c r="AC649" s="2901"/>
      <c r="AD649" s="2901"/>
      <c r="AE649" s="2901"/>
      <c r="AF649" s="2901"/>
      <c r="AG649" s="2901"/>
      <c r="AH649" s="2901"/>
      <c r="AI649" s="2901"/>
      <c r="AJ649" s="2901"/>
      <c r="AK649" s="2901"/>
      <c r="AL649" s="2901"/>
      <c r="AM649" s="2901"/>
      <c r="AN649" s="2901"/>
      <c r="AO649" s="2901"/>
      <c r="AP649" s="2901"/>
      <c r="AQ649" s="2901"/>
      <c r="AR649" s="2901"/>
      <c r="AS649" s="2901"/>
      <c r="AT649" s="2901"/>
      <c r="AU649" s="1597"/>
    </row>
    <row r="650" spans="2:47" s="1596" customFormat="1" ht="13" customHeight="1">
      <c r="B650" s="2901" t="s">
        <v>588</v>
      </c>
      <c r="C650" s="2901"/>
      <c r="D650" s="2901"/>
      <c r="E650" s="2901"/>
      <c r="F650" s="2901"/>
      <c r="G650" s="2901"/>
      <c r="H650" s="2901"/>
      <c r="I650" s="2901"/>
      <c r="J650" s="2901"/>
      <c r="K650" s="2901"/>
      <c r="L650" s="2901"/>
      <c r="M650" s="2901"/>
      <c r="N650" s="2901"/>
      <c r="O650" s="2901"/>
      <c r="P650" s="2901"/>
      <c r="Q650" s="2901"/>
      <c r="R650" s="2901"/>
      <c r="S650" s="2901"/>
      <c r="T650" s="2901"/>
      <c r="U650" s="2901"/>
      <c r="V650" s="2901"/>
      <c r="W650" s="2901"/>
      <c r="X650" s="2901"/>
      <c r="Y650" s="2901"/>
      <c r="Z650" s="2901"/>
      <c r="AA650" s="2901"/>
      <c r="AB650" s="2901"/>
      <c r="AC650" s="2901"/>
      <c r="AD650" s="2901"/>
      <c r="AE650" s="2901"/>
      <c r="AF650" s="2901"/>
      <c r="AG650" s="2901"/>
      <c r="AH650" s="2901"/>
      <c r="AI650" s="2901"/>
      <c r="AJ650" s="2901"/>
      <c r="AK650" s="2901"/>
      <c r="AL650" s="2901"/>
      <c r="AM650" s="2901"/>
      <c r="AN650" s="2901"/>
      <c r="AO650" s="2901"/>
      <c r="AP650" s="2901"/>
      <c r="AQ650" s="2901"/>
      <c r="AR650" s="2901"/>
      <c r="AS650" s="2901"/>
      <c r="AT650" s="2901"/>
      <c r="AU650" s="1597"/>
    </row>
    <row r="651" spans="2:47" s="1596" customFormat="1" ht="13" customHeight="1">
      <c r="B651" s="2901" t="s">
        <v>589</v>
      </c>
      <c r="C651" s="2901"/>
      <c r="D651" s="2901"/>
      <c r="E651" s="2901"/>
      <c r="F651" s="2901"/>
      <c r="G651" s="2901"/>
      <c r="H651" s="2901"/>
      <c r="I651" s="2901"/>
      <c r="J651" s="2901"/>
      <c r="K651" s="2901"/>
      <c r="L651" s="2901"/>
      <c r="M651" s="2901"/>
      <c r="N651" s="2901"/>
      <c r="O651" s="2901"/>
      <c r="P651" s="2901"/>
      <c r="Q651" s="2901"/>
      <c r="R651" s="2901"/>
      <c r="S651" s="2901"/>
      <c r="T651" s="2901"/>
      <c r="U651" s="2901"/>
      <c r="V651" s="2901"/>
      <c r="W651" s="2901"/>
      <c r="X651" s="2901"/>
      <c r="Y651" s="2901"/>
      <c r="Z651" s="2901"/>
      <c r="AA651" s="2901"/>
      <c r="AB651" s="2901"/>
      <c r="AC651" s="2901"/>
      <c r="AD651" s="2901"/>
      <c r="AE651" s="2901"/>
      <c r="AF651" s="2901"/>
      <c r="AG651" s="2901"/>
      <c r="AH651" s="2901"/>
      <c r="AI651" s="2901"/>
      <c r="AJ651" s="2901"/>
      <c r="AK651" s="2901"/>
      <c r="AL651" s="2901"/>
      <c r="AM651" s="2901"/>
      <c r="AN651" s="2901"/>
      <c r="AO651" s="2901"/>
      <c r="AP651" s="2901"/>
      <c r="AQ651" s="2901"/>
      <c r="AR651" s="2901"/>
      <c r="AS651" s="2901"/>
      <c r="AT651" s="2901"/>
      <c r="AU651" s="1597"/>
    </row>
    <row r="652" spans="2:47" s="1596" customFormat="1" ht="13" customHeight="1">
      <c r="B652" s="2901" t="s">
        <v>590</v>
      </c>
      <c r="C652" s="2901"/>
      <c r="D652" s="2901"/>
      <c r="E652" s="2901"/>
      <c r="F652" s="2901"/>
      <c r="G652" s="2901"/>
      <c r="H652" s="2901"/>
      <c r="I652" s="2901"/>
      <c r="J652" s="2901"/>
      <c r="K652" s="2901"/>
      <c r="L652" s="2901"/>
      <c r="M652" s="2901"/>
      <c r="N652" s="2901"/>
      <c r="O652" s="2901"/>
      <c r="P652" s="2901"/>
      <c r="Q652" s="2901"/>
      <c r="R652" s="2901"/>
      <c r="S652" s="2901"/>
      <c r="T652" s="2901"/>
      <c r="U652" s="2901"/>
      <c r="V652" s="2901"/>
      <c r="W652" s="2901"/>
      <c r="X652" s="2901"/>
      <c r="Y652" s="2901"/>
      <c r="Z652" s="2901"/>
      <c r="AA652" s="2901"/>
      <c r="AB652" s="2901"/>
      <c r="AC652" s="2901"/>
      <c r="AD652" s="2901"/>
      <c r="AE652" s="2901"/>
      <c r="AF652" s="2901"/>
      <c r="AG652" s="2901"/>
      <c r="AH652" s="2901"/>
      <c r="AI652" s="2901"/>
      <c r="AJ652" s="2901"/>
      <c r="AK652" s="2901"/>
      <c r="AL652" s="2901"/>
      <c r="AM652" s="2901"/>
      <c r="AN652" s="2901"/>
      <c r="AO652" s="2901"/>
      <c r="AP652" s="2901"/>
      <c r="AQ652" s="2901"/>
      <c r="AR652" s="2901"/>
      <c r="AS652" s="2901"/>
      <c r="AT652" s="2901"/>
      <c r="AU652" s="1597"/>
    </row>
    <row r="653" spans="2:47" s="1596" customFormat="1" ht="13" customHeight="1">
      <c r="B653" s="2901" t="s">
        <v>591</v>
      </c>
      <c r="C653" s="2901"/>
      <c r="D653" s="2901"/>
      <c r="E653" s="2901"/>
      <c r="F653" s="2901"/>
      <c r="G653" s="2901"/>
      <c r="H653" s="2901"/>
      <c r="I653" s="2901"/>
      <c r="J653" s="2901"/>
      <c r="K653" s="2901"/>
      <c r="L653" s="2901"/>
      <c r="M653" s="2901"/>
      <c r="N653" s="2901"/>
      <c r="O653" s="2901"/>
      <c r="P653" s="2901"/>
      <c r="Q653" s="2901"/>
      <c r="R653" s="2901"/>
      <c r="S653" s="2901"/>
      <c r="T653" s="2901"/>
      <c r="U653" s="2901"/>
      <c r="V653" s="2901"/>
      <c r="W653" s="2901"/>
      <c r="X653" s="2901"/>
      <c r="Y653" s="2901"/>
      <c r="Z653" s="2901"/>
      <c r="AA653" s="2901"/>
      <c r="AB653" s="2901"/>
      <c r="AC653" s="2901"/>
      <c r="AD653" s="2901"/>
      <c r="AE653" s="2901"/>
      <c r="AF653" s="2901"/>
      <c r="AG653" s="2901"/>
      <c r="AH653" s="2901"/>
      <c r="AI653" s="2901"/>
      <c r="AJ653" s="2901"/>
      <c r="AK653" s="2901"/>
      <c r="AL653" s="2901"/>
      <c r="AM653" s="2901"/>
      <c r="AN653" s="2901"/>
      <c r="AO653" s="2901"/>
      <c r="AP653" s="2901"/>
      <c r="AQ653" s="2901"/>
      <c r="AR653" s="2901"/>
      <c r="AS653" s="2901"/>
      <c r="AT653" s="2901"/>
      <c r="AU653" s="1597"/>
    </row>
    <row r="654" spans="2:47" s="1596" customFormat="1" ht="13" customHeight="1">
      <c r="B654" s="2901" t="s">
        <v>592</v>
      </c>
      <c r="C654" s="2901"/>
      <c r="D654" s="2901"/>
      <c r="E654" s="2901"/>
      <c r="F654" s="2901"/>
      <c r="G654" s="2901"/>
      <c r="H654" s="2901"/>
      <c r="I654" s="2901"/>
      <c r="J654" s="2901"/>
      <c r="K654" s="2901"/>
      <c r="L654" s="2901"/>
      <c r="M654" s="2901"/>
      <c r="N654" s="2901"/>
      <c r="O654" s="2901"/>
      <c r="P654" s="2901"/>
      <c r="Q654" s="2901"/>
      <c r="R654" s="2901"/>
      <c r="S654" s="2901"/>
      <c r="T654" s="2901"/>
      <c r="U654" s="2901"/>
      <c r="V654" s="2901"/>
      <c r="W654" s="2901"/>
      <c r="X654" s="2901"/>
      <c r="Y654" s="2901"/>
      <c r="Z654" s="2901"/>
      <c r="AA654" s="2901"/>
      <c r="AB654" s="2901"/>
      <c r="AC654" s="2901"/>
      <c r="AD654" s="2901"/>
      <c r="AE654" s="2901"/>
      <c r="AF654" s="2901"/>
      <c r="AG654" s="2901"/>
      <c r="AH654" s="2901"/>
      <c r="AI654" s="2901"/>
      <c r="AJ654" s="2901"/>
      <c r="AK654" s="2901"/>
      <c r="AL654" s="2901"/>
      <c r="AM654" s="2901"/>
      <c r="AN654" s="2901"/>
      <c r="AO654" s="2901"/>
      <c r="AP654" s="2901"/>
      <c r="AQ654" s="2901"/>
      <c r="AR654" s="2901"/>
      <c r="AS654" s="2901"/>
      <c r="AT654" s="2901"/>
      <c r="AU654" s="1597"/>
    </row>
    <row r="655" spans="2:47" s="1596" customFormat="1" ht="13" customHeight="1">
      <c r="B655" s="2901" t="s">
        <v>593</v>
      </c>
      <c r="C655" s="2901"/>
      <c r="D655" s="2901"/>
      <c r="E655" s="2901"/>
      <c r="F655" s="2901"/>
      <c r="G655" s="2901"/>
      <c r="H655" s="2901"/>
      <c r="I655" s="2901"/>
      <c r="J655" s="2901"/>
      <c r="K655" s="2901"/>
      <c r="L655" s="2901"/>
      <c r="M655" s="2901"/>
      <c r="N655" s="2901"/>
      <c r="O655" s="2901"/>
      <c r="P655" s="2901"/>
      <c r="Q655" s="2901"/>
      <c r="R655" s="2901"/>
      <c r="S655" s="2901"/>
      <c r="T655" s="2901"/>
      <c r="U655" s="2901"/>
      <c r="V655" s="2901"/>
      <c r="W655" s="2901"/>
      <c r="X655" s="2901"/>
      <c r="Y655" s="2901"/>
      <c r="Z655" s="2901"/>
      <c r="AA655" s="2901"/>
      <c r="AB655" s="2901"/>
      <c r="AC655" s="2901"/>
      <c r="AD655" s="2901"/>
      <c r="AE655" s="2901"/>
      <c r="AF655" s="2901"/>
      <c r="AG655" s="2901"/>
      <c r="AH655" s="2901"/>
      <c r="AI655" s="2901"/>
      <c r="AJ655" s="2901"/>
      <c r="AK655" s="2901"/>
      <c r="AL655" s="2901"/>
      <c r="AM655" s="2901"/>
      <c r="AN655" s="2901"/>
      <c r="AO655" s="2901"/>
      <c r="AP655" s="2901"/>
      <c r="AQ655" s="2901"/>
      <c r="AR655" s="2901"/>
      <c r="AS655" s="2901"/>
      <c r="AT655" s="2901"/>
      <c r="AU655" s="1597"/>
    </row>
    <row r="656" spans="2:47" s="1596" customFormat="1" ht="13" customHeight="1">
      <c r="B656" s="2901" t="s">
        <v>594</v>
      </c>
      <c r="C656" s="2901"/>
      <c r="D656" s="2901"/>
      <c r="E656" s="2901"/>
      <c r="F656" s="2901"/>
      <c r="G656" s="2901"/>
      <c r="H656" s="2901"/>
      <c r="I656" s="2901"/>
      <c r="J656" s="2901"/>
      <c r="K656" s="2901"/>
      <c r="L656" s="2901"/>
      <c r="M656" s="2901"/>
      <c r="N656" s="2901"/>
      <c r="O656" s="2901"/>
      <c r="P656" s="2901"/>
      <c r="Q656" s="2901"/>
      <c r="R656" s="2901"/>
      <c r="S656" s="2901"/>
      <c r="T656" s="2901"/>
      <c r="U656" s="2901"/>
      <c r="V656" s="2901"/>
      <c r="W656" s="2901"/>
      <c r="X656" s="2901"/>
      <c r="Y656" s="2901"/>
      <c r="Z656" s="2901"/>
      <c r="AA656" s="2901"/>
      <c r="AB656" s="2901"/>
      <c r="AC656" s="2901"/>
      <c r="AD656" s="2901"/>
      <c r="AE656" s="2901"/>
      <c r="AF656" s="2901"/>
      <c r="AG656" s="2901"/>
      <c r="AH656" s="2901"/>
      <c r="AI656" s="2901"/>
      <c r="AJ656" s="2901"/>
      <c r="AK656" s="2901"/>
      <c r="AL656" s="2901"/>
      <c r="AM656" s="2901"/>
      <c r="AN656" s="2901"/>
      <c r="AO656" s="2901"/>
      <c r="AP656" s="2901"/>
      <c r="AQ656" s="2901"/>
      <c r="AR656" s="2901"/>
      <c r="AS656" s="2901"/>
      <c r="AT656" s="2901"/>
      <c r="AU656" s="1597"/>
    </row>
    <row r="657" spans="2:47" s="1596" customFormat="1" ht="13" customHeight="1">
      <c r="B657" s="2901" t="s">
        <v>595</v>
      </c>
      <c r="C657" s="2901"/>
      <c r="D657" s="2901"/>
      <c r="E657" s="2901"/>
      <c r="F657" s="2901"/>
      <c r="G657" s="2901"/>
      <c r="H657" s="2901"/>
      <c r="I657" s="2901"/>
      <c r="J657" s="2901"/>
      <c r="K657" s="2901"/>
      <c r="L657" s="2901"/>
      <c r="M657" s="2901"/>
      <c r="N657" s="2901"/>
      <c r="O657" s="2901"/>
      <c r="P657" s="2901"/>
      <c r="Q657" s="2901"/>
      <c r="R657" s="2901"/>
      <c r="S657" s="2901"/>
      <c r="T657" s="2901"/>
      <c r="U657" s="2901"/>
      <c r="V657" s="2901"/>
      <c r="W657" s="2901"/>
      <c r="X657" s="2901"/>
      <c r="Y657" s="2901"/>
      <c r="Z657" s="2901"/>
      <c r="AA657" s="2901"/>
      <c r="AB657" s="2901"/>
      <c r="AC657" s="2901"/>
      <c r="AD657" s="2901"/>
      <c r="AE657" s="2901"/>
      <c r="AF657" s="2901"/>
      <c r="AG657" s="2901"/>
      <c r="AH657" s="2901"/>
      <c r="AI657" s="2901"/>
      <c r="AJ657" s="2901"/>
      <c r="AK657" s="2901"/>
      <c r="AL657" s="2901"/>
      <c r="AM657" s="2901"/>
      <c r="AN657" s="2901"/>
      <c r="AO657" s="2901"/>
      <c r="AP657" s="2901"/>
      <c r="AQ657" s="2901"/>
      <c r="AR657" s="2901"/>
      <c r="AS657" s="2901"/>
      <c r="AT657" s="2901"/>
      <c r="AU657" s="1597"/>
    </row>
    <row r="658" spans="2:47" s="1596" customFormat="1" ht="13" customHeight="1">
      <c r="B658" s="2901" t="s">
        <v>596</v>
      </c>
      <c r="C658" s="2901"/>
      <c r="D658" s="2901"/>
      <c r="E658" s="2901"/>
      <c r="F658" s="2901"/>
      <c r="G658" s="2901"/>
      <c r="H658" s="2901"/>
      <c r="I658" s="2901"/>
      <c r="J658" s="2901"/>
      <c r="K658" s="2901"/>
      <c r="L658" s="2901"/>
      <c r="M658" s="2901"/>
      <c r="N658" s="2901"/>
      <c r="O658" s="2901"/>
      <c r="P658" s="2901"/>
      <c r="Q658" s="2901"/>
      <c r="R658" s="2901"/>
      <c r="S658" s="2901"/>
      <c r="T658" s="2901"/>
      <c r="U658" s="2901"/>
      <c r="V658" s="2901"/>
      <c r="W658" s="2901"/>
      <c r="X658" s="2901"/>
      <c r="Y658" s="2901"/>
      <c r="Z658" s="2901"/>
      <c r="AA658" s="2901"/>
      <c r="AB658" s="2901"/>
      <c r="AC658" s="2901"/>
      <c r="AD658" s="2901"/>
      <c r="AE658" s="2901"/>
      <c r="AF658" s="2901"/>
      <c r="AG658" s="2901"/>
      <c r="AH658" s="2901"/>
      <c r="AI658" s="2901"/>
      <c r="AJ658" s="2901"/>
      <c r="AK658" s="2901"/>
      <c r="AL658" s="2901"/>
      <c r="AM658" s="2901"/>
      <c r="AN658" s="2901"/>
      <c r="AO658" s="2901"/>
      <c r="AP658" s="2901"/>
      <c r="AQ658" s="2901"/>
      <c r="AR658" s="2901"/>
      <c r="AS658" s="2901"/>
      <c r="AT658" s="2901"/>
      <c r="AU658" s="1597"/>
    </row>
    <row r="659" spans="2:47" s="1596" customFormat="1" ht="13" customHeight="1">
      <c r="B659" s="2901" t="s">
        <v>597</v>
      </c>
      <c r="C659" s="2901"/>
      <c r="D659" s="2901"/>
      <c r="E659" s="2901"/>
      <c r="F659" s="2901"/>
      <c r="G659" s="2901"/>
      <c r="H659" s="2901"/>
      <c r="I659" s="2901"/>
      <c r="J659" s="2901"/>
      <c r="K659" s="2901"/>
      <c r="L659" s="2901"/>
      <c r="M659" s="2901"/>
      <c r="N659" s="2901"/>
      <c r="O659" s="2901"/>
      <c r="P659" s="2901"/>
      <c r="Q659" s="2901"/>
      <c r="R659" s="2901"/>
      <c r="S659" s="2901"/>
      <c r="T659" s="2901"/>
      <c r="U659" s="2901"/>
      <c r="V659" s="2901"/>
      <c r="W659" s="2901"/>
      <c r="X659" s="2901"/>
      <c r="Y659" s="2901"/>
      <c r="Z659" s="2901"/>
      <c r="AA659" s="2901"/>
      <c r="AB659" s="2901"/>
      <c r="AC659" s="2901"/>
      <c r="AD659" s="2901"/>
      <c r="AE659" s="2901"/>
      <c r="AF659" s="2901"/>
      <c r="AG659" s="2901"/>
      <c r="AH659" s="2901"/>
      <c r="AI659" s="2901"/>
      <c r="AJ659" s="2901"/>
      <c r="AK659" s="2901"/>
      <c r="AL659" s="2901"/>
      <c r="AM659" s="2901"/>
      <c r="AN659" s="2901"/>
      <c r="AO659" s="2901"/>
      <c r="AP659" s="2901"/>
      <c r="AQ659" s="2901"/>
      <c r="AR659" s="2901"/>
      <c r="AS659" s="2901"/>
      <c r="AT659" s="2901"/>
      <c r="AU659" s="1597"/>
    </row>
    <row r="660" spans="2:47" s="1596" customFormat="1" ht="13" customHeight="1">
      <c r="B660" s="2901" t="s">
        <v>598</v>
      </c>
      <c r="C660" s="2901"/>
      <c r="D660" s="2901"/>
      <c r="E660" s="2901"/>
      <c r="F660" s="2901"/>
      <c r="G660" s="2901"/>
      <c r="H660" s="2901"/>
      <c r="I660" s="2901"/>
      <c r="J660" s="2901"/>
      <c r="K660" s="2901"/>
      <c r="L660" s="2901"/>
      <c r="M660" s="2901"/>
      <c r="N660" s="2901"/>
      <c r="O660" s="2901"/>
      <c r="P660" s="2901"/>
      <c r="Q660" s="2901"/>
      <c r="R660" s="2901"/>
      <c r="S660" s="2901"/>
      <c r="T660" s="2901"/>
      <c r="U660" s="2901"/>
      <c r="V660" s="2901"/>
      <c r="W660" s="2901"/>
      <c r="X660" s="2901"/>
      <c r="Y660" s="2901"/>
      <c r="Z660" s="2901"/>
      <c r="AA660" s="2901"/>
      <c r="AB660" s="2901"/>
      <c r="AC660" s="2901"/>
      <c r="AD660" s="2901"/>
      <c r="AE660" s="2901"/>
      <c r="AF660" s="2901"/>
      <c r="AG660" s="2901"/>
      <c r="AH660" s="2901"/>
      <c r="AI660" s="2901"/>
      <c r="AJ660" s="2901"/>
      <c r="AK660" s="2901"/>
      <c r="AL660" s="2901"/>
      <c r="AM660" s="2901"/>
      <c r="AN660" s="2901"/>
      <c r="AO660" s="2901"/>
      <c r="AP660" s="2901"/>
      <c r="AQ660" s="2901"/>
      <c r="AR660" s="2901"/>
      <c r="AS660" s="2901"/>
      <c r="AT660" s="2901"/>
      <c r="AU660" s="1597"/>
    </row>
    <row r="661" spans="2:47" s="1596" customFormat="1" ht="13" customHeight="1">
      <c r="B661" s="2901" t="s">
        <v>599</v>
      </c>
      <c r="C661" s="2901"/>
      <c r="D661" s="2901"/>
      <c r="E661" s="2901"/>
      <c r="F661" s="2901"/>
      <c r="G661" s="2901"/>
      <c r="H661" s="2901"/>
      <c r="I661" s="2901"/>
      <c r="J661" s="2901"/>
      <c r="K661" s="2901"/>
      <c r="L661" s="2901"/>
      <c r="M661" s="2901"/>
      <c r="N661" s="2901"/>
      <c r="O661" s="2901"/>
      <c r="P661" s="2901"/>
      <c r="Q661" s="2901"/>
      <c r="R661" s="2901"/>
      <c r="S661" s="2901"/>
      <c r="T661" s="2901"/>
      <c r="U661" s="2901"/>
      <c r="V661" s="2901"/>
      <c r="W661" s="2901"/>
      <c r="X661" s="2901"/>
      <c r="Y661" s="2901"/>
      <c r="Z661" s="2901"/>
      <c r="AA661" s="2901"/>
      <c r="AB661" s="2901"/>
      <c r="AC661" s="2901"/>
      <c r="AD661" s="2901"/>
      <c r="AE661" s="2901"/>
      <c r="AF661" s="2901"/>
      <c r="AG661" s="2901"/>
      <c r="AH661" s="2901"/>
      <c r="AI661" s="2901"/>
      <c r="AJ661" s="2901"/>
      <c r="AK661" s="2901"/>
      <c r="AL661" s="2901"/>
      <c r="AM661" s="2901"/>
      <c r="AN661" s="2901"/>
      <c r="AO661" s="2901"/>
      <c r="AP661" s="2901"/>
      <c r="AQ661" s="2901"/>
      <c r="AR661" s="2901"/>
      <c r="AS661" s="2901"/>
      <c r="AT661" s="2901"/>
      <c r="AU661" s="1597"/>
    </row>
    <row r="662" spans="2:47" s="1596" customFormat="1" ht="13" customHeight="1">
      <c r="B662" s="2901" t="s">
        <v>600</v>
      </c>
      <c r="C662" s="2901"/>
      <c r="D662" s="2901"/>
      <c r="E662" s="2901"/>
      <c r="F662" s="2901"/>
      <c r="G662" s="2901"/>
      <c r="H662" s="2901"/>
      <c r="I662" s="2901"/>
      <c r="J662" s="2901"/>
      <c r="K662" s="2901"/>
      <c r="L662" s="2901"/>
      <c r="M662" s="2901"/>
      <c r="N662" s="2901"/>
      <c r="O662" s="2901"/>
      <c r="P662" s="2901"/>
      <c r="Q662" s="2901"/>
      <c r="R662" s="2901"/>
      <c r="S662" s="2901"/>
      <c r="T662" s="2901"/>
      <c r="U662" s="2901"/>
      <c r="V662" s="2901"/>
      <c r="W662" s="2901"/>
      <c r="X662" s="2901"/>
      <c r="Y662" s="2901"/>
      <c r="Z662" s="2901"/>
      <c r="AA662" s="2901"/>
      <c r="AB662" s="2901"/>
      <c r="AC662" s="2901"/>
      <c r="AD662" s="2901"/>
      <c r="AE662" s="2901"/>
      <c r="AF662" s="2901"/>
      <c r="AG662" s="2901"/>
      <c r="AH662" s="2901"/>
      <c r="AI662" s="2901"/>
      <c r="AJ662" s="2901"/>
      <c r="AK662" s="2901"/>
      <c r="AL662" s="2901"/>
      <c r="AM662" s="2901"/>
      <c r="AN662" s="2901"/>
      <c r="AO662" s="2901"/>
      <c r="AP662" s="2901"/>
      <c r="AQ662" s="2901"/>
      <c r="AR662" s="2901"/>
      <c r="AS662" s="2901"/>
      <c r="AT662" s="2901"/>
      <c r="AU662" s="1597"/>
    </row>
    <row r="663" spans="2:47" s="1596" customFormat="1" ht="13" customHeight="1">
      <c r="B663" s="2901" t="s">
        <v>601</v>
      </c>
      <c r="C663" s="2901"/>
      <c r="D663" s="2901"/>
      <c r="E663" s="2901"/>
      <c r="F663" s="2901"/>
      <c r="G663" s="2901"/>
      <c r="H663" s="2901"/>
      <c r="I663" s="2901"/>
      <c r="J663" s="2901"/>
      <c r="K663" s="2901"/>
      <c r="L663" s="2901"/>
      <c r="M663" s="2901"/>
      <c r="N663" s="2901"/>
      <c r="O663" s="2901"/>
      <c r="P663" s="2901"/>
      <c r="Q663" s="2901"/>
      <c r="R663" s="2901"/>
      <c r="S663" s="2901"/>
      <c r="T663" s="2901"/>
      <c r="U663" s="2901"/>
      <c r="V663" s="2901"/>
      <c r="W663" s="2901"/>
      <c r="X663" s="2901"/>
      <c r="Y663" s="2901"/>
      <c r="Z663" s="2901"/>
      <c r="AA663" s="2901"/>
      <c r="AB663" s="2901"/>
      <c r="AC663" s="2901"/>
      <c r="AD663" s="2901"/>
      <c r="AE663" s="2901"/>
      <c r="AF663" s="2901"/>
      <c r="AG663" s="2901"/>
      <c r="AH663" s="2901"/>
      <c r="AI663" s="2901"/>
      <c r="AJ663" s="2901"/>
      <c r="AK663" s="2901"/>
      <c r="AL663" s="2901"/>
      <c r="AM663" s="2901"/>
      <c r="AN663" s="2901"/>
      <c r="AO663" s="2901"/>
      <c r="AP663" s="2901"/>
      <c r="AQ663" s="2901"/>
      <c r="AR663" s="2901"/>
      <c r="AS663" s="2901"/>
      <c r="AT663" s="2901"/>
      <c r="AU663" s="1597"/>
    </row>
    <row r="664" spans="2:47" s="1596" customFormat="1" ht="13" customHeight="1">
      <c r="B664" s="2901" t="s">
        <v>602</v>
      </c>
      <c r="C664" s="2901"/>
      <c r="D664" s="2901"/>
      <c r="E664" s="2901"/>
      <c r="F664" s="2901"/>
      <c r="G664" s="2901"/>
      <c r="H664" s="2901"/>
      <c r="I664" s="2901"/>
      <c r="J664" s="2901"/>
      <c r="K664" s="2901"/>
      <c r="L664" s="2901"/>
      <c r="M664" s="2901"/>
      <c r="N664" s="2901"/>
      <c r="O664" s="2901"/>
      <c r="P664" s="2901"/>
      <c r="Q664" s="2901"/>
      <c r="R664" s="2901"/>
      <c r="S664" s="2901"/>
      <c r="T664" s="2901"/>
      <c r="U664" s="2901"/>
      <c r="V664" s="2901"/>
      <c r="W664" s="2901"/>
      <c r="X664" s="2901"/>
      <c r="Y664" s="2901"/>
      <c r="Z664" s="2901"/>
      <c r="AA664" s="2901"/>
      <c r="AB664" s="2901"/>
      <c r="AC664" s="2901"/>
      <c r="AD664" s="2901"/>
      <c r="AE664" s="2901"/>
      <c r="AF664" s="2901"/>
      <c r="AG664" s="2901"/>
      <c r="AH664" s="2901"/>
      <c r="AI664" s="2901"/>
      <c r="AJ664" s="2901"/>
      <c r="AK664" s="2901"/>
      <c r="AL664" s="2901"/>
      <c r="AM664" s="2901"/>
      <c r="AN664" s="2901"/>
      <c r="AO664" s="2901"/>
      <c r="AP664" s="2901"/>
      <c r="AQ664" s="2901"/>
      <c r="AR664" s="2901"/>
      <c r="AS664" s="2901"/>
      <c r="AT664" s="2901"/>
      <c r="AU664" s="1597"/>
    </row>
    <row r="665" spans="2:47" s="1596" customFormat="1" ht="13" customHeight="1">
      <c r="B665" s="2901" t="s">
        <v>603</v>
      </c>
      <c r="C665" s="2901"/>
      <c r="D665" s="2901"/>
      <c r="E665" s="2901"/>
      <c r="F665" s="2901"/>
      <c r="G665" s="2901"/>
      <c r="H665" s="2901"/>
      <c r="I665" s="2901"/>
      <c r="J665" s="2901"/>
      <c r="K665" s="2901"/>
      <c r="L665" s="2901"/>
      <c r="M665" s="2901"/>
      <c r="N665" s="2901"/>
      <c r="O665" s="2901"/>
      <c r="P665" s="2901"/>
      <c r="Q665" s="2901"/>
      <c r="R665" s="2901"/>
      <c r="S665" s="2901"/>
      <c r="T665" s="2901"/>
      <c r="U665" s="2901"/>
      <c r="V665" s="2901"/>
      <c r="W665" s="2901"/>
      <c r="X665" s="2901"/>
      <c r="Y665" s="2901"/>
      <c r="Z665" s="2901"/>
      <c r="AA665" s="2901"/>
      <c r="AB665" s="2901"/>
      <c r="AC665" s="2901"/>
      <c r="AD665" s="2901"/>
      <c r="AE665" s="2901"/>
      <c r="AF665" s="2901"/>
      <c r="AG665" s="2901"/>
      <c r="AH665" s="2901"/>
      <c r="AI665" s="2901"/>
      <c r="AJ665" s="2901"/>
      <c r="AK665" s="2901"/>
      <c r="AL665" s="2901"/>
      <c r="AM665" s="2901"/>
      <c r="AN665" s="2901"/>
      <c r="AO665" s="2901"/>
      <c r="AP665" s="2901"/>
      <c r="AQ665" s="2901"/>
      <c r="AR665" s="2901"/>
      <c r="AS665" s="2901"/>
      <c r="AT665" s="2901"/>
      <c r="AU665" s="1597"/>
    </row>
    <row r="666" spans="2:47" s="1596" customFormat="1" ht="13" customHeight="1">
      <c r="B666" s="2901" t="s">
        <v>604</v>
      </c>
      <c r="C666" s="2901"/>
      <c r="D666" s="2901"/>
      <c r="E666" s="2901"/>
      <c r="F666" s="2901"/>
      <c r="G666" s="2901"/>
      <c r="H666" s="2901"/>
      <c r="I666" s="2901"/>
      <c r="J666" s="2901"/>
      <c r="K666" s="2901"/>
      <c r="L666" s="2901"/>
      <c r="M666" s="2901"/>
      <c r="N666" s="2901"/>
      <c r="O666" s="2901"/>
      <c r="P666" s="2901"/>
      <c r="Q666" s="2901"/>
      <c r="R666" s="2901"/>
      <c r="S666" s="2901"/>
      <c r="T666" s="2901"/>
      <c r="U666" s="2901"/>
      <c r="V666" s="2901"/>
      <c r="W666" s="2901"/>
      <c r="X666" s="2901"/>
      <c r="Y666" s="2901"/>
      <c r="Z666" s="2901"/>
      <c r="AA666" s="2901"/>
      <c r="AB666" s="2901"/>
      <c r="AC666" s="2901"/>
      <c r="AD666" s="2901"/>
      <c r="AE666" s="2901"/>
      <c r="AF666" s="2901"/>
      <c r="AG666" s="2901"/>
      <c r="AH666" s="2901"/>
      <c r="AI666" s="2901"/>
      <c r="AJ666" s="2901"/>
      <c r="AK666" s="2901"/>
      <c r="AL666" s="2901"/>
      <c r="AM666" s="2901"/>
      <c r="AN666" s="2901"/>
      <c r="AO666" s="2901"/>
      <c r="AP666" s="2901"/>
      <c r="AQ666" s="2901"/>
      <c r="AR666" s="2901"/>
      <c r="AS666" s="2901"/>
      <c r="AT666" s="2901"/>
      <c r="AU666" s="1597"/>
    </row>
    <row r="667" spans="2:47" s="1596" customFormat="1" ht="13" customHeight="1">
      <c r="B667" s="2901" t="s">
        <v>605</v>
      </c>
      <c r="C667" s="2901"/>
      <c r="D667" s="2901"/>
      <c r="E667" s="2901"/>
      <c r="F667" s="2901"/>
      <c r="G667" s="2901"/>
      <c r="H667" s="2901"/>
      <c r="I667" s="2901"/>
      <c r="J667" s="2901"/>
      <c r="K667" s="2901"/>
      <c r="L667" s="2901"/>
      <c r="M667" s="2901"/>
      <c r="N667" s="2901"/>
      <c r="O667" s="2901"/>
      <c r="P667" s="2901"/>
      <c r="Q667" s="2901"/>
      <c r="R667" s="2901"/>
      <c r="S667" s="2901"/>
      <c r="T667" s="2901"/>
      <c r="U667" s="2901"/>
      <c r="V667" s="2901"/>
      <c r="W667" s="2901"/>
      <c r="X667" s="2901"/>
      <c r="Y667" s="2901"/>
      <c r="Z667" s="2901"/>
      <c r="AA667" s="2901"/>
      <c r="AB667" s="2901"/>
      <c r="AC667" s="2901"/>
      <c r="AD667" s="2901"/>
      <c r="AE667" s="2901"/>
      <c r="AF667" s="2901"/>
      <c r="AG667" s="2901"/>
      <c r="AH667" s="2901"/>
      <c r="AI667" s="2901"/>
      <c r="AJ667" s="2901"/>
      <c r="AK667" s="2901"/>
      <c r="AL667" s="2901"/>
      <c r="AM667" s="2901"/>
      <c r="AN667" s="2901"/>
      <c r="AO667" s="2901"/>
      <c r="AP667" s="2901"/>
      <c r="AQ667" s="2901"/>
      <c r="AR667" s="2901"/>
      <c r="AS667" s="2901"/>
      <c r="AT667" s="2901"/>
      <c r="AU667" s="1597"/>
    </row>
    <row r="668" spans="2:47" s="1596" customFormat="1" ht="13" customHeight="1">
      <c r="B668" s="2901" t="s">
        <v>606</v>
      </c>
      <c r="C668" s="2901"/>
      <c r="D668" s="2901"/>
      <c r="E668" s="2901"/>
      <c r="F668" s="2901"/>
      <c r="G668" s="2901"/>
      <c r="H668" s="2901"/>
      <c r="I668" s="2901"/>
      <c r="J668" s="2901"/>
      <c r="K668" s="2901"/>
      <c r="L668" s="2901"/>
      <c r="M668" s="2901"/>
      <c r="N668" s="2901"/>
      <c r="O668" s="2901"/>
      <c r="P668" s="2901"/>
      <c r="Q668" s="2901"/>
      <c r="R668" s="2901"/>
      <c r="S668" s="2901"/>
      <c r="T668" s="2901"/>
      <c r="U668" s="2901"/>
      <c r="V668" s="2901"/>
      <c r="W668" s="2901"/>
      <c r="X668" s="2901"/>
      <c r="Y668" s="2901"/>
      <c r="Z668" s="2901"/>
      <c r="AA668" s="2901"/>
      <c r="AB668" s="2901"/>
      <c r="AC668" s="2901"/>
      <c r="AD668" s="2901"/>
      <c r="AE668" s="2901"/>
      <c r="AF668" s="2901"/>
      <c r="AG668" s="2901"/>
      <c r="AH668" s="2901"/>
      <c r="AI668" s="2901"/>
      <c r="AJ668" s="2901"/>
      <c r="AK668" s="2901"/>
      <c r="AL668" s="2901"/>
      <c r="AM668" s="2901"/>
      <c r="AN668" s="2901"/>
      <c r="AO668" s="2901"/>
      <c r="AP668" s="2901"/>
      <c r="AQ668" s="2901"/>
      <c r="AR668" s="2901"/>
      <c r="AS668" s="2901"/>
      <c r="AT668" s="2901"/>
      <c r="AU668" s="1597"/>
    </row>
    <row r="669" spans="2:47" s="1596" customFormat="1" ht="13" customHeight="1">
      <c r="B669" s="2901" t="s">
        <v>607</v>
      </c>
      <c r="C669" s="2901"/>
      <c r="D669" s="2901"/>
      <c r="E669" s="2901"/>
      <c r="F669" s="2901"/>
      <c r="G669" s="2901"/>
      <c r="H669" s="2901"/>
      <c r="I669" s="2901"/>
      <c r="J669" s="2901"/>
      <c r="K669" s="2901"/>
      <c r="L669" s="2901"/>
      <c r="M669" s="2901"/>
      <c r="N669" s="2901"/>
      <c r="O669" s="2901"/>
      <c r="P669" s="2901"/>
      <c r="Q669" s="2901"/>
      <c r="R669" s="2901"/>
      <c r="S669" s="2901"/>
      <c r="T669" s="2901"/>
      <c r="U669" s="2901"/>
      <c r="V669" s="2901"/>
      <c r="W669" s="2901"/>
      <c r="X669" s="2901"/>
      <c r="Y669" s="2901"/>
      <c r="Z669" s="2901"/>
      <c r="AA669" s="2901"/>
      <c r="AB669" s="2901"/>
      <c r="AC669" s="2901"/>
      <c r="AD669" s="2901"/>
      <c r="AE669" s="2901"/>
      <c r="AF669" s="2901"/>
      <c r="AG669" s="2901"/>
      <c r="AH669" s="2901"/>
      <c r="AI669" s="2901"/>
      <c r="AJ669" s="2901"/>
      <c r="AK669" s="2901"/>
      <c r="AL669" s="2901"/>
      <c r="AM669" s="2901"/>
      <c r="AN669" s="2901"/>
      <c r="AO669" s="2901"/>
      <c r="AP669" s="2901"/>
      <c r="AQ669" s="2901"/>
      <c r="AR669" s="2901"/>
      <c r="AS669" s="2901"/>
      <c r="AT669" s="2901"/>
      <c r="AU669" s="1597"/>
    </row>
    <row r="670" spans="2:47" s="1596" customFormat="1" ht="13" customHeight="1">
      <c r="B670" s="2901" t="s">
        <v>608</v>
      </c>
      <c r="C670" s="2901"/>
      <c r="D670" s="2901"/>
      <c r="E670" s="2901"/>
      <c r="F670" s="2901"/>
      <c r="G670" s="2901"/>
      <c r="H670" s="2901"/>
      <c r="I670" s="2901"/>
      <c r="J670" s="2901"/>
      <c r="K670" s="2901"/>
      <c r="L670" s="2901"/>
      <c r="M670" s="2901"/>
      <c r="N670" s="2901"/>
      <c r="O670" s="2901"/>
      <c r="P670" s="2901"/>
      <c r="Q670" s="2901"/>
      <c r="R670" s="2901"/>
      <c r="S670" s="2901"/>
      <c r="T670" s="2901"/>
      <c r="U670" s="2901"/>
      <c r="V670" s="2901"/>
      <c r="W670" s="2901"/>
      <c r="X670" s="2901"/>
      <c r="Y670" s="2901"/>
      <c r="Z670" s="2901"/>
      <c r="AA670" s="2901"/>
      <c r="AB670" s="2901"/>
      <c r="AC670" s="2901"/>
      <c r="AD670" s="2901"/>
      <c r="AE670" s="2901"/>
      <c r="AF670" s="2901"/>
      <c r="AG670" s="2901"/>
      <c r="AH670" s="2901"/>
      <c r="AI670" s="2901"/>
      <c r="AJ670" s="2901"/>
      <c r="AK670" s="2901"/>
      <c r="AL670" s="2901"/>
      <c r="AM670" s="2901"/>
      <c r="AN670" s="2901"/>
      <c r="AO670" s="2901"/>
      <c r="AP670" s="2901"/>
      <c r="AQ670" s="2901"/>
      <c r="AR670" s="2901"/>
      <c r="AS670" s="2901"/>
      <c r="AT670" s="2901"/>
      <c r="AU670" s="1597"/>
    </row>
    <row r="671" spans="2:47" s="1596" customFormat="1" ht="13" customHeight="1">
      <c r="B671" s="2901" t="s">
        <v>609</v>
      </c>
      <c r="C671" s="2901"/>
      <c r="D671" s="2901"/>
      <c r="E671" s="2901"/>
      <c r="F671" s="2901"/>
      <c r="G671" s="2901"/>
      <c r="H671" s="2901"/>
      <c r="I671" s="2901"/>
      <c r="J671" s="2901"/>
      <c r="K671" s="2901"/>
      <c r="L671" s="2901"/>
      <c r="M671" s="2901"/>
      <c r="N671" s="2901"/>
      <c r="O671" s="2901"/>
      <c r="P671" s="2901"/>
      <c r="Q671" s="2901"/>
      <c r="R671" s="2901"/>
      <c r="S671" s="2901"/>
      <c r="T671" s="2901"/>
      <c r="U671" s="2901"/>
      <c r="V671" s="2901"/>
      <c r="W671" s="2901"/>
      <c r="X671" s="2901"/>
      <c r="Y671" s="2901"/>
      <c r="Z671" s="2901"/>
      <c r="AA671" s="2901"/>
      <c r="AB671" s="2901"/>
      <c r="AC671" s="2901"/>
      <c r="AD671" s="2901"/>
      <c r="AE671" s="2901"/>
      <c r="AF671" s="2901"/>
      <c r="AG671" s="2901"/>
      <c r="AH671" s="2901"/>
      <c r="AI671" s="2901"/>
      <c r="AJ671" s="2901"/>
      <c r="AK671" s="2901"/>
      <c r="AL671" s="2901"/>
      <c r="AM671" s="2901"/>
      <c r="AN671" s="2901"/>
      <c r="AO671" s="2901"/>
      <c r="AP671" s="2901"/>
      <c r="AQ671" s="2901"/>
      <c r="AR671" s="2901"/>
      <c r="AS671" s="2901"/>
      <c r="AT671" s="2901"/>
      <c r="AU671" s="1597"/>
    </row>
    <row r="672" spans="2:47" s="1596" customFormat="1" ht="13" customHeight="1">
      <c r="B672" s="2901" t="s">
        <v>610</v>
      </c>
      <c r="C672" s="2901"/>
      <c r="D672" s="2901"/>
      <c r="E672" s="2901"/>
      <c r="F672" s="2901"/>
      <c r="G672" s="2901"/>
      <c r="H672" s="2901"/>
      <c r="I672" s="2901"/>
      <c r="J672" s="2901"/>
      <c r="K672" s="2901"/>
      <c r="L672" s="2901"/>
      <c r="M672" s="2901"/>
      <c r="N672" s="2901"/>
      <c r="O672" s="2901"/>
      <c r="P672" s="2901"/>
      <c r="Q672" s="2901"/>
      <c r="R672" s="2901"/>
      <c r="S672" s="2901"/>
      <c r="T672" s="2901"/>
      <c r="U672" s="2901"/>
      <c r="V672" s="2901"/>
      <c r="W672" s="2901"/>
      <c r="X672" s="2901"/>
      <c r="Y672" s="2901"/>
      <c r="Z672" s="2901"/>
      <c r="AA672" s="2901"/>
      <c r="AB672" s="2901"/>
      <c r="AC672" s="2901"/>
      <c r="AD672" s="2901"/>
      <c r="AE672" s="2901"/>
      <c r="AF672" s="2901"/>
      <c r="AG672" s="2901"/>
      <c r="AH672" s="2901"/>
      <c r="AI672" s="2901"/>
      <c r="AJ672" s="2901"/>
      <c r="AK672" s="2901"/>
      <c r="AL672" s="2901"/>
      <c r="AM672" s="2901"/>
      <c r="AN672" s="2901"/>
      <c r="AO672" s="2901"/>
      <c r="AP672" s="2901"/>
      <c r="AQ672" s="2901"/>
      <c r="AR672" s="2901"/>
      <c r="AS672" s="2901"/>
      <c r="AT672" s="2901"/>
      <c r="AU672" s="1597"/>
    </row>
    <row r="673" spans="2:47" s="1596" customFormat="1" ht="13" customHeight="1">
      <c r="B673" s="2901" t="s">
        <v>611</v>
      </c>
      <c r="C673" s="2901"/>
      <c r="D673" s="2901"/>
      <c r="E673" s="2901"/>
      <c r="F673" s="2901"/>
      <c r="G673" s="2901"/>
      <c r="H673" s="2901"/>
      <c r="I673" s="2901"/>
      <c r="J673" s="2901"/>
      <c r="K673" s="2901"/>
      <c r="L673" s="2901"/>
      <c r="M673" s="2901"/>
      <c r="N673" s="2901"/>
      <c r="O673" s="2901"/>
      <c r="P673" s="2901"/>
      <c r="Q673" s="2901"/>
      <c r="R673" s="2901"/>
      <c r="S673" s="2901"/>
      <c r="T673" s="2901"/>
      <c r="U673" s="2901"/>
      <c r="V673" s="2901"/>
      <c r="W673" s="2901"/>
      <c r="X673" s="2901"/>
      <c r="Y673" s="2901"/>
      <c r="Z673" s="2901"/>
      <c r="AA673" s="2901"/>
      <c r="AB673" s="2901"/>
      <c r="AC673" s="2901"/>
      <c r="AD673" s="2901"/>
      <c r="AE673" s="2901"/>
      <c r="AF673" s="2901"/>
      <c r="AG673" s="2901"/>
      <c r="AH673" s="2901"/>
      <c r="AI673" s="2901"/>
      <c r="AJ673" s="2901"/>
      <c r="AK673" s="2901"/>
      <c r="AL673" s="2901"/>
      <c r="AM673" s="2901"/>
      <c r="AN673" s="2901"/>
      <c r="AO673" s="2901"/>
      <c r="AP673" s="2901"/>
      <c r="AQ673" s="2901"/>
      <c r="AR673" s="2901"/>
      <c r="AS673" s="2901"/>
      <c r="AT673" s="2901"/>
      <c r="AU673" s="1497"/>
    </row>
    <row r="674" spans="2:47" s="1596" customFormat="1" ht="13" customHeight="1">
      <c r="B674" s="2901" t="s">
        <v>612</v>
      </c>
      <c r="C674" s="2901"/>
      <c r="D674" s="2901"/>
      <c r="E674" s="2901"/>
      <c r="F674" s="2901"/>
      <c r="G674" s="2901"/>
      <c r="H674" s="2901"/>
      <c r="I674" s="2901"/>
      <c r="J674" s="2901"/>
      <c r="K674" s="2901"/>
      <c r="L674" s="2901"/>
      <c r="M674" s="2901"/>
      <c r="N674" s="2901"/>
      <c r="O674" s="2901"/>
      <c r="P674" s="2901"/>
      <c r="Q674" s="2901"/>
      <c r="R674" s="2901"/>
      <c r="S674" s="2901"/>
      <c r="T674" s="2901"/>
      <c r="U674" s="2901"/>
      <c r="V674" s="2901"/>
      <c r="W674" s="2901"/>
      <c r="X674" s="2901"/>
      <c r="Y674" s="2901"/>
      <c r="Z674" s="2901"/>
      <c r="AA674" s="2901"/>
      <c r="AB674" s="2901"/>
      <c r="AC674" s="2901"/>
      <c r="AD674" s="2901"/>
      <c r="AE674" s="2901"/>
      <c r="AF674" s="2901"/>
      <c r="AG674" s="2901"/>
      <c r="AH674" s="2901"/>
      <c r="AI674" s="2901"/>
      <c r="AJ674" s="2901"/>
      <c r="AK674" s="2901"/>
      <c r="AL674" s="2901"/>
      <c r="AM674" s="2901"/>
      <c r="AN674" s="2901"/>
      <c r="AO674" s="2901"/>
      <c r="AP674" s="2901"/>
      <c r="AQ674" s="2901"/>
      <c r="AR674" s="2901"/>
      <c r="AS674" s="2901"/>
      <c r="AT674" s="2901"/>
      <c r="AU674" s="1597"/>
    </row>
    <row r="675" spans="2:47" s="1596" customFormat="1" ht="13" customHeight="1">
      <c r="B675" s="2901" t="s">
        <v>613</v>
      </c>
      <c r="C675" s="2901"/>
      <c r="D675" s="2901"/>
      <c r="E675" s="2901"/>
      <c r="F675" s="2901"/>
      <c r="G675" s="2901"/>
      <c r="H675" s="2901"/>
      <c r="I675" s="2901"/>
      <c r="J675" s="2901"/>
      <c r="K675" s="2901"/>
      <c r="L675" s="2901"/>
      <c r="M675" s="2901"/>
      <c r="N675" s="2901"/>
      <c r="O675" s="2901"/>
      <c r="P675" s="2901"/>
      <c r="Q675" s="2901"/>
      <c r="R675" s="2901"/>
      <c r="S675" s="2901"/>
      <c r="T675" s="2901"/>
      <c r="U675" s="2901"/>
      <c r="V675" s="2901"/>
      <c r="W675" s="2901"/>
      <c r="X675" s="2901"/>
      <c r="Y675" s="2901"/>
      <c r="Z675" s="2901"/>
      <c r="AA675" s="2901"/>
      <c r="AB675" s="2901"/>
      <c r="AC675" s="2901"/>
      <c r="AD675" s="2901"/>
      <c r="AE675" s="2901"/>
      <c r="AF675" s="2901"/>
      <c r="AG675" s="2901"/>
      <c r="AH675" s="2901"/>
      <c r="AI675" s="2901"/>
      <c r="AJ675" s="2901"/>
      <c r="AK675" s="2901"/>
      <c r="AL675" s="2901"/>
      <c r="AM675" s="2901"/>
      <c r="AN675" s="2901"/>
      <c r="AO675" s="2901"/>
      <c r="AP675" s="2901"/>
      <c r="AQ675" s="2901"/>
      <c r="AR675" s="2901"/>
      <c r="AS675" s="2901"/>
      <c r="AT675" s="2901"/>
      <c r="AU675" s="1597"/>
    </row>
    <row r="676" spans="2:47" s="1596" customFormat="1" ht="13" customHeight="1">
      <c r="B676" s="2901" t="s">
        <v>614</v>
      </c>
      <c r="C676" s="2901"/>
      <c r="D676" s="2901"/>
      <c r="E676" s="2901"/>
      <c r="F676" s="2901"/>
      <c r="G676" s="2901"/>
      <c r="H676" s="2901"/>
      <c r="I676" s="2901"/>
      <c r="J676" s="2901"/>
      <c r="K676" s="2901"/>
      <c r="L676" s="2901"/>
      <c r="M676" s="2901"/>
      <c r="N676" s="2901"/>
      <c r="O676" s="2901"/>
      <c r="P676" s="2901"/>
      <c r="Q676" s="2901"/>
      <c r="R676" s="2901"/>
      <c r="S676" s="2901"/>
      <c r="T676" s="2901"/>
      <c r="U676" s="2901"/>
      <c r="V676" s="2901"/>
      <c r="W676" s="2901"/>
      <c r="X676" s="2901"/>
      <c r="Y676" s="2901"/>
      <c r="Z676" s="2901"/>
      <c r="AA676" s="2901"/>
      <c r="AB676" s="2901"/>
      <c r="AC676" s="2901"/>
      <c r="AD676" s="2901"/>
      <c r="AE676" s="2901"/>
      <c r="AF676" s="2901"/>
      <c r="AG676" s="2901"/>
      <c r="AH676" s="2901"/>
      <c r="AI676" s="2901"/>
      <c r="AJ676" s="2901"/>
      <c r="AK676" s="2901"/>
      <c r="AL676" s="2901"/>
      <c r="AM676" s="2901"/>
      <c r="AN676" s="2901"/>
      <c r="AO676" s="2901"/>
      <c r="AP676" s="2901"/>
      <c r="AQ676" s="2901"/>
      <c r="AR676" s="2901"/>
      <c r="AS676" s="2901"/>
      <c r="AT676" s="2901"/>
      <c r="AU676" s="1597"/>
    </row>
    <row r="677" spans="2:47" s="1596" customFormat="1" ht="13" customHeight="1">
      <c r="B677" s="2901" t="s">
        <v>615</v>
      </c>
      <c r="C677" s="2901"/>
      <c r="D677" s="2901"/>
      <c r="E677" s="2901"/>
      <c r="F677" s="2901"/>
      <c r="G677" s="2901"/>
      <c r="H677" s="2901"/>
      <c r="I677" s="2901"/>
      <c r="J677" s="2901"/>
      <c r="K677" s="2901"/>
      <c r="L677" s="2901"/>
      <c r="M677" s="2901"/>
      <c r="N677" s="2901"/>
      <c r="O677" s="2901"/>
      <c r="P677" s="2901"/>
      <c r="Q677" s="2901"/>
      <c r="R677" s="2901"/>
      <c r="S677" s="2901"/>
      <c r="T677" s="2901"/>
      <c r="U677" s="2901"/>
      <c r="V677" s="2901"/>
      <c r="W677" s="2901"/>
      <c r="X677" s="2901"/>
      <c r="Y677" s="2901"/>
      <c r="Z677" s="2901"/>
      <c r="AA677" s="2901"/>
      <c r="AB677" s="2901"/>
      <c r="AC677" s="2901"/>
      <c r="AD677" s="2901"/>
      <c r="AE677" s="2901"/>
      <c r="AF677" s="2901"/>
      <c r="AG677" s="2901"/>
      <c r="AH677" s="2901"/>
      <c r="AI677" s="2901"/>
      <c r="AJ677" s="2901"/>
      <c r="AK677" s="2901"/>
      <c r="AL677" s="2901"/>
      <c r="AM677" s="2901"/>
      <c r="AN677" s="2901"/>
      <c r="AO677" s="2901"/>
      <c r="AP677" s="2901"/>
      <c r="AQ677" s="2901"/>
      <c r="AR677" s="2901"/>
      <c r="AS677" s="2901"/>
      <c r="AT677" s="2901"/>
      <c r="AU677" s="1597"/>
    </row>
    <row r="678" spans="2:47" s="1596" customFormat="1" ht="13" customHeight="1">
      <c r="B678" s="2901" t="s">
        <v>616</v>
      </c>
      <c r="C678" s="2901"/>
      <c r="D678" s="2901"/>
      <c r="E678" s="2901"/>
      <c r="F678" s="2901"/>
      <c r="G678" s="2901"/>
      <c r="H678" s="2901"/>
      <c r="I678" s="2901"/>
      <c r="J678" s="2901"/>
      <c r="K678" s="2901"/>
      <c r="L678" s="2901"/>
      <c r="M678" s="2901"/>
      <c r="N678" s="2901"/>
      <c r="O678" s="2901"/>
      <c r="P678" s="2901"/>
      <c r="Q678" s="2901"/>
      <c r="R678" s="2901"/>
      <c r="S678" s="2901"/>
      <c r="T678" s="2901"/>
      <c r="U678" s="2901"/>
      <c r="V678" s="2901"/>
      <c r="W678" s="2901"/>
      <c r="X678" s="2901"/>
      <c r="Y678" s="2901"/>
      <c r="Z678" s="2901"/>
      <c r="AA678" s="2901"/>
      <c r="AB678" s="2901"/>
      <c r="AC678" s="2901"/>
      <c r="AD678" s="2901"/>
      <c r="AE678" s="2901"/>
      <c r="AF678" s="2901"/>
      <c r="AG678" s="2901"/>
      <c r="AH678" s="2901"/>
      <c r="AI678" s="2901"/>
      <c r="AJ678" s="2901"/>
      <c r="AK678" s="2901"/>
      <c r="AL678" s="2901"/>
      <c r="AM678" s="2901"/>
      <c r="AN678" s="2901"/>
      <c r="AO678" s="2901"/>
      <c r="AP678" s="2901"/>
      <c r="AQ678" s="2901"/>
      <c r="AR678" s="2901"/>
      <c r="AS678" s="2901"/>
      <c r="AT678" s="2901"/>
      <c r="AU678" s="1597"/>
    </row>
    <row r="679" spans="2:47" s="1596" customFormat="1" ht="13" customHeight="1">
      <c r="B679" s="2901" t="s">
        <v>617</v>
      </c>
      <c r="C679" s="2901"/>
      <c r="D679" s="2901"/>
      <c r="E679" s="2901"/>
      <c r="F679" s="2901"/>
      <c r="G679" s="2901"/>
      <c r="H679" s="2901"/>
      <c r="I679" s="2901"/>
      <c r="J679" s="2901"/>
      <c r="K679" s="2901"/>
      <c r="L679" s="2901"/>
      <c r="M679" s="2901"/>
      <c r="N679" s="2901"/>
      <c r="O679" s="2901"/>
      <c r="P679" s="2901"/>
      <c r="Q679" s="2901"/>
      <c r="R679" s="2901"/>
      <c r="S679" s="2901"/>
      <c r="T679" s="2901"/>
      <c r="U679" s="2901"/>
      <c r="V679" s="2901"/>
      <c r="W679" s="2901"/>
      <c r="X679" s="2901"/>
      <c r="Y679" s="2901"/>
      <c r="Z679" s="2901"/>
      <c r="AA679" s="2901"/>
      <c r="AB679" s="2901"/>
      <c r="AC679" s="2901"/>
      <c r="AD679" s="2901"/>
      <c r="AE679" s="2901"/>
      <c r="AF679" s="2901"/>
      <c r="AG679" s="2901"/>
      <c r="AH679" s="2901"/>
      <c r="AI679" s="2901"/>
      <c r="AJ679" s="2901"/>
      <c r="AK679" s="2901"/>
      <c r="AL679" s="2901"/>
      <c r="AM679" s="2901"/>
      <c r="AN679" s="2901"/>
      <c r="AO679" s="2901"/>
      <c r="AP679" s="2901"/>
      <c r="AQ679" s="2901"/>
      <c r="AR679" s="2901"/>
      <c r="AS679" s="2901"/>
      <c r="AT679" s="2901"/>
      <c r="AU679" s="1597"/>
    </row>
    <row r="680" spans="2:47" s="1596" customFormat="1" ht="13" customHeight="1">
      <c r="B680" s="2901" t="s">
        <v>618</v>
      </c>
      <c r="C680" s="2901"/>
      <c r="D680" s="2901"/>
      <c r="E680" s="2901"/>
      <c r="F680" s="2901"/>
      <c r="G680" s="2901"/>
      <c r="H680" s="2901"/>
      <c r="I680" s="2901"/>
      <c r="J680" s="2901"/>
      <c r="K680" s="2901"/>
      <c r="L680" s="2901"/>
      <c r="M680" s="2901"/>
      <c r="N680" s="2901"/>
      <c r="O680" s="2901"/>
      <c r="P680" s="2901"/>
      <c r="Q680" s="2901"/>
      <c r="R680" s="2901"/>
      <c r="S680" s="2901"/>
      <c r="T680" s="2901"/>
      <c r="U680" s="2901"/>
      <c r="V680" s="2901"/>
      <c r="W680" s="2901"/>
      <c r="X680" s="2901"/>
      <c r="Y680" s="2901"/>
      <c r="Z680" s="2901"/>
      <c r="AA680" s="2901"/>
      <c r="AB680" s="2901"/>
      <c r="AC680" s="2901"/>
      <c r="AD680" s="2901"/>
      <c r="AE680" s="2901"/>
      <c r="AF680" s="2901"/>
      <c r="AG680" s="2901"/>
      <c r="AH680" s="2901"/>
      <c r="AI680" s="2901"/>
      <c r="AJ680" s="2901"/>
      <c r="AK680" s="2901"/>
      <c r="AL680" s="2901"/>
      <c r="AM680" s="2901"/>
      <c r="AN680" s="2901"/>
      <c r="AO680" s="2901"/>
      <c r="AP680" s="2901"/>
      <c r="AQ680" s="2901"/>
      <c r="AR680" s="2901"/>
      <c r="AS680" s="2901"/>
      <c r="AT680" s="2901"/>
      <c r="AU680" s="1597"/>
    </row>
    <row r="681" spans="2:47" ht="13" customHeight="1">
      <c r="B681" s="2901" t="s">
        <v>619</v>
      </c>
      <c r="C681" s="2901"/>
      <c r="D681" s="2901"/>
      <c r="E681" s="2901"/>
      <c r="F681" s="2901"/>
      <c r="G681" s="2901"/>
      <c r="H681" s="2901"/>
      <c r="I681" s="2901"/>
      <c r="J681" s="2901"/>
      <c r="K681" s="2901"/>
      <c r="L681" s="2901"/>
      <c r="M681" s="2901"/>
      <c r="N681" s="2901"/>
      <c r="O681" s="2901"/>
      <c r="P681" s="2901"/>
      <c r="Q681" s="2901"/>
      <c r="R681" s="2901"/>
      <c r="S681" s="2901"/>
      <c r="T681" s="2901"/>
      <c r="U681" s="2901"/>
      <c r="V681" s="2901"/>
      <c r="W681" s="2901"/>
      <c r="X681" s="2901"/>
      <c r="Y681" s="2901"/>
      <c r="Z681" s="2901"/>
      <c r="AA681" s="2901"/>
      <c r="AB681" s="2901"/>
      <c r="AC681" s="2901"/>
      <c r="AD681" s="2901"/>
      <c r="AE681" s="2901"/>
      <c r="AF681" s="2901"/>
      <c r="AG681" s="2901"/>
      <c r="AH681" s="2901"/>
      <c r="AI681" s="2901"/>
      <c r="AJ681" s="2901"/>
      <c r="AK681" s="2901"/>
      <c r="AL681" s="2901"/>
      <c r="AM681" s="2901"/>
      <c r="AN681" s="2901"/>
      <c r="AO681" s="2901"/>
      <c r="AP681" s="2901"/>
      <c r="AQ681" s="2901"/>
      <c r="AR681" s="2901"/>
      <c r="AS681" s="2901"/>
      <c r="AT681" s="2901"/>
      <c r="AU681" s="1602"/>
    </row>
    <row r="682" spans="2:47" ht="13" customHeight="1">
      <c r="B682" s="2901" t="s">
        <v>620</v>
      </c>
      <c r="C682" s="2901"/>
      <c r="D682" s="2901"/>
      <c r="E682" s="2901"/>
      <c r="F682" s="2901"/>
      <c r="G682" s="2901"/>
      <c r="H682" s="2901"/>
      <c r="I682" s="2901"/>
      <c r="J682" s="2901"/>
      <c r="K682" s="2901"/>
      <c r="L682" s="2901"/>
      <c r="M682" s="2901"/>
      <c r="N682" s="2901"/>
      <c r="O682" s="2901"/>
      <c r="P682" s="2901"/>
      <c r="Q682" s="2901"/>
      <c r="R682" s="2901"/>
      <c r="S682" s="2901"/>
      <c r="T682" s="2901"/>
      <c r="U682" s="2901"/>
      <c r="V682" s="2901"/>
      <c r="W682" s="2901"/>
      <c r="X682" s="2901"/>
      <c r="Y682" s="2901"/>
      <c r="Z682" s="2901"/>
      <c r="AA682" s="2901"/>
      <c r="AB682" s="2901"/>
      <c r="AC682" s="2901"/>
      <c r="AD682" s="2901"/>
      <c r="AE682" s="2901"/>
      <c r="AF682" s="2901"/>
      <c r="AG682" s="2901"/>
      <c r="AH682" s="2901"/>
      <c r="AI682" s="2901"/>
      <c r="AJ682" s="2901"/>
      <c r="AK682" s="2901"/>
      <c r="AL682" s="2901"/>
      <c r="AM682" s="2901"/>
      <c r="AN682" s="2901"/>
      <c r="AO682" s="2901"/>
      <c r="AP682" s="2901"/>
      <c r="AQ682" s="2901"/>
      <c r="AR682" s="2901"/>
      <c r="AS682" s="2901"/>
      <c r="AT682" s="2901"/>
      <c r="AU682" s="1477"/>
    </row>
    <row r="683" spans="2:47" ht="13" customHeight="1">
      <c r="B683" s="2901" t="s">
        <v>621</v>
      </c>
      <c r="C683" s="2901"/>
      <c r="D683" s="2901"/>
      <c r="E683" s="2901"/>
      <c r="F683" s="2901"/>
      <c r="G683" s="2901"/>
      <c r="H683" s="2901"/>
      <c r="I683" s="2901"/>
      <c r="J683" s="2901"/>
      <c r="K683" s="2901"/>
      <c r="L683" s="2901"/>
      <c r="M683" s="2901"/>
      <c r="N683" s="2901"/>
      <c r="O683" s="2901"/>
      <c r="P683" s="2901"/>
      <c r="Q683" s="2901"/>
      <c r="R683" s="2901"/>
      <c r="S683" s="2901"/>
      <c r="T683" s="2901"/>
      <c r="U683" s="2901"/>
      <c r="V683" s="2901"/>
      <c r="W683" s="2901"/>
      <c r="X683" s="2901"/>
      <c r="Y683" s="2901"/>
      <c r="Z683" s="2901"/>
      <c r="AA683" s="2901"/>
      <c r="AB683" s="2901"/>
      <c r="AC683" s="2901"/>
      <c r="AD683" s="2901"/>
      <c r="AE683" s="2901"/>
      <c r="AF683" s="2901"/>
      <c r="AG683" s="2901"/>
      <c r="AH683" s="2901"/>
      <c r="AI683" s="2901"/>
      <c r="AJ683" s="2901"/>
      <c r="AK683" s="2901"/>
      <c r="AL683" s="2901"/>
      <c r="AM683" s="2901"/>
      <c r="AN683" s="2901"/>
      <c r="AO683" s="2901"/>
      <c r="AP683" s="2901"/>
      <c r="AQ683" s="2901"/>
      <c r="AR683" s="2901"/>
      <c r="AS683" s="2901"/>
      <c r="AT683" s="2901"/>
      <c r="AU683" s="1602"/>
    </row>
    <row r="684" spans="2:47" ht="13" customHeight="1">
      <c r="B684" s="2901" t="s">
        <v>622</v>
      </c>
      <c r="C684" s="2901"/>
      <c r="D684" s="2901"/>
      <c r="E684" s="2901"/>
      <c r="F684" s="2901"/>
      <c r="G684" s="2901"/>
      <c r="H684" s="2901"/>
      <c r="I684" s="2901"/>
      <c r="J684" s="2901"/>
      <c r="K684" s="2901"/>
      <c r="L684" s="2901"/>
      <c r="M684" s="2901"/>
      <c r="N684" s="2901"/>
      <c r="O684" s="2901"/>
      <c r="P684" s="2901"/>
      <c r="Q684" s="2901"/>
      <c r="R684" s="2901"/>
      <c r="S684" s="2901"/>
      <c r="T684" s="2901"/>
      <c r="U684" s="2901"/>
      <c r="V684" s="2901"/>
      <c r="W684" s="2901"/>
      <c r="X684" s="2901"/>
      <c r="Y684" s="2901"/>
      <c r="Z684" s="2901"/>
      <c r="AA684" s="2901"/>
      <c r="AB684" s="2901"/>
      <c r="AC684" s="2901"/>
      <c r="AD684" s="2901"/>
      <c r="AE684" s="2901"/>
      <c r="AF684" s="2901"/>
      <c r="AG684" s="2901"/>
      <c r="AH684" s="2901"/>
      <c r="AI684" s="2901"/>
      <c r="AJ684" s="2901"/>
      <c r="AK684" s="2901"/>
      <c r="AL684" s="2901"/>
      <c r="AM684" s="2901"/>
      <c r="AN684" s="2901"/>
      <c r="AO684" s="2901"/>
      <c r="AP684" s="2901"/>
      <c r="AQ684" s="2901"/>
      <c r="AR684" s="2901"/>
      <c r="AS684" s="2901"/>
      <c r="AT684" s="2901"/>
      <c r="AU684" s="1602"/>
    </row>
    <row r="685" spans="2:47" ht="13" customHeight="1">
      <c r="B685" s="2901" t="s">
        <v>623</v>
      </c>
      <c r="C685" s="2901"/>
      <c r="D685" s="2901"/>
      <c r="E685" s="2901"/>
      <c r="F685" s="2901"/>
      <c r="G685" s="2901"/>
      <c r="H685" s="2901"/>
      <c r="I685" s="2901"/>
      <c r="J685" s="2901"/>
      <c r="K685" s="2901"/>
      <c r="L685" s="2901"/>
      <c r="M685" s="2901"/>
      <c r="N685" s="2901"/>
      <c r="O685" s="2901"/>
      <c r="P685" s="2901"/>
      <c r="Q685" s="2901"/>
      <c r="R685" s="2901"/>
      <c r="S685" s="2901"/>
      <c r="T685" s="2901"/>
      <c r="U685" s="2901"/>
      <c r="V685" s="2901"/>
      <c r="W685" s="2901"/>
      <c r="X685" s="2901"/>
      <c r="Y685" s="2901"/>
      <c r="Z685" s="2901"/>
      <c r="AA685" s="2901"/>
      <c r="AB685" s="2901"/>
      <c r="AC685" s="2901"/>
      <c r="AD685" s="2901"/>
      <c r="AE685" s="2901"/>
      <c r="AF685" s="2901"/>
      <c r="AG685" s="2901"/>
      <c r="AH685" s="2901"/>
      <c r="AI685" s="2901"/>
      <c r="AJ685" s="2901"/>
      <c r="AK685" s="2901"/>
      <c r="AL685" s="2901"/>
      <c r="AM685" s="2901"/>
      <c r="AN685" s="2901"/>
      <c r="AO685" s="2901"/>
      <c r="AP685" s="2901"/>
      <c r="AQ685" s="2901"/>
      <c r="AR685" s="2901"/>
      <c r="AS685" s="2901"/>
      <c r="AT685" s="2901"/>
      <c r="AU685" s="1602"/>
    </row>
    <row r="686" spans="2:47" ht="13" customHeight="1">
      <c r="B686" s="2902" t="s">
        <v>624</v>
      </c>
      <c r="C686" s="2902"/>
      <c r="D686" s="2902"/>
      <c r="E686" s="2902"/>
      <c r="F686" s="2902"/>
      <c r="G686" s="2902"/>
      <c r="H686" s="2902"/>
      <c r="I686" s="2902"/>
      <c r="J686" s="2902"/>
      <c r="K686" s="2902"/>
      <c r="L686" s="2902"/>
      <c r="M686" s="2902"/>
      <c r="N686" s="2902"/>
      <c r="O686" s="2902"/>
      <c r="P686" s="2902"/>
      <c r="Q686" s="2902"/>
      <c r="R686" s="2902"/>
      <c r="S686" s="2902"/>
      <c r="T686" s="2902"/>
      <c r="U686" s="2902"/>
      <c r="V686" s="2902"/>
      <c r="W686" s="2902"/>
      <c r="X686" s="2902"/>
      <c r="Y686" s="2902"/>
      <c r="Z686" s="2902"/>
      <c r="AA686" s="2902"/>
      <c r="AB686" s="2902"/>
      <c r="AC686" s="2902"/>
      <c r="AD686" s="2902"/>
      <c r="AE686" s="2902"/>
      <c r="AF686" s="2902"/>
      <c r="AG686" s="2902"/>
      <c r="AH686" s="2902"/>
      <c r="AI686" s="2902"/>
      <c r="AJ686" s="2902"/>
      <c r="AK686" s="2902"/>
      <c r="AL686" s="2902"/>
      <c r="AM686" s="2902"/>
      <c r="AN686" s="2902"/>
      <c r="AO686" s="2902"/>
      <c r="AP686" s="2902"/>
      <c r="AQ686" s="2902"/>
      <c r="AR686" s="2902"/>
      <c r="AS686" s="2902"/>
      <c r="AT686" s="2902"/>
      <c r="AU686" s="1602"/>
    </row>
    <row r="687" spans="2:47" ht="13" customHeight="1">
      <c r="B687" s="2902" t="s">
        <v>625</v>
      </c>
      <c r="C687" s="2902"/>
      <c r="D687" s="2902"/>
      <c r="E687" s="2902"/>
      <c r="F687" s="2902"/>
      <c r="G687" s="2902"/>
      <c r="H687" s="2902"/>
      <c r="I687" s="2902"/>
      <c r="J687" s="2902"/>
      <c r="K687" s="2902"/>
      <c r="L687" s="2902"/>
      <c r="M687" s="2902"/>
      <c r="N687" s="2902"/>
      <c r="O687" s="2902"/>
      <c r="P687" s="2902"/>
      <c r="Q687" s="2902"/>
      <c r="R687" s="2902"/>
      <c r="S687" s="2902"/>
      <c r="T687" s="2902"/>
      <c r="U687" s="2902"/>
      <c r="V687" s="2902"/>
      <c r="W687" s="2902"/>
      <c r="X687" s="2902"/>
      <c r="Y687" s="2902"/>
      <c r="Z687" s="2902"/>
      <c r="AA687" s="2902"/>
      <c r="AB687" s="2902"/>
      <c r="AC687" s="2902"/>
      <c r="AD687" s="2902"/>
      <c r="AE687" s="2902"/>
      <c r="AF687" s="2902"/>
      <c r="AG687" s="2902"/>
      <c r="AH687" s="2902"/>
      <c r="AI687" s="2902"/>
      <c r="AJ687" s="2902"/>
      <c r="AK687" s="2902"/>
      <c r="AL687" s="2902"/>
      <c r="AM687" s="2902"/>
      <c r="AN687" s="2902"/>
      <c r="AO687" s="2902"/>
      <c r="AP687" s="2902"/>
      <c r="AQ687" s="2902"/>
      <c r="AR687" s="2902"/>
      <c r="AS687" s="2902"/>
      <c r="AT687" s="2902"/>
      <c r="AU687" s="1602"/>
    </row>
    <row r="688" spans="2:47" ht="13" customHeight="1">
      <c r="B688" s="2902" t="s">
        <v>548</v>
      </c>
      <c r="C688" s="2902"/>
      <c r="D688" s="2902"/>
      <c r="E688" s="2902"/>
      <c r="F688" s="2902"/>
      <c r="G688" s="2902"/>
      <c r="H688" s="2902"/>
      <c r="I688" s="2902"/>
      <c r="J688" s="2902"/>
      <c r="K688" s="2902"/>
      <c r="L688" s="2902"/>
      <c r="M688" s="2902"/>
      <c r="N688" s="2902"/>
      <c r="O688" s="2902"/>
      <c r="P688" s="2902"/>
      <c r="Q688" s="2902"/>
      <c r="R688" s="2902"/>
      <c r="S688" s="2902"/>
      <c r="T688" s="2902"/>
      <c r="U688" s="2902"/>
      <c r="V688" s="2902"/>
      <c r="W688" s="2902"/>
      <c r="X688" s="2902"/>
      <c r="Y688" s="2902"/>
      <c r="Z688" s="2902"/>
      <c r="AA688" s="2902"/>
      <c r="AB688" s="2902"/>
      <c r="AC688" s="2902"/>
      <c r="AD688" s="2902"/>
      <c r="AE688" s="2902"/>
      <c r="AF688" s="2902"/>
      <c r="AG688" s="2902"/>
      <c r="AH688" s="2902"/>
      <c r="AI688" s="2902"/>
      <c r="AJ688" s="2902"/>
      <c r="AK688" s="2902"/>
      <c r="AL688" s="2902"/>
      <c r="AM688" s="2902"/>
      <c r="AN688" s="2902"/>
      <c r="AO688" s="2902"/>
      <c r="AP688" s="2902"/>
      <c r="AQ688" s="2902"/>
      <c r="AR688" s="2902"/>
      <c r="AS688" s="2902"/>
      <c r="AT688" s="2902"/>
      <c r="AU688" s="1602"/>
    </row>
    <row r="689" spans="2:47" ht="13" customHeight="1">
      <c r="B689" s="2901" t="s">
        <v>626</v>
      </c>
      <c r="C689" s="2901"/>
      <c r="D689" s="2901"/>
      <c r="E689" s="2901"/>
      <c r="F689" s="2901"/>
      <c r="G689" s="2901"/>
      <c r="H689" s="2901"/>
      <c r="I689" s="2901"/>
      <c r="J689" s="2901"/>
      <c r="K689" s="2901"/>
      <c r="L689" s="2901"/>
      <c r="M689" s="2901"/>
      <c r="N689" s="2901"/>
      <c r="O689" s="2901"/>
      <c r="P689" s="2901"/>
      <c r="Q689" s="2901"/>
      <c r="R689" s="2901"/>
      <c r="S689" s="2901"/>
      <c r="T689" s="2901"/>
      <c r="U689" s="2901"/>
      <c r="V689" s="2901"/>
      <c r="W689" s="2901"/>
      <c r="X689" s="2901"/>
      <c r="Y689" s="2901"/>
      <c r="Z689" s="2901"/>
      <c r="AA689" s="2901"/>
      <c r="AB689" s="2901"/>
      <c r="AC689" s="2901"/>
      <c r="AD689" s="2901"/>
      <c r="AE689" s="2901"/>
      <c r="AF689" s="2901"/>
      <c r="AG689" s="2901"/>
      <c r="AH689" s="2901"/>
      <c r="AI689" s="2901"/>
      <c r="AJ689" s="2901"/>
      <c r="AK689" s="2901"/>
      <c r="AL689" s="2901"/>
      <c r="AM689" s="2901"/>
      <c r="AN689" s="2901"/>
      <c r="AO689" s="2901"/>
      <c r="AP689" s="2901"/>
      <c r="AQ689" s="2901"/>
      <c r="AR689" s="2901"/>
      <c r="AS689" s="2901"/>
      <c r="AT689" s="2901"/>
      <c r="AU689" s="1602"/>
    </row>
    <row r="690" spans="2:47" ht="13" customHeight="1">
      <c r="B690" s="2901" t="s">
        <v>627</v>
      </c>
      <c r="C690" s="2901"/>
      <c r="D690" s="2901"/>
      <c r="E690" s="2901"/>
      <c r="F690" s="2901"/>
      <c r="G690" s="2901"/>
      <c r="H690" s="2901"/>
      <c r="I690" s="2901"/>
      <c r="J690" s="2901"/>
      <c r="K690" s="2901"/>
      <c r="L690" s="2901"/>
      <c r="M690" s="2901"/>
      <c r="N690" s="2901"/>
      <c r="O690" s="2901"/>
      <c r="P690" s="2901"/>
      <c r="Q690" s="2901"/>
      <c r="R690" s="2901"/>
      <c r="S690" s="2901"/>
      <c r="T690" s="2901"/>
      <c r="U690" s="2901"/>
      <c r="V690" s="2901"/>
      <c r="W690" s="2901"/>
      <c r="X690" s="2901"/>
      <c r="Y690" s="2901"/>
      <c r="Z690" s="2901"/>
      <c r="AA690" s="2901"/>
      <c r="AB690" s="2901"/>
      <c r="AC690" s="2901"/>
      <c r="AD690" s="2901"/>
      <c r="AE690" s="2901"/>
      <c r="AF690" s="2901"/>
      <c r="AG690" s="2901"/>
      <c r="AH690" s="2901"/>
      <c r="AI690" s="2901"/>
      <c r="AJ690" s="2901"/>
      <c r="AK690" s="2901"/>
      <c r="AL690" s="2901"/>
      <c r="AM690" s="2901"/>
      <c r="AN690" s="2901"/>
      <c r="AO690" s="2901"/>
      <c r="AP690" s="2901"/>
      <c r="AQ690" s="2901"/>
      <c r="AR690" s="2901"/>
      <c r="AS690" s="2901"/>
      <c r="AT690" s="2901"/>
      <c r="AU690" s="1602"/>
    </row>
    <row r="691" spans="2:47" ht="13" customHeight="1">
      <c r="B691" s="2901" t="s">
        <v>628</v>
      </c>
      <c r="C691" s="2901"/>
      <c r="D691" s="2901"/>
      <c r="E691" s="2901"/>
      <c r="F691" s="2901"/>
      <c r="G691" s="2901"/>
      <c r="H691" s="2901"/>
      <c r="I691" s="2901"/>
      <c r="J691" s="2901"/>
      <c r="K691" s="2901"/>
      <c r="L691" s="2901"/>
      <c r="M691" s="2901"/>
      <c r="N691" s="2901"/>
      <c r="O691" s="2901"/>
      <c r="P691" s="2901"/>
      <c r="Q691" s="2901"/>
      <c r="R691" s="2901"/>
      <c r="S691" s="2901"/>
      <c r="T691" s="2901"/>
      <c r="U691" s="2901"/>
      <c r="V691" s="2901"/>
      <c r="W691" s="2901"/>
      <c r="X691" s="2901"/>
      <c r="Y691" s="2901"/>
      <c r="Z691" s="2901"/>
      <c r="AA691" s="2901"/>
      <c r="AB691" s="2901"/>
      <c r="AC691" s="2901"/>
      <c r="AD691" s="2901"/>
      <c r="AE691" s="2901"/>
      <c r="AF691" s="2901"/>
      <c r="AG691" s="2901"/>
      <c r="AH691" s="2901"/>
      <c r="AI691" s="2901"/>
      <c r="AJ691" s="2901"/>
      <c r="AK691" s="2901"/>
      <c r="AL691" s="2901"/>
      <c r="AM691" s="2901"/>
      <c r="AN691" s="2901"/>
      <c r="AO691" s="2901"/>
      <c r="AP691" s="2901"/>
      <c r="AQ691" s="2901"/>
      <c r="AR691" s="2901"/>
      <c r="AS691" s="2901"/>
      <c r="AT691" s="2901"/>
      <c r="AU691" s="1478"/>
    </row>
    <row r="692" spans="2:47" ht="13" customHeight="1">
      <c r="B692" s="2901" t="s">
        <v>629</v>
      </c>
      <c r="C692" s="2901"/>
      <c r="D692" s="2901"/>
      <c r="E692" s="2901"/>
      <c r="F692" s="2901"/>
      <c r="G692" s="2901"/>
      <c r="H692" s="2901"/>
      <c r="I692" s="2901"/>
      <c r="J692" s="2901"/>
      <c r="K692" s="2901"/>
      <c r="L692" s="2901"/>
      <c r="M692" s="2901"/>
      <c r="N692" s="2901"/>
      <c r="O692" s="2901"/>
      <c r="P692" s="2901"/>
      <c r="Q692" s="2901"/>
      <c r="R692" s="2901"/>
      <c r="S692" s="2901"/>
      <c r="T692" s="2901"/>
      <c r="U692" s="2901"/>
      <c r="V692" s="2901"/>
      <c r="W692" s="2901"/>
      <c r="X692" s="2901"/>
      <c r="Y692" s="2901"/>
      <c r="Z692" s="2901"/>
      <c r="AA692" s="2901"/>
      <c r="AB692" s="2901"/>
      <c r="AC692" s="2901"/>
      <c r="AD692" s="2901"/>
      <c r="AE692" s="2901"/>
      <c r="AF692" s="2901"/>
      <c r="AG692" s="2901"/>
      <c r="AH692" s="2901"/>
      <c r="AI692" s="2901"/>
      <c r="AJ692" s="2901"/>
      <c r="AK692" s="2901"/>
      <c r="AL692" s="2901"/>
      <c r="AM692" s="2901"/>
      <c r="AN692" s="2901"/>
      <c r="AO692" s="2901"/>
      <c r="AP692" s="2901"/>
      <c r="AQ692" s="2901"/>
      <c r="AR692" s="2901"/>
      <c r="AS692" s="2901"/>
      <c r="AT692" s="2901"/>
    </row>
    <row r="693" spans="2:47" ht="13" customHeight="1">
      <c r="B693" s="2901" t="s">
        <v>630</v>
      </c>
      <c r="C693" s="2901"/>
      <c r="D693" s="2901"/>
      <c r="E693" s="2901"/>
      <c r="F693" s="2901"/>
      <c r="G693" s="2901"/>
      <c r="H693" s="2901"/>
      <c r="I693" s="2901"/>
      <c r="J693" s="2901"/>
      <c r="K693" s="2901"/>
      <c r="L693" s="2901"/>
      <c r="M693" s="2901"/>
      <c r="N693" s="2901"/>
      <c r="O693" s="2901"/>
      <c r="P693" s="2901"/>
      <c r="Q693" s="2901"/>
      <c r="R693" s="2901"/>
      <c r="S693" s="2901"/>
      <c r="T693" s="2901"/>
      <c r="U693" s="2901"/>
      <c r="V693" s="2901"/>
      <c r="W693" s="2901"/>
      <c r="X693" s="2901"/>
      <c r="Y693" s="2901"/>
      <c r="Z693" s="2901"/>
      <c r="AA693" s="2901"/>
      <c r="AB693" s="2901"/>
      <c r="AC693" s="2901"/>
      <c r="AD693" s="2901"/>
      <c r="AE693" s="2901"/>
      <c r="AF693" s="2901"/>
      <c r="AG693" s="2901"/>
      <c r="AH693" s="2901"/>
      <c r="AI693" s="2901"/>
      <c r="AJ693" s="2901"/>
      <c r="AK693" s="2901"/>
      <c r="AL693" s="2901"/>
      <c r="AM693" s="2901"/>
      <c r="AN693" s="2901"/>
      <c r="AO693" s="2901"/>
      <c r="AP693" s="2901"/>
      <c r="AQ693" s="2901"/>
      <c r="AR693" s="2901"/>
      <c r="AS693" s="2901"/>
      <c r="AT693" s="2901"/>
    </row>
    <row r="694" spans="2:47" ht="13" customHeight="1">
      <c r="B694" s="2901" t="s">
        <v>631</v>
      </c>
      <c r="C694" s="2901"/>
      <c r="D694" s="2901"/>
      <c r="E694" s="2901"/>
      <c r="F694" s="2901"/>
      <c r="G694" s="2901"/>
      <c r="H694" s="2901"/>
      <c r="I694" s="2901"/>
      <c r="J694" s="2901"/>
      <c r="K694" s="2901"/>
      <c r="L694" s="2901"/>
      <c r="M694" s="2901"/>
      <c r="N694" s="2901"/>
      <c r="O694" s="2901"/>
      <c r="P694" s="2901"/>
      <c r="Q694" s="2901"/>
      <c r="R694" s="2901"/>
      <c r="S694" s="2901"/>
      <c r="T694" s="2901"/>
      <c r="U694" s="2901"/>
      <c r="V694" s="2901"/>
      <c r="W694" s="2901"/>
      <c r="X694" s="2901"/>
      <c r="Y694" s="2901"/>
      <c r="Z694" s="2901"/>
      <c r="AA694" s="2901"/>
      <c r="AB694" s="2901"/>
      <c r="AC694" s="2901"/>
      <c r="AD694" s="2901"/>
      <c r="AE694" s="2901"/>
      <c r="AF694" s="2901"/>
      <c r="AG694" s="2901"/>
      <c r="AH694" s="2901"/>
      <c r="AI694" s="2901"/>
      <c r="AJ694" s="2901"/>
      <c r="AK694" s="2901"/>
      <c r="AL694" s="2901"/>
      <c r="AM694" s="2901"/>
      <c r="AN694" s="2901"/>
      <c r="AO694" s="2901"/>
      <c r="AP694" s="2901"/>
      <c r="AQ694" s="2901"/>
      <c r="AR694" s="2901"/>
      <c r="AS694" s="2901"/>
      <c r="AT694" s="2901"/>
    </row>
    <row r="695" spans="2:47" ht="13" customHeight="1">
      <c r="B695" s="2901" t="s">
        <v>632</v>
      </c>
      <c r="C695" s="2901"/>
      <c r="D695" s="2901"/>
      <c r="E695" s="2901"/>
      <c r="F695" s="2901"/>
      <c r="G695" s="2901"/>
      <c r="H695" s="2901"/>
      <c r="I695" s="2901"/>
      <c r="J695" s="2901"/>
      <c r="K695" s="2901"/>
      <c r="L695" s="2901"/>
      <c r="M695" s="2901"/>
      <c r="N695" s="2901"/>
      <c r="O695" s="2901"/>
      <c r="P695" s="2901"/>
      <c r="Q695" s="2901"/>
      <c r="R695" s="2901"/>
      <c r="S695" s="2901"/>
      <c r="T695" s="2901"/>
      <c r="U695" s="2901"/>
      <c r="V695" s="2901"/>
      <c r="W695" s="2901"/>
      <c r="X695" s="2901"/>
      <c r="Y695" s="2901"/>
      <c r="Z695" s="2901"/>
      <c r="AA695" s="2901"/>
      <c r="AB695" s="2901"/>
      <c r="AC695" s="2901"/>
      <c r="AD695" s="2901"/>
      <c r="AE695" s="2901"/>
      <c r="AF695" s="2901"/>
      <c r="AG695" s="2901"/>
      <c r="AH695" s="2901"/>
      <c r="AI695" s="2901"/>
      <c r="AJ695" s="2901"/>
      <c r="AK695" s="2901"/>
      <c r="AL695" s="2901"/>
      <c r="AM695" s="2901"/>
      <c r="AN695" s="2901"/>
      <c r="AO695" s="2901"/>
      <c r="AP695" s="2901"/>
      <c r="AQ695" s="2901"/>
      <c r="AR695" s="2901"/>
      <c r="AS695" s="2901"/>
      <c r="AT695" s="2901"/>
      <c r="AU695" s="1478"/>
    </row>
    <row r="696" spans="2:47" ht="13" customHeight="1">
      <c r="B696" s="2901" t="s">
        <v>633</v>
      </c>
      <c r="C696" s="2901"/>
      <c r="D696" s="2901"/>
      <c r="E696" s="2901"/>
      <c r="F696" s="2901"/>
      <c r="G696" s="2901"/>
      <c r="H696" s="2901"/>
      <c r="I696" s="2901"/>
      <c r="J696" s="2901"/>
      <c r="K696" s="2901"/>
      <c r="L696" s="2901"/>
      <c r="M696" s="2901"/>
      <c r="N696" s="2901"/>
      <c r="O696" s="2901"/>
      <c r="P696" s="2901"/>
      <c r="Q696" s="2901"/>
      <c r="R696" s="2901"/>
      <c r="S696" s="2901"/>
      <c r="T696" s="2901"/>
      <c r="U696" s="2901"/>
      <c r="V696" s="2901"/>
      <c r="W696" s="2901"/>
      <c r="X696" s="2901"/>
      <c r="Y696" s="2901"/>
      <c r="Z696" s="2901"/>
      <c r="AA696" s="2901"/>
      <c r="AB696" s="2901"/>
      <c r="AC696" s="2901"/>
      <c r="AD696" s="2901"/>
      <c r="AE696" s="2901"/>
      <c r="AF696" s="2901"/>
      <c r="AG696" s="2901"/>
      <c r="AH696" s="2901"/>
      <c r="AI696" s="2901"/>
      <c r="AJ696" s="2901"/>
      <c r="AK696" s="2901"/>
      <c r="AL696" s="2901"/>
      <c r="AM696" s="2901"/>
      <c r="AN696" s="2901"/>
      <c r="AO696" s="2901"/>
      <c r="AP696" s="2901"/>
      <c r="AQ696" s="2901"/>
      <c r="AR696" s="2901"/>
      <c r="AS696" s="2901"/>
      <c r="AT696" s="2901"/>
      <c r="AU696" s="1478"/>
    </row>
    <row r="697" spans="2:47" ht="13" customHeight="1">
      <c r="B697" s="2901" t="s">
        <v>634</v>
      </c>
      <c r="C697" s="2901"/>
      <c r="D697" s="2901"/>
      <c r="E697" s="2901"/>
      <c r="F697" s="2901"/>
      <c r="G697" s="2901"/>
      <c r="H697" s="2901"/>
      <c r="I697" s="2901"/>
      <c r="J697" s="2901"/>
      <c r="K697" s="2901"/>
      <c r="L697" s="2901"/>
      <c r="M697" s="2901"/>
      <c r="N697" s="2901"/>
      <c r="O697" s="2901"/>
      <c r="P697" s="2901"/>
      <c r="Q697" s="2901"/>
      <c r="R697" s="2901"/>
      <c r="S697" s="2901"/>
      <c r="T697" s="2901"/>
      <c r="U697" s="2901"/>
      <c r="V697" s="2901"/>
      <c r="W697" s="2901"/>
      <c r="X697" s="2901"/>
      <c r="Y697" s="2901"/>
      <c r="Z697" s="2901"/>
      <c r="AA697" s="2901"/>
      <c r="AB697" s="2901"/>
      <c r="AC697" s="2901"/>
      <c r="AD697" s="2901"/>
      <c r="AE697" s="2901"/>
      <c r="AF697" s="2901"/>
      <c r="AG697" s="2901"/>
      <c r="AH697" s="2901"/>
      <c r="AI697" s="2901"/>
      <c r="AJ697" s="2901"/>
      <c r="AK697" s="2901"/>
      <c r="AL697" s="2901"/>
      <c r="AM697" s="2901"/>
      <c r="AN697" s="2901"/>
      <c r="AO697" s="2901"/>
      <c r="AP697" s="2901"/>
      <c r="AQ697" s="2901"/>
      <c r="AR697" s="2901"/>
      <c r="AS697" s="2901"/>
      <c r="AT697" s="2901"/>
    </row>
    <row r="698" spans="2:47" ht="13" customHeight="1">
      <c r="B698" s="2904" t="s">
        <v>635</v>
      </c>
      <c r="C698" s="2904"/>
      <c r="D698" s="2904"/>
      <c r="E698" s="2904"/>
      <c r="F698" s="2904"/>
      <c r="G698" s="2904"/>
      <c r="H698" s="2904"/>
      <c r="I698" s="2904"/>
      <c r="J698" s="2904"/>
      <c r="K698" s="2904"/>
      <c r="L698" s="2904"/>
      <c r="M698" s="2904"/>
      <c r="N698" s="2904"/>
      <c r="O698" s="2904"/>
      <c r="P698" s="2904"/>
      <c r="Q698" s="2904"/>
      <c r="R698" s="2904"/>
      <c r="S698" s="2904"/>
      <c r="T698" s="2904"/>
      <c r="U698" s="2904"/>
      <c r="V698" s="2904"/>
      <c r="W698" s="2904"/>
      <c r="X698" s="2904"/>
      <c r="Y698" s="2904"/>
      <c r="Z698" s="2904"/>
      <c r="AA698" s="2904"/>
      <c r="AB698" s="2904"/>
      <c r="AC698" s="2904"/>
      <c r="AD698" s="2904"/>
      <c r="AE698" s="2904"/>
      <c r="AF698" s="2904"/>
      <c r="AG698" s="2904"/>
      <c r="AH698" s="2904"/>
      <c r="AI698" s="2904"/>
      <c r="AJ698" s="2904"/>
      <c r="AK698" s="2904"/>
      <c r="AL698" s="2904"/>
      <c r="AM698" s="2904"/>
      <c r="AN698" s="2904"/>
      <c r="AO698" s="2904"/>
      <c r="AP698" s="2904"/>
      <c r="AQ698" s="2904"/>
      <c r="AR698" s="2904"/>
      <c r="AS698" s="2904"/>
      <c r="AT698" s="2904"/>
    </row>
    <row r="699" spans="2:47" ht="13" customHeight="1">
      <c r="B699" s="2904" t="s">
        <v>636</v>
      </c>
      <c r="C699" s="2904"/>
      <c r="D699" s="2904"/>
      <c r="E699" s="2904"/>
      <c r="F699" s="2904"/>
      <c r="G699" s="2904"/>
      <c r="H699" s="2904"/>
      <c r="I699" s="2904"/>
      <c r="J699" s="2904"/>
      <c r="K699" s="2904"/>
      <c r="L699" s="2904"/>
      <c r="M699" s="2904"/>
      <c r="N699" s="2904"/>
      <c r="O699" s="2904"/>
      <c r="P699" s="2904"/>
      <c r="Q699" s="2904"/>
      <c r="R699" s="2904"/>
      <c r="S699" s="2904"/>
      <c r="T699" s="2904"/>
      <c r="U699" s="2904"/>
      <c r="V699" s="2904"/>
      <c r="W699" s="2904"/>
      <c r="X699" s="2904"/>
      <c r="Y699" s="2904"/>
      <c r="Z699" s="2904"/>
      <c r="AA699" s="2904"/>
      <c r="AB699" s="2904"/>
      <c r="AC699" s="2904"/>
      <c r="AD699" s="2904"/>
      <c r="AE699" s="2904"/>
      <c r="AF699" s="2904"/>
      <c r="AG699" s="2904"/>
      <c r="AH699" s="2904"/>
      <c r="AI699" s="2904"/>
      <c r="AJ699" s="2904"/>
      <c r="AK699" s="2904"/>
      <c r="AL699" s="2904"/>
      <c r="AM699" s="2904"/>
      <c r="AN699" s="2904"/>
      <c r="AO699" s="2904"/>
      <c r="AP699" s="2904"/>
      <c r="AQ699" s="2904"/>
      <c r="AR699" s="2904"/>
      <c r="AS699" s="2904"/>
      <c r="AT699" s="2904"/>
    </row>
    <row r="700" spans="2:47" ht="13" customHeight="1">
      <c r="B700" s="2901" t="s">
        <v>637</v>
      </c>
      <c r="C700" s="2901"/>
      <c r="D700" s="2901"/>
      <c r="E700" s="2901"/>
      <c r="F700" s="2901"/>
      <c r="G700" s="2901"/>
      <c r="H700" s="2901"/>
      <c r="I700" s="2901"/>
      <c r="J700" s="2901"/>
      <c r="K700" s="2901"/>
      <c r="L700" s="2901"/>
      <c r="M700" s="2901"/>
      <c r="N700" s="2901"/>
      <c r="O700" s="2901"/>
      <c r="P700" s="2901"/>
      <c r="Q700" s="2901"/>
      <c r="R700" s="2901"/>
      <c r="S700" s="2901"/>
      <c r="T700" s="2901"/>
      <c r="U700" s="2901"/>
      <c r="V700" s="2901"/>
      <c r="W700" s="2901"/>
      <c r="X700" s="2901"/>
      <c r="Y700" s="2901"/>
      <c r="Z700" s="2901"/>
      <c r="AA700" s="2901"/>
      <c r="AB700" s="2901"/>
      <c r="AC700" s="2901"/>
      <c r="AD700" s="2901"/>
      <c r="AE700" s="2901"/>
      <c r="AF700" s="2901"/>
      <c r="AG700" s="2901"/>
      <c r="AH700" s="2901"/>
      <c r="AI700" s="2901"/>
      <c r="AJ700" s="2901"/>
      <c r="AK700" s="2901"/>
      <c r="AL700" s="2901"/>
      <c r="AM700" s="2901"/>
      <c r="AN700" s="2901"/>
      <c r="AO700" s="2901"/>
      <c r="AP700" s="2901"/>
      <c r="AQ700" s="2901"/>
      <c r="AR700" s="2901"/>
      <c r="AS700" s="2901"/>
      <c r="AT700" s="2901"/>
      <c r="AU700" s="1602"/>
    </row>
    <row r="701" spans="2:47" ht="13" customHeight="1">
      <c r="B701" s="2904" t="s">
        <v>638</v>
      </c>
      <c r="C701" s="2904"/>
      <c r="D701" s="2904"/>
      <c r="E701" s="2904"/>
      <c r="F701" s="2904"/>
      <c r="G701" s="2904"/>
      <c r="H701" s="2904"/>
      <c r="I701" s="2904"/>
      <c r="J701" s="2904"/>
      <c r="K701" s="2904"/>
      <c r="L701" s="2904"/>
      <c r="M701" s="2904"/>
      <c r="N701" s="2904"/>
      <c r="O701" s="2904"/>
      <c r="P701" s="2904"/>
      <c r="Q701" s="2904"/>
      <c r="R701" s="2904"/>
      <c r="S701" s="2904"/>
      <c r="T701" s="2904"/>
      <c r="U701" s="2904"/>
      <c r="V701" s="2904"/>
      <c r="W701" s="2904"/>
      <c r="X701" s="2904"/>
      <c r="Y701" s="2904"/>
      <c r="Z701" s="2904"/>
      <c r="AA701" s="2904"/>
      <c r="AB701" s="2904"/>
      <c r="AC701" s="2904"/>
      <c r="AD701" s="2904"/>
      <c r="AE701" s="2904"/>
      <c r="AF701" s="2904"/>
      <c r="AG701" s="2904"/>
      <c r="AH701" s="2904"/>
      <c r="AI701" s="2904"/>
      <c r="AJ701" s="2904"/>
      <c r="AK701" s="2904"/>
      <c r="AL701" s="2904"/>
      <c r="AM701" s="2904"/>
      <c r="AN701" s="2904"/>
      <c r="AO701" s="2904"/>
      <c r="AP701" s="2904"/>
      <c r="AQ701" s="2904"/>
      <c r="AR701" s="2904"/>
      <c r="AS701" s="2904"/>
      <c r="AT701" s="2904"/>
    </row>
    <row r="702" spans="2:47" ht="13" customHeight="1">
      <c r="B702" s="2904" t="s">
        <v>639</v>
      </c>
      <c r="C702" s="2904"/>
      <c r="D702" s="2904"/>
      <c r="E702" s="2904"/>
      <c r="F702" s="2904"/>
      <c r="G702" s="2904"/>
      <c r="H702" s="2904"/>
      <c r="I702" s="2904"/>
      <c r="J702" s="2904"/>
      <c r="K702" s="2904"/>
      <c r="L702" s="2904"/>
      <c r="M702" s="2904"/>
      <c r="N702" s="2904"/>
      <c r="O702" s="2904"/>
      <c r="P702" s="2904"/>
      <c r="Q702" s="2904"/>
      <c r="R702" s="2904"/>
      <c r="S702" s="2904"/>
      <c r="T702" s="2904"/>
      <c r="U702" s="2904"/>
      <c r="V702" s="2904"/>
      <c r="W702" s="2904"/>
      <c r="X702" s="2904"/>
      <c r="Y702" s="2904"/>
      <c r="Z702" s="2904"/>
      <c r="AA702" s="2904"/>
      <c r="AB702" s="2904"/>
      <c r="AC702" s="2904"/>
      <c r="AD702" s="2904"/>
      <c r="AE702" s="2904"/>
      <c r="AF702" s="2904"/>
      <c r="AG702" s="2904"/>
      <c r="AH702" s="2904"/>
      <c r="AI702" s="2904"/>
      <c r="AJ702" s="2904"/>
      <c r="AK702" s="2904"/>
      <c r="AL702" s="2904"/>
      <c r="AM702" s="2904"/>
      <c r="AN702" s="2904"/>
      <c r="AO702" s="2904"/>
      <c r="AP702" s="2904"/>
      <c r="AQ702" s="2904"/>
      <c r="AR702" s="2904"/>
      <c r="AS702" s="2904"/>
      <c r="AT702" s="2904"/>
    </row>
    <row r="703" spans="2:47" ht="13" customHeight="1">
      <c r="B703" s="2904" t="s">
        <v>640</v>
      </c>
      <c r="C703" s="2904"/>
      <c r="D703" s="2904"/>
      <c r="E703" s="2904"/>
      <c r="F703" s="2904"/>
      <c r="G703" s="2904"/>
      <c r="H703" s="2904"/>
      <c r="I703" s="2904"/>
      <c r="J703" s="2904"/>
      <c r="K703" s="2904"/>
      <c r="L703" s="2904"/>
      <c r="M703" s="2904"/>
      <c r="N703" s="2904"/>
      <c r="O703" s="2904"/>
      <c r="P703" s="2904"/>
      <c r="Q703" s="2904"/>
      <c r="R703" s="2904"/>
      <c r="S703" s="2904"/>
      <c r="T703" s="2904"/>
      <c r="U703" s="2904"/>
      <c r="V703" s="2904"/>
      <c r="W703" s="2904"/>
      <c r="X703" s="2904"/>
      <c r="Y703" s="2904"/>
      <c r="Z703" s="2904"/>
      <c r="AA703" s="2904"/>
      <c r="AB703" s="2904"/>
      <c r="AC703" s="2904"/>
      <c r="AD703" s="2904"/>
      <c r="AE703" s="2904"/>
      <c r="AF703" s="2904"/>
      <c r="AG703" s="2904"/>
      <c r="AH703" s="2904"/>
      <c r="AI703" s="2904"/>
      <c r="AJ703" s="2904"/>
      <c r="AK703" s="2904"/>
      <c r="AL703" s="2904"/>
      <c r="AM703" s="2904"/>
      <c r="AN703" s="2904"/>
      <c r="AO703" s="2904"/>
      <c r="AP703" s="2904"/>
      <c r="AQ703" s="2904"/>
      <c r="AR703" s="2904"/>
      <c r="AS703" s="2904"/>
      <c r="AT703" s="2904"/>
    </row>
    <row r="704" spans="2:47" ht="13" customHeight="1">
      <c r="B704" s="2901" t="s">
        <v>641</v>
      </c>
      <c r="C704" s="2901"/>
      <c r="D704" s="2901"/>
      <c r="E704" s="2901"/>
      <c r="F704" s="2901"/>
      <c r="G704" s="2901"/>
      <c r="H704" s="2901"/>
      <c r="I704" s="2901"/>
      <c r="J704" s="2901"/>
      <c r="K704" s="2901"/>
      <c r="L704" s="2901"/>
      <c r="M704" s="2901"/>
      <c r="N704" s="2901"/>
      <c r="O704" s="2901"/>
      <c r="P704" s="2901"/>
      <c r="Q704" s="2901"/>
      <c r="R704" s="2901"/>
      <c r="S704" s="2901"/>
      <c r="T704" s="2901"/>
      <c r="U704" s="2901"/>
      <c r="V704" s="2901"/>
      <c r="W704" s="2901"/>
      <c r="X704" s="2901"/>
      <c r="Y704" s="2901"/>
      <c r="Z704" s="2901"/>
      <c r="AA704" s="2901"/>
      <c r="AB704" s="2901"/>
      <c r="AC704" s="2901"/>
      <c r="AD704" s="2901"/>
      <c r="AE704" s="2901"/>
      <c r="AF704" s="2901"/>
      <c r="AG704" s="2901"/>
      <c r="AH704" s="2901"/>
      <c r="AI704" s="2901"/>
      <c r="AJ704" s="2901"/>
      <c r="AK704" s="2901"/>
      <c r="AL704" s="2901"/>
      <c r="AM704" s="2901"/>
      <c r="AN704" s="2901"/>
      <c r="AO704" s="2901"/>
      <c r="AP704" s="2901"/>
      <c r="AQ704" s="2901"/>
      <c r="AR704" s="2901"/>
      <c r="AS704" s="2901"/>
      <c r="AT704" s="2901"/>
      <c r="AU704" s="1602"/>
    </row>
    <row r="705" spans="2:46" ht="13" customHeight="1">
      <c r="B705" s="2904" t="s">
        <v>642</v>
      </c>
      <c r="C705" s="2904"/>
      <c r="D705" s="2904"/>
      <c r="E705" s="2904"/>
      <c r="F705" s="2904"/>
      <c r="G705" s="2904"/>
      <c r="H705" s="2904"/>
      <c r="I705" s="2904"/>
      <c r="J705" s="2904"/>
      <c r="K705" s="2904"/>
      <c r="L705" s="2904"/>
      <c r="M705" s="2904"/>
      <c r="N705" s="2904"/>
      <c r="O705" s="2904"/>
      <c r="P705" s="2904"/>
      <c r="Q705" s="2904"/>
      <c r="R705" s="2904"/>
      <c r="S705" s="2904"/>
      <c r="T705" s="2904"/>
      <c r="U705" s="2904"/>
      <c r="V705" s="2904"/>
      <c r="W705" s="2904"/>
      <c r="X705" s="2904"/>
      <c r="Y705" s="2904"/>
      <c r="Z705" s="2904"/>
      <c r="AA705" s="2904"/>
      <c r="AB705" s="2904"/>
      <c r="AC705" s="2904"/>
      <c r="AD705" s="2904"/>
      <c r="AE705" s="2904"/>
      <c r="AF705" s="2904"/>
      <c r="AG705" s="2904"/>
      <c r="AH705" s="2904"/>
      <c r="AI705" s="2904"/>
      <c r="AJ705" s="2904"/>
      <c r="AK705" s="2904"/>
      <c r="AL705" s="2904"/>
      <c r="AM705" s="2904"/>
      <c r="AN705" s="2904"/>
      <c r="AO705" s="2904"/>
      <c r="AP705" s="2904"/>
      <c r="AQ705" s="2904"/>
      <c r="AR705" s="2904"/>
      <c r="AS705" s="2904"/>
      <c r="AT705" s="2904"/>
    </row>
    <row r="706" spans="2:46" ht="13" customHeight="1">
      <c r="B706" s="2904" t="s">
        <v>643</v>
      </c>
      <c r="C706" s="2904"/>
      <c r="D706" s="2904"/>
      <c r="E706" s="2904"/>
      <c r="F706" s="2904"/>
      <c r="G706" s="2904"/>
      <c r="H706" s="2904"/>
      <c r="I706" s="2904"/>
      <c r="J706" s="2904"/>
      <c r="K706" s="2904"/>
      <c r="L706" s="2904"/>
      <c r="M706" s="2904"/>
      <c r="N706" s="2904"/>
      <c r="O706" s="2904"/>
      <c r="P706" s="2904"/>
      <c r="Q706" s="2904"/>
      <c r="R706" s="2904"/>
      <c r="S706" s="2904"/>
      <c r="T706" s="2904"/>
      <c r="U706" s="2904"/>
      <c r="V706" s="2904"/>
      <c r="W706" s="2904"/>
      <c r="X706" s="2904"/>
      <c r="Y706" s="2904"/>
      <c r="Z706" s="2904"/>
      <c r="AA706" s="2904"/>
      <c r="AB706" s="2904"/>
      <c r="AC706" s="2904"/>
      <c r="AD706" s="2904"/>
      <c r="AE706" s="2904"/>
      <c r="AF706" s="2904"/>
      <c r="AG706" s="2904"/>
      <c r="AH706" s="2904"/>
      <c r="AI706" s="2904"/>
      <c r="AJ706" s="2904"/>
      <c r="AK706" s="2904"/>
      <c r="AL706" s="2904"/>
      <c r="AM706" s="2904"/>
      <c r="AN706" s="2904"/>
      <c r="AO706" s="2904"/>
      <c r="AP706" s="2904"/>
      <c r="AQ706" s="2904"/>
      <c r="AR706" s="2904"/>
      <c r="AS706" s="2904"/>
      <c r="AT706" s="2904"/>
    </row>
    <row r="707" spans="2:46" ht="13" customHeight="1">
      <c r="B707" s="2904" t="s">
        <v>644</v>
      </c>
      <c r="C707" s="2904"/>
      <c r="D707" s="2904"/>
      <c r="E707" s="2904"/>
      <c r="F707" s="2904"/>
      <c r="G707" s="2904"/>
      <c r="H707" s="2904"/>
      <c r="I707" s="2904"/>
      <c r="J707" s="2904"/>
      <c r="K707" s="2904"/>
      <c r="L707" s="2904"/>
      <c r="M707" s="2904"/>
      <c r="N707" s="2904"/>
      <c r="O707" s="2904"/>
      <c r="P707" s="2904"/>
      <c r="Q707" s="2904"/>
      <c r="R707" s="2904"/>
      <c r="S707" s="2904"/>
      <c r="T707" s="2904"/>
      <c r="U707" s="2904"/>
      <c r="V707" s="2904"/>
      <c r="W707" s="2904"/>
      <c r="X707" s="2904"/>
      <c r="Y707" s="2904"/>
      <c r="Z707" s="2904"/>
      <c r="AA707" s="2904"/>
      <c r="AB707" s="2904"/>
      <c r="AC707" s="2904"/>
      <c r="AD707" s="2904"/>
      <c r="AE707" s="2904"/>
      <c r="AF707" s="2904"/>
      <c r="AG707" s="2904"/>
      <c r="AH707" s="2904"/>
      <c r="AI707" s="2904"/>
      <c r="AJ707" s="2904"/>
      <c r="AK707" s="2904"/>
      <c r="AL707" s="2904"/>
      <c r="AM707" s="2904"/>
      <c r="AN707" s="2904"/>
      <c r="AO707" s="2904"/>
      <c r="AP707" s="2904"/>
      <c r="AQ707" s="2904"/>
      <c r="AR707" s="2904"/>
      <c r="AS707" s="2904"/>
      <c r="AT707" s="2904"/>
    </row>
    <row r="708" spans="2:46" ht="13" customHeight="1">
      <c r="B708" s="2904" t="s">
        <v>645</v>
      </c>
      <c r="C708" s="2904"/>
      <c r="D708" s="2904"/>
      <c r="E708" s="2904"/>
      <c r="F708" s="2904"/>
      <c r="G708" s="2904"/>
      <c r="H708" s="2904"/>
      <c r="I708" s="2904"/>
      <c r="J708" s="2904"/>
      <c r="K708" s="2904"/>
      <c r="L708" s="2904"/>
      <c r="M708" s="2904"/>
      <c r="N708" s="2904"/>
      <c r="O708" s="2904"/>
      <c r="P708" s="2904"/>
      <c r="Q708" s="2904"/>
      <c r="R708" s="2904"/>
      <c r="S708" s="2904"/>
      <c r="T708" s="2904"/>
      <c r="U708" s="2904"/>
      <c r="V708" s="2904"/>
      <c r="W708" s="2904"/>
      <c r="X708" s="2904"/>
      <c r="Y708" s="2904"/>
      <c r="Z708" s="2904"/>
      <c r="AA708" s="2904"/>
      <c r="AB708" s="2904"/>
      <c r="AC708" s="2904"/>
      <c r="AD708" s="2904"/>
      <c r="AE708" s="2904"/>
      <c r="AF708" s="2904"/>
      <c r="AG708" s="2904"/>
      <c r="AH708" s="2904"/>
      <c r="AI708" s="2904"/>
      <c r="AJ708" s="2904"/>
      <c r="AK708" s="2904"/>
      <c r="AL708" s="2904"/>
      <c r="AM708" s="2904"/>
      <c r="AN708" s="2904"/>
      <c r="AO708" s="2904"/>
      <c r="AP708" s="2904"/>
      <c r="AQ708" s="2904"/>
      <c r="AR708" s="2904"/>
      <c r="AS708" s="2904"/>
      <c r="AT708" s="2904"/>
    </row>
    <row r="709" spans="2:46" ht="13" customHeight="1">
      <c r="B709" s="2904" t="s">
        <v>646</v>
      </c>
      <c r="C709" s="2904"/>
      <c r="D709" s="2904"/>
      <c r="E709" s="2904"/>
      <c r="F709" s="2904"/>
      <c r="G709" s="2904"/>
      <c r="H709" s="2904"/>
      <c r="I709" s="2904"/>
      <c r="J709" s="2904"/>
      <c r="K709" s="2904"/>
      <c r="L709" s="2904"/>
      <c r="M709" s="2904"/>
      <c r="N709" s="2904"/>
      <c r="O709" s="2904"/>
      <c r="P709" s="2904"/>
      <c r="Q709" s="2904"/>
      <c r="R709" s="2904"/>
      <c r="S709" s="2904"/>
      <c r="T709" s="2904"/>
      <c r="U709" s="2904"/>
      <c r="V709" s="2904"/>
      <c r="W709" s="2904"/>
      <c r="X709" s="2904"/>
      <c r="Y709" s="2904"/>
      <c r="Z709" s="2904"/>
      <c r="AA709" s="2904"/>
      <c r="AB709" s="2904"/>
      <c r="AC709" s="2904"/>
      <c r="AD709" s="2904"/>
      <c r="AE709" s="2904"/>
      <c r="AF709" s="2904"/>
      <c r="AG709" s="2904"/>
      <c r="AH709" s="2904"/>
      <c r="AI709" s="2904"/>
      <c r="AJ709" s="2904"/>
      <c r="AK709" s="2904"/>
      <c r="AL709" s="2904"/>
      <c r="AM709" s="2904"/>
      <c r="AN709" s="2904"/>
      <c r="AO709" s="2904"/>
      <c r="AP709" s="2904"/>
      <c r="AQ709" s="2904"/>
      <c r="AR709" s="2904"/>
      <c r="AS709" s="2904"/>
      <c r="AT709" s="2904"/>
    </row>
    <row r="710" spans="2:46" ht="13" customHeight="1">
      <c r="B710" s="2901" t="s">
        <v>647</v>
      </c>
      <c r="C710" s="2901"/>
      <c r="D710" s="2901"/>
      <c r="E710" s="2901"/>
      <c r="F710" s="2901"/>
      <c r="G710" s="2901"/>
      <c r="H710" s="2901"/>
      <c r="I710" s="2901"/>
      <c r="J710" s="2901"/>
      <c r="K710" s="2901"/>
      <c r="L710" s="2901"/>
      <c r="M710" s="2901"/>
      <c r="N710" s="2901"/>
      <c r="O710" s="2901"/>
      <c r="P710" s="2901"/>
      <c r="Q710" s="2901"/>
      <c r="R710" s="2901"/>
      <c r="S710" s="2901"/>
      <c r="T710" s="2901"/>
      <c r="U710" s="2901"/>
      <c r="V710" s="2901"/>
      <c r="W710" s="2901"/>
      <c r="X710" s="2901"/>
      <c r="Y710" s="2901"/>
      <c r="Z710" s="2901"/>
      <c r="AA710" s="2901"/>
      <c r="AB710" s="2901"/>
      <c r="AC710" s="2901"/>
      <c r="AD710" s="2901"/>
      <c r="AE710" s="2901"/>
      <c r="AF710" s="2901"/>
      <c r="AG710" s="2901"/>
      <c r="AH710" s="2901"/>
      <c r="AI710" s="2901"/>
      <c r="AJ710" s="2901"/>
      <c r="AK710" s="2901"/>
      <c r="AL710" s="2901"/>
      <c r="AM710" s="2901"/>
      <c r="AN710" s="2901"/>
      <c r="AO710" s="2901"/>
      <c r="AP710" s="2901"/>
      <c r="AQ710" s="2901"/>
      <c r="AR710" s="2901"/>
      <c r="AS710" s="2901"/>
      <c r="AT710" s="2901"/>
    </row>
    <row r="711" spans="2:46" ht="13" customHeight="1">
      <c r="B711" s="2904" t="s">
        <v>648</v>
      </c>
      <c r="C711" s="2904"/>
      <c r="D711" s="2904"/>
      <c r="E711" s="2904"/>
      <c r="F711" s="2904"/>
      <c r="G711" s="2904"/>
      <c r="H711" s="2904"/>
      <c r="I711" s="2904"/>
      <c r="J711" s="2904"/>
      <c r="K711" s="2904"/>
      <c r="L711" s="2904"/>
      <c r="M711" s="2904"/>
      <c r="N711" s="2904"/>
      <c r="O711" s="2904"/>
      <c r="P711" s="2904"/>
      <c r="Q711" s="2904"/>
      <c r="R711" s="2904"/>
      <c r="S711" s="2904"/>
      <c r="T711" s="2904"/>
      <c r="U711" s="2904"/>
      <c r="V711" s="2904"/>
      <c r="W711" s="2904"/>
      <c r="X711" s="2904"/>
      <c r="Y711" s="2904"/>
      <c r="Z711" s="2904"/>
      <c r="AA711" s="2904"/>
      <c r="AB711" s="2904"/>
      <c r="AC711" s="2904"/>
      <c r="AD711" s="2904"/>
      <c r="AE711" s="2904"/>
      <c r="AF711" s="2904"/>
      <c r="AG711" s="2904"/>
      <c r="AH711" s="2904"/>
      <c r="AI711" s="2904"/>
      <c r="AJ711" s="2904"/>
      <c r="AK711" s="2904"/>
      <c r="AL711" s="2904"/>
      <c r="AM711" s="2904"/>
      <c r="AN711" s="2904"/>
      <c r="AO711" s="2904"/>
      <c r="AP711" s="2904"/>
      <c r="AQ711" s="2904"/>
      <c r="AR711" s="2904"/>
      <c r="AS711" s="2904"/>
      <c r="AT711" s="2904"/>
    </row>
    <row r="712" spans="2:46" ht="13" customHeight="1">
      <c r="B712" s="2904" t="s">
        <v>649</v>
      </c>
      <c r="C712" s="2904"/>
      <c r="D712" s="2904"/>
      <c r="E712" s="2904"/>
      <c r="F712" s="2904"/>
      <c r="G712" s="2904"/>
      <c r="H712" s="2904"/>
      <c r="I712" s="2904"/>
      <c r="J712" s="2904"/>
      <c r="K712" s="2904"/>
      <c r="L712" s="2904"/>
      <c r="M712" s="2904"/>
      <c r="N712" s="2904"/>
      <c r="O712" s="2904"/>
      <c r="P712" s="2904"/>
      <c r="Q712" s="2904"/>
      <c r="R712" s="2904"/>
      <c r="S712" s="2904"/>
      <c r="T712" s="2904"/>
      <c r="U712" s="2904"/>
      <c r="V712" s="2904"/>
      <c r="W712" s="2904"/>
      <c r="X712" s="2904"/>
      <c r="Y712" s="2904"/>
      <c r="Z712" s="2904"/>
      <c r="AA712" s="2904"/>
      <c r="AB712" s="2904"/>
      <c r="AC712" s="2904"/>
      <c r="AD712" s="2904"/>
      <c r="AE712" s="2904"/>
      <c r="AF712" s="2904"/>
      <c r="AG712" s="2904"/>
      <c r="AH712" s="2904"/>
      <c r="AI712" s="2904"/>
      <c r="AJ712" s="2904"/>
      <c r="AK712" s="2904"/>
      <c r="AL712" s="2904"/>
      <c r="AM712" s="2904"/>
      <c r="AN712" s="2904"/>
      <c r="AO712" s="2904"/>
      <c r="AP712" s="2904"/>
      <c r="AQ712" s="2904"/>
      <c r="AR712" s="2904"/>
      <c r="AS712" s="2904"/>
      <c r="AT712" s="2904"/>
    </row>
    <row r="713" spans="2:46" ht="13" customHeight="1">
      <c r="B713" s="2904" t="s">
        <v>650</v>
      </c>
      <c r="C713" s="2904"/>
      <c r="D713" s="2904"/>
      <c r="E713" s="2904"/>
      <c r="F713" s="2904"/>
      <c r="G713" s="2904"/>
      <c r="H713" s="2904"/>
      <c r="I713" s="2904"/>
      <c r="J713" s="2904"/>
      <c r="K713" s="2904"/>
      <c r="L713" s="2904"/>
      <c r="M713" s="2904"/>
      <c r="N713" s="2904"/>
      <c r="O713" s="2904"/>
      <c r="P713" s="2904"/>
      <c r="Q713" s="2904"/>
      <c r="R713" s="2904"/>
      <c r="S713" s="2904"/>
      <c r="T713" s="2904"/>
      <c r="U713" s="2904"/>
      <c r="V713" s="2904"/>
      <c r="W713" s="2904"/>
      <c r="X713" s="2904"/>
      <c r="Y713" s="2904"/>
      <c r="Z713" s="2904"/>
      <c r="AA713" s="2904"/>
      <c r="AB713" s="2904"/>
      <c r="AC713" s="2904"/>
      <c r="AD713" s="2904"/>
      <c r="AE713" s="2904"/>
      <c r="AF713" s="2904"/>
      <c r="AG713" s="2904"/>
      <c r="AH713" s="2904"/>
      <c r="AI713" s="2904"/>
      <c r="AJ713" s="2904"/>
      <c r="AK713" s="2904"/>
      <c r="AL713" s="2904"/>
      <c r="AM713" s="2904"/>
      <c r="AN713" s="2904"/>
      <c r="AO713" s="2904"/>
      <c r="AP713" s="2904"/>
      <c r="AQ713" s="2904"/>
      <c r="AR713" s="2904"/>
      <c r="AS713" s="2904"/>
      <c r="AT713" s="2904"/>
    </row>
    <row r="714" spans="2:46" ht="13" customHeight="1">
      <c r="B714" s="2901" t="s">
        <v>651</v>
      </c>
      <c r="C714" s="2901"/>
      <c r="D714" s="2901"/>
      <c r="E714" s="2901"/>
      <c r="F714" s="2901"/>
      <c r="G714" s="2901"/>
      <c r="H714" s="2901"/>
      <c r="I714" s="2901"/>
      <c r="J714" s="2901"/>
      <c r="K714" s="2901"/>
      <c r="L714" s="2901"/>
      <c r="M714" s="2901"/>
      <c r="N714" s="2901"/>
      <c r="O714" s="2901"/>
      <c r="P714" s="2901"/>
      <c r="Q714" s="2901"/>
      <c r="R714" s="2901"/>
      <c r="S714" s="2901"/>
      <c r="T714" s="2901"/>
      <c r="U714" s="2901"/>
      <c r="V714" s="2901"/>
      <c r="W714" s="2901"/>
      <c r="X714" s="2901"/>
      <c r="Y714" s="2901"/>
      <c r="Z714" s="2901"/>
      <c r="AA714" s="2901"/>
      <c r="AB714" s="2901"/>
      <c r="AC714" s="2901"/>
      <c r="AD714" s="2901"/>
      <c r="AE714" s="2901"/>
      <c r="AF714" s="2901"/>
      <c r="AG714" s="2901"/>
      <c r="AH714" s="2901"/>
      <c r="AI714" s="2901"/>
      <c r="AJ714" s="2901"/>
      <c r="AK714" s="2901"/>
      <c r="AL714" s="2901"/>
      <c r="AM714" s="2901"/>
      <c r="AN714" s="2901"/>
      <c r="AO714" s="2901"/>
      <c r="AP714" s="2901"/>
      <c r="AQ714" s="2901"/>
      <c r="AR714" s="2901"/>
      <c r="AS714" s="2901"/>
      <c r="AT714" s="2901"/>
    </row>
    <row r="715" spans="2:46" ht="13" customHeight="1">
      <c r="B715" s="2904" t="s">
        <v>652</v>
      </c>
      <c r="C715" s="2904"/>
      <c r="D715" s="2904"/>
      <c r="E715" s="2904"/>
      <c r="F715" s="2904"/>
      <c r="G715" s="2904"/>
      <c r="H715" s="2904"/>
      <c r="I715" s="2904"/>
      <c r="J715" s="2904"/>
      <c r="K715" s="2904"/>
      <c r="L715" s="2904"/>
      <c r="M715" s="2904"/>
      <c r="N715" s="2904"/>
      <c r="O715" s="2904"/>
      <c r="P715" s="2904"/>
      <c r="Q715" s="2904"/>
      <c r="R715" s="2904"/>
      <c r="S715" s="2904"/>
      <c r="T715" s="2904"/>
      <c r="U715" s="2904"/>
      <c r="V715" s="2904"/>
      <c r="W715" s="2904"/>
      <c r="X715" s="2904"/>
      <c r="Y715" s="2904"/>
      <c r="Z715" s="2904"/>
      <c r="AA715" s="2904"/>
      <c r="AB715" s="2904"/>
      <c r="AC715" s="2904"/>
      <c r="AD715" s="2904"/>
      <c r="AE715" s="2904"/>
      <c r="AF715" s="2904"/>
      <c r="AG715" s="2904"/>
      <c r="AH715" s="2904"/>
      <c r="AI715" s="2904"/>
      <c r="AJ715" s="2904"/>
      <c r="AK715" s="2904"/>
      <c r="AL715" s="2904"/>
      <c r="AM715" s="2904"/>
      <c r="AN715" s="2904"/>
      <c r="AO715" s="2904"/>
      <c r="AP715" s="2904"/>
      <c r="AQ715" s="2904"/>
      <c r="AR715" s="2904"/>
      <c r="AS715" s="2904"/>
      <c r="AT715" s="2904"/>
    </row>
    <row r="716" spans="2:46" ht="13" customHeight="1">
      <c r="B716" s="2904" t="s">
        <v>653</v>
      </c>
      <c r="C716" s="2904"/>
      <c r="D716" s="2904"/>
      <c r="E716" s="2904"/>
      <c r="F716" s="2904"/>
      <c r="G716" s="2904"/>
      <c r="H716" s="2904"/>
      <c r="I716" s="2904"/>
      <c r="J716" s="2904"/>
      <c r="K716" s="2904"/>
      <c r="L716" s="2904"/>
      <c r="M716" s="2904"/>
      <c r="N716" s="2904"/>
      <c r="O716" s="2904"/>
      <c r="P716" s="2904"/>
      <c r="Q716" s="2904"/>
      <c r="R716" s="2904"/>
      <c r="S716" s="2904"/>
      <c r="T716" s="2904"/>
      <c r="U716" s="2904"/>
      <c r="V716" s="2904"/>
      <c r="W716" s="2904"/>
      <c r="X716" s="2904"/>
      <c r="Y716" s="2904"/>
      <c r="Z716" s="2904"/>
      <c r="AA716" s="2904"/>
      <c r="AB716" s="2904"/>
      <c r="AC716" s="2904"/>
      <c r="AD716" s="2904"/>
      <c r="AE716" s="2904"/>
      <c r="AF716" s="2904"/>
      <c r="AG716" s="2904"/>
      <c r="AH716" s="2904"/>
      <c r="AI716" s="2904"/>
      <c r="AJ716" s="2904"/>
      <c r="AK716" s="2904"/>
      <c r="AL716" s="2904"/>
      <c r="AM716" s="2904"/>
      <c r="AN716" s="2904"/>
      <c r="AO716" s="2904"/>
      <c r="AP716" s="2904"/>
      <c r="AQ716" s="2904"/>
      <c r="AR716" s="2904"/>
      <c r="AS716" s="2904"/>
      <c r="AT716" s="2904"/>
    </row>
    <row r="717" spans="2:46" ht="13" customHeight="1">
      <c r="B717" s="2904" t="s">
        <v>654</v>
      </c>
      <c r="C717" s="2904"/>
      <c r="D717" s="2904"/>
      <c r="E717" s="2904"/>
      <c r="F717" s="2904"/>
      <c r="G717" s="2904"/>
      <c r="H717" s="2904"/>
      <c r="I717" s="2904"/>
      <c r="J717" s="2904"/>
      <c r="K717" s="2904"/>
      <c r="L717" s="2904"/>
      <c r="M717" s="2904"/>
      <c r="N717" s="2904"/>
      <c r="O717" s="2904"/>
      <c r="P717" s="2904"/>
      <c r="Q717" s="2904"/>
      <c r="R717" s="2904"/>
      <c r="S717" s="2904"/>
      <c r="T717" s="2904"/>
      <c r="U717" s="2904"/>
      <c r="V717" s="2904"/>
      <c r="W717" s="2904"/>
      <c r="X717" s="2904"/>
      <c r="Y717" s="2904"/>
      <c r="Z717" s="2904"/>
      <c r="AA717" s="2904"/>
      <c r="AB717" s="2904"/>
      <c r="AC717" s="2904"/>
      <c r="AD717" s="2904"/>
      <c r="AE717" s="2904"/>
      <c r="AF717" s="2904"/>
      <c r="AG717" s="2904"/>
      <c r="AH717" s="2904"/>
      <c r="AI717" s="2904"/>
      <c r="AJ717" s="2904"/>
      <c r="AK717" s="2904"/>
      <c r="AL717" s="2904"/>
      <c r="AM717" s="2904"/>
      <c r="AN717" s="2904"/>
      <c r="AO717" s="2904"/>
      <c r="AP717" s="2904"/>
      <c r="AQ717" s="2904"/>
      <c r="AR717" s="2904"/>
      <c r="AS717" s="2904"/>
      <c r="AT717" s="2904"/>
    </row>
    <row r="718" spans="2:46" ht="13" customHeight="1">
      <c r="B718" s="2904" t="s">
        <v>655</v>
      </c>
      <c r="C718" s="2904"/>
      <c r="D718" s="2904"/>
      <c r="E718" s="2904"/>
      <c r="F718" s="2904"/>
      <c r="G718" s="2904"/>
      <c r="H718" s="2904"/>
      <c r="I718" s="2904"/>
      <c r="J718" s="2904"/>
      <c r="K718" s="2904"/>
      <c r="L718" s="2904"/>
      <c r="M718" s="2904"/>
      <c r="N718" s="2904"/>
      <c r="O718" s="2904"/>
      <c r="P718" s="2904"/>
      <c r="Q718" s="2904"/>
      <c r="R718" s="2904"/>
      <c r="S718" s="2904"/>
      <c r="T718" s="2904"/>
      <c r="U718" s="2904"/>
      <c r="V718" s="2904"/>
      <c r="W718" s="2904"/>
      <c r="X718" s="2904"/>
      <c r="Y718" s="2904"/>
      <c r="Z718" s="2904"/>
      <c r="AA718" s="2904"/>
      <c r="AB718" s="2904"/>
      <c r="AC718" s="2904"/>
      <c r="AD718" s="2904"/>
      <c r="AE718" s="2904"/>
      <c r="AF718" s="2904"/>
      <c r="AG718" s="2904"/>
      <c r="AH718" s="2904"/>
      <c r="AI718" s="2904"/>
      <c r="AJ718" s="2904"/>
      <c r="AK718" s="2904"/>
      <c r="AL718" s="2904"/>
      <c r="AM718" s="2904"/>
      <c r="AN718" s="2904"/>
      <c r="AO718" s="2904"/>
      <c r="AP718" s="2904"/>
      <c r="AQ718" s="2904"/>
      <c r="AR718" s="2904"/>
      <c r="AS718" s="2904"/>
      <c r="AT718" s="2904"/>
    </row>
    <row r="719" spans="2:46" ht="13" customHeight="1">
      <c r="B719" s="2904" t="s">
        <v>656</v>
      </c>
      <c r="C719" s="2904"/>
      <c r="D719" s="2904"/>
      <c r="E719" s="2904"/>
      <c r="F719" s="2904"/>
      <c r="G719" s="2904"/>
      <c r="H719" s="2904"/>
      <c r="I719" s="2904"/>
      <c r="J719" s="2904"/>
      <c r="K719" s="2904"/>
      <c r="L719" s="2904"/>
      <c r="M719" s="2904"/>
      <c r="N719" s="2904"/>
      <c r="O719" s="2904"/>
      <c r="P719" s="2904"/>
      <c r="Q719" s="2904"/>
      <c r="R719" s="2904"/>
      <c r="S719" s="2904"/>
      <c r="T719" s="2904"/>
      <c r="U719" s="2904"/>
      <c r="V719" s="2904"/>
      <c r="W719" s="2904"/>
      <c r="X719" s="2904"/>
      <c r="Y719" s="2904"/>
      <c r="Z719" s="2904"/>
      <c r="AA719" s="2904"/>
      <c r="AB719" s="2904"/>
      <c r="AC719" s="2904"/>
      <c r="AD719" s="2904"/>
      <c r="AE719" s="2904"/>
      <c r="AF719" s="2904"/>
      <c r="AG719" s="2904"/>
      <c r="AH719" s="2904"/>
      <c r="AI719" s="2904"/>
      <c r="AJ719" s="2904"/>
      <c r="AK719" s="2904"/>
      <c r="AL719" s="2904"/>
      <c r="AM719" s="2904"/>
      <c r="AN719" s="2904"/>
      <c r="AO719" s="2904"/>
      <c r="AP719" s="2904"/>
      <c r="AQ719" s="2904"/>
      <c r="AR719" s="2904"/>
      <c r="AS719" s="2904"/>
      <c r="AT719" s="2904"/>
    </row>
    <row r="720" spans="2:46" ht="13" customHeight="1">
      <c r="B720" s="2904" t="s">
        <v>657</v>
      </c>
      <c r="C720" s="2904"/>
      <c r="D720" s="2904"/>
      <c r="E720" s="2904"/>
      <c r="F720" s="2904"/>
      <c r="G720" s="2904"/>
      <c r="H720" s="2904"/>
      <c r="I720" s="2904"/>
      <c r="J720" s="2904"/>
      <c r="K720" s="2904"/>
      <c r="L720" s="2904"/>
      <c r="M720" s="2904"/>
      <c r="N720" s="2904"/>
      <c r="O720" s="2904"/>
      <c r="P720" s="2904"/>
      <c r="Q720" s="2904"/>
      <c r="R720" s="2904"/>
      <c r="S720" s="2904"/>
      <c r="T720" s="2904"/>
      <c r="U720" s="2904"/>
      <c r="V720" s="2904"/>
      <c r="W720" s="2904"/>
      <c r="X720" s="2904"/>
      <c r="Y720" s="2904"/>
      <c r="Z720" s="2904"/>
      <c r="AA720" s="2904"/>
      <c r="AB720" s="2904"/>
      <c r="AC720" s="2904"/>
      <c r="AD720" s="2904"/>
      <c r="AE720" s="2904"/>
      <c r="AF720" s="2904"/>
      <c r="AG720" s="2904"/>
      <c r="AH720" s="2904"/>
      <c r="AI720" s="2904"/>
      <c r="AJ720" s="2904"/>
      <c r="AK720" s="2904"/>
      <c r="AL720" s="2904"/>
      <c r="AM720" s="2904"/>
      <c r="AN720" s="2904"/>
      <c r="AO720" s="2904"/>
      <c r="AP720" s="2904"/>
      <c r="AQ720" s="2904"/>
      <c r="AR720" s="2904"/>
      <c r="AS720" s="2904"/>
      <c r="AT720" s="2904"/>
    </row>
    <row r="721" spans="2:47" ht="13" customHeight="1">
      <c r="B721" s="2904" t="s">
        <v>658</v>
      </c>
      <c r="C721" s="2904"/>
      <c r="D721" s="2904"/>
      <c r="E721" s="2904"/>
      <c r="F721" s="2904"/>
      <c r="G721" s="2904"/>
      <c r="H721" s="2904"/>
      <c r="I721" s="2904"/>
      <c r="J721" s="2904"/>
      <c r="K721" s="2904"/>
      <c r="L721" s="2904"/>
      <c r="M721" s="2904"/>
      <c r="N721" s="2904"/>
      <c r="O721" s="2904"/>
      <c r="P721" s="2904"/>
      <c r="Q721" s="2904"/>
      <c r="R721" s="2904"/>
      <c r="S721" s="2904"/>
      <c r="T721" s="2904"/>
      <c r="U721" s="2904"/>
      <c r="V721" s="2904"/>
      <c r="W721" s="2904"/>
      <c r="X721" s="2904"/>
      <c r="Y721" s="2904"/>
      <c r="Z721" s="2904"/>
      <c r="AA721" s="2904"/>
      <c r="AB721" s="2904"/>
      <c r="AC721" s="2904"/>
      <c r="AD721" s="2904"/>
      <c r="AE721" s="2904"/>
      <c r="AF721" s="2904"/>
      <c r="AG721" s="2904"/>
      <c r="AH721" s="2904"/>
      <c r="AI721" s="2904"/>
      <c r="AJ721" s="2904"/>
      <c r="AK721" s="2904"/>
      <c r="AL721" s="2904"/>
      <c r="AM721" s="2904"/>
      <c r="AN721" s="2904"/>
      <c r="AO721" s="2904"/>
      <c r="AP721" s="2904"/>
      <c r="AQ721" s="2904"/>
      <c r="AR721" s="2904"/>
      <c r="AS721" s="2904"/>
      <c r="AT721" s="2904"/>
    </row>
    <row r="722" spans="2:47" ht="13" customHeight="1">
      <c r="B722" s="2901" t="s">
        <v>659</v>
      </c>
      <c r="C722" s="2901"/>
      <c r="D722" s="2901"/>
      <c r="E722" s="2901"/>
      <c r="F722" s="2901"/>
      <c r="G722" s="2901"/>
      <c r="H722" s="2901"/>
      <c r="I722" s="2901"/>
      <c r="J722" s="2901"/>
      <c r="K722" s="2901"/>
      <c r="L722" s="2901"/>
      <c r="M722" s="2901"/>
      <c r="N722" s="2901"/>
      <c r="O722" s="2901"/>
      <c r="P722" s="2901"/>
      <c r="Q722" s="2901"/>
      <c r="R722" s="2901"/>
      <c r="S722" s="2901"/>
      <c r="T722" s="2901"/>
      <c r="U722" s="2901"/>
      <c r="V722" s="2901"/>
      <c r="W722" s="2901"/>
      <c r="X722" s="2901"/>
      <c r="Y722" s="2901"/>
      <c r="Z722" s="2901"/>
      <c r="AA722" s="2901"/>
      <c r="AB722" s="2901"/>
      <c r="AC722" s="2901"/>
      <c r="AD722" s="2901"/>
      <c r="AE722" s="2901"/>
      <c r="AF722" s="2901"/>
      <c r="AG722" s="2901"/>
      <c r="AH722" s="2901"/>
      <c r="AI722" s="2901"/>
      <c r="AJ722" s="2901"/>
      <c r="AK722" s="2901"/>
      <c r="AL722" s="2901"/>
      <c r="AM722" s="2901"/>
      <c r="AN722" s="2901"/>
      <c r="AO722" s="2901"/>
      <c r="AP722" s="2901"/>
      <c r="AQ722" s="2901"/>
      <c r="AR722" s="2901"/>
      <c r="AS722" s="2901"/>
      <c r="AT722" s="2901"/>
      <c r="AU722" s="1478"/>
    </row>
    <row r="723" spans="2:47" ht="13" customHeight="1">
      <c r="B723" s="2904" t="s">
        <v>660</v>
      </c>
      <c r="C723" s="2904"/>
      <c r="D723" s="2904"/>
      <c r="E723" s="2904"/>
      <c r="F723" s="2904"/>
      <c r="G723" s="2904"/>
      <c r="H723" s="2904"/>
      <c r="I723" s="2904"/>
      <c r="J723" s="2904"/>
      <c r="K723" s="2904"/>
      <c r="L723" s="2904"/>
      <c r="M723" s="2904"/>
      <c r="N723" s="2904"/>
      <c r="O723" s="2904"/>
      <c r="P723" s="2904"/>
      <c r="Q723" s="2904"/>
      <c r="R723" s="2904"/>
      <c r="S723" s="2904"/>
      <c r="T723" s="2904"/>
      <c r="U723" s="2904"/>
      <c r="V723" s="2904"/>
      <c r="W723" s="2904"/>
      <c r="X723" s="2904"/>
      <c r="Y723" s="2904"/>
      <c r="Z723" s="2904"/>
      <c r="AA723" s="2904"/>
      <c r="AB723" s="2904"/>
      <c r="AC723" s="2904"/>
      <c r="AD723" s="2904"/>
      <c r="AE723" s="2904"/>
      <c r="AF723" s="2904"/>
      <c r="AG723" s="2904"/>
      <c r="AH723" s="2904"/>
      <c r="AI723" s="2904"/>
      <c r="AJ723" s="2904"/>
      <c r="AK723" s="2904"/>
      <c r="AL723" s="2904"/>
      <c r="AM723" s="2904"/>
      <c r="AN723" s="2904"/>
      <c r="AO723" s="2904"/>
      <c r="AP723" s="2904"/>
      <c r="AQ723" s="2904"/>
      <c r="AR723" s="2904"/>
      <c r="AS723" s="2904"/>
      <c r="AT723" s="2904"/>
    </row>
    <row r="724" spans="2:47" ht="13" customHeight="1">
      <c r="B724" s="2904" t="s">
        <v>661</v>
      </c>
      <c r="C724" s="2904"/>
      <c r="D724" s="2904"/>
      <c r="E724" s="2904"/>
      <c r="F724" s="2904"/>
      <c r="G724" s="2904"/>
      <c r="H724" s="2904"/>
      <c r="I724" s="2904"/>
      <c r="J724" s="2904"/>
      <c r="K724" s="2904"/>
      <c r="L724" s="2904"/>
      <c r="M724" s="2904"/>
      <c r="N724" s="2904"/>
      <c r="O724" s="2904"/>
      <c r="P724" s="2904"/>
      <c r="Q724" s="2904"/>
      <c r="R724" s="2904"/>
      <c r="S724" s="2904"/>
      <c r="T724" s="2904"/>
      <c r="U724" s="2904"/>
      <c r="V724" s="2904"/>
      <c r="W724" s="2904"/>
      <c r="X724" s="2904"/>
      <c r="Y724" s="2904"/>
      <c r="Z724" s="2904"/>
      <c r="AA724" s="2904"/>
      <c r="AB724" s="2904"/>
      <c r="AC724" s="2904"/>
      <c r="AD724" s="2904"/>
      <c r="AE724" s="2904"/>
      <c r="AF724" s="2904"/>
      <c r="AG724" s="2904"/>
      <c r="AH724" s="2904"/>
      <c r="AI724" s="2904"/>
      <c r="AJ724" s="2904"/>
      <c r="AK724" s="2904"/>
      <c r="AL724" s="2904"/>
      <c r="AM724" s="2904"/>
      <c r="AN724" s="2904"/>
      <c r="AO724" s="2904"/>
      <c r="AP724" s="2904"/>
      <c r="AQ724" s="2904"/>
      <c r="AR724" s="2904"/>
      <c r="AS724" s="2904"/>
      <c r="AT724" s="2904"/>
    </row>
    <row r="725" spans="2:47" ht="13" customHeight="1">
      <c r="B725" s="2901" t="s">
        <v>662</v>
      </c>
      <c r="C725" s="2901"/>
      <c r="D725" s="2901"/>
      <c r="E725" s="2901"/>
      <c r="F725" s="2901"/>
      <c r="G725" s="2901"/>
      <c r="H725" s="2901"/>
      <c r="I725" s="2901"/>
      <c r="J725" s="2901"/>
      <c r="K725" s="2901"/>
      <c r="L725" s="2901"/>
      <c r="M725" s="2901"/>
      <c r="N725" s="2901"/>
      <c r="O725" s="2901"/>
      <c r="P725" s="2901"/>
      <c r="Q725" s="2901"/>
      <c r="R725" s="2901"/>
      <c r="S725" s="2901"/>
      <c r="T725" s="2901"/>
      <c r="U725" s="2901"/>
      <c r="V725" s="2901"/>
      <c r="W725" s="2901"/>
      <c r="X725" s="2901"/>
      <c r="Y725" s="2901"/>
      <c r="Z725" s="2901"/>
      <c r="AA725" s="2901"/>
      <c r="AB725" s="2901"/>
      <c r="AC725" s="2901"/>
      <c r="AD725" s="2901"/>
      <c r="AE725" s="2901"/>
      <c r="AF725" s="2901"/>
      <c r="AG725" s="2901"/>
      <c r="AH725" s="2901"/>
      <c r="AI725" s="2901"/>
      <c r="AJ725" s="2901"/>
      <c r="AK725" s="2901"/>
      <c r="AL725" s="2901"/>
      <c r="AM725" s="2901"/>
      <c r="AN725" s="2901"/>
      <c r="AO725" s="2901"/>
      <c r="AP725" s="2901"/>
      <c r="AQ725" s="2901"/>
      <c r="AR725" s="2901"/>
      <c r="AS725" s="2901"/>
      <c r="AT725" s="2901"/>
    </row>
    <row r="726" spans="2:47" ht="13" customHeight="1">
      <c r="B726" s="2901" t="s">
        <v>663</v>
      </c>
      <c r="C726" s="2901"/>
      <c r="D726" s="2901"/>
      <c r="E726" s="2901"/>
      <c r="F726" s="2901"/>
      <c r="G726" s="2901"/>
      <c r="H726" s="2901"/>
      <c r="I726" s="2901"/>
      <c r="J726" s="2901"/>
      <c r="K726" s="2901"/>
      <c r="L726" s="2901"/>
      <c r="M726" s="2901"/>
      <c r="N726" s="2901"/>
      <c r="O726" s="2901"/>
      <c r="P726" s="2901"/>
      <c r="Q726" s="2901"/>
      <c r="R726" s="2901"/>
      <c r="S726" s="2901"/>
      <c r="T726" s="2901"/>
      <c r="U726" s="2901"/>
      <c r="V726" s="2901"/>
      <c r="W726" s="2901"/>
      <c r="X726" s="2901"/>
      <c r="Y726" s="2901"/>
      <c r="Z726" s="2901"/>
      <c r="AA726" s="2901"/>
      <c r="AB726" s="2901"/>
      <c r="AC726" s="2901"/>
      <c r="AD726" s="2901"/>
      <c r="AE726" s="2901"/>
      <c r="AF726" s="2901"/>
      <c r="AG726" s="2901"/>
      <c r="AH726" s="2901"/>
      <c r="AI726" s="2901"/>
      <c r="AJ726" s="2901"/>
      <c r="AK726" s="2901"/>
      <c r="AL726" s="2901"/>
      <c r="AM726" s="2901"/>
      <c r="AN726" s="2901"/>
      <c r="AO726" s="2901"/>
      <c r="AP726" s="2901"/>
      <c r="AQ726" s="2901"/>
      <c r="AR726" s="2901"/>
      <c r="AS726" s="2901"/>
      <c r="AT726" s="2901"/>
      <c r="AU726" s="1602"/>
    </row>
    <row r="727" spans="2:47" ht="13" customHeight="1">
      <c r="B727" s="2902" t="s">
        <v>664</v>
      </c>
      <c r="C727" s="2902"/>
      <c r="D727" s="2902"/>
      <c r="E727" s="2902"/>
      <c r="F727" s="2902"/>
      <c r="G727" s="2902"/>
      <c r="H727" s="2902"/>
      <c r="I727" s="2902"/>
      <c r="J727" s="2902"/>
      <c r="K727" s="2902"/>
      <c r="L727" s="2902"/>
      <c r="M727" s="2902"/>
      <c r="N727" s="2902"/>
      <c r="O727" s="2902"/>
      <c r="P727" s="2902"/>
      <c r="Q727" s="2902"/>
      <c r="R727" s="2902"/>
      <c r="S727" s="2902"/>
      <c r="T727" s="2902"/>
      <c r="U727" s="2902"/>
      <c r="V727" s="2902"/>
      <c r="W727" s="2902"/>
      <c r="X727" s="2902"/>
      <c r="Y727" s="2902"/>
      <c r="Z727" s="2902"/>
      <c r="AA727" s="2902"/>
      <c r="AB727" s="2902"/>
      <c r="AC727" s="2902"/>
      <c r="AD727" s="2902"/>
      <c r="AE727" s="2902"/>
      <c r="AF727" s="2902"/>
      <c r="AG727" s="2902"/>
      <c r="AH727" s="2902"/>
      <c r="AI727" s="2902"/>
      <c r="AJ727" s="2902"/>
      <c r="AK727" s="2902"/>
      <c r="AL727" s="2902"/>
      <c r="AM727" s="2902"/>
      <c r="AN727" s="2902"/>
      <c r="AO727" s="2902"/>
      <c r="AP727" s="2902"/>
      <c r="AQ727" s="2902"/>
      <c r="AR727" s="2902"/>
      <c r="AS727" s="2902"/>
      <c r="AT727" s="2902"/>
      <c r="AU727" s="1602"/>
    </row>
    <row r="728" spans="2:47" ht="13" customHeight="1">
      <c r="B728" s="2902" t="s">
        <v>665</v>
      </c>
      <c r="C728" s="2902"/>
      <c r="D728" s="2902"/>
      <c r="E728" s="2902"/>
      <c r="F728" s="2902"/>
      <c r="G728" s="2902"/>
      <c r="H728" s="2902"/>
      <c r="I728" s="2902"/>
      <c r="J728" s="2902"/>
      <c r="K728" s="2902"/>
      <c r="L728" s="2902"/>
      <c r="M728" s="2902"/>
      <c r="N728" s="2902"/>
      <c r="O728" s="2902"/>
      <c r="P728" s="2902"/>
      <c r="Q728" s="2902"/>
      <c r="R728" s="2902"/>
      <c r="S728" s="2902"/>
      <c r="T728" s="2902"/>
      <c r="U728" s="2902"/>
      <c r="V728" s="2902"/>
      <c r="W728" s="2902"/>
      <c r="X728" s="2902"/>
      <c r="Y728" s="2902"/>
      <c r="Z728" s="2902"/>
      <c r="AA728" s="2902"/>
      <c r="AB728" s="2902"/>
      <c r="AC728" s="2902"/>
      <c r="AD728" s="2902"/>
      <c r="AE728" s="2902"/>
      <c r="AF728" s="2902"/>
      <c r="AG728" s="2902"/>
      <c r="AH728" s="2902"/>
      <c r="AI728" s="2902"/>
      <c r="AJ728" s="2902"/>
      <c r="AK728" s="2902"/>
      <c r="AL728" s="2902"/>
      <c r="AM728" s="2902"/>
      <c r="AN728" s="2902"/>
      <c r="AO728" s="2902"/>
      <c r="AP728" s="2902"/>
      <c r="AQ728" s="2902"/>
      <c r="AR728" s="2902"/>
      <c r="AS728" s="2902"/>
      <c r="AT728" s="2902"/>
      <c r="AU728" s="1602"/>
    </row>
    <row r="729" spans="2:47" ht="13" customHeight="1">
      <c r="B729" s="2902" t="s">
        <v>666</v>
      </c>
      <c r="C729" s="2902"/>
      <c r="D729" s="2902"/>
      <c r="E729" s="2902"/>
      <c r="F729" s="2902"/>
      <c r="G729" s="2902"/>
      <c r="H729" s="2902"/>
      <c r="I729" s="2902"/>
      <c r="J729" s="2902"/>
      <c r="K729" s="2902"/>
      <c r="L729" s="2902"/>
      <c r="M729" s="2902"/>
      <c r="N729" s="2902"/>
      <c r="O729" s="2902"/>
      <c r="P729" s="2902"/>
      <c r="Q729" s="2902"/>
      <c r="R729" s="2902"/>
      <c r="S729" s="2902"/>
      <c r="T729" s="2902"/>
      <c r="U729" s="2902"/>
      <c r="V729" s="2902"/>
      <c r="W729" s="2902"/>
      <c r="X729" s="2902"/>
      <c r="Y729" s="2902"/>
      <c r="Z729" s="2902"/>
      <c r="AA729" s="2902"/>
      <c r="AB729" s="2902"/>
      <c r="AC729" s="2902"/>
      <c r="AD729" s="2902"/>
      <c r="AE729" s="2902"/>
      <c r="AF729" s="2902"/>
      <c r="AG729" s="2902"/>
      <c r="AH729" s="2902"/>
      <c r="AI729" s="2902"/>
      <c r="AJ729" s="2902"/>
      <c r="AK729" s="2902"/>
      <c r="AL729" s="2902"/>
      <c r="AM729" s="2902"/>
      <c r="AN729" s="2902"/>
      <c r="AO729" s="2902"/>
      <c r="AP729" s="2902"/>
      <c r="AQ729" s="2902"/>
      <c r="AR729" s="2902"/>
      <c r="AS729" s="2902"/>
      <c r="AT729" s="2902"/>
      <c r="AU729" s="1602"/>
    </row>
    <row r="730" spans="2:47" ht="13" customHeight="1">
      <c r="B730" s="2901" t="s">
        <v>667</v>
      </c>
      <c r="C730" s="2901"/>
      <c r="D730" s="2901"/>
      <c r="E730" s="2901"/>
      <c r="F730" s="2901"/>
      <c r="G730" s="2901"/>
      <c r="H730" s="2901"/>
      <c r="I730" s="2901"/>
      <c r="J730" s="2901"/>
      <c r="K730" s="2901"/>
      <c r="L730" s="2901"/>
      <c r="M730" s="2901"/>
      <c r="N730" s="2901"/>
      <c r="O730" s="2901"/>
      <c r="P730" s="2901"/>
      <c r="Q730" s="2901"/>
      <c r="R730" s="2901"/>
      <c r="S730" s="2901"/>
      <c r="T730" s="2901"/>
      <c r="U730" s="2901"/>
      <c r="V730" s="2901"/>
      <c r="W730" s="2901"/>
      <c r="X730" s="2901"/>
      <c r="Y730" s="2901"/>
      <c r="Z730" s="2901"/>
      <c r="AA730" s="2901"/>
      <c r="AB730" s="2901"/>
      <c r="AC730" s="2901"/>
      <c r="AD730" s="2901"/>
      <c r="AE730" s="2901"/>
      <c r="AF730" s="2901"/>
      <c r="AG730" s="2901"/>
      <c r="AH730" s="2901"/>
      <c r="AI730" s="2901"/>
      <c r="AJ730" s="2901"/>
      <c r="AK730" s="2901"/>
      <c r="AL730" s="2901"/>
      <c r="AM730" s="2901"/>
      <c r="AN730" s="2901"/>
      <c r="AO730" s="2901"/>
      <c r="AP730" s="2901"/>
      <c r="AQ730" s="2901"/>
      <c r="AR730" s="2901"/>
      <c r="AS730" s="2901"/>
      <c r="AT730" s="2901"/>
      <c r="AU730" s="1602"/>
    </row>
    <row r="731" spans="2:47" ht="13" customHeight="1">
      <c r="B731" s="2901" t="s">
        <v>668</v>
      </c>
      <c r="C731" s="2901"/>
      <c r="D731" s="2901"/>
      <c r="E731" s="2901"/>
      <c r="F731" s="2901"/>
      <c r="G731" s="2901"/>
      <c r="H731" s="2901"/>
      <c r="I731" s="2901"/>
      <c r="J731" s="2901"/>
      <c r="K731" s="2901"/>
      <c r="L731" s="2901"/>
      <c r="M731" s="2901"/>
      <c r="N731" s="2901"/>
      <c r="O731" s="2901"/>
      <c r="P731" s="2901"/>
      <c r="Q731" s="2901"/>
      <c r="R731" s="2901"/>
      <c r="S731" s="2901"/>
      <c r="T731" s="2901"/>
      <c r="U731" s="2901"/>
      <c r="V731" s="2901"/>
      <c r="W731" s="2901"/>
      <c r="X731" s="2901"/>
      <c r="Y731" s="2901"/>
      <c r="Z731" s="2901"/>
      <c r="AA731" s="2901"/>
      <c r="AB731" s="2901"/>
      <c r="AC731" s="2901"/>
      <c r="AD731" s="2901"/>
      <c r="AE731" s="2901"/>
      <c r="AF731" s="2901"/>
      <c r="AG731" s="2901"/>
      <c r="AH731" s="2901"/>
      <c r="AI731" s="2901"/>
      <c r="AJ731" s="2901"/>
      <c r="AK731" s="2901"/>
      <c r="AL731" s="2901"/>
      <c r="AM731" s="2901"/>
      <c r="AN731" s="2901"/>
      <c r="AO731" s="2901"/>
      <c r="AP731" s="2901"/>
      <c r="AQ731" s="2901"/>
      <c r="AR731" s="2901"/>
      <c r="AS731" s="2901"/>
      <c r="AT731" s="2901"/>
      <c r="AU731" s="1602"/>
    </row>
    <row r="732" spans="2:47" ht="13" customHeight="1">
      <c r="B732" s="2901" t="s">
        <v>669</v>
      </c>
      <c r="C732" s="2901"/>
      <c r="D732" s="2901"/>
      <c r="E732" s="2901"/>
      <c r="F732" s="2901"/>
      <c r="G732" s="2901"/>
      <c r="H732" s="2901"/>
      <c r="I732" s="2901"/>
      <c r="J732" s="2901"/>
      <c r="K732" s="2901"/>
      <c r="L732" s="2901"/>
      <c r="M732" s="2901"/>
      <c r="N732" s="2901"/>
      <c r="O732" s="2901"/>
      <c r="P732" s="2901"/>
      <c r="Q732" s="2901"/>
      <c r="R732" s="2901"/>
      <c r="S732" s="2901"/>
      <c r="T732" s="2901"/>
      <c r="U732" s="2901"/>
      <c r="V732" s="2901"/>
      <c r="W732" s="2901"/>
      <c r="X732" s="2901"/>
      <c r="Y732" s="2901"/>
      <c r="Z732" s="2901"/>
      <c r="AA732" s="2901"/>
      <c r="AB732" s="2901"/>
      <c r="AC732" s="2901"/>
      <c r="AD732" s="2901"/>
      <c r="AE732" s="2901"/>
      <c r="AF732" s="2901"/>
      <c r="AG732" s="2901"/>
      <c r="AH732" s="2901"/>
      <c r="AI732" s="2901"/>
      <c r="AJ732" s="2901"/>
      <c r="AK732" s="2901"/>
      <c r="AL732" s="2901"/>
      <c r="AM732" s="2901"/>
      <c r="AN732" s="2901"/>
      <c r="AO732" s="2901"/>
      <c r="AP732" s="2901"/>
      <c r="AQ732" s="2901"/>
      <c r="AR732" s="2901"/>
      <c r="AS732" s="2901"/>
      <c r="AT732" s="2901"/>
    </row>
    <row r="733" spans="2:47" ht="13" customHeight="1">
      <c r="B733" s="2901" t="s">
        <v>670</v>
      </c>
      <c r="C733" s="2901"/>
      <c r="D733" s="2901"/>
      <c r="E733" s="2901"/>
      <c r="F733" s="2901"/>
      <c r="G733" s="2901"/>
      <c r="H733" s="2901"/>
      <c r="I733" s="2901"/>
      <c r="J733" s="2901"/>
      <c r="K733" s="2901"/>
      <c r="L733" s="2901"/>
      <c r="M733" s="2901"/>
      <c r="N733" s="2901"/>
      <c r="O733" s="2901"/>
      <c r="P733" s="2901"/>
      <c r="Q733" s="2901"/>
      <c r="R733" s="2901"/>
      <c r="S733" s="2901"/>
      <c r="T733" s="2901"/>
      <c r="U733" s="2901"/>
      <c r="V733" s="2901"/>
      <c r="W733" s="2901"/>
      <c r="X733" s="2901"/>
      <c r="Y733" s="2901"/>
      <c r="Z733" s="2901"/>
      <c r="AA733" s="2901"/>
      <c r="AB733" s="2901"/>
      <c r="AC733" s="2901"/>
      <c r="AD733" s="2901"/>
      <c r="AE733" s="2901"/>
      <c r="AF733" s="2901"/>
      <c r="AG733" s="2901"/>
      <c r="AH733" s="2901"/>
      <c r="AI733" s="2901"/>
      <c r="AJ733" s="2901"/>
      <c r="AK733" s="2901"/>
      <c r="AL733" s="2901"/>
      <c r="AM733" s="2901"/>
      <c r="AN733" s="2901"/>
      <c r="AO733" s="2901"/>
      <c r="AP733" s="2901"/>
      <c r="AQ733" s="2901"/>
      <c r="AR733" s="2901"/>
      <c r="AS733" s="2901"/>
      <c r="AT733" s="2901"/>
    </row>
    <row r="734" spans="2:47" ht="13" customHeight="1">
      <c r="B734" s="2901" t="s">
        <v>671</v>
      </c>
      <c r="C734" s="2901"/>
      <c r="D734" s="2901"/>
      <c r="E734" s="2901"/>
      <c r="F734" s="2901"/>
      <c r="G734" s="2901"/>
      <c r="H734" s="2901"/>
      <c r="I734" s="2901"/>
      <c r="J734" s="2901"/>
      <c r="K734" s="2901"/>
      <c r="L734" s="2901"/>
      <c r="M734" s="2901"/>
      <c r="N734" s="2901"/>
      <c r="O734" s="2901"/>
      <c r="P734" s="2901"/>
      <c r="Q734" s="2901"/>
      <c r="R734" s="2901"/>
      <c r="S734" s="2901"/>
      <c r="T734" s="2901"/>
      <c r="U734" s="2901"/>
      <c r="V734" s="2901"/>
      <c r="W734" s="2901"/>
      <c r="X734" s="2901"/>
      <c r="Y734" s="2901"/>
      <c r="Z734" s="2901"/>
      <c r="AA734" s="2901"/>
      <c r="AB734" s="2901"/>
      <c r="AC734" s="2901"/>
      <c r="AD734" s="2901"/>
      <c r="AE734" s="2901"/>
      <c r="AF734" s="2901"/>
      <c r="AG734" s="2901"/>
      <c r="AH734" s="2901"/>
      <c r="AI734" s="2901"/>
      <c r="AJ734" s="2901"/>
      <c r="AK734" s="2901"/>
      <c r="AL734" s="2901"/>
      <c r="AM734" s="2901"/>
      <c r="AN734" s="2901"/>
      <c r="AO734" s="2901"/>
      <c r="AP734" s="2901"/>
      <c r="AQ734" s="2901"/>
      <c r="AR734" s="2901"/>
      <c r="AS734" s="2901"/>
      <c r="AT734" s="2901"/>
    </row>
    <row r="735" spans="2:47" ht="13" customHeight="1">
      <c r="B735" s="2901" t="s">
        <v>672</v>
      </c>
      <c r="C735" s="2901"/>
      <c r="D735" s="2901"/>
      <c r="E735" s="2901"/>
      <c r="F735" s="2901"/>
      <c r="G735" s="2901"/>
      <c r="H735" s="2901"/>
      <c r="I735" s="2901"/>
      <c r="J735" s="2901"/>
      <c r="K735" s="2901"/>
      <c r="L735" s="2901"/>
      <c r="M735" s="2901"/>
      <c r="N735" s="2901"/>
      <c r="O735" s="2901"/>
      <c r="P735" s="2901"/>
      <c r="Q735" s="2901"/>
      <c r="R735" s="2901"/>
      <c r="S735" s="2901"/>
      <c r="T735" s="2901"/>
      <c r="U735" s="2901"/>
      <c r="V735" s="2901"/>
      <c r="W735" s="2901"/>
      <c r="X735" s="2901"/>
      <c r="Y735" s="2901"/>
      <c r="Z735" s="2901"/>
      <c r="AA735" s="2901"/>
      <c r="AB735" s="2901"/>
      <c r="AC735" s="2901"/>
      <c r="AD735" s="2901"/>
      <c r="AE735" s="2901"/>
      <c r="AF735" s="2901"/>
      <c r="AG735" s="2901"/>
      <c r="AH735" s="2901"/>
      <c r="AI735" s="2901"/>
      <c r="AJ735" s="2901"/>
      <c r="AK735" s="2901"/>
      <c r="AL735" s="2901"/>
      <c r="AM735" s="2901"/>
      <c r="AN735" s="2901"/>
      <c r="AO735" s="2901"/>
      <c r="AP735" s="2901"/>
      <c r="AQ735" s="2901"/>
      <c r="AR735" s="2901"/>
      <c r="AS735" s="2901"/>
      <c r="AT735" s="2901"/>
    </row>
    <row r="736" spans="2:47" ht="13" customHeight="1">
      <c r="B736" s="2904" t="s">
        <v>673</v>
      </c>
      <c r="C736" s="2904"/>
      <c r="D736" s="2904"/>
      <c r="E736" s="2904"/>
      <c r="F736" s="2904"/>
      <c r="G736" s="2904"/>
      <c r="H736" s="2904"/>
      <c r="I736" s="2904"/>
      <c r="J736" s="2904"/>
      <c r="K736" s="2904"/>
      <c r="L736" s="2904"/>
      <c r="M736" s="2904"/>
      <c r="N736" s="2904"/>
      <c r="O736" s="2904"/>
      <c r="P736" s="2904"/>
      <c r="Q736" s="2904"/>
      <c r="R736" s="2904"/>
      <c r="S736" s="2904"/>
      <c r="T736" s="2904"/>
      <c r="U736" s="2904"/>
      <c r="V736" s="2904"/>
      <c r="W736" s="2904"/>
      <c r="X736" s="2904"/>
      <c r="Y736" s="2904"/>
      <c r="Z736" s="2904"/>
      <c r="AA736" s="2904"/>
      <c r="AB736" s="2904"/>
      <c r="AC736" s="2904"/>
      <c r="AD736" s="2904"/>
      <c r="AE736" s="2904"/>
      <c r="AF736" s="2904"/>
      <c r="AG736" s="2904"/>
      <c r="AH736" s="2904"/>
      <c r="AI736" s="2904"/>
      <c r="AJ736" s="2904"/>
      <c r="AK736" s="2904"/>
      <c r="AL736" s="2904"/>
      <c r="AM736" s="2904"/>
      <c r="AN736" s="2904"/>
      <c r="AO736" s="2904"/>
      <c r="AP736" s="2904"/>
      <c r="AQ736" s="2904"/>
      <c r="AR736" s="2904"/>
      <c r="AS736" s="2904"/>
      <c r="AT736" s="2904"/>
    </row>
    <row r="737" spans="2:51" ht="13" customHeight="1">
      <c r="B737" s="1478"/>
      <c r="C737" s="1478"/>
      <c r="D737" s="1478"/>
      <c r="E737" s="1478"/>
      <c r="F737" s="1478"/>
      <c r="G737" s="1478"/>
      <c r="H737" s="1478"/>
      <c r="I737" s="1478"/>
      <c r="J737" s="1478"/>
      <c r="K737" s="1478"/>
      <c r="L737" s="1478"/>
      <c r="M737" s="1478"/>
      <c r="N737" s="1478"/>
      <c r="O737" s="1478"/>
      <c r="P737" s="1478"/>
      <c r="Q737" s="1478"/>
      <c r="R737" s="1478"/>
      <c r="S737" s="1478"/>
      <c r="T737" s="1478"/>
      <c r="U737" s="1478"/>
      <c r="V737" s="1478"/>
      <c r="W737" s="1478"/>
      <c r="X737" s="1478"/>
      <c r="Y737" s="1478"/>
      <c r="Z737" s="1478"/>
      <c r="AA737" s="1478"/>
      <c r="AB737" s="1478"/>
      <c r="AC737" s="1478"/>
      <c r="AD737" s="1478"/>
      <c r="AE737" s="1478"/>
      <c r="AF737" s="1478"/>
      <c r="AG737" s="1478"/>
      <c r="AH737" s="1478"/>
      <c r="AI737" s="1478"/>
      <c r="AJ737" s="1478"/>
      <c r="AK737" s="1478"/>
      <c r="AL737" s="1478"/>
      <c r="AM737" s="1478"/>
      <c r="AN737" s="1478"/>
      <c r="AO737" s="1478"/>
      <c r="AP737" s="1478"/>
      <c r="AQ737" s="1478"/>
      <c r="AR737" s="1478"/>
      <c r="AS737" s="1478"/>
      <c r="AT737" s="1478"/>
    </row>
    <row r="738" spans="2:51" ht="13" customHeight="1">
      <c r="B738" s="2904" t="s">
        <v>674</v>
      </c>
      <c r="C738" s="2904"/>
      <c r="D738" s="2904"/>
      <c r="E738" s="2904"/>
      <c r="F738" s="2904"/>
      <c r="G738" s="2904"/>
      <c r="H738" s="2904"/>
      <c r="I738" s="2904"/>
      <c r="J738" s="2904"/>
      <c r="K738" s="2904"/>
      <c r="L738" s="2904"/>
      <c r="M738" s="2904"/>
      <c r="N738" s="2904"/>
      <c r="O738" s="2904"/>
      <c r="P738" s="2904"/>
      <c r="Q738" s="2904"/>
      <c r="R738" s="2904"/>
      <c r="S738" s="2904"/>
      <c r="T738" s="2904"/>
      <c r="U738" s="2904"/>
      <c r="V738" s="2904"/>
      <c r="W738" s="2904"/>
      <c r="X738" s="2904"/>
      <c r="Y738" s="2904"/>
      <c r="Z738" s="2904"/>
      <c r="AA738" s="2904"/>
      <c r="AB738" s="2904"/>
      <c r="AC738" s="2904"/>
      <c r="AD738" s="2904"/>
      <c r="AE738" s="2904"/>
      <c r="AF738" s="2904"/>
      <c r="AG738" s="2904"/>
      <c r="AH738" s="2904"/>
      <c r="AI738" s="2904"/>
      <c r="AJ738" s="2904"/>
      <c r="AK738" s="2904"/>
      <c r="AL738" s="2904"/>
      <c r="AM738" s="2904"/>
      <c r="AN738" s="2904"/>
      <c r="AO738" s="2904"/>
      <c r="AP738" s="2904"/>
      <c r="AQ738" s="2904"/>
      <c r="AR738" s="2904"/>
      <c r="AS738" s="2904"/>
      <c r="AT738" s="2904"/>
    </row>
    <row r="739" spans="2:51" ht="15" customHeight="1">
      <c r="AU739" s="1497"/>
      <c r="AV739" s="1485"/>
      <c r="AW739" s="1485"/>
      <c r="AX739" s="1485"/>
      <c r="AY739" s="1485"/>
    </row>
    <row r="740" spans="2:51" ht="15" customHeight="1"/>
    <row r="741" spans="2:51" ht="15" customHeight="1"/>
    <row r="742" spans="2:51" ht="15" customHeight="1"/>
    <row r="743" spans="2:51" ht="15" customHeight="1"/>
    <row r="744" spans="2:51" ht="15" customHeight="1"/>
    <row r="745" spans="2:51" ht="15" customHeight="1"/>
    <row r="746" spans="2:51" ht="15" customHeight="1"/>
    <row r="747" spans="2:51" ht="15" customHeight="1"/>
    <row r="781" spans="1:2">
      <c r="A781" s="1603"/>
      <c r="B781" s="1604"/>
    </row>
    <row r="782" spans="1:2">
      <c r="A782" s="1604"/>
      <c r="B782" s="1604"/>
    </row>
    <row r="783" spans="1:2">
      <c r="A783" s="1604"/>
      <c r="B783" s="1604"/>
    </row>
    <row r="784" spans="1:2">
      <c r="A784" s="1604"/>
      <c r="B784" s="1604"/>
    </row>
    <row r="785" spans="1:2">
      <c r="A785" s="1604"/>
      <c r="B785" s="1604"/>
    </row>
    <row r="786" spans="1:2">
      <c r="A786" s="1604"/>
      <c r="B786" s="1604"/>
    </row>
    <row r="787" spans="1:2">
      <c r="A787" s="1604"/>
      <c r="B787" s="1604"/>
    </row>
    <row r="788" spans="1:2">
      <c r="A788" s="1604"/>
      <c r="B788" s="1604"/>
    </row>
    <row r="789" spans="1:2">
      <c r="A789" s="1604"/>
      <c r="B789" s="1604"/>
    </row>
    <row r="790" spans="1:2">
      <c r="A790" s="1604"/>
      <c r="B790" s="1604"/>
    </row>
    <row r="791" spans="1:2">
      <c r="A791" s="1604"/>
      <c r="B791" s="1604"/>
    </row>
    <row r="792" spans="1:2">
      <c r="A792" s="1604"/>
      <c r="B792" s="1604"/>
    </row>
    <row r="793" spans="1:2">
      <c r="A793" s="1604"/>
      <c r="B793" s="1604"/>
    </row>
    <row r="794" spans="1:2">
      <c r="A794" s="1604"/>
      <c r="B794" s="1604"/>
    </row>
    <row r="795" spans="1:2">
      <c r="A795" s="1604"/>
      <c r="B795" s="1604"/>
    </row>
    <row r="796" spans="1:2">
      <c r="A796" s="1604"/>
      <c r="B796" s="1604"/>
    </row>
    <row r="797" spans="1:2">
      <c r="A797" s="1604"/>
      <c r="B797" s="1604"/>
    </row>
    <row r="798" spans="1:2">
      <c r="A798" s="1604"/>
      <c r="B798" s="1604"/>
    </row>
    <row r="799" spans="1:2">
      <c r="A799" s="1604"/>
      <c r="B799" s="1604"/>
    </row>
    <row r="800" spans="1:2">
      <c r="A800" s="1604"/>
      <c r="B800" s="1604"/>
    </row>
    <row r="801" spans="1:2">
      <c r="A801" s="1604"/>
      <c r="B801" s="1604"/>
    </row>
    <row r="802" spans="1:2">
      <c r="A802" s="1604"/>
      <c r="B802" s="1604"/>
    </row>
    <row r="803" spans="1:2">
      <c r="A803" s="1604"/>
      <c r="B803" s="1604"/>
    </row>
    <row r="804" spans="1:2">
      <c r="A804" s="1604"/>
      <c r="B804" s="1604"/>
    </row>
    <row r="805" spans="1:2">
      <c r="A805" s="1604"/>
      <c r="B805" s="1604"/>
    </row>
    <row r="806" spans="1:2">
      <c r="A806" s="1604"/>
      <c r="B806" s="1604"/>
    </row>
    <row r="807" spans="1:2">
      <c r="A807" s="1604"/>
      <c r="B807" s="1604"/>
    </row>
    <row r="808" spans="1:2">
      <c r="A808" s="1604"/>
      <c r="B808" s="1604"/>
    </row>
    <row r="809" spans="1:2">
      <c r="A809" s="1604"/>
      <c r="B809" s="1604"/>
    </row>
    <row r="810" spans="1:2">
      <c r="A810" s="1604"/>
      <c r="B810" s="1604"/>
    </row>
    <row r="811" spans="1:2">
      <c r="A811" s="1604"/>
      <c r="B811" s="1604"/>
    </row>
    <row r="812" spans="1:2">
      <c r="A812" s="1604"/>
      <c r="B812" s="1604"/>
    </row>
    <row r="813" spans="1:2">
      <c r="A813" s="1604"/>
      <c r="B813" s="1604"/>
    </row>
    <row r="814" spans="1:2">
      <c r="A814" s="1604"/>
      <c r="B814" s="1604"/>
    </row>
    <row r="815" spans="1:2">
      <c r="A815" s="1604"/>
      <c r="B815" s="1604"/>
    </row>
    <row r="816" spans="1:2">
      <c r="A816" s="1604"/>
      <c r="B816" s="1604"/>
    </row>
    <row r="817" spans="1:2">
      <c r="A817" s="1604"/>
      <c r="B817" s="1604"/>
    </row>
    <row r="818" spans="1:2">
      <c r="A818" s="1604"/>
      <c r="B818" s="1604"/>
    </row>
    <row r="819" spans="1:2">
      <c r="A819" s="1604"/>
      <c r="B819" s="1604"/>
    </row>
    <row r="820" spans="1:2">
      <c r="A820" s="1604"/>
      <c r="B820" s="1604"/>
    </row>
    <row r="821" spans="1:2">
      <c r="A821" s="1604"/>
      <c r="B821" s="1604"/>
    </row>
    <row r="822" spans="1:2">
      <c r="A822" s="1604"/>
      <c r="B822" s="1604"/>
    </row>
    <row r="823" spans="1:2">
      <c r="A823" s="1604"/>
      <c r="B823" s="1604"/>
    </row>
    <row r="824" spans="1:2">
      <c r="A824" s="1604"/>
      <c r="B824" s="1604"/>
    </row>
    <row r="825" spans="1:2">
      <c r="A825" s="1604"/>
      <c r="B825" s="1604"/>
    </row>
    <row r="826" spans="1:2">
      <c r="A826" s="1604"/>
      <c r="B826" s="1604"/>
    </row>
    <row r="827" spans="1:2">
      <c r="A827" s="1604"/>
      <c r="B827" s="1604"/>
    </row>
    <row r="828" spans="1:2">
      <c r="A828" s="1604"/>
      <c r="B828" s="1604"/>
    </row>
    <row r="829" spans="1:2">
      <c r="A829" s="1604"/>
      <c r="B829" s="1604"/>
    </row>
    <row r="830" spans="1:2">
      <c r="A830" s="1604"/>
      <c r="B830" s="1604"/>
    </row>
    <row r="831" spans="1:2">
      <c r="A831" s="1604"/>
      <c r="B831" s="1604"/>
    </row>
    <row r="832" spans="1:2">
      <c r="A832" s="1604"/>
      <c r="B832" s="1604"/>
    </row>
    <row r="833" spans="1:2">
      <c r="A833" s="1604"/>
      <c r="B833" s="1604"/>
    </row>
    <row r="834" spans="1:2">
      <c r="A834" s="1604"/>
      <c r="B834" s="1604"/>
    </row>
    <row r="835" spans="1:2">
      <c r="A835" s="1604"/>
      <c r="B835" s="1604"/>
    </row>
    <row r="836" spans="1:2">
      <c r="A836" s="1604"/>
      <c r="B836" s="1604"/>
    </row>
    <row r="837" spans="1:2">
      <c r="A837" s="1604"/>
      <c r="B837" s="1604"/>
    </row>
    <row r="838" spans="1:2">
      <c r="A838" s="1604"/>
      <c r="B838" s="1604"/>
    </row>
    <row r="839" spans="1:2">
      <c r="A839" s="1604"/>
      <c r="B839" s="1604"/>
    </row>
    <row r="840" spans="1:2">
      <c r="A840" s="1604"/>
      <c r="B840" s="1604"/>
    </row>
    <row r="841" spans="1:2">
      <c r="A841" s="1604"/>
      <c r="B841" s="1604"/>
    </row>
    <row r="842" spans="1:2">
      <c r="A842" s="1604"/>
      <c r="B842" s="1604"/>
    </row>
    <row r="843" spans="1:2">
      <c r="A843" s="1604"/>
      <c r="B843" s="1604"/>
    </row>
    <row r="844" spans="1:2">
      <c r="A844" s="1604"/>
      <c r="B844" s="1604"/>
    </row>
    <row r="845" spans="1:2">
      <c r="A845" s="1604"/>
      <c r="B845" s="1604"/>
    </row>
    <row r="846" spans="1:2">
      <c r="A846" s="1604"/>
      <c r="B846" s="1604"/>
    </row>
    <row r="847" spans="1:2">
      <c r="A847" s="1604"/>
      <c r="B847" s="1604"/>
    </row>
    <row r="848" spans="1:2">
      <c r="A848" s="1604"/>
      <c r="B848" s="1604"/>
    </row>
    <row r="849" spans="1:2">
      <c r="A849" s="1604"/>
      <c r="B849" s="1604"/>
    </row>
    <row r="850" spans="1:2">
      <c r="A850" s="1604"/>
      <c r="B850" s="1604"/>
    </row>
    <row r="851" spans="1:2">
      <c r="A851" s="1604"/>
      <c r="B851" s="1604"/>
    </row>
    <row r="852" spans="1:2">
      <c r="A852" s="1604"/>
      <c r="B852" s="1604"/>
    </row>
    <row r="853" spans="1:2">
      <c r="A853" s="1604"/>
      <c r="B853" s="1604"/>
    </row>
    <row r="854" spans="1:2">
      <c r="A854" s="1604"/>
      <c r="B854" s="1604"/>
    </row>
    <row r="855" spans="1:2">
      <c r="A855" s="1604"/>
      <c r="B855" s="1604"/>
    </row>
    <row r="856" spans="1:2">
      <c r="A856" s="1604"/>
      <c r="B856" s="1604"/>
    </row>
    <row r="857" spans="1:2">
      <c r="A857" s="1604"/>
      <c r="B857" s="1604"/>
    </row>
    <row r="858" spans="1:2">
      <c r="A858" s="1604"/>
      <c r="B858" s="1604"/>
    </row>
    <row r="859" spans="1:2">
      <c r="A859" s="1604"/>
      <c r="B859" s="1604"/>
    </row>
    <row r="860" spans="1:2">
      <c r="A860" s="1604"/>
      <c r="B860" s="1604"/>
    </row>
    <row r="861" spans="1:2">
      <c r="A861" s="1604"/>
      <c r="B861" s="1604"/>
    </row>
    <row r="862" spans="1:2">
      <c r="A862" s="1604"/>
      <c r="B862" s="1604"/>
    </row>
    <row r="863" spans="1:2">
      <c r="A863" s="1604"/>
      <c r="B863" s="1604"/>
    </row>
    <row r="864" spans="1:2">
      <c r="A864" s="1604"/>
      <c r="B864" s="1604"/>
    </row>
    <row r="865" spans="1:2">
      <c r="A865" s="1604"/>
      <c r="B865" s="1604"/>
    </row>
    <row r="866" spans="1:2">
      <c r="A866" s="1604"/>
      <c r="B866" s="1604"/>
    </row>
    <row r="867" spans="1:2">
      <c r="A867" s="1604"/>
      <c r="B867" s="1604"/>
    </row>
    <row r="868" spans="1:2">
      <c r="A868" s="1604"/>
      <c r="B868" s="1604"/>
    </row>
    <row r="869" spans="1:2">
      <c r="A869" s="1604"/>
      <c r="B869" s="1604"/>
    </row>
    <row r="870" spans="1:2">
      <c r="A870" s="1604"/>
      <c r="B870" s="1604"/>
    </row>
    <row r="871" spans="1:2">
      <c r="A871" s="1604"/>
      <c r="B871" s="1604"/>
    </row>
    <row r="872" spans="1:2">
      <c r="A872" s="1604"/>
      <c r="B872" s="1604"/>
    </row>
    <row r="873" spans="1:2">
      <c r="A873" s="1604"/>
      <c r="B873" s="1604"/>
    </row>
    <row r="874" spans="1:2">
      <c r="A874" s="1604"/>
      <c r="B874" s="1604"/>
    </row>
    <row r="875" spans="1:2">
      <c r="A875" s="1604"/>
      <c r="B875" s="1604"/>
    </row>
    <row r="876" spans="1:2">
      <c r="A876" s="1604"/>
      <c r="B876" s="1604"/>
    </row>
    <row r="877" spans="1:2">
      <c r="A877" s="1604"/>
      <c r="B877" s="1604"/>
    </row>
    <row r="878" spans="1:2">
      <c r="A878" s="1604"/>
      <c r="B878" s="1604"/>
    </row>
    <row r="879" spans="1:2">
      <c r="A879" s="1604"/>
      <c r="B879" s="1604"/>
    </row>
    <row r="880" spans="1:2">
      <c r="A880" s="1604"/>
      <c r="B880" s="1604"/>
    </row>
    <row r="881" spans="1:2">
      <c r="A881" s="1604"/>
      <c r="B881" s="1604"/>
    </row>
    <row r="882" spans="1:2">
      <c r="A882" s="1604"/>
      <c r="B882" s="1604"/>
    </row>
    <row r="883" spans="1:2">
      <c r="A883" s="1604"/>
      <c r="B883" s="1604"/>
    </row>
    <row r="884" spans="1:2">
      <c r="A884" s="1604"/>
      <c r="B884" s="1604"/>
    </row>
    <row r="885" spans="1:2">
      <c r="A885" s="1604"/>
      <c r="B885" s="1604"/>
    </row>
    <row r="886" spans="1:2">
      <c r="A886" s="1604"/>
      <c r="B886" s="1604"/>
    </row>
    <row r="887" spans="1:2">
      <c r="A887" s="1604"/>
      <c r="B887" s="1604"/>
    </row>
    <row r="888" spans="1:2">
      <c r="A888" s="1604"/>
      <c r="B888" s="1604"/>
    </row>
    <row r="889" spans="1:2">
      <c r="A889" s="1604"/>
      <c r="B889" s="1604"/>
    </row>
    <row r="890" spans="1:2">
      <c r="A890" s="1604"/>
      <c r="B890" s="1604"/>
    </row>
    <row r="891" spans="1:2">
      <c r="A891" s="1604"/>
      <c r="B891" s="1604"/>
    </row>
    <row r="892" spans="1:2">
      <c r="A892" s="1604"/>
      <c r="B892" s="1604"/>
    </row>
    <row r="893" spans="1:2">
      <c r="A893" s="1604"/>
      <c r="B893" s="1604"/>
    </row>
    <row r="894" spans="1:2">
      <c r="A894" s="1604"/>
      <c r="B894" s="1604"/>
    </row>
    <row r="895" spans="1:2">
      <c r="A895" s="1604"/>
      <c r="B895" s="1604"/>
    </row>
    <row r="896" spans="1:2">
      <c r="A896" s="1604"/>
      <c r="B896" s="1604"/>
    </row>
    <row r="897" spans="1:2">
      <c r="A897" s="1604"/>
      <c r="B897" s="1604"/>
    </row>
    <row r="898" spans="1:2">
      <c r="A898" s="1604"/>
      <c r="B898" s="1604"/>
    </row>
    <row r="899" spans="1:2">
      <c r="A899" s="1604"/>
      <c r="B899" s="1604"/>
    </row>
    <row r="900" spans="1:2">
      <c r="A900" s="1604"/>
      <c r="B900" s="1604"/>
    </row>
    <row r="901" spans="1:2">
      <c r="A901" s="1604"/>
      <c r="B901" s="1604"/>
    </row>
    <row r="902" spans="1:2">
      <c r="A902" s="1604"/>
      <c r="B902" s="1604"/>
    </row>
    <row r="903" spans="1:2">
      <c r="A903" s="1604"/>
      <c r="B903" s="1604"/>
    </row>
    <row r="904" spans="1:2">
      <c r="A904" s="1604"/>
      <c r="B904" s="1604"/>
    </row>
    <row r="905" spans="1:2">
      <c r="A905" s="1604"/>
      <c r="B905" s="1604"/>
    </row>
    <row r="906" spans="1:2">
      <c r="A906" s="1604"/>
      <c r="B906" s="1604"/>
    </row>
    <row r="907" spans="1:2">
      <c r="A907" s="1604"/>
      <c r="B907" s="1604"/>
    </row>
    <row r="908" spans="1:2">
      <c r="A908" s="1604"/>
      <c r="B908" s="1604"/>
    </row>
    <row r="909" spans="1:2">
      <c r="A909" s="1604"/>
      <c r="B909" s="1604"/>
    </row>
    <row r="910" spans="1:2">
      <c r="A910" s="1604"/>
      <c r="B910" s="1604"/>
    </row>
    <row r="911" spans="1:2">
      <c r="A911" s="1604"/>
      <c r="B911" s="1604"/>
    </row>
    <row r="912" spans="1:2">
      <c r="A912" s="1604"/>
      <c r="B912" s="1604"/>
    </row>
    <row r="913" spans="1:2">
      <c r="A913" s="1604"/>
      <c r="B913" s="1604"/>
    </row>
    <row r="914" spans="1:2">
      <c r="A914" s="1604"/>
      <c r="B914" s="1604"/>
    </row>
    <row r="915" spans="1:2">
      <c r="A915" s="1604"/>
      <c r="B915" s="1604"/>
    </row>
    <row r="916" spans="1:2">
      <c r="A916" s="1604"/>
      <c r="B916" s="1604"/>
    </row>
    <row r="917" spans="1:2">
      <c r="A917" s="1604"/>
      <c r="B917" s="1604"/>
    </row>
    <row r="918" spans="1:2">
      <c r="A918" s="1604"/>
      <c r="B918" s="1604"/>
    </row>
    <row r="919" spans="1:2">
      <c r="A919" s="1604"/>
      <c r="B919" s="1604"/>
    </row>
    <row r="920" spans="1:2">
      <c r="A920" s="1604"/>
      <c r="B920" s="1604"/>
    </row>
    <row r="921" spans="1:2">
      <c r="A921" s="1604"/>
      <c r="B921" s="1604"/>
    </row>
    <row r="922" spans="1:2">
      <c r="A922" s="1604"/>
      <c r="B922" s="1604"/>
    </row>
    <row r="923" spans="1:2">
      <c r="A923" s="1604"/>
      <c r="B923" s="1604"/>
    </row>
    <row r="924" spans="1:2">
      <c r="A924" s="1604"/>
      <c r="B924" s="1604"/>
    </row>
    <row r="925" spans="1:2">
      <c r="A925" s="1604"/>
      <c r="B925" s="1604"/>
    </row>
    <row r="926" spans="1:2">
      <c r="A926" s="1604"/>
      <c r="B926" s="1604"/>
    </row>
    <row r="927" spans="1:2">
      <c r="A927" s="1604"/>
      <c r="B927" s="1604"/>
    </row>
    <row r="928" spans="1:2">
      <c r="A928" s="1604"/>
      <c r="B928" s="1604"/>
    </row>
    <row r="929" spans="1:2">
      <c r="A929" s="1604"/>
      <c r="B929" s="1604"/>
    </row>
    <row r="930" spans="1:2">
      <c r="A930" s="1604"/>
      <c r="B930" s="1604"/>
    </row>
    <row r="931" spans="1:2">
      <c r="A931" s="1604"/>
      <c r="B931" s="1604"/>
    </row>
    <row r="932" spans="1:2">
      <c r="A932" s="1604"/>
      <c r="B932" s="1604"/>
    </row>
    <row r="933" spans="1:2">
      <c r="A933" s="1604"/>
      <c r="B933" s="1604"/>
    </row>
    <row r="934" spans="1:2">
      <c r="A934" s="1604"/>
      <c r="B934" s="1604"/>
    </row>
    <row r="935" spans="1:2">
      <c r="A935" s="1604"/>
      <c r="B935" s="1604"/>
    </row>
    <row r="936" spans="1:2">
      <c r="A936" s="1604"/>
      <c r="B936" s="1604"/>
    </row>
    <row r="937" spans="1:2">
      <c r="A937" s="1604"/>
      <c r="B937" s="1604"/>
    </row>
    <row r="938" spans="1:2">
      <c r="A938" s="1604"/>
      <c r="B938" s="1604"/>
    </row>
    <row r="939" spans="1:2">
      <c r="A939" s="1604"/>
      <c r="B939" s="1604"/>
    </row>
    <row r="940" spans="1:2">
      <c r="A940" s="1604"/>
      <c r="B940" s="1604"/>
    </row>
    <row r="941" spans="1:2">
      <c r="A941" s="1604"/>
      <c r="B941" s="1604"/>
    </row>
    <row r="942" spans="1:2">
      <c r="A942" s="1604"/>
      <c r="B942" s="1604"/>
    </row>
    <row r="943" spans="1:2">
      <c r="A943" s="1604"/>
      <c r="B943" s="1604"/>
    </row>
    <row r="944" spans="1:2">
      <c r="A944" s="1604"/>
      <c r="B944" s="1604"/>
    </row>
    <row r="945" spans="1:2">
      <c r="A945" s="1604"/>
      <c r="B945" s="1604"/>
    </row>
    <row r="946" spans="1:2">
      <c r="A946" s="1604"/>
      <c r="B946" s="1604"/>
    </row>
    <row r="947" spans="1:2">
      <c r="A947" s="1604"/>
      <c r="B947" s="1604"/>
    </row>
    <row r="948" spans="1:2">
      <c r="A948" s="1604"/>
      <c r="B948" s="1604"/>
    </row>
    <row r="949" spans="1:2">
      <c r="A949" s="1604"/>
      <c r="B949" s="1604"/>
    </row>
    <row r="950" spans="1:2">
      <c r="A950" s="1604"/>
      <c r="B950" s="1604"/>
    </row>
    <row r="951" spans="1:2">
      <c r="A951" s="1604"/>
      <c r="B951" s="1604"/>
    </row>
    <row r="952" spans="1:2">
      <c r="A952" s="1604"/>
      <c r="B952" s="1604"/>
    </row>
    <row r="953" spans="1:2">
      <c r="A953" s="1604"/>
      <c r="B953" s="1604"/>
    </row>
    <row r="954" spans="1:2">
      <c r="A954" s="1604"/>
      <c r="B954" s="1604"/>
    </row>
    <row r="955" spans="1:2">
      <c r="A955" s="1604"/>
      <c r="B955" s="1604"/>
    </row>
    <row r="956" spans="1:2">
      <c r="A956" s="1604"/>
      <c r="B956" s="1604"/>
    </row>
    <row r="957" spans="1:2">
      <c r="A957" s="1604"/>
      <c r="B957" s="1604"/>
    </row>
    <row r="958" spans="1:2">
      <c r="A958" s="1604"/>
      <c r="B958" s="1604"/>
    </row>
    <row r="959" spans="1:2">
      <c r="A959" s="1604"/>
      <c r="B959" s="1604"/>
    </row>
    <row r="960" spans="1:2">
      <c r="A960" s="1604"/>
      <c r="B960" s="1604"/>
    </row>
    <row r="961" spans="1:2">
      <c r="A961" s="1604"/>
      <c r="B961" s="1604"/>
    </row>
    <row r="962" spans="1:2">
      <c r="A962" s="1604"/>
      <c r="B962" s="1604"/>
    </row>
    <row r="963" spans="1:2">
      <c r="A963" s="1604"/>
      <c r="B963" s="1604"/>
    </row>
    <row r="964" spans="1:2">
      <c r="A964" s="1604"/>
      <c r="B964" s="1604"/>
    </row>
    <row r="965" spans="1:2">
      <c r="A965" s="1604"/>
      <c r="B965" s="1604"/>
    </row>
    <row r="966" spans="1:2">
      <c r="A966" s="1604"/>
      <c r="B966" s="1604"/>
    </row>
    <row r="967" spans="1:2">
      <c r="A967" s="1604"/>
      <c r="B967" s="1604"/>
    </row>
    <row r="968" spans="1:2">
      <c r="A968" s="1604"/>
      <c r="B968" s="1604"/>
    </row>
    <row r="969" spans="1:2">
      <c r="A969" s="1604"/>
      <c r="B969" s="1604"/>
    </row>
    <row r="970" spans="1:2">
      <c r="A970" s="1604"/>
      <c r="B970" s="1604"/>
    </row>
    <row r="971" spans="1:2">
      <c r="A971" s="1604"/>
      <c r="B971" s="1604"/>
    </row>
    <row r="972" spans="1:2">
      <c r="A972" s="1604"/>
      <c r="B972" s="1604"/>
    </row>
    <row r="973" spans="1:2">
      <c r="A973" s="1604"/>
      <c r="B973" s="1604"/>
    </row>
    <row r="974" spans="1:2">
      <c r="A974" s="1604"/>
      <c r="B974" s="1604"/>
    </row>
    <row r="975" spans="1:2">
      <c r="A975" s="1604"/>
      <c r="B975" s="1604"/>
    </row>
    <row r="976" spans="1:2">
      <c r="A976" s="1604"/>
      <c r="B976" s="1604"/>
    </row>
    <row r="977" spans="1:2">
      <c r="A977" s="1604"/>
      <c r="B977" s="1604"/>
    </row>
  </sheetData>
  <sheetProtection algorithmName="SHA-512" hashValue="oiPDhihYZjChQYXga5idVJCSqurA9OPkyWM88ZsWNMzOHcqR0G4Et2bUgg3+rNKn7nofqo2OZYo55MSJ5IZYiw==" saltValue="PrQ5pJ05dbwol2Zey3II/w==" spinCount="100000" sheet="1" objects="1" scenarios="1" selectLockedCells="1"/>
  <protectedRanges>
    <protectedRange sqref="N47:AL47" name="範囲2_1"/>
    <protectedRange sqref="AH274:AJ274 AH278:AJ278" name="範囲1_3_2"/>
    <protectedRange sqref="N236 V236:AP236 P236:T236 N434 V434:AP434 P434:T434 AT367" name="範囲1_3_4"/>
    <protectedRange sqref="N286 V286:AP286 P286:T286" name="範囲1_3_1_2"/>
    <protectedRange sqref="O31:O32" name="範囲1_3_1_1_3"/>
    <protectedRange sqref="O42" name="範囲1_3_1_1_4"/>
    <protectedRange sqref="O43" name="範囲2_1_1_4"/>
    <protectedRange sqref="O57 O68 O164:O165" name="範囲1_3_3_4"/>
    <protectedRange sqref="O69:O70" name="範囲1_3_3_5"/>
    <protectedRange sqref="O82" name="範囲1_3_2_1"/>
  </protectedRanges>
  <mergeCells count="1113">
    <mergeCell ref="AN1:AS1"/>
    <mergeCell ref="B319:E319"/>
    <mergeCell ref="C363:D363"/>
    <mergeCell ref="C364:D364"/>
    <mergeCell ref="C365:D365"/>
    <mergeCell ref="C366:D366"/>
    <mergeCell ref="C367:D367"/>
    <mergeCell ref="C368:D368"/>
    <mergeCell ref="C369:D369"/>
    <mergeCell ref="C370:D370"/>
    <mergeCell ref="C371:D371"/>
    <mergeCell ref="C372:D372"/>
    <mergeCell ref="C373:D373"/>
    <mergeCell ref="C374:D374"/>
    <mergeCell ref="C375:D375"/>
    <mergeCell ref="C376:D376"/>
    <mergeCell ref="C377:D377"/>
    <mergeCell ref="AJ339:AM339"/>
    <mergeCell ref="AJ340:AM340"/>
    <mergeCell ref="AJ341:AM341"/>
    <mergeCell ref="AJ342:AM342"/>
    <mergeCell ref="AJ343:AM343"/>
    <mergeCell ref="AJ344:AM344"/>
    <mergeCell ref="AJ345:AM345"/>
    <mergeCell ref="Z336:AC336"/>
    <mergeCell ref="Z355:AC355"/>
    <mergeCell ref="Z356:AC356"/>
    <mergeCell ref="Z357:AC357"/>
    <mergeCell ref="Z358:AC358"/>
    <mergeCell ref="Z359:AC359"/>
    <mergeCell ref="Z360:AC360"/>
    <mergeCell ref="Z361:AC361"/>
    <mergeCell ref="C297:AS303"/>
    <mergeCell ref="Z378:AC378"/>
    <mergeCell ref="Z364:AC364"/>
    <mergeCell ref="Z365:AC365"/>
    <mergeCell ref="Z366:AC366"/>
    <mergeCell ref="Z367:AC367"/>
    <mergeCell ref="Z368:AC368"/>
    <mergeCell ref="Z369:AC369"/>
    <mergeCell ref="Z370:AC370"/>
    <mergeCell ref="Z371:AC371"/>
    <mergeCell ref="AE373:AH373"/>
    <mergeCell ref="AE374:AH374"/>
    <mergeCell ref="C346:D346"/>
    <mergeCell ref="C347:D347"/>
    <mergeCell ref="C348:D348"/>
    <mergeCell ref="C345:D345"/>
    <mergeCell ref="AJ213:AR213"/>
    <mergeCell ref="AO343:AR343"/>
    <mergeCell ref="AO356:AR356"/>
    <mergeCell ref="AO357:AR357"/>
    <mergeCell ref="C344:D344"/>
    <mergeCell ref="AO339:AR339"/>
    <mergeCell ref="AO340:AR340"/>
    <mergeCell ref="AO341:AR341"/>
    <mergeCell ref="AO342:AR342"/>
    <mergeCell ref="AJ349:AM349"/>
    <mergeCell ref="AJ350:AM350"/>
    <mergeCell ref="AJ351:AM351"/>
    <mergeCell ref="AJ352:AM352"/>
    <mergeCell ref="AJ353:AM353"/>
    <mergeCell ref="AJ354:AM354"/>
    <mergeCell ref="AJ355:AM355"/>
    <mergeCell ref="C349:D349"/>
    <mergeCell ref="C329:D329"/>
    <mergeCell ref="C330:D330"/>
    <mergeCell ref="C331:D331"/>
    <mergeCell ref="C332:D332"/>
    <mergeCell ref="C333:D333"/>
    <mergeCell ref="C334:D334"/>
    <mergeCell ref="C335:D335"/>
    <mergeCell ref="C336:D336"/>
    <mergeCell ref="C337:D337"/>
    <mergeCell ref="C338:D338"/>
    <mergeCell ref="C339:D339"/>
    <mergeCell ref="C340:D340"/>
    <mergeCell ref="C341:D341"/>
    <mergeCell ref="C342:D342"/>
    <mergeCell ref="AJ370:AM370"/>
    <mergeCell ref="AJ371:AM371"/>
    <mergeCell ref="AE339:AH339"/>
    <mergeCell ref="AE340:AH340"/>
    <mergeCell ref="AE341:AH341"/>
    <mergeCell ref="AE342:AH342"/>
    <mergeCell ref="AE343:AH343"/>
    <mergeCell ref="AE362:AH362"/>
    <mergeCell ref="AE363:AH363"/>
    <mergeCell ref="AE364:AH364"/>
    <mergeCell ref="AE365:AH365"/>
    <mergeCell ref="AE366:AH366"/>
    <mergeCell ref="AE367:AH367"/>
    <mergeCell ref="AE353:AH353"/>
    <mergeCell ref="Z362:AC362"/>
    <mergeCell ref="Z363:AC363"/>
    <mergeCell ref="Z338:AC338"/>
    <mergeCell ref="AJ372:AM372"/>
    <mergeCell ref="AJ373:AM373"/>
    <mergeCell ref="AJ374:AM374"/>
    <mergeCell ref="AJ375:AM375"/>
    <mergeCell ref="AJ363:AM363"/>
    <mergeCell ref="AJ364:AM364"/>
    <mergeCell ref="AE375:AH375"/>
    <mergeCell ref="AE376:AH376"/>
    <mergeCell ref="AE377:AH377"/>
    <mergeCell ref="AE378:AH378"/>
    <mergeCell ref="Z377:AC377"/>
    <mergeCell ref="C350:D350"/>
    <mergeCell ref="C351:D351"/>
    <mergeCell ref="C352:D352"/>
    <mergeCell ref="C353:D353"/>
    <mergeCell ref="C354:D354"/>
    <mergeCell ref="C355:D355"/>
    <mergeCell ref="C356:D356"/>
    <mergeCell ref="C357:D357"/>
    <mergeCell ref="C358:D358"/>
    <mergeCell ref="C359:D359"/>
    <mergeCell ref="C360:D360"/>
    <mergeCell ref="C361:D361"/>
    <mergeCell ref="AJ376:AM376"/>
    <mergeCell ref="AE352:AH352"/>
    <mergeCell ref="C362:D362"/>
    <mergeCell ref="AJ365:AM365"/>
    <mergeCell ref="C378:D378"/>
    <mergeCell ref="AE368:AH368"/>
    <mergeCell ref="AE369:AH369"/>
    <mergeCell ref="AE360:AH360"/>
    <mergeCell ref="AE361:AH361"/>
    <mergeCell ref="AO377:AR377"/>
    <mergeCell ref="AO378:AR378"/>
    <mergeCell ref="AO360:AR360"/>
    <mergeCell ref="AO361:AR361"/>
    <mergeCell ref="AO362:AR362"/>
    <mergeCell ref="AO363:AR363"/>
    <mergeCell ref="AO364:AR364"/>
    <mergeCell ref="AO365:AR365"/>
    <mergeCell ref="AO366:AR366"/>
    <mergeCell ref="AO367:AR367"/>
    <mergeCell ref="AO368:AR368"/>
    <mergeCell ref="AO369:AR369"/>
    <mergeCell ref="AO370:AR370"/>
    <mergeCell ref="AO371:AR371"/>
    <mergeCell ref="AO372:AR372"/>
    <mergeCell ref="AO373:AR373"/>
    <mergeCell ref="AO374:AR374"/>
    <mergeCell ref="AO375:AR375"/>
    <mergeCell ref="AO376:AR376"/>
    <mergeCell ref="B320:D320"/>
    <mergeCell ref="B321:D321"/>
    <mergeCell ref="B322:D322"/>
    <mergeCell ref="B323:D323"/>
    <mergeCell ref="B324:D324"/>
    <mergeCell ref="B325:D325"/>
    <mergeCell ref="B326:D326"/>
    <mergeCell ref="B327:D327"/>
    <mergeCell ref="B328:D328"/>
    <mergeCell ref="AJ377:AM377"/>
    <mergeCell ref="AJ378:AM378"/>
    <mergeCell ref="AO320:AR320"/>
    <mergeCell ref="AO321:AR321"/>
    <mergeCell ref="AO322:AR322"/>
    <mergeCell ref="AO323:AR323"/>
    <mergeCell ref="AO324:AR324"/>
    <mergeCell ref="AO325:AR325"/>
    <mergeCell ref="AO326:AR326"/>
    <mergeCell ref="AO327:AR327"/>
    <mergeCell ref="AO328:AR328"/>
    <mergeCell ref="AO329:AR329"/>
    <mergeCell ref="AO330:AR330"/>
    <mergeCell ref="AO331:AR331"/>
    <mergeCell ref="AO332:AR332"/>
    <mergeCell ref="AO333:AR333"/>
    <mergeCell ref="AO334:AR334"/>
    <mergeCell ref="AO335:AR335"/>
    <mergeCell ref="AO336:AR336"/>
    <mergeCell ref="AO337:AR337"/>
    <mergeCell ref="AO338:AR338"/>
    <mergeCell ref="C343:D343"/>
    <mergeCell ref="AO353:AR353"/>
    <mergeCell ref="AO354:AR354"/>
    <mergeCell ref="AO355:AR355"/>
    <mergeCell ref="AE354:AH354"/>
    <mergeCell ref="AE355:AH355"/>
    <mergeCell ref="AE350:AH350"/>
    <mergeCell ref="AE351:AH351"/>
    <mergeCell ref="AO358:AR358"/>
    <mergeCell ref="AJ359:AM359"/>
    <mergeCell ref="AJ360:AM360"/>
    <mergeCell ref="AJ361:AM361"/>
    <mergeCell ref="AJ362:AM362"/>
    <mergeCell ref="AO344:AR344"/>
    <mergeCell ref="AO345:AR345"/>
    <mergeCell ref="AO346:AR346"/>
    <mergeCell ref="AO347:AR347"/>
    <mergeCell ref="AO348:AR348"/>
    <mergeCell ref="AO349:AR349"/>
    <mergeCell ref="AO350:AR350"/>
    <mergeCell ref="AO351:AR351"/>
    <mergeCell ref="AO352:AR352"/>
    <mergeCell ref="AO359:AR359"/>
    <mergeCell ref="AJ358:AM358"/>
    <mergeCell ref="AJ356:AM356"/>
    <mergeCell ref="AJ357:AM357"/>
    <mergeCell ref="AE344:AH344"/>
    <mergeCell ref="AE347:AH347"/>
    <mergeCell ref="AE348:AH348"/>
    <mergeCell ref="AE349:AH349"/>
    <mergeCell ref="AE356:AH356"/>
    <mergeCell ref="AE357:AH357"/>
    <mergeCell ref="AE358:AH358"/>
    <mergeCell ref="AE359:AH359"/>
    <mergeCell ref="AJ324:AM324"/>
    <mergeCell ref="AJ325:AM325"/>
    <mergeCell ref="AJ326:AM326"/>
    <mergeCell ref="AJ327:AM327"/>
    <mergeCell ref="AJ328:AM328"/>
    <mergeCell ref="AJ329:AM329"/>
    <mergeCell ref="AJ330:AM330"/>
    <mergeCell ref="AJ331:AM331"/>
    <mergeCell ref="AJ332:AM332"/>
    <mergeCell ref="AJ333:AM333"/>
    <mergeCell ref="AJ334:AM334"/>
    <mergeCell ref="AJ335:AM335"/>
    <mergeCell ref="AJ336:AM336"/>
    <mergeCell ref="AJ337:AM337"/>
    <mergeCell ref="AJ338:AM338"/>
    <mergeCell ref="AE345:AH345"/>
    <mergeCell ref="AE346:AH346"/>
    <mergeCell ref="AE324:AH324"/>
    <mergeCell ref="AE325:AH325"/>
    <mergeCell ref="AE326:AH326"/>
    <mergeCell ref="AE327:AH327"/>
    <mergeCell ref="AE328:AH328"/>
    <mergeCell ref="AE329:AH329"/>
    <mergeCell ref="AE330:AH330"/>
    <mergeCell ref="AE331:AH331"/>
    <mergeCell ref="AE332:AH332"/>
    <mergeCell ref="AE333:AH333"/>
    <mergeCell ref="AE334:AH334"/>
    <mergeCell ref="AE335:AH335"/>
    <mergeCell ref="AE336:AH336"/>
    <mergeCell ref="AE337:AH337"/>
    <mergeCell ref="AE338:AH338"/>
    <mergeCell ref="Z339:AC339"/>
    <mergeCell ref="Z340:AC340"/>
    <mergeCell ref="Z341:AC341"/>
    <mergeCell ref="Z342:AC342"/>
    <mergeCell ref="Z343:AC343"/>
    <mergeCell ref="Z344:AC344"/>
    <mergeCell ref="Z345:AC345"/>
    <mergeCell ref="Z346:AC346"/>
    <mergeCell ref="Z347:AC347"/>
    <mergeCell ref="Z348:AC348"/>
    <mergeCell ref="Z349:AC349"/>
    <mergeCell ref="Z350:AC350"/>
    <mergeCell ref="Z351:AC351"/>
    <mergeCell ref="Z352:AC352"/>
    <mergeCell ref="U368:X368"/>
    <mergeCell ref="U369:X369"/>
    <mergeCell ref="U370:X370"/>
    <mergeCell ref="U371:X371"/>
    <mergeCell ref="Z353:AC353"/>
    <mergeCell ref="Z354:AC354"/>
    <mergeCell ref="AE313:AI314"/>
    <mergeCell ref="AE315:AI318"/>
    <mergeCell ref="AJ313:AN314"/>
    <mergeCell ref="AJ315:AN318"/>
    <mergeCell ref="U339:X339"/>
    <mergeCell ref="U340:X340"/>
    <mergeCell ref="U341:X341"/>
    <mergeCell ref="U342:X342"/>
    <mergeCell ref="U343:X343"/>
    <mergeCell ref="U344:X344"/>
    <mergeCell ref="U345:X345"/>
    <mergeCell ref="U346:X346"/>
    <mergeCell ref="U347:X347"/>
    <mergeCell ref="U348:X348"/>
    <mergeCell ref="U349:X349"/>
    <mergeCell ref="U350:X350"/>
    <mergeCell ref="U351:X351"/>
    <mergeCell ref="U352:X352"/>
    <mergeCell ref="U336:X336"/>
    <mergeCell ref="Z329:AC329"/>
    <mergeCell ref="Z330:AC330"/>
    <mergeCell ref="Z331:AC331"/>
    <mergeCell ref="Z332:AC332"/>
    <mergeCell ref="Z333:AC333"/>
    <mergeCell ref="Z334:AC334"/>
    <mergeCell ref="Z335:AC335"/>
    <mergeCell ref="U337:X337"/>
    <mergeCell ref="U338:X338"/>
    <mergeCell ref="AE370:AH370"/>
    <mergeCell ref="AO313:AS314"/>
    <mergeCell ref="AO315:AS318"/>
    <mergeCell ref="U319:X319"/>
    <mergeCell ref="Z319:AC319"/>
    <mergeCell ref="AE319:AH319"/>
    <mergeCell ref="AJ319:AM319"/>
    <mergeCell ref="AO319:AR319"/>
    <mergeCell ref="U320:X320"/>
    <mergeCell ref="U321:X321"/>
    <mergeCell ref="U322:X322"/>
    <mergeCell ref="U323:X323"/>
    <mergeCell ref="AE320:AH320"/>
    <mergeCell ref="AE321:AH321"/>
    <mergeCell ref="AE322:AH322"/>
    <mergeCell ref="AE323:AH323"/>
    <mergeCell ref="AJ320:AM320"/>
    <mergeCell ref="AJ321:AM321"/>
    <mergeCell ref="AJ322:AM322"/>
    <mergeCell ref="AJ323:AM323"/>
    <mergeCell ref="Z320:AC320"/>
    <mergeCell ref="Z321:AC321"/>
    <mergeCell ref="Z322:AC322"/>
    <mergeCell ref="Z323:AC323"/>
    <mergeCell ref="U377:X377"/>
    <mergeCell ref="Z313:AD314"/>
    <mergeCell ref="Z315:AD318"/>
    <mergeCell ref="U372:X372"/>
    <mergeCell ref="U373:X373"/>
    <mergeCell ref="U374:X374"/>
    <mergeCell ref="U375:X375"/>
    <mergeCell ref="U376:X376"/>
    <mergeCell ref="Z372:AC372"/>
    <mergeCell ref="Z373:AC373"/>
    <mergeCell ref="Z374:AC374"/>
    <mergeCell ref="Z375:AC375"/>
    <mergeCell ref="Z376:AC376"/>
    <mergeCell ref="Z324:AC324"/>
    <mergeCell ref="Z325:AC325"/>
    <mergeCell ref="Z326:AC326"/>
    <mergeCell ref="Z327:AC327"/>
    <mergeCell ref="Z328:AC328"/>
    <mergeCell ref="U313:Y314"/>
    <mergeCell ref="U315:Y318"/>
    <mergeCell ref="U324:X324"/>
    <mergeCell ref="U325:X325"/>
    <mergeCell ref="U326:X326"/>
    <mergeCell ref="U327:X327"/>
    <mergeCell ref="U328:X328"/>
    <mergeCell ref="U329:X329"/>
    <mergeCell ref="U330:X330"/>
    <mergeCell ref="U331:X331"/>
    <mergeCell ref="U332:X332"/>
    <mergeCell ref="U333:X333"/>
    <mergeCell ref="U334:X334"/>
    <mergeCell ref="U335:X335"/>
    <mergeCell ref="P352:S352"/>
    <mergeCell ref="P353:S353"/>
    <mergeCell ref="P354:S354"/>
    <mergeCell ref="P355:S355"/>
    <mergeCell ref="P356:S356"/>
    <mergeCell ref="P357:S357"/>
    <mergeCell ref="P358:S358"/>
    <mergeCell ref="P359:S359"/>
    <mergeCell ref="P360:S360"/>
    <mergeCell ref="P361:S361"/>
    <mergeCell ref="P362:S362"/>
    <mergeCell ref="P364:S364"/>
    <mergeCell ref="P365:S365"/>
    <mergeCell ref="P367:S367"/>
    <mergeCell ref="U353:X353"/>
    <mergeCell ref="U354:X354"/>
    <mergeCell ref="U355:X355"/>
    <mergeCell ref="U364:X364"/>
    <mergeCell ref="U365:X365"/>
    <mergeCell ref="U366:X366"/>
    <mergeCell ref="U367:X367"/>
    <mergeCell ref="U363:X363"/>
    <mergeCell ref="P334:S334"/>
    <mergeCell ref="P335:S335"/>
    <mergeCell ref="P336:S336"/>
    <mergeCell ref="P337:S337"/>
    <mergeCell ref="P338:S338"/>
    <mergeCell ref="P339:S339"/>
    <mergeCell ref="P340:S340"/>
    <mergeCell ref="P341:S341"/>
    <mergeCell ref="P342:S342"/>
    <mergeCell ref="P343:S343"/>
    <mergeCell ref="P344:S344"/>
    <mergeCell ref="P345:S345"/>
    <mergeCell ref="P346:S346"/>
    <mergeCell ref="P347:S347"/>
    <mergeCell ref="P348:S348"/>
    <mergeCell ref="P349:S349"/>
    <mergeCell ref="P350:S350"/>
    <mergeCell ref="P319:S319"/>
    <mergeCell ref="P313:T314"/>
    <mergeCell ref="P315:T318"/>
    <mergeCell ref="P320:S320"/>
    <mergeCell ref="P321:S321"/>
    <mergeCell ref="P322:S322"/>
    <mergeCell ref="P323:S323"/>
    <mergeCell ref="P324:S324"/>
    <mergeCell ref="P325:S325"/>
    <mergeCell ref="P326:S326"/>
    <mergeCell ref="P327:S327"/>
    <mergeCell ref="P328:S328"/>
    <mergeCell ref="P329:S329"/>
    <mergeCell ref="P330:S330"/>
    <mergeCell ref="P331:S331"/>
    <mergeCell ref="P332:S332"/>
    <mergeCell ref="P333:S333"/>
    <mergeCell ref="K334:N334"/>
    <mergeCell ref="K335:N335"/>
    <mergeCell ref="K336:N336"/>
    <mergeCell ref="K337:N337"/>
    <mergeCell ref="K338:N338"/>
    <mergeCell ref="K339:N339"/>
    <mergeCell ref="K340:N340"/>
    <mergeCell ref="K341:N341"/>
    <mergeCell ref="F359:I359"/>
    <mergeCell ref="F360:I360"/>
    <mergeCell ref="F361:I361"/>
    <mergeCell ref="F362:I362"/>
    <mergeCell ref="K342:N342"/>
    <mergeCell ref="K343:N343"/>
    <mergeCell ref="K344:N344"/>
    <mergeCell ref="K345:N345"/>
    <mergeCell ref="K346:N346"/>
    <mergeCell ref="K347:N347"/>
    <mergeCell ref="K348:N348"/>
    <mergeCell ref="K349:N349"/>
    <mergeCell ref="K350:N350"/>
    <mergeCell ref="K351:N351"/>
    <mergeCell ref="K352:N352"/>
    <mergeCell ref="K353:N353"/>
    <mergeCell ref="K354:N354"/>
    <mergeCell ref="K355:N355"/>
    <mergeCell ref="K356:N356"/>
    <mergeCell ref="K357:N357"/>
    <mergeCell ref="K358:N358"/>
    <mergeCell ref="K359:N359"/>
    <mergeCell ref="K360:N360"/>
    <mergeCell ref="K361:N361"/>
    <mergeCell ref="K313:O314"/>
    <mergeCell ref="K315:O318"/>
    <mergeCell ref="K319:N319"/>
    <mergeCell ref="K320:N320"/>
    <mergeCell ref="K321:N321"/>
    <mergeCell ref="K322:N322"/>
    <mergeCell ref="K323:N323"/>
    <mergeCell ref="K324:N324"/>
    <mergeCell ref="K325:N325"/>
    <mergeCell ref="K326:N326"/>
    <mergeCell ref="K327:N327"/>
    <mergeCell ref="K328:N328"/>
    <mergeCell ref="K329:N329"/>
    <mergeCell ref="K330:N330"/>
    <mergeCell ref="K331:N331"/>
    <mergeCell ref="K332:N332"/>
    <mergeCell ref="K333:N333"/>
    <mergeCell ref="U378:X378"/>
    <mergeCell ref="K375:N375"/>
    <mergeCell ref="K376:N376"/>
    <mergeCell ref="K377:N377"/>
    <mergeCell ref="K378:N378"/>
    <mergeCell ref="Z456:AA456"/>
    <mergeCell ref="P366:S366"/>
    <mergeCell ref="F342:I342"/>
    <mergeCell ref="F343:I343"/>
    <mergeCell ref="F344:I344"/>
    <mergeCell ref="F345:I345"/>
    <mergeCell ref="F346:I346"/>
    <mergeCell ref="F347:I347"/>
    <mergeCell ref="F348:I348"/>
    <mergeCell ref="F349:I349"/>
    <mergeCell ref="F350:I350"/>
    <mergeCell ref="F351:I351"/>
    <mergeCell ref="F352:I352"/>
    <mergeCell ref="F353:I353"/>
    <mergeCell ref="F354:I354"/>
    <mergeCell ref="F355:I355"/>
    <mergeCell ref="F356:I356"/>
    <mergeCell ref="F357:I357"/>
    <mergeCell ref="F358:I358"/>
    <mergeCell ref="K362:N362"/>
    <mergeCell ref="K363:N363"/>
    <mergeCell ref="K364:N364"/>
    <mergeCell ref="K365:N365"/>
    <mergeCell ref="K366:N366"/>
    <mergeCell ref="K367:N367"/>
    <mergeCell ref="K368:N368"/>
    <mergeCell ref="P351:S351"/>
    <mergeCell ref="F364:I364"/>
    <mergeCell ref="F365:I365"/>
    <mergeCell ref="F366:I366"/>
    <mergeCell ref="F367:I367"/>
    <mergeCell ref="F368:I368"/>
    <mergeCell ref="F369:I369"/>
    <mergeCell ref="F370:I370"/>
    <mergeCell ref="F371:I371"/>
    <mergeCell ref="F372:I372"/>
    <mergeCell ref="F373:I373"/>
    <mergeCell ref="F374:I374"/>
    <mergeCell ref="F375:I375"/>
    <mergeCell ref="F376:I376"/>
    <mergeCell ref="F377:I377"/>
    <mergeCell ref="F378:I378"/>
    <mergeCell ref="P369:S369"/>
    <mergeCell ref="P370:S370"/>
    <mergeCell ref="P371:S371"/>
    <mergeCell ref="P372:S372"/>
    <mergeCell ref="P373:S373"/>
    <mergeCell ref="P374:S374"/>
    <mergeCell ref="P375:S375"/>
    <mergeCell ref="P376:S376"/>
    <mergeCell ref="P377:S377"/>
    <mergeCell ref="P378:S378"/>
    <mergeCell ref="K370:N370"/>
    <mergeCell ref="K371:N371"/>
    <mergeCell ref="K372:N372"/>
    <mergeCell ref="K373:N373"/>
    <mergeCell ref="K374:N374"/>
    <mergeCell ref="K369:N369"/>
    <mergeCell ref="P368:S368"/>
    <mergeCell ref="B738:AT738"/>
    <mergeCell ref="B731:AT731"/>
    <mergeCell ref="B732:AT732"/>
    <mergeCell ref="B733:AT733"/>
    <mergeCell ref="B734:AT734"/>
    <mergeCell ref="B735:AT735"/>
    <mergeCell ref="B736:AT736"/>
    <mergeCell ref="B725:AT725"/>
    <mergeCell ref="B726:AT726"/>
    <mergeCell ref="B727:AT727"/>
    <mergeCell ref="B728:AT728"/>
    <mergeCell ref="B729:AT729"/>
    <mergeCell ref="B730:AT730"/>
    <mergeCell ref="F313:J318"/>
    <mergeCell ref="B313:E318"/>
    <mergeCell ref="F319:I319"/>
    <mergeCell ref="F320:I320"/>
    <mergeCell ref="F321:I321"/>
    <mergeCell ref="F322:I322"/>
    <mergeCell ref="F323:I323"/>
    <mergeCell ref="F324:I324"/>
    <mergeCell ref="F325:I325"/>
    <mergeCell ref="F326:I326"/>
    <mergeCell ref="F327:I327"/>
    <mergeCell ref="F328:I328"/>
    <mergeCell ref="F329:I329"/>
    <mergeCell ref="F330:I330"/>
    <mergeCell ref="F331:I331"/>
    <mergeCell ref="K437:L437"/>
    <mergeCell ref="X437:AA437"/>
    <mergeCell ref="K431:L431"/>
    <mergeCell ref="F363:I363"/>
    <mergeCell ref="B712:AT712"/>
    <mergeCell ref="B701:AT701"/>
    <mergeCell ref="B702:AT702"/>
    <mergeCell ref="B703:AT703"/>
    <mergeCell ref="B704:AT704"/>
    <mergeCell ref="B705:AT705"/>
    <mergeCell ref="B706:AT706"/>
    <mergeCell ref="B719:AT719"/>
    <mergeCell ref="B720:AT720"/>
    <mergeCell ref="B721:AT721"/>
    <mergeCell ref="B722:AT722"/>
    <mergeCell ref="B723:AT723"/>
    <mergeCell ref="B724:AT724"/>
    <mergeCell ref="B713:AT713"/>
    <mergeCell ref="B714:AT714"/>
    <mergeCell ref="B715:AT715"/>
    <mergeCell ref="B716:AT716"/>
    <mergeCell ref="B717:AT717"/>
    <mergeCell ref="B718:AT718"/>
    <mergeCell ref="B695:AT695"/>
    <mergeCell ref="B696:AT696"/>
    <mergeCell ref="B697:AT697"/>
    <mergeCell ref="B698:AT698"/>
    <mergeCell ref="B699:AT699"/>
    <mergeCell ref="B700:AT700"/>
    <mergeCell ref="B689:AT689"/>
    <mergeCell ref="B690:AT690"/>
    <mergeCell ref="B691:AT691"/>
    <mergeCell ref="B692:AT692"/>
    <mergeCell ref="B693:AT693"/>
    <mergeCell ref="B694:AT694"/>
    <mergeCell ref="B707:AT707"/>
    <mergeCell ref="B708:AT708"/>
    <mergeCell ref="B709:AT709"/>
    <mergeCell ref="B710:AT710"/>
    <mergeCell ref="B711:AT711"/>
    <mergeCell ref="B676:AT676"/>
    <mergeCell ref="B665:AT665"/>
    <mergeCell ref="B666:AT666"/>
    <mergeCell ref="B667:AT667"/>
    <mergeCell ref="B668:AT668"/>
    <mergeCell ref="B669:AT669"/>
    <mergeCell ref="B670:AT670"/>
    <mergeCell ref="B683:AT683"/>
    <mergeCell ref="B684:AT684"/>
    <mergeCell ref="B685:AT685"/>
    <mergeCell ref="B686:AT686"/>
    <mergeCell ref="B687:AT687"/>
    <mergeCell ref="B688:AT688"/>
    <mergeCell ref="B677:AT677"/>
    <mergeCell ref="B678:AT678"/>
    <mergeCell ref="B679:AT679"/>
    <mergeCell ref="B680:AT680"/>
    <mergeCell ref="B681:AT681"/>
    <mergeCell ref="B682:AT682"/>
    <mergeCell ref="B659:AT659"/>
    <mergeCell ref="B660:AT660"/>
    <mergeCell ref="B661:AT661"/>
    <mergeCell ref="B662:AT662"/>
    <mergeCell ref="B663:AT663"/>
    <mergeCell ref="B664:AT664"/>
    <mergeCell ref="B653:AT653"/>
    <mergeCell ref="B654:AT654"/>
    <mergeCell ref="B655:AT655"/>
    <mergeCell ref="B656:AT656"/>
    <mergeCell ref="B657:AT657"/>
    <mergeCell ref="B658:AT658"/>
    <mergeCell ref="B671:AT671"/>
    <mergeCell ref="B672:AT672"/>
    <mergeCell ref="B673:AT673"/>
    <mergeCell ref="B674:AT674"/>
    <mergeCell ref="B675:AT675"/>
    <mergeCell ref="B640:AT640"/>
    <mergeCell ref="B629:AT629"/>
    <mergeCell ref="B630:AT630"/>
    <mergeCell ref="B631:AT631"/>
    <mergeCell ref="B632:AT632"/>
    <mergeCell ref="B633:AT633"/>
    <mergeCell ref="B634:AT634"/>
    <mergeCell ref="B647:AT647"/>
    <mergeCell ref="B648:AT648"/>
    <mergeCell ref="B649:AT649"/>
    <mergeCell ref="B650:AT650"/>
    <mergeCell ref="B651:AT651"/>
    <mergeCell ref="B652:AT652"/>
    <mergeCell ref="B641:AT641"/>
    <mergeCell ref="B642:AT642"/>
    <mergeCell ref="B643:AT643"/>
    <mergeCell ref="B644:AT644"/>
    <mergeCell ref="B645:AT645"/>
    <mergeCell ref="B646:AT646"/>
    <mergeCell ref="B623:AT623"/>
    <mergeCell ref="B624:AT624"/>
    <mergeCell ref="B625:AT625"/>
    <mergeCell ref="B626:AT626"/>
    <mergeCell ref="B627:AT627"/>
    <mergeCell ref="B628:AT628"/>
    <mergeCell ref="B617:AT617"/>
    <mergeCell ref="B618:AT618"/>
    <mergeCell ref="B619:AT619"/>
    <mergeCell ref="B620:AT620"/>
    <mergeCell ref="B621:AT621"/>
    <mergeCell ref="B622:AT622"/>
    <mergeCell ref="B635:AT635"/>
    <mergeCell ref="B636:AT636"/>
    <mergeCell ref="B637:AT637"/>
    <mergeCell ref="B638:AT638"/>
    <mergeCell ref="B639:AT639"/>
    <mergeCell ref="B601:G601"/>
    <mergeCell ref="H601:Q601"/>
    <mergeCell ref="R601:AA601"/>
    <mergeCell ref="AB601:AG601"/>
    <mergeCell ref="AH601:AS601"/>
    <mergeCell ref="B602:G602"/>
    <mergeCell ref="H602:Q602"/>
    <mergeCell ref="R602:AA602"/>
    <mergeCell ref="AB602:AG602"/>
    <mergeCell ref="AH602:AS602"/>
    <mergeCell ref="B611:AT611"/>
    <mergeCell ref="B612:AT612"/>
    <mergeCell ref="B613:AT613"/>
    <mergeCell ref="B614:AT614"/>
    <mergeCell ref="B615:AT615"/>
    <mergeCell ref="B616:AT616"/>
    <mergeCell ref="B605:AT605"/>
    <mergeCell ref="B606:AT606"/>
    <mergeCell ref="B607:AT607"/>
    <mergeCell ref="B608:AT608"/>
    <mergeCell ref="B609:AT609"/>
    <mergeCell ref="B610:AT610"/>
    <mergeCell ref="B597:G597"/>
    <mergeCell ref="H597:Q597"/>
    <mergeCell ref="R597:AA597"/>
    <mergeCell ref="AB597:AG597"/>
    <mergeCell ref="AH597:AS597"/>
    <mergeCell ref="B598:G598"/>
    <mergeCell ref="H598:Q598"/>
    <mergeCell ref="R598:AA598"/>
    <mergeCell ref="AB598:AG598"/>
    <mergeCell ref="AH598:AS598"/>
    <mergeCell ref="B599:G599"/>
    <mergeCell ref="H599:Q599"/>
    <mergeCell ref="R599:AA599"/>
    <mergeCell ref="AB599:AG599"/>
    <mergeCell ref="AH599:AS599"/>
    <mergeCell ref="B600:G600"/>
    <mergeCell ref="H600:Q600"/>
    <mergeCell ref="R600:AA600"/>
    <mergeCell ref="AB600:AG600"/>
    <mergeCell ref="AH600:AS600"/>
    <mergeCell ref="B593:G593"/>
    <mergeCell ref="H593:Q593"/>
    <mergeCell ref="R593:AA593"/>
    <mergeCell ref="AB593:AG593"/>
    <mergeCell ref="AH593:AS593"/>
    <mergeCell ref="B594:G594"/>
    <mergeCell ref="H594:Q594"/>
    <mergeCell ref="R594:AA594"/>
    <mergeCell ref="AB594:AG594"/>
    <mergeCell ref="AH594:AS594"/>
    <mergeCell ref="B595:G595"/>
    <mergeCell ref="H595:Q595"/>
    <mergeCell ref="R595:AA595"/>
    <mergeCell ref="AB595:AG595"/>
    <mergeCell ref="AH595:AS595"/>
    <mergeCell ref="B596:G596"/>
    <mergeCell ref="H596:Q596"/>
    <mergeCell ref="R596:AA596"/>
    <mergeCell ref="AB596:AG596"/>
    <mergeCell ref="AH596:AS596"/>
    <mergeCell ref="B589:G589"/>
    <mergeCell ref="H589:Q589"/>
    <mergeCell ref="R589:AA589"/>
    <mergeCell ref="AB589:AG589"/>
    <mergeCell ref="AH589:AS589"/>
    <mergeCell ref="B590:G590"/>
    <mergeCell ref="H590:Q590"/>
    <mergeCell ref="R590:AA590"/>
    <mergeCell ref="AB590:AG590"/>
    <mergeCell ref="AH590:AS590"/>
    <mergeCell ref="B591:G591"/>
    <mergeCell ref="H591:Q591"/>
    <mergeCell ref="R591:AA591"/>
    <mergeCell ref="AB591:AG591"/>
    <mergeCell ref="AH591:AS591"/>
    <mergeCell ref="B592:G592"/>
    <mergeCell ref="H592:Q592"/>
    <mergeCell ref="R592:AA592"/>
    <mergeCell ref="AB592:AG592"/>
    <mergeCell ref="AH592:AS592"/>
    <mergeCell ref="B585:G585"/>
    <mergeCell ref="H585:Q585"/>
    <mergeCell ref="R585:AA585"/>
    <mergeCell ref="AB585:AG585"/>
    <mergeCell ref="AH585:AS585"/>
    <mergeCell ref="B586:G586"/>
    <mergeCell ref="H586:Q586"/>
    <mergeCell ref="R586:AA586"/>
    <mergeCell ref="AB586:AG586"/>
    <mergeCell ref="AH586:AS586"/>
    <mergeCell ref="B587:G587"/>
    <mergeCell ref="H587:Q587"/>
    <mergeCell ref="R587:AA587"/>
    <mergeCell ref="AB587:AG587"/>
    <mergeCell ref="AH587:AS587"/>
    <mergeCell ref="B588:G588"/>
    <mergeCell ref="H588:Q588"/>
    <mergeCell ref="R588:AA588"/>
    <mergeCell ref="AB588:AG588"/>
    <mergeCell ref="AH588:AS588"/>
    <mergeCell ref="B577:AT577"/>
    <mergeCell ref="B582:G582"/>
    <mergeCell ref="H582:Q582"/>
    <mergeCell ref="R582:AA582"/>
    <mergeCell ref="AB582:AG582"/>
    <mergeCell ref="AH582:AS582"/>
    <mergeCell ref="B583:G583"/>
    <mergeCell ref="H583:Q583"/>
    <mergeCell ref="R583:AA583"/>
    <mergeCell ref="AB583:AG583"/>
    <mergeCell ref="AH583:AS583"/>
    <mergeCell ref="AH437:AN437"/>
    <mergeCell ref="AA574:AB574"/>
    <mergeCell ref="AD574:AE574"/>
    <mergeCell ref="C468:AS475"/>
    <mergeCell ref="B489:AT489"/>
    <mergeCell ref="B584:G584"/>
    <mergeCell ref="H584:Q584"/>
    <mergeCell ref="R584:AA584"/>
    <mergeCell ref="AB584:AG584"/>
    <mergeCell ref="AH584:AS584"/>
    <mergeCell ref="AC456:AD456"/>
    <mergeCell ref="N438:V438"/>
    <mergeCell ref="N439:AT439"/>
    <mergeCell ref="N440:AD440"/>
    <mergeCell ref="X447:Y447"/>
    <mergeCell ref="Z447:AA447"/>
    <mergeCell ref="AC447:AD447"/>
    <mergeCell ref="X448:Y448"/>
    <mergeCell ref="Z448:AA448"/>
    <mergeCell ref="AC448:AD448"/>
    <mergeCell ref="X456:Y456"/>
    <mergeCell ref="R419:S419"/>
    <mergeCell ref="T419:U419"/>
    <mergeCell ref="W419:X419"/>
    <mergeCell ref="R407:S407"/>
    <mergeCell ref="T407:U407"/>
    <mergeCell ref="W407:X407"/>
    <mergeCell ref="R411:S411"/>
    <mergeCell ref="T411:U411"/>
    <mergeCell ref="W411:X411"/>
    <mergeCell ref="AH432:AN432"/>
    <mergeCell ref="AH433:AN433"/>
    <mergeCell ref="N434:AT434"/>
    <mergeCell ref="N435:AT435"/>
    <mergeCell ref="N436:AT436"/>
    <mergeCell ref="T429:U429"/>
    <mergeCell ref="V429:W429"/>
    <mergeCell ref="Y429:Z429"/>
    <mergeCell ref="X431:AC431"/>
    <mergeCell ref="AH431:AN431"/>
    <mergeCell ref="AC426:AR426"/>
    <mergeCell ref="AC427:AR427"/>
    <mergeCell ref="R399:S399"/>
    <mergeCell ref="T399:U399"/>
    <mergeCell ref="W399:X399"/>
    <mergeCell ref="R403:S403"/>
    <mergeCell ref="T403:U403"/>
    <mergeCell ref="W403:X403"/>
    <mergeCell ref="Y390:AB390"/>
    <mergeCell ref="AD390:AG390"/>
    <mergeCell ref="Y391:AB391"/>
    <mergeCell ref="AD391:AG391"/>
    <mergeCell ref="Y392:AB392"/>
    <mergeCell ref="AD392:AG392"/>
    <mergeCell ref="Y395:AG395"/>
    <mergeCell ref="R415:S415"/>
    <mergeCell ref="T415:U415"/>
    <mergeCell ref="W415:X415"/>
    <mergeCell ref="N398:V398"/>
    <mergeCell ref="N402:V402"/>
    <mergeCell ref="N406:V406"/>
    <mergeCell ref="N410:V410"/>
    <mergeCell ref="N414:V414"/>
    <mergeCell ref="N286:AT286"/>
    <mergeCell ref="N287:AT287"/>
    <mergeCell ref="N288:AT288"/>
    <mergeCell ref="K289:L289"/>
    <mergeCell ref="X289:AA289"/>
    <mergeCell ref="AH289:AN289"/>
    <mergeCell ref="AK279:AR279"/>
    <mergeCell ref="K283:L283"/>
    <mergeCell ref="X283:AC283"/>
    <mergeCell ref="AH283:AN283"/>
    <mergeCell ref="AH284:AN284"/>
    <mergeCell ref="AH285:AN285"/>
    <mergeCell ref="B380:AT380"/>
    <mergeCell ref="S385:T385"/>
    <mergeCell ref="U385:V385"/>
    <mergeCell ref="X385:Y385"/>
    <mergeCell ref="AA385:AB385"/>
    <mergeCell ref="N290:V290"/>
    <mergeCell ref="N291:AT291"/>
    <mergeCell ref="N292:AD292"/>
    <mergeCell ref="B309:AT309"/>
    <mergeCell ref="P363:S363"/>
    <mergeCell ref="F332:I332"/>
    <mergeCell ref="F333:I333"/>
    <mergeCell ref="F334:I334"/>
    <mergeCell ref="F335:I335"/>
    <mergeCell ref="F336:I336"/>
    <mergeCell ref="F337:I337"/>
    <mergeCell ref="Z337:AC337"/>
    <mergeCell ref="F338:I338"/>
    <mergeCell ref="F339:I339"/>
    <mergeCell ref="F340:I340"/>
    <mergeCell ref="K258:L258"/>
    <mergeCell ref="M258:N258"/>
    <mergeCell ref="P258:Q258"/>
    <mergeCell ref="S258:T258"/>
    <mergeCell ref="AA258:AR258"/>
    <mergeCell ref="K259:L259"/>
    <mergeCell ref="M259:N259"/>
    <mergeCell ref="P259:Q259"/>
    <mergeCell ref="S259:T259"/>
    <mergeCell ref="AK275:AR275"/>
    <mergeCell ref="U278:V278"/>
    <mergeCell ref="W278:X278"/>
    <mergeCell ref="Z278:AA278"/>
    <mergeCell ref="AC278:AD278"/>
    <mergeCell ref="K260:L260"/>
    <mergeCell ref="M260:N260"/>
    <mergeCell ref="P260:Q260"/>
    <mergeCell ref="S260:T260"/>
    <mergeCell ref="U274:V274"/>
    <mergeCell ref="W274:X274"/>
    <mergeCell ref="Z274:AA274"/>
    <mergeCell ref="AC274:AD274"/>
    <mergeCell ref="AA259:AR259"/>
    <mergeCell ref="AA260:AR260"/>
    <mergeCell ref="AH274:AR274"/>
    <mergeCell ref="AH278:AR278"/>
    <mergeCell ref="AH233:AN233"/>
    <mergeCell ref="AH234:AN234"/>
    <mergeCell ref="AH235:AN235"/>
    <mergeCell ref="N236:AT236"/>
    <mergeCell ref="N237:AT237"/>
    <mergeCell ref="N238:AT238"/>
    <mergeCell ref="V230:Z230"/>
    <mergeCell ref="AD230:AG230"/>
    <mergeCell ref="V231:Z231"/>
    <mergeCell ref="AD231:AG231"/>
    <mergeCell ref="AD228:AG228"/>
    <mergeCell ref="Z249:AB249"/>
    <mergeCell ref="AP249:AR249"/>
    <mergeCell ref="T251:AO251"/>
    <mergeCell ref="K257:L257"/>
    <mergeCell ref="M257:N257"/>
    <mergeCell ref="P257:Q257"/>
    <mergeCell ref="S257:T257"/>
    <mergeCell ref="K239:L239"/>
    <mergeCell ref="X239:AA239"/>
    <mergeCell ref="AH239:AN239"/>
    <mergeCell ref="N240:V240"/>
    <mergeCell ref="N241:AT241"/>
    <mergeCell ref="N242:AD242"/>
    <mergeCell ref="AA257:AR257"/>
    <mergeCell ref="B188:AT188"/>
    <mergeCell ref="T194:AE194"/>
    <mergeCell ref="O195:AS195"/>
    <mergeCell ref="AF203:AQ203"/>
    <mergeCell ref="R204:T204"/>
    <mergeCell ref="Z204:AB204"/>
    <mergeCell ref="N103:AT103"/>
    <mergeCell ref="N104:AT104"/>
    <mergeCell ref="N105:AT105"/>
    <mergeCell ref="N106:AT106"/>
    <mergeCell ref="C113:D113"/>
    <mergeCell ref="L113:AK119"/>
    <mergeCell ref="AN113:AR119"/>
    <mergeCell ref="D116:I116"/>
    <mergeCell ref="G119:J119"/>
    <mergeCell ref="AS119:AS120"/>
    <mergeCell ref="B128:AT128"/>
    <mergeCell ref="C135:I135"/>
    <mergeCell ref="J135:AS154"/>
    <mergeCell ref="P162:Q162"/>
    <mergeCell ref="Z162:AG162"/>
    <mergeCell ref="AM162:AR162"/>
    <mergeCell ref="AM163:AR163"/>
    <mergeCell ref="O164:AS164"/>
    <mergeCell ref="O165:AS165"/>
    <mergeCell ref="O74:AB74"/>
    <mergeCell ref="AM67:AR67"/>
    <mergeCell ref="O68:AS68"/>
    <mergeCell ref="O69:AS69"/>
    <mergeCell ref="O70:AS70"/>
    <mergeCell ref="P71:Q71"/>
    <mergeCell ref="Z71:AE71"/>
    <mergeCell ref="AM71:AR71"/>
    <mergeCell ref="N88:AT88"/>
    <mergeCell ref="O96:AS96"/>
    <mergeCell ref="R101:S101"/>
    <mergeCell ref="O102:AS102"/>
    <mergeCell ref="O82:AS82"/>
    <mergeCell ref="O83:AS83"/>
    <mergeCell ref="O84:AS84"/>
    <mergeCell ref="N85:AT85"/>
    <mergeCell ref="N86:AT86"/>
    <mergeCell ref="N87:AT87"/>
    <mergeCell ref="AK16:AL16"/>
    <mergeCell ref="AN16:AO16"/>
    <mergeCell ref="AQ16:AR16"/>
    <mergeCell ref="O46:AB46"/>
    <mergeCell ref="N47:AT47"/>
    <mergeCell ref="P55:Q55"/>
    <mergeCell ref="Z55:AG55"/>
    <mergeCell ref="AM55:AR55"/>
    <mergeCell ref="O34:AS34"/>
    <mergeCell ref="O35:AB35"/>
    <mergeCell ref="O42:AS42"/>
    <mergeCell ref="O43:AS43"/>
    <mergeCell ref="T101:U101"/>
    <mergeCell ref="W101:X101"/>
    <mergeCell ref="O81:AS81"/>
    <mergeCell ref="O44:U44"/>
    <mergeCell ref="O45:AS45"/>
    <mergeCell ref="O61:U61"/>
    <mergeCell ref="O62:AS62"/>
    <mergeCell ref="O63:AB63"/>
    <mergeCell ref="P66:Q66"/>
    <mergeCell ref="Z66:AG66"/>
    <mergeCell ref="AM66:AR66"/>
    <mergeCell ref="O57:AS57"/>
    <mergeCell ref="O58:AS58"/>
    <mergeCell ref="O59:AS59"/>
    <mergeCell ref="P60:Q60"/>
    <mergeCell ref="Z60:AE60"/>
    <mergeCell ref="AM60:AR60"/>
    <mergeCell ref="O72:U72"/>
    <mergeCell ref="O73:AS73"/>
    <mergeCell ref="AM56:AR56"/>
    <mergeCell ref="AE371:AH371"/>
    <mergeCell ref="AE372:AH372"/>
    <mergeCell ref="AJ346:AM346"/>
    <mergeCell ref="AJ347:AM347"/>
    <mergeCell ref="AJ348:AM348"/>
    <mergeCell ref="AJ366:AM366"/>
    <mergeCell ref="AJ367:AM367"/>
    <mergeCell ref="AJ368:AM368"/>
    <mergeCell ref="AJ369:AM369"/>
    <mergeCell ref="AA504:AB504"/>
    <mergeCell ref="AD504:AE504"/>
    <mergeCell ref="AA517:AB517"/>
    <mergeCell ref="AD517:AE517"/>
    <mergeCell ref="AA529:AB529"/>
    <mergeCell ref="AD529:AE529"/>
    <mergeCell ref="AA547:AB547"/>
    <mergeCell ref="P507:AS516"/>
    <mergeCell ref="U388:V388"/>
    <mergeCell ref="X388:Y388"/>
    <mergeCell ref="AA388:AB388"/>
    <mergeCell ref="S389:T389"/>
    <mergeCell ref="U389:V389"/>
    <mergeCell ref="X389:Y389"/>
    <mergeCell ref="AA389:AB389"/>
    <mergeCell ref="S386:T386"/>
    <mergeCell ref="U386:V386"/>
    <mergeCell ref="X386:Y386"/>
    <mergeCell ref="AA386:AB386"/>
    <mergeCell ref="S387:T387"/>
    <mergeCell ref="U387:V387"/>
    <mergeCell ref="X387:Y387"/>
    <mergeCell ref="AA387:AB387"/>
    <mergeCell ref="F341:I341"/>
    <mergeCell ref="U356:X356"/>
    <mergeCell ref="U357:X357"/>
    <mergeCell ref="U358:X358"/>
    <mergeCell ref="U359:X359"/>
    <mergeCell ref="U360:X360"/>
    <mergeCell ref="U361:X361"/>
    <mergeCell ref="U362:X362"/>
    <mergeCell ref="N418:V418"/>
    <mergeCell ref="S388:T388"/>
    <mergeCell ref="AD218:AG218"/>
    <mergeCell ref="P520:AS528"/>
    <mergeCell ref="P532:AS546"/>
    <mergeCell ref="AD564:AE564"/>
    <mergeCell ref="P550:AS563"/>
    <mergeCell ref="P567:AS573"/>
    <mergeCell ref="AA564:AB564"/>
    <mergeCell ref="J496:O496"/>
    <mergeCell ref="J507:O507"/>
    <mergeCell ref="J520:O520"/>
    <mergeCell ref="J532:O532"/>
    <mergeCell ref="J550:O550"/>
    <mergeCell ref="J567:O567"/>
    <mergeCell ref="C496:I496"/>
    <mergeCell ref="C550:I550"/>
    <mergeCell ref="C567:I567"/>
    <mergeCell ref="C532:I532"/>
    <mergeCell ref="C520:I520"/>
    <mergeCell ref="C507:I507"/>
    <mergeCell ref="P496:AS503"/>
    <mergeCell ref="AD547:AE547"/>
    <mergeCell ref="V219:Z219"/>
    <mergeCell ref="AP4:AS4"/>
    <mergeCell ref="O166:AS166"/>
    <mergeCell ref="P167:Q167"/>
    <mergeCell ref="Z167:AE167"/>
    <mergeCell ref="AM167:AR167"/>
    <mergeCell ref="O168:U168"/>
    <mergeCell ref="O169:AS169"/>
    <mergeCell ref="O170:AB170"/>
    <mergeCell ref="V215:Z215"/>
    <mergeCell ref="AD215:AG215"/>
    <mergeCell ref="V216:Z216"/>
    <mergeCell ref="AD216:AG216"/>
    <mergeCell ref="O217:Q217"/>
    <mergeCell ref="V217:Z217"/>
    <mergeCell ref="AD217:AG217"/>
    <mergeCell ref="O205:V205"/>
    <mergeCell ref="O206:V206"/>
    <mergeCell ref="O207:V207"/>
    <mergeCell ref="W213:Y213"/>
    <mergeCell ref="AE213:AG213"/>
    <mergeCell ref="O214:Q214"/>
    <mergeCell ref="V214:Z214"/>
    <mergeCell ref="AE18:AS18"/>
    <mergeCell ref="AE19:AS19"/>
    <mergeCell ref="AE22:AS22"/>
    <mergeCell ref="O31:AS31"/>
    <mergeCell ref="O32:AS32"/>
    <mergeCell ref="O33:U33"/>
    <mergeCell ref="B6:AT6"/>
    <mergeCell ref="B7:AT7"/>
    <mergeCell ref="C14:N14"/>
    <mergeCell ref="AI16:AJ16"/>
    <mergeCell ref="AD214:AG214"/>
    <mergeCell ref="V221:Z221"/>
    <mergeCell ref="AD221:AG221"/>
    <mergeCell ref="V222:Z222"/>
    <mergeCell ref="AD222:AG222"/>
    <mergeCell ref="O223:Q223"/>
    <mergeCell ref="V223:Z223"/>
    <mergeCell ref="AD223:AG223"/>
    <mergeCell ref="V218:Z218"/>
    <mergeCell ref="AD219:AG219"/>
    <mergeCell ref="O220:Q220"/>
    <mergeCell ref="V220:Z220"/>
    <mergeCell ref="AD220:AG220"/>
    <mergeCell ref="K233:L233"/>
    <mergeCell ref="X233:AC233"/>
    <mergeCell ref="V227:Z227"/>
    <mergeCell ref="AD227:AG227"/>
    <mergeCell ref="V228:Z228"/>
    <mergeCell ref="V229:Z229"/>
    <mergeCell ref="AD229:AG229"/>
    <mergeCell ref="V224:Z224"/>
    <mergeCell ref="AD224:AG224"/>
    <mergeCell ref="V225:Z225"/>
    <mergeCell ref="AD225:AG225"/>
    <mergeCell ref="O226:Q226"/>
    <mergeCell ref="V226:Z226"/>
    <mergeCell ref="AD226:AG226"/>
  </mergeCells>
  <phoneticPr fontId="3"/>
  <conditionalFormatting sqref="AI447:AI448">
    <cfRule type="expression" dxfId="4" priority="1">
      <formula>R447="レ"</formula>
    </cfRule>
  </conditionalFormatting>
  <dataValidations count="10">
    <dataValidation type="whole" imeMode="fullAlpha" allowBlank="1" showInputMessage="1" showErrorMessage="1" sqref="AK16:AL16" xr:uid="{00000000-0002-0000-0400-000000000000}">
      <formula1>3</formula1>
      <formula2>99</formula2>
    </dataValidation>
    <dataValidation type="whole" imeMode="fullAlpha" allowBlank="1" showInputMessage="1" showErrorMessage="1" sqref="AQ16:AR16" xr:uid="{00000000-0002-0000-0400-000001000000}">
      <formula1>1</formula1>
      <formula2>31</formula2>
    </dataValidation>
    <dataValidation type="whole" imeMode="fullAlpha" allowBlank="1" showInputMessage="1" showErrorMessage="1" sqref="AN16:AO16" xr:uid="{00000000-0002-0000-0400-000002000000}">
      <formula1>1</formula1>
      <formula2>12</formula2>
    </dataValidation>
    <dataValidation type="list" imeMode="hiragana" allowBlank="1" showInputMessage="1" showErrorMessage="1" sqref="C113:D113 AI16:AJ16" xr:uid="{00000000-0002-0000-0400-000003000000}">
      <formula1>"令和"</formula1>
    </dataValidation>
    <dataValidation type="list" imeMode="hiragana" allowBlank="1" showInputMessage="1" showErrorMessage="1" sqref="K289:L289 K233:L233 K283:L283 K239:L239 K431:L431 K437:L437" xr:uid="{00000000-0002-0000-0400-000004000000}">
      <formula1>"　,1級,2級"</formula1>
    </dataValidation>
    <dataValidation imeMode="hiragana" allowBlank="1" showInputMessage="1" showErrorMessage="1" promptTitle="直接入力してください。" prompt="直接入力しないと、イ．氏名のフリガナが正確に表示されません。" sqref="N47:AT47" xr:uid="{00000000-0002-0000-0400-000005000000}"/>
    <dataValidation imeMode="hiragana" allowBlank="1" showErrorMessage="1" sqref="AU65:AY65 N81:N84 O83 N237:AT237 N435:AT435 O43 N287:AT287 AU59 O58 N65:AS65 AU161:AY161 N161:AS161" xr:uid="{00000000-0002-0000-0400-000006000000}"/>
    <dataValidation imeMode="halfKatakana" allowBlank="1" showErrorMessage="1" sqref="O82 O68:O70 N236:AT236 O57 N434:AT434 N286:AT286 O42 O31:O32 O164:O165" xr:uid="{00000000-0002-0000-0400-000007000000}"/>
    <dataValidation imeMode="hiragana" allowBlank="1" showInputMessage="1" showErrorMessage="1" sqref="C47:C49 AE36:AL38 AE48:AL49 N75:N77 BB36:BB38 X289 N241 N238 B248 B256 X239 H589:H602 C261:C263 C250:C251 B267:B271 U213:U231 AH579:AH580 O45 N196:N198 B201 B213 B80 D202:D207 C53 N288 B296 N85:N91 B192 AH189 N208:N210 AE22 X233 C233:C242 W240:AP240 B232 AE242:AP242 C64 Z60 C36:C38 B94 O169 C75:C77 D193:D195 AE18:AE19 N291 AC213:AC231 C283:C292 W290:AP290 B282 AE292:AP292 D456 X283 D31:D35 B41 B30 D42:D46 O34 B52 C14:N14 D272:D281 N439 N436 B446 B453 X437 C457:C459 C448 D229 N390:N392 B425 AD390:AD392 C412:C413 AH381 N420:N422 X431 C431:C440 W438:AP438 B430 AE440:AP440 D417:D419 C416:C417 D447:D448 C103:C106 B384 Y390:Y392 C396:C397 C215:C228 O62 Z55 B395:B419 D401:D403 C230:C231 C400:C401 D405:D407 AH491:AH492 C404:C405 D409:D411 B493 C408:C409 D413:D415 C468 D426 AB425 C297 D385:D389 B463:B467 AY2:AY3 B581 AH584:AH588 Z162 D54 O59 O73 Z66 AH157:AH158 Z71 O84 R589:R602 N103:N106 D429 D397:D399 D214 N226 N223 N220 N214 N217 D81:D84 C85:C91 D95:D102 O195:AS195 AF203:AQ203 V214:Z231 AH310 O81 C160 Z167 B379 AH174:AH175 AH130:AH131 B132 O166" xr:uid="{00000000-0002-0000-0400-000008000000}"/>
    <dataValidation imeMode="fullAlpha" allowBlank="1" showInputMessage="1" showErrorMessage="1" sqref="AH289 N48:N49 O33 N290 O220 O72 AM71 N438 O217 AH437 AD214:AD231 AP249 AH283:AH285 O35 N242 N440 O226 N240 N36:N38 O214 O223 AM167:AR167 O46 R204 Z204 O205:O207 O44 AM60 AH233:AH235 AH239 N292 AH431:AH433 O61 O74 O63 AM55:AM56 AM66:AM67 O168 O170 AM162:AM163" xr:uid="{00000000-0002-0000-0400-000009000000}"/>
  </dataValidations>
  <hyperlinks>
    <hyperlink ref="AJ213" location="報告書!A250:A319" display="別紙参照" xr:uid="{00000000-0004-0000-0400-000000000000}"/>
    <hyperlink ref="AJ213:AR213" location="'＜入力不要＞報告書'!A309:A379" display="第二面　別紙参照" xr:uid="{00000000-0004-0000-0400-000001000000}"/>
    <hyperlink ref="O96:AS96" location="'＜入力不要＞報告書'!A130:A187" display="第一面別紙参照" xr:uid="{00000000-0004-0000-0400-000002000000}"/>
    <hyperlink ref="N398" location="報告書!A432:A486" display="別紙参照" xr:uid="{00000000-0004-0000-0400-000003000000}"/>
    <hyperlink ref="N398:V398" location="'＜入力不要＞報告書'!A489:A575" display="第三面　別紙参照" xr:uid="{00000000-0004-0000-0400-000004000000}"/>
    <hyperlink ref="N402" location="報告書!A432:A486" display="別紙参照" xr:uid="{00000000-0004-0000-0400-000005000000}"/>
    <hyperlink ref="N402:V402" location="'＜入力不要＞報告書'!A489:A575" display="第三面　別紙参照" xr:uid="{00000000-0004-0000-0400-000006000000}"/>
    <hyperlink ref="N406" location="報告書!A432:A486" display="別紙参照" xr:uid="{00000000-0004-0000-0400-000007000000}"/>
    <hyperlink ref="N406:V406" location="'＜入力不要＞報告書'!A489:A575" display="第三面　別紙参照" xr:uid="{00000000-0004-0000-0400-000008000000}"/>
    <hyperlink ref="N410" location="報告書!A432:A486" display="別紙参照" xr:uid="{00000000-0004-0000-0400-000009000000}"/>
    <hyperlink ref="N410:V410" location="'＜入力不要＞報告書'!A489:A575" display="第三面　別紙参照" xr:uid="{00000000-0004-0000-0400-00000A000000}"/>
    <hyperlink ref="N414" location="報告書!A432:A486" display="別紙参照" xr:uid="{00000000-0004-0000-0400-00000B000000}"/>
    <hyperlink ref="N414:V414" location="'＜入力不要＞報告書'!A489:A575" display="第三面　別紙参照" xr:uid="{00000000-0004-0000-0400-00000C000000}"/>
    <hyperlink ref="N418" location="報告書!A432:A486" display="別紙参照" xr:uid="{00000000-0004-0000-0400-00000D000000}"/>
    <hyperlink ref="N418:V418" location="'＜入力不要＞報告書'!A489:A575" display="第三面　別紙参照" xr:uid="{00000000-0004-0000-0400-00000E000000}"/>
    <hyperlink ref="AN1" location="使用方法!F26:F34" display="シート一覧へ" xr:uid="{83A796E6-B5AF-4468-975F-583D0687B649}"/>
    <hyperlink ref="AN1:AS1" location="使用方法!F29:F37" display="シート一覧へ" xr:uid="{90A5479F-2B3A-469B-98FD-F33DD846D5A5}"/>
  </hyperlinks>
  <printOptions horizontalCentered="1"/>
  <pageMargins left="0.19685039370078741" right="0.19685039370078741" top="0.78740157480314965" bottom="0.19685039370078741" header="0" footer="0"/>
  <pageSetup paperSize="9" scale="90" orientation="portrait" blackAndWhite="1" horizontalDpi="300" verticalDpi="300" r:id="rId1"/>
  <headerFooter alignWithMargins="0"/>
  <rowBreaks count="8" manualBreakCount="8">
    <brk id="121" max="45" man="1"/>
    <brk id="187" max="45" man="1"/>
    <brk id="308" max="45" man="1"/>
    <brk id="379" max="45" man="1"/>
    <brk id="488" max="45" man="1"/>
    <brk id="576" max="45" man="1"/>
    <brk id="603" max="45" man="1"/>
    <brk id="672" max="45" man="1"/>
  </rowBreaks>
  <colBreaks count="1" manualBreakCount="1">
    <brk id="51" max="646"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BO385"/>
  <sheetViews>
    <sheetView zoomScaleNormal="100" workbookViewId="0">
      <selection activeCell="AN1" sqref="AN1:AS1"/>
    </sheetView>
  </sheetViews>
  <sheetFormatPr defaultColWidth="9" defaultRowHeight="13"/>
  <cols>
    <col min="1" max="17" width="2.08984375" style="1461" customWidth="1"/>
    <col min="18" max="18" width="2.36328125" style="1461" customWidth="1"/>
    <col min="19" max="33" width="2.08984375" style="1461" customWidth="1"/>
    <col min="34" max="34" width="2.26953125" style="1461" customWidth="1"/>
    <col min="35" max="47" width="2.08984375" style="1461" customWidth="1"/>
    <col min="48" max="50" width="2" style="1461" customWidth="1"/>
    <col min="51" max="52" width="2.08984375" style="1461" customWidth="1"/>
    <col min="53" max="53" width="9.08984375" style="1461" customWidth="1"/>
    <col min="54" max="58" width="9" style="1463" customWidth="1"/>
    <col min="59" max="16384" width="9" style="1463"/>
  </cols>
  <sheetData>
    <row r="1" spans="1:47" ht="22.5" customHeight="1">
      <c r="A1" s="1460" t="s">
        <v>2769</v>
      </c>
      <c r="AN1" s="2729" t="str">
        <f>HYPERLINK("#'使用方法'!F29:F37","シート一覧へ")</f>
        <v>シート一覧へ</v>
      </c>
      <c r="AO1" s="2729"/>
      <c r="AP1" s="2729"/>
      <c r="AQ1" s="2729"/>
      <c r="AR1" s="2729"/>
      <c r="AS1" s="2729"/>
    </row>
    <row r="2" spans="1:47" ht="14.15" hidden="1" customHeight="1"/>
    <row r="3" spans="1:47" ht="14.15" hidden="1" customHeight="1"/>
    <row r="4" spans="1:47" ht="12" customHeight="1">
      <c r="B4" s="1605"/>
      <c r="AF4" s="1605"/>
      <c r="AH4" s="1467" t="str">
        <f>チェックシート!H3</f>
        <v>Kyoto City(R4.11) ver112</v>
      </c>
      <c r="AJ4" s="1461" t="s">
        <v>2768</v>
      </c>
      <c r="AM4" s="1464"/>
      <c r="AN4" s="1606" t="str">
        <f>IF('＜入力不要＞報告書'!AN4="","",'＜入力不要＞報告書'!AN4)</f>
        <v/>
      </c>
      <c r="AO4" s="1466" t="str">
        <f>IF('＜入力不要＞報告書'!AO4="","",'＜入力不要＞報告書'!AO4)</f>
        <v/>
      </c>
      <c r="AP4" s="2780" t="str">
        <f>IF('＜入力不要＞報告書'!AP4="","",'＜入力不要＞報告書'!AP4)</f>
        <v/>
      </c>
      <c r="AQ4" s="2781" t="str">
        <f>IF('＜入力不要＞報告書'!AQ4="","",'＜入力不要＞報告書'!AQ4)</f>
        <v/>
      </c>
      <c r="AR4" s="2781" t="str">
        <f>IF('＜入力不要＞報告書'!AR4="","",'＜入力不要＞報告書'!AR4)</f>
        <v/>
      </c>
      <c r="AS4" s="2782" t="str">
        <f>IF('＜入力不要＞報告書'!AS4="","",'＜入力不要＞報告書'!AS4)</f>
        <v/>
      </c>
    </row>
    <row r="5" spans="1:47" ht="22.5" customHeight="1">
      <c r="B5" s="1673" t="s">
        <v>676</v>
      </c>
      <c r="AS5" s="1672"/>
    </row>
    <row r="6" spans="1:47" ht="12" customHeight="1">
      <c r="B6" s="2959" t="s">
        <v>677</v>
      </c>
      <c r="C6" s="2959"/>
      <c r="D6" s="2959"/>
      <c r="E6" s="2959"/>
      <c r="F6" s="2959"/>
      <c r="G6" s="2959"/>
      <c r="H6" s="2959"/>
      <c r="I6" s="2959"/>
      <c r="J6" s="2959"/>
      <c r="K6" s="2959"/>
      <c r="L6" s="2959"/>
      <c r="M6" s="2959"/>
      <c r="N6" s="2959"/>
      <c r="O6" s="2959"/>
      <c r="P6" s="2959"/>
      <c r="Q6" s="2959"/>
      <c r="R6" s="2959"/>
      <c r="S6" s="2959"/>
      <c r="T6" s="2959"/>
      <c r="U6" s="2959"/>
      <c r="V6" s="2959"/>
      <c r="W6" s="2959"/>
      <c r="X6" s="2959"/>
      <c r="Y6" s="2959"/>
      <c r="Z6" s="2959"/>
      <c r="AA6" s="2959"/>
      <c r="AB6" s="2959"/>
      <c r="AC6" s="2959"/>
      <c r="AD6" s="2959"/>
      <c r="AE6" s="2959"/>
      <c r="AF6" s="2959"/>
      <c r="AG6" s="2959"/>
      <c r="AH6" s="2959"/>
      <c r="AI6" s="2959"/>
      <c r="AJ6" s="2959"/>
      <c r="AK6" s="2959"/>
      <c r="AL6" s="2959"/>
      <c r="AM6" s="2959"/>
      <c r="AN6" s="2959"/>
      <c r="AO6" s="2959"/>
      <c r="AP6" s="2959"/>
      <c r="AQ6" s="2959"/>
      <c r="AR6" s="2959"/>
      <c r="AS6" s="2959"/>
      <c r="AT6" s="1607"/>
      <c r="AU6" s="1607"/>
    </row>
    <row r="7" spans="1:47" ht="12" customHeight="1">
      <c r="B7" s="1468"/>
      <c r="C7" s="1468"/>
      <c r="D7" s="1468"/>
      <c r="E7" s="1468"/>
      <c r="F7" s="1468"/>
      <c r="G7" s="1468"/>
      <c r="H7" s="1468"/>
      <c r="I7" s="1468"/>
      <c r="J7" s="1468"/>
      <c r="K7" s="1468"/>
      <c r="L7" s="1468"/>
      <c r="M7" s="1468"/>
      <c r="N7" s="1468"/>
      <c r="O7" s="1468"/>
      <c r="P7" s="1468"/>
      <c r="Q7" s="1468"/>
      <c r="R7" s="1468"/>
      <c r="S7" s="1468"/>
      <c r="T7" s="1468"/>
      <c r="U7" s="1468"/>
      <c r="V7" s="1468"/>
      <c r="W7" s="1468"/>
      <c r="X7" s="1468"/>
      <c r="Y7" s="1468"/>
      <c r="Z7" s="1468"/>
      <c r="AA7" s="1468"/>
      <c r="AB7" s="1468"/>
      <c r="AC7" s="1468"/>
      <c r="AD7" s="1468"/>
      <c r="AE7" s="1468"/>
      <c r="AF7" s="1468"/>
      <c r="AG7" s="1468"/>
      <c r="AH7" s="1468"/>
      <c r="AI7" s="1468"/>
      <c r="AJ7" s="1468"/>
      <c r="AK7" s="1468"/>
      <c r="AL7" s="1468"/>
      <c r="AM7" s="1468"/>
      <c r="AN7" s="1468"/>
      <c r="AO7" s="1468"/>
      <c r="AP7" s="1468"/>
      <c r="AQ7" s="1468"/>
      <c r="AR7" s="1468"/>
      <c r="AS7" s="1468"/>
      <c r="AT7" s="1468"/>
      <c r="AU7" s="1468"/>
    </row>
    <row r="8" spans="1:47" ht="14.15" hidden="1" customHeight="1">
      <c r="B8" s="1468"/>
      <c r="C8" s="1468"/>
      <c r="D8" s="1468"/>
      <c r="E8" s="1468"/>
      <c r="F8" s="1468"/>
      <c r="G8" s="1468"/>
      <c r="H8" s="1468"/>
      <c r="I8" s="1468"/>
      <c r="J8" s="1468"/>
      <c r="K8" s="1468"/>
      <c r="L8" s="1468"/>
      <c r="M8" s="1468"/>
      <c r="N8" s="1468"/>
      <c r="O8" s="1468"/>
      <c r="P8" s="1468"/>
      <c r="Q8" s="1468"/>
      <c r="R8" s="1468"/>
      <c r="S8" s="1468"/>
      <c r="T8" s="1468"/>
      <c r="U8" s="1468"/>
      <c r="V8" s="1468"/>
      <c r="W8" s="1468"/>
      <c r="X8" s="1468"/>
      <c r="Y8" s="1468"/>
      <c r="Z8" s="1468"/>
      <c r="AA8" s="1468"/>
      <c r="AB8" s="1468"/>
      <c r="AC8" s="1468"/>
      <c r="AD8" s="1468"/>
      <c r="AE8" s="1468"/>
      <c r="AF8" s="1468"/>
      <c r="AG8" s="1468"/>
      <c r="AH8" s="1468"/>
      <c r="AI8" s="1468"/>
      <c r="AJ8" s="1468"/>
      <c r="AK8" s="1468"/>
      <c r="AL8" s="1468"/>
      <c r="AM8" s="1468"/>
      <c r="AN8" s="1468"/>
      <c r="AO8" s="1468"/>
      <c r="AP8" s="1468"/>
      <c r="AQ8" s="1468"/>
      <c r="AR8" s="1468"/>
      <c r="AS8" s="1468"/>
      <c r="AT8" s="1468"/>
      <c r="AU8" s="1468"/>
    </row>
    <row r="9" spans="1:47" ht="14.15" customHeight="1">
      <c r="B9" s="2788" t="s">
        <v>395</v>
      </c>
      <c r="C9" s="2788"/>
      <c r="D9" s="2788"/>
      <c r="E9" s="2788"/>
      <c r="F9" s="2788"/>
      <c r="G9" s="2788"/>
      <c r="H9" s="2788"/>
      <c r="I9" s="2788"/>
      <c r="J9" s="2788"/>
      <c r="K9" s="2788"/>
      <c r="L9" s="2788"/>
      <c r="M9" s="2788"/>
      <c r="N9" s="2788"/>
      <c r="O9" s="2788"/>
      <c r="P9" s="2788"/>
      <c r="Q9" s="2788"/>
      <c r="R9" s="2788"/>
      <c r="S9" s="2788"/>
      <c r="T9" s="2788"/>
      <c r="U9" s="2788"/>
      <c r="V9" s="2788"/>
      <c r="W9" s="2788"/>
      <c r="X9" s="2788"/>
      <c r="Y9" s="2788"/>
      <c r="Z9" s="2788"/>
      <c r="AA9" s="2788"/>
      <c r="AB9" s="2788"/>
      <c r="AC9" s="2788"/>
      <c r="AD9" s="2788"/>
      <c r="AE9" s="2788"/>
      <c r="AF9" s="2788"/>
      <c r="AG9" s="2788"/>
      <c r="AH9" s="2788"/>
      <c r="AI9" s="2788"/>
      <c r="AJ9" s="2788"/>
      <c r="AK9" s="2788"/>
      <c r="AL9" s="2788"/>
      <c r="AM9" s="2788"/>
      <c r="AN9" s="2788"/>
      <c r="AO9" s="2788"/>
      <c r="AP9" s="2788"/>
      <c r="AQ9" s="2788"/>
      <c r="AR9" s="2788"/>
      <c r="AS9" s="2788"/>
      <c r="AT9" s="1468"/>
      <c r="AU9" s="1468"/>
    </row>
    <row r="10" spans="1:47" ht="14.15" customHeight="1">
      <c r="B10" s="1469"/>
      <c r="C10" s="1469"/>
      <c r="D10" s="1469"/>
      <c r="E10" s="1469"/>
      <c r="F10" s="1469"/>
      <c r="G10" s="1469"/>
      <c r="H10" s="1469"/>
      <c r="I10" s="1469"/>
      <c r="J10" s="1469"/>
      <c r="K10" s="1469"/>
      <c r="L10" s="1469"/>
      <c r="M10" s="1469"/>
      <c r="N10" s="1469"/>
      <c r="O10" s="1469"/>
      <c r="P10" s="1469"/>
      <c r="Q10" s="1469"/>
      <c r="R10" s="1469"/>
      <c r="S10" s="1469"/>
      <c r="T10" s="1469"/>
      <c r="U10" s="1469"/>
      <c r="V10" s="1469"/>
      <c r="W10" s="1469"/>
      <c r="X10" s="1469"/>
      <c r="Y10" s="1469"/>
      <c r="Z10" s="1469"/>
      <c r="AA10" s="1469"/>
      <c r="AB10" s="1469"/>
      <c r="AC10" s="1469"/>
      <c r="AD10" s="1469"/>
      <c r="AE10" s="1469"/>
      <c r="AF10" s="1469"/>
      <c r="AG10" s="1469"/>
      <c r="AH10" s="1469"/>
      <c r="AI10" s="1469"/>
      <c r="AJ10" s="1469"/>
      <c r="AK10" s="1469"/>
      <c r="AL10" s="1469"/>
      <c r="AM10" s="1469"/>
      <c r="AN10" s="1469"/>
      <c r="AO10" s="1469"/>
      <c r="AP10" s="1469"/>
    </row>
    <row r="11" spans="1:47" ht="12" hidden="1" customHeight="1"/>
    <row r="12" spans="1:47" ht="12" hidden="1" customHeight="1"/>
    <row r="13" spans="1:47" ht="6" hidden="1" customHeight="1"/>
    <row r="14" spans="1:47" ht="12" hidden="1" customHeight="1"/>
    <row r="15" spans="1:47" ht="6" hidden="1" customHeight="1"/>
    <row r="16" spans="1:47" ht="12" hidden="1" customHeight="1"/>
    <row r="17" spans="2:45" ht="12" hidden="1" customHeight="1"/>
    <row r="18" spans="2:45" ht="12" hidden="1" customHeight="1"/>
    <row r="19" spans="2:45" ht="12" hidden="1" customHeight="1"/>
    <row r="20" spans="2:45" ht="6" hidden="1" customHeight="1"/>
    <row r="21" spans="2:45" ht="6" hidden="1" customHeight="1">
      <c r="B21" s="1468"/>
      <c r="C21" s="1468"/>
      <c r="D21" s="1468"/>
      <c r="E21" s="1468"/>
      <c r="F21" s="1468"/>
      <c r="G21" s="1468"/>
      <c r="H21" s="1468"/>
      <c r="I21" s="1468"/>
      <c r="J21" s="1468"/>
      <c r="K21" s="1468"/>
      <c r="L21" s="1468"/>
      <c r="M21" s="1468"/>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c r="AL21" s="1468"/>
      <c r="AM21" s="1468"/>
      <c r="AN21" s="1468"/>
      <c r="AO21" s="1468"/>
      <c r="AP21" s="1468"/>
      <c r="AQ21" s="1468"/>
      <c r="AR21" s="1468"/>
      <c r="AS21" s="1468"/>
    </row>
    <row r="22" spans="2:45" ht="12" customHeight="1">
      <c r="C22" s="1461" t="s">
        <v>500</v>
      </c>
    </row>
    <row r="23" spans="2:45" ht="6" hidden="1" customHeight="1"/>
    <row r="24" spans="2:45" ht="6" hidden="1" customHeight="1"/>
    <row r="25" spans="2:45" ht="13.5" hidden="1" customHeight="1"/>
    <row r="26" spans="2:45" ht="13.5" hidden="1" customHeight="1"/>
    <row r="27" spans="2:45" hidden="1"/>
    <row r="28" spans="2:45" ht="6" customHeight="1"/>
    <row r="29" spans="2:45" ht="6" customHeight="1"/>
    <row r="30" spans="2:45" ht="12" customHeight="1">
      <c r="B30" s="1470" t="s">
        <v>402</v>
      </c>
    </row>
    <row r="31" spans="2:45" ht="12" customHeight="1">
      <c r="D31" s="1470" t="s">
        <v>403</v>
      </c>
      <c r="E31" s="1471"/>
      <c r="F31" s="1471"/>
      <c r="G31" s="1471"/>
      <c r="H31" s="1471"/>
      <c r="I31" s="1471"/>
      <c r="J31" s="1471"/>
      <c r="K31" s="1471"/>
      <c r="L31" s="1471"/>
      <c r="M31" s="1471"/>
      <c r="N31" s="1471"/>
      <c r="O31" s="2790" t="str">
        <f>IF('＜入力不要＞報告書'!O31="","",'＜入力不要＞報告書'!O31)</f>
        <v xml:space="preserve">  </v>
      </c>
      <c r="P31" s="2790"/>
      <c r="Q31" s="2790"/>
      <c r="R31" s="2790"/>
      <c r="S31" s="2790"/>
      <c r="T31" s="2790"/>
      <c r="U31" s="2790"/>
      <c r="V31" s="2790"/>
      <c r="W31" s="2790"/>
      <c r="X31" s="2790"/>
      <c r="Y31" s="2790"/>
      <c r="Z31" s="2790"/>
      <c r="AA31" s="2790"/>
      <c r="AB31" s="2790"/>
      <c r="AC31" s="2790"/>
      <c r="AD31" s="2790"/>
      <c r="AE31" s="2790"/>
      <c r="AF31" s="2790"/>
      <c r="AG31" s="2790"/>
      <c r="AH31" s="2790"/>
      <c r="AI31" s="2790"/>
      <c r="AJ31" s="2790"/>
      <c r="AK31" s="2790"/>
      <c r="AL31" s="2790"/>
      <c r="AM31" s="2790"/>
      <c r="AN31" s="2790"/>
      <c r="AO31" s="2790"/>
      <c r="AP31" s="2790"/>
      <c r="AQ31" s="2790"/>
      <c r="AR31" s="2790"/>
      <c r="AS31" s="2790"/>
    </row>
    <row r="32" spans="2:45" ht="12" customHeight="1">
      <c r="D32" s="1470" t="s">
        <v>404</v>
      </c>
      <c r="E32" s="1471"/>
      <c r="F32" s="1471"/>
      <c r="G32" s="1471"/>
      <c r="H32" s="1471"/>
      <c r="I32" s="1471"/>
      <c r="J32" s="1471"/>
      <c r="K32" s="1471"/>
      <c r="L32" s="1471"/>
      <c r="M32" s="1471"/>
      <c r="N32" s="1471"/>
      <c r="O32" s="2790" t="str">
        <f>IF('＜入力不要＞報告書'!O32="","",'＜入力不要＞報告書'!O32)</f>
        <v xml:space="preserve">  </v>
      </c>
      <c r="P32" s="2790"/>
      <c r="Q32" s="2790"/>
      <c r="R32" s="2790"/>
      <c r="S32" s="2790"/>
      <c r="T32" s="2790"/>
      <c r="U32" s="2790"/>
      <c r="V32" s="2790"/>
      <c r="W32" s="2790"/>
      <c r="X32" s="2790"/>
      <c r="Y32" s="2790"/>
      <c r="Z32" s="2790"/>
      <c r="AA32" s="2790"/>
      <c r="AB32" s="2790"/>
      <c r="AC32" s="2790"/>
      <c r="AD32" s="2790"/>
      <c r="AE32" s="2790"/>
      <c r="AF32" s="2790"/>
      <c r="AG32" s="2790"/>
      <c r="AH32" s="2790"/>
      <c r="AI32" s="2790"/>
      <c r="AJ32" s="2790"/>
      <c r="AK32" s="2790"/>
      <c r="AL32" s="2790"/>
      <c r="AM32" s="2790"/>
      <c r="AN32" s="2790"/>
      <c r="AO32" s="2790"/>
      <c r="AP32" s="2790"/>
      <c r="AQ32" s="2790"/>
      <c r="AR32" s="2790"/>
      <c r="AS32" s="2790"/>
    </row>
    <row r="33" spans="2:54" ht="12" customHeight="1">
      <c r="D33" s="1470" t="s">
        <v>405</v>
      </c>
      <c r="E33" s="1471"/>
      <c r="F33" s="1471"/>
      <c r="G33" s="1471"/>
      <c r="H33" s="1471"/>
      <c r="I33" s="1471"/>
      <c r="J33" s="1471"/>
      <c r="K33" s="1471"/>
      <c r="L33" s="1471"/>
      <c r="M33" s="1471"/>
      <c r="N33" s="1471"/>
      <c r="O33" s="2792" t="str">
        <f>IF('＜入力不要＞報告書'!O33="","",'＜入力不要＞報告書'!O33)</f>
        <v>-</v>
      </c>
      <c r="P33" s="2792"/>
      <c r="Q33" s="2792"/>
      <c r="R33" s="2792"/>
      <c r="S33" s="2792"/>
      <c r="T33" s="2792"/>
      <c r="U33" s="2792"/>
      <c r="V33" s="1471"/>
      <c r="W33" s="1471"/>
      <c r="X33" s="1471"/>
      <c r="Y33" s="1471"/>
      <c r="Z33" s="1471"/>
      <c r="AA33" s="1471"/>
      <c r="AB33" s="1471"/>
      <c r="AC33" s="1471"/>
      <c r="AD33" s="1471"/>
      <c r="AE33" s="1471"/>
      <c r="AF33" s="1471"/>
      <c r="AG33" s="1471"/>
      <c r="AH33" s="1471"/>
      <c r="AI33" s="1471"/>
      <c r="AJ33" s="1471"/>
      <c r="AK33" s="1471"/>
      <c r="AL33" s="1471"/>
      <c r="AM33" s="1471"/>
      <c r="AN33" s="1471"/>
      <c r="AO33" s="1471"/>
      <c r="AP33" s="1471"/>
      <c r="AQ33" s="1471"/>
      <c r="AR33" s="1471"/>
      <c r="AS33" s="1471"/>
    </row>
    <row r="34" spans="2:54" ht="12" customHeight="1">
      <c r="D34" s="1470" t="s">
        <v>406</v>
      </c>
      <c r="E34" s="1471"/>
      <c r="F34" s="1471"/>
      <c r="G34" s="1471"/>
      <c r="H34" s="1471"/>
      <c r="I34" s="1471"/>
      <c r="J34" s="1471"/>
      <c r="K34" s="1471"/>
      <c r="L34" s="1471"/>
      <c r="M34" s="1471"/>
      <c r="N34" s="1471"/>
      <c r="O34" s="2790" t="str">
        <f>IF('＜入力不要＞報告書'!O34="","",'＜入力不要＞報告書'!O34)</f>
        <v/>
      </c>
      <c r="P34" s="2790"/>
      <c r="Q34" s="2790"/>
      <c r="R34" s="2790"/>
      <c r="S34" s="2790"/>
      <c r="T34" s="2790"/>
      <c r="U34" s="2790"/>
      <c r="V34" s="2790"/>
      <c r="W34" s="2790"/>
      <c r="X34" s="2790"/>
      <c r="Y34" s="2790"/>
      <c r="Z34" s="2790"/>
      <c r="AA34" s="2790"/>
      <c r="AB34" s="2790"/>
      <c r="AC34" s="2790"/>
      <c r="AD34" s="2790"/>
      <c r="AE34" s="2790"/>
      <c r="AF34" s="2790"/>
      <c r="AG34" s="2790"/>
      <c r="AH34" s="2790"/>
      <c r="AI34" s="2790"/>
      <c r="AJ34" s="2790"/>
      <c r="AK34" s="2790"/>
      <c r="AL34" s="2790"/>
      <c r="AM34" s="2790"/>
      <c r="AN34" s="2790"/>
      <c r="AO34" s="2790"/>
      <c r="AP34" s="2790"/>
      <c r="AQ34" s="2790"/>
      <c r="AR34" s="2790"/>
      <c r="AS34" s="2790"/>
    </row>
    <row r="35" spans="2:54" ht="12" hidden="1" customHeight="1">
      <c r="AD35" s="1472"/>
      <c r="AE35" s="1472"/>
      <c r="AF35" s="1472"/>
      <c r="AG35" s="1472"/>
      <c r="AH35" s="1472"/>
      <c r="AI35" s="1472"/>
      <c r="AJ35" s="1472"/>
      <c r="AK35" s="1472"/>
      <c r="AL35" s="1472"/>
      <c r="AM35" s="1472"/>
      <c r="AN35" s="1472"/>
      <c r="AO35" s="1472"/>
      <c r="AP35" s="1472"/>
      <c r="AQ35" s="1472"/>
      <c r="AR35" s="1472"/>
      <c r="AS35" s="1472"/>
    </row>
    <row r="36" spans="2:54" ht="13.5" hidden="1" customHeight="1">
      <c r="C36" s="1470"/>
      <c r="N36" s="1475"/>
      <c r="O36" s="1475"/>
      <c r="P36" s="1475"/>
      <c r="Q36" s="1475"/>
      <c r="R36" s="1475"/>
      <c r="S36" s="1475"/>
      <c r="T36" s="1475"/>
      <c r="U36" s="1475"/>
      <c r="V36" s="1475"/>
      <c r="W36" s="1475"/>
      <c r="X36" s="1475"/>
      <c r="Y36" s="1475"/>
      <c r="Z36" s="1475"/>
      <c r="AA36" s="1475"/>
      <c r="AB36" s="1475"/>
      <c r="AC36" s="1475"/>
      <c r="AD36" s="1475"/>
      <c r="AE36" s="1476"/>
      <c r="AF36" s="1476"/>
      <c r="AG36" s="1476"/>
      <c r="AH36" s="1476"/>
      <c r="AI36" s="1476"/>
      <c r="AJ36" s="1476"/>
      <c r="AK36" s="1476"/>
      <c r="AL36" s="1477"/>
      <c r="BB36" s="1608"/>
    </row>
    <row r="37" spans="2:54" ht="13.5" hidden="1" customHeight="1">
      <c r="C37" s="1470"/>
      <c r="N37" s="1475"/>
      <c r="O37" s="1475"/>
      <c r="P37" s="1475"/>
      <c r="Q37" s="1475"/>
      <c r="R37" s="1475"/>
      <c r="S37" s="1475"/>
      <c r="T37" s="1475"/>
      <c r="U37" s="1475"/>
      <c r="V37" s="1475"/>
      <c r="W37" s="1475"/>
      <c r="X37" s="1475"/>
      <c r="Y37" s="1475"/>
      <c r="Z37" s="1475"/>
      <c r="AA37" s="1475"/>
      <c r="AB37" s="1475"/>
      <c r="AC37" s="1475"/>
      <c r="AD37" s="1475"/>
      <c r="AE37" s="1476"/>
      <c r="AF37" s="1476"/>
      <c r="AG37" s="1476"/>
      <c r="AH37" s="1476"/>
      <c r="AI37" s="1476"/>
      <c r="AJ37" s="1476"/>
      <c r="AK37" s="1476"/>
      <c r="AL37" s="1477"/>
      <c r="BB37" s="1608"/>
    </row>
    <row r="38" spans="2:54" ht="13.5" hidden="1" customHeight="1">
      <c r="C38" s="1470"/>
      <c r="N38" s="1475"/>
      <c r="O38" s="1475"/>
      <c r="P38" s="1475"/>
      <c r="Q38" s="1475"/>
      <c r="R38" s="1475"/>
      <c r="S38" s="1475"/>
      <c r="T38" s="1475"/>
      <c r="U38" s="1475"/>
      <c r="V38" s="1475"/>
      <c r="W38" s="1475"/>
      <c r="X38" s="1475"/>
      <c r="Y38" s="1475"/>
      <c r="Z38" s="1475"/>
      <c r="AA38" s="1475"/>
      <c r="AB38" s="1475"/>
      <c r="AC38" s="1475"/>
      <c r="AD38" s="1475"/>
      <c r="AE38" s="1476"/>
      <c r="AF38" s="1476"/>
      <c r="AG38" s="1476"/>
      <c r="AH38" s="1476"/>
      <c r="AI38" s="1476"/>
      <c r="AJ38" s="1476"/>
      <c r="AK38" s="1476"/>
      <c r="AL38" s="1477"/>
      <c r="BB38" s="1608"/>
    </row>
    <row r="39" spans="2:54" ht="6" customHeight="1"/>
    <row r="40" spans="2:54" ht="6" customHeight="1"/>
    <row r="41" spans="2:54" ht="12" customHeight="1">
      <c r="B41" s="1470" t="s">
        <v>408</v>
      </c>
      <c r="X41" s="1475"/>
      <c r="Y41" s="1475"/>
      <c r="Z41" s="1475"/>
      <c r="AA41" s="1475"/>
      <c r="AB41" s="1475"/>
      <c r="AC41" s="1475"/>
      <c r="AD41" s="1475"/>
      <c r="AE41" s="1475"/>
      <c r="AF41" s="1475"/>
      <c r="AG41" s="1475"/>
      <c r="AH41" s="1475"/>
      <c r="AI41" s="1475"/>
      <c r="AJ41" s="1475"/>
      <c r="AK41" s="1475"/>
      <c r="AL41" s="1475"/>
    </row>
    <row r="42" spans="2:54" ht="12" customHeight="1">
      <c r="D42" s="1470" t="s">
        <v>403</v>
      </c>
      <c r="O42" s="2790" t="str">
        <f>IF('＜入力不要＞報告書'!O42="","",'＜入力不要＞報告書'!O42)</f>
        <v xml:space="preserve">  </v>
      </c>
      <c r="P42" s="2790"/>
      <c r="Q42" s="2790"/>
      <c r="R42" s="2790"/>
      <c r="S42" s="2790"/>
      <c r="T42" s="2790"/>
      <c r="U42" s="2790"/>
      <c r="V42" s="2790"/>
      <c r="W42" s="2790"/>
      <c r="X42" s="2790"/>
      <c r="Y42" s="2790"/>
      <c r="Z42" s="2790"/>
      <c r="AA42" s="2790"/>
      <c r="AB42" s="2790"/>
      <c r="AC42" s="2790"/>
      <c r="AD42" s="2790"/>
      <c r="AE42" s="2790"/>
      <c r="AF42" s="2790"/>
      <c r="AG42" s="2790"/>
      <c r="AH42" s="2790"/>
      <c r="AI42" s="2790"/>
      <c r="AJ42" s="2790"/>
      <c r="AK42" s="2790"/>
      <c r="AL42" s="2790"/>
      <c r="AM42" s="2790"/>
      <c r="AN42" s="2790"/>
      <c r="AO42" s="2790"/>
      <c r="AP42" s="2790"/>
      <c r="AQ42" s="2790"/>
      <c r="AR42" s="2790"/>
      <c r="AS42" s="2790"/>
    </row>
    <row r="43" spans="2:54" ht="12" customHeight="1">
      <c r="D43" s="1470" t="s">
        <v>404</v>
      </c>
      <c r="O43" s="2790" t="str">
        <f>IF('＜入力不要＞報告書'!O43="","",'＜入力不要＞報告書'!O43)</f>
        <v xml:space="preserve">  </v>
      </c>
      <c r="P43" s="2790"/>
      <c r="Q43" s="2790"/>
      <c r="R43" s="2790"/>
      <c r="S43" s="2790"/>
      <c r="T43" s="2790"/>
      <c r="U43" s="2790"/>
      <c r="V43" s="2790"/>
      <c r="W43" s="2790"/>
      <c r="X43" s="2790"/>
      <c r="Y43" s="2790"/>
      <c r="Z43" s="2790"/>
      <c r="AA43" s="2790"/>
      <c r="AB43" s="2790"/>
      <c r="AC43" s="2790"/>
      <c r="AD43" s="2790"/>
      <c r="AE43" s="2790"/>
      <c r="AF43" s="2790"/>
      <c r="AG43" s="2790"/>
      <c r="AH43" s="2790"/>
      <c r="AI43" s="2790"/>
      <c r="AJ43" s="2790"/>
      <c r="AK43" s="2790"/>
      <c r="AL43" s="2790"/>
      <c r="AM43" s="2790"/>
      <c r="AN43" s="2790"/>
      <c r="AO43" s="2790"/>
      <c r="AP43" s="2790"/>
      <c r="AQ43" s="2790"/>
      <c r="AR43" s="2790"/>
      <c r="AS43" s="2790"/>
    </row>
    <row r="44" spans="2:54" ht="12" customHeight="1">
      <c r="D44" s="1470" t="s">
        <v>405</v>
      </c>
      <c r="O44" s="2792" t="str">
        <f>IF('＜入力不要＞報告書'!O44="","",'＜入力不要＞報告書'!O44)</f>
        <v>-</v>
      </c>
      <c r="P44" s="2792"/>
      <c r="Q44" s="2792"/>
      <c r="R44" s="2792"/>
      <c r="S44" s="2792"/>
      <c r="T44" s="2792"/>
      <c r="U44" s="2792"/>
      <c r="V44" s="1471"/>
      <c r="W44" s="1471"/>
      <c r="X44" s="1471"/>
      <c r="Y44" s="1471"/>
      <c r="Z44" s="1471"/>
      <c r="AA44" s="1471"/>
      <c r="AB44" s="1471"/>
      <c r="AC44" s="1471"/>
      <c r="AD44" s="1471"/>
      <c r="AE44" s="1471"/>
      <c r="AF44" s="1471"/>
      <c r="AG44" s="1471"/>
      <c r="AH44" s="1471"/>
      <c r="AI44" s="1471"/>
      <c r="AJ44" s="1471"/>
      <c r="AK44" s="1471"/>
      <c r="AL44" s="1471"/>
      <c r="AM44" s="1471"/>
      <c r="AN44" s="1471"/>
      <c r="AO44" s="1471"/>
      <c r="AP44" s="1471"/>
      <c r="AQ44" s="1471"/>
      <c r="AR44" s="1471"/>
      <c r="AS44" s="1471"/>
    </row>
    <row r="45" spans="2:54" ht="12" customHeight="1">
      <c r="D45" s="1470" t="s">
        <v>406</v>
      </c>
      <c r="O45" s="2790" t="str">
        <f>IF('＜入力不要＞報告書'!O45="","",'＜入力不要＞報告書'!O45)</f>
        <v/>
      </c>
      <c r="P45" s="2790"/>
      <c r="Q45" s="2790"/>
      <c r="R45" s="2790"/>
      <c r="S45" s="2790"/>
      <c r="T45" s="2790"/>
      <c r="U45" s="2790"/>
      <c r="V45" s="2790"/>
      <c r="W45" s="2790"/>
      <c r="X45" s="2790"/>
      <c r="Y45" s="2790"/>
      <c r="Z45" s="2790"/>
      <c r="AA45" s="2790"/>
      <c r="AB45" s="2790"/>
      <c r="AC45" s="2790"/>
      <c r="AD45" s="2790"/>
      <c r="AE45" s="2790"/>
      <c r="AF45" s="2790"/>
      <c r="AG45" s="2790"/>
      <c r="AH45" s="2790"/>
      <c r="AI45" s="2790"/>
      <c r="AJ45" s="2790"/>
      <c r="AK45" s="2790"/>
      <c r="AL45" s="2790"/>
      <c r="AM45" s="2790"/>
      <c r="AN45" s="2790"/>
      <c r="AO45" s="2790"/>
      <c r="AP45" s="2790"/>
      <c r="AQ45" s="2790"/>
      <c r="AR45" s="2790"/>
      <c r="AS45" s="2790"/>
    </row>
    <row r="46" spans="2:54" ht="12" hidden="1" customHeight="1">
      <c r="AE46" s="1472"/>
      <c r="AF46" s="1472"/>
      <c r="AG46" s="1472"/>
      <c r="AH46" s="1472"/>
      <c r="AI46" s="1472"/>
      <c r="AJ46" s="1472"/>
      <c r="AK46" s="1472"/>
      <c r="AL46" s="1472"/>
      <c r="AM46" s="1472"/>
      <c r="AN46" s="1472"/>
      <c r="AO46" s="1472"/>
      <c r="AP46" s="1472"/>
      <c r="AQ46" s="1472"/>
      <c r="AR46" s="1472"/>
      <c r="AS46" s="1472"/>
    </row>
    <row r="47" spans="2:54" hidden="1">
      <c r="C47" s="1470"/>
      <c r="N47" s="2829"/>
      <c r="O47" s="2829"/>
      <c r="P47" s="2829"/>
      <c r="Q47" s="2829"/>
      <c r="R47" s="2829"/>
      <c r="S47" s="2829"/>
      <c r="T47" s="2829"/>
      <c r="U47" s="2829"/>
      <c r="V47" s="2829"/>
      <c r="W47" s="2829"/>
      <c r="X47" s="2829"/>
      <c r="Y47" s="2829"/>
      <c r="Z47" s="2829"/>
      <c r="AA47" s="2829"/>
      <c r="AB47" s="2829"/>
      <c r="AC47" s="2829"/>
      <c r="AD47" s="2829"/>
      <c r="AE47" s="2829"/>
      <c r="AF47" s="2829"/>
      <c r="AG47" s="2829"/>
      <c r="AH47" s="2829"/>
      <c r="AI47" s="2829"/>
      <c r="AJ47" s="2829"/>
      <c r="AK47" s="2829"/>
      <c r="AL47" s="2829"/>
      <c r="AM47" s="2829"/>
      <c r="AN47" s="2829"/>
      <c r="AO47" s="2829"/>
      <c r="AP47" s="2829"/>
      <c r="AQ47" s="2829"/>
      <c r="AR47" s="2829"/>
      <c r="AS47" s="2829"/>
      <c r="AT47" s="2829"/>
    </row>
    <row r="48" spans="2:54" hidden="1">
      <c r="C48" s="1470"/>
      <c r="N48" s="1475"/>
      <c r="O48" s="1475"/>
      <c r="P48" s="1475"/>
      <c r="Q48" s="1475"/>
      <c r="R48" s="1475"/>
      <c r="S48" s="1475"/>
      <c r="T48" s="1475"/>
      <c r="U48" s="1475"/>
      <c r="V48" s="1475"/>
      <c r="W48" s="1475"/>
      <c r="X48" s="1475"/>
      <c r="Y48" s="1475"/>
      <c r="Z48" s="1475"/>
      <c r="AA48" s="1475"/>
      <c r="AB48" s="1475"/>
      <c r="AC48" s="1475"/>
      <c r="AD48" s="1475"/>
      <c r="AE48" s="1476"/>
      <c r="AF48" s="1476"/>
      <c r="AG48" s="1476"/>
      <c r="AH48" s="1476"/>
      <c r="AI48" s="1476"/>
      <c r="AJ48" s="1476"/>
      <c r="AK48" s="1476"/>
      <c r="AL48" s="1477"/>
    </row>
    <row r="49" spans="2:47" hidden="1">
      <c r="C49" s="1470"/>
      <c r="N49" s="1475"/>
      <c r="O49" s="1475"/>
      <c r="P49" s="1475"/>
      <c r="Q49" s="1475"/>
      <c r="R49" s="1475"/>
      <c r="S49" s="1475"/>
      <c r="T49" s="1475"/>
      <c r="U49" s="1475"/>
      <c r="V49" s="1475"/>
      <c r="W49" s="1475"/>
      <c r="X49" s="1475"/>
      <c r="Y49" s="1475"/>
      <c r="Z49" s="1475"/>
      <c r="AA49" s="1475"/>
      <c r="AB49" s="1475"/>
      <c r="AC49" s="1475"/>
      <c r="AD49" s="1475"/>
      <c r="AE49" s="1476"/>
      <c r="AF49" s="1476"/>
      <c r="AG49" s="1476"/>
      <c r="AH49" s="1476"/>
      <c r="AI49" s="1476"/>
      <c r="AJ49" s="1476"/>
      <c r="AK49" s="1476"/>
      <c r="AL49" s="1477"/>
    </row>
    <row r="50" spans="2:47" ht="6" customHeight="1"/>
    <row r="51" spans="2:47" ht="6" customHeight="1"/>
    <row r="52" spans="2:47" ht="12" customHeight="1">
      <c r="B52" s="1470" t="s">
        <v>409</v>
      </c>
    </row>
    <row r="53" spans="2:47" ht="12" customHeight="1">
      <c r="C53" s="1470" t="s">
        <v>410</v>
      </c>
    </row>
    <row r="54" spans="2:47" ht="12" customHeight="1">
      <c r="D54" s="1470" t="s">
        <v>411</v>
      </c>
    </row>
    <row r="55" spans="2:47" ht="12" customHeight="1">
      <c r="D55" s="1478"/>
      <c r="E55" s="1478"/>
      <c r="F55" s="1478"/>
      <c r="G55" s="1478"/>
      <c r="H55" s="1478"/>
      <c r="I55" s="1478"/>
      <c r="J55" s="1478"/>
      <c r="K55" s="1478"/>
      <c r="L55" s="1478"/>
      <c r="M55" s="1479"/>
      <c r="N55" s="1478"/>
      <c r="O55" s="1479" t="s">
        <v>25</v>
      </c>
      <c r="P55" s="2827" t="str">
        <f>IF('＜入力不要＞報告書'!P55="","",'＜入力不要＞報告書'!P55)</f>
        <v/>
      </c>
      <c r="Q55" s="2827"/>
      <c r="R55" s="1478" t="s">
        <v>412</v>
      </c>
      <c r="S55" s="1478"/>
      <c r="T55" s="1478"/>
      <c r="U55" s="1478"/>
      <c r="V55" s="1480"/>
      <c r="W55" s="1478"/>
      <c r="X55" s="1478"/>
      <c r="Y55" s="1479" t="s">
        <v>25</v>
      </c>
      <c r="Z55" s="2827" t="str">
        <f>IF('＜入力不要＞報告書'!Z55="","",'＜入力不要＞報告書'!Z55)</f>
        <v/>
      </c>
      <c r="AA55" s="2827"/>
      <c r="AB55" s="2827"/>
      <c r="AC55" s="2827"/>
      <c r="AD55" s="2827"/>
      <c r="AE55" s="2827"/>
      <c r="AF55" s="2827"/>
      <c r="AG55" s="2827"/>
      <c r="AH55" s="1481" t="s">
        <v>413</v>
      </c>
      <c r="AI55" s="1478"/>
      <c r="AJ55" s="1478"/>
      <c r="AK55" s="1478"/>
      <c r="AL55" s="1479" t="s">
        <v>414</v>
      </c>
      <c r="AM55" s="2831" t="str">
        <f>IF('＜入力不要＞報告書'!AM55="","",'＜入力不要＞報告書'!AM55)</f>
        <v/>
      </c>
      <c r="AN55" s="2831"/>
      <c r="AO55" s="2831"/>
      <c r="AP55" s="2831"/>
      <c r="AQ55" s="2831"/>
      <c r="AR55" s="2831"/>
      <c r="AS55" s="1478" t="s">
        <v>415</v>
      </c>
    </row>
    <row r="56" spans="2:47" ht="12" customHeight="1">
      <c r="D56" s="1478"/>
      <c r="E56" s="1478"/>
      <c r="F56" s="1478"/>
      <c r="G56" s="1478"/>
      <c r="H56" s="1478"/>
      <c r="I56" s="1478"/>
      <c r="J56" s="1478"/>
      <c r="K56" s="1478"/>
      <c r="L56" s="1478"/>
      <c r="M56" s="1478"/>
      <c r="N56" s="1478"/>
      <c r="O56" s="1478" t="s">
        <v>264</v>
      </c>
      <c r="P56" s="1478"/>
      <c r="Q56" s="1478"/>
      <c r="R56" s="1478"/>
      <c r="S56" s="1478"/>
      <c r="T56" s="1478"/>
      <c r="U56" s="1478"/>
      <c r="V56" s="1478"/>
      <c r="W56" s="1478"/>
      <c r="X56" s="1478"/>
      <c r="Y56" s="1478"/>
      <c r="Z56" s="1478"/>
      <c r="AA56" s="1478"/>
      <c r="AB56" s="1478"/>
      <c r="AC56" s="1478"/>
      <c r="AD56" s="1478"/>
      <c r="AE56" s="1478"/>
      <c r="AF56" s="1478"/>
      <c r="AG56" s="1480"/>
      <c r="AH56" s="1478"/>
      <c r="AI56" s="1478"/>
      <c r="AJ56" s="1478"/>
      <c r="AK56" s="1478"/>
      <c r="AL56" s="1479" t="s">
        <v>414</v>
      </c>
      <c r="AM56" s="2831" t="str">
        <f>IF('＜入力不要＞報告書'!AM56="","",'＜入力不要＞報告書'!AM56)</f>
        <v/>
      </c>
      <c r="AN56" s="2831"/>
      <c r="AO56" s="2831"/>
      <c r="AP56" s="2831"/>
      <c r="AQ56" s="2831"/>
      <c r="AR56" s="2831"/>
      <c r="AS56" s="1478" t="s">
        <v>415</v>
      </c>
    </row>
    <row r="57" spans="2:47" ht="12" customHeight="1">
      <c r="D57" s="1478" t="s">
        <v>416</v>
      </c>
      <c r="E57" s="1478"/>
      <c r="F57" s="1478"/>
      <c r="G57" s="1478"/>
      <c r="H57" s="1478"/>
      <c r="I57" s="1478"/>
      <c r="J57" s="1479"/>
      <c r="K57" s="1478"/>
      <c r="L57" s="1480"/>
      <c r="M57" s="1479"/>
      <c r="N57" s="1478"/>
      <c r="O57" s="2790" t="str">
        <f>IF('＜入力不要＞報告書'!O57="","",'＜入力不要＞報告書'!O57)</f>
        <v/>
      </c>
      <c r="P57" s="2790"/>
      <c r="Q57" s="2790"/>
      <c r="R57" s="2790"/>
      <c r="S57" s="2790"/>
      <c r="T57" s="2790"/>
      <c r="U57" s="2790"/>
      <c r="V57" s="2790"/>
      <c r="W57" s="2790"/>
      <c r="X57" s="2790"/>
      <c r="Y57" s="2790"/>
      <c r="Z57" s="2790"/>
      <c r="AA57" s="2790"/>
      <c r="AB57" s="2790"/>
      <c r="AC57" s="2790"/>
      <c r="AD57" s="2790"/>
      <c r="AE57" s="2790"/>
      <c r="AF57" s="2790"/>
      <c r="AG57" s="2790"/>
      <c r="AH57" s="2790"/>
      <c r="AI57" s="2790"/>
      <c r="AJ57" s="2790"/>
      <c r="AK57" s="2790"/>
      <c r="AL57" s="2790"/>
      <c r="AM57" s="2790"/>
      <c r="AN57" s="2790"/>
      <c r="AO57" s="2790"/>
      <c r="AP57" s="2790"/>
      <c r="AQ57" s="2790"/>
      <c r="AR57" s="2790"/>
      <c r="AS57" s="2790"/>
    </row>
    <row r="58" spans="2:47" ht="12" customHeight="1">
      <c r="D58" s="1478" t="s">
        <v>417</v>
      </c>
      <c r="E58" s="1478"/>
      <c r="F58" s="1478"/>
      <c r="G58" s="1478"/>
      <c r="H58" s="1478"/>
      <c r="I58" s="1478"/>
      <c r="J58" s="1479"/>
      <c r="K58" s="1478"/>
      <c r="L58" s="1480"/>
      <c r="M58" s="1479"/>
      <c r="N58" s="1478"/>
      <c r="O58" s="2839" t="str">
        <f>IF('＜入力不要＞報告書'!O58="","",'＜入力不要＞報告書'!O58)</f>
        <v/>
      </c>
      <c r="P58" s="2839"/>
      <c r="Q58" s="2839"/>
      <c r="R58" s="2839"/>
      <c r="S58" s="2839"/>
      <c r="T58" s="2839"/>
      <c r="U58" s="2839"/>
      <c r="V58" s="2839"/>
      <c r="W58" s="2839"/>
      <c r="X58" s="2839"/>
      <c r="Y58" s="2839"/>
      <c r="Z58" s="2839"/>
      <c r="AA58" s="2839"/>
      <c r="AB58" s="2839"/>
      <c r="AC58" s="2839"/>
      <c r="AD58" s="2839"/>
      <c r="AE58" s="2839"/>
      <c r="AF58" s="2839"/>
      <c r="AG58" s="2839"/>
      <c r="AH58" s="2839"/>
      <c r="AI58" s="2839"/>
      <c r="AJ58" s="2839"/>
      <c r="AK58" s="2839"/>
      <c r="AL58" s="2839"/>
      <c r="AM58" s="2839"/>
      <c r="AN58" s="2839"/>
      <c r="AO58" s="2839"/>
      <c r="AP58" s="2839"/>
      <c r="AQ58" s="2839"/>
      <c r="AR58" s="2839"/>
      <c r="AS58" s="2839"/>
    </row>
    <row r="59" spans="2:47" ht="12" customHeight="1">
      <c r="D59" s="1478" t="s">
        <v>418</v>
      </c>
      <c r="E59" s="1478"/>
      <c r="F59" s="1478"/>
      <c r="G59" s="1478"/>
      <c r="H59" s="1478"/>
      <c r="I59" s="1478"/>
      <c r="J59" s="1479"/>
      <c r="K59" s="1478"/>
      <c r="L59" s="1480"/>
      <c r="M59" s="1478"/>
      <c r="N59" s="1478"/>
      <c r="O59" s="2790" t="str">
        <f>IF('＜入力不要＞報告書'!O59="","",'＜入力不要＞報告書'!O59)</f>
        <v/>
      </c>
      <c r="P59" s="2790"/>
      <c r="Q59" s="2790"/>
      <c r="R59" s="2790"/>
      <c r="S59" s="2790"/>
      <c r="T59" s="2790"/>
      <c r="U59" s="2790"/>
      <c r="V59" s="2790"/>
      <c r="W59" s="2790"/>
      <c r="X59" s="2790"/>
      <c r="Y59" s="2790"/>
      <c r="Z59" s="2790"/>
      <c r="AA59" s="2790"/>
      <c r="AB59" s="2790"/>
      <c r="AC59" s="2790"/>
      <c r="AD59" s="2790"/>
      <c r="AE59" s="2790"/>
      <c r="AF59" s="2790"/>
      <c r="AG59" s="2790"/>
      <c r="AH59" s="2790"/>
      <c r="AI59" s="2790"/>
      <c r="AJ59" s="2790"/>
      <c r="AK59" s="2790"/>
      <c r="AL59" s="2790"/>
      <c r="AM59" s="2790"/>
      <c r="AN59" s="2790"/>
      <c r="AO59" s="2790"/>
      <c r="AP59" s="2790"/>
      <c r="AQ59" s="2790"/>
      <c r="AR59" s="2790"/>
      <c r="AS59" s="2790"/>
      <c r="AU59" s="1475"/>
    </row>
    <row r="60" spans="2:47" ht="12" customHeight="1">
      <c r="D60" s="1478"/>
      <c r="E60" s="1478"/>
      <c r="F60" s="1478"/>
      <c r="G60" s="1478"/>
      <c r="H60" s="1478"/>
      <c r="I60" s="1478"/>
      <c r="J60" s="1479"/>
      <c r="K60" s="1478"/>
      <c r="L60" s="1479"/>
      <c r="M60" s="1478"/>
      <c r="N60" s="1478"/>
      <c r="O60" s="1479" t="s">
        <v>25</v>
      </c>
      <c r="P60" s="2827" t="str">
        <f>IF('＜入力不要＞報告書'!P60="","",'＜入力不要＞報告書'!P60)</f>
        <v/>
      </c>
      <c r="Q60" s="2827"/>
      <c r="R60" s="1478" t="s">
        <v>419</v>
      </c>
      <c r="S60" s="1478"/>
      <c r="T60" s="1478"/>
      <c r="U60" s="1478"/>
      <c r="V60" s="1478"/>
      <c r="W60" s="1478"/>
      <c r="X60" s="1479"/>
      <c r="Y60" s="1479" t="s">
        <v>25</v>
      </c>
      <c r="Z60" s="2827" t="str">
        <f>IF('＜入力不要＞報告書'!Z60="","",'＜入力不要＞報告書'!Z60)</f>
        <v/>
      </c>
      <c r="AA60" s="2827"/>
      <c r="AB60" s="2827"/>
      <c r="AC60" s="2827"/>
      <c r="AD60" s="2827"/>
      <c r="AE60" s="2827"/>
      <c r="AF60" s="1481" t="s">
        <v>420</v>
      </c>
      <c r="AG60" s="1481"/>
      <c r="AH60" s="1478"/>
      <c r="AI60" s="1480"/>
      <c r="AJ60" s="1478"/>
      <c r="AK60" s="1478"/>
      <c r="AL60" s="1479" t="s">
        <v>414</v>
      </c>
      <c r="AM60" s="2831" t="str">
        <f>IF('＜入力不要＞報告書'!AM60="","",'＜入力不要＞報告書'!AM60)</f>
        <v/>
      </c>
      <c r="AN60" s="2831"/>
      <c r="AO60" s="2831"/>
      <c r="AP60" s="2831"/>
      <c r="AQ60" s="2831"/>
      <c r="AR60" s="2831"/>
      <c r="AS60" s="1478" t="s">
        <v>415</v>
      </c>
    </row>
    <row r="61" spans="2:47" ht="12" customHeight="1">
      <c r="D61" s="1478" t="s">
        <v>421</v>
      </c>
      <c r="E61" s="1478"/>
      <c r="F61" s="1478"/>
      <c r="G61" s="1478"/>
      <c r="H61" s="1478"/>
      <c r="I61" s="1478"/>
      <c r="J61" s="1478"/>
      <c r="K61" s="1478"/>
      <c r="L61" s="1478"/>
      <c r="M61" s="1478"/>
      <c r="N61" s="1478"/>
      <c r="O61" s="2838" t="str">
        <f>IF('＜入力不要＞報告書'!O61="","",'＜入力不要＞報告書'!O61)</f>
        <v>-</v>
      </c>
      <c r="P61" s="2838"/>
      <c r="Q61" s="2838"/>
      <c r="R61" s="2838"/>
      <c r="S61" s="2838"/>
      <c r="T61" s="2838"/>
      <c r="U61" s="2838"/>
      <c r="V61" s="1478"/>
      <c r="W61" s="1478"/>
      <c r="X61" s="1478"/>
      <c r="Y61" s="1478"/>
      <c r="Z61" s="1478"/>
      <c r="AA61" s="1478"/>
      <c r="AB61" s="1478"/>
      <c r="AC61" s="1478"/>
      <c r="AD61" s="1478"/>
      <c r="AE61" s="1478"/>
      <c r="AF61" s="1478"/>
      <c r="AG61" s="1478"/>
      <c r="AH61" s="1478"/>
      <c r="AI61" s="1478"/>
      <c r="AJ61" s="1478"/>
      <c r="AK61" s="1479"/>
      <c r="AL61" s="1479"/>
      <c r="AM61" s="1478"/>
      <c r="AN61" s="1478"/>
      <c r="AO61" s="1478"/>
      <c r="AP61" s="1478"/>
      <c r="AQ61" s="1478"/>
      <c r="AR61" s="1478"/>
      <c r="AS61" s="1478"/>
    </row>
    <row r="62" spans="2:47" ht="12" customHeight="1">
      <c r="D62" s="1478" t="s">
        <v>422</v>
      </c>
      <c r="E62" s="1478"/>
      <c r="F62" s="1478"/>
      <c r="G62" s="1478"/>
      <c r="H62" s="1478"/>
      <c r="I62" s="1478"/>
      <c r="J62" s="1478"/>
      <c r="K62" s="1478"/>
      <c r="L62" s="1480"/>
      <c r="M62" s="1478"/>
      <c r="N62" s="1478"/>
      <c r="O62" s="2790" t="str">
        <f>IF('＜入力不要＞報告書'!O62="","",'＜入力不要＞報告書'!O62)</f>
        <v/>
      </c>
      <c r="P62" s="2790"/>
      <c r="Q62" s="2790"/>
      <c r="R62" s="2790"/>
      <c r="S62" s="2790"/>
      <c r="T62" s="2790"/>
      <c r="U62" s="2790"/>
      <c r="V62" s="2790"/>
      <c r="W62" s="2790"/>
      <c r="X62" s="2790"/>
      <c r="Y62" s="2790"/>
      <c r="Z62" s="2790"/>
      <c r="AA62" s="2790"/>
      <c r="AB62" s="2790"/>
      <c r="AC62" s="2790"/>
      <c r="AD62" s="2790"/>
      <c r="AE62" s="2790"/>
      <c r="AF62" s="2790"/>
      <c r="AG62" s="2790"/>
      <c r="AH62" s="2790"/>
      <c r="AI62" s="2790"/>
      <c r="AJ62" s="2790"/>
      <c r="AK62" s="2790"/>
      <c r="AL62" s="2790"/>
      <c r="AM62" s="2790"/>
      <c r="AN62" s="2790"/>
      <c r="AO62" s="2790"/>
      <c r="AP62" s="2790"/>
      <c r="AQ62" s="2790"/>
      <c r="AR62" s="2790"/>
      <c r="AS62" s="2790"/>
    </row>
    <row r="63" spans="2:47" ht="12" customHeight="1">
      <c r="D63" s="1478" t="s">
        <v>423</v>
      </c>
      <c r="E63" s="1478"/>
      <c r="F63" s="1478"/>
      <c r="G63" s="1478"/>
      <c r="H63" s="1478"/>
      <c r="I63" s="1478"/>
      <c r="J63" s="1478"/>
      <c r="K63" s="1478"/>
      <c r="L63" s="1482"/>
      <c r="M63" s="1478"/>
      <c r="N63" s="1478"/>
      <c r="O63" s="2839" t="str">
        <f>IF('＜入力不要＞報告書'!O63="","",'＜入力不要＞報告書'!O63)</f>
        <v>--</v>
      </c>
      <c r="P63" s="2839"/>
      <c r="Q63" s="2839"/>
      <c r="R63" s="2839"/>
      <c r="S63" s="2839"/>
      <c r="T63" s="2839"/>
      <c r="U63" s="2839"/>
      <c r="V63" s="2839"/>
      <c r="W63" s="2839"/>
      <c r="X63" s="2839"/>
      <c r="Y63" s="2839"/>
      <c r="Z63" s="2839"/>
      <c r="AA63" s="2839"/>
      <c r="AB63" s="2839"/>
      <c r="AC63" s="1482"/>
      <c r="AD63" s="1482"/>
      <c r="AE63" s="1482"/>
      <c r="AF63" s="1482"/>
      <c r="AG63" s="1482"/>
      <c r="AH63" s="1482"/>
      <c r="AI63" s="1482"/>
      <c r="AJ63" s="1482"/>
      <c r="AK63" s="1482"/>
      <c r="AL63" s="1482"/>
      <c r="AM63" s="1482"/>
      <c r="AN63" s="1482"/>
      <c r="AO63" s="1482"/>
      <c r="AP63" s="1482"/>
      <c r="AQ63" s="1482"/>
      <c r="AR63" s="1482"/>
      <c r="AS63" s="1482"/>
    </row>
    <row r="64" spans="2:47" ht="12" customHeight="1">
      <c r="C64" s="1470" t="s">
        <v>424</v>
      </c>
    </row>
    <row r="65" spans="2:51" ht="12" customHeight="1">
      <c r="D65" s="1478" t="s">
        <v>425</v>
      </c>
      <c r="N65" s="1483"/>
      <c r="O65" s="1483"/>
      <c r="P65" s="1483"/>
      <c r="Q65" s="1483"/>
      <c r="R65" s="1483"/>
      <c r="S65" s="1483"/>
      <c r="T65" s="1483"/>
      <c r="U65" s="1483"/>
      <c r="V65" s="1483"/>
      <c r="W65" s="1483"/>
      <c r="X65" s="1483"/>
      <c r="Y65" s="1483"/>
      <c r="Z65" s="1483"/>
      <c r="AA65" s="1483"/>
      <c r="AB65" s="1483"/>
      <c r="AC65" s="1483"/>
      <c r="AD65" s="1483"/>
      <c r="AE65" s="1483"/>
      <c r="AF65" s="1483"/>
      <c r="AG65" s="1483"/>
      <c r="AH65" s="1483"/>
      <c r="AI65" s="1483"/>
      <c r="AJ65" s="1483"/>
      <c r="AK65" s="1483"/>
      <c r="AL65" s="1483"/>
      <c r="AM65" s="1483"/>
      <c r="AN65" s="1483"/>
      <c r="AO65" s="1483"/>
      <c r="AP65" s="1483"/>
      <c r="AQ65" s="1483"/>
      <c r="AR65" s="1483"/>
      <c r="AS65" s="1483"/>
      <c r="AU65" s="1475"/>
      <c r="AV65" s="1475"/>
      <c r="AW65" s="1475"/>
      <c r="AX65" s="1475"/>
      <c r="AY65" s="1475"/>
    </row>
    <row r="66" spans="2:51" ht="12" customHeight="1">
      <c r="D66" s="1478"/>
      <c r="E66" s="1478"/>
      <c r="F66" s="1478"/>
      <c r="G66" s="1478"/>
      <c r="H66" s="1478"/>
      <c r="I66" s="1478"/>
      <c r="J66" s="1478"/>
      <c r="K66" s="1478"/>
      <c r="L66" s="1478"/>
      <c r="M66" s="1479"/>
      <c r="N66" s="1478"/>
      <c r="O66" s="1479" t="s">
        <v>25</v>
      </c>
      <c r="P66" s="2827" t="str">
        <f>IF('＜入力不要＞報告書'!P66="","",'＜入力不要＞報告書'!P66)</f>
        <v/>
      </c>
      <c r="Q66" s="2827"/>
      <c r="R66" s="1478" t="s">
        <v>412</v>
      </c>
      <c r="S66" s="1478"/>
      <c r="T66" s="1478"/>
      <c r="U66" s="1478"/>
      <c r="V66" s="1480"/>
      <c r="W66" s="1478"/>
      <c r="X66" s="1478"/>
      <c r="Y66" s="1479" t="s">
        <v>25</v>
      </c>
      <c r="Z66" s="2830">
        <f>IF('＜入力不要＞報告書'!Z66="","",'＜入力不要＞報告書'!Z66)</f>
        <v>0</v>
      </c>
      <c r="AA66" s="2830"/>
      <c r="AB66" s="2830"/>
      <c r="AC66" s="2830"/>
      <c r="AD66" s="2830"/>
      <c r="AE66" s="2830"/>
      <c r="AF66" s="2830"/>
      <c r="AG66" s="2830"/>
      <c r="AH66" s="1481" t="s">
        <v>413</v>
      </c>
      <c r="AI66" s="1478"/>
      <c r="AJ66" s="1478"/>
      <c r="AK66" s="1478"/>
      <c r="AL66" s="1479" t="s">
        <v>414</v>
      </c>
      <c r="AM66" s="2831" t="str">
        <f>IF('＜入力不要＞報告書'!AM66="","",'＜入力不要＞報告書'!AM66)</f>
        <v/>
      </c>
      <c r="AN66" s="2831"/>
      <c r="AO66" s="2831"/>
      <c r="AP66" s="2831"/>
      <c r="AQ66" s="2831"/>
      <c r="AR66" s="2831"/>
      <c r="AS66" s="1478" t="s">
        <v>415</v>
      </c>
    </row>
    <row r="67" spans="2:51" ht="12" customHeight="1">
      <c r="D67" s="1478"/>
      <c r="E67" s="1478"/>
      <c r="F67" s="1478"/>
      <c r="G67" s="1478"/>
      <c r="H67" s="1478"/>
      <c r="I67" s="1478"/>
      <c r="J67" s="1478"/>
      <c r="K67" s="1478"/>
      <c r="L67" s="1478"/>
      <c r="M67" s="1478"/>
      <c r="N67" s="1478"/>
      <c r="O67" s="1478" t="s">
        <v>264</v>
      </c>
      <c r="P67" s="1478"/>
      <c r="Q67" s="1478"/>
      <c r="R67" s="1478"/>
      <c r="S67" s="1478"/>
      <c r="T67" s="1478"/>
      <c r="U67" s="1478"/>
      <c r="V67" s="1478"/>
      <c r="W67" s="1478"/>
      <c r="X67" s="1478"/>
      <c r="Y67" s="1478"/>
      <c r="Z67" s="1478"/>
      <c r="AA67" s="1478"/>
      <c r="AB67" s="1478"/>
      <c r="AC67" s="1478"/>
      <c r="AD67" s="1478"/>
      <c r="AE67" s="1478"/>
      <c r="AF67" s="1478"/>
      <c r="AG67" s="1480"/>
      <c r="AH67" s="1478"/>
      <c r="AI67" s="1478"/>
      <c r="AJ67" s="1478"/>
      <c r="AK67" s="1478"/>
      <c r="AL67" s="1479" t="s">
        <v>414</v>
      </c>
      <c r="AM67" s="2831" t="str">
        <f>IF('＜入力不要＞報告書'!AM67="","",'＜入力不要＞報告書'!AM67)</f>
        <v/>
      </c>
      <c r="AN67" s="2831"/>
      <c r="AO67" s="2831"/>
      <c r="AP67" s="2831"/>
      <c r="AQ67" s="2831"/>
      <c r="AR67" s="2831"/>
      <c r="AS67" s="1478" t="s">
        <v>415</v>
      </c>
    </row>
    <row r="68" spans="2:51" ht="12" customHeight="1">
      <c r="D68" s="1478" t="s">
        <v>416</v>
      </c>
      <c r="E68" s="1478"/>
      <c r="F68" s="1478"/>
      <c r="G68" s="1478"/>
      <c r="H68" s="1478"/>
      <c r="I68" s="1478"/>
      <c r="J68" s="1479"/>
      <c r="K68" s="1478"/>
      <c r="L68" s="1480"/>
      <c r="M68" s="1479"/>
      <c r="N68" s="1478"/>
      <c r="O68" s="2790" t="str">
        <f>IF('＜入力不要＞報告書'!O68="","",'＜入力不要＞報告書'!O68)</f>
        <v/>
      </c>
      <c r="P68" s="2790"/>
      <c r="Q68" s="2790"/>
      <c r="R68" s="2790"/>
      <c r="S68" s="2790"/>
      <c r="T68" s="2790"/>
      <c r="U68" s="2790"/>
      <c r="V68" s="2790"/>
      <c r="W68" s="2790"/>
      <c r="X68" s="2790"/>
      <c r="Y68" s="2790"/>
      <c r="Z68" s="2790"/>
      <c r="AA68" s="2790"/>
      <c r="AB68" s="2790"/>
      <c r="AC68" s="2790"/>
      <c r="AD68" s="2790"/>
      <c r="AE68" s="2790"/>
      <c r="AF68" s="2790"/>
      <c r="AG68" s="2790"/>
      <c r="AH68" s="2790"/>
      <c r="AI68" s="2790"/>
      <c r="AJ68" s="2790"/>
      <c r="AK68" s="2790"/>
      <c r="AL68" s="2790"/>
      <c r="AM68" s="2790"/>
      <c r="AN68" s="2790"/>
      <c r="AO68" s="2790"/>
      <c r="AP68" s="2790"/>
      <c r="AQ68" s="2790"/>
      <c r="AR68" s="2790"/>
      <c r="AS68" s="2790"/>
    </row>
    <row r="69" spans="2:51" ht="12" customHeight="1">
      <c r="D69" s="1478" t="s">
        <v>417</v>
      </c>
      <c r="E69" s="1478"/>
      <c r="F69" s="1478"/>
      <c r="G69" s="1478"/>
      <c r="H69" s="1478"/>
      <c r="I69" s="1478"/>
      <c r="J69" s="1479"/>
      <c r="K69" s="1478"/>
      <c r="L69" s="1480"/>
      <c r="M69" s="1479"/>
      <c r="N69" s="1478"/>
      <c r="O69" s="2828">
        <f>IF('＜入力不要＞報告書'!O69="","",'＜入力不要＞報告書'!O69)</f>
        <v>0</v>
      </c>
      <c r="P69" s="2828"/>
      <c r="Q69" s="2828"/>
      <c r="R69" s="2828"/>
      <c r="S69" s="2828"/>
      <c r="T69" s="2828"/>
      <c r="U69" s="2828"/>
      <c r="V69" s="2828"/>
      <c r="W69" s="2828"/>
      <c r="X69" s="2828"/>
      <c r="Y69" s="2828"/>
      <c r="Z69" s="2828"/>
      <c r="AA69" s="2828"/>
      <c r="AB69" s="2828"/>
      <c r="AC69" s="2828"/>
      <c r="AD69" s="2828"/>
      <c r="AE69" s="2828"/>
      <c r="AF69" s="2828"/>
      <c r="AG69" s="2828"/>
      <c r="AH69" s="2828"/>
      <c r="AI69" s="2828"/>
      <c r="AJ69" s="2828"/>
      <c r="AK69" s="2828"/>
      <c r="AL69" s="2828"/>
      <c r="AM69" s="2828"/>
      <c r="AN69" s="2828"/>
      <c r="AO69" s="2828"/>
      <c r="AP69" s="2828"/>
      <c r="AQ69" s="2828"/>
      <c r="AR69" s="2828"/>
      <c r="AS69" s="2828"/>
    </row>
    <row r="70" spans="2:51" ht="12" customHeight="1">
      <c r="D70" s="1478" t="s">
        <v>418</v>
      </c>
      <c r="E70" s="1478"/>
      <c r="F70" s="1478"/>
      <c r="G70" s="1478"/>
      <c r="H70" s="1478"/>
      <c r="I70" s="1478"/>
      <c r="J70" s="1479"/>
      <c r="K70" s="1478"/>
      <c r="L70" s="1480"/>
      <c r="M70" s="1478"/>
      <c r="N70" s="1478"/>
      <c r="O70" s="2790" t="str">
        <f>IF('＜入力不要＞報告書'!O70="","",'＜入力不要＞報告書'!O70)</f>
        <v/>
      </c>
      <c r="P70" s="2790"/>
      <c r="Q70" s="2790"/>
      <c r="R70" s="2790"/>
      <c r="S70" s="2790"/>
      <c r="T70" s="2790"/>
      <c r="U70" s="2790"/>
      <c r="V70" s="2790"/>
      <c r="W70" s="2790"/>
      <c r="X70" s="2790"/>
      <c r="Y70" s="2790"/>
      <c r="Z70" s="2790"/>
      <c r="AA70" s="2790"/>
      <c r="AB70" s="2790"/>
      <c r="AC70" s="2790"/>
      <c r="AD70" s="2790"/>
      <c r="AE70" s="2790"/>
      <c r="AF70" s="2790"/>
      <c r="AG70" s="2790"/>
      <c r="AH70" s="2790"/>
      <c r="AI70" s="2790"/>
      <c r="AJ70" s="2790"/>
      <c r="AK70" s="2790"/>
      <c r="AL70" s="2790"/>
      <c r="AM70" s="2790"/>
      <c r="AN70" s="2790"/>
      <c r="AO70" s="2790"/>
      <c r="AP70" s="2790"/>
      <c r="AQ70" s="2790"/>
      <c r="AR70" s="2790"/>
      <c r="AS70" s="2790"/>
    </row>
    <row r="71" spans="2:51" ht="12" customHeight="1">
      <c r="D71" s="1478"/>
      <c r="E71" s="1478"/>
      <c r="F71" s="1478"/>
      <c r="G71" s="1478"/>
      <c r="H71" s="1478"/>
      <c r="I71" s="1478"/>
      <c r="J71" s="1479"/>
      <c r="K71" s="1478"/>
      <c r="L71" s="1479"/>
      <c r="M71" s="1478"/>
      <c r="N71" s="1478"/>
      <c r="O71" s="1479" t="s">
        <v>25</v>
      </c>
      <c r="P71" s="2827" t="str">
        <f>IF('＜入力不要＞報告書'!P71="","",'＜入力不要＞報告書'!P71)</f>
        <v/>
      </c>
      <c r="Q71" s="2827"/>
      <c r="R71" s="1478" t="s">
        <v>419</v>
      </c>
      <c r="S71" s="1478"/>
      <c r="T71" s="1478"/>
      <c r="U71" s="1478"/>
      <c r="V71" s="1478"/>
      <c r="W71" s="1478"/>
      <c r="X71" s="1479"/>
      <c r="Y71" s="1479" t="s">
        <v>25</v>
      </c>
      <c r="Z71" s="2827" t="str">
        <f>IF('＜入力不要＞報告書'!Z71="","",'＜入力不要＞報告書'!Z71)</f>
        <v/>
      </c>
      <c r="AA71" s="2827"/>
      <c r="AB71" s="2827"/>
      <c r="AC71" s="2827"/>
      <c r="AD71" s="2827"/>
      <c r="AE71" s="2827"/>
      <c r="AF71" s="1481" t="s">
        <v>420</v>
      </c>
      <c r="AG71" s="1481"/>
      <c r="AH71" s="1478"/>
      <c r="AI71" s="1480"/>
      <c r="AJ71" s="1478"/>
      <c r="AK71" s="1478"/>
      <c r="AL71" s="1479" t="s">
        <v>414</v>
      </c>
      <c r="AM71" s="2831" t="str">
        <f>IF('＜入力不要＞報告書'!AM71="","",'＜入力不要＞報告書'!AM71)</f>
        <v/>
      </c>
      <c r="AN71" s="2831"/>
      <c r="AO71" s="2831"/>
      <c r="AP71" s="2831"/>
      <c r="AQ71" s="2831"/>
      <c r="AR71" s="2831"/>
      <c r="AS71" s="1478" t="s">
        <v>415</v>
      </c>
    </row>
    <row r="72" spans="2:51" ht="12" customHeight="1">
      <c r="D72" s="1478" t="s">
        <v>421</v>
      </c>
      <c r="E72" s="1478"/>
      <c r="F72" s="1478"/>
      <c r="G72" s="1478"/>
      <c r="H72" s="1478"/>
      <c r="I72" s="1478"/>
      <c r="J72" s="1478"/>
      <c r="K72" s="1478"/>
      <c r="L72" s="1478"/>
      <c r="M72" s="1478"/>
      <c r="N72" s="1478"/>
      <c r="O72" s="2792" t="str">
        <f>IF('＜入力不要＞報告書'!O72="","",'＜入力不要＞報告書'!O72)</f>
        <v>-</v>
      </c>
      <c r="P72" s="2792"/>
      <c r="Q72" s="2792"/>
      <c r="R72" s="2792"/>
      <c r="S72" s="2792"/>
      <c r="T72" s="2792"/>
      <c r="U72" s="2792"/>
      <c r="V72" s="1478"/>
      <c r="W72" s="1478"/>
      <c r="X72" s="1478"/>
      <c r="Y72" s="1478"/>
      <c r="Z72" s="1478"/>
      <c r="AA72" s="1478"/>
      <c r="AB72" s="1478"/>
      <c r="AC72" s="1478"/>
      <c r="AD72" s="1478"/>
      <c r="AE72" s="1478"/>
      <c r="AF72" s="1478"/>
      <c r="AG72" s="1478"/>
      <c r="AH72" s="1478"/>
      <c r="AI72" s="1478"/>
      <c r="AJ72" s="1478"/>
      <c r="AK72" s="1479"/>
      <c r="AL72" s="1479"/>
      <c r="AM72" s="1478"/>
      <c r="AN72" s="1478"/>
      <c r="AO72" s="1478"/>
      <c r="AP72" s="1478"/>
      <c r="AQ72" s="1478"/>
      <c r="AR72" s="1478"/>
      <c r="AS72" s="1478"/>
    </row>
    <row r="73" spans="2:51" ht="12" customHeight="1">
      <c r="D73" s="1478" t="s">
        <v>422</v>
      </c>
      <c r="E73" s="1478"/>
      <c r="F73" s="1478"/>
      <c r="G73" s="1478"/>
      <c r="H73" s="1478"/>
      <c r="I73" s="1478"/>
      <c r="J73" s="1478"/>
      <c r="K73" s="1478"/>
      <c r="L73" s="1480"/>
      <c r="M73" s="1478"/>
      <c r="N73" s="1478"/>
      <c r="O73" s="2790" t="str">
        <f>IF('＜入力不要＞報告書'!O73="","",'＜入力不要＞報告書'!O73)</f>
        <v/>
      </c>
      <c r="P73" s="2790"/>
      <c r="Q73" s="2790"/>
      <c r="R73" s="2790"/>
      <c r="S73" s="2790"/>
      <c r="T73" s="2790"/>
      <c r="U73" s="2790"/>
      <c r="V73" s="2790"/>
      <c r="W73" s="2790"/>
      <c r="X73" s="2790"/>
      <c r="Y73" s="2790"/>
      <c r="Z73" s="2790"/>
      <c r="AA73" s="2790"/>
      <c r="AB73" s="2790"/>
      <c r="AC73" s="2790"/>
      <c r="AD73" s="2790"/>
      <c r="AE73" s="2790"/>
      <c r="AF73" s="2790"/>
      <c r="AG73" s="2790"/>
      <c r="AH73" s="2790"/>
      <c r="AI73" s="2790"/>
      <c r="AJ73" s="2790"/>
      <c r="AK73" s="2790"/>
      <c r="AL73" s="2790"/>
      <c r="AM73" s="2790"/>
      <c r="AN73" s="2790"/>
      <c r="AO73" s="2790"/>
      <c r="AP73" s="2790"/>
      <c r="AQ73" s="2790"/>
      <c r="AR73" s="2790"/>
      <c r="AS73" s="2790"/>
    </row>
    <row r="74" spans="2:51" ht="12" customHeight="1">
      <c r="D74" s="1478" t="s">
        <v>423</v>
      </c>
      <c r="E74" s="1478"/>
      <c r="F74" s="1478"/>
      <c r="G74" s="1478"/>
      <c r="H74" s="1478"/>
      <c r="I74" s="1478"/>
      <c r="J74" s="1478"/>
      <c r="K74" s="1478"/>
      <c r="L74" s="1482"/>
      <c r="M74" s="1478"/>
      <c r="N74" s="1478"/>
      <c r="O74" s="2839" t="str">
        <f>IF('＜入力不要＞報告書'!O74="","",'＜入力不要＞報告書'!O74)</f>
        <v>--</v>
      </c>
      <c r="P74" s="2839"/>
      <c r="Q74" s="2839"/>
      <c r="R74" s="2839"/>
      <c r="S74" s="2839"/>
      <c r="T74" s="2839"/>
      <c r="U74" s="2839"/>
      <c r="V74" s="2839"/>
      <c r="W74" s="2839"/>
      <c r="X74" s="2839"/>
      <c r="Y74" s="2839"/>
      <c r="Z74" s="2839"/>
      <c r="AA74" s="2839"/>
      <c r="AB74" s="2839"/>
      <c r="AC74" s="1482"/>
      <c r="AD74" s="1482"/>
      <c r="AE74" s="1482"/>
      <c r="AF74" s="1482"/>
      <c r="AG74" s="1482"/>
      <c r="AH74" s="1482"/>
      <c r="AI74" s="1482"/>
      <c r="AJ74" s="1482"/>
      <c r="AK74" s="1482"/>
      <c r="AL74" s="1482"/>
      <c r="AM74" s="1482"/>
      <c r="AN74" s="1482"/>
      <c r="AO74" s="1482"/>
      <c r="AP74" s="1482"/>
      <c r="AQ74" s="1482"/>
      <c r="AR74" s="1482"/>
      <c r="AS74" s="1482"/>
    </row>
    <row r="75" spans="2:51" ht="13.5" hidden="1" customHeight="1">
      <c r="C75" s="1470"/>
      <c r="N75" s="1484"/>
      <c r="O75" s="1484"/>
      <c r="P75" s="1484"/>
      <c r="Q75" s="1484"/>
      <c r="R75" s="1484"/>
      <c r="S75" s="1484"/>
      <c r="T75" s="1484"/>
      <c r="U75" s="1484"/>
      <c r="V75" s="1484"/>
      <c r="W75" s="1484"/>
      <c r="X75" s="1484"/>
      <c r="Y75" s="1484"/>
      <c r="Z75" s="1484"/>
      <c r="AA75" s="1484"/>
      <c r="AB75" s="1484"/>
      <c r="AC75" s="1484"/>
      <c r="AD75" s="1484"/>
      <c r="AE75" s="1484"/>
      <c r="AF75" s="1484"/>
      <c r="AG75" s="1484"/>
      <c r="AH75" s="1484"/>
      <c r="AI75" s="1484"/>
      <c r="AJ75" s="1484"/>
      <c r="AK75" s="1484"/>
      <c r="AL75" s="1484"/>
      <c r="AM75" s="1484"/>
      <c r="AN75" s="1484"/>
      <c r="AO75" s="1484"/>
      <c r="AP75" s="1484"/>
      <c r="AQ75" s="1484"/>
      <c r="AR75" s="1484"/>
      <c r="AS75" s="1484"/>
      <c r="AT75" s="1484"/>
    </row>
    <row r="76" spans="2:51" hidden="1">
      <c r="C76" s="1470"/>
      <c r="N76" s="1484"/>
      <c r="O76" s="1484"/>
      <c r="P76" s="1484"/>
      <c r="Q76" s="1484"/>
      <c r="R76" s="1484"/>
      <c r="S76" s="1484"/>
      <c r="T76" s="1484"/>
      <c r="U76" s="1484"/>
      <c r="V76" s="1484"/>
      <c r="W76" s="1484"/>
      <c r="X76" s="1484"/>
      <c r="Y76" s="1484"/>
      <c r="Z76" s="1484"/>
      <c r="AA76" s="1484"/>
      <c r="AB76" s="1484"/>
      <c r="AC76" s="1484"/>
      <c r="AD76" s="1484"/>
      <c r="AE76" s="1484"/>
      <c r="AF76" s="1484"/>
      <c r="AG76" s="1484"/>
      <c r="AH76" s="1484"/>
      <c r="AI76" s="1484"/>
      <c r="AJ76" s="1484"/>
      <c r="AK76" s="1484"/>
      <c r="AL76" s="1484"/>
      <c r="AM76" s="1484"/>
      <c r="AN76" s="1484"/>
      <c r="AO76" s="1484"/>
      <c r="AP76" s="1484"/>
      <c r="AQ76" s="1484"/>
      <c r="AR76" s="1484"/>
      <c r="AS76" s="1484"/>
      <c r="AT76" s="1484"/>
    </row>
    <row r="77" spans="2:51" hidden="1">
      <c r="C77" s="1470"/>
      <c r="N77" s="1484"/>
      <c r="O77" s="1484"/>
      <c r="P77" s="1484"/>
      <c r="Q77" s="1484"/>
      <c r="R77" s="1484"/>
      <c r="S77" s="1484"/>
      <c r="T77" s="1484"/>
      <c r="U77" s="1484"/>
      <c r="V77" s="1484"/>
      <c r="W77" s="1484"/>
      <c r="X77" s="1484"/>
      <c r="Y77" s="1484"/>
      <c r="Z77" s="1484"/>
      <c r="AA77" s="1484"/>
      <c r="AB77" s="1484"/>
      <c r="AC77" s="1484"/>
      <c r="AD77" s="1484"/>
      <c r="AE77" s="1484"/>
      <c r="AF77" s="1484"/>
      <c r="AG77" s="1484"/>
      <c r="AH77" s="1484"/>
      <c r="AI77" s="1484"/>
      <c r="AJ77" s="1484"/>
      <c r="AK77" s="1484"/>
      <c r="AL77" s="1484"/>
      <c r="AM77" s="1484"/>
      <c r="AN77" s="1484"/>
      <c r="AO77" s="1484"/>
      <c r="AP77" s="1484"/>
      <c r="AQ77" s="1484"/>
      <c r="AR77" s="1484"/>
      <c r="AS77" s="1484"/>
      <c r="AT77" s="1484"/>
    </row>
    <row r="78" spans="2:51" ht="6" customHeight="1"/>
    <row r="79" spans="2:51" ht="6" customHeight="1"/>
    <row r="80" spans="2:51" ht="12" customHeight="1">
      <c r="B80" s="1470" t="s">
        <v>426</v>
      </c>
      <c r="X80" s="1485"/>
    </row>
    <row r="81" spans="2:53" ht="12" customHeight="1">
      <c r="D81" s="1470" t="s">
        <v>427</v>
      </c>
      <c r="N81" s="1475"/>
      <c r="O81" s="2790" t="str">
        <f>IF('＜入力不要＞報告書'!O81="","",'＜入力不要＞報告書'!O81)&amp;IF('＜入力不要＞報告書'!V81="","",'＜入力不要＞報告書'!V81)&amp;IF('＜入力不要＞報告書'!AC81="","",'＜入力不要＞報告書'!AC81)&amp;IF('＜入力不要＞報告書'!AJ81="","",'＜入力不要＞報告書'!AJ81)</f>
        <v>京都市</v>
      </c>
      <c r="P81" s="2790"/>
      <c r="Q81" s="2790"/>
      <c r="R81" s="2790"/>
      <c r="S81" s="2790"/>
      <c r="T81" s="2790"/>
      <c r="U81" s="2790"/>
      <c r="V81" s="2790"/>
      <c r="W81" s="2790"/>
      <c r="X81" s="2790"/>
      <c r="Y81" s="2790"/>
      <c r="Z81" s="2790"/>
      <c r="AA81" s="2790"/>
      <c r="AB81" s="2790"/>
      <c r="AC81" s="2790"/>
      <c r="AD81" s="2790"/>
      <c r="AE81" s="2790"/>
      <c r="AF81" s="2790"/>
      <c r="AG81" s="2790"/>
      <c r="AH81" s="2790"/>
      <c r="AI81" s="2790"/>
      <c r="AJ81" s="2790"/>
      <c r="AK81" s="2790"/>
      <c r="AL81" s="2790"/>
      <c r="AM81" s="2790"/>
      <c r="AN81" s="2790"/>
      <c r="AO81" s="2790"/>
      <c r="AP81" s="2790"/>
      <c r="AQ81" s="2790"/>
      <c r="AR81" s="2790"/>
      <c r="AS81" s="2790"/>
    </row>
    <row r="82" spans="2:53" ht="12" customHeight="1">
      <c r="D82" s="1470" t="s">
        <v>428</v>
      </c>
      <c r="N82" s="1475"/>
      <c r="O82" s="2790" t="str">
        <f>IF('＜入力不要＞報告書'!O82="","",'＜入力不要＞報告書'!O82)&amp;IF('＜入力不要＞報告書'!V82="","",'＜入力不要＞報告書'!V82)&amp;IF('＜入力不要＞報告書'!AC82="","",'＜入力不要＞報告書'!AC82)&amp;IF('＜入力不要＞報告書'!AJ82="","",'＜入力不要＞報告書'!AJ82)</f>
        <v/>
      </c>
      <c r="P82" s="2790"/>
      <c r="Q82" s="2790"/>
      <c r="R82" s="2790"/>
      <c r="S82" s="2790"/>
      <c r="T82" s="2790"/>
      <c r="U82" s="2790"/>
      <c r="V82" s="2790"/>
      <c r="W82" s="2790"/>
      <c r="X82" s="2790"/>
      <c r="Y82" s="2790"/>
      <c r="Z82" s="2790"/>
      <c r="AA82" s="2790"/>
      <c r="AB82" s="2790"/>
      <c r="AC82" s="2790"/>
      <c r="AD82" s="2790"/>
      <c r="AE82" s="2790"/>
      <c r="AF82" s="2790"/>
      <c r="AG82" s="2790"/>
      <c r="AH82" s="2790"/>
      <c r="AI82" s="2790"/>
      <c r="AJ82" s="2790"/>
      <c r="AK82" s="2790"/>
      <c r="AL82" s="2790"/>
      <c r="AM82" s="2790"/>
      <c r="AN82" s="2790"/>
      <c r="AO82" s="2790"/>
      <c r="AP82" s="2790"/>
      <c r="AQ82" s="2790"/>
      <c r="AR82" s="2790"/>
      <c r="AS82" s="2790"/>
    </row>
    <row r="83" spans="2:53" ht="12" customHeight="1">
      <c r="D83" s="1470" t="s">
        <v>429</v>
      </c>
      <c r="N83" s="1475"/>
      <c r="O83" s="2839" t="str">
        <f>IF('＜入力不要＞報告書'!O83="","",'＜入力不要＞報告書'!O83)</f>
        <v/>
      </c>
      <c r="P83" s="2839"/>
      <c r="Q83" s="2839"/>
      <c r="R83" s="2839"/>
      <c r="S83" s="2839"/>
      <c r="T83" s="2839"/>
      <c r="U83" s="2839"/>
      <c r="V83" s="2839"/>
      <c r="W83" s="2839"/>
      <c r="X83" s="2839"/>
      <c r="Y83" s="2839"/>
      <c r="Z83" s="2839"/>
      <c r="AA83" s="2839"/>
      <c r="AB83" s="2839"/>
      <c r="AC83" s="2839"/>
      <c r="AD83" s="2839"/>
      <c r="AE83" s="2839"/>
      <c r="AF83" s="2839"/>
      <c r="AG83" s="2839"/>
      <c r="AH83" s="2839"/>
      <c r="AI83" s="2839"/>
      <c r="AJ83" s="2839"/>
      <c r="AK83" s="2839"/>
      <c r="AL83" s="2839"/>
      <c r="AM83" s="2839"/>
      <c r="AN83" s="2839"/>
      <c r="AO83" s="2839"/>
      <c r="AP83" s="2839"/>
      <c r="AQ83" s="2839"/>
      <c r="AR83" s="2839"/>
      <c r="AS83" s="2839"/>
    </row>
    <row r="84" spans="2:53" ht="12" customHeight="1">
      <c r="D84" s="1470" t="s">
        <v>430</v>
      </c>
      <c r="N84" s="1475"/>
      <c r="O84" s="2790" t="str">
        <f>IF('＜入力不要＞報告書'!O84="","",'＜入力不要＞報告書'!O84)</f>
        <v/>
      </c>
      <c r="P84" s="2790"/>
      <c r="Q84" s="2790"/>
      <c r="R84" s="2790"/>
      <c r="S84" s="2790"/>
      <c r="T84" s="2790"/>
      <c r="U84" s="2790"/>
      <c r="V84" s="2790"/>
      <c r="W84" s="2790"/>
      <c r="X84" s="2790"/>
      <c r="Y84" s="2790"/>
      <c r="Z84" s="2790"/>
      <c r="AA84" s="2790"/>
      <c r="AB84" s="2790"/>
      <c r="AC84" s="2790"/>
      <c r="AD84" s="2790"/>
      <c r="AE84" s="2790"/>
      <c r="AF84" s="2790"/>
      <c r="AG84" s="2790"/>
      <c r="AH84" s="2790"/>
      <c r="AI84" s="2790"/>
      <c r="AJ84" s="2790"/>
      <c r="AK84" s="2790"/>
      <c r="AL84" s="2790"/>
      <c r="AM84" s="2790"/>
      <c r="AN84" s="2790"/>
      <c r="AO84" s="2790"/>
      <c r="AP84" s="2790"/>
      <c r="AQ84" s="2790"/>
      <c r="AR84" s="2790"/>
      <c r="AS84" s="2790"/>
    </row>
    <row r="85" spans="2:53" ht="13" hidden="1" customHeight="1">
      <c r="C85" s="1470"/>
      <c r="N85" s="2829"/>
      <c r="O85" s="2829"/>
      <c r="P85" s="2829"/>
      <c r="Q85" s="2829"/>
      <c r="R85" s="2829"/>
      <c r="S85" s="2829"/>
      <c r="T85" s="2829"/>
      <c r="U85" s="2829"/>
      <c r="V85" s="2829"/>
      <c r="W85" s="2829"/>
      <c r="X85" s="2829"/>
      <c r="Y85" s="2829"/>
      <c r="Z85" s="2829"/>
      <c r="AA85" s="2829"/>
      <c r="AB85" s="2829"/>
      <c r="AC85" s="2829"/>
      <c r="AD85" s="2829"/>
      <c r="AE85" s="2829"/>
      <c r="AF85" s="2829"/>
      <c r="AG85" s="2829"/>
      <c r="AH85" s="2829"/>
      <c r="AI85" s="2829"/>
      <c r="AJ85" s="2829"/>
      <c r="AK85" s="2829"/>
      <c r="AL85" s="2829"/>
      <c r="AM85" s="2829"/>
      <c r="AN85" s="2829"/>
      <c r="AO85" s="2829"/>
      <c r="AP85" s="2829"/>
      <c r="AQ85" s="2829"/>
      <c r="AR85" s="2829"/>
      <c r="AS85" s="2829"/>
      <c r="AT85" s="2829"/>
    </row>
    <row r="86" spans="2:53" ht="13" hidden="1" customHeight="1">
      <c r="C86" s="1470"/>
      <c r="N86" s="2829"/>
      <c r="O86" s="2829"/>
      <c r="P86" s="2829"/>
      <c r="Q86" s="2829"/>
      <c r="R86" s="2829"/>
      <c r="S86" s="2829"/>
      <c r="T86" s="2829"/>
      <c r="U86" s="2829"/>
      <c r="V86" s="2829"/>
      <c r="W86" s="2829"/>
      <c r="X86" s="2829"/>
      <c r="Y86" s="2829"/>
      <c r="Z86" s="2829"/>
      <c r="AA86" s="2829"/>
      <c r="AB86" s="2829"/>
      <c r="AC86" s="2829"/>
      <c r="AD86" s="2829"/>
      <c r="AE86" s="2829"/>
      <c r="AF86" s="2829"/>
      <c r="AG86" s="2829"/>
      <c r="AH86" s="2829"/>
      <c r="AI86" s="2829"/>
      <c r="AJ86" s="2829"/>
      <c r="AK86" s="2829"/>
      <c r="AL86" s="2829"/>
      <c r="AM86" s="2829"/>
      <c r="AN86" s="2829"/>
      <c r="AO86" s="2829"/>
      <c r="AP86" s="2829"/>
      <c r="AQ86" s="2829"/>
      <c r="AR86" s="2829"/>
      <c r="AS86" s="2829"/>
      <c r="AT86" s="2829"/>
    </row>
    <row r="87" spans="2:53" ht="13" hidden="1" customHeight="1">
      <c r="C87" s="1470"/>
      <c r="N87" s="2829"/>
      <c r="O87" s="2829"/>
      <c r="P87" s="2829"/>
      <c r="Q87" s="2829"/>
      <c r="R87" s="2829"/>
      <c r="S87" s="2829"/>
      <c r="T87" s="2829"/>
      <c r="U87" s="2829"/>
      <c r="V87" s="2829"/>
      <c r="W87" s="2829"/>
      <c r="X87" s="2829"/>
      <c r="Y87" s="2829"/>
      <c r="Z87" s="2829"/>
      <c r="AA87" s="2829"/>
      <c r="AB87" s="2829"/>
      <c r="AC87" s="2829"/>
      <c r="AD87" s="2829"/>
      <c r="AE87" s="2829"/>
      <c r="AF87" s="2829"/>
      <c r="AG87" s="2829"/>
      <c r="AH87" s="2829"/>
      <c r="AI87" s="2829"/>
      <c r="AJ87" s="2829"/>
      <c r="AK87" s="2829"/>
      <c r="AL87" s="2829"/>
      <c r="AM87" s="2829"/>
      <c r="AN87" s="2829"/>
      <c r="AO87" s="2829"/>
      <c r="AP87" s="2829"/>
      <c r="AQ87" s="2829"/>
      <c r="AR87" s="2829"/>
      <c r="AS87" s="2829"/>
      <c r="AT87" s="2829"/>
    </row>
    <row r="88" spans="2:53" ht="13" hidden="1" customHeight="1">
      <c r="C88" s="1470"/>
      <c r="N88" s="2829"/>
      <c r="O88" s="2829"/>
      <c r="P88" s="2829"/>
      <c r="Q88" s="2829"/>
      <c r="R88" s="2829"/>
      <c r="S88" s="2829"/>
      <c r="T88" s="2829"/>
      <c r="U88" s="2829"/>
      <c r="V88" s="2829"/>
      <c r="W88" s="2829"/>
      <c r="X88" s="2829"/>
      <c r="Y88" s="2829"/>
      <c r="Z88" s="2829"/>
      <c r="AA88" s="2829"/>
      <c r="AB88" s="2829"/>
      <c r="AC88" s="2829"/>
      <c r="AD88" s="2829"/>
      <c r="AE88" s="2829"/>
      <c r="AF88" s="2829"/>
      <c r="AG88" s="2829"/>
      <c r="AH88" s="2829"/>
      <c r="AI88" s="2829"/>
      <c r="AJ88" s="2829"/>
      <c r="AK88" s="2829"/>
      <c r="AL88" s="2829"/>
      <c r="AM88" s="2829"/>
      <c r="AN88" s="2829"/>
      <c r="AO88" s="2829"/>
      <c r="AP88" s="2829"/>
      <c r="AQ88" s="2829"/>
      <c r="AR88" s="2829"/>
      <c r="AS88" s="2829"/>
      <c r="AT88" s="2829"/>
    </row>
    <row r="89" spans="2:53" hidden="1">
      <c r="C89" s="1470"/>
      <c r="N89" s="1484"/>
      <c r="O89" s="1484"/>
      <c r="P89" s="1484"/>
      <c r="Q89" s="1484"/>
      <c r="R89" s="1484"/>
      <c r="S89" s="1484"/>
      <c r="T89" s="1484"/>
      <c r="U89" s="1484"/>
      <c r="V89" s="1484"/>
      <c r="W89" s="1484"/>
      <c r="X89" s="1484"/>
      <c r="Y89" s="1484"/>
      <c r="Z89" s="1484"/>
      <c r="AA89" s="1484"/>
      <c r="AB89" s="1484"/>
      <c r="AC89" s="1484"/>
      <c r="AD89" s="1484"/>
      <c r="AE89" s="1484"/>
      <c r="AF89" s="1484"/>
      <c r="AG89" s="1484"/>
      <c r="AH89" s="1484"/>
      <c r="AI89" s="1484"/>
      <c r="AJ89" s="1484"/>
      <c r="AK89" s="1484"/>
      <c r="AL89" s="1484"/>
      <c r="AM89" s="1484"/>
      <c r="AN89" s="1484"/>
      <c r="AO89" s="1484"/>
      <c r="AP89" s="1484"/>
      <c r="AQ89" s="1484"/>
      <c r="AR89" s="1484"/>
      <c r="AS89" s="1484"/>
      <c r="AT89" s="1484"/>
    </row>
    <row r="90" spans="2:53" hidden="1">
      <c r="C90" s="1470"/>
      <c r="N90" s="1484"/>
      <c r="O90" s="1484"/>
      <c r="P90" s="1484"/>
      <c r="Q90" s="1484"/>
      <c r="R90" s="1484"/>
      <c r="S90" s="1484"/>
      <c r="T90" s="1484"/>
      <c r="U90" s="1484"/>
      <c r="V90" s="1484"/>
      <c r="W90" s="1484"/>
      <c r="X90" s="1484"/>
      <c r="Y90" s="1484"/>
      <c r="Z90" s="1484"/>
      <c r="AA90" s="1484"/>
      <c r="AB90" s="1484"/>
      <c r="AC90" s="1484"/>
      <c r="AD90" s="1484"/>
      <c r="AE90" s="1484"/>
      <c r="AF90" s="1484"/>
      <c r="AG90" s="1484"/>
      <c r="AH90" s="1484"/>
      <c r="AI90" s="1484"/>
      <c r="AJ90" s="1484"/>
      <c r="AK90" s="1484"/>
      <c r="AL90" s="1484"/>
      <c r="AM90" s="1484"/>
      <c r="AN90" s="1484"/>
      <c r="AO90" s="1484"/>
      <c r="AP90" s="1484"/>
      <c r="AQ90" s="1484"/>
      <c r="AR90" s="1484"/>
      <c r="AS90" s="1484"/>
      <c r="AT90" s="1484"/>
    </row>
    <row r="91" spans="2:53" hidden="1">
      <c r="C91" s="1470"/>
      <c r="N91" s="1484"/>
      <c r="O91" s="1484"/>
      <c r="P91" s="1484"/>
      <c r="Q91" s="1484"/>
      <c r="R91" s="1484"/>
      <c r="S91" s="1484"/>
      <c r="T91" s="1484"/>
      <c r="U91" s="1484"/>
      <c r="V91" s="1484"/>
      <c r="W91" s="1484"/>
      <c r="X91" s="1484"/>
      <c r="Y91" s="1484"/>
      <c r="Z91" s="1484"/>
      <c r="AA91" s="1484"/>
      <c r="AB91" s="1484"/>
      <c r="AC91" s="1484"/>
      <c r="AD91" s="1484"/>
      <c r="AE91" s="1484"/>
      <c r="AF91" s="1484"/>
      <c r="AG91" s="1484"/>
      <c r="AH91" s="1484"/>
      <c r="AI91" s="1484"/>
      <c r="AJ91" s="1484"/>
      <c r="AK91" s="1484"/>
      <c r="AL91" s="1484"/>
      <c r="AM91" s="1484"/>
      <c r="AN91" s="1484"/>
      <c r="AO91" s="1484"/>
      <c r="AP91" s="1484"/>
      <c r="AQ91" s="1484"/>
      <c r="AR91" s="1484"/>
      <c r="AS91" s="1484"/>
      <c r="AT91" s="1484"/>
    </row>
    <row r="92" spans="2:53" ht="6" customHeight="1"/>
    <row r="93" spans="2:53" ht="6" customHeight="1"/>
    <row r="94" spans="2:53" ht="12" customHeight="1">
      <c r="B94" s="1470" t="s">
        <v>431</v>
      </c>
      <c r="X94" s="1485"/>
      <c r="Y94" s="2960"/>
      <c r="Z94" s="2960"/>
      <c r="AA94" s="2960"/>
      <c r="AB94" s="2960"/>
      <c r="AC94" s="2960"/>
      <c r="AD94" s="2960"/>
      <c r="AE94" s="2960"/>
      <c r="AF94" s="2960"/>
      <c r="AG94" s="2960"/>
      <c r="AH94" s="2961"/>
      <c r="AI94" s="2961"/>
      <c r="AJ94" s="2961"/>
    </row>
    <row r="95" spans="2:53" ht="12" customHeight="1">
      <c r="D95" s="1470" t="s">
        <v>432</v>
      </c>
      <c r="O95" s="1609" t="str">
        <f>IF('＜入力不要＞報告書'!O95="","",'＜入力不要＞報告書'!O95)</f>
        <v/>
      </c>
      <c r="P95" s="1461" t="s">
        <v>433</v>
      </c>
      <c r="X95" s="1487" t="s">
        <v>26</v>
      </c>
      <c r="Y95" s="1609" t="str">
        <f>IF('＜入力不要＞報告書'!Y95="","",'＜入力不要＞報告書'!Y95)</f>
        <v/>
      </c>
      <c r="Z95" s="1461" t="s">
        <v>434</v>
      </c>
      <c r="AH95" s="1609" t="str">
        <f>IF('＜入力不要＞報告書'!AH95="","",'＜入力不要＞報告書'!AH95)</f>
        <v/>
      </c>
      <c r="AI95" s="1461" t="s">
        <v>435</v>
      </c>
    </row>
    <row r="96" spans="2:53" ht="12" customHeight="1">
      <c r="D96" s="1470" t="s">
        <v>436</v>
      </c>
      <c r="O96" s="2962" t="s">
        <v>1371</v>
      </c>
      <c r="P96" s="2962"/>
      <c r="Q96" s="2962"/>
      <c r="R96" s="2962"/>
      <c r="S96" s="2962"/>
      <c r="T96" s="2962"/>
      <c r="U96" s="2962"/>
      <c r="V96" s="2962"/>
      <c r="W96" s="2962"/>
      <c r="X96" s="2963"/>
      <c r="Y96" s="2963"/>
      <c r="Z96" s="2963"/>
      <c r="AA96" s="1610"/>
      <c r="AB96" s="1610"/>
      <c r="AC96" s="1610"/>
      <c r="AD96" s="1610"/>
      <c r="AE96" s="1610"/>
      <c r="AF96" s="1610"/>
      <c r="AG96" s="1610"/>
      <c r="AH96" s="1610"/>
      <c r="AI96" s="1610"/>
      <c r="AJ96" s="1610"/>
      <c r="AK96" s="1610"/>
      <c r="AL96" s="1610"/>
      <c r="AM96" s="1610"/>
      <c r="AN96" s="1610"/>
      <c r="AO96" s="1610"/>
      <c r="AP96" s="1610"/>
      <c r="AQ96" s="1610"/>
      <c r="AR96" s="1610"/>
      <c r="AS96" s="1610"/>
      <c r="BA96" s="1488"/>
    </row>
    <row r="97" spans="1:53" ht="13" hidden="1" customHeight="1">
      <c r="D97" s="1470"/>
      <c r="O97" s="1484"/>
      <c r="P97" s="1484"/>
      <c r="Q97" s="1484"/>
      <c r="R97" s="1484"/>
      <c r="S97" s="1484"/>
      <c r="T97" s="1484"/>
      <c r="U97" s="1484"/>
      <c r="V97" s="1484"/>
      <c r="W97" s="1484"/>
      <c r="X97" s="1484"/>
      <c r="Y97" s="1484"/>
      <c r="Z97" s="1484"/>
      <c r="AA97" s="1484"/>
      <c r="AB97" s="1484"/>
      <c r="AC97" s="1484"/>
      <c r="AD97" s="1484"/>
      <c r="AE97" s="1484"/>
      <c r="AF97" s="1484"/>
      <c r="AG97" s="1484"/>
      <c r="AH97" s="1484"/>
      <c r="AI97" s="1484"/>
      <c r="AJ97" s="1484"/>
      <c r="AK97" s="1484"/>
      <c r="AL97" s="1484"/>
      <c r="AM97" s="1484"/>
      <c r="AN97" s="1484"/>
      <c r="AO97" s="1484"/>
      <c r="AP97" s="1484"/>
      <c r="AQ97" s="1484"/>
      <c r="AR97" s="1484"/>
      <c r="AS97" s="1484"/>
    </row>
    <row r="98" spans="1:53" ht="13" hidden="1" customHeight="1">
      <c r="D98" s="1470"/>
      <c r="O98" s="1484"/>
      <c r="P98" s="1484"/>
      <c r="Q98" s="1484"/>
      <c r="R98" s="1484"/>
      <c r="S98" s="1484"/>
      <c r="T98" s="1484"/>
      <c r="U98" s="1484"/>
      <c r="V98" s="1484"/>
      <c r="W98" s="1484"/>
      <c r="X98" s="1484"/>
      <c r="Y98" s="1484"/>
      <c r="Z98" s="1484"/>
      <c r="AA98" s="1484"/>
      <c r="AB98" s="1484"/>
      <c r="AC98" s="1484"/>
      <c r="AD98" s="1484"/>
      <c r="AE98" s="1484"/>
      <c r="AF98" s="1484"/>
      <c r="AG98" s="1484"/>
      <c r="AH98" s="1484"/>
      <c r="AI98" s="1484"/>
      <c r="AJ98" s="1484"/>
      <c r="AK98" s="1484"/>
      <c r="AL98" s="1484"/>
      <c r="AM98" s="1484"/>
      <c r="AN98" s="1484"/>
      <c r="AO98" s="1484"/>
      <c r="AP98" s="1484"/>
      <c r="AQ98" s="1484"/>
      <c r="AR98" s="1484"/>
      <c r="AS98" s="1484"/>
    </row>
    <row r="99" spans="1:53" ht="13" hidden="1" customHeight="1">
      <c r="D99" s="1470"/>
      <c r="O99" s="1484"/>
      <c r="P99" s="1484"/>
      <c r="Q99" s="1484"/>
      <c r="R99" s="1484"/>
      <c r="S99" s="1484"/>
      <c r="T99" s="1484"/>
      <c r="U99" s="1484"/>
      <c r="V99" s="1484"/>
      <c r="W99" s="1484"/>
      <c r="X99" s="1484"/>
      <c r="Y99" s="1484"/>
      <c r="Z99" s="1484"/>
      <c r="AA99" s="1484"/>
      <c r="AB99" s="1484"/>
      <c r="AC99" s="1484"/>
      <c r="AD99" s="1484"/>
      <c r="AE99" s="1484"/>
      <c r="AF99" s="1484"/>
      <c r="AG99" s="1484"/>
      <c r="AH99" s="1484"/>
      <c r="AI99" s="1484"/>
      <c r="AJ99" s="1484"/>
      <c r="AK99" s="1484"/>
      <c r="AL99" s="1484"/>
      <c r="AM99" s="1484"/>
      <c r="AN99" s="1484"/>
      <c r="AO99" s="1484"/>
      <c r="AP99" s="1484"/>
      <c r="AQ99" s="1484"/>
      <c r="AR99" s="1484"/>
      <c r="AS99" s="1484"/>
    </row>
    <row r="100" spans="1:53" ht="13" hidden="1" customHeight="1">
      <c r="D100" s="1470"/>
      <c r="O100" s="1484"/>
      <c r="P100" s="1484"/>
      <c r="Q100" s="1484"/>
      <c r="R100" s="1484"/>
      <c r="S100" s="1484"/>
      <c r="T100" s="1484"/>
      <c r="U100" s="1484"/>
      <c r="V100" s="1484"/>
      <c r="W100" s="1484"/>
      <c r="X100" s="1484"/>
      <c r="Y100" s="1484"/>
      <c r="Z100" s="1484"/>
      <c r="AA100" s="1484"/>
      <c r="AB100" s="1484"/>
      <c r="AC100" s="1484"/>
      <c r="AD100" s="1484"/>
      <c r="AE100" s="1484"/>
      <c r="AF100" s="1484"/>
      <c r="AG100" s="1484"/>
      <c r="AH100" s="1484"/>
      <c r="AI100" s="1484"/>
      <c r="AJ100" s="1484"/>
      <c r="AK100" s="1484"/>
      <c r="AL100" s="1484"/>
      <c r="AM100" s="1484"/>
      <c r="AN100" s="1484"/>
      <c r="AO100" s="1484"/>
      <c r="AP100" s="1484"/>
      <c r="AQ100" s="1484"/>
      <c r="AR100" s="1484"/>
      <c r="AS100" s="1484"/>
    </row>
    <row r="101" spans="1:53" ht="12" customHeight="1">
      <c r="D101" s="1470" t="s">
        <v>437</v>
      </c>
      <c r="O101" s="1609" t="str">
        <f>IF('＜入力不要＞報告書'!O101="","",'＜入力不要＞報告書'!O101)</f>
        <v/>
      </c>
      <c r="P101" s="1461" t="s">
        <v>438</v>
      </c>
      <c r="R101" s="2793" t="str">
        <f>IF('＜入力不要＞報告書'!R101="","",'＜入力不要＞報告書'!R101)</f>
        <v>令和</v>
      </c>
      <c r="S101" s="2793"/>
      <c r="T101" s="2866" t="str">
        <f>IF('＜入力不要＞報告書'!T101="","",'＜入力不要＞報告書'!T101)</f>
        <v/>
      </c>
      <c r="U101" s="2866"/>
      <c r="V101" s="1490" t="s">
        <v>12</v>
      </c>
      <c r="W101" s="2829" t="str">
        <f>IF('＜入力不要＞報告書'!W101="","",'＜入力不要＞報告書'!W101)</f>
        <v/>
      </c>
      <c r="X101" s="2829"/>
      <c r="Y101" s="1461" t="s">
        <v>439</v>
      </c>
      <c r="AH101" s="1609" t="str">
        <f>IF('＜入力不要＞報告書'!AH101="","",'＜入力不要＞報告書'!AH101)</f>
        <v>レ</v>
      </c>
      <c r="AI101" s="1461" t="s">
        <v>440</v>
      </c>
      <c r="AM101" s="1461" t="str">
        <f>IF('＜入力不要＞報告書'!AM101="","",'＜入力不要＞報告書'!AM101)</f>
        <v/>
      </c>
    </row>
    <row r="102" spans="1:53" ht="12" customHeight="1">
      <c r="D102" s="1470" t="s">
        <v>441</v>
      </c>
      <c r="O102" s="2842">
        <f>IF('＜入力不要＞報告書'!O102="","",'＜入力不要＞報告書'!O102)</f>
        <v>0</v>
      </c>
      <c r="P102" s="2842"/>
      <c r="Q102" s="2842"/>
      <c r="R102" s="2842"/>
      <c r="S102" s="2842"/>
      <c r="T102" s="2842"/>
      <c r="U102" s="2842"/>
      <c r="V102" s="2842"/>
      <c r="W102" s="2842"/>
      <c r="X102" s="2842"/>
      <c r="Y102" s="2842"/>
      <c r="Z102" s="2842"/>
      <c r="AA102" s="2842"/>
      <c r="AB102" s="2842"/>
      <c r="AC102" s="2842"/>
      <c r="AD102" s="2842"/>
      <c r="AE102" s="2842"/>
      <c r="AF102" s="2842"/>
      <c r="AG102" s="2842"/>
      <c r="AH102" s="2842"/>
      <c r="AI102" s="2842"/>
      <c r="AJ102" s="2842"/>
      <c r="AK102" s="2842"/>
      <c r="AL102" s="2842"/>
      <c r="AM102" s="2842"/>
      <c r="AN102" s="2842"/>
      <c r="AO102" s="2842"/>
      <c r="AP102" s="2842"/>
      <c r="AQ102" s="2842"/>
      <c r="AR102" s="2842"/>
      <c r="AS102" s="2842"/>
      <c r="BA102" s="1488"/>
    </row>
    <row r="103" spans="1:53" ht="12" hidden="1" customHeight="1">
      <c r="BA103" s="1488"/>
    </row>
    <row r="104" spans="1:53" ht="4.5" customHeight="1"/>
    <row r="105" spans="1:53" ht="4.5" customHeight="1"/>
    <row r="106" spans="1:53" ht="13" customHeight="1">
      <c r="B106" s="1470" t="s">
        <v>678</v>
      </c>
    </row>
    <row r="107" spans="1:53" ht="13" customHeight="1">
      <c r="D107" s="1470" t="s">
        <v>502</v>
      </c>
      <c r="S107" s="2793" t="str">
        <f>IF('＜入力不要＞報告書'!S385="","",'＜入力不要＞報告書'!S385)</f>
        <v>令和</v>
      </c>
      <c r="T107" s="2793"/>
      <c r="U107" s="2866" t="str">
        <f>IF('＜入力不要＞報告書'!U385="","",'＜入力不要＞報告書'!U385)</f>
        <v/>
      </c>
      <c r="V107" s="2866"/>
      <c r="W107" s="1469" t="s">
        <v>12</v>
      </c>
      <c r="X107" s="2865" t="str">
        <f>IF('＜入力不要＞報告書'!X385="","",'＜入力不要＞報告書'!X385)</f>
        <v/>
      </c>
      <c r="Y107" s="2865"/>
      <c r="Z107" s="1469" t="s">
        <v>383</v>
      </c>
      <c r="AA107" s="2779" t="str">
        <f>IF('＜入力不要＞報告書'!AA385="","",'＜入力不要＞報告書'!AA385)</f>
        <v/>
      </c>
      <c r="AB107" s="2779"/>
      <c r="AC107" s="1488" t="s">
        <v>503</v>
      </c>
    </row>
    <row r="108" spans="1:53" ht="13.5" customHeight="1" collapsed="1">
      <c r="D108" s="1470" t="s">
        <v>504</v>
      </c>
      <c r="O108" s="1609" t="str">
        <f>IF('＜入力不要＞報告書'!O386="","",'＜入力不要＞報告書'!O386)</f>
        <v/>
      </c>
      <c r="P108" s="1461" t="s">
        <v>505</v>
      </c>
      <c r="S108" s="2793" t="str">
        <f>IF('＜入力不要＞報告書'!S386="","",'＜入力不要＞報告書'!S386)</f>
        <v/>
      </c>
      <c r="T108" s="2793"/>
      <c r="U108" s="2866" t="str">
        <f>IF('＜入力不要＞報告書'!U386="","",'＜入力不要＞報告書'!U386)</f>
        <v/>
      </c>
      <c r="V108" s="2866"/>
      <c r="W108" s="1469" t="s">
        <v>12</v>
      </c>
      <c r="X108" s="2865" t="str">
        <f>IF('＜入力不要＞報告書'!X386="","",'＜入力不要＞報告書'!X386)</f>
        <v/>
      </c>
      <c r="Y108" s="2865"/>
      <c r="Z108" s="1469" t="s">
        <v>383</v>
      </c>
      <c r="AA108" s="2779" t="str">
        <f>IF('＜入力不要＞報告書'!AA386="","",'＜入力不要＞報告書'!AA386)</f>
        <v/>
      </c>
      <c r="AB108" s="2779"/>
      <c r="AC108" s="1461" t="s">
        <v>506</v>
      </c>
      <c r="AH108" s="1609" t="str">
        <f>IF('＜入力不要＞報告書'!AH386="","",'＜入力不要＞報告書'!AH386)</f>
        <v/>
      </c>
      <c r="AI108" s="1461" t="s">
        <v>297</v>
      </c>
      <c r="AL108" s="1533"/>
    </row>
    <row r="109" spans="1:53" ht="13.5" customHeight="1">
      <c r="D109" s="1470" t="s">
        <v>507</v>
      </c>
      <c r="O109" s="1609" t="str">
        <f>IF('＜入力不要＞報告書'!O387="","",'＜入力不要＞報告書'!O387)</f>
        <v/>
      </c>
      <c r="P109" s="1461" t="s">
        <v>505</v>
      </c>
      <c r="S109" s="2793" t="str">
        <f>IF('＜入力不要＞報告書'!S387="","",'＜入力不要＞報告書'!S387)</f>
        <v/>
      </c>
      <c r="T109" s="2793"/>
      <c r="U109" s="2866" t="str">
        <f>IF('＜入力不要＞報告書'!U387="","",'＜入力不要＞報告書'!U387)</f>
        <v/>
      </c>
      <c r="V109" s="2866"/>
      <c r="W109" s="1469" t="s">
        <v>12</v>
      </c>
      <c r="X109" s="2865" t="str">
        <f>IF('＜入力不要＞報告書'!X387="","",'＜入力不要＞報告書'!X387)</f>
        <v/>
      </c>
      <c r="Y109" s="2865"/>
      <c r="Z109" s="1469" t="s">
        <v>383</v>
      </c>
      <c r="AA109" s="2779" t="str">
        <f>IF('＜入力不要＞報告書'!AA387="","",'＜入力不要＞報告書'!AA387)</f>
        <v/>
      </c>
      <c r="AB109" s="2779"/>
      <c r="AC109" s="1461" t="s">
        <v>506</v>
      </c>
      <c r="AH109" s="1609" t="str">
        <f>IF('＜入力不要＞報告書'!AH387="","",'＜入力不要＞報告書'!AH387)</f>
        <v/>
      </c>
      <c r="AI109" s="1461" t="s">
        <v>297</v>
      </c>
    </row>
    <row r="110" spans="1:53" ht="13.5" customHeight="1">
      <c r="D110" s="1470" t="s">
        <v>508</v>
      </c>
      <c r="O110" s="1609" t="str">
        <f>IF('＜入力不要＞報告書'!O388="","",'＜入力不要＞報告書'!O388)</f>
        <v/>
      </c>
      <c r="P110" s="1461" t="s">
        <v>505</v>
      </c>
      <c r="S110" s="2793" t="str">
        <f>IF('＜入力不要＞報告書'!S388="","",'＜入力不要＞報告書'!S388)</f>
        <v/>
      </c>
      <c r="T110" s="2793"/>
      <c r="U110" s="2866" t="str">
        <f>IF('＜入力不要＞報告書'!U388="","",'＜入力不要＞報告書'!U388)</f>
        <v/>
      </c>
      <c r="V110" s="2866"/>
      <c r="W110" s="1469" t="s">
        <v>12</v>
      </c>
      <c r="X110" s="2865" t="str">
        <f>IF('＜入力不要＞報告書'!X388="","",'＜入力不要＞報告書'!X388)</f>
        <v/>
      </c>
      <c r="Y110" s="2865"/>
      <c r="Z110" s="1469" t="s">
        <v>383</v>
      </c>
      <c r="AA110" s="2779" t="str">
        <f>IF('＜入力不要＞報告書'!AA388="","",'＜入力不要＞報告書'!AA388)</f>
        <v/>
      </c>
      <c r="AB110" s="2779"/>
      <c r="AC110" s="1461" t="s">
        <v>506</v>
      </c>
      <c r="AH110" s="1609" t="str">
        <f>IF('＜入力不要＞報告書'!AH388="","",'＜入力不要＞報告書'!AH388)</f>
        <v/>
      </c>
      <c r="AI110" s="1461" t="s">
        <v>297</v>
      </c>
    </row>
    <row r="111" spans="1:53" ht="14.15" customHeight="1">
      <c r="D111" s="1470" t="s">
        <v>509</v>
      </c>
      <c r="O111" s="1609" t="str">
        <f>IF('＜入力不要＞報告書'!O389="","",'＜入力不要＞報告書'!O389)</f>
        <v/>
      </c>
      <c r="P111" s="1461" t="s">
        <v>505</v>
      </c>
      <c r="S111" s="2793" t="str">
        <f>IF('＜入力不要＞報告書'!S389="","",'＜入力不要＞報告書'!S389)</f>
        <v/>
      </c>
      <c r="T111" s="2793"/>
      <c r="U111" s="2866" t="str">
        <f>IF('＜入力不要＞報告書'!U389="","",'＜入力不要＞報告書'!U389)</f>
        <v/>
      </c>
      <c r="V111" s="2866"/>
      <c r="W111" s="1469" t="s">
        <v>12</v>
      </c>
      <c r="X111" s="2865" t="str">
        <f>IF('＜入力不要＞報告書'!X389="","",'＜入力不要＞報告書'!X389)</f>
        <v/>
      </c>
      <c r="Y111" s="2865"/>
      <c r="Z111" s="1469" t="s">
        <v>383</v>
      </c>
      <c r="AA111" s="2779" t="str">
        <f>IF('＜入力不要＞報告書'!AA389="","",'＜入力不要＞報告書'!AA389)</f>
        <v/>
      </c>
      <c r="AB111" s="2779"/>
      <c r="AC111" s="1461" t="s">
        <v>506</v>
      </c>
      <c r="AH111" s="1609" t="str">
        <f>IF('＜入力不要＞報告書'!AH389="","",'＜入力不要＞報告書'!AH389)</f>
        <v/>
      </c>
      <c r="AI111" s="1461" t="s">
        <v>297</v>
      </c>
    </row>
    <row r="112" spans="1:53" ht="4.5" customHeight="1">
      <c r="A112" s="1605"/>
      <c r="B112" s="1605"/>
      <c r="C112" s="1605"/>
      <c r="D112" s="1605"/>
      <c r="E112" s="1605"/>
      <c r="F112" s="1605"/>
      <c r="G112" s="1605"/>
      <c r="H112" s="1605"/>
      <c r="I112" s="1605"/>
      <c r="J112" s="1605"/>
      <c r="K112" s="1605"/>
      <c r="L112" s="1605"/>
      <c r="M112" s="1605"/>
      <c r="N112" s="1605"/>
      <c r="O112" s="1605"/>
      <c r="P112" s="1605"/>
      <c r="Q112" s="1605"/>
      <c r="R112" s="1605"/>
      <c r="S112" s="1605"/>
      <c r="T112" s="1605"/>
      <c r="U112" s="1605"/>
      <c r="V112" s="1605"/>
      <c r="W112" s="1605"/>
      <c r="X112" s="1605"/>
      <c r="Y112" s="1605"/>
      <c r="Z112" s="1605"/>
      <c r="AA112" s="1605"/>
      <c r="AB112" s="1605"/>
      <c r="AC112" s="1605"/>
      <c r="AD112" s="1605"/>
      <c r="AE112" s="1605"/>
      <c r="AF112" s="1605"/>
      <c r="AG112" s="1605"/>
      <c r="AH112" s="1605"/>
      <c r="AI112" s="1605"/>
      <c r="AJ112" s="1605"/>
      <c r="AK112" s="1605"/>
      <c r="AL112" s="1605"/>
      <c r="AM112" s="1605"/>
      <c r="AN112" s="1605"/>
      <c r="AO112" s="1605"/>
      <c r="AP112" s="1605"/>
      <c r="AQ112" s="1605"/>
      <c r="AR112" s="1605"/>
      <c r="AS112" s="1605"/>
      <c r="AT112" s="1605"/>
    </row>
    <row r="113" spans="1:55" ht="4.5" customHeight="1">
      <c r="A113" s="1605"/>
      <c r="B113" s="1605"/>
      <c r="C113" s="1605"/>
      <c r="D113" s="1605"/>
      <c r="E113" s="1605"/>
      <c r="F113" s="1605"/>
      <c r="G113" s="1605"/>
      <c r="H113" s="1605"/>
      <c r="I113" s="1605"/>
      <c r="J113" s="1605"/>
      <c r="K113" s="1605"/>
      <c r="L113" s="1605"/>
      <c r="M113" s="1605"/>
      <c r="N113" s="1605"/>
      <c r="O113" s="1605"/>
      <c r="P113" s="1605"/>
      <c r="Q113" s="1605"/>
      <c r="R113" s="1605"/>
      <c r="S113" s="1605"/>
      <c r="T113" s="1605"/>
      <c r="U113" s="1605"/>
      <c r="V113" s="1605"/>
      <c r="W113" s="1605"/>
      <c r="X113" s="1605"/>
      <c r="Y113" s="1605"/>
      <c r="Z113" s="1605"/>
      <c r="AA113" s="1605"/>
      <c r="AB113" s="1605"/>
      <c r="AC113" s="1605"/>
      <c r="AD113" s="1605"/>
      <c r="AE113" s="1605"/>
      <c r="AF113" s="1605"/>
      <c r="AG113" s="1605"/>
      <c r="AH113" s="1605"/>
      <c r="AI113" s="1605"/>
      <c r="AJ113" s="1605"/>
      <c r="AK113" s="1605"/>
      <c r="AL113" s="1605"/>
      <c r="AM113" s="1605"/>
      <c r="AN113" s="1605"/>
      <c r="AO113" s="1605"/>
      <c r="AP113" s="1605"/>
      <c r="AQ113" s="1605"/>
      <c r="AR113" s="1605"/>
      <c r="AS113" s="1605"/>
      <c r="AT113" s="1605"/>
    </row>
    <row r="114" spans="1:55" ht="13" customHeight="1">
      <c r="A114" s="1605"/>
      <c r="B114" s="1554" t="s">
        <v>679</v>
      </c>
      <c r="C114" s="1605"/>
      <c r="D114" s="1605"/>
      <c r="E114" s="1605"/>
      <c r="F114" s="1605"/>
      <c r="G114" s="1605"/>
      <c r="H114" s="1605"/>
      <c r="I114" s="1605"/>
      <c r="J114" s="1605"/>
      <c r="K114" s="1605"/>
      <c r="L114" s="1605"/>
      <c r="M114" s="1605"/>
      <c r="N114" s="1605"/>
      <c r="O114" s="1605"/>
      <c r="P114" s="1605"/>
      <c r="Q114" s="1605"/>
      <c r="R114" s="1605"/>
      <c r="S114" s="1605"/>
      <c r="T114" s="1605"/>
      <c r="U114" s="1605"/>
      <c r="V114" s="1605"/>
      <c r="W114" s="1605"/>
      <c r="X114" s="1605"/>
      <c r="Y114" s="2929"/>
      <c r="Z114" s="2929"/>
      <c r="AA114" s="2929"/>
      <c r="AB114" s="2929"/>
      <c r="AC114" s="2929"/>
      <c r="AD114" s="2929"/>
      <c r="AE114" s="2929"/>
      <c r="AF114" s="2929"/>
      <c r="AG114" s="2929"/>
      <c r="AH114" s="2930"/>
      <c r="AI114" s="2930"/>
      <c r="AJ114" s="2930"/>
      <c r="AK114" s="1605"/>
      <c r="AL114" s="1605"/>
      <c r="AM114" s="1605"/>
      <c r="AN114" s="1605"/>
      <c r="AO114" s="1605"/>
      <c r="AP114" s="1605"/>
      <c r="AQ114" s="1605"/>
      <c r="AR114" s="1605"/>
      <c r="AS114" s="1605"/>
      <c r="AT114" s="1605"/>
    </row>
    <row r="115" spans="1:55" ht="13" customHeight="1">
      <c r="A115" s="1605"/>
      <c r="B115" s="1605"/>
      <c r="D115" s="1554" t="s">
        <v>532</v>
      </c>
      <c r="E115" s="1605"/>
      <c r="F115" s="1605"/>
      <c r="G115" s="1605"/>
      <c r="H115" s="1605"/>
      <c r="I115" s="1605"/>
      <c r="J115" s="1605"/>
      <c r="K115" s="1605"/>
      <c r="O115" s="1609" t="str">
        <f>IF('＜入力不要＞報告書'!O454="","",'＜入力不要＞報告書'!O454)</f>
        <v/>
      </c>
      <c r="P115" s="1605" t="s">
        <v>20</v>
      </c>
      <c r="Q115" s="1605"/>
      <c r="R115" s="1609" t="str">
        <f>IF('＜入力不要＞報告書'!R454="","",'＜入力不要＞報告書'!R454)</f>
        <v/>
      </c>
      <c r="S115" s="1605" t="s">
        <v>440</v>
      </c>
      <c r="T115" s="1605"/>
      <c r="U115" s="1605"/>
      <c r="V115" s="1605"/>
      <c r="W115" s="1605"/>
      <c r="X115" s="1605"/>
      <c r="Y115" s="1605"/>
      <c r="Z115" s="1605"/>
      <c r="AA115" s="1605"/>
      <c r="AB115" s="1605"/>
      <c r="AC115" s="1605"/>
      <c r="AD115" s="1605"/>
      <c r="AE115" s="1605"/>
      <c r="AF115" s="1605"/>
      <c r="AG115" s="1605"/>
      <c r="AH115" s="1605"/>
      <c r="AI115" s="1605"/>
      <c r="AJ115" s="1605"/>
      <c r="AK115" s="1605"/>
      <c r="AL115" s="1605"/>
      <c r="AM115" s="1605"/>
      <c r="AN115" s="1605"/>
      <c r="AO115" s="1605"/>
      <c r="AP115" s="1605"/>
      <c r="AQ115" s="1605"/>
      <c r="AR115" s="1605"/>
      <c r="AS115" s="1605"/>
      <c r="AT115" s="1605"/>
    </row>
    <row r="116" spans="1:55" ht="13.5" customHeight="1">
      <c r="A116" s="1605"/>
      <c r="B116" s="1605"/>
      <c r="D116" s="1554" t="s">
        <v>533</v>
      </c>
      <c r="E116" s="1605"/>
      <c r="F116" s="1605"/>
      <c r="G116" s="1605"/>
      <c r="H116" s="1605"/>
      <c r="I116" s="1605"/>
      <c r="J116" s="1605"/>
      <c r="K116" s="1605"/>
      <c r="O116" s="1609" t="str">
        <f>IF('＜入力不要＞報告書'!O455="","",'＜入力不要＞報告書'!O455)</f>
        <v/>
      </c>
      <c r="P116" s="1605" t="s">
        <v>20</v>
      </c>
      <c r="Q116" s="1605"/>
      <c r="R116" s="1609" t="str">
        <f>IF('＜入力不要＞報告書'!R455="","",'＜入力不要＞報告書'!R455)</f>
        <v/>
      </c>
      <c r="S116" s="1605" t="s">
        <v>440</v>
      </c>
      <c r="T116" s="1605"/>
      <c r="U116" s="1605"/>
      <c r="V116" s="1605"/>
      <c r="W116" s="1605"/>
      <c r="X116" s="1605"/>
      <c r="Y116" s="1605"/>
      <c r="Z116" s="1605"/>
      <c r="AA116" s="1605"/>
      <c r="AB116" s="1605"/>
      <c r="AC116" s="1605"/>
      <c r="AD116" s="1605"/>
      <c r="AE116" s="1605"/>
      <c r="AF116" s="1605"/>
      <c r="AG116" s="1605"/>
      <c r="AH116" s="1605"/>
      <c r="AI116" s="1605"/>
      <c r="AJ116" s="1605"/>
      <c r="AK116" s="1605"/>
      <c r="AL116" s="1605"/>
      <c r="AM116" s="1605"/>
      <c r="AN116" s="1605"/>
      <c r="AO116" s="1605"/>
      <c r="AP116" s="1605"/>
      <c r="AQ116" s="1605"/>
      <c r="AR116" s="1605"/>
      <c r="AS116" s="1605"/>
      <c r="AT116" s="1605"/>
      <c r="AZ116" s="1492"/>
      <c r="BA116" s="1492"/>
      <c r="BB116" s="1611"/>
      <c r="BC116" s="1611"/>
    </row>
    <row r="117" spans="1:55" ht="13.5" customHeight="1">
      <c r="A117" s="1605"/>
      <c r="B117" s="1605"/>
      <c r="D117" s="1554" t="s">
        <v>680</v>
      </c>
      <c r="E117" s="1605"/>
      <c r="F117" s="1605"/>
      <c r="G117" s="1605"/>
      <c r="H117" s="1605"/>
      <c r="I117" s="1605"/>
      <c r="J117" s="1605"/>
      <c r="K117" s="1605"/>
      <c r="L117" s="1605"/>
      <c r="M117" s="1605"/>
      <c r="O117" s="2957" t="s">
        <v>1371</v>
      </c>
      <c r="P117" s="2957"/>
      <c r="Q117" s="2957"/>
      <c r="R117" s="2957"/>
      <c r="S117" s="2957"/>
      <c r="T117" s="2957"/>
      <c r="U117" s="2957"/>
      <c r="V117" s="2957"/>
      <c r="W117" s="2957"/>
      <c r="X117" s="2958"/>
      <c r="Y117" s="2958"/>
      <c r="Z117" s="2958"/>
      <c r="AA117" s="1612"/>
      <c r="AB117" s="1612"/>
      <c r="AC117" s="1612"/>
      <c r="AD117" s="1612"/>
      <c r="AE117" s="1612"/>
      <c r="AF117" s="1612"/>
      <c r="AG117" s="1612"/>
      <c r="AH117" s="1612"/>
      <c r="AI117" s="1612"/>
      <c r="AJ117" s="1612"/>
      <c r="AK117" s="1612"/>
      <c r="AL117" s="1612"/>
      <c r="AM117" s="1612"/>
      <c r="AN117" s="1612"/>
      <c r="AO117" s="1612"/>
      <c r="AP117" s="1612"/>
      <c r="AQ117" s="1612"/>
      <c r="AR117" s="1612"/>
      <c r="AS117" s="1612"/>
      <c r="AT117" s="1605"/>
      <c r="AZ117" s="1492"/>
    </row>
    <row r="118" spans="1:55" ht="13.5" customHeight="1">
      <c r="D118" s="1554" t="s">
        <v>681</v>
      </c>
      <c r="E118" s="1605"/>
      <c r="F118" s="1605"/>
      <c r="G118" s="1605"/>
      <c r="H118" s="1605"/>
      <c r="I118" s="1605"/>
      <c r="J118" s="1605"/>
      <c r="K118" s="1605"/>
      <c r="O118" s="1609" t="str">
        <f>IF('＜入力不要＞報告書'!M456="","",'＜入力不要＞報告書'!M456)</f>
        <v/>
      </c>
      <c r="P118" s="1605" t="s">
        <v>535</v>
      </c>
      <c r="Q118" s="1605"/>
      <c r="R118" s="1605"/>
      <c r="S118" s="1605"/>
      <c r="T118" s="1609" t="str">
        <f>IF('＜入力不要＞報告書'!R456="","",'＜入力不要＞報告書'!R456)</f>
        <v/>
      </c>
      <c r="U118" s="1605" t="s">
        <v>682</v>
      </c>
      <c r="V118" s="1605"/>
      <c r="W118" s="1605"/>
      <c r="X118" s="1605"/>
      <c r="Y118" s="1605"/>
      <c r="Z118" s="2866" t="str">
        <f>IF('＜入力不要＞報告書'!X456="","",'＜入力不要＞報告書'!X456)</f>
        <v>令和</v>
      </c>
      <c r="AA118" s="2866"/>
      <c r="AB118" s="2866" t="str">
        <f>IF('＜入力不要＞報告書'!Z456="","",'＜入力不要＞報告書'!Z456)</f>
        <v/>
      </c>
      <c r="AC118" s="2866"/>
      <c r="AD118" s="1613" t="s">
        <v>12</v>
      </c>
      <c r="AE118" s="2866" t="str">
        <f>IF('＜入力不要＞報告書'!AC456="","",'＜入力不要＞報告書'!AC456)</f>
        <v/>
      </c>
      <c r="AF118" s="2866"/>
      <c r="AG118" s="1605" t="s">
        <v>439</v>
      </c>
      <c r="AH118" s="1605"/>
      <c r="AI118" s="1605"/>
      <c r="AJ118" s="1605"/>
      <c r="AK118" s="1605"/>
      <c r="AL118" s="1605"/>
      <c r="AM118" s="1605"/>
      <c r="AN118" s="1605"/>
      <c r="AO118" s="1605"/>
      <c r="AP118" s="1605"/>
      <c r="AQ118" s="1605"/>
      <c r="AR118" s="1614"/>
      <c r="AS118" s="1614"/>
      <c r="AT118" s="1605"/>
      <c r="AZ118" s="1492"/>
    </row>
    <row r="119" spans="1:55" ht="13.5" customHeight="1">
      <c r="C119" s="1605"/>
      <c r="D119" s="1605"/>
      <c r="E119" s="1605"/>
      <c r="F119" s="1605"/>
      <c r="G119" s="1605"/>
      <c r="H119" s="1605"/>
      <c r="I119" s="1605"/>
      <c r="J119" s="1605"/>
      <c r="K119" s="1605"/>
      <c r="O119" s="1609" t="str">
        <f>IF('＜入力不要＞報告書'!AM456="","",'＜入力不要＞報告書'!AM456)</f>
        <v/>
      </c>
      <c r="P119" s="1605" t="s">
        <v>332</v>
      </c>
      <c r="Q119" s="1605"/>
      <c r="R119" s="1605"/>
      <c r="S119" s="1605"/>
      <c r="T119" s="1605"/>
      <c r="U119" s="1605"/>
      <c r="V119" s="1605"/>
      <c r="W119" s="1615" t="s">
        <v>319</v>
      </c>
      <c r="X119" s="2964" t="str">
        <f>IF(O119="レ",'1_入力シート【基本情報】'!$DZ$243,"")</f>
        <v/>
      </c>
      <c r="Y119" s="2964"/>
      <c r="Z119" s="2964"/>
      <c r="AA119" s="2964"/>
      <c r="AB119" s="2964"/>
      <c r="AC119" s="2964"/>
      <c r="AD119" s="2964"/>
      <c r="AE119" s="2964"/>
      <c r="AF119" s="2964"/>
      <c r="AG119" s="2964"/>
      <c r="AH119" s="2964"/>
      <c r="AI119" s="2964"/>
      <c r="AJ119" s="2964"/>
      <c r="AK119" s="2964"/>
      <c r="AL119" s="2964"/>
      <c r="AM119" s="2964"/>
      <c r="AN119" s="2964"/>
      <c r="AO119" s="2964"/>
      <c r="AP119" s="2964"/>
      <c r="AQ119" s="2964"/>
      <c r="AR119" s="2964"/>
      <c r="AS119" s="1616" t="s">
        <v>22</v>
      </c>
      <c r="AT119" s="1616"/>
      <c r="AZ119" s="1492"/>
    </row>
    <row r="120" spans="1:55" ht="6" customHeight="1">
      <c r="A120" s="1605"/>
      <c r="B120" s="1605"/>
      <c r="C120" s="1605"/>
      <c r="D120" s="1605"/>
      <c r="E120" s="1605"/>
      <c r="F120" s="1605"/>
      <c r="G120" s="1605"/>
      <c r="H120" s="1605"/>
      <c r="I120" s="1605"/>
      <c r="J120" s="1605"/>
      <c r="K120" s="1605"/>
      <c r="L120" s="1605"/>
      <c r="M120" s="1605"/>
      <c r="N120" s="1605"/>
      <c r="O120" s="1605"/>
      <c r="P120" s="1605"/>
      <c r="Q120" s="1605"/>
      <c r="R120" s="1605"/>
      <c r="S120" s="1605"/>
      <c r="T120" s="1605"/>
      <c r="U120" s="1605"/>
      <c r="V120" s="1605"/>
      <c r="W120" s="1605"/>
      <c r="X120" s="1605"/>
      <c r="Y120" s="1605"/>
      <c r="Z120" s="1605"/>
      <c r="AA120" s="1605"/>
      <c r="AB120" s="1605"/>
      <c r="AC120" s="1605"/>
      <c r="AD120" s="1605"/>
      <c r="AE120" s="1605"/>
      <c r="AF120" s="1605"/>
      <c r="AG120" s="1605"/>
      <c r="AH120" s="1605"/>
      <c r="AI120" s="1605"/>
      <c r="AJ120" s="1605"/>
      <c r="AK120" s="1605"/>
      <c r="AL120" s="1605"/>
      <c r="AM120" s="1605"/>
      <c r="AN120" s="1605"/>
      <c r="AO120" s="1605"/>
      <c r="AP120" s="1605"/>
      <c r="AQ120" s="1605"/>
      <c r="AR120" s="1605"/>
      <c r="AS120" s="1605"/>
      <c r="AT120" s="1605"/>
      <c r="AZ120" s="1492"/>
    </row>
    <row r="121" spans="1:55" ht="5.25" customHeight="1">
      <c r="A121" s="1605"/>
      <c r="B121" s="1605"/>
      <c r="C121" s="1605"/>
      <c r="D121" s="1605"/>
      <c r="E121" s="1605"/>
      <c r="F121" s="1605"/>
      <c r="G121" s="1605"/>
      <c r="H121" s="1605"/>
      <c r="I121" s="1605"/>
      <c r="J121" s="1605"/>
      <c r="K121" s="1605"/>
      <c r="L121" s="1605"/>
      <c r="M121" s="1605"/>
      <c r="N121" s="1605"/>
      <c r="O121" s="1605"/>
      <c r="P121" s="1605"/>
      <c r="Q121" s="1605"/>
      <c r="R121" s="1605"/>
      <c r="S121" s="1605"/>
      <c r="T121" s="1605"/>
      <c r="U121" s="1605"/>
      <c r="V121" s="1605"/>
      <c r="W121" s="1605"/>
      <c r="X121" s="1605"/>
      <c r="Y121" s="1605"/>
      <c r="Z121" s="1605"/>
      <c r="AA121" s="1605"/>
      <c r="AB121" s="1605"/>
      <c r="AC121" s="1605"/>
      <c r="AD121" s="1605"/>
      <c r="AE121" s="1605"/>
      <c r="AF121" s="1605"/>
      <c r="AG121" s="1605"/>
      <c r="AH121" s="1605"/>
      <c r="AI121" s="1605"/>
      <c r="AJ121" s="1605"/>
      <c r="AK121" s="1605"/>
      <c r="AL121" s="1605"/>
      <c r="AM121" s="1605"/>
      <c r="AN121" s="1605"/>
      <c r="AO121" s="1605"/>
      <c r="AP121" s="1605"/>
      <c r="AQ121" s="1605"/>
      <c r="AR121" s="1605"/>
      <c r="AS121" s="1605"/>
      <c r="AT121" s="1605"/>
      <c r="AZ121" s="1492"/>
    </row>
    <row r="122" spans="1:55" ht="12" hidden="1" customHeight="1">
      <c r="AZ122" s="1492"/>
    </row>
    <row r="123" spans="1:55" ht="12" hidden="1" customHeight="1">
      <c r="B123" s="1496"/>
      <c r="C123" s="1496"/>
      <c r="D123" s="1496"/>
      <c r="E123" s="1496"/>
      <c r="F123" s="1496"/>
      <c r="G123" s="1496"/>
      <c r="H123" s="1496"/>
      <c r="I123" s="1496"/>
      <c r="J123" s="1496"/>
      <c r="K123" s="1496"/>
      <c r="L123" s="1496"/>
      <c r="M123" s="1496"/>
      <c r="N123" s="1496"/>
      <c r="O123" s="1496"/>
      <c r="P123" s="1496"/>
      <c r="Q123" s="1496"/>
      <c r="R123" s="1496"/>
      <c r="S123" s="1496"/>
      <c r="T123" s="1496"/>
      <c r="U123" s="1496"/>
      <c r="V123" s="1496"/>
      <c r="W123" s="1496"/>
      <c r="X123" s="1496"/>
      <c r="Y123" s="1496"/>
      <c r="Z123" s="1496"/>
      <c r="AA123" s="1496"/>
      <c r="AB123" s="1496"/>
      <c r="AC123" s="1496"/>
      <c r="AD123" s="1496"/>
      <c r="AE123" s="1496"/>
      <c r="AF123" s="1496"/>
      <c r="AG123" s="1496"/>
      <c r="AH123" s="1496"/>
      <c r="AI123" s="1496"/>
      <c r="AJ123" s="1496"/>
      <c r="AK123" s="1496"/>
      <c r="AL123" s="1496"/>
      <c r="AM123" s="1496"/>
      <c r="AN123" s="1496"/>
      <c r="AO123" s="1496"/>
      <c r="AP123" s="1496"/>
      <c r="AQ123" s="1496"/>
      <c r="AR123" s="1496"/>
      <c r="AS123" s="1496"/>
      <c r="AT123" s="1496"/>
      <c r="AZ123" s="1492"/>
    </row>
    <row r="124" spans="1:55" ht="12" hidden="1" customHeight="1">
      <c r="AZ124" s="1492"/>
    </row>
    <row r="125" spans="1:55" ht="12" hidden="1" customHeight="1">
      <c r="AZ125" s="1492"/>
    </row>
    <row r="126" spans="1:55" ht="12" hidden="1" customHeight="1">
      <c r="AZ126" s="1492"/>
    </row>
    <row r="127" spans="1:55" ht="12.75" hidden="1" customHeight="1">
      <c r="AZ127" s="1492"/>
    </row>
    <row r="128" spans="1:55" s="1617" customFormat="1" ht="13" customHeight="1">
      <c r="A128" s="1461"/>
      <c r="B128" s="2788" t="s">
        <v>1334</v>
      </c>
      <c r="C128" s="2788"/>
      <c r="D128" s="2788"/>
      <c r="E128" s="2788"/>
      <c r="F128" s="2788"/>
      <c r="G128" s="2788"/>
      <c r="H128" s="2788"/>
      <c r="I128" s="2788"/>
      <c r="J128" s="2788"/>
      <c r="K128" s="2788"/>
      <c r="L128" s="2788"/>
      <c r="M128" s="2788"/>
      <c r="N128" s="2788"/>
      <c r="O128" s="2788"/>
      <c r="P128" s="2788"/>
      <c r="Q128" s="2788"/>
      <c r="R128" s="2788"/>
      <c r="S128" s="2788"/>
      <c r="T128" s="2788"/>
      <c r="U128" s="2788"/>
      <c r="V128" s="2788"/>
      <c r="W128" s="2788"/>
      <c r="X128" s="2788"/>
      <c r="Y128" s="2788"/>
      <c r="Z128" s="2788"/>
      <c r="AA128" s="2788"/>
      <c r="AB128" s="2788"/>
      <c r="AC128" s="2788"/>
      <c r="AD128" s="2788"/>
      <c r="AE128" s="2788"/>
      <c r="AF128" s="2788"/>
      <c r="AG128" s="2788"/>
      <c r="AH128" s="2788"/>
      <c r="AI128" s="2788"/>
      <c r="AJ128" s="2788"/>
      <c r="AK128" s="2788"/>
      <c r="AL128" s="2788"/>
      <c r="AM128" s="2788"/>
      <c r="AN128" s="2788"/>
      <c r="AO128" s="2788"/>
      <c r="AP128" s="2788"/>
      <c r="AQ128" s="2788"/>
      <c r="AR128" s="2788"/>
      <c r="AS128" s="2788"/>
      <c r="AT128" s="2788"/>
      <c r="AU128" s="1497"/>
      <c r="AV128" s="1461"/>
      <c r="AW128" s="1461"/>
      <c r="AX128" s="1461"/>
      <c r="AY128" s="1461"/>
      <c r="AZ128" s="1461"/>
      <c r="BA128" s="1461"/>
      <c r="BB128" s="1461"/>
    </row>
    <row r="129" spans="1:57" ht="6" customHeight="1">
      <c r="BB129" s="1461"/>
    </row>
    <row r="130" spans="1:57" s="1618" customFormat="1" ht="14.25" customHeight="1">
      <c r="A130" s="1498"/>
      <c r="B130" s="1498" t="s">
        <v>1335</v>
      </c>
      <c r="C130" s="1498"/>
      <c r="D130" s="1498"/>
      <c r="E130" s="1498"/>
      <c r="F130" s="1498"/>
      <c r="G130" s="1498"/>
      <c r="H130" s="1498"/>
      <c r="I130" s="1498"/>
      <c r="J130" s="1498"/>
      <c r="K130" s="1498"/>
      <c r="L130" s="1498"/>
      <c r="M130" s="1498"/>
      <c r="N130" s="1498"/>
      <c r="O130" s="1498"/>
      <c r="P130" s="1498"/>
      <c r="Q130" s="1498"/>
      <c r="R130" s="1498"/>
      <c r="S130" s="1498"/>
      <c r="T130" s="1498"/>
      <c r="U130" s="1498"/>
      <c r="V130" s="1498"/>
      <c r="W130" s="1498"/>
      <c r="X130" s="1498"/>
      <c r="Y130" s="1498"/>
      <c r="Z130" s="1498"/>
      <c r="AA130" s="1498"/>
      <c r="AB130" s="1498"/>
      <c r="AC130" s="1498"/>
      <c r="AD130" s="1498"/>
      <c r="AE130" s="1498"/>
      <c r="AF130" s="1498"/>
      <c r="AG130" s="1499"/>
      <c r="AH130" s="1499"/>
      <c r="AI130" s="1498"/>
      <c r="AJ130" s="1498"/>
      <c r="AK130" s="1498"/>
      <c r="AL130" s="1498"/>
      <c r="AM130" s="1498"/>
      <c r="AN130" s="1498"/>
      <c r="AO130" s="1498"/>
      <c r="AP130" s="1498"/>
      <c r="AQ130" s="1498"/>
      <c r="AR130" s="1498"/>
      <c r="AS130" s="1498"/>
      <c r="AT130" s="1498"/>
      <c r="AU130" s="1498"/>
      <c r="AV130" s="1498"/>
      <c r="AW130" s="1498"/>
      <c r="AX130" s="1498"/>
      <c r="AY130" s="1498"/>
      <c r="AZ130" s="1498"/>
      <c r="BA130" s="1498"/>
      <c r="BB130" s="1498"/>
    </row>
    <row r="131" spans="1:57" s="1618" customFormat="1" ht="6" customHeight="1">
      <c r="A131" s="1498"/>
      <c r="B131" s="1498"/>
      <c r="C131" s="1498"/>
      <c r="D131" s="1498"/>
      <c r="E131" s="1498"/>
      <c r="F131" s="1498"/>
      <c r="G131" s="1498"/>
      <c r="H131" s="1498"/>
      <c r="I131" s="1498"/>
      <c r="J131" s="1498"/>
      <c r="K131" s="1498"/>
      <c r="L131" s="1498"/>
      <c r="M131" s="1498"/>
      <c r="N131" s="1498"/>
      <c r="O131" s="1498"/>
      <c r="P131" s="1498"/>
      <c r="Q131" s="1498"/>
      <c r="R131" s="1498"/>
      <c r="S131" s="1498"/>
      <c r="T131" s="1498"/>
      <c r="U131" s="1498"/>
      <c r="V131" s="1498"/>
      <c r="W131" s="1498"/>
      <c r="X131" s="1498"/>
      <c r="Y131" s="1498"/>
      <c r="Z131" s="1498"/>
      <c r="AA131" s="1498"/>
      <c r="AB131" s="1498"/>
      <c r="AC131" s="1498"/>
      <c r="AD131" s="1498"/>
      <c r="AE131" s="1498"/>
      <c r="AF131" s="1498"/>
      <c r="AG131" s="1499"/>
      <c r="AH131" s="1499"/>
      <c r="AI131" s="1498"/>
      <c r="AJ131" s="1498"/>
      <c r="AK131" s="1498"/>
      <c r="AL131" s="1498"/>
      <c r="AM131" s="1498"/>
      <c r="AN131" s="1498"/>
      <c r="AO131" s="1498"/>
      <c r="AP131" s="1498"/>
      <c r="AQ131" s="1498"/>
      <c r="AR131" s="1498"/>
      <c r="AS131" s="1498"/>
      <c r="AT131" s="1498"/>
      <c r="AU131" s="1498"/>
      <c r="AV131" s="1498"/>
      <c r="AW131" s="1498"/>
      <c r="AX131" s="1498"/>
      <c r="AY131" s="1498"/>
      <c r="AZ131" s="1498"/>
      <c r="BA131" s="1498"/>
      <c r="BB131" s="1498"/>
    </row>
    <row r="132" spans="1:57" s="1618" customFormat="1" ht="6" customHeight="1">
      <c r="A132" s="1499"/>
      <c r="B132" s="1500"/>
      <c r="C132" s="1499"/>
      <c r="D132" s="1499"/>
      <c r="E132" s="1499"/>
      <c r="F132" s="1499"/>
      <c r="G132" s="1499"/>
      <c r="H132" s="1499"/>
      <c r="I132" s="1499"/>
      <c r="J132" s="1499"/>
      <c r="K132" s="1499"/>
      <c r="L132" s="1499"/>
      <c r="M132" s="1499"/>
      <c r="N132" s="1499"/>
      <c r="O132" s="1499"/>
      <c r="P132" s="1499"/>
      <c r="Q132" s="1499"/>
      <c r="R132" s="1499"/>
      <c r="S132" s="1499"/>
      <c r="T132" s="1499"/>
      <c r="U132" s="1499"/>
      <c r="V132" s="1499"/>
      <c r="W132" s="1499"/>
      <c r="X132" s="1499"/>
      <c r="Y132" s="1499"/>
      <c r="Z132" s="1499"/>
      <c r="AA132" s="1499"/>
      <c r="AB132" s="1499"/>
      <c r="AC132" s="1499"/>
      <c r="AD132" s="1499"/>
      <c r="AE132" s="1499"/>
      <c r="AF132" s="1499"/>
      <c r="AG132" s="1499"/>
      <c r="AH132" s="1499"/>
      <c r="AI132" s="1499"/>
      <c r="AJ132" s="1499"/>
      <c r="AK132" s="1499"/>
      <c r="AL132" s="1499"/>
      <c r="AM132" s="1499"/>
      <c r="AN132" s="1499"/>
      <c r="AO132" s="1499"/>
      <c r="AP132" s="1499"/>
      <c r="AQ132" s="1499"/>
      <c r="AR132" s="1499"/>
      <c r="AS132" s="1499"/>
      <c r="AT132" s="1499"/>
      <c r="AU132" s="1499"/>
      <c r="AV132" s="1499"/>
      <c r="AW132" s="1498"/>
      <c r="AX132" s="1498"/>
      <c r="AY132" s="1498"/>
      <c r="AZ132" s="1498"/>
      <c r="BA132" s="1498"/>
      <c r="BB132" s="1498"/>
    </row>
    <row r="133" spans="1:57" s="1618" customFormat="1" ht="13" hidden="1" customHeight="1">
      <c r="A133" s="1499"/>
      <c r="B133" s="1498"/>
      <c r="C133" s="1501" t="s">
        <v>890</v>
      </c>
      <c r="D133" s="1502"/>
      <c r="E133" s="1502"/>
      <c r="F133" s="1502"/>
      <c r="G133" s="1502"/>
      <c r="H133" s="1502"/>
      <c r="I133" s="1503"/>
      <c r="J133" s="1504" t="s">
        <v>891</v>
      </c>
      <c r="K133" s="1505"/>
      <c r="L133" s="1505"/>
      <c r="M133" s="1505"/>
      <c r="N133" s="1505"/>
      <c r="O133" s="1505"/>
      <c r="P133" s="1505"/>
      <c r="Q133" s="1505"/>
      <c r="R133" s="1506"/>
      <c r="S133" s="1506"/>
      <c r="T133" s="1506"/>
      <c r="U133" s="1507" t="str">
        <f>IF('1_入力シート【基本情報】'!DP139="レ","レ",IF('1_入力シート【基本情報】'!DO139="レ","レ",""))</f>
        <v/>
      </c>
      <c r="V133" s="1505" t="s">
        <v>892</v>
      </c>
      <c r="W133" s="1505"/>
      <c r="X133" s="1505"/>
      <c r="Y133" s="1505"/>
      <c r="Z133" s="1505"/>
      <c r="AA133" s="1505"/>
      <c r="AB133" s="1506"/>
      <c r="AC133" s="1505" t="s">
        <v>467</v>
      </c>
      <c r="AD133" s="1507">
        <f>'1_入力シート【基本情報】'!DP139</f>
        <v>0</v>
      </c>
      <c r="AE133" s="1505" t="s">
        <v>893</v>
      </c>
      <c r="AF133" s="1505"/>
      <c r="AG133" s="1505"/>
      <c r="AH133" s="1505"/>
      <c r="AI133" s="1505"/>
      <c r="AJ133" s="1506"/>
      <c r="AK133" s="1505"/>
      <c r="AL133" s="1505"/>
      <c r="AM133" s="1505"/>
      <c r="AN133" s="1505"/>
      <c r="AO133" s="1505"/>
      <c r="AP133" s="1505"/>
      <c r="AQ133" s="1505"/>
      <c r="AR133" s="1505"/>
      <c r="AS133" s="1508"/>
      <c r="AT133" s="1509"/>
      <c r="AU133" s="1509"/>
      <c r="AV133" s="1509"/>
      <c r="AW133" s="1499"/>
      <c r="AX133" s="1499"/>
      <c r="AY133" s="1498"/>
      <c r="AZ133" s="1498"/>
      <c r="BA133" s="1498"/>
      <c r="BB133" s="1498"/>
      <c r="BC133" s="1498"/>
      <c r="BD133" s="1498"/>
      <c r="BE133" s="1498"/>
    </row>
    <row r="134" spans="1:57" s="1618" customFormat="1" ht="13" hidden="1" customHeight="1">
      <c r="A134" s="1499"/>
      <c r="B134" s="1498"/>
      <c r="C134" s="1510" t="s">
        <v>894</v>
      </c>
      <c r="D134" s="1511"/>
      <c r="E134" s="1511"/>
      <c r="F134" s="1511"/>
      <c r="G134" s="1511"/>
      <c r="H134" s="1511"/>
      <c r="I134" s="1512"/>
      <c r="J134" s="1513"/>
      <c r="K134" s="1491"/>
      <c r="L134" s="1491"/>
      <c r="M134" s="1491"/>
      <c r="N134" s="1491"/>
      <c r="O134" s="1491"/>
      <c r="P134" s="1491"/>
      <c r="Q134" s="1491"/>
      <c r="R134" s="1491"/>
      <c r="S134" s="1491"/>
      <c r="T134" s="1491"/>
      <c r="U134" s="1514" t="str">
        <f>IF(OR('1_入力シート【基本情報】'!DN139="レ",'1_入力シート【基本情報】'!DM139="レ"),"レ","")</f>
        <v/>
      </c>
      <c r="V134" s="1491" t="s">
        <v>903</v>
      </c>
      <c r="W134" s="1491"/>
      <c r="X134" s="1491"/>
      <c r="Y134" s="1491"/>
      <c r="Z134" s="1491"/>
      <c r="AA134" s="1491"/>
      <c r="AB134" s="1491"/>
      <c r="AC134" s="1491"/>
      <c r="AD134" s="1491"/>
      <c r="AE134" s="1491"/>
      <c r="AF134" s="1491"/>
      <c r="AG134" s="1491"/>
      <c r="AH134" s="1491"/>
      <c r="AI134" s="1491"/>
      <c r="AJ134" s="1491"/>
      <c r="AK134" s="1491"/>
      <c r="AL134" s="1491"/>
      <c r="AM134" s="1491"/>
      <c r="AN134" s="1491"/>
      <c r="AO134" s="1491"/>
      <c r="AP134" s="1491"/>
      <c r="AQ134" s="1491"/>
      <c r="AR134" s="1491"/>
      <c r="AS134" s="1515"/>
      <c r="AT134" s="1509"/>
      <c r="AU134" s="1509"/>
      <c r="AV134" s="1509"/>
      <c r="AW134" s="1516"/>
      <c r="AX134" s="1499"/>
      <c r="AY134" s="1498"/>
      <c r="AZ134" s="1498"/>
      <c r="BA134" s="1498"/>
      <c r="BB134" s="1498"/>
      <c r="BC134" s="1517"/>
      <c r="BD134" s="1498"/>
      <c r="BE134" s="1498"/>
    </row>
    <row r="135" spans="1:57" s="1618" customFormat="1" ht="13" customHeight="1">
      <c r="A135" s="1499"/>
      <c r="B135" s="1498"/>
      <c r="C135" s="2819" t="s">
        <v>895</v>
      </c>
      <c r="D135" s="2931"/>
      <c r="E135" s="2931"/>
      <c r="F135" s="2931"/>
      <c r="G135" s="2931"/>
      <c r="H135" s="2931"/>
      <c r="I135" s="2932"/>
      <c r="J135" s="2933" t="str">
        <f>'＜入力不要＞報告書'!$J$135</f>
        <v/>
      </c>
      <c r="K135" s="2934"/>
      <c r="L135" s="2934"/>
      <c r="M135" s="2934"/>
      <c r="N135" s="2934"/>
      <c r="O135" s="2934"/>
      <c r="P135" s="2935"/>
      <c r="Q135" s="2935"/>
      <c r="R135" s="2935"/>
      <c r="S135" s="2935"/>
      <c r="T135" s="2935"/>
      <c r="U135" s="2935"/>
      <c r="V135" s="2935"/>
      <c r="W135" s="2935"/>
      <c r="X135" s="2935"/>
      <c r="Y135" s="2935"/>
      <c r="Z135" s="2935"/>
      <c r="AA135" s="2935"/>
      <c r="AB135" s="2935"/>
      <c r="AC135" s="2935"/>
      <c r="AD135" s="2935"/>
      <c r="AE135" s="2935"/>
      <c r="AF135" s="2935"/>
      <c r="AG135" s="2935"/>
      <c r="AH135" s="2935"/>
      <c r="AI135" s="2935"/>
      <c r="AJ135" s="2935"/>
      <c r="AK135" s="2935"/>
      <c r="AL135" s="2935"/>
      <c r="AM135" s="2935"/>
      <c r="AN135" s="2935"/>
      <c r="AO135" s="2935"/>
      <c r="AP135" s="2935"/>
      <c r="AQ135" s="2935"/>
      <c r="AR135" s="2935"/>
      <c r="AS135" s="2936"/>
      <c r="AT135" s="1509"/>
      <c r="AU135" s="1509"/>
      <c r="AV135" s="1509"/>
      <c r="AW135" s="1516"/>
      <c r="AX135" s="1499"/>
      <c r="AY135" s="1498"/>
      <c r="AZ135" s="1498"/>
      <c r="BA135" s="1498"/>
      <c r="BB135" s="1498"/>
      <c r="BC135" s="1517"/>
      <c r="BD135" s="1498"/>
      <c r="BE135" s="1498"/>
    </row>
    <row r="136" spans="1:57" s="1618" customFormat="1" ht="13" customHeight="1">
      <c r="A136" s="1499"/>
      <c r="B136" s="1498"/>
      <c r="C136" s="1518"/>
      <c r="D136" s="1619"/>
      <c r="E136" s="1619"/>
      <c r="F136" s="1619"/>
      <c r="G136" s="1619"/>
      <c r="H136" s="1619"/>
      <c r="I136" s="1620"/>
      <c r="J136" s="2937"/>
      <c r="K136" s="2938"/>
      <c r="L136" s="2938"/>
      <c r="M136" s="2938"/>
      <c r="N136" s="2938"/>
      <c r="O136" s="2938"/>
      <c r="P136" s="2939"/>
      <c r="Q136" s="2939"/>
      <c r="R136" s="2939"/>
      <c r="S136" s="2939"/>
      <c r="T136" s="2939"/>
      <c r="U136" s="2939"/>
      <c r="V136" s="2939"/>
      <c r="W136" s="2939"/>
      <c r="X136" s="2939"/>
      <c r="Y136" s="2939"/>
      <c r="Z136" s="2939"/>
      <c r="AA136" s="2939"/>
      <c r="AB136" s="2939"/>
      <c r="AC136" s="2939"/>
      <c r="AD136" s="2939"/>
      <c r="AE136" s="2939"/>
      <c r="AF136" s="2939"/>
      <c r="AG136" s="2939"/>
      <c r="AH136" s="2939"/>
      <c r="AI136" s="2939"/>
      <c r="AJ136" s="2939"/>
      <c r="AK136" s="2939"/>
      <c r="AL136" s="2939"/>
      <c r="AM136" s="2939"/>
      <c r="AN136" s="2939"/>
      <c r="AO136" s="2939"/>
      <c r="AP136" s="2939"/>
      <c r="AQ136" s="2939"/>
      <c r="AR136" s="2939"/>
      <c r="AS136" s="2940"/>
      <c r="AT136" s="1509"/>
      <c r="AU136" s="1509"/>
      <c r="AV136" s="1509"/>
      <c r="AW136" s="1516"/>
      <c r="AX136" s="1499"/>
      <c r="AY136" s="1498"/>
      <c r="AZ136" s="1498"/>
      <c r="BA136" s="1498"/>
      <c r="BB136" s="1498"/>
      <c r="BC136" s="1517"/>
      <c r="BD136" s="1498"/>
      <c r="BE136" s="1498"/>
    </row>
    <row r="137" spans="1:57" s="1618" customFormat="1" ht="13" customHeight="1">
      <c r="A137" s="1499"/>
      <c r="B137" s="1498"/>
      <c r="C137" s="1518"/>
      <c r="D137" s="1619"/>
      <c r="E137" s="1619"/>
      <c r="F137" s="1619"/>
      <c r="G137" s="1619"/>
      <c r="H137" s="1619"/>
      <c r="I137" s="1620"/>
      <c r="J137" s="2937"/>
      <c r="K137" s="2938"/>
      <c r="L137" s="2938"/>
      <c r="M137" s="2938"/>
      <c r="N137" s="2938"/>
      <c r="O137" s="2938"/>
      <c r="P137" s="2939"/>
      <c r="Q137" s="2939"/>
      <c r="R137" s="2939"/>
      <c r="S137" s="2939"/>
      <c r="T137" s="2939"/>
      <c r="U137" s="2939"/>
      <c r="V137" s="2939"/>
      <c r="W137" s="2939"/>
      <c r="X137" s="2939"/>
      <c r="Y137" s="2939"/>
      <c r="Z137" s="2939"/>
      <c r="AA137" s="2939"/>
      <c r="AB137" s="2939"/>
      <c r="AC137" s="2939"/>
      <c r="AD137" s="2939"/>
      <c r="AE137" s="2939"/>
      <c r="AF137" s="2939"/>
      <c r="AG137" s="2939"/>
      <c r="AH137" s="2939"/>
      <c r="AI137" s="2939"/>
      <c r="AJ137" s="2939"/>
      <c r="AK137" s="2939"/>
      <c r="AL137" s="2939"/>
      <c r="AM137" s="2939"/>
      <c r="AN137" s="2939"/>
      <c r="AO137" s="2939"/>
      <c r="AP137" s="2939"/>
      <c r="AQ137" s="2939"/>
      <c r="AR137" s="2939"/>
      <c r="AS137" s="2940"/>
      <c r="AT137" s="1509"/>
      <c r="AU137" s="1509"/>
      <c r="AV137" s="1509"/>
      <c r="AW137" s="1516"/>
      <c r="AX137" s="1499"/>
      <c r="AY137" s="1498"/>
      <c r="AZ137" s="1498"/>
      <c r="BA137" s="1498"/>
      <c r="BB137" s="1498"/>
      <c r="BC137" s="1517"/>
      <c r="BD137" s="1498"/>
      <c r="BE137" s="1498"/>
    </row>
    <row r="138" spans="1:57" s="1618" customFormat="1" ht="13" customHeight="1">
      <c r="A138" s="1499"/>
      <c r="B138" s="1498"/>
      <c r="C138" s="1518"/>
      <c r="D138" s="1619"/>
      <c r="E138" s="1619"/>
      <c r="F138" s="1619"/>
      <c r="G138" s="1619"/>
      <c r="H138" s="1619"/>
      <c r="I138" s="1620"/>
      <c r="J138" s="2937"/>
      <c r="K138" s="2938"/>
      <c r="L138" s="2938"/>
      <c r="M138" s="2938"/>
      <c r="N138" s="2938"/>
      <c r="O138" s="2938"/>
      <c r="P138" s="2939"/>
      <c r="Q138" s="2939"/>
      <c r="R138" s="2939"/>
      <c r="S138" s="2939"/>
      <c r="T138" s="2939"/>
      <c r="U138" s="2939"/>
      <c r="V138" s="2939"/>
      <c r="W138" s="2939"/>
      <c r="X138" s="2939"/>
      <c r="Y138" s="2939"/>
      <c r="Z138" s="2939"/>
      <c r="AA138" s="2939"/>
      <c r="AB138" s="2939"/>
      <c r="AC138" s="2939"/>
      <c r="AD138" s="2939"/>
      <c r="AE138" s="2939"/>
      <c r="AF138" s="2939"/>
      <c r="AG138" s="2939"/>
      <c r="AH138" s="2939"/>
      <c r="AI138" s="2939"/>
      <c r="AJ138" s="2939"/>
      <c r="AK138" s="2939"/>
      <c r="AL138" s="2939"/>
      <c r="AM138" s="2939"/>
      <c r="AN138" s="2939"/>
      <c r="AO138" s="2939"/>
      <c r="AP138" s="2939"/>
      <c r="AQ138" s="2939"/>
      <c r="AR138" s="2939"/>
      <c r="AS138" s="2940"/>
      <c r="AT138" s="1509"/>
      <c r="AU138" s="1509"/>
      <c r="AV138" s="1509"/>
      <c r="AW138" s="1516"/>
      <c r="AX138" s="1499"/>
      <c r="AY138" s="1498"/>
      <c r="AZ138" s="1498"/>
      <c r="BA138" s="1498"/>
      <c r="BB138" s="1498"/>
      <c r="BC138" s="1517"/>
      <c r="BD138" s="1498"/>
      <c r="BE138" s="1498"/>
    </row>
    <row r="139" spans="1:57" s="1618" customFormat="1" ht="13" customHeight="1">
      <c r="A139" s="1499"/>
      <c r="B139" s="1498"/>
      <c r="C139" s="1518"/>
      <c r="D139" s="1619"/>
      <c r="E139" s="1619"/>
      <c r="F139" s="1619"/>
      <c r="G139" s="1619"/>
      <c r="H139" s="1619"/>
      <c r="I139" s="1620"/>
      <c r="J139" s="2937"/>
      <c r="K139" s="2938"/>
      <c r="L139" s="2938"/>
      <c r="M139" s="2938"/>
      <c r="N139" s="2938"/>
      <c r="O139" s="2938"/>
      <c r="P139" s="2939"/>
      <c r="Q139" s="2939"/>
      <c r="R139" s="2939"/>
      <c r="S139" s="2939"/>
      <c r="T139" s="2939"/>
      <c r="U139" s="2939"/>
      <c r="V139" s="2939"/>
      <c r="W139" s="2939"/>
      <c r="X139" s="2939"/>
      <c r="Y139" s="2939"/>
      <c r="Z139" s="2939"/>
      <c r="AA139" s="2939"/>
      <c r="AB139" s="2939"/>
      <c r="AC139" s="2939"/>
      <c r="AD139" s="2939"/>
      <c r="AE139" s="2939"/>
      <c r="AF139" s="2939"/>
      <c r="AG139" s="2939"/>
      <c r="AH139" s="2939"/>
      <c r="AI139" s="2939"/>
      <c r="AJ139" s="2939"/>
      <c r="AK139" s="2939"/>
      <c r="AL139" s="2939"/>
      <c r="AM139" s="2939"/>
      <c r="AN139" s="2939"/>
      <c r="AO139" s="2939"/>
      <c r="AP139" s="2939"/>
      <c r="AQ139" s="2939"/>
      <c r="AR139" s="2939"/>
      <c r="AS139" s="2940"/>
      <c r="AT139" s="1509"/>
      <c r="AU139" s="1509"/>
      <c r="AV139" s="1509"/>
      <c r="AW139" s="1516"/>
      <c r="AX139" s="1499"/>
      <c r="AY139" s="1498"/>
      <c r="AZ139" s="1498"/>
      <c r="BA139" s="1498"/>
      <c r="BB139" s="1498"/>
      <c r="BC139" s="1517"/>
      <c r="BD139" s="1498"/>
      <c r="BE139" s="1498"/>
    </row>
    <row r="140" spans="1:57" s="1618" customFormat="1" ht="13" customHeight="1">
      <c r="A140" s="1499"/>
      <c r="B140" s="1498"/>
      <c r="C140" s="1518"/>
      <c r="D140" s="1619"/>
      <c r="E140" s="1619"/>
      <c r="F140" s="1619"/>
      <c r="G140" s="1619"/>
      <c r="H140" s="1619"/>
      <c r="I140" s="1620"/>
      <c r="J140" s="2937"/>
      <c r="K140" s="2938"/>
      <c r="L140" s="2938"/>
      <c r="M140" s="2938"/>
      <c r="N140" s="2938"/>
      <c r="O140" s="2938"/>
      <c r="P140" s="2939"/>
      <c r="Q140" s="2939"/>
      <c r="R140" s="2939"/>
      <c r="S140" s="2939"/>
      <c r="T140" s="2939"/>
      <c r="U140" s="2939"/>
      <c r="V140" s="2939"/>
      <c r="W140" s="2939"/>
      <c r="X140" s="2939"/>
      <c r="Y140" s="2939"/>
      <c r="Z140" s="2939"/>
      <c r="AA140" s="2939"/>
      <c r="AB140" s="2939"/>
      <c r="AC140" s="2939"/>
      <c r="AD140" s="2939"/>
      <c r="AE140" s="2939"/>
      <c r="AF140" s="2939"/>
      <c r="AG140" s="2939"/>
      <c r="AH140" s="2939"/>
      <c r="AI140" s="2939"/>
      <c r="AJ140" s="2939"/>
      <c r="AK140" s="2939"/>
      <c r="AL140" s="2939"/>
      <c r="AM140" s="2939"/>
      <c r="AN140" s="2939"/>
      <c r="AO140" s="2939"/>
      <c r="AP140" s="2939"/>
      <c r="AQ140" s="2939"/>
      <c r="AR140" s="2939"/>
      <c r="AS140" s="2940"/>
      <c r="AT140" s="1509"/>
      <c r="AU140" s="1509"/>
      <c r="AV140" s="1509"/>
      <c r="AW140" s="1516"/>
      <c r="AX140" s="1499"/>
      <c r="AY140" s="1498"/>
      <c r="AZ140" s="1498"/>
      <c r="BA140" s="1498"/>
      <c r="BB140" s="1498"/>
      <c r="BC140" s="1517"/>
      <c r="BD140" s="1498"/>
      <c r="BE140" s="1498"/>
    </row>
    <row r="141" spans="1:57" s="1618" customFormat="1" ht="13" customHeight="1">
      <c r="A141" s="1499"/>
      <c r="B141" s="1498"/>
      <c r="C141" s="1518"/>
      <c r="D141" s="1619"/>
      <c r="E141" s="1619"/>
      <c r="F141" s="1619"/>
      <c r="G141" s="1619"/>
      <c r="H141" s="1619"/>
      <c r="I141" s="1620"/>
      <c r="J141" s="2937"/>
      <c r="K141" s="2938"/>
      <c r="L141" s="2938"/>
      <c r="M141" s="2938"/>
      <c r="N141" s="2938"/>
      <c r="O141" s="2938"/>
      <c r="P141" s="2939"/>
      <c r="Q141" s="2939"/>
      <c r="R141" s="2939"/>
      <c r="S141" s="2939"/>
      <c r="T141" s="2939"/>
      <c r="U141" s="2939"/>
      <c r="V141" s="2939"/>
      <c r="W141" s="2939"/>
      <c r="X141" s="2939"/>
      <c r="Y141" s="2939"/>
      <c r="Z141" s="2939"/>
      <c r="AA141" s="2939"/>
      <c r="AB141" s="2939"/>
      <c r="AC141" s="2939"/>
      <c r="AD141" s="2939"/>
      <c r="AE141" s="2939"/>
      <c r="AF141" s="2939"/>
      <c r="AG141" s="2939"/>
      <c r="AH141" s="2939"/>
      <c r="AI141" s="2939"/>
      <c r="AJ141" s="2939"/>
      <c r="AK141" s="2939"/>
      <c r="AL141" s="2939"/>
      <c r="AM141" s="2939"/>
      <c r="AN141" s="2939"/>
      <c r="AO141" s="2939"/>
      <c r="AP141" s="2939"/>
      <c r="AQ141" s="2939"/>
      <c r="AR141" s="2939"/>
      <c r="AS141" s="2940"/>
      <c r="AT141" s="1509"/>
      <c r="AU141" s="1509"/>
      <c r="AV141" s="1509"/>
      <c r="AW141" s="1516"/>
      <c r="AX141" s="1499"/>
      <c r="AY141" s="1498"/>
      <c r="AZ141" s="1498"/>
      <c r="BA141" s="1498"/>
      <c r="BB141" s="1498"/>
      <c r="BC141" s="1517"/>
      <c r="BD141" s="1498"/>
      <c r="BE141" s="1498"/>
    </row>
    <row r="142" spans="1:57" s="1618" customFormat="1" ht="13" customHeight="1">
      <c r="A142" s="1499"/>
      <c r="B142" s="1498"/>
      <c r="C142" s="1518"/>
      <c r="D142" s="1619"/>
      <c r="E142" s="1619"/>
      <c r="F142" s="1619"/>
      <c r="G142" s="1619"/>
      <c r="H142" s="1619"/>
      <c r="I142" s="1620"/>
      <c r="J142" s="2937"/>
      <c r="K142" s="2938"/>
      <c r="L142" s="2938"/>
      <c r="M142" s="2938"/>
      <c r="N142" s="2938"/>
      <c r="O142" s="2938"/>
      <c r="P142" s="2939"/>
      <c r="Q142" s="2939"/>
      <c r="R142" s="2939"/>
      <c r="S142" s="2939"/>
      <c r="T142" s="2939"/>
      <c r="U142" s="2939"/>
      <c r="V142" s="2939"/>
      <c r="W142" s="2939"/>
      <c r="X142" s="2939"/>
      <c r="Y142" s="2939"/>
      <c r="Z142" s="2939"/>
      <c r="AA142" s="2939"/>
      <c r="AB142" s="2939"/>
      <c r="AC142" s="2939"/>
      <c r="AD142" s="2939"/>
      <c r="AE142" s="2939"/>
      <c r="AF142" s="2939"/>
      <c r="AG142" s="2939"/>
      <c r="AH142" s="2939"/>
      <c r="AI142" s="2939"/>
      <c r="AJ142" s="2939"/>
      <c r="AK142" s="2939"/>
      <c r="AL142" s="2939"/>
      <c r="AM142" s="2939"/>
      <c r="AN142" s="2939"/>
      <c r="AO142" s="2939"/>
      <c r="AP142" s="2939"/>
      <c r="AQ142" s="2939"/>
      <c r="AR142" s="2939"/>
      <c r="AS142" s="2940"/>
      <c r="AT142" s="1509"/>
      <c r="AU142" s="1509"/>
      <c r="AV142" s="1509"/>
      <c r="AW142" s="1516"/>
      <c r="AX142" s="1499"/>
      <c r="AY142" s="1498"/>
      <c r="AZ142" s="1498"/>
      <c r="BA142" s="1498"/>
      <c r="BB142" s="1498"/>
      <c r="BC142" s="1517"/>
      <c r="BD142" s="1498"/>
      <c r="BE142" s="1498"/>
    </row>
    <row r="143" spans="1:57" s="1618" customFormat="1" ht="13" customHeight="1">
      <c r="A143" s="1499"/>
      <c r="B143" s="1498"/>
      <c r="C143" s="1518"/>
      <c r="D143" s="1619"/>
      <c r="E143" s="1619"/>
      <c r="F143" s="1619"/>
      <c r="G143" s="1619"/>
      <c r="H143" s="1619"/>
      <c r="I143" s="1620"/>
      <c r="J143" s="2937"/>
      <c r="K143" s="2938"/>
      <c r="L143" s="2938"/>
      <c r="M143" s="2938"/>
      <c r="N143" s="2938"/>
      <c r="O143" s="2938"/>
      <c r="P143" s="2939"/>
      <c r="Q143" s="2939"/>
      <c r="R143" s="2939"/>
      <c r="S143" s="2939"/>
      <c r="T143" s="2939"/>
      <c r="U143" s="2939"/>
      <c r="V143" s="2939"/>
      <c r="W143" s="2939"/>
      <c r="X143" s="2939"/>
      <c r="Y143" s="2939"/>
      <c r="Z143" s="2939"/>
      <c r="AA143" s="2939"/>
      <c r="AB143" s="2939"/>
      <c r="AC143" s="2939"/>
      <c r="AD143" s="2939"/>
      <c r="AE143" s="2939"/>
      <c r="AF143" s="2939"/>
      <c r="AG143" s="2939"/>
      <c r="AH143" s="2939"/>
      <c r="AI143" s="2939"/>
      <c r="AJ143" s="2939"/>
      <c r="AK143" s="2939"/>
      <c r="AL143" s="2939"/>
      <c r="AM143" s="2939"/>
      <c r="AN143" s="2939"/>
      <c r="AO143" s="2939"/>
      <c r="AP143" s="2939"/>
      <c r="AQ143" s="2939"/>
      <c r="AR143" s="2939"/>
      <c r="AS143" s="2940"/>
      <c r="AT143" s="1509"/>
      <c r="AU143" s="1509"/>
      <c r="AV143" s="1509"/>
      <c r="AW143" s="1516"/>
      <c r="AX143" s="1499"/>
      <c r="AY143" s="1498"/>
      <c r="AZ143" s="1498"/>
      <c r="BA143" s="1498"/>
      <c r="BB143" s="1498"/>
      <c r="BC143" s="1517"/>
      <c r="BD143" s="1498"/>
      <c r="BE143" s="1498"/>
    </row>
    <row r="144" spans="1:57" s="1618" customFormat="1" ht="13" customHeight="1">
      <c r="A144" s="1499"/>
      <c r="B144" s="1498"/>
      <c r="C144" s="1518"/>
      <c r="D144" s="1619"/>
      <c r="E144" s="1619"/>
      <c r="F144" s="1619"/>
      <c r="G144" s="1619"/>
      <c r="H144" s="1619"/>
      <c r="I144" s="1620"/>
      <c r="J144" s="2937"/>
      <c r="K144" s="2938"/>
      <c r="L144" s="2938"/>
      <c r="M144" s="2938"/>
      <c r="N144" s="2938"/>
      <c r="O144" s="2938"/>
      <c r="P144" s="2939"/>
      <c r="Q144" s="2939"/>
      <c r="R144" s="2939"/>
      <c r="S144" s="2939"/>
      <c r="T144" s="2939"/>
      <c r="U144" s="2939"/>
      <c r="V144" s="2939"/>
      <c r="W144" s="2939"/>
      <c r="X144" s="2939"/>
      <c r="Y144" s="2939"/>
      <c r="Z144" s="2939"/>
      <c r="AA144" s="2939"/>
      <c r="AB144" s="2939"/>
      <c r="AC144" s="2939"/>
      <c r="AD144" s="2939"/>
      <c r="AE144" s="2939"/>
      <c r="AF144" s="2939"/>
      <c r="AG144" s="2939"/>
      <c r="AH144" s="2939"/>
      <c r="AI144" s="2939"/>
      <c r="AJ144" s="2939"/>
      <c r="AK144" s="2939"/>
      <c r="AL144" s="2939"/>
      <c r="AM144" s="2939"/>
      <c r="AN144" s="2939"/>
      <c r="AO144" s="2939"/>
      <c r="AP144" s="2939"/>
      <c r="AQ144" s="2939"/>
      <c r="AR144" s="2939"/>
      <c r="AS144" s="2940"/>
      <c r="AT144" s="1509"/>
      <c r="AU144" s="1509"/>
      <c r="AV144" s="1509"/>
      <c r="AW144" s="1516"/>
      <c r="AX144" s="1499"/>
      <c r="AY144" s="1498"/>
      <c r="AZ144" s="1498"/>
      <c r="BA144" s="1498"/>
      <c r="BB144" s="1498"/>
      <c r="BC144" s="1517"/>
      <c r="BD144" s="1498"/>
      <c r="BE144" s="1498"/>
    </row>
    <row r="145" spans="1:57" s="1618" customFormat="1" ht="13" customHeight="1">
      <c r="A145" s="1499"/>
      <c r="B145" s="1498"/>
      <c r="C145" s="1518"/>
      <c r="D145" s="1619"/>
      <c r="E145" s="1619"/>
      <c r="F145" s="1619"/>
      <c r="G145" s="1619"/>
      <c r="H145" s="1619"/>
      <c r="I145" s="1620"/>
      <c r="J145" s="2937"/>
      <c r="K145" s="2938"/>
      <c r="L145" s="2938"/>
      <c r="M145" s="2938"/>
      <c r="N145" s="2938"/>
      <c r="O145" s="2938"/>
      <c r="P145" s="2939"/>
      <c r="Q145" s="2939"/>
      <c r="R145" s="2939"/>
      <c r="S145" s="2939"/>
      <c r="T145" s="2939"/>
      <c r="U145" s="2939"/>
      <c r="V145" s="2939"/>
      <c r="W145" s="2939"/>
      <c r="X145" s="2939"/>
      <c r="Y145" s="2939"/>
      <c r="Z145" s="2939"/>
      <c r="AA145" s="2939"/>
      <c r="AB145" s="2939"/>
      <c r="AC145" s="2939"/>
      <c r="AD145" s="2939"/>
      <c r="AE145" s="2939"/>
      <c r="AF145" s="2939"/>
      <c r="AG145" s="2939"/>
      <c r="AH145" s="2939"/>
      <c r="AI145" s="2939"/>
      <c r="AJ145" s="2939"/>
      <c r="AK145" s="2939"/>
      <c r="AL145" s="2939"/>
      <c r="AM145" s="2939"/>
      <c r="AN145" s="2939"/>
      <c r="AO145" s="2939"/>
      <c r="AP145" s="2939"/>
      <c r="AQ145" s="2939"/>
      <c r="AR145" s="2939"/>
      <c r="AS145" s="2940"/>
      <c r="AT145" s="1509"/>
      <c r="AU145" s="1509"/>
      <c r="AV145" s="1509"/>
      <c r="AW145" s="1516"/>
      <c r="AX145" s="1499"/>
      <c r="AY145" s="1498"/>
      <c r="AZ145" s="1498"/>
      <c r="BA145" s="1498"/>
      <c r="BB145" s="1498"/>
      <c r="BC145" s="1517"/>
      <c r="BD145" s="1498"/>
      <c r="BE145" s="1498"/>
    </row>
    <row r="146" spans="1:57" s="1618" customFormat="1" ht="13" customHeight="1">
      <c r="A146" s="1499"/>
      <c r="B146" s="1498"/>
      <c r="C146" s="1518"/>
      <c r="D146" s="1619"/>
      <c r="E146" s="1619"/>
      <c r="F146" s="1619"/>
      <c r="G146" s="1619"/>
      <c r="H146" s="1619"/>
      <c r="I146" s="1620"/>
      <c r="J146" s="2937"/>
      <c r="K146" s="2938"/>
      <c r="L146" s="2938"/>
      <c r="M146" s="2938"/>
      <c r="N146" s="2938"/>
      <c r="O146" s="2938"/>
      <c r="P146" s="2939"/>
      <c r="Q146" s="2939"/>
      <c r="R146" s="2939"/>
      <c r="S146" s="2939"/>
      <c r="T146" s="2939"/>
      <c r="U146" s="2939"/>
      <c r="V146" s="2939"/>
      <c r="W146" s="2939"/>
      <c r="X146" s="2939"/>
      <c r="Y146" s="2939"/>
      <c r="Z146" s="2939"/>
      <c r="AA146" s="2939"/>
      <c r="AB146" s="2939"/>
      <c r="AC146" s="2939"/>
      <c r="AD146" s="2939"/>
      <c r="AE146" s="2939"/>
      <c r="AF146" s="2939"/>
      <c r="AG146" s="2939"/>
      <c r="AH146" s="2939"/>
      <c r="AI146" s="2939"/>
      <c r="AJ146" s="2939"/>
      <c r="AK146" s="2939"/>
      <c r="AL146" s="2939"/>
      <c r="AM146" s="2939"/>
      <c r="AN146" s="2939"/>
      <c r="AO146" s="2939"/>
      <c r="AP146" s="2939"/>
      <c r="AQ146" s="2939"/>
      <c r="AR146" s="2939"/>
      <c r="AS146" s="2940"/>
      <c r="AT146" s="1509"/>
      <c r="AU146" s="1509"/>
      <c r="AV146" s="1509"/>
      <c r="AW146" s="1516"/>
      <c r="AX146" s="1499"/>
      <c r="AY146" s="1498"/>
      <c r="AZ146" s="1498"/>
      <c r="BA146" s="1498"/>
      <c r="BB146" s="1498"/>
      <c r="BC146" s="1517"/>
      <c r="BD146" s="1498"/>
      <c r="BE146" s="1498"/>
    </row>
    <row r="147" spans="1:57" s="1618" customFormat="1" ht="13" customHeight="1">
      <c r="A147" s="1499"/>
      <c r="B147" s="1498"/>
      <c r="C147" s="1518"/>
      <c r="D147" s="1619"/>
      <c r="E147" s="1619"/>
      <c r="F147" s="1619"/>
      <c r="G147" s="1619"/>
      <c r="H147" s="1619"/>
      <c r="I147" s="1620"/>
      <c r="J147" s="2937"/>
      <c r="K147" s="2938"/>
      <c r="L147" s="2938"/>
      <c r="M147" s="2938"/>
      <c r="N147" s="2938"/>
      <c r="O147" s="2938"/>
      <c r="P147" s="2939"/>
      <c r="Q147" s="2939"/>
      <c r="R147" s="2939"/>
      <c r="S147" s="2939"/>
      <c r="T147" s="2939"/>
      <c r="U147" s="2939"/>
      <c r="V147" s="2939"/>
      <c r="W147" s="2939"/>
      <c r="X147" s="2939"/>
      <c r="Y147" s="2939"/>
      <c r="Z147" s="2939"/>
      <c r="AA147" s="2939"/>
      <c r="AB147" s="2939"/>
      <c r="AC147" s="2939"/>
      <c r="AD147" s="2939"/>
      <c r="AE147" s="2939"/>
      <c r="AF147" s="2939"/>
      <c r="AG147" s="2939"/>
      <c r="AH147" s="2939"/>
      <c r="AI147" s="2939"/>
      <c r="AJ147" s="2939"/>
      <c r="AK147" s="2939"/>
      <c r="AL147" s="2939"/>
      <c r="AM147" s="2939"/>
      <c r="AN147" s="2939"/>
      <c r="AO147" s="2939"/>
      <c r="AP147" s="2939"/>
      <c r="AQ147" s="2939"/>
      <c r="AR147" s="2939"/>
      <c r="AS147" s="2940"/>
      <c r="AT147" s="1509"/>
      <c r="AU147" s="1509"/>
      <c r="AV147" s="1509"/>
      <c r="AW147" s="1516"/>
      <c r="AX147" s="1499"/>
      <c r="AY147" s="1498"/>
      <c r="AZ147" s="1498"/>
      <c r="BA147" s="1498"/>
      <c r="BB147" s="1498"/>
      <c r="BC147" s="1517"/>
      <c r="BD147" s="1498"/>
      <c r="BE147" s="1498"/>
    </row>
    <row r="148" spans="1:57" s="1618" customFormat="1" ht="12.75" customHeight="1">
      <c r="A148" s="1499"/>
      <c r="B148" s="1498"/>
      <c r="C148" s="1513"/>
      <c r="D148" s="1491"/>
      <c r="E148" s="1491"/>
      <c r="F148" s="1491"/>
      <c r="G148" s="1491"/>
      <c r="H148" s="1491"/>
      <c r="I148" s="1512"/>
      <c r="J148" s="2941"/>
      <c r="K148" s="2942"/>
      <c r="L148" s="2942"/>
      <c r="M148" s="2942"/>
      <c r="N148" s="2942"/>
      <c r="O148" s="2942"/>
      <c r="P148" s="2942"/>
      <c r="Q148" s="2942"/>
      <c r="R148" s="2942"/>
      <c r="S148" s="2942"/>
      <c r="T148" s="2942"/>
      <c r="U148" s="2942"/>
      <c r="V148" s="2942"/>
      <c r="W148" s="2942"/>
      <c r="X148" s="2942"/>
      <c r="Y148" s="2942"/>
      <c r="Z148" s="2942"/>
      <c r="AA148" s="2942"/>
      <c r="AB148" s="2942"/>
      <c r="AC148" s="2942"/>
      <c r="AD148" s="2942"/>
      <c r="AE148" s="2942"/>
      <c r="AF148" s="2942"/>
      <c r="AG148" s="2942"/>
      <c r="AH148" s="2942"/>
      <c r="AI148" s="2942"/>
      <c r="AJ148" s="2942"/>
      <c r="AK148" s="2942"/>
      <c r="AL148" s="2942"/>
      <c r="AM148" s="2942"/>
      <c r="AN148" s="2942"/>
      <c r="AO148" s="2942"/>
      <c r="AP148" s="2942"/>
      <c r="AQ148" s="2942"/>
      <c r="AR148" s="2942"/>
      <c r="AS148" s="2940"/>
      <c r="AT148" s="1509"/>
      <c r="AU148" s="1509"/>
      <c r="AV148" s="1509"/>
      <c r="AW148" s="1516"/>
      <c r="AX148" s="1499"/>
      <c r="AY148" s="1498"/>
      <c r="AZ148" s="1498"/>
      <c r="BA148" s="1498"/>
      <c r="BB148" s="1498"/>
      <c r="BC148" s="1517"/>
      <c r="BD148" s="1498"/>
      <c r="BE148" s="1498"/>
    </row>
    <row r="149" spans="1:57" s="1618" customFormat="1" ht="13" customHeight="1">
      <c r="A149" s="1499"/>
      <c r="B149" s="1498"/>
      <c r="C149" s="1513"/>
      <c r="D149" s="1491"/>
      <c r="E149" s="1491"/>
      <c r="F149" s="1491"/>
      <c r="G149" s="1491"/>
      <c r="H149" s="1491"/>
      <c r="I149" s="1512"/>
      <c r="J149" s="2941"/>
      <c r="K149" s="2942"/>
      <c r="L149" s="2942"/>
      <c r="M149" s="2942"/>
      <c r="N149" s="2942"/>
      <c r="O149" s="2942"/>
      <c r="P149" s="2942"/>
      <c r="Q149" s="2942"/>
      <c r="R149" s="2942"/>
      <c r="S149" s="2942"/>
      <c r="T149" s="2942"/>
      <c r="U149" s="2942"/>
      <c r="V149" s="2942"/>
      <c r="W149" s="2942"/>
      <c r="X149" s="2942"/>
      <c r="Y149" s="2942"/>
      <c r="Z149" s="2942"/>
      <c r="AA149" s="2942"/>
      <c r="AB149" s="2942"/>
      <c r="AC149" s="2942"/>
      <c r="AD149" s="2942"/>
      <c r="AE149" s="2942"/>
      <c r="AF149" s="2942"/>
      <c r="AG149" s="2942"/>
      <c r="AH149" s="2942"/>
      <c r="AI149" s="2942"/>
      <c r="AJ149" s="2942"/>
      <c r="AK149" s="2942"/>
      <c r="AL149" s="2942"/>
      <c r="AM149" s="2942"/>
      <c r="AN149" s="2942"/>
      <c r="AO149" s="2942"/>
      <c r="AP149" s="2942"/>
      <c r="AQ149" s="2942"/>
      <c r="AR149" s="2942"/>
      <c r="AS149" s="2940"/>
      <c r="AT149" s="1509"/>
      <c r="AU149" s="1509"/>
      <c r="AV149" s="1509"/>
      <c r="AW149" s="1516"/>
      <c r="AX149" s="1499"/>
      <c r="AY149" s="1498"/>
      <c r="AZ149" s="1498"/>
      <c r="BA149" s="1498"/>
      <c r="BB149" s="1498"/>
      <c r="BC149" s="1517"/>
      <c r="BD149" s="1498"/>
      <c r="BE149" s="1498"/>
    </row>
    <row r="150" spans="1:57" s="1618" customFormat="1" ht="13" customHeight="1">
      <c r="A150" s="1499"/>
      <c r="B150" s="1498"/>
      <c r="C150" s="1513"/>
      <c r="D150" s="1491"/>
      <c r="E150" s="1491"/>
      <c r="F150" s="1491"/>
      <c r="G150" s="1491"/>
      <c r="H150" s="1491"/>
      <c r="I150" s="1512"/>
      <c r="J150" s="2941"/>
      <c r="K150" s="2942"/>
      <c r="L150" s="2942"/>
      <c r="M150" s="2942"/>
      <c r="N150" s="2942"/>
      <c r="O150" s="2942"/>
      <c r="P150" s="2942"/>
      <c r="Q150" s="2942"/>
      <c r="R150" s="2942"/>
      <c r="S150" s="2942"/>
      <c r="T150" s="2942"/>
      <c r="U150" s="2942"/>
      <c r="V150" s="2942"/>
      <c r="W150" s="2942"/>
      <c r="X150" s="2942"/>
      <c r="Y150" s="2942"/>
      <c r="Z150" s="2942"/>
      <c r="AA150" s="2942"/>
      <c r="AB150" s="2942"/>
      <c r="AC150" s="2942"/>
      <c r="AD150" s="2942"/>
      <c r="AE150" s="2942"/>
      <c r="AF150" s="2942"/>
      <c r="AG150" s="2942"/>
      <c r="AH150" s="2942"/>
      <c r="AI150" s="2942"/>
      <c r="AJ150" s="2942"/>
      <c r="AK150" s="2942"/>
      <c r="AL150" s="2942"/>
      <c r="AM150" s="2942"/>
      <c r="AN150" s="2942"/>
      <c r="AO150" s="2942"/>
      <c r="AP150" s="2942"/>
      <c r="AQ150" s="2942"/>
      <c r="AR150" s="2942"/>
      <c r="AS150" s="2940"/>
      <c r="AT150" s="1509"/>
      <c r="AU150" s="1509"/>
      <c r="AV150" s="1509"/>
      <c r="AW150" s="1516"/>
      <c r="AX150" s="1499"/>
      <c r="AY150" s="1498"/>
      <c r="AZ150" s="1498"/>
      <c r="BA150" s="1498"/>
      <c r="BB150" s="1498"/>
      <c r="BC150" s="1517"/>
      <c r="BD150" s="1498"/>
      <c r="BE150" s="1498"/>
    </row>
    <row r="151" spans="1:57" s="1618" customFormat="1" ht="13" customHeight="1">
      <c r="A151" s="1499"/>
      <c r="B151" s="1498"/>
      <c r="C151" s="1513"/>
      <c r="D151" s="1491"/>
      <c r="E151" s="1491"/>
      <c r="F151" s="1491"/>
      <c r="G151" s="1491"/>
      <c r="H151" s="1491"/>
      <c r="I151" s="1512"/>
      <c r="J151" s="2941"/>
      <c r="K151" s="2942"/>
      <c r="L151" s="2942"/>
      <c r="M151" s="2942"/>
      <c r="N151" s="2942"/>
      <c r="O151" s="2942"/>
      <c r="P151" s="2942"/>
      <c r="Q151" s="2942"/>
      <c r="R151" s="2942"/>
      <c r="S151" s="2942"/>
      <c r="T151" s="2942"/>
      <c r="U151" s="2942"/>
      <c r="V151" s="2942"/>
      <c r="W151" s="2942"/>
      <c r="X151" s="2942"/>
      <c r="Y151" s="2942"/>
      <c r="Z151" s="2942"/>
      <c r="AA151" s="2942"/>
      <c r="AB151" s="2942"/>
      <c r="AC151" s="2942"/>
      <c r="AD151" s="2942"/>
      <c r="AE151" s="2942"/>
      <c r="AF151" s="2942"/>
      <c r="AG151" s="2942"/>
      <c r="AH151" s="2942"/>
      <c r="AI151" s="2942"/>
      <c r="AJ151" s="2942"/>
      <c r="AK151" s="2942"/>
      <c r="AL151" s="2942"/>
      <c r="AM151" s="2942"/>
      <c r="AN151" s="2942"/>
      <c r="AO151" s="2942"/>
      <c r="AP151" s="2942"/>
      <c r="AQ151" s="2942"/>
      <c r="AR151" s="2942"/>
      <c r="AS151" s="2940"/>
      <c r="AT151" s="1509"/>
      <c r="AU151" s="1509"/>
      <c r="AV151" s="1509"/>
      <c r="AW151" s="1516"/>
      <c r="AX151" s="1499"/>
      <c r="AY151" s="1498"/>
      <c r="AZ151" s="1498"/>
      <c r="BA151" s="1498"/>
      <c r="BB151" s="1498"/>
      <c r="BC151" s="1517"/>
      <c r="BD151" s="1498"/>
      <c r="BE151" s="1498"/>
    </row>
    <row r="152" spans="1:57" s="1618" customFormat="1" ht="13" customHeight="1">
      <c r="A152" s="1499"/>
      <c r="B152" s="1498"/>
      <c r="C152" s="1513"/>
      <c r="D152" s="1491"/>
      <c r="E152" s="1491"/>
      <c r="F152" s="1491"/>
      <c r="G152" s="1491"/>
      <c r="H152" s="1491"/>
      <c r="I152" s="1512"/>
      <c r="J152" s="2941"/>
      <c r="K152" s="2942"/>
      <c r="L152" s="2942"/>
      <c r="M152" s="2942"/>
      <c r="N152" s="2942"/>
      <c r="O152" s="2942"/>
      <c r="P152" s="2942"/>
      <c r="Q152" s="2942"/>
      <c r="R152" s="2942"/>
      <c r="S152" s="2942"/>
      <c r="T152" s="2942"/>
      <c r="U152" s="2942"/>
      <c r="V152" s="2942"/>
      <c r="W152" s="2942"/>
      <c r="X152" s="2942"/>
      <c r="Y152" s="2942"/>
      <c r="Z152" s="2942"/>
      <c r="AA152" s="2942"/>
      <c r="AB152" s="2942"/>
      <c r="AC152" s="2942"/>
      <c r="AD152" s="2942"/>
      <c r="AE152" s="2942"/>
      <c r="AF152" s="2942"/>
      <c r="AG152" s="2942"/>
      <c r="AH152" s="2942"/>
      <c r="AI152" s="2942"/>
      <c r="AJ152" s="2942"/>
      <c r="AK152" s="2942"/>
      <c r="AL152" s="2942"/>
      <c r="AM152" s="2942"/>
      <c r="AN152" s="2942"/>
      <c r="AO152" s="2942"/>
      <c r="AP152" s="2942"/>
      <c r="AQ152" s="2942"/>
      <c r="AR152" s="2942"/>
      <c r="AS152" s="2940"/>
      <c r="AT152" s="1509"/>
      <c r="AU152" s="1509"/>
      <c r="AV152" s="1509"/>
      <c r="AW152" s="1516"/>
      <c r="AX152" s="1499"/>
      <c r="AY152" s="1498"/>
      <c r="AZ152" s="1498"/>
      <c r="BA152" s="1498"/>
      <c r="BB152" s="1498"/>
      <c r="BC152" s="1517"/>
      <c r="BD152" s="1498"/>
      <c r="BE152" s="1498"/>
    </row>
    <row r="153" spans="1:57" s="1618" customFormat="1" ht="13" customHeight="1">
      <c r="A153" s="1499"/>
      <c r="B153" s="1498"/>
      <c r="C153" s="1513"/>
      <c r="D153" s="1491"/>
      <c r="E153" s="1491"/>
      <c r="F153" s="1491"/>
      <c r="G153" s="1491"/>
      <c r="H153" s="1491"/>
      <c r="I153" s="1512"/>
      <c r="J153" s="2941"/>
      <c r="K153" s="2942"/>
      <c r="L153" s="2942"/>
      <c r="M153" s="2942"/>
      <c r="N153" s="2942"/>
      <c r="O153" s="2942"/>
      <c r="P153" s="2942"/>
      <c r="Q153" s="2942"/>
      <c r="R153" s="2942"/>
      <c r="S153" s="2942"/>
      <c r="T153" s="2942"/>
      <c r="U153" s="2942"/>
      <c r="V153" s="2942"/>
      <c r="W153" s="2942"/>
      <c r="X153" s="2942"/>
      <c r="Y153" s="2942"/>
      <c r="Z153" s="2942"/>
      <c r="AA153" s="2942"/>
      <c r="AB153" s="2942"/>
      <c r="AC153" s="2942"/>
      <c r="AD153" s="2942"/>
      <c r="AE153" s="2942"/>
      <c r="AF153" s="2942"/>
      <c r="AG153" s="2942"/>
      <c r="AH153" s="2942"/>
      <c r="AI153" s="2942"/>
      <c r="AJ153" s="2942"/>
      <c r="AK153" s="2942"/>
      <c r="AL153" s="2942"/>
      <c r="AM153" s="2942"/>
      <c r="AN153" s="2942"/>
      <c r="AO153" s="2942"/>
      <c r="AP153" s="2942"/>
      <c r="AQ153" s="2942"/>
      <c r="AR153" s="2942"/>
      <c r="AS153" s="2940"/>
      <c r="AT153" s="1509"/>
      <c r="AU153" s="1509"/>
      <c r="AV153" s="1509"/>
      <c r="AW153" s="1516"/>
      <c r="AX153" s="1499"/>
      <c r="AY153" s="1498"/>
      <c r="AZ153" s="1498"/>
      <c r="BA153" s="1498"/>
      <c r="BB153" s="1498"/>
      <c r="BC153" s="1517"/>
      <c r="BD153" s="1498"/>
      <c r="BE153" s="1498"/>
    </row>
    <row r="154" spans="1:57" s="1618" customFormat="1" ht="13" customHeight="1">
      <c r="A154" s="1499"/>
      <c r="B154" s="1498"/>
      <c r="C154" s="1521"/>
      <c r="D154" s="1522"/>
      <c r="E154" s="1522"/>
      <c r="F154" s="1522"/>
      <c r="G154" s="1522"/>
      <c r="H154" s="1522"/>
      <c r="I154" s="1523"/>
      <c r="J154" s="2943"/>
      <c r="K154" s="2944"/>
      <c r="L154" s="2944"/>
      <c r="M154" s="2944"/>
      <c r="N154" s="2944"/>
      <c r="O154" s="2944"/>
      <c r="P154" s="2944"/>
      <c r="Q154" s="2944"/>
      <c r="R154" s="2944"/>
      <c r="S154" s="2944"/>
      <c r="T154" s="2944"/>
      <c r="U154" s="2944"/>
      <c r="V154" s="2944"/>
      <c r="W154" s="2944"/>
      <c r="X154" s="2944"/>
      <c r="Y154" s="2944"/>
      <c r="Z154" s="2944"/>
      <c r="AA154" s="2944"/>
      <c r="AB154" s="2944"/>
      <c r="AC154" s="2944"/>
      <c r="AD154" s="2944"/>
      <c r="AE154" s="2944"/>
      <c r="AF154" s="2944"/>
      <c r="AG154" s="2944"/>
      <c r="AH154" s="2944"/>
      <c r="AI154" s="2944"/>
      <c r="AJ154" s="2944"/>
      <c r="AK154" s="2944"/>
      <c r="AL154" s="2944"/>
      <c r="AM154" s="2944"/>
      <c r="AN154" s="2944"/>
      <c r="AO154" s="2944"/>
      <c r="AP154" s="2944"/>
      <c r="AQ154" s="2944"/>
      <c r="AR154" s="2944"/>
      <c r="AS154" s="2945"/>
      <c r="AT154" s="1509"/>
      <c r="AU154" s="1509"/>
      <c r="AV154" s="1509"/>
      <c r="AW154" s="1516"/>
      <c r="AX154" s="1499"/>
      <c r="AY154" s="1498"/>
      <c r="AZ154" s="1498"/>
      <c r="BA154" s="1498"/>
      <c r="BB154" s="1498"/>
      <c r="BC154" s="1517"/>
      <c r="BD154" s="1498"/>
      <c r="BE154" s="1498"/>
    </row>
    <row r="155" spans="1:57" s="1618" customFormat="1" ht="13" customHeight="1">
      <c r="A155" s="1499"/>
      <c r="B155" s="1498"/>
      <c r="C155" s="1524"/>
      <c r="D155" s="1524"/>
      <c r="E155" s="1524"/>
      <c r="F155" s="1524"/>
      <c r="G155" s="1524"/>
      <c r="H155" s="1524"/>
      <c r="I155" s="1525"/>
      <c r="J155" s="1621"/>
      <c r="K155" s="1621"/>
      <c r="L155" s="1621"/>
      <c r="M155" s="1621"/>
      <c r="N155" s="1621"/>
      <c r="O155" s="1621"/>
      <c r="P155" s="1621"/>
      <c r="Q155" s="1621"/>
      <c r="R155" s="1621"/>
      <c r="S155" s="1621"/>
      <c r="T155" s="1621"/>
      <c r="U155" s="1621"/>
      <c r="V155" s="1621"/>
      <c r="W155" s="1621"/>
      <c r="X155" s="1621"/>
      <c r="Y155" s="1621"/>
      <c r="Z155" s="1621"/>
      <c r="AA155" s="1621"/>
      <c r="AB155" s="1621"/>
      <c r="AC155" s="1621"/>
      <c r="AD155" s="1621"/>
      <c r="AE155" s="1621"/>
      <c r="AF155" s="1621"/>
      <c r="AG155" s="1621"/>
      <c r="AH155" s="1621"/>
      <c r="AI155" s="1621"/>
      <c r="AJ155" s="1621"/>
      <c r="AK155" s="1621"/>
      <c r="AL155" s="1621"/>
      <c r="AM155" s="1621"/>
      <c r="AN155" s="1621"/>
      <c r="AO155" s="1621"/>
      <c r="AP155" s="1621"/>
      <c r="AQ155" s="1621"/>
      <c r="AR155" s="1621"/>
      <c r="AS155" s="1621"/>
      <c r="AT155" s="1509"/>
      <c r="AU155" s="1509"/>
      <c r="AV155" s="1509"/>
      <c r="AW155" s="1516"/>
      <c r="AX155" s="1499"/>
      <c r="AY155" s="1498"/>
      <c r="AZ155" s="1498"/>
      <c r="BA155" s="1498"/>
      <c r="BB155" s="1498"/>
      <c r="BC155" s="1517"/>
      <c r="BD155" s="1498"/>
      <c r="BE155" s="1498"/>
    </row>
    <row r="156" spans="1:57" s="1618" customFormat="1" ht="13" customHeight="1">
      <c r="A156" s="1499"/>
      <c r="B156" s="1498"/>
      <c r="C156" s="1491"/>
      <c r="D156" s="1491"/>
      <c r="E156" s="1491"/>
      <c r="F156" s="1491"/>
      <c r="G156" s="1491"/>
      <c r="H156" s="1491"/>
      <c r="I156" s="1527"/>
      <c r="J156" s="1622"/>
      <c r="K156" s="1622"/>
      <c r="L156" s="1622"/>
      <c r="M156" s="1622"/>
      <c r="N156" s="1622"/>
      <c r="O156" s="1622"/>
      <c r="P156" s="1622"/>
      <c r="Q156" s="1622"/>
      <c r="R156" s="1622"/>
      <c r="S156" s="1622"/>
      <c r="T156" s="1622"/>
      <c r="U156" s="1622"/>
      <c r="V156" s="1622"/>
      <c r="W156" s="1622"/>
      <c r="X156" s="1622"/>
      <c r="Y156" s="1622"/>
      <c r="Z156" s="1622"/>
      <c r="AA156" s="1622"/>
      <c r="AB156" s="1622"/>
      <c r="AC156" s="1622"/>
      <c r="AD156" s="1622"/>
      <c r="AE156" s="1622"/>
      <c r="AF156" s="1622"/>
      <c r="AG156" s="1622"/>
      <c r="AH156" s="1622"/>
      <c r="AI156" s="1622"/>
      <c r="AJ156" s="1622"/>
      <c r="AK156" s="1622"/>
      <c r="AL156" s="1622"/>
      <c r="AM156" s="1622"/>
      <c r="AN156" s="1622"/>
      <c r="AO156" s="1622"/>
      <c r="AP156" s="1622"/>
      <c r="AQ156" s="1622"/>
      <c r="AR156" s="1622"/>
      <c r="AS156" s="1622"/>
      <c r="AT156" s="1509"/>
      <c r="AU156" s="1509"/>
      <c r="AV156" s="1509"/>
      <c r="AW156" s="1516"/>
      <c r="AX156" s="1499"/>
      <c r="AY156" s="1498"/>
      <c r="AZ156" s="1498"/>
      <c r="BA156" s="1498"/>
      <c r="BB156" s="1498"/>
      <c r="BC156" s="1517"/>
      <c r="BD156" s="1498"/>
      <c r="BE156" s="1498"/>
    </row>
    <row r="157" spans="1:57" s="1618" customFormat="1" ht="14.25" customHeight="1">
      <c r="A157" s="1498"/>
      <c r="B157" s="1498" t="s">
        <v>1338</v>
      </c>
      <c r="C157" s="1498"/>
      <c r="D157" s="1498"/>
      <c r="E157" s="1498"/>
      <c r="F157" s="1498"/>
      <c r="G157" s="1498"/>
      <c r="H157" s="1498"/>
      <c r="I157" s="1498"/>
      <c r="J157" s="1498"/>
      <c r="K157" s="1498"/>
      <c r="L157" s="1498"/>
      <c r="M157" s="1498"/>
      <c r="N157" s="1498"/>
      <c r="O157" s="1498"/>
      <c r="P157" s="1498"/>
      <c r="Q157" s="1498"/>
      <c r="R157" s="1498"/>
      <c r="S157" s="1498"/>
      <c r="T157" s="1498"/>
      <c r="U157" s="1498"/>
      <c r="V157" s="1498"/>
      <c r="W157" s="1498"/>
      <c r="X157" s="1498"/>
      <c r="Y157" s="1498"/>
      <c r="Z157" s="1498"/>
      <c r="AA157" s="1498"/>
      <c r="AB157" s="1498"/>
      <c r="AC157" s="1498"/>
      <c r="AD157" s="1498"/>
      <c r="AE157" s="1498"/>
      <c r="AF157" s="1498"/>
      <c r="AG157" s="1499"/>
      <c r="AH157" s="1499"/>
      <c r="AI157" s="1498"/>
      <c r="AJ157" s="1498"/>
      <c r="AK157" s="1498"/>
      <c r="AL157" s="1498"/>
      <c r="AM157" s="1498"/>
      <c r="AN157" s="1498"/>
      <c r="AO157" s="1498"/>
      <c r="AP157" s="1498"/>
      <c r="AQ157" s="1498"/>
      <c r="AR157" s="1498"/>
      <c r="AS157" s="1498"/>
      <c r="AT157" s="1498"/>
      <c r="AU157" s="1498"/>
      <c r="AV157" s="1498"/>
      <c r="AW157" s="1498"/>
      <c r="AX157" s="1498"/>
      <c r="AY157" s="1498"/>
      <c r="AZ157" s="1498"/>
      <c r="BA157" s="1498"/>
      <c r="BB157" s="1498"/>
    </row>
    <row r="158" spans="1:57" s="1618" customFormat="1" ht="6" customHeight="1">
      <c r="A158" s="1498"/>
      <c r="B158" s="1498"/>
      <c r="C158" s="1498"/>
      <c r="D158" s="1498"/>
      <c r="E158" s="1498"/>
      <c r="F158" s="1498"/>
      <c r="G158" s="1498"/>
      <c r="H158" s="1498"/>
      <c r="I158" s="1498"/>
      <c r="J158" s="1498"/>
      <c r="K158" s="1498"/>
      <c r="L158" s="1498"/>
      <c r="M158" s="1498"/>
      <c r="N158" s="1498"/>
      <c r="O158" s="1498"/>
      <c r="P158" s="1498"/>
      <c r="Q158" s="1498"/>
      <c r="R158" s="1498"/>
      <c r="S158" s="1498"/>
      <c r="T158" s="1498"/>
      <c r="U158" s="1498"/>
      <c r="V158" s="1498"/>
      <c r="W158" s="1498"/>
      <c r="X158" s="1498"/>
      <c r="Y158" s="1498"/>
      <c r="Z158" s="1498"/>
      <c r="AA158" s="1498"/>
      <c r="AB158" s="1498"/>
      <c r="AC158" s="1498"/>
      <c r="AD158" s="1498"/>
      <c r="AE158" s="1498"/>
      <c r="AF158" s="1498"/>
      <c r="AG158" s="1499"/>
      <c r="AH158" s="1499"/>
      <c r="AI158" s="1498"/>
      <c r="AJ158" s="1498"/>
      <c r="AK158" s="1498"/>
      <c r="AL158" s="1498"/>
      <c r="AM158" s="1498"/>
      <c r="AN158" s="1498"/>
      <c r="AO158" s="1498"/>
      <c r="AP158" s="1498"/>
      <c r="AQ158" s="1498"/>
      <c r="AR158" s="1498"/>
      <c r="AS158" s="1498"/>
      <c r="AT158" s="1498"/>
      <c r="AU158" s="1498"/>
      <c r="AV158" s="1498"/>
      <c r="AW158" s="1498"/>
      <c r="AX158" s="1498"/>
      <c r="AY158" s="1498"/>
      <c r="AZ158" s="1498"/>
      <c r="BA158" s="1498"/>
      <c r="BB158" s="1498"/>
    </row>
    <row r="159" spans="1:57" s="1618" customFormat="1" ht="13" customHeight="1">
      <c r="A159" s="1499"/>
      <c r="B159" s="1498"/>
      <c r="C159" s="1491"/>
      <c r="D159" s="1491"/>
      <c r="E159" s="1491"/>
      <c r="F159" s="1491"/>
      <c r="G159" s="1491"/>
      <c r="H159" s="1491"/>
      <c r="I159" s="1527"/>
      <c r="J159" s="1622"/>
      <c r="K159" s="1622"/>
      <c r="L159" s="1622"/>
      <c r="M159" s="1622"/>
      <c r="N159" s="1622"/>
      <c r="O159" s="1622"/>
      <c r="P159" s="1622"/>
      <c r="Q159" s="1622"/>
      <c r="R159" s="1622"/>
      <c r="S159" s="1622"/>
      <c r="T159" s="1622"/>
      <c r="U159" s="1622"/>
      <c r="V159" s="1622"/>
      <c r="W159" s="1622"/>
      <c r="X159" s="1622"/>
      <c r="Y159" s="1622"/>
      <c r="Z159" s="1622"/>
      <c r="AA159" s="1622"/>
      <c r="AB159" s="1622"/>
      <c r="AC159" s="1622"/>
      <c r="AD159" s="1622"/>
      <c r="AE159" s="1622"/>
      <c r="AF159" s="1622"/>
      <c r="AG159" s="1622"/>
      <c r="AH159" s="1622"/>
      <c r="AI159" s="1622"/>
      <c r="AJ159" s="1622"/>
      <c r="AK159" s="1622"/>
      <c r="AL159" s="1622"/>
      <c r="AM159" s="1622"/>
      <c r="AN159" s="1622"/>
      <c r="AO159" s="1622"/>
      <c r="AP159" s="1622"/>
      <c r="AQ159" s="1622"/>
      <c r="AR159" s="1622"/>
      <c r="AS159" s="1622"/>
      <c r="AT159" s="1509"/>
      <c r="AU159" s="1509"/>
      <c r="AV159" s="1509"/>
      <c r="AW159" s="1516"/>
      <c r="AX159" s="1499"/>
      <c r="AY159" s="1498"/>
      <c r="AZ159" s="1498"/>
      <c r="BA159" s="1498"/>
      <c r="BB159" s="1498"/>
      <c r="BC159" s="1517"/>
      <c r="BD159" s="1498"/>
      <c r="BE159" s="1498"/>
    </row>
    <row r="160" spans="1:57" ht="12" customHeight="1">
      <c r="C160" s="1470" t="s">
        <v>1337</v>
      </c>
    </row>
    <row r="161" spans="1:57" ht="12" customHeight="1">
      <c r="D161" s="1478" t="s">
        <v>425</v>
      </c>
      <c r="N161" s="1483"/>
      <c r="O161" s="1483"/>
      <c r="P161" s="1483"/>
      <c r="Q161" s="1483"/>
      <c r="R161" s="1483"/>
      <c r="S161" s="1483"/>
      <c r="T161" s="1483"/>
      <c r="U161" s="1483"/>
      <c r="V161" s="1483"/>
      <c r="W161" s="1483"/>
      <c r="X161" s="1483"/>
      <c r="Y161" s="1483"/>
      <c r="Z161" s="1483"/>
      <c r="AA161" s="1483"/>
      <c r="AB161" s="1483"/>
      <c r="AC161" s="1483"/>
      <c r="AD161" s="1483"/>
      <c r="AE161" s="1483"/>
      <c r="AF161" s="1483"/>
      <c r="AG161" s="1483"/>
      <c r="AH161" s="1483"/>
      <c r="AI161" s="1483"/>
      <c r="AJ161" s="1483"/>
      <c r="AK161" s="1483"/>
      <c r="AL161" s="1483"/>
      <c r="AM161" s="1483"/>
      <c r="AN161" s="1483"/>
      <c r="AO161" s="1483"/>
      <c r="AP161" s="1483"/>
      <c r="AQ161" s="1483"/>
      <c r="AR161" s="1483"/>
      <c r="AS161" s="1483"/>
      <c r="AU161" s="1475"/>
      <c r="AV161" s="1475"/>
      <c r="AW161" s="1475"/>
      <c r="AX161" s="1475"/>
      <c r="AY161" s="1475"/>
    </row>
    <row r="162" spans="1:57" ht="12" customHeight="1">
      <c r="D162" s="1478"/>
      <c r="E162" s="1478"/>
      <c r="F162" s="1478"/>
      <c r="G162" s="1478"/>
      <c r="H162" s="1478"/>
      <c r="I162" s="1478"/>
      <c r="J162" s="1478"/>
      <c r="K162" s="1478"/>
      <c r="L162" s="1478"/>
      <c r="M162" s="1479"/>
      <c r="N162" s="1478"/>
      <c r="O162" s="1479" t="s">
        <v>25</v>
      </c>
      <c r="P162" s="2827" t="str">
        <f>IF('1_入力シート【基本情報】'!DM98=1,'1_入力シート【基本情報】'!DN98,"")</f>
        <v/>
      </c>
      <c r="Q162" s="2827"/>
      <c r="R162" s="1478" t="s">
        <v>412</v>
      </c>
      <c r="S162" s="1478"/>
      <c r="T162" s="1478"/>
      <c r="U162" s="1478"/>
      <c r="V162" s="1480"/>
      <c r="W162" s="1478"/>
      <c r="X162" s="1478"/>
      <c r="Y162" s="1479" t="s">
        <v>25</v>
      </c>
      <c r="Z162" s="2955" t="str">
        <f>'＜入力不要＞報告書'!$Z$162</f>
        <v/>
      </c>
      <c r="AA162" s="2955"/>
      <c r="AB162" s="2955"/>
      <c r="AC162" s="2955"/>
      <c r="AD162" s="2955"/>
      <c r="AE162" s="2955"/>
      <c r="AF162" s="2955"/>
      <c r="AG162" s="2955"/>
      <c r="AH162" s="1481" t="s">
        <v>413</v>
      </c>
      <c r="AI162" s="1478"/>
      <c r="AJ162" s="1478"/>
      <c r="AK162" s="1478"/>
      <c r="AL162" s="1479" t="s">
        <v>414</v>
      </c>
      <c r="AM162" s="2956" t="str">
        <f>'＜入力不要＞報告書'!$AM$162</f>
        <v/>
      </c>
      <c r="AN162" s="2956"/>
      <c r="AO162" s="2956"/>
      <c r="AP162" s="2956"/>
      <c r="AQ162" s="2956"/>
      <c r="AR162" s="2956"/>
      <c r="AS162" s="1478" t="s">
        <v>415</v>
      </c>
    </row>
    <row r="163" spans="1:57" ht="12" customHeight="1">
      <c r="D163" s="1478"/>
      <c r="E163" s="1478"/>
      <c r="F163" s="1478"/>
      <c r="G163" s="1478"/>
      <c r="H163" s="1478"/>
      <c r="I163" s="1478"/>
      <c r="J163" s="1478"/>
      <c r="K163" s="1478"/>
      <c r="L163" s="1478"/>
      <c r="M163" s="1478"/>
      <c r="N163" s="1478"/>
      <c r="O163" s="1478" t="s">
        <v>264</v>
      </c>
      <c r="P163" s="1478"/>
      <c r="Q163" s="1478"/>
      <c r="R163" s="1478"/>
      <c r="S163" s="1478"/>
      <c r="T163" s="1478"/>
      <c r="U163" s="1478"/>
      <c r="V163" s="1478"/>
      <c r="W163" s="1478"/>
      <c r="X163" s="1478"/>
      <c r="Y163" s="1478"/>
      <c r="Z163" s="1478"/>
      <c r="AA163" s="1478"/>
      <c r="AB163" s="1478"/>
      <c r="AC163" s="1478"/>
      <c r="AD163" s="1478"/>
      <c r="AE163" s="1478"/>
      <c r="AF163" s="1478"/>
      <c r="AG163" s="1480"/>
      <c r="AH163" s="1478"/>
      <c r="AI163" s="1478"/>
      <c r="AJ163" s="1478"/>
      <c r="AK163" s="1478"/>
      <c r="AL163" s="1479" t="s">
        <v>414</v>
      </c>
      <c r="AM163" s="2831" t="str">
        <f>'＜入力不要＞報告書'!$AM$163</f>
        <v/>
      </c>
      <c r="AN163" s="2831"/>
      <c r="AO163" s="2831"/>
      <c r="AP163" s="2831"/>
      <c r="AQ163" s="2831"/>
      <c r="AR163" s="2831"/>
      <c r="AS163" s="1478" t="s">
        <v>415</v>
      </c>
    </row>
    <row r="164" spans="1:57" ht="12" customHeight="1">
      <c r="D164" s="1478" t="s">
        <v>416</v>
      </c>
      <c r="E164" s="1478"/>
      <c r="F164" s="1478"/>
      <c r="G164" s="1478"/>
      <c r="H164" s="1478"/>
      <c r="I164" s="1478"/>
      <c r="J164" s="1479"/>
      <c r="K164" s="1478"/>
      <c r="L164" s="1480"/>
      <c r="M164" s="1479"/>
      <c r="N164" s="1478"/>
      <c r="O164" s="2790" t="str">
        <f>'1_入力シート【基本情報】'!$DS$101</f>
        <v/>
      </c>
      <c r="P164" s="2790"/>
      <c r="Q164" s="2790"/>
      <c r="R164" s="2790"/>
      <c r="S164" s="2790"/>
      <c r="T164" s="2790"/>
      <c r="U164" s="2790"/>
      <c r="V164" s="2790"/>
      <c r="W164" s="2790"/>
      <c r="X164" s="2790"/>
      <c r="Y164" s="2790"/>
      <c r="Z164" s="2790"/>
      <c r="AA164" s="2790"/>
      <c r="AB164" s="2790"/>
      <c r="AC164" s="2790"/>
      <c r="AD164" s="2790"/>
      <c r="AE164" s="2790"/>
      <c r="AF164" s="2790"/>
      <c r="AG164" s="2790"/>
      <c r="AH164" s="2790"/>
      <c r="AI164" s="2790"/>
      <c r="AJ164" s="2790"/>
      <c r="AK164" s="2790"/>
      <c r="AL164" s="2790"/>
      <c r="AM164" s="2790"/>
      <c r="AN164" s="2790"/>
      <c r="AO164" s="2790"/>
      <c r="AP164" s="2790"/>
      <c r="AQ164" s="2790"/>
      <c r="AR164" s="2790"/>
      <c r="AS164" s="2790"/>
    </row>
    <row r="165" spans="1:57" ht="12" customHeight="1">
      <c r="D165" s="1478" t="s">
        <v>417</v>
      </c>
      <c r="E165" s="1478"/>
      <c r="F165" s="1478"/>
      <c r="G165" s="1478"/>
      <c r="H165" s="1478"/>
      <c r="I165" s="1478"/>
      <c r="J165" s="1479"/>
      <c r="K165" s="1478"/>
      <c r="L165" s="1480"/>
      <c r="M165" s="1479"/>
      <c r="N165" s="1478"/>
      <c r="O165" s="2839" t="str">
        <f>'1_入力シート【基本情報】'!$DS$102</f>
        <v/>
      </c>
      <c r="P165" s="2839"/>
      <c r="Q165" s="2839"/>
      <c r="R165" s="2839"/>
      <c r="S165" s="2839"/>
      <c r="T165" s="2839"/>
      <c r="U165" s="2839"/>
      <c r="V165" s="2839"/>
      <c r="W165" s="2839"/>
      <c r="X165" s="2839"/>
      <c r="Y165" s="2839"/>
      <c r="Z165" s="2839"/>
      <c r="AA165" s="2839"/>
      <c r="AB165" s="2839"/>
      <c r="AC165" s="2839"/>
      <c r="AD165" s="2839"/>
      <c r="AE165" s="2839"/>
      <c r="AF165" s="2839"/>
      <c r="AG165" s="2839"/>
      <c r="AH165" s="2839"/>
      <c r="AI165" s="2839"/>
      <c r="AJ165" s="2839"/>
      <c r="AK165" s="2839"/>
      <c r="AL165" s="2839"/>
      <c r="AM165" s="2839"/>
      <c r="AN165" s="2839"/>
      <c r="AO165" s="2839"/>
      <c r="AP165" s="2839"/>
      <c r="AQ165" s="2839"/>
      <c r="AR165" s="2839"/>
      <c r="AS165" s="2839"/>
    </row>
    <row r="166" spans="1:57" ht="12" customHeight="1">
      <c r="D166" s="1478" t="s">
        <v>418</v>
      </c>
      <c r="E166" s="1478"/>
      <c r="F166" s="1478"/>
      <c r="G166" s="1478"/>
      <c r="H166" s="1478"/>
      <c r="I166" s="1478"/>
      <c r="J166" s="1479"/>
      <c r="K166" s="1478"/>
      <c r="L166" s="1480"/>
      <c r="M166" s="1478"/>
      <c r="N166" s="1478"/>
      <c r="O166" s="2790" t="str">
        <f>IF('1_入力シート【基本情報】'!DS96=TRUE,'1_入力シート【基本情報】'!DS67,'1_入力シート【基本情報】'!DS103)</f>
        <v/>
      </c>
      <c r="P166" s="2790"/>
      <c r="Q166" s="2790"/>
      <c r="R166" s="2790"/>
      <c r="S166" s="2790"/>
      <c r="T166" s="2790"/>
      <c r="U166" s="2790"/>
      <c r="V166" s="2790"/>
      <c r="W166" s="2790"/>
      <c r="X166" s="2790"/>
      <c r="Y166" s="2790"/>
      <c r="Z166" s="2790"/>
      <c r="AA166" s="2790"/>
      <c r="AB166" s="2790"/>
      <c r="AC166" s="2790"/>
      <c r="AD166" s="2790"/>
      <c r="AE166" s="2790"/>
      <c r="AF166" s="2790"/>
      <c r="AG166" s="2790"/>
      <c r="AH166" s="2790"/>
      <c r="AI166" s="2790"/>
      <c r="AJ166" s="2790"/>
      <c r="AK166" s="2790"/>
      <c r="AL166" s="2790"/>
      <c r="AM166" s="2790"/>
      <c r="AN166" s="2790"/>
      <c r="AO166" s="2790"/>
      <c r="AP166" s="2790"/>
      <c r="AQ166" s="2790"/>
      <c r="AR166" s="2790"/>
      <c r="AS166" s="2790"/>
    </row>
    <row r="167" spans="1:57" ht="12" customHeight="1">
      <c r="D167" s="1478"/>
      <c r="E167" s="1478"/>
      <c r="F167" s="1478"/>
      <c r="G167" s="1478"/>
      <c r="H167" s="1478"/>
      <c r="I167" s="1478"/>
      <c r="J167" s="1479"/>
      <c r="K167" s="1478"/>
      <c r="L167" s="1479"/>
      <c r="M167" s="1478"/>
      <c r="N167" s="1478"/>
      <c r="O167" s="1479" t="s">
        <v>25</v>
      </c>
      <c r="P167" s="2827" t="str">
        <f>IF('1_入力シート【基本情報】'!DS96=FALSE,IF('1_入力シート【基本情報】'!DS104="","",'1_入力シート【基本情報】'!DS104),IF('1_入力シート【基本情報】'!DS68="","",'1_入力シート【基本情報】'!DS68))</f>
        <v/>
      </c>
      <c r="Q167" s="2827"/>
      <c r="R167" s="1478" t="s">
        <v>419</v>
      </c>
      <c r="S167" s="1478"/>
      <c r="T167" s="1478"/>
      <c r="U167" s="1478"/>
      <c r="V167" s="1478"/>
      <c r="W167" s="1478"/>
      <c r="X167" s="1479"/>
      <c r="Y167" s="1479" t="s">
        <v>25</v>
      </c>
      <c r="Z167" s="2827" t="str">
        <f>IF('1_入力シート【基本情報】'!DS96=TRUE,'1_入力シート【基本情報】'!DS69,'1_入力シート【基本情報】'!DS105)</f>
        <v/>
      </c>
      <c r="AA167" s="2827"/>
      <c r="AB167" s="2827"/>
      <c r="AC167" s="2827"/>
      <c r="AD167" s="2827"/>
      <c r="AE167" s="2827"/>
      <c r="AF167" s="1481" t="s">
        <v>420</v>
      </c>
      <c r="AG167" s="1481"/>
      <c r="AH167" s="1478"/>
      <c r="AI167" s="1480"/>
      <c r="AJ167" s="1478"/>
      <c r="AK167" s="1478"/>
      <c r="AL167" s="1479" t="s">
        <v>414</v>
      </c>
      <c r="AM167" s="2831" t="str">
        <f>IF('1_入力シート【基本情報】'!DS96=TRUE,'1_入力シート【基本情報】'!DS70,'1_入力シート【基本情報】'!DS106)</f>
        <v/>
      </c>
      <c r="AN167" s="2831"/>
      <c r="AO167" s="2831"/>
      <c r="AP167" s="2831"/>
      <c r="AQ167" s="2831"/>
      <c r="AR167" s="2831"/>
      <c r="AS167" s="1478" t="s">
        <v>415</v>
      </c>
    </row>
    <row r="168" spans="1:57" ht="12" customHeight="1">
      <c r="D168" s="1478" t="s">
        <v>421</v>
      </c>
      <c r="E168" s="1478"/>
      <c r="F168" s="1478"/>
      <c r="G168" s="1478"/>
      <c r="H168" s="1478"/>
      <c r="I168" s="1478"/>
      <c r="J168" s="1478"/>
      <c r="K168" s="1478"/>
      <c r="L168" s="1478"/>
      <c r="M168" s="1478"/>
      <c r="N168" s="1478"/>
      <c r="O168" s="2792" t="str">
        <f>IF('1_入力シート【基本情報】'!DS96=TRUE,'1_入力シート【基本情報】'!DS71,'1_入力シート【基本情報】'!DS107)</f>
        <v>-</v>
      </c>
      <c r="P168" s="2792"/>
      <c r="Q168" s="2792"/>
      <c r="R168" s="2792"/>
      <c r="S168" s="2792"/>
      <c r="T168" s="2792"/>
      <c r="U168" s="2792"/>
      <c r="V168" s="1478"/>
      <c r="W168" s="1478"/>
      <c r="X168" s="1478"/>
      <c r="Y168" s="1478"/>
      <c r="Z168" s="1478"/>
      <c r="AA168" s="1478"/>
      <c r="AB168" s="1478"/>
      <c r="AC168" s="1478"/>
      <c r="AD168" s="1478"/>
      <c r="AE168" s="1478"/>
      <c r="AF168" s="1478"/>
      <c r="AG168" s="1478"/>
      <c r="AH168" s="1478"/>
      <c r="AI168" s="1478"/>
      <c r="AJ168" s="1478"/>
      <c r="AK168" s="1479"/>
      <c r="AL168" s="1479"/>
      <c r="AM168" s="1478"/>
      <c r="AN168" s="1478"/>
      <c r="AO168" s="1478"/>
      <c r="AP168" s="1478"/>
      <c r="AQ168" s="1478"/>
      <c r="AR168" s="1478"/>
      <c r="AS168" s="1478"/>
    </row>
    <row r="169" spans="1:57" ht="12" customHeight="1">
      <c r="D169" s="1478" t="s">
        <v>422</v>
      </c>
      <c r="E169" s="1478"/>
      <c r="F169" s="1478"/>
      <c r="G169" s="1478"/>
      <c r="H169" s="1478"/>
      <c r="I169" s="1478"/>
      <c r="J169" s="1478"/>
      <c r="K169" s="1478"/>
      <c r="L169" s="1480"/>
      <c r="M169" s="1478"/>
      <c r="N169" s="1478"/>
      <c r="O169" s="2790" t="str">
        <f>IF('1_入力シート【基本情報】'!DS96=TRUE,'1_入力シート【基本情報】'!DS72,'1_入力シート【基本情報】'!DS108)</f>
        <v/>
      </c>
      <c r="P169" s="2790"/>
      <c r="Q169" s="2790"/>
      <c r="R169" s="2790"/>
      <c r="S169" s="2790"/>
      <c r="T169" s="2790"/>
      <c r="U169" s="2790"/>
      <c r="V169" s="2790"/>
      <c r="W169" s="2790"/>
      <c r="X169" s="2790"/>
      <c r="Y169" s="2790"/>
      <c r="Z169" s="2790"/>
      <c r="AA169" s="2790"/>
      <c r="AB169" s="2790"/>
      <c r="AC169" s="2790"/>
      <c r="AD169" s="2790"/>
      <c r="AE169" s="2790"/>
      <c r="AF169" s="2790"/>
      <c r="AG169" s="2790"/>
      <c r="AH169" s="2790"/>
      <c r="AI169" s="2790"/>
      <c r="AJ169" s="2790"/>
      <c r="AK169" s="2790"/>
      <c r="AL169" s="2790"/>
      <c r="AM169" s="2790"/>
      <c r="AN169" s="2790"/>
      <c r="AO169" s="2790"/>
      <c r="AP169" s="2790"/>
      <c r="AQ169" s="2790"/>
      <c r="AR169" s="2790"/>
      <c r="AS169" s="2790"/>
    </row>
    <row r="170" spans="1:57" ht="12" customHeight="1">
      <c r="D170" s="1478" t="s">
        <v>423</v>
      </c>
      <c r="E170" s="1478"/>
      <c r="F170" s="1478"/>
      <c r="G170" s="1478"/>
      <c r="H170" s="1478"/>
      <c r="I170" s="1478"/>
      <c r="J170" s="1478"/>
      <c r="K170" s="1478"/>
      <c r="L170" s="1482"/>
      <c r="M170" s="1478"/>
      <c r="N170" s="1478"/>
      <c r="O170" s="2839" t="str">
        <f>IF('1_入力シート【基本情報】'!DS96=TRUE,'1_入力シート【基本情報】'!DS73,'1_入力シート【基本情報】'!DS109)</f>
        <v>--</v>
      </c>
      <c r="P170" s="2839"/>
      <c r="Q170" s="2839"/>
      <c r="R170" s="2839"/>
      <c r="S170" s="2839"/>
      <c r="T170" s="2839"/>
      <c r="U170" s="2839"/>
      <c r="V170" s="2839"/>
      <c r="W170" s="2839"/>
      <c r="X170" s="2839"/>
      <c r="Y170" s="2839"/>
      <c r="Z170" s="2839"/>
      <c r="AA170" s="2839"/>
      <c r="AB170" s="2839"/>
      <c r="AC170" s="1482"/>
      <c r="AD170" s="1482"/>
      <c r="AE170" s="1482"/>
      <c r="AF170" s="1482"/>
      <c r="AG170" s="1482"/>
      <c r="AH170" s="1482"/>
      <c r="AI170" s="1482"/>
      <c r="AJ170" s="1482"/>
      <c r="AK170" s="1482"/>
      <c r="AL170" s="1482"/>
      <c r="AM170" s="1482"/>
      <c r="AN170" s="1482"/>
      <c r="AO170" s="1482"/>
      <c r="AP170" s="1482"/>
      <c r="AQ170" s="1482"/>
      <c r="AR170" s="1482"/>
      <c r="AS170" s="1482"/>
    </row>
    <row r="171" spans="1:57" s="1618" customFormat="1" ht="13" customHeight="1">
      <c r="A171" s="1499"/>
      <c r="B171" s="1498"/>
      <c r="C171" s="1491"/>
      <c r="D171" s="1491"/>
      <c r="E171" s="1491"/>
      <c r="F171" s="1491"/>
      <c r="G171" s="1491"/>
      <c r="H171" s="1491"/>
      <c r="I171" s="1527"/>
      <c r="J171" s="1622"/>
      <c r="K171" s="1622"/>
      <c r="L171" s="1622"/>
      <c r="M171" s="1622"/>
      <c r="N171" s="1622"/>
      <c r="O171" s="1622"/>
      <c r="P171" s="1622"/>
      <c r="Q171" s="1622"/>
      <c r="R171" s="1622"/>
      <c r="S171" s="1622"/>
      <c r="T171" s="1622"/>
      <c r="U171" s="1622"/>
      <c r="V171" s="1622"/>
      <c r="W171" s="1622"/>
      <c r="X171" s="1622"/>
      <c r="Y171" s="1622"/>
      <c r="Z171" s="1622"/>
      <c r="AA171" s="1622"/>
      <c r="AB171" s="1622"/>
      <c r="AC171" s="1622"/>
      <c r="AD171" s="1622"/>
      <c r="AE171" s="1622"/>
      <c r="AF171" s="1622"/>
      <c r="AG171" s="1622"/>
      <c r="AH171" s="1622"/>
      <c r="AI171" s="1622"/>
      <c r="AJ171" s="1622"/>
      <c r="AK171" s="1622"/>
      <c r="AL171" s="1622"/>
      <c r="AM171" s="1622"/>
      <c r="AN171" s="1622"/>
      <c r="AO171" s="1622"/>
      <c r="AP171" s="1622"/>
      <c r="AQ171" s="1622"/>
      <c r="AR171" s="1622"/>
      <c r="AS171" s="1622"/>
      <c r="AT171" s="1509"/>
      <c r="AU171" s="1509"/>
      <c r="AV171" s="1509"/>
      <c r="AW171" s="1516"/>
      <c r="AX171" s="1499"/>
      <c r="AY171" s="1498"/>
      <c r="AZ171" s="1498"/>
      <c r="BA171" s="1498"/>
      <c r="BB171" s="1498"/>
      <c r="BC171" s="1517"/>
      <c r="BD171" s="1498"/>
      <c r="BE171" s="1498"/>
    </row>
    <row r="172" spans="1:57" s="1618" customFormat="1" ht="13" customHeight="1">
      <c r="A172" s="1499"/>
      <c r="B172" s="1498"/>
      <c r="C172" s="1491"/>
      <c r="D172" s="1491"/>
      <c r="E172" s="1491"/>
      <c r="F172" s="1491"/>
      <c r="G172" s="1491"/>
      <c r="H172" s="1491"/>
      <c r="I172" s="1527"/>
      <c r="J172" s="1622"/>
      <c r="K172" s="1622"/>
      <c r="L172" s="1622"/>
      <c r="M172" s="1622"/>
      <c r="N172" s="1622"/>
      <c r="O172" s="1622"/>
      <c r="P172" s="1622"/>
      <c r="Q172" s="1622"/>
      <c r="R172" s="1622"/>
      <c r="S172" s="1622"/>
      <c r="T172" s="1622"/>
      <c r="U172" s="1622"/>
      <c r="V172" s="1622"/>
      <c r="W172" s="1622"/>
      <c r="X172" s="1622"/>
      <c r="Y172" s="1622"/>
      <c r="Z172" s="1622"/>
      <c r="AA172" s="1622"/>
      <c r="AB172" s="1622"/>
      <c r="AC172" s="1622"/>
      <c r="AD172" s="1622"/>
      <c r="AE172" s="1622"/>
      <c r="AF172" s="1622"/>
      <c r="AG172" s="1622"/>
      <c r="AH172" s="1622"/>
      <c r="AI172" s="1622"/>
      <c r="AJ172" s="1622"/>
      <c r="AK172" s="1622"/>
      <c r="AL172" s="1622"/>
      <c r="AM172" s="1622"/>
      <c r="AN172" s="1622"/>
      <c r="AO172" s="1622"/>
      <c r="AP172" s="1622"/>
      <c r="AQ172" s="1622"/>
      <c r="AR172" s="1622"/>
      <c r="AS172" s="1622"/>
      <c r="AT172" s="1509"/>
      <c r="AU172" s="1509"/>
      <c r="AV172" s="1509"/>
      <c r="AW172" s="1516"/>
      <c r="AX172" s="1499"/>
      <c r="AY172" s="1498"/>
      <c r="AZ172" s="1498"/>
      <c r="BA172" s="1498"/>
      <c r="BB172" s="1498"/>
      <c r="BC172" s="1517"/>
      <c r="BD172" s="1498"/>
      <c r="BE172" s="1498"/>
    </row>
    <row r="173" spans="1:57" s="1618" customFormat="1" ht="13" customHeight="1">
      <c r="A173" s="1499"/>
      <c r="B173" s="1498"/>
      <c r="C173" s="1491"/>
      <c r="D173" s="1491"/>
      <c r="E173" s="1491"/>
      <c r="F173" s="1491"/>
      <c r="G173" s="1491"/>
      <c r="H173" s="1491"/>
      <c r="I173" s="1527"/>
      <c r="J173" s="1622"/>
      <c r="K173" s="1622"/>
      <c r="L173" s="1622"/>
      <c r="M173" s="1622"/>
      <c r="N173" s="1622"/>
      <c r="O173" s="1622"/>
      <c r="P173" s="1622"/>
      <c r="Q173" s="1622"/>
      <c r="R173" s="1622"/>
      <c r="S173" s="1622"/>
      <c r="T173" s="1622"/>
      <c r="U173" s="1622"/>
      <c r="V173" s="1622"/>
      <c r="W173" s="1622"/>
      <c r="X173" s="1622"/>
      <c r="Y173" s="1622"/>
      <c r="Z173" s="1622"/>
      <c r="AA173" s="1622"/>
      <c r="AB173" s="1622"/>
      <c r="AC173" s="1622"/>
      <c r="AD173" s="1622"/>
      <c r="AE173" s="1622"/>
      <c r="AF173" s="1622"/>
      <c r="AG173" s="1622"/>
      <c r="AH173" s="1622"/>
      <c r="AI173" s="1622"/>
      <c r="AJ173" s="1622"/>
      <c r="AK173" s="1622"/>
      <c r="AL173" s="1622"/>
      <c r="AM173" s="1622"/>
      <c r="AN173" s="1622"/>
      <c r="AO173" s="1622"/>
      <c r="AP173" s="1622"/>
      <c r="AQ173" s="1622"/>
      <c r="AR173" s="1622"/>
      <c r="AS173" s="1622"/>
      <c r="AT173" s="1509"/>
      <c r="AU173" s="1509"/>
      <c r="AV173" s="1509"/>
      <c r="AW173" s="1516"/>
      <c r="AX173" s="1499"/>
      <c r="AY173" s="1498"/>
      <c r="AZ173" s="1498"/>
      <c r="BA173" s="1498"/>
      <c r="BB173" s="1498"/>
      <c r="BC173" s="1517"/>
      <c r="BD173" s="1498"/>
      <c r="BE173" s="1498"/>
    </row>
    <row r="174" spans="1:57" s="1618" customFormat="1" ht="14.25" customHeight="1">
      <c r="A174" s="1498"/>
      <c r="B174" s="1498" t="s">
        <v>1339</v>
      </c>
      <c r="C174" s="1498"/>
      <c r="D174" s="1498"/>
      <c r="E174" s="1498"/>
      <c r="F174" s="1498"/>
      <c r="G174" s="1498"/>
      <c r="H174" s="1498"/>
      <c r="I174" s="1498"/>
      <c r="J174" s="1498"/>
      <c r="K174" s="1498"/>
      <c r="L174" s="1498"/>
      <c r="M174" s="1498"/>
      <c r="N174" s="1498"/>
      <c r="O174" s="1498"/>
      <c r="P174" s="1498"/>
      <c r="Q174" s="1498"/>
      <c r="R174" s="1498"/>
      <c r="S174" s="1498"/>
      <c r="T174" s="1498"/>
      <c r="U174" s="1498"/>
      <c r="V174" s="1498"/>
      <c r="W174" s="1498"/>
      <c r="X174" s="1498"/>
      <c r="Y174" s="1498"/>
      <c r="Z174" s="1498"/>
      <c r="AA174" s="1498"/>
      <c r="AB174" s="1498"/>
      <c r="AC174" s="1498"/>
      <c r="AD174" s="1498"/>
      <c r="AE174" s="1498"/>
      <c r="AF174" s="1498"/>
      <c r="AG174" s="1499"/>
      <c r="AH174" s="1499"/>
      <c r="AI174" s="1498"/>
      <c r="AJ174" s="1498"/>
      <c r="AK174" s="1498"/>
      <c r="AL174" s="1498"/>
      <c r="AM174" s="1498"/>
      <c r="AN174" s="1498"/>
      <c r="AO174" s="1498"/>
      <c r="AP174" s="1498"/>
      <c r="AQ174" s="1498"/>
      <c r="AR174" s="1498"/>
      <c r="AS174" s="1498"/>
      <c r="AT174" s="1498"/>
      <c r="AU174" s="1498"/>
      <c r="AV174" s="1498"/>
      <c r="AW174" s="1498"/>
      <c r="AX174" s="1498"/>
      <c r="AY174" s="1498"/>
      <c r="AZ174" s="1498"/>
      <c r="BA174" s="1498"/>
      <c r="BB174" s="1498"/>
    </row>
    <row r="175" spans="1:57" s="1618" customFormat="1" ht="6" customHeight="1">
      <c r="A175" s="1498"/>
      <c r="B175" s="1498"/>
      <c r="C175" s="1498"/>
      <c r="D175" s="1498"/>
      <c r="E175" s="1498"/>
      <c r="F175" s="1498"/>
      <c r="G175" s="1498"/>
      <c r="H175" s="1498"/>
      <c r="I175" s="1498"/>
      <c r="J175" s="1498"/>
      <c r="K175" s="1498"/>
      <c r="L175" s="1498"/>
      <c r="M175" s="1498"/>
      <c r="N175" s="1498"/>
      <c r="O175" s="1498"/>
      <c r="P175" s="1498"/>
      <c r="Q175" s="1498"/>
      <c r="R175" s="1498"/>
      <c r="S175" s="1498"/>
      <c r="T175" s="1498"/>
      <c r="U175" s="1498"/>
      <c r="V175" s="1498"/>
      <c r="W175" s="1498"/>
      <c r="X175" s="1498"/>
      <c r="Y175" s="1498"/>
      <c r="Z175" s="1498"/>
      <c r="AA175" s="1498"/>
      <c r="AB175" s="1498"/>
      <c r="AC175" s="1498"/>
      <c r="AD175" s="1498"/>
      <c r="AE175" s="1498"/>
      <c r="AF175" s="1498"/>
      <c r="AG175" s="1499"/>
      <c r="AH175" s="1499"/>
      <c r="AI175" s="1498"/>
      <c r="AJ175" s="1498"/>
      <c r="AK175" s="1498"/>
      <c r="AL175" s="1498"/>
      <c r="AM175" s="1498"/>
      <c r="AN175" s="1498"/>
      <c r="AO175" s="1498"/>
      <c r="AP175" s="1498"/>
      <c r="AQ175" s="1498"/>
      <c r="AR175" s="1498"/>
      <c r="AS175" s="1498"/>
      <c r="AT175" s="1498"/>
      <c r="AU175" s="1498"/>
      <c r="AV175" s="1498"/>
      <c r="AW175" s="1498"/>
      <c r="AX175" s="1498"/>
      <c r="AY175" s="1498"/>
      <c r="AZ175" s="1498"/>
      <c r="BA175" s="1498"/>
      <c r="BB175" s="1498"/>
    </row>
    <row r="176" spans="1:57" s="1618" customFormat="1" ht="13" customHeight="1">
      <c r="A176" s="1499"/>
      <c r="B176" s="1498"/>
      <c r="C176" s="1491"/>
      <c r="D176" s="1491"/>
      <c r="E176" s="1491"/>
      <c r="F176" s="1491"/>
      <c r="G176" s="1491"/>
      <c r="H176" s="1491"/>
      <c r="I176" s="1527"/>
      <c r="J176" s="1622"/>
      <c r="K176" s="1622"/>
      <c r="L176" s="1622"/>
      <c r="M176" s="1622"/>
      <c r="N176" s="1622"/>
      <c r="O176" s="1622"/>
      <c r="P176" s="1622"/>
      <c r="Q176" s="1622"/>
      <c r="R176" s="1622"/>
      <c r="S176" s="1622"/>
      <c r="T176" s="1622"/>
      <c r="U176" s="1622"/>
      <c r="V176" s="1622"/>
      <c r="W176" s="1622"/>
      <c r="X176" s="1622"/>
      <c r="Y176" s="1622"/>
      <c r="Z176" s="1622"/>
      <c r="AA176" s="1622"/>
      <c r="AB176" s="1622"/>
      <c r="AC176" s="1622"/>
      <c r="AD176" s="1622"/>
      <c r="AE176" s="1622"/>
      <c r="AF176" s="1622"/>
      <c r="AG176" s="1622"/>
      <c r="AH176" s="1622"/>
      <c r="AI176" s="1622"/>
      <c r="AJ176" s="1622"/>
      <c r="AK176" s="1622"/>
      <c r="AL176" s="1622"/>
      <c r="AM176" s="1622"/>
      <c r="AN176" s="1622"/>
      <c r="AO176" s="1622"/>
      <c r="AP176" s="1622"/>
      <c r="AQ176" s="1622"/>
      <c r="AR176" s="1622"/>
      <c r="AS176" s="1622"/>
      <c r="AT176" s="1509"/>
      <c r="AU176" s="1509"/>
      <c r="AV176" s="1509"/>
      <c r="AW176" s="1516"/>
      <c r="AX176" s="1499"/>
      <c r="AY176" s="1498"/>
      <c r="AZ176" s="1498"/>
      <c r="BA176" s="1498"/>
      <c r="BB176" s="1498"/>
      <c r="BC176" s="1517"/>
      <c r="BD176" s="1498"/>
      <c r="BE176" s="1498"/>
    </row>
    <row r="177" spans="1:67" s="1618" customFormat="1" ht="13" customHeight="1">
      <c r="A177" s="1499"/>
      <c r="B177" s="1498"/>
      <c r="C177" s="2819" t="s">
        <v>1336</v>
      </c>
      <c r="D177" s="2931"/>
      <c r="E177" s="2931"/>
      <c r="F177" s="2931"/>
      <c r="G177" s="2931"/>
      <c r="H177" s="2931"/>
      <c r="I177" s="2932"/>
      <c r="J177" s="2946" t="str">
        <f>'1_入力シート【基本情報】'!$DY$243</f>
        <v/>
      </c>
      <c r="K177" s="2947"/>
      <c r="L177" s="2947"/>
      <c r="M177" s="2947"/>
      <c r="N177" s="2947"/>
      <c r="O177" s="2947"/>
      <c r="P177" s="2947"/>
      <c r="Q177" s="2947"/>
      <c r="R177" s="2947"/>
      <c r="S177" s="2947"/>
      <c r="T177" s="2947"/>
      <c r="U177" s="2947"/>
      <c r="V177" s="2947"/>
      <c r="W177" s="2947"/>
      <c r="X177" s="2947"/>
      <c r="Y177" s="2947"/>
      <c r="Z177" s="2947"/>
      <c r="AA177" s="2947"/>
      <c r="AB177" s="2947"/>
      <c r="AC177" s="2947"/>
      <c r="AD177" s="2947"/>
      <c r="AE177" s="2947"/>
      <c r="AF177" s="2947"/>
      <c r="AG177" s="2947"/>
      <c r="AH177" s="2947"/>
      <c r="AI177" s="2947"/>
      <c r="AJ177" s="2947"/>
      <c r="AK177" s="2947"/>
      <c r="AL177" s="2947"/>
      <c r="AM177" s="2947"/>
      <c r="AN177" s="2947"/>
      <c r="AO177" s="2947"/>
      <c r="AP177" s="2947"/>
      <c r="AQ177" s="2947"/>
      <c r="AR177" s="2947"/>
      <c r="AS177" s="2948"/>
      <c r="AT177" s="1509"/>
      <c r="AU177" s="1509"/>
      <c r="AV177" s="1509"/>
      <c r="AW177" s="1516"/>
      <c r="AX177" s="1499"/>
      <c r="AY177" s="1498"/>
      <c r="AZ177" s="1498"/>
      <c r="BA177" s="1498"/>
      <c r="BB177" s="1498"/>
      <c r="BC177" s="1517"/>
      <c r="BD177" s="1498"/>
      <c r="BE177" s="1498"/>
    </row>
    <row r="178" spans="1:67" s="1618" customFormat="1" ht="13" customHeight="1">
      <c r="A178" s="1499"/>
      <c r="B178" s="1498"/>
      <c r="C178" s="1577"/>
      <c r="D178" s="1491"/>
      <c r="E178" s="1491"/>
      <c r="F178" s="1491"/>
      <c r="G178" s="1491"/>
      <c r="H178" s="1491"/>
      <c r="I178" s="1512"/>
      <c r="J178" s="2949"/>
      <c r="K178" s="2950"/>
      <c r="L178" s="2950"/>
      <c r="M178" s="2950"/>
      <c r="N178" s="2950"/>
      <c r="O178" s="2950"/>
      <c r="P178" s="2950"/>
      <c r="Q178" s="2950"/>
      <c r="R178" s="2950"/>
      <c r="S178" s="2950"/>
      <c r="T178" s="2950"/>
      <c r="U178" s="2950"/>
      <c r="V178" s="2950"/>
      <c r="W178" s="2950"/>
      <c r="X178" s="2950"/>
      <c r="Y178" s="2950"/>
      <c r="Z178" s="2950"/>
      <c r="AA178" s="2950"/>
      <c r="AB178" s="2950"/>
      <c r="AC178" s="2950"/>
      <c r="AD178" s="2950"/>
      <c r="AE178" s="2950"/>
      <c r="AF178" s="2950"/>
      <c r="AG178" s="2950"/>
      <c r="AH178" s="2950"/>
      <c r="AI178" s="2950"/>
      <c r="AJ178" s="2950"/>
      <c r="AK178" s="2950"/>
      <c r="AL178" s="2950"/>
      <c r="AM178" s="2950"/>
      <c r="AN178" s="2950"/>
      <c r="AO178" s="2950"/>
      <c r="AP178" s="2950"/>
      <c r="AQ178" s="2950"/>
      <c r="AR178" s="2950"/>
      <c r="AS178" s="2951"/>
      <c r="AT178" s="1509"/>
      <c r="AU178" s="1509"/>
      <c r="AV178" s="1509"/>
      <c r="AW178" s="1516"/>
      <c r="AX178" s="1499"/>
      <c r="AY178" s="1498"/>
      <c r="AZ178" s="1498"/>
      <c r="BA178" s="1498"/>
      <c r="BB178" s="1498"/>
      <c r="BC178" s="1517"/>
      <c r="BD178" s="1498"/>
      <c r="BE178" s="1498"/>
    </row>
    <row r="179" spans="1:67" s="1618" customFormat="1" ht="13" customHeight="1">
      <c r="A179" s="1499"/>
      <c r="B179" s="1498"/>
      <c r="C179" s="1513"/>
      <c r="D179" s="1491"/>
      <c r="E179" s="1491"/>
      <c r="F179" s="1491"/>
      <c r="G179" s="1491"/>
      <c r="H179" s="1491"/>
      <c r="I179" s="1512"/>
      <c r="J179" s="2949"/>
      <c r="K179" s="2950"/>
      <c r="L179" s="2950"/>
      <c r="M179" s="2950"/>
      <c r="N179" s="2950"/>
      <c r="O179" s="2950"/>
      <c r="P179" s="2950"/>
      <c r="Q179" s="2950"/>
      <c r="R179" s="2950"/>
      <c r="S179" s="2950"/>
      <c r="T179" s="2950"/>
      <c r="U179" s="2950"/>
      <c r="V179" s="2950"/>
      <c r="W179" s="2950"/>
      <c r="X179" s="2950"/>
      <c r="Y179" s="2950"/>
      <c r="Z179" s="2950"/>
      <c r="AA179" s="2950"/>
      <c r="AB179" s="2950"/>
      <c r="AC179" s="2950"/>
      <c r="AD179" s="2950"/>
      <c r="AE179" s="2950"/>
      <c r="AF179" s="2950"/>
      <c r="AG179" s="2950"/>
      <c r="AH179" s="2950"/>
      <c r="AI179" s="2950"/>
      <c r="AJ179" s="2950"/>
      <c r="AK179" s="2950"/>
      <c r="AL179" s="2950"/>
      <c r="AM179" s="2950"/>
      <c r="AN179" s="2950"/>
      <c r="AO179" s="2950"/>
      <c r="AP179" s="2950"/>
      <c r="AQ179" s="2950"/>
      <c r="AR179" s="2950"/>
      <c r="AS179" s="2951"/>
      <c r="AT179" s="1509"/>
      <c r="AU179" s="1509"/>
      <c r="AV179" s="1509"/>
      <c r="AW179" s="1516"/>
      <c r="AX179" s="1499"/>
      <c r="AY179" s="1498"/>
      <c r="AZ179" s="1498"/>
      <c r="BA179" s="1498"/>
      <c r="BB179" s="1498"/>
      <c r="BC179" s="1517"/>
      <c r="BD179" s="1498"/>
      <c r="BE179" s="1498"/>
    </row>
    <row r="180" spans="1:67" s="1618" customFormat="1" ht="13" customHeight="1">
      <c r="A180" s="1499"/>
      <c r="B180" s="1498"/>
      <c r="C180" s="1513"/>
      <c r="D180" s="1491"/>
      <c r="E180" s="1491"/>
      <c r="F180" s="1491"/>
      <c r="G180" s="1491"/>
      <c r="H180" s="1491"/>
      <c r="I180" s="1512"/>
      <c r="J180" s="2949"/>
      <c r="K180" s="2950"/>
      <c r="L180" s="2950"/>
      <c r="M180" s="2950"/>
      <c r="N180" s="2950"/>
      <c r="O180" s="2950"/>
      <c r="P180" s="2950"/>
      <c r="Q180" s="2950"/>
      <c r="R180" s="2950"/>
      <c r="S180" s="2950"/>
      <c r="T180" s="2950"/>
      <c r="U180" s="2950"/>
      <c r="V180" s="2950"/>
      <c r="W180" s="2950"/>
      <c r="X180" s="2950"/>
      <c r="Y180" s="2950"/>
      <c r="Z180" s="2950"/>
      <c r="AA180" s="2950"/>
      <c r="AB180" s="2950"/>
      <c r="AC180" s="2950"/>
      <c r="AD180" s="2950"/>
      <c r="AE180" s="2950"/>
      <c r="AF180" s="2950"/>
      <c r="AG180" s="2950"/>
      <c r="AH180" s="2950"/>
      <c r="AI180" s="2950"/>
      <c r="AJ180" s="2950"/>
      <c r="AK180" s="2950"/>
      <c r="AL180" s="2950"/>
      <c r="AM180" s="2950"/>
      <c r="AN180" s="2950"/>
      <c r="AO180" s="2950"/>
      <c r="AP180" s="2950"/>
      <c r="AQ180" s="2950"/>
      <c r="AR180" s="2950"/>
      <c r="AS180" s="2951"/>
      <c r="AT180" s="1509"/>
      <c r="AU180" s="1509"/>
      <c r="AV180" s="1509"/>
      <c r="AW180" s="1516"/>
      <c r="AX180" s="1499"/>
      <c r="AY180" s="1498"/>
      <c r="AZ180" s="1498"/>
      <c r="BA180" s="1498"/>
      <c r="BB180" s="1498"/>
      <c r="BC180" s="1517"/>
      <c r="BD180" s="1498"/>
      <c r="BE180" s="1498"/>
    </row>
    <row r="181" spans="1:67" s="1618" customFormat="1" ht="13" customHeight="1">
      <c r="A181" s="1499"/>
      <c r="B181" s="1498"/>
      <c r="C181" s="1513"/>
      <c r="D181" s="1491"/>
      <c r="E181" s="1491"/>
      <c r="F181" s="1491"/>
      <c r="G181" s="1491"/>
      <c r="H181" s="1491"/>
      <c r="I181" s="1512"/>
      <c r="J181" s="2949"/>
      <c r="K181" s="2950"/>
      <c r="L181" s="2950"/>
      <c r="M181" s="2950"/>
      <c r="N181" s="2950"/>
      <c r="O181" s="2950"/>
      <c r="P181" s="2950"/>
      <c r="Q181" s="2950"/>
      <c r="R181" s="2950"/>
      <c r="S181" s="2950"/>
      <c r="T181" s="2950"/>
      <c r="U181" s="2950"/>
      <c r="V181" s="2950"/>
      <c r="W181" s="2950"/>
      <c r="X181" s="2950"/>
      <c r="Y181" s="2950"/>
      <c r="Z181" s="2950"/>
      <c r="AA181" s="2950"/>
      <c r="AB181" s="2950"/>
      <c r="AC181" s="2950"/>
      <c r="AD181" s="2950"/>
      <c r="AE181" s="2950"/>
      <c r="AF181" s="2950"/>
      <c r="AG181" s="2950"/>
      <c r="AH181" s="2950"/>
      <c r="AI181" s="2950"/>
      <c r="AJ181" s="2950"/>
      <c r="AK181" s="2950"/>
      <c r="AL181" s="2950"/>
      <c r="AM181" s="2950"/>
      <c r="AN181" s="2950"/>
      <c r="AO181" s="2950"/>
      <c r="AP181" s="2950"/>
      <c r="AQ181" s="2950"/>
      <c r="AR181" s="2950"/>
      <c r="AS181" s="2951"/>
      <c r="AT181" s="1509"/>
      <c r="AU181" s="1509"/>
      <c r="AV181" s="1509"/>
      <c r="AW181" s="1516"/>
      <c r="AX181" s="1499"/>
      <c r="AY181" s="1498"/>
      <c r="AZ181" s="1498"/>
      <c r="BA181" s="1498"/>
      <c r="BB181" s="1498"/>
      <c r="BC181" s="1517"/>
      <c r="BD181" s="1498"/>
      <c r="BE181" s="1498"/>
    </row>
    <row r="182" spans="1:67" s="1618" customFormat="1" ht="13" customHeight="1">
      <c r="A182" s="1499"/>
      <c r="B182" s="1498"/>
      <c r="C182" s="1513"/>
      <c r="D182" s="1491"/>
      <c r="E182" s="1491"/>
      <c r="F182" s="1491"/>
      <c r="G182" s="1491"/>
      <c r="H182" s="1491"/>
      <c r="I182" s="1512"/>
      <c r="J182" s="2949"/>
      <c r="K182" s="2950"/>
      <c r="L182" s="2950"/>
      <c r="M182" s="2950"/>
      <c r="N182" s="2950"/>
      <c r="O182" s="2950"/>
      <c r="P182" s="2950"/>
      <c r="Q182" s="2950"/>
      <c r="R182" s="2950"/>
      <c r="S182" s="2950"/>
      <c r="T182" s="2950"/>
      <c r="U182" s="2950"/>
      <c r="V182" s="2950"/>
      <c r="W182" s="2950"/>
      <c r="X182" s="2950"/>
      <c r="Y182" s="2950"/>
      <c r="Z182" s="2950"/>
      <c r="AA182" s="2950"/>
      <c r="AB182" s="2950"/>
      <c r="AC182" s="2950"/>
      <c r="AD182" s="2950"/>
      <c r="AE182" s="2950"/>
      <c r="AF182" s="2950"/>
      <c r="AG182" s="2950"/>
      <c r="AH182" s="2950"/>
      <c r="AI182" s="2950"/>
      <c r="AJ182" s="2950"/>
      <c r="AK182" s="2950"/>
      <c r="AL182" s="2950"/>
      <c r="AM182" s="2950"/>
      <c r="AN182" s="2950"/>
      <c r="AO182" s="2950"/>
      <c r="AP182" s="2950"/>
      <c r="AQ182" s="2950"/>
      <c r="AR182" s="2950"/>
      <c r="AS182" s="2951"/>
      <c r="AT182" s="1509"/>
      <c r="AU182" s="1509"/>
      <c r="AV182" s="1509"/>
      <c r="AW182" s="1516"/>
      <c r="AX182" s="1499"/>
      <c r="AY182" s="1498"/>
      <c r="AZ182" s="1498"/>
      <c r="BA182" s="1498"/>
      <c r="BB182" s="1498"/>
      <c r="BC182" s="1517"/>
      <c r="BD182" s="1498"/>
      <c r="BE182" s="1498"/>
    </row>
    <row r="183" spans="1:67" s="1618" customFormat="1" ht="13" customHeight="1">
      <c r="A183" s="1499"/>
      <c r="B183" s="1498"/>
      <c r="C183" s="1513"/>
      <c r="D183" s="1491"/>
      <c r="E183" s="1491"/>
      <c r="F183" s="1491"/>
      <c r="G183" s="1491"/>
      <c r="H183" s="1491"/>
      <c r="I183" s="1512"/>
      <c r="J183" s="2949"/>
      <c r="K183" s="2950"/>
      <c r="L183" s="2950"/>
      <c r="M183" s="2950"/>
      <c r="N183" s="2950"/>
      <c r="O183" s="2950"/>
      <c r="P183" s="2950"/>
      <c r="Q183" s="2950"/>
      <c r="R183" s="2950"/>
      <c r="S183" s="2950"/>
      <c r="T183" s="2950"/>
      <c r="U183" s="2950"/>
      <c r="V183" s="2950"/>
      <c r="W183" s="2950"/>
      <c r="X183" s="2950"/>
      <c r="Y183" s="2950"/>
      <c r="Z183" s="2950"/>
      <c r="AA183" s="2950"/>
      <c r="AB183" s="2950"/>
      <c r="AC183" s="2950"/>
      <c r="AD183" s="2950"/>
      <c r="AE183" s="2950"/>
      <c r="AF183" s="2950"/>
      <c r="AG183" s="2950"/>
      <c r="AH183" s="2950"/>
      <c r="AI183" s="2950"/>
      <c r="AJ183" s="2950"/>
      <c r="AK183" s="2950"/>
      <c r="AL183" s="2950"/>
      <c r="AM183" s="2950"/>
      <c r="AN183" s="2950"/>
      <c r="AO183" s="2950"/>
      <c r="AP183" s="2950"/>
      <c r="AQ183" s="2950"/>
      <c r="AR183" s="2950"/>
      <c r="AS183" s="2951"/>
      <c r="AT183" s="1509"/>
      <c r="AU183" s="1509"/>
      <c r="AV183" s="1509"/>
      <c r="AW183" s="1516"/>
      <c r="AX183" s="1499"/>
      <c r="AY183" s="1498"/>
      <c r="AZ183" s="1498"/>
      <c r="BA183" s="1498"/>
      <c r="BB183" s="1498"/>
      <c r="BC183" s="1517"/>
      <c r="BD183" s="1498"/>
      <c r="BE183" s="1498"/>
    </row>
    <row r="184" spans="1:67" s="1618" customFormat="1" ht="13" customHeight="1">
      <c r="A184" s="1499"/>
      <c r="B184" s="1498"/>
      <c r="C184" s="1513"/>
      <c r="D184" s="1491"/>
      <c r="E184" s="1491"/>
      <c r="F184" s="1491"/>
      <c r="G184" s="1491"/>
      <c r="H184" s="1491"/>
      <c r="I184" s="1512"/>
      <c r="J184" s="2949"/>
      <c r="K184" s="2950"/>
      <c r="L184" s="2950"/>
      <c r="M184" s="2950"/>
      <c r="N184" s="2950"/>
      <c r="O184" s="2950"/>
      <c r="P184" s="2950"/>
      <c r="Q184" s="2950"/>
      <c r="R184" s="2950"/>
      <c r="S184" s="2950"/>
      <c r="T184" s="2950"/>
      <c r="U184" s="2950"/>
      <c r="V184" s="2950"/>
      <c r="W184" s="2950"/>
      <c r="X184" s="2950"/>
      <c r="Y184" s="2950"/>
      <c r="Z184" s="2950"/>
      <c r="AA184" s="2950"/>
      <c r="AB184" s="2950"/>
      <c r="AC184" s="2950"/>
      <c r="AD184" s="2950"/>
      <c r="AE184" s="2950"/>
      <c r="AF184" s="2950"/>
      <c r="AG184" s="2950"/>
      <c r="AH184" s="2950"/>
      <c r="AI184" s="2950"/>
      <c r="AJ184" s="2950"/>
      <c r="AK184" s="2950"/>
      <c r="AL184" s="2950"/>
      <c r="AM184" s="2950"/>
      <c r="AN184" s="2950"/>
      <c r="AO184" s="2950"/>
      <c r="AP184" s="2950"/>
      <c r="AQ184" s="2950"/>
      <c r="AR184" s="2950"/>
      <c r="AS184" s="2951"/>
      <c r="AT184" s="1509"/>
      <c r="AU184" s="1509"/>
      <c r="AV184" s="1509"/>
      <c r="AW184" s="1516"/>
      <c r="AX184" s="1499"/>
      <c r="AY184" s="1498"/>
      <c r="AZ184" s="1498"/>
      <c r="BA184" s="1498"/>
      <c r="BB184" s="1498"/>
      <c r="BC184" s="1517"/>
      <c r="BD184" s="1498"/>
      <c r="BE184" s="1498"/>
    </row>
    <row r="185" spans="1:67" s="1618" customFormat="1" ht="13" customHeight="1">
      <c r="A185" s="1499"/>
      <c r="B185" s="1498"/>
      <c r="C185" s="1513"/>
      <c r="D185" s="1491"/>
      <c r="E185" s="1491"/>
      <c r="F185" s="1491"/>
      <c r="G185" s="1491"/>
      <c r="H185" s="1491"/>
      <c r="I185" s="1512"/>
      <c r="J185" s="2949"/>
      <c r="K185" s="2950"/>
      <c r="L185" s="2950"/>
      <c r="M185" s="2950"/>
      <c r="N185" s="2950"/>
      <c r="O185" s="2950"/>
      <c r="P185" s="2950"/>
      <c r="Q185" s="2950"/>
      <c r="R185" s="2950"/>
      <c r="S185" s="2950"/>
      <c r="T185" s="2950"/>
      <c r="U185" s="2950"/>
      <c r="V185" s="2950"/>
      <c r="W185" s="2950"/>
      <c r="X185" s="2950"/>
      <c r="Y185" s="2950"/>
      <c r="Z185" s="2950"/>
      <c r="AA185" s="2950"/>
      <c r="AB185" s="2950"/>
      <c r="AC185" s="2950"/>
      <c r="AD185" s="2950"/>
      <c r="AE185" s="2950"/>
      <c r="AF185" s="2950"/>
      <c r="AG185" s="2950"/>
      <c r="AH185" s="2950"/>
      <c r="AI185" s="2950"/>
      <c r="AJ185" s="2950"/>
      <c r="AK185" s="2950"/>
      <c r="AL185" s="2950"/>
      <c r="AM185" s="2950"/>
      <c r="AN185" s="2950"/>
      <c r="AO185" s="2950"/>
      <c r="AP185" s="2950"/>
      <c r="AQ185" s="2950"/>
      <c r="AR185" s="2950"/>
      <c r="AS185" s="2951"/>
      <c r="AT185" s="1509"/>
      <c r="AU185" s="1509"/>
      <c r="AV185" s="1509"/>
      <c r="AW185" s="1516"/>
      <c r="AX185" s="1499"/>
      <c r="AY185" s="1498"/>
      <c r="AZ185" s="1498"/>
      <c r="BA185" s="1498"/>
      <c r="BB185" s="1498"/>
      <c r="BC185" s="1517"/>
      <c r="BD185" s="1498"/>
      <c r="BE185" s="1498"/>
    </row>
    <row r="186" spans="1:67" s="1618" customFormat="1" ht="13" customHeight="1">
      <c r="A186" s="1499"/>
      <c r="B186" s="1498"/>
      <c r="C186" s="1521"/>
      <c r="D186" s="1522"/>
      <c r="E186" s="1522"/>
      <c r="F186" s="1522"/>
      <c r="G186" s="1522"/>
      <c r="H186" s="1522"/>
      <c r="I186" s="1523"/>
      <c r="J186" s="2952"/>
      <c r="K186" s="2953"/>
      <c r="L186" s="2953"/>
      <c r="M186" s="2953"/>
      <c r="N186" s="2953"/>
      <c r="O186" s="2953"/>
      <c r="P186" s="2953"/>
      <c r="Q186" s="2953"/>
      <c r="R186" s="2953"/>
      <c r="S186" s="2953"/>
      <c r="T186" s="2953"/>
      <c r="U186" s="2953"/>
      <c r="V186" s="2953"/>
      <c r="W186" s="2953"/>
      <c r="X186" s="2953"/>
      <c r="Y186" s="2953"/>
      <c r="Z186" s="2953"/>
      <c r="AA186" s="2953"/>
      <c r="AB186" s="2953"/>
      <c r="AC186" s="2953"/>
      <c r="AD186" s="2953"/>
      <c r="AE186" s="2953"/>
      <c r="AF186" s="2953"/>
      <c r="AG186" s="2953"/>
      <c r="AH186" s="2953"/>
      <c r="AI186" s="2953"/>
      <c r="AJ186" s="2953"/>
      <c r="AK186" s="2953"/>
      <c r="AL186" s="2953"/>
      <c r="AM186" s="2953"/>
      <c r="AN186" s="2953"/>
      <c r="AO186" s="2953"/>
      <c r="AP186" s="2953"/>
      <c r="AQ186" s="2953"/>
      <c r="AR186" s="2953"/>
      <c r="AS186" s="2954"/>
      <c r="AT186" s="1509"/>
      <c r="AU186" s="1509"/>
      <c r="AV186" s="1509"/>
      <c r="AW186" s="1516"/>
      <c r="AX186" s="1499"/>
      <c r="AY186" s="1498"/>
      <c r="AZ186" s="1498"/>
      <c r="BA186" s="1498"/>
      <c r="BB186" s="1498"/>
      <c r="BC186" s="1517"/>
      <c r="BD186" s="1498"/>
      <c r="BE186" s="1498"/>
    </row>
    <row r="187" spans="1:67" s="1618" customFormat="1" ht="13" customHeight="1">
      <c r="A187" s="1499"/>
      <c r="B187" s="1498"/>
      <c r="C187" s="1491"/>
      <c r="D187" s="1491"/>
      <c r="E187" s="1491"/>
      <c r="F187" s="1491"/>
      <c r="G187" s="1491"/>
      <c r="H187" s="1491"/>
      <c r="I187" s="1527"/>
      <c r="J187" s="1623"/>
      <c r="K187" s="1623"/>
      <c r="L187" s="1623"/>
      <c r="M187" s="1623"/>
      <c r="N187" s="1623"/>
      <c r="O187" s="1623"/>
      <c r="P187" s="1623"/>
      <c r="Q187" s="1623"/>
      <c r="R187" s="1623"/>
      <c r="S187" s="1623"/>
      <c r="T187" s="1623"/>
      <c r="U187" s="1623"/>
      <c r="V187" s="1623"/>
      <c r="W187" s="1623"/>
      <c r="X187" s="1623"/>
      <c r="Y187" s="1623"/>
      <c r="Z187" s="1623"/>
      <c r="AA187" s="1623"/>
      <c r="AB187" s="1623"/>
      <c r="AC187" s="1623"/>
      <c r="AD187" s="1623"/>
      <c r="AE187" s="1623"/>
      <c r="AF187" s="1623"/>
      <c r="AG187" s="1623"/>
      <c r="AH187" s="1623"/>
      <c r="AI187" s="1623"/>
      <c r="AJ187" s="1623"/>
      <c r="AK187" s="1623"/>
      <c r="AL187" s="1623"/>
      <c r="AM187" s="1623"/>
      <c r="AN187" s="1623"/>
      <c r="AO187" s="1623"/>
      <c r="AP187" s="1623"/>
      <c r="AQ187" s="1623"/>
      <c r="AR187" s="1623"/>
      <c r="AS187" s="1623"/>
      <c r="AT187" s="1509"/>
      <c r="AU187" s="1509"/>
      <c r="AV187" s="1509"/>
      <c r="AW187" s="1516"/>
      <c r="AX187" s="1499"/>
      <c r="AY187" s="1498"/>
      <c r="AZ187" s="1498"/>
      <c r="BA187" s="1498"/>
      <c r="BB187" s="1498"/>
      <c r="BC187" s="1517"/>
      <c r="BD187" s="1498"/>
      <c r="BE187" s="1498"/>
    </row>
    <row r="188" spans="1:67" ht="14.15" customHeight="1">
      <c r="B188" s="2788" t="s">
        <v>445</v>
      </c>
      <c r="C188" s="2788"/>
      <c r="D188" s="2788"/>
      <c r="E188" s="2788"/>
      <c r="F188" s="2788"/>
      <c r="G188" s="2788"/>
      <c r="H188" s="2788"/>
      <c r="I188" s="2788"/>
      <c r="J188" s="2788"/>
      <c r="K188" s="2788"/>
      <c r="L188" s="2788"/>
      <c r="M188" s="2788"/>
      <c r="N188" s="2788"/>
      <c r="O188" s="2788"/>
      <c r="P188" s="2788"/>
      <c r="Q188" s="2788"/>
      <c r="R188" s="2788"/>
      <c r="S188" s="2788"/>
      <c r="T188" s="2788"/>
      <c r="U188" s="2788"/>
      <c r="V188" s="2788"/>
      <c r="W188" s="2788"/>
      <c r="X188" s="2788"/>
      <c r="Y188" s="2788"/>
      <c r="Z188" s="2788"/>
      <c r="AA188" s="2788"/>
      <c r="AB188" s="2788"/>
      <c r="AC188" s="2788"/>
      <c r="AD188" s="2788"/>
      <c r="AE188" s="2788"/>
      <c r="AF188" s="2788"/>
      <c r="AG188" s="2788"/>
      <c r="AH188" s="2788"/>
      <c r="AI188" s="2788"/>
      <c r="AJ188" s="2788"/>
      <c r="AK188" s="2788"/>
      <c r="AL188" s="2788"/>
      <c r="AM188" s="2788"/>
      <c r="AN188" s="2788"/>
      <c r="AO188" s="2788"/>
      <c r="AP188" s="2788"/>
      <c r="AQ188" s="2788"/>
      <c r="AR188" s="2788"/>
      <c r="AS188" s="2788"/>
      <c r="AT188" s="2788"/>
      <c r="AU188" s="1624"/>
      <c r="AZ188" s="1492"/>
    </row>
    <row r="189" spans="1:67" s="1461" customFormat="1" ht="14.15" customHeight="1">
      <c r="B189" s="1461" t="s">
        <v>446</v>
      </c>
      <c r="AG189" s="1499"/>
      <c r="AH189" s="1499"/>
      <c r="AZ189" s="1492"/>
      <c r="BB189" s="1463"/>
      <c r="BC189" s="1463"/>
      <c r="BD189" s="1463"/>
      <c r="BE189" s="1463"/>
      <c r="BF189" s="1463"/>
      <c r="BG189" s="1463"/>
      <c r="BH189" s="1463"/>
      <c r="BI189" s="1463"/>
      <c r="BJ189" s="1463"/>
      <c r="BK189" s="1463"/>
      <c r="BL189" s="1463"/>
      <c r="BM189" s="1463"/>
      <c r="BN189" s="1463"/>
      <c r="BO189" s="1463"/>
    </row>
    <row r="190" spans="1:67" s="1461" customFormat="1" ht="4.5" customHeight="1">
      <c r="AZ190" s="1492"/>
      <c r="BB190" s="1463"/>
      <c r="BC190" s="1463"/>
      <c r="BD190" s="1463"/>
      <c r="BE190" s="1463"/>
      <c r="BF190" s="1463"/>
      <c r="BG190" s="1463"/>
      <c r="BH190" s="1463"/>
      <c r="BI190" s="1463"/>
      <c r="BJ190" s="1463"/>
      <c r="BK190" s="1463"/>
      <c r="BL190" s="1463"/>
      <c r="BM190" s="1463"/>
      <c r="BN190" s="1463"/>
      <c r="BO190" s="1463"/>
    </row>
    <row r="191" spans="1:67" s="1461" customFormat="1" ht="4.5" customHeight="1">
      <c r="AZ191" s="1492"/>
      <c r="BB191" s="1463"/>
      <c r="BC191" s="1463"/>
      <c r="BD191" s="1463"/>
      <c r="BE191" s="1463"/>
      <c r="BF191" s="1463"/>
      <c r="BG191" s="1463"/>
      <c r="BH191" s="1463"/>
      <c r="BI191" s="1463"/>
      <c r="BJ191" s="1463"/>
      <c r="BK191" s="1463"/>
      <c r="BL191" s="1463"/>
      <c r="BM191" s="1463"/>
      <c r="BN191" s="1463"/>
      <c r="BO191" s="1463"/>
    </row>
    <row r="192" spans="1:67" s="1461" customFormat="1" ht="14.15" customHeight="1">
      <c r="B192" s="1470" t="s">
        <v>447</v>
      </c>
      <c r="AZ192" s="1492"/>
      <c r="BB192" s="1463"/>
      <c r="BC192" s="1463"/>
      <c r="BD192" s="1463"/>
      <c r="BE192" s="1463"/>
      <c r="BF192" s="1463"/>
      <c r="BG192" s="1463"/>
      <c r="BH192" s="1463"/>
      <c r="BI192" s="1463"/>
      <c r="BJ192" s="1463"/>
      <c r="BK192" s="1463"/>
      <c r="BL192" s="1463"/>
      <c r="BM192" s="1463"/>
      <c r="BN192" s="1463"/>
      <c r="BO192" s="1463"/>
    </row>
    <row r="193" spans="2:67" s="1461" customFormat="1" ht="13" customHeight="1">
      <c r="D193" s="1470" t="s">
        <v>2643</v>
      </c>
      <c r="O193" s="1609" t="str">
        <f>IF('＜入力不要＞報告書'!O193="","",'＜入力不要＞報告書'!O193)</f>
        <v/>
      </c>
      <c r="P193" s="1533" t="s">
        <v>449</v>
      </c>
      <c r="V193" s="1609" t="str">
        <f>IF('＜入力不要＞報告書'!V193="","",'＜入力不要＞報告書'!V193)</f>
        <v/>
      </c>
      <c r="W193" s="1534" t="s">
        <v>268</v>
      </c>
      <c r="BB193" s="1463"/>
      <c r="BC193" s="1463"/>
      <c r="BD193" s="1463"/>
      <c r="BE193" s="1463"/>
      <c r="BF193" s="1463"/>
      <c r="BG193" s="1463"/>
      <c r="BH193" s="1463"/>
      <c r="BI193" s="1463"/>
      <c r="BJ193" s="1463"/>
      <c r="BK193" s="1463"/>
      <c r="BL193" s="1463"/>
      <c r="BM193" s="1463"/>
      <c r="BN193" s="1463"/>
      <c r="BO193" s="1463"/>
    </row>
    <row r="194" spans="2:67" s="1461" customFormat="1" ht="13" customHeight="1">
      <c r="D194" s="1470"/>
      <c r="O194" s="1609" t="str">
        <f>IF('＜入力不要＞報告書'!O194="","",'＜入力不要＞報告書'!O194)</f>
        <v/>
      </c>
      <c r="P194" s="1533" t="s">
        <v>450</v>
      </c>
      <c r="T194" s="2777" t="str">
        <f>IF('＜入力不要＞報告書'!T194="","",'＜入力不要＞報告書'!T194)</f>
        <v/>
      </c>
      <c r="U194" s="2777"/>
      <c r="V194" s="2777"/>
      <c r="W194" s="2777"/>
      <c r="X194" s="2777"/>
      <c r="Y194" s="2777"/>
      <c r="Z194" s="2777"/>
      <c r="AA194" s="2777"/>
      <c r="AB194" s="2777"/>
      <c r="AC194" s="2777"/>
      <c r="AD194" s="2777"/>
      <c r="AE194" s="2777"/>
      <c r="AF194" s="1461" t="s">
        <v>22</v>
      </c>
      <c r="AI194" s="1609" t="str">
        <f>IF('＜入力不要＞報告書'!AI194="","",'＜入力不要＞報告書'!AI194)</f>
        <v/>
      </c>
      <c r="AJ194" s="1534" t="s">
        <v>270</v>
      </c>
      <c r="BB194" s="1463"/>
      <c r="BC194" s="1463"/>
      <c r="BD194" s="1463"/>
      <c r="BE194" s="1463"/>
      <c r="BF194" s="1463"/>
      <c r="BG194" s="1463"/>
      <c r="BH194" s="1463"/>
      <c r="BI194" s="1463"/>
      <c r="BJ194" s="1463"/>
      <c r="BK194" s="1463"/>
      <c r="BL194" s="1463"/>
      <c r="BM194" s="1463"/>
      <c r="BN194" s="1463"/>
      <c r="BO194" s="1463"/>
    </row>
    <row r="195" spans="2:67" s="1461" customFormat="1" ht="13" customHeight="1">
      <c r="D195" s="1470" t="s">
        <v>451</v>
      </c>
      <c r="O195" s="2843" t="str">
        <f>IF('＜入力不要＞報告書'!O195="","",'＜入力不要＞報告書'!O195)</f>
        <v/>
      </c>
      <c r="P195" s="2843"/>
      <c r="Q195" s="2843"/>
      <c r="R195" s="2843"/>
      <c r="S195" s="2843"/>
      <c r="T195" s="2843"/>
      <c r="U195" s="2843"/>
      <c r="V195" s="2843"/>
      <c r="W195" s="2843"/>
      <c r="X195" s="2843"/>
      <c r="Y195" s="2843"/>
      <c r="Z195" s="2843"/>
      <c r="AA195" s="2843"/>
      <c r="AB195" s="2843"/>
      <c r="AC195" s="2843"/>
      <c r="AD195" s="2843"/>
      <c r="AE195" s="2843"/>
      <c r="AF195" s="2843"/>
      <c r="AG195" s="2843"/>
      <c r="AH195" s="2843"/>
      <c r="AI195" s="2843"/>
      <c r="AJ195" s="2843"/>
      <c r="AK195" s="2843"/>
      <c r="AL195" s="2843"/>
      <c r="AM195" s="2843"/>
      <c r="AN195" s="2843"/>
      <c r="AO195" s="2843"/>
      <c r="AP195" s="2843"/>
      <c r="AQ195" s="2843"/>
      <c r="AR195" s="2843"/>
      <c r="AS195" s="2843"/>
      <c r="BB195" s="1463"/>
      <c r="BC195" s="1463"/>
      <c r="BD195" s="1463"/>
      <c r="BE195" s="1463"/>
      <c r="BF195" s="1463"/>
      <c r="BG195" s="1463"/>
      <c r="BH195" s="1463"/>
      <c r="BI195" s="1463"/>
      <c r="BJ195" s="1463"/>
      <c r="BK195" s="1463"/>
      <c r="BL195" s="1463"/>
      <c r="BM195" s="1463"/>
      <c r="BN195" s="1463"/>
      <c r="BO195" s="1463"/>
    </row>
    <row r="196" spans="2:67" s="1461" customFormat="1" ht="12" hidden="1" customHeight="1">
      <c r="N196" s="1535"/>
      <c r="BB196" s="1463"/>
      <c r="BC196" s="1463"/>
      <c r="BD196" s="1463"/>
      <c r="BE196" s="1463"/>
      <c r="BF196" s="1463"/>
      <c r="BG196" s="1463"/>
      <c r="BH196" s="1463"/>
      <c r="BI196" s="1463"/>
      <c r="BJ196" s="1463"/>
      <c r="BK196" s="1463"/>
      <c r="BL196" s="1463"/>
      <c r="BM196" s="1463"/>
      <c r="BN196" s="1463"/>
      <c r="BO196" s="1463"/>
    </row>
    <row r="197" spans="2:67" s="1461" customFormat="1" ht="12" hidden="1" customHeight="1">
      <c r="N197" s="1535"/>
      <c r="BB197" s="1463"/>
      <c r="BC197" s="1463"/>
      <c r="BD197" s="1463"/>
      <c r="BE197" s="1463"/>
      <c r="BF197" s="1463"/>
      <c r="BG197" s="1463"/>
      <c r="BH197" s="1463"/>
      <c r="BI197" s="1463"/>
      <c r="BJ197" s="1463"/>
      <c r="BK197" s="1463"/>
      <c r="BL197" s="1463"/>
      <c r="BM197" s="1463"/>
      <c r="BN197" s="1463"/>
      <c r="BO197" s="1463"/>
    </row>
    <row r="198" spans="2:67" s="1461" customFormat="1" ht="12" hidden="1" customHeight="1">
      <c r="N198" s="1535"/>
      <c r="BB198" s="1463"/>
      <c r="BC198" s="1463"/>
      <c r="BD198" s="1463"/>
      <c r="BE198" s="1463"/>
      <c r="BF198" s="1463"/>
      <c r="BG198" s="1463"/>
      <c r="BH198" s="1463"/>
      <c r="BI198" s="1463"/>
      <c r="BJ198" s="1463"/>
      <c r="BK198" s="1463"/>
      <c r="BL198" s="1463"/>
      <c r="BM198" s="1463"/>
      <c r="BN198" s="1463"/>
      <c r="BO198" s="1463"/>
    </row>
    <row r="199" spans="2:67" s="1461" customFormat="1" ht="4.5" customHeight="1">
      <c r="BB199" s="1463"/>
      <c r="BC199" s="1463"/>
      <c r="BD199" s="1463"/>
      <c r="BE199" s="1463"/>
      <c r="BF199" s="1463"/>
      <c r="BG199" s="1463"/>
      <c r="BH199" s="1463"/>
      <c r="BI199" s="1463"/>
      <c r="BJ199" s="1463"/>
      <c r="BK199" s="1463"/>
      <c r="BL199" s="1463"/>
      <c r="BM199" s="1463"/>
      <c r="BN199" s="1463"/>
      <c r="BO199" s="1463"/>
    </row>
    <row r="200" spans="2:67" s="1461" customFormat="1" ht="4.5" customHeight="1">
      <c r="BB200" s="1463"/>
      <c r="BC200" s="1463"/>
      <c r="BD200" s="1463"/>
      <c r="BE200" s="1463"/>
      <c r="BF200" s="1463"/>
      <c r="BG200" s="1463"/>
      <c r="BH200" s="1463"/>
      <c r="BI200" s="1463"/>
      <c r="BJ200" s="1463"/>
      <c r="BK200" s="1463"/>
      <c r="BL200" s="1463"/>
      <c r="BM200" s="1463"/>
      <c r="BN200" s="1463"/>
      <c r="BO200" s="1463"/>
    </row>
    <row r="201" spans="2:67" s="1461" customFormat="1" ht="14.15" customHeight="1">
      <c r="B201" s="1470" t="s">
        <v>452</v>
      </c>
      <c r="BB201" s="1463"/>
      <c r="BC201" s="1463"/>
      <c r="BD201" s="1463"/>
      <c r="BE201" s="1463"/>
      <c r="BF201" s="1463"/>
      <c r="BG201" s="1463"/>
      <c r="BH201" s="1463"/>
      <c r="BI201" s="1463"/>
      <c r="BJ201" s="1463"/>
      <c r="BK201" s="1463"/>
      <c r="BL201" s="1463"/>
      <c r="BM201" s="1463"/>
      <c r="BN201" s="1463"/>
      <c r="BO201" s="1463"/>
    </row>
    <row r="202" spans="2:67" s="1461" customFormat="1" ht="13" customHeight="1">
      <c r="D202" s="1470" t="s">
        <v>453</v>
      </c>
      <c r="O202" s="1609" t="str">
        <f>IF('＜入力不要＞報告書'!O202="","",'＜入力不要＞報告書'!O202)</f>
        <v/>
      </c>
      <c r="P202" s="1536" t="s">
        <v>454</v>
      </c>
      <c r="AA202" s="1609" t="str">
        <f>IF('＜入力不要＞報告書'!AA202="","",'＜入力不要＞報告書'!AA202)</f>
        <v/>
      </c>
      <c r="AB202" s="1461" t="s">
        <v>455</v>
      </c>
      <c r="AI202" s="1487"/>
      <c r="AJ202" s="1487"/>
      <c r="AK202" s="1487"/>
      <c r="AL202" s="1487"/>
      <c r="AM202" s="1487"/>
      <c r="AN202" s="1487"/>
      <c r="BB202" s="1463"/>
      <c r="BC202" s="1463"/>
      <c r="BD202" s="1463"/>
      <c r="BE202" s="1463"/>
      <c r="BF202" s="1463"/>
      <c r="BG202" s="1463"/>
      <c r="BH202" s="1463"/>
      <c r="BI202" s="1463"/>
      <c r="BJ202" s="1463"/>
      <c r="BK202" s="1463"/>
      <c r="BL202" s="1463"/>
      <c r="BM202" s="1463"/>
      <c r="BN202" s="1463"/>
      <c r="BO202" s="1463"/>
    </row>
    <row r="203" spans="2:67" s="1461" customFormat="1" ht="13" customHeight="1">
      <c r="D203" s="1470"/>
      <c r="O203" s="1609" t="str">
        <f>IF('＜入力不要＞報告書'!O203="","",'＜入力不要＞報告書'!O203)</f>
        <v/>
      </c>
      <c r="P203" s="1536" t="s">
        <v>456</v>
      </c>
      <c r="Q203" s="1534"/>
      <c r="AA203" s="1609" t="str">
        <f>IF('＜入力不要＞報告書'!AA203="","",'＜入力不要＞報告書'!AA203)</f>
        <v/>
      </c>
      <c r="AB203" s="1461" t="s">
        <v>450</v>
      </c>
      <c r="AC203" s="1534"/>
      <c r="AD203" s="1534"/>
      <c r="AE203" s="1534"/>
      <c r="AF203" s="2777" t="str">
        <f>IF('＜入力不要＞報告書'!AF203="","",'＜入力不要＞報告書'!AF203)</f>
        <v/>
      </c>
      <c r="AG203" s="2777"/>
      <c r="AH203" s="2777"/>
      <c r="AI203" s="2777"/>
      <c r="AJ203" s="2777"/>
      <c r="AK203" s="2777"/>
      <c r="AL203" s="2777"/>
      <c r="AM203" s="2777"/>
      <c r="AN203" s="2777"/>
      <c r="AO203" s="2777"/>
      <c r="AP203" s="2777"/>
      <c r="AQ203" s="2777"/>
      <c r="AR203" s="1534" t="s">
        <v>22</v>
      </c>
      <c r="BB203" s="1463"/>
      <c r="BC203" s="1463"/>
      <c r="BD203" s="1463"/>
      <c r="BE203" s="1463"/>
      <c r="BF203" s="1463"/>
      <c r="BG203" s="1463"/>
      <c r="BH203" s="1463"/>
      <c r="BI203" s="1463"/>
      <c r="BJ203" s="1463"/>
      <c r="BK203" s="1463"/>
      <c r="BL203" s="1463"/>
      <c r="BM203" s="1463"/>
      <c r="BN203" s="1463"/>
      <c r="BO203" s="1463"/>
    </row>
    <row r="204" spans="2:67" s="1461" customFormat="1" ht="13" customHeight="1">
      <c r="D204" s="1470" t="s">
        <v>457</v>
      </c>
      <c r="P204" s="1536" t="s">
        <v>283</v>
      </c>
      <c r="R204" s="2778" t="str">
        <f>IF('＜入力不要＞報告書'!R204="","",'＜入力不要＞報告書'!R204)</f>
        <v/>
      </c>
      <c r="S204" s="2778"/>
      <c r="T204" s="2778"/>
      <c r="U204" s="1533" t="s">
        <v>17</v>
      </c>
      <c r="X204" s="1533" t="s">
        <v>284</v>
      </c>
      <c r="Z204" s="2778" t="str">
        <f>IF('＜入力不要＞報告書'!Z204="","",'＜入力不要＞報告書'!Z204)</f>
        <v/>
      </c>
      <c r="AA204" s="2778"/>
      <c r="AB204" s="2778"/>
      <c r="AC204" s="1536" t="s">
        <v>17</v>
      </c>
      <c r="BB204" s="1463"/>
      <c r="BC204" s="1463"/>
      <c r="BD204" s="1463"/>
      <c r="BE204" s="1463"/>
      <c r="BF204" s="1463"/>
      <c r="BG204" s="1463"/>
      <c r="BH204" s="1463"/>
      <c r="BI204" s="1463"/>
      <c r="BJ204" s="1463"/>
      <c r="BK204" s="1463"/>
      <c r="BL204" s="1463"/>
      <c r="BM204" s="1463"/>
      <c r="BN204" s="1463"/>
      <c r="BO204" s="1463"/>
    </row>
    <row r="205" spans="2:67" ht="13" customHeight="1">
      <c r="D205" s="1470" t="s">
        <v>458</v>
      </c>
      <c r="O205" s="2776" t="str">
        <f>IF('＜入力不要＞報告書'!O205="","",'＜入力不要＞報告書'!O205)</f>
        <v/>
      </c>
      <c r="P205" s="2776"/>
      <c r="Q205" s="2776"/>
      <c r="R205" s="2776"/>
      <c r="S205" s="2776"/>
      <c r="T205" s="2776"/>
      <c r="U205" s="2776"/>
      <c r="V205" s="2776"/>
      <c r="W205" s="1536" t="s">
        <v>28</v>
      </c>
    </row>
    <row r="206" spans="2:67" ht="13" customHeight="1">
      <c r="D206" s="1470" t="s">
        <v>459</v>
      </c>
      <c r="O206" s="2776" t="str">
        <f>IF('＜入力不要＞報告書'!O206="","",'＜入力不要＞報告書'!O206)</f>
        <v/>
      </c>
      <c r="P206" s="2776"/>
      <c r="Q206" s="2776"/>
      <c r="R206" s="2776"/>
      <c r="S206" s="2776"/>
      <c r="T206" s="2776"/>
      <c r="U206" s="2776"/>
      <c r="V206" s="2776"/>
      <c r="W206" s="1536" t="s">
        <v>28</v>
      </c>
    </row>
    <row r="207" spans="2:67" ht="13" customHeight="1">
      <c r="D207" s="1470" t="s">
        <v>460</v>
      </c>
      <c r="O207" s="2776" t="str">
        <f>IF('＜入力不要＞報告書'!O207="","",'＜入力不要＞報告書'!O207)</f>
        <v/>
      </c>
      <c r="P207" s="2776"/>
      <c r="Q207" s="2776"/>
      <c r="R207" s="2776"/>
      <c r="S207" s="2776"/>
      <c r="T207" s="2776"/>
      <c r="U207" s="2776"/>
      <c r="V207" s="2776"/>
      <c r="W207" s="1536" t="s">
        <v>28</v>
      </c>
    </row>
    <row r="208" spans="2:67" ht="12" hidden="1" customHeight="1">
      <c r="N208" s="1535"/>
    </row>
    <row r="209" spans="2:44" ht="12" hidden="1" customHeight="1">
      <c r="N209" s="1535"/>
    </row>
    <row r="210" spans="2:44" ht="12" hidden="1" customHeight="1">
      <c r="N210" s="1535"/>
    </row>
    <row r="211" spans="2:44" ht="4.5" customHeight="1"/>
    <row r="212" spans="2:44" ht="4.5" customHeight="1"/>
    <row r="213" spans="2:44" ht="14.15" customHeight="1">
      <c r="B213" s="1470" t="s">
        <v>461</v>
      </c>
      <c r="U213" s="1470" t="s">
        <v>25</v>
      </c>
      <c r="W213" s="2788" t="s">
        <v>462</v>
      </c>
      <c r="X213" s="2788"/>
      <c r="Y213" s="2788"/>
      <c r="AA213" s="1461" t="s">
        <v>22</v>
      </c>
      <c r="AC213" s="1470" t="s">
        <v>25</v>
      </c>
      <c r="AE213" s="2788" t="s">
        <v>463</v>
      </c>
      <c r="AF213" s="2788"/>
      <c r="AG213" s="2788"/>
      <c r="AI213" s="1461" t="s">
        <v>22</v>
      </c>
      <c r="AK213" s="2965" t="s">
        <v>1374</v>
      </c>
      <c r="AL213" s="2965"/>
      <c r="AM213" s="2965"/>
      <c r="AN213" s="2965"/>
      <c r="AO213" s="2965"/>
      <c r="AP213" s="2961"/>
      <c r="AQ213" s="2961"/>
      <c r="AR213" s="2961"/>
    </row>
    <row r="214" spans="2:44" ht="13" customHeight="1">
      <c r="D214" s="1470" t="s">
        <v>464</v>
      </c>
      <c r="N214" s="1470" t="s">
        <v>25</v>
      </c>
      <c r="O214" s="2778" t="str">
        <f>IF('＜入力不要＞報告書'!O214="","",'＜入力不要＞報告書'!O214)</f>
        <v/>
      </c>
      <c r="P214" s="2778"/>
      <c r="Q214" s="2778"/>
      <c r="R214" s="1461" t="s">
        <v>330</v>
      </c>
      <c r="U214" s="1470" t="s">
        <v>25</v>
      </c>
      <c r="V214" s="2777" t="str">
        <f>IF('＜入力不要＞報告書'!V214="","",'＜入力不要＞報告書'!V214)</f>
        <v/>
      </c>
      <c r="W214" s="2777"/>
      <c r="X214" s="2777"/>
      <c r="Y214" s="2777"/>
      <c r="Z214" s="2777"/>
      <c r="AA214" s="1461" t="s">
        <v>22</v>
      </c>
      <c r="AC214" s="1470" t="s">
        <v>25</v>
      </c>
      <c r="AD214" s="2776" t="str">
        <f>IF('＜入力不要＞報告書'!AD214="","",'＜入力不要＞報告書'!AD214)</f>
        <v/>
      </c>
      <c r="AE214" s="2776"/>
      <c r="AF214" s="2776"/>
      <c r="AG214" s="2776"/>
      <c r="AH214" s="1536" t="s">
        <v>28</v>
      </c>
      <c r="AI214" s="1461" t="s">
        <v>22</v>
      </c>
    </row>
    <row r="215" spans="2:44" ht="13" customHeight="1">
      <c r="C215" s="1470"/>
      <c r="U215" s="1470" t="s">
        <v>25</v>
      </c>
      <c r="V215" s="2777" t="str">
        <f>IF('＜入力不要＞報告書'!V215="","",'＜入力不要＞報告書'!V215)</f>
        <v/>
      </c>
      <c r="W215" s="2777"/>
      <c r="X215" s="2777"/>
      <c r="Y215" s="2777"/>
      <c r="Z215" s="2777"/>
      <c r="AA215" s="1461" t="s">
        <v>22</v>
      </c>
      <c r="AC215" s="1470" t="s">
        <v>25</v>
      </c>
      <c r="AD215" s="2776" t="str">
        <f>IF('＜入力不要＞報告書'!AD215="","",'＜入力不要＞報告書'!AD215)</f>
        <v/>
      </c>
      <c r="AE215" s="2776"/>
      <c r="AF215" s="2776"/>
      <c r="AG215" s="2776"/>
      <c r="AH215" s="1536" t="s">
        <v>28</v>
      </c>
      <c r="AI215" s="1461" t="s">
        <v>22</v>
      </c>
    </row>
    <row r="216" spans="2:44" ht="13" customHeight="1">
      <c r="C216" s="1470"/>
      <c r="U216" s="1470" t="s">
        <v>25</v>
      </c>
      <c r="V216" s="2777" t="str">
        <f>IF('＜入力不要＞報告書'!V216="","",'＜入力不要＞報告書'!V216)</f>
        <v/>
      </c>
      <c r="W216" s="2777"/>
      <c r="X216" s="2777"/>
      <c r="Y216" s="2777"/>
      <c r="Z216" s="2777"/>
      <c r="AA216" s="1461" t="s">
        <v>22</v>
      </c>
      <c r="AC216" s="1470" t="s">
        <v>25</v>
      </c>
      <c r="AD216" s="2776" t="str">
        <f>IF('＜入力不要＞報告書'!AD216="","",'＜入力不要＞報告書'!AD216)</f>
        <v/>
      </c>
      <c r="AE216" s="2776"/>
      <c r="AF216" s="2776"/>
      <c r="AG216" s="2776"/>
      <c r="AH216" s="1536" t="s">
        <v>28</v>
      </c>
      <c r="AI216" s="1461" t="s">
        <v>22</v>
      </c>
    </row>
    <row r="217" spans="2:44" ht="13" customHeight="1">
      <c r="C217" s="1470"/>
      <c r="N217" s="1470" t="s">
        <v>25</v>
      </c>
      <c r="O217" s="2778" t="str">
        <f>IF('＜入力不要＞報告書'!O217="","",'＜入力不要＞報告書'!O217)</f>
        <v/>
      </c>
      <c r="P217" s="2778"/>
      <c r="Q217" s="2778"/>
      <c r="R217" s="1461" t="s">
        <v>330</v>
      </c>
      <c r="U217" s="1470" t="s">
        <v>25</v>
      </c>
      <c r="V217" s="2777" t="str">
        <f>IF('＜入力不要＞報告書'!V217="","",'＜入力不要＞報告書'!V217)</f>
        <v/>
      </c>
      <c r="W217" s="2777"/>
      <c r="X217" s="2777"/>
      <c r="Y217" s="2777"/>
      <c r="Z217" s="2777"/>
      <c r="AA217" s="1461" t="s">
        <v>22</v>
      </c>
      <c r="AC217" s="1470" t="s">
        <v>25</v>
      </c>
      <c r="AD217" s="2776" t="str">
        <f>IF('＜入力不要＞報告書'!AD217="","",'＜入力不要＞報告書'!AD217)</f>
        <v/>
      </c>
      <c r="AE217" s="2776"/>
      <c r="AF217" s="2776"/>
      <c r="AG217" s="2776"/>
      <c r="AH217" s="1536" t="s">
        <v>28</v>
      </c>
      <c r="AI217" s="1461" t="s">
        <v>22</v>
      </c>
    </row>
    <row r="218" spans="2:44" ht="13" customHeight="1">
      <c r="C218" s="1470"/>
      <c r="U218" s="1470" t="s">
        <v>25</v>
      </c>
      <c r="V218" s="2777" t="str">
        <f>IF('＜入力不要＞報告書'!V218="","",'＜入力不要＞報告書'!V218)</f>
        <v/>
      </c>
      <c r="W218" s="2777"/>
      <c r="X218" s="2777"/>
      <c r="Y218" s="2777"/>
      <c r="Z218" s="2777"/>
      <c r="AA218" s="1461" t="s">
        <v>22</v>
      </c>
      <c r="AC218" s="1470" t="s">
        <v>25</v>
      </c>
      <c r="AD218" s="2776" t="str">
        <f>IF('＜入力不要＞報告書'!AD218="","",'＜入力不要＞報告書'!AD218)</f>
        <v/>
      </c>
      <c r="AE218" s="2776"/>
      <c r="AF218" s="2776"/>
      <c r="AG218" s="2776"/>
      <c r="AH218" s="1536" t="s">
        <v>28</v>
      </c>
      <c r="AI218" s="1461" t="s">
        <v>22</v>
      </c>
    </row>
    <row r="219" spans="2:44" ht="13" customHeight="1">
      <c r="C219" s="1470"/>
      <c r="U219" s="1470" t="s">
        <v>25</v>
      </c>
      <c r="V219" s="2777" t="str">
        <f>IF('＜入力不要＞報告書'!V219="","",'＜入力不要＞報告書'!V219)</f>
        <v/>
      </c>
      <c r="W219" s="2777"/>
      <c r="X219" s="2777"/>
      <c r="Y219" s="2777"/>
      <c r="Z219" s="2777"/>
      <c r="AA219" s="1461" t="s">
        <v>22</v>
      </c>
      <c r="AC219" s="1470" t="s">
        <v>25</v>
      </c>
      <c r="AD219" s="2776" t="str">
        <f>IF('＜入力不要＞報告書'!AD219="","",'＜入力不要＞報告書'!AD219)</f>
        <v/>
      </c>
      <c r="AE219" s="2776"/>
      <c r="AF219" s="2776"/>
      <c r="AG219" s="2776"/>
      <c r="AH219" s="1536" t="s">
        <v>28</v>
      </c>
      <c r="AI219" s="1461" t="s">
        <v>22</v>
      </c>
    </row>
    <row r="220" spans="2:44" ht="13" customHeight="1">
      <c r="C220" s="1470"/>
      <c r="N220" s="1470" t="s">
        <v>25</v>
      </c>
      <c r="O220" s="2778" t="str">
        <f>IF('＜入力不要＞報告書'!O220="","",'＜入力不要＞報告書'!O220)</f>
        <v/>
      </c>
      <c r="P220" s="2778"/>
      <c r="Q220" s="2778"/>
      <c r="R220" s="1461" t="s">
        <v>330</v>
      </c>
      <c r="U220" s="1470" t="s">
        <v>25</v>
      </c>
      <c r="V220" s="2777" t="str">
        <f>IF('＜入力不要＞報告書'!V220="","",'＜入力不要＞報告書'!V220)</f>
        <v/>
      </c>
      <c r="W220" s="2777"/>
      <c r="X220" s="2777"/>
      <c r="Y220" s="2777"/>
      <c r="Z220" s="2777"/>
      <c r="AA220" s="1461" t="s">
        <v>22</v>
      </c>
      <c r="AC220" s="1470" t="s">
        <v>25</v>
      </c>
      <c r="AD220" s="2776" t="str">
        <f>IF('＜入力不要＞報告書'!AD220="","",'＜入力不要＞報告書'!AD220)</f>
        <v/>
      </c>
      <c r="AE220" s="2776"/>
      <c r="AF220" s="2776"/>
      <c r="AG220" s="2776"/>
      <c r="AH220" s="1536" t="s">
        <v>28</v>
      </c>
      <c r="AI220" s="1461" t="s">
        <v>22</v>
      </c>
    </row>
    <row r="221" spans="2:44" ht="13" customHeight="1">
      <c r="C221" s="1470"/>
      <c r="U221" s="1470" t="s">
        <v>25</v>
      </c>
      <c r="V221" s="2777" t="str">
        <f>IF('＜入力不要＞報告書'!V221="","",'＜入力不要＞報告書'!V221)</f>
        <v/>
      </c>
      <c r="W221" s="2777"/>
      <c r="X221" s="2777"/>
      <c r="Y221" s="2777"/>
      <c r="Z221" s="2777"/>
      <c r="AA221" s="1461" t="s">
        <v>22</v>
      </c>
      <c r="AC221" s="1470" t="s">
        <v>25</v>
      </c>
      <c r="AD221" s="2776" t="str">
        <f>IF('＜入力不要＞報告書'!AD221="","",'＜入力不要＞報告書'!AD221)</f>
        <v/>
      </c>
      <c r="AE221" s="2776"/>
      <c r="AF221" s="2776"/>
      <c r="AG221" s="2776"/>
      <c r="AH221" s="1536" t="s">
        <v>28</v>
      </c>
      <c r="AI221" s="1461" t="s">
        <v>22</v>
      </c>
    </row>
    <row r="222" spans="2:44" ht="13" customHeight="1">
      <c r="C222" s="1470"/>
      <c r="U222" s="1470" t="s">
        <v>25</v>
      </c>
      <c r="V222" s="2777" t="str">
        <f>IF('＜入力不要＞報告書'!V222="","",'＜入力不要＞報告書'!V222)</f>
        <v/>
      </c>
      <c r="W222" s="2777"/>
      <c r="X222" s="2777"/>
      <c r="Y222" s="2777"/>
      <c r="Z222" s="2777"/>
      <c r="AA222" s="1461" t="s">
        <v>22</v>
      </c>
      <c r="AC222" s="1470" t="s">
        <v>25</v>
      </c>
      <c r="AD222" s="2776" t="str">
        <f>IF('＜入力不要＞報告書'!AD222="","",'＜入力不要＞報告書'!AD222)</f>
        <v/>
      </c>
      <c r="AE222" s="2776"/>
      <c r="AF222" s="2776"/>
      <c r="AG222" s="2776"/>
      <c r="AH222" s="1536" t="s">
        <v>28</v>
      </c>
      <c r="AI222" s="1461" t="s">
        <v>22</v>
      </c>
    </row>
    <row r="223" spans="2:44" ht="13" customHeight="1">
      <c r="C223" s="1470"/>
      <c r="N223" s="1470" t="s">
        <v>25</v>
      </c>
      <c r="O223" s="2778" t="str">
        <f>IF('＜入力不要＞報告書'!O223="","",'＜入力不要＞報告書'!O223)</f>
        <v/>
      </c>
      <c r="P223" s="2778"/>
      <c r="Q223" s="2778"/>
      <c r="R223" s="1461" t="s">
        <v>330</v>
      </c>
      <c r="U223" s="1470" t="s">
        <v>25</v>
      </c>
      <c r="V223" s="2777" t="str">
        <f>IF('＜入力不要＞報告書'!V223="","",'＜入力不要＞報告書'!V223)</f>
        <v/>
      </c>
      <c r="W223" s="2777"/>
      <c r="X223" s="2777"/>
      <c r="Y223" s="2777"/>
      <c r="Z223" s="2777"/>
      <c r="AA223" s="1461" t="s">
        <v>22</v>
      </c>
      <c r="AC223" s="1470" t="s">
        <v>25</v>
      </c>
      <c r="AD223" s="2776" t="str">
        <f>IF('＜入力不要＞報告書'!AD223="","",'＜入力不要＞報告書'!AD223)</f>
        <v/>
      </c>
      <c r="AE223" s="2776"/>
      <c r="AF223" s="2776"/>
      <c r="AG223" s="2776"/>
      <c r="AH223" s="1536" t="s">
        <v>28</v>
      </c>
      <c r="AI223" s="1461" t="s">
        <v>22</v>
      </c>
    </row>
    <row r="224" spans="2:44" ht="13" customHeight="1">
      <c r="C224" s="1470"/>
      <c r="U224" s="1470" t="s">
        <v>25</v>
      </c>
      <c r="V224" s="2777" t="str">
        <f>IF('＜入力不要＞報告書'!V224="","",'＜入力不要＞報告書'!V224)</f>
        <v/>
      </c>
      <c r="W224" s="2777"/>
      <c r="X224" s="2777"/>
      <c r="Y224" s="2777"/>
      <c r="Z224" s="2777"/>
      <c r="AA224" s="1461" t="s">
        <v>22</v>
      </c>
      <c r="AC224" s="1470" t="s">
        <v>25</v>
      </c>
      <c r="AD224" s="2776" t="str">
        <f>IF('＜入力不要＞報告書'!AD224="","",'＜入力不要＞報告書'!AD224)</f>
        <v/>
      </c>
      <c r="AE224" s="2776"/>
      <c r="AF224" s="2776"/>
      <c r="AG224" s="2776"/>
      <c r="AH224" s="1536" t="s">
        <v>28</v>
      </c>
      <c r="AI224" s="1461" t="s">
        <v>22</v>
      </c>
    </row>
    <row r="225" spans="2:46" ht="13" customHeight="1">
      <c r="C225" s="1470"/>
      <c r="U225" s="1470" t="s">
        <v>25</v>
      </c>
      <c r="V225" s="2777" t="str">
        <f>IF('＜入力不要＞報告書'!V225="","",'＜入力不要＞報告書'!V225)</f>
        <v/>
      </c>
      <c r="W225" s="2777"/>
      <c r="X225" s="2777"/>
      <c r="Y225" s="2777"/>
      <c r="Z225" s="2777"/>
      <c r="AA225" s="1461" t="s">
        <v>22</v>
      </c>
      <c r="AC225" s="1470" t="s">
        <v>25</v>
      </c>
      <c r="AD225" s="2776" t="str">
        <f>IF('＜入力不要＞報告書'!AD225="","",'＜入力不要＞報告書'!AD225)</f>
        <v/>
      </c>
      <c r="AE225" s="2776"/>
      <c r="AF225" s="2776"/>
      <c r="AG225" s="2776"/>
      <c r="AH225" s="1536" t="s">
        <v>28</v>
      </c>
      <c r="AI225" s="1461" t="s">
        <v>22</v>
      </c>
    </row>
    <row r="226" spans="2:46" ht="13" customHeight="1">
      <c r="C226" s="1470"/>
      <c r="N226" s="1470" t="s">
        <v>25</v>
      </c>
      <c r="O226" s="2778" t="str">
        <f>IF('＜入力不要＞報告書'!O226="","",'＜入力不要＞報告書'!O226)</f>
        <v/>
      </c>
      <c r="P226" s="2778"/>
      <c r="Q226" s="2778"/>
      <c r="R226" s="1461" t="s">
        <v>330</v>
      </c>
      <c r="U226" s="1470" t="s">
        <v>25</v>
      </c>
      <c r="V226" s="2777" t="str">
        <f>IF('＜入力不要＞報告書'!V226="","",'＜入力不要＞報告書'!V226)</f>
        <v/>
      </c>
      <c r="W226" s="2777"/>
      <c r="X226" s="2777"/>
      <c r="Y226" s="2777"/>
      <c r="Z226" s="2777"/>
      <c r="AA226" s="1461" t="s">
        <v>22</v>
      </c>
      <c r="AC226" s="1470" t="s">
        <v>25</v>
      </c>
      <c r="AD226" s="2776" t="str">
        <f>IF('＜入力不要＞報告書'!AD226="","",'＜入力不要＞報告書'!AD226)</f>
        <v/>
      </c>
      <c r="AE226" s="2776"/>
      <c r="AF226" s="2776"/>
      <c r="AG226" s="2776"/>
      <c r="AH226" s="1536" t="s">
        <v>28</v>
      </c>
      <c r="AI226" s="1461" t="s">
        <v>22</v>
      </c>
    </row>
    <row r="227" spans="2:46" ht="13" customHeight="1">
      <c r="C227" s="1470"/>
      <c r="U227" s="1470" t="s">
        <v>25</v>
      </c>
      <c r="V227" s="2777" t="str">
        <f>IF('＜入力不要＞報告書'!V227="","",'＜入力不要＞報告書'!V227)</f>
        <v/>
      </c>
      <c r="W227" s="2777"/>
      <c r="X227" s="2777"/>
      <c r="Y227" s="2777"/>
      <c r="Z227" s="2777"/>
      <c r="AA227" s="1461" t="s">
        <v>22</v>
      </c>
      <c r="AC227" s="1470" t="s">
        <v>25</v>
      </c>
      <c r="AD227" s="2776" t="str">
        <f>IF('＜入力不要＞報告書'!AD227="","",'＜入力不要＞報告書'!AD227)</f>
        <v/>
      </c>
      <c r="AE227" s="2776"/>
      <c r="AF227" s="2776"/>
      <c r="AG227" s="2776"/>
      <c r="AH227" s="1536" t="s">
        <v>28</v>
      </c>
      <c r="AI227" s="1461" t="s">
        <v>22</v>
      </c>
    </row>
    <row r="228" spans="2:46" ht="13" customHeight="1">
      <c r="C228" s="1470"/>
      <c r="U228" s="1470" t="s">
        <v>25</v>
      </c>
      <c r="V228" s="2777" t="str">
        <f>IF('＜入力不要＞報告書'!V228="","",'＜入力不要＞報告書'!V228)</f>
        <v/>
      </c>
      <c r="W228" s="2777"/>
      <c r="X228" s="2777"/>
      <c r="Y228" s="2777"/>
      <c r="Z228" s="2777"/>
      <c r="AA228" s="1461" t="s">
        <v>22</v>
      </c>
      <c r="AC228" s="1470" t="s">
        <v>25</v>
      </c>
      <c r="AD228" s="2776" t="str">
        <f>IF('＜入力不要＞報告書'!AD228="","",'＜入力不要＞報告書'!AD228)</f>
        <v/>
      </c>
      <c r="AE228" s="2776"/>
      <c r="AF228" s="2776"/>
      <c r="AG228" s="2776"/>
      <c r="AH228" s="1536" t="s">
        <v>28</v>
      </c>
      <c r="AI228" s="1461" t="s">
        <v>22</v>
      </c>
    </row>
    <row r="229" spans="2:46" ht="13" customHeight="1">
      <c r="D229" s="1470" t="s">
        <v>465</v>
      </c>
      <c r="U229" s="1470" t="s">
        <v>25</v>
      </c>
      <c r="V229" s="2777" t="str">
        <f>IF('＜入力不要＞報告書'!V229="","",'＜入力不要＞報告書'!V229)</f>
        <v/>
      </c>
      <c r="W229" s="2777"/>
      <c r="X229" s="2777"/>
      <c r="Y229" s="2777"/>
      <c r="Z229" s="2777"/>
      <c r="AA229" s="1461" t="s">
        <v>22</v>
      </c>
      <c r="AC229" s="1470" t="s">
        <v>25</v>
      </c>
      <c r="AD229" s="2776" t="str">
        <f>IF('＜入力不要＞報告書'!AD229="","",'＜入力不要＞報告書'!AD229)</f>
        <v/>
      </c>
      <c r="AE229" s="2776"/>
      <c r="AF229" s="2776"/>
      <c r="AG229" s="2776"/>
      <c r="AH229" s="1536" t="s">
        <v>28</v>
      </c>
      <c r="AI229" s="1461" t="s">
        <v>22</v>
      </c>
    </row>
    <row r="230" spans="2:46" ht="13" customHeight="1">
      <c r="C230" s="1470"/>
      <c r="U230" s="1470" t="s">
        <v>25</v>
      </c>
      <c r="V230" s="2777" t="str">
        <f>IF('＜入力不要＞報告書'!V230="","",'＜入力不要＞報告書'!V230)</f>
        <v/>
      </c>
      <c r="W230" s="2777"/>
      <c r="X230" s="2777"/>
      <c r="Y230" s="2777"/>
      <c r="Z230" s="2777"/>
      <c r="AA230" s="1461" t="s">
        <v>22</v>
      </c>
      <c r="AC230" s="1470" t="s">
        <v>25</v>
      </c>
      <c r="AD230" s="2776" t="str">
        <f>IF('＜入力不要＞報告書'!AD230="","",'＜入力不要＞報告書'!AD230)</f>
        <v/>
      </c>
      <c r="AE230" s="2776"/>
      <c r="AF230" s="2776"/>
      <c r="AG230" s="2776"/>
      <c r="AH230" s="1536" t="s">
        <v>28</v>
      </c>
      <c r="AI230" s="1461" t="s">
        <v>22</v>
      </c>
    </row>
    <row r="231" spans="2:46" ht="13" customHeight="1">
      <c r="C231" s="1470"/>
      <c r="U231" s="1470" t="s">
        <v>25</v>
      </c>
      <c r="V231" s="2777" t="str">
        <f>IF('＜入力不要＞報告書'!V231="","",'＜入力不要＞報告書'!V231)</f>
        <v/>
      </c>
      <c r="W231" s="2777"/>
      <c r="X231" s="2777"/>
      <c r="Y231" s="2777"/>
      <c r="Z231" s="2777"/>
      <c r="AA231" s="1461" t="s">
        <v>22</v>
      </c>
      <c r="AC231" s="1470" t="s">
        <v>25</v>
      </c>
      <c r="AD231" s="2776" t="str">
        <f>IF('＜入力不要＞報告書'!AD231="","",'＜入力不要＞報告書'!AD231)</f>
        <v/>
      </c>
      <c r="AE231" s="2776"/>
      <c r="AF231" s="2776"/>
      <c r="AG231" s="2776"/>
      <c r="AH231" s="1536" t="s">
        <v>28</v>
      </c>
      <c r="AI231" s="1461" t="s">
        <v>22</v>
      </c>
    </row>
    <row r="232" spans="2:46" ht="13" hidden="1" customHeight="1">
      <c r="B232" s="1470" t="s">
        <v>466</v>
      </c>
    </row>
    <row r="233" spans="2:46" ht="13" hidden="1" customHeight="1">
      <c r="C233" s="1470" t="s">
        <v>425</v>
      </c>
      <c r="J233" s="1487" t="s">
        <v>467</v>
      </c>
      <c r="K233" s="2779"/>
      <c r="L233" s="2779"/>
      <c r="M233" s="1461" t="s">
        <v>468</v>
      </c>
      <c r="V233" s="1487"/>
      <c r="W233" s="1468" t="s">
        <v>25</v>
      </c>
      <c r="X233" s="2779"/>
      <c r="Y233" s="2779"/>
      <c r="Z233" s="2779"/>
      <c r="AA233" s="2779"/>
      <c r="AB233" s="2779"/>
      <c r="AC233" s="2779"/>
      <c r="AG233" s="1487" t="s">
        <v>469</v>
      </c>
      <c r="AH233" s="2861"/>
      <c r="AI233" s="2861"/>
      <c r="AJ233" s="2861"/>
      <c r="AK233" s="2861"/>
      <c r="AL233" s="2861"/>
      <c r="AM233" s="2861"/>
      <c r="AN233" s="2861"/>
      <c r="AO233" s="1461" t="s">
        <v>4</v>
      </c>
    </row>
    <row r="234" spans="2:46" ht="13" hidden="1" customHeight="1">
      <c r="C234" s="1470"/>
      <c r="J234" s="1461" t="s">
        <v>470</v>
      </c>
      <c r="AG234" s="1487" t="s">
        <v>3</v>
      </c>
      <c r="AH234" s="2861"/>
      <c r="AI234" s="2861"/>
      <c r="AJ234" s="2861"/>
      <c r="AK234" s="2861"/>
      <c r="AL234" s="2861"/>
      <c r="AM234" s="2861"/>
      <c r="AN234" s="2861"/>
      <c r="AO234" s="1461" t="s">
        <v>4</v>
      </c>
    </row>
    <row r="235" spans="2:46" ht="12" hidden="1" customHeight="1">
      <c r="C235" s="1470"/>
      <c r="J235" s="1461" t="s">
        <v>471</v>
      </c>
      <c r="AG235" s="1487" t="s">
        <v>3</v>
      </c>
      <c r="AH235" s="2861"/>
      <c r="AI235" s="2861"/>
      <c r="AJ235" s="2861"/>
      <c r="AK235" s="2861"/>
      <c r="AL235" s="2861"/>
      <c r="AM235" s="2861"/>
      <c r="AN235" s="2861"/>
      <c r="AO235" s="1461" t="s">
        <v>4</v>
      </c>
    </row>
    <row r="236" spans="2:46" ht="13" hidden="1" customHeight="1">
      <c r="C236" s="1470" t="s">
        <v>416</v>
      </c>
      <c r="N236" s="2829"/>
      <c r="O236" s="2829"/>
      <c r="P236" s="2829"/>
      <c r="Q236" s="2829"/>
      <c r="R236" s="2829"/>
      <c r="S236" s="2829"/>
      <c r="T236" s="2829"/>
      <c r="U236" s="2829"/>
      <c r="V236" s="2829"/>
      <c r="W236" s="2829"/>
      <c r="X236" s="2829"/>
      <c r="Y236" s="2829"/>
      <c r="Z236" s="2829"/>
      <c r="AA236" s="2829"/>
      <c r="AB236" s="2829"/>
      <c r="AC236" s="2829"/>
      <c r="AD236" s="2829"/>
      <c r="AE236" s="2829"/>
      <c r="AF236" s="2829"/>
      <c r="AG236" s="2829"/>
      <c r="AH236" s="2829"/>
      <c r="AI236" s="2829"/>
      <c r="AJ236" s="2829"/>
      <c r="AK236" s="2829"/>
      <c r="AL236" s="2829"/>
      <c r="AM236" s="2829"/>
      <c r="AN236" s="2829"/>
      <c r="AO236" s="2829"/>
      <c r="AP236" s="2829"/>
      <c r="AQ236" s="2829"/>
      <c r="AR236" s="2829"/>
      <c r="AS236" s="2829"/>
      <c r="AT236" s="2829"/>
    </row>
    <row r="237" spans="2:46" ht="13" hidden="1" customHeight="1">
      <c r="C237" s="1470" t="s">
        <v>472</v>
      </c>
      <c r="N237" s="2862"/>
      <c r="O237" s="2862"/>
      <c r="P237" s="2862"/>
      <c r="Q237" s="2862"/>
      <c r="R237" s="2862"/>
      <c r="S237" s="2862"/>
      <c r="T237" s="2862"/>
      <c r="U237" s="2862"/>
      <c r="V237" s="2862"/>
      <c r="W237" s="2862"/>
      <c r="X237" s="2862"/>
      <c r="Y237" s="2862"/>
      <c r="Z237" s="2862"/>
      <c r="AA237" s="2862"/>
      <c r="AB237" s="2862"/>
      <c r="AC237" s="2862"/>
      <c r="AD237" s="2862"/>
      <c r="AE237" s="2862"/>
      <c r="AF237" s="2862"/>
      <c r="AG237" s="2862"/>
      <c r="AH237" s="2862"/>
      <c r="AI237" s="2862"/>
      <c r="AJ237" s="2862"/>
      <c r="AK237" s="2862"/>
      <c r="AL237" s="2862"/>
      <c r="AM237" s="2862"/>
      <c r="AN237" s="2862"/>
      <c r="AO237" s="2862"/>
      <c r="AP237" s="2862"/>
      <c r="AQ237" s="2862"/>
      <c r="AR237" s="2862"/>
      <c r="AS237" s="2862"/>
      <c r="AT237" s="2862"/>
    </row>
    <row r="238" spans="2:46" ht="13" hidden="1" customHeight="1">
      <c r="C238" s="1470" t="s">
        <v>473</v>
      </c>
      <c r="N238" s="2829"/>
      <c r="O238" s="2829"/>
      <c r="P238" s="2829"/>
      <c r="Q238" s="2829"/>
      <c r="R238" s="2829"/>
      <c r="S238" s="2829"/>
      <c r="T238" s="2829"/>
      <c r="U238" s="2829"/>
      <c r="V238" s="2829"/>
      <c r="W238" s="2829"/>
      <c r="X238" s="2829"/>
      <c r="Y238" s="2829"/>
      <c r="Z238" s="2829"/>
      <c r="AA238" s="2829"/>
      <c r="AB238" s="2829"/>
      <c r="AC238" s="2829"/>
      <c r="AD238" s="2829"/>
      <c r="AE238" s="2829"/>
      <c r="AF238" s="2829"/>
      <c r="AG238" s="2829"/>
      <c r="AH238" s="2829"/>
      <c r="AI238" s="2829"/>
      <c r="AJ238" s="2829"/>
      <c r="AK238" s="2829"/>
      <c r="AL238" s="2829"/>
      <c r="AM238" s="2829"/>
      <c r="AN238" s="2829"/>
      <c r="AO238" s="2829"/>
      <c r="AP238" s="2829"/>
      <c r="AQ238" s="2829"/>
      <c r="AR238" s="2829"/>
      <c r="AS238" s="2829"/>
      <c r="AT238" s="2829"/>
    </row>
    <row r="239" spans="2:46" ht="13" hidden="1" customHeight="1">
      <c r="C239" s="1470"/>
      <c r="J239" s="1487" t="s">
        <v>467</v>
      </c>
      <c r="K239" s="2779"/>
      <c r="L239" s="2779"/>
      <c r="M239" s="1461" t="s">
        <v>474</v>
      </c>
      <c r="V239" s="1487"/>
      <c r="W239" s="1468" t="s">
        <v>25</v>
      </c>
      <c r="X239" s="2779"/>
      <c r="Y239" s="2779"/>
      <c r="Z239" s="2779"/>
      <c r="AA239" s="2779"/>
      <c r="AG239" s="1487" t="s">
        <v>475</v>
      </c>
      <c r="AH239" s="2861"/>
      <c r="AI239" s="2861"/>
      <c r="AJ239" s="2861"/>
      <c r="AK239" s="2861"/>
      <c r="AL239" s="2861"/>
      <c r="AM239" s="2861"/>
      <c r="AN239" s="2861"/>
      <c r="AO239" s="1461" t="s">
        <v>4</v>
      </c>
    </row>
    <row r="240" spans="2:46" ht="13" hidden="1" customHeight="1">
      <c r="C240" s="1470" t="s">
        <v>476</v>
      </c>
      <c r="N240" s="2864"/>
      <c r="O240" s="2864"/>
      <c r="P240" s="2864"/>
      <c r="Q240" s="2864"/>
      <c r="R240" s="2864"/>
      <c r="S240" s="2864"/>
      <c r="T240" s="2864"/>
      <c r="U240" s="2864"/>
      <c r="V240" s="2864"/>
      <c r="W240" s="1476"/>
      <c r="X240" s="1476"/>
      <c r="Y240" s="1476"/>
      <c r="Z240" s="1476"/>
      <c r="AA240" s="1476"/>
      <c r="AB240" s="1476"/>
      <c r="AC240" s="1476"/>
      <c r="AD240" s="1476"/>
      <c r="AE240" s="1476"/>
      <c r="AF240" s="1476"/>
      <c r="AG240" s="1476"/>
      <c r="AH240" s="1476"/>
      <c r="AI240" s="1476"/>
      <c r="AJ240" s="1476"/>
      <c r="AK240" s="1476"/>
      <c r="AL240" s="1476"/>
      <c r="AM240" s="1476"/>
      <c r="AN240" s="1476"/>
      <c r="AO240" s="1476"/>
      <c r="AP240" s="1477"/>
    </row>
    <row r="241" spans="2:46" ht="13" hidden="1" customHeight="1">
      <c r="C241" s="1470" t="s">
        <v>477</v>
      </c>
      <c r="N241" s="2829"/>
      <c r="O241" s="2829"/>
      <c r="P241" s="2829"/>
      <c r="Q241" s="2829"/>
      <c r="R241" s="2829"/>
      <c r="S241" s="2829"/>
      <c r="T241" s="2829"/>
      <c r="U241" s="2829"/>
      <c r="V241" s="2829"/>
      <c r="W241" s="2829"/>
      <c r="X241" s="2829"/>
      <c r="Y241" s="2829"/>
      <c r="Z241" s="2829"/>
      <c r="AA241" s="2829"/>
      <c r="AB241" s="2829"/>
      <c r="AC241" s="2829"/>
      <c r="AD241" s="2829"/>
      <c r="AE241" s="2829"/>
      <c r="AF241" s="2829"/>
      <c r="AG241" s="2829"/>
      <c r="AH241" s="2829"/>
      <c r="AI241" s="2829"/>
      <c r="AJ241" s="2829"/>
      <c r="AK241" s="2829"/>
      <c r="AL241" s="2829"/>
      <c r="AM241" s="2829"/>
      <c r="AN241" s="2829"/>
      <c r="AO241" s="2829"/>
      <c r="AP241" s="2829"/>
      <c r="AQ241" s="2829"/>
      <c r="AR241" s="2829"/>
      <c r="AS241" s="2829"/>
      <c r="AT241" s="2829"/>
    </row>
    <row r="242" spans="2:46" ht="13" hidden="1" customHeight="1">
      <c r="C242" s="1470" t="s">
        <v>423</v>
      </c>
      <c r="N242" s="2862"/>
      <c r="O242" s="2862"/>
      <c r="P242" s="2862"/>
      <c r="Q242" s="2862"/>
      <c r="R242" s="2862"/>
      <c r="S242" s="2862"/>
      <c r="T242" s="2862"/>
      <c r="U242" s="2862"/>
      <c r="V242" s="2862"/>
      <c r="W242" s="2862"/>
      <c r="X242" s="2862"/>
      <c r="Y242" s="2862"/>
      <c r="Z242" s="2862"/>
      <c r="AA242" s="2862"/>
      <c r="AB242" s="2862"/>
      <c r="AC242" s="2862"/>
      <c r="AD242" s="2862"/>
      <c r="AE242" s="1537"/>
      <c r="AF242" s="1537"/>
      <c r="AG242" s="1537"/>
      <c r="AH242" s="1537"/>
      <c r="AI242" s="1537"/>
      <c r="AJ242" s="1537"/>
      <c r="AK242" s="1537"/>
      <c r="AL242" s="1537"/>
      <c r="AM242" s="1537"/>
      <c r="AN242" s="1537"/>
      <c r="AO242" s="1537"/>
      <c r="AP242" s="1538"/>
    </row>
    <row r="243" spans="2:46" ht="4.5" customHeight="1"/>
    <row r="244" spans="2:46" ht="4.5" customHeight="1"/>
    <row r="245" spans="2:46" ht="12" hidden="1" customHeight="1"/>
    <row r="246" spans="2:46" ht="12" hidden="1" customHeight="1"/>
    <row r="247" spans="2:46" ht="12" hidden="1" customHeight="1"/>
    <row r="248" spans="2:46" ht="14.15" customHeight="1">
      <c r="B248" s="1470" t="s">
        <v>478</v>
      </c>
      <c r="O248" s="1609" t="str">
        <f>IF('＜入力不要＞報告書'!O248="","",'＜入力不要＞報告書'!O248)</f>
        <v/>
      </c>
      <c r="P248" s="1461" t="s">
        <v>285</v>
      </c>
      <c r="V248" s="1488"/>
      <c r="AF248" s="1609" t="str">
        <f>IF('＜入力不要＞報告書'!AF248="","",'＜入力不要＞報告書'!AF248)</f>
        <v/>
      </c>
      <c r="AG248" s="1461" t="s">
        <v>479</v>
      </c>
    </row>
    <row r="249" spans="2:46" ht="13" customHeight="1">
      <c r="O249" s="1609" t="str">
        <f>IF('＜入力不要＞報告書'!O249="","",'＜入力不要＞報告書'!O249)</f>
        <v/>
      </c>
      <c r="P249" s="1461" t="s">
        <v>480</v>
      </c>
      <c r="Z249" s="2966" t="str">
        <f>IF('＜入力不要＞報告書'!Z249="","",'＜入力不要＞報告書'!Z249)</f>
        <v/>
      </c>
      <c r="AA249" s="2966"/>
      <c r="AB249" s="2966"/>
      <c r="AC249" s="1534" t="s">
        <v>330</v>
      </c>
      <c r="AF249" s="1609" t="str">
        <f>IF('＜入力不要＞報告書'!AF249="","",'＜入力不要＞報告書'!AF249)</f>
        <v/>
      </c>
      <c r="AG249" s="1461" t="s">
        <v>481</v>
      </c>
      <c r="AP249" s="2966" t="str">
        <f>IF('＜入力不要＞報告書'!AP249="","",'＜入力不要＞報告書'!AP249)</f>
        <v/>
      </c>
      <c r="AQ249" s="2966"/>
      <c r="AR249" s="2966"/>
      <c r="AS249" s="1534" t="s">
        <v>330</v>
      </c>
    </row>
    <row r="250" spans="2:46" ht="13" customHeight="1">
      <c r="C250" s="1470"/>
      <c r="O250" s="1609" t="str">
        <f>IF('＜入力不要＞報告書'!O250="","",'＜入力不要＞報告書'!O250)</f>
        <v/>
      </c>
      <c r="P250" s="1461" t="s">
        <v>482</v>
      </c>
      <c r="S250" s="1488"/>
      <c r="T250" s="1488"/>
      <c r="U250" s="1488"/>
      <c r="V250" s="1488"/>
      <c r="W250" s="1488"/>
      <c r="X250" s="1488"/>
      <c r="Y250" s="1488"/>
      <c r="Z250" s="1488"/>
      <c r="AA250" s="1488"/>
      <c r="AB250" s="1488"/>
    </row>
    <row r="251" spans="2:46" ht="13" customHeight="1">
      <c r="C251" s="1470"/>
      <c r="O251" s="1609" t="str">
        <f>IF('＜入力不要＞報告書'!O251="","",'＜入力不要＞報告書'!O251)</f>
        <v/>
      </c>
      <c r="P251" s="1461" t="s">
        <v>450</v>
      </c>
      <c r="S251" s="1488"/>
      <c r="T251" s="2835" t="str">
        <f>IF('＜入力不要＞報告書'!T251="","",'＜入力不要＞報告書'!T251)</f>
        <v/>
      </c>
      <c r="U251" s="2835"/>
      <c r="V251" s="2835"/>
      <c r="W251" s="2835"/>
      <c r="X251" s="2835"/>
      <c r="Y251" s="2835"/>
      <c r="Z251" s="2835"/>
      <c r="AA251" s="2835"/>
      <c r="AB251" s="2835"/>
      <c r="AC251" s="2835"/>
      <c r="AD251" s="2835"/>
      <c r="AE251" s="2835"/>
      <c r="AF251" s="2835"/>
      <c r="AG251" s="2835"/>
      <c r="AH251" s="2835"/>
      <c r="AI251" s="2835"/>
      <c r="AJ251" s="2835"/>
      <c r="AK251" s="2835"/>
      <c r="AL251" s="2835"/>
      <c r="AM251" s="2835"/>
      <c r="AN251" s="2835"/>
      <c r="AO251" s="2835"/>
      <c r="AP251" s="1534" t="s">
        <v>22</v>
      </c>
    </row>
    <row r="252" spans="2:46" ht="12" hidden="1" customHeight="1"/>
    <row r="253" spans="2:46" ht="12" hidden="1" customHeight="1"/>
    <row r="254" spans="2:46" ht="4.5" customHeight="1"/>
    <row r="255" spans="2:46" ht="4.5" customHeight="1"/>
    <row r="256" spans="2:46" ht="14.15" customHeight="1">
      <c r="B256" s="1470" t="s">
        <v>483</v>
      </c>
    </row>
    <row r="257" spans="2:46" ht="13" customHeight="1">
      <c r="K257" s="2967" t="str">
        <f>IF('＜入力不要＞報告書'!K257="","",'＜入力不要＞報告書'!K257)</f>
        <v/>
      </c>
      <c r="L257" s="2967"/>
      <c r="M257" s="2968" t="str">
        <f>IF('＜入力不要＞報告書'!M257="","",'＜入力不要＞報告書'!M257)</f>
        <v/>
      </c>
      <c r="N257" s="2968"/>
      <c r="O257" s="1469" t="s">
        <v>12</v>
      </c>
      <c r="P257" s="2968" t="str">
        <f>IF('＜入力不要＞報告書'!P257="","",'＜入力不要＞報告書'!P257)</f>
        <v/>
      </c>
      <c r="Q257" s="2968"/>
      <c r="R257" s="1469" t="s">
        <v>383</v>
      </c>
      <c r="S257" s="2968" t="str">
        <f>IF('＜入力不要＞報告書'!S257="","",'＜入力不要＞報告書'!S257)</f>
        <v/>
      </c>
      <c r="T257" s="2968"/>
      <c r="U257" s="1469" t="s">
        <v>399</v>
      </c>
      <c r="X257" s="1461" t="s">
        <v>384</v>
      </c>
      <c r="AA257" s="2969">
        <f>IF('＜入力不要＞報告書'!AA257="","",'＜入力不要＞報告書'!AA257)</f>
        <v>0</v>
      </c>
      <c r="AB257" s="2969"/>
      <c r="AC257" s="2969"/>
      <c r="AD257" s="2969"/>
      <c r="AE257" s="2969"/>
      <c r="AF257" s="2969"/>
      <c r="AG257" s="2969"/>
      <c r="AH257" s="2969"/>
      <c r="AI257" s="2969"/>
      <c r="AJ257" s="2969"/>
      <c r="AK257" s="2969"/>
      <c r="AL257" s="2969"/>
      <c r="AM257" s="2969"/>
      <c r="AN257" s="2969"/>
      <c r="AO257" s="2970"/>
      <c r="AP257" s="2970"/>
      <c r="AQ257" s="2970"/>
      <c r="AR257" s="2970"/>
      <c r="AS257" s="2970"/>
      <c r="AT257" s="1461" t="s">
        <v>22</v>
      </c>
    </row>
    <row r="258" spans="2:46" ht="13" customHeight="1">
      <c r="K258" s="2967" t="str">
        <f>IF('＜入力不要＞報告書'!K258="","",'＜入力不要＞報告書'!K258)</f>
        <v/>
      </c>
      <c r="L258" s="2967"/>
      <c r="M258" s="2968" t="str">
        <f>IF('＜入力不要＞報告書'!M258="","",'＜入力不要＞報告書'!M258)</f>
        <v/>
      </c>
      <c r="N258" s="2968"/>
      <c r="O258" s="1469" t="s">
        <v>12</v>
      </c>
      <c r="P258" s="2968" t="str">
        <f>IF('＜入力不要＞報告書'!P258="","",'＜入力不要＞報告書'!P258)</f>
        <v/>
      </c>
      <c r="Q258" s="2968"/>
      <c r="R258" s="1469" t="s">
        <v>383</v>
      </c>
      <c r="S258" s="2968" t="str">
        <f>IF('＜入力不要＞報告書'!S258="","",'＜入力不要＞報告書'!S258)</f>
        <v/>
      </c>
      <c r="T258" s="2968"/>
      <c r="U258" s="1469" t="s">
        <v>399</v>
      </c>
      <c r="X258" s="1461" t="s">
        <v>384</v>
      </c>
      <c r="AA258" s="2969">
        <f>IF('＜入力不要＞報告書'!AA258="","",'＜入力不要＞報告書'!AA258)</f>
        <v>0</v>
      </c>
      <c r="AB258" s="2969"/>
      <c r="AC258" s="2969"/>
      <c r="AD258" s="2969"/>
      <c r="AE258" s="2969"/>
      <c r="AF258" s="2969"/>
      <c r="AG258" s="2969"/>
      <c r="AH258" s="2969"/>
      <c r="AI258" s="2969"/>
      <c r="AJ258" s="2969"/>
      <c r="AK258" s="2969"/>
      <c r="AL258" s="2969"/>
      <c r="AM258" s="2969"/>
      <c r="AN258" s="2969"/>
      <c r="AO258" s="2970"/>
      <c r="AP258" s="2970"/>
      <c r="AQ258" s="2970"/>
      <c r="AR258" s="2970"/>
      <c r="AS258" s="2970"/>
      <c r="AT258" s="1461" t="s">
        <v>22</v>
      </c>
    </row>
    <row r="259" spans="2:46" ht="13" customHeight="1">
      <c r="K259" s="2967" t="str">
        <f>IF('＜入力不要＞報告書'!K259="","",'＜入力不要＞報告書'!K259)</f>
        <v/>
      </c>
      <c r="L259" s="2967"/>
      <c r="M259" s="2968" t="str">
        <f>IF('＜入力不要＞報告書'!M259="","",'＜入力不要＞報告書'!M259)</f>
        <v/>
      </c>
      <c r="N259" s="2968"/>
      <c r="O259" s="1469" t="s">
        <v>12</v>
      </c>
      <c r="P259" s="2968" t="str">
        <f>IF('＜入力不要＞報告書'!P259="","",'＜入力不要＞報告書'!P259)</f>
        <v/>
      </c>
      <c r="Q259" s="2968"/>
      <c r="R259" s="1469" t="s">
        <v>383</v>
      </c>
      <c r="S259" s="2968" t="str">
        <f>IF('＜入力不要＞報告書'!S259="","",'＜入力不要＞報告書'!S259)</f>
        <v/>
      </c>
      <c r="T259" s="2968"/>
      <c r="U259" s="1469" t="s">
        <v>399</v>
      </c>
      <c r="X259" s="1461" t="s">
        <v>384</v>
      </c>
      <c r="AA259" s="2969">
        <f>IF('＜入力不要＞報告書'!AA259="","",'＜入力不要＞報告書'!AA259)</f>
        <v>0</v>
      </c>
      <c r="AB259" s="2969"/>
      <c r="AC259" s="2969"/>
      <c r="AD259" s="2969"/>
      <c r="AE259" s="2969"/>
      <c r="AF259" s="2969"/>
      <c r="AG259" s="2969"/>
      <c r="AH259" s="2969"/>
      <c r="AI259" s="2969"/>
      <c r="AJ259" s="2969"/>
      <c r="AK259" s="2969"/>
      <c r="AL259" s="2969"/>
      <c r="AM259" s="2969"/>
      <c r="AN259" s="2969"/>
      <c r="AO259" s="2970"/>
      <c r="AP259" s="2970"/>
      <c r="AQ259" s="2970"/>
      <c r="AR259" s="2970"/>
      <c r="AS259" s="2970"/>
      <c r="AT259" s="1461" t="s">
        <v>22</v>
      </c>
    </row>
    <row r="260" spans="2:46" ht="13" customHeight="1">
      <c r="J260" s="1539"/>
      <c r="K260" s="2967" t="str">
        <f>IF('＜入力不要＞報告書'!K260="","",'＜入力不要＞報告書'!K260)</f>
        <v/>
      </c>
      <c r="L260" s="2967"/>
      <c r="M260" s="2968" t="str">
        <f>IF('＜入力不要＞報告書'!M260="","",'＜入力不要＞報告書'!M260)</f>
        <v/>
      </c>
      <c r="N260" s="2968"/>
      <c r="O260" s="1469" t="s">
        <v>12</v>
      </c>
      <c r="P260" s="2968" t="str">
        <f>IF('＜入力不要＞報告書'!P260="","",'＜入力不要＞報告書'!P260)</f>
        <v/>
      </c>
      <c r="Q260" s="2968"/>
      <c r="R260" s="1469" t="s">
        <v>383</v>
      </c>
      <c r="S260" s="2968" t="str">
        <f>IF('＜入力不要＞報告書'!S260="","",'＜入力不要＞報告書'!S260)</f>
        <v/>
      </c>
      <c r="T260" s="2968"/>
      <c r="U260" s="1469" t="s">
        <v>399</v>
      </c>
      <c r="X260" s="1461" t="s">
        <v>384</v>
      </c>
      <c r="AA260" s="2969">
        <f>IF('＜入力不要＞報告書'!AA260="","",'＜入力不要＞報告書'!AA260)</f>
        <v>0</v>
      </c>
      <c r="AB260" s="2969"/>
      <c r="AC260" s="2969"/>
      <c r="AD260" s="2969"/>
      <c r="AE260" s="2969"/>
      <c r="AF260" s="2969"/>
      <c r="AG260" s="2969"/>
      <c r="AH260" s="2969"/>
      <c r="AI260" s="2969"/>
      <c r="AJ260" s="2969"/>
      <c r="AK260" s="2969"/>
      <c r="AL260" s="2969"/>
      <c r="AM260" s="2969"/>
      <c r="AN260" s="2969"/>
      <c r="AO260" s="2970"/>
      <c r="AP260" s="2970"/>
      <c r="AQ260" s="2970"/>
      <c r="AR260" s="2970"/>
      <c r="AS260" s="2970"/>
      <c r="AT260" s="1461" t="s">
        <v>22</v>
      </c>
    </row>
    <row r="261" spans="2:46" ht="12" hidden="1" customHeight="1">
      <c r="C261" s="1470"/>
    </row>
    <row r="262" spans="2:46" ht="12" hidden="1" customHeight="1">
      <c r="C262" s="1470"/>
    </row>
    <row r="263" spans="2:46" ht="12" hidden="1" customHeight="1">
      <c r="C263" s="1470"/>
    </row>
    <row r="264" spans="2:46" ht="4.5" customHeight="1"/>
    <row r="265" spans="2:46" ht="4.5" customHeight="1"/>
    <row r="266" spans="2:46" ht="12" hidden="1" customHeight="1"/>
    <row r="267" spans="2:46" ht="12" hidden="1" customHeight="1">
      <c r="B267" s="1470"/>
    </row>
    <row r="268" spans="2:46" ht="12" hidden="1" customHeight="1">
      <c r="B268" s="1470"/>
    </row>
    <row r="269" spans="2:46" ht="12" hidden="1" customHeight="1">
      <c r="B269" s="1470"/>
    </row>
    <row r="270" spans="2:46" ht="12" hidden="1" customHeight="1">
      <c r="B270" s="1470"/>
    </row>
    <row r="271" spans="2:46" ht="14.15" customHeight="1">
      <c r="B271" s="1470" t="s">
        <v>484</v>
      </c>
    </row>
    <row r="272" spans="2:46" ht="13" customHeight="1">
      <c r="D272" s="1470" t="s">
        <v>485</v>
      </c>
      <c r="P272" s="1609" t="str">
        <f>IF('＜入力不要＞報告書'!P272="","",'＜入力不要＞報告書'!P272)</f>
        <v/>
      </c>
      <c r="Q272" s="1461" t="s">
        <v>486</v>
      </c>
      <c r="R272" s="1488"/>
      <c r="S272" s="1609" t="str">
        <f>IF('＜入力不要＞報告書'!S272="","",'＜入力不要＞報告書'!S272)</f>
        <v/>
      </c>
      <c r="T272" s="1461" t="s">
        <v>487</v>
      </c>
      <c r="AB272" s="1609" t="str">
        <f>IF('＜入力不要＞報告書'!AB272="","",'＜入力不要＞報告書'!AB272)</f>
        <v/>
      </c>
      <c r="AC272" s="1461" t="s">
        <v>226</v>
      </c>
    </row>
    <row r="273" spans="2:67" ht="13" customHeight="1">
      <c r="D273" s="1470" t="s">
        <v>488</v>
      </c>
      <c r="P273" s="1609" t="str">
        <f>IF('＜入力不要＞報告書'!P273="","",'＜入力不要＞報告書'!P273)</f>
        <v/>
      </c>
      <c r="Q273" s="1461" t="s">
        <v>489</v>
      </c>
      <c r="S273" s="1609" t="str">
        <f>IF('＜入力不要＞報告書'!S273="","",'＜入力不要＞報告書'!S273)</f>
        <v/>
      </c>
      <c r="T273" s="1461" t="s">
        <v>226</v>
      </c>
    </row>
    <row r="274" spans="2:67" ht="12" customHeight="1">
      <c r="D274" s="1470"/>
      <c r="P274" s="1461" t="s">
        <v>250</v>
      </c>
      <c r="U274" s="2793" t="str">
        <f>IF('＜入力不要＞報告書'!U274="","",'＜入力不要＞報告書'!U274)</f>
        <v/>
      </c>
      <c r="V274" s="2793"/>
      <c r="W274" s="2779" t="str">
        <f>IF('＜入力不要＞報告書'!W274="","",'＜入力不要＞報告書'!W274)</f>
        <v/>
      </c>
      <c r="X274" s="2779"/>
      <c r="Y274" s="1461" t="s">
        <v>12</v>
      </c>
      <c r="Z274" s="2779" t="str">
        <f>IF('＜入力不要＞報告書'!Z274="","",'＜入力不要＞報告書'!Z274)</f>
        <v/>
      </c>
      <c r="AA274" s="2779"/>
      <c r="AB274" s="1461" t="s">
        <v>383</v>
      </c>
      <c r="AC274" s="2779" t="str">
        <f>IF('＜入力不要＞報告書'!AC274="","",'＜入力不要＞報告書'!AC274)</f>
        <v/>
      </c>
      <c r="AD274" s="2779"/>
      <c r="AE274" s="1461" t="s">
        <v>399</v>
      </c>
      <c r="AG274" s="1461" t="s">
        <v>3</v>
      </c>
      <c r="AH274" s="2867" t="str">
        <f>IF('＜入力不要＞報告書'!AH274="","",'＜入力不要＞報告書'!AH274)</f>
        <v/>
      </c>
      <c r="AI274" s="2867"/>
      <c r="AJ274" s="2867"/>
      <c r="AK274" s="2867"/>
      <c r="AL274" s="2867"/>
      <c r="AM274" s="2867"/>
      <c r="AN274" s="2970"/>
      <c r="AO274" s="2970"/>
      <c r="AP274" s="2970"/>
      <c r="AQ274" s="2970"/>
      <c r="AR274" s="2970"/>
      <c r="AS274" s="1540" t="s">
        <v>415</v>
      </c>
    </row>
    <row r="275" spans="2:67" ht="13" customHeight="1">
      <c r="D275" s="1470"/>
      <c r="P275" s="1461" t="s">
        <v>490</v>
      </c>
      <c r="U275" s="1609" t="str">
        <f>IF('＜入力不要＞報告書'!U275="","",'＜入力不要＞報告書'!U275)</f>
        <v/>
      </c>
      <c r="V275" s="1461" t="s">
        <v>291</v>
      </c>
      <c r="AA275" s="1609" t="str">
        <f>IF('＜入力不要＞報告書'!AA275="","",'＜入力不要＞報告書'!AA275)</f>
        <v/>
      </c>
      <c r="AB275" s="1461" t="s">
        <v>491</v>
      </c>
      <c r="AK275" s="2867" t="str">
        <f>IF('＜入力不要＞報告書'!AK275="","",'＜入力不要＞報告書'!AK275)</f>
        <v/>
      </c>
      <c r="AL275" s="2867"/>
      <c r="AM275" s="2867"/>
      <c r="AN275" s="2867"/>
      <c r="AO275" s="2867"/>
      <c r="AP275" s="2867"/>
      <c r="AQ275" s="2867"/>
      <c r="AR275" s="2867"/>
      <c r="AS275" s="2971"/>
      <c r="AT275" s="1469" t="s">
        <v>22</v>
      </c>
    </row>
    <row r="276" spans="2:67" ht="13" customHeight="1">
      <c r="D276" s="1470" t="s">
        <v>492</v>
      </c>
      <c r="R276" s="1609" t="str">
        <f>IF('＜入力不要＞報告書'!R276="","",'＜入力不要＞報告書'!R276)</f>
        <v/>
      </c>
      <c r="S276" s="1461" t="s">
        <v>489</v>
      </c>
      <c r="U276" s="1609" t="str">
        <f>IF('＜入力不要＞報告書'!U276="","",'＜入力不要＞報告書'!U276)</f>
        <v/>
      </c>
      <c r="V276" s="1461" t="s">
        <v>226</v>
      </c>
    </row>
    <row r="277" spans="2:67" ht="13" customHeight="1">
      <c r="D277" s="1470" t="s">
        <v>493</v>
      </c>
      <c r="P277" s="1609" t="str">
        <f>IF('＜入力不要＞報告書'!P277="","",'＜入力不要＞報告書'!P277)</f>
        <v/>
      </c>
      <c r="Q277" s="1461" t="s">
        <v>489</v>
      </c>
      <c r="S277" s="1609" t="str">
        <f>IF('＜入力不要＞報告書'!S277="","",'＜入力不要＞報告書'!S277)</f>
        <v/>
      </c>
      <c r="T277" s="1461" t="s">
        <v>226</v>
      </c>
    </row>
    <row r="278" spans="2:67" ht="13" customHeight="1">
      <c r="D278" s="1470"/>
      <c r="P278" s="1461" t="s">
        <v>250</v>
      </c>
      <c r="U278" s="2793" t="str">
        <f>IF('＜入力不要＞報告書'!U278="","",'＜入力不要＞報告書'!U278)</f>
        <v/>
      </c>
      <c r="V278" s="2793"/>
      <c r="W278" s="2779" t="str">
        <f>IF('＜入力不要＞報告書'!W278="","",'＜入力不要＞報告書'!W278)</f>
        <v/>
      </c>
      <c r="X278" s="2779"/>
      <c r="Y278" s="1461" t="s">
        <v>12</v>
      </c>
      <c r="Z278" s="2779" t="str">
        <f>IF('＜入力不要＞報告書'!Z278="","",'＜入力不要＞報告書'!Z278)</f>
        <v/>
      </c>
      <c r="AA278" s="2779"/>
      <c r="AB278" s="1461" t="s">
        <v>383</v>
      </c>
      <c r="AC278" s="2779" t="str">
        <f>IF('＜入力不要＞報告書'!AC278="","",'＜入力不要＞報告書'!AC278)</f>
        <v/>
      </c>
      <c r="AD278" s="2779"/>
      <c r="AE278" s="1461" t="s">
        <v>399</v>
      </c>
      <c r="AG278" s="1461" t="s">
        <v>3</v>
      </c>
      <c r="AH278" s="2866" t="str">
        <f>IF('＜入力不要＞報告書'!AH278="","",'＜入力不要＞報告書'!AH278)</f>
        <v/>
      </c>
      <c r="AI278" s="2866"/>
      <c r="AJ278" s="2866"/>
      <c r="AK278" s="2866"/>
      <c r="AL278" s="2866"/>
      <c r="AM278" s="2866"/>
      <c r="AN278" s="2961"/>
      <c r="AO278" s="2961"/>
      <c r="AP278" s="2961"/>
      <c r="AQ278" s="2961"/>
      <c r="AR278" s="2961"/>
      <c r="AS278" s="1540" t="s">
        <v>415</v>
      </c>
    </row>
    <row r="279" spans="2:67" ht="13" customHeight="1">
      <c r="D279" s="1470"/>
      <c r="P279" s="1461" t="s">
        <v>494</v>
      </c>
      <c r="U279" s="1609" t="str">
        <f>IF('＜入力不要＞報告書'!U279="","",'＜入力不要＞報告書'!U279)</f>
        <v/>
      </c>
      <c r="V279" s="1461" t="s">
        <v>291</v>
      </c>
      <c r="AA279" s="1609" t="str">
        <f>IF('＜入力不要＞報告書'!AA279="","",'＜入力不要＞報告書'!AA279)</f>
        <v/>
      </c>
      <c r="AB279" s="1461" t="s">
        <v>491</v>
      </c>
      <c r="AK279" s="2865" t="str">
        <f>IF('＜入力不要＞報告書'!AK279="","",'＜入力不要＞報告書'!AK279)</f>
        <v/>
      </c>
      <c r="AL279" s="2865"/>
      <c r="AM279" s="2865"/>
      <c r="AN279" s="2865"/>
      <c r="AO279" s="2865"/>
      <c r="AP279" s="2865"/>
      <c r="AQ279" s="2865"/>
      <c r="AR279" s="2865"/>
      <c r="AS279" s="2972"/>
      <c r="AT279" s="1469" t="s">
        <v>22</v>
      </c>
    </row>
    <row r="280" spans="2:67" ht="13" customHeight="1">
      <c r="D280" s="1470" t="s">
        <v>495</v>
      </c>
      <c r="V280" s="1609" t="str">
        <f>IF('＜入力不要＞報告書'!V280="","",'＜入力不要＞報告書'!V280)</f>
        <v/>
      </c>
      <c r="W280" s="1461" t="s">
        <v>489</v>
      </c>
      <c r="Y280" s="1609" t="str">
        <f>IF('＜入力不要＞報告書'!Y280="","",'＜入力不要＞報告書'!Y280)</f>
        <v/>
      </c>
      <c r="Z280" s="1461" t="s">
        <v>226</v>
      </c>
    </row>
    <row r="281" spans="2:67" ht="13" customHeight="1">
      <c r="D281" s="1470" t="s">
        <v>496</v>
      </c>
      <c r="V281" s="1609" t="str">
        <f>IF('＜入力不要＞報告書'!V281="","",'＜入力不要＞報告書'!V281)</f>
        <v/>
      </c>
      <c r="W281" s="1461" t="s">
        <v>489</v>
      </c>
      <c r="Y281" s="1609" t="str">
        <f>IF('＜入力不要＞報告書'!Y281="","",'＜入力不要＞報告書'!Y281)</f>
        <v/>
      </c>
      <c r="Z281" s="1461" t="s">
        <v>226</v>
      </c>
      <c r="AB281" s="1609" t="str">
        <f>IF('＜入力不要＞報告書'!AB281="","",'＜入力不要＞報告書'!AB281)</f>
        <v/>
      </c>
      <c r="AC281" s="1461" t="s">
        <v>293</v>
      </c>
    </row>
    <row r="282" spans="2:67" ht="13" hidden="1" customHeight="1">
      <c r="B282" s="1470" t="s">
        <v>466</v>
      </c>
    </row>
    <row r="283" spans="2:67" ht="13" hidden="1" customHeight="1">
      <c r="C283" s="1470" t="s">
        <v>425</v>
      </c>
      <c r="J283" s="1487" t="s">
        <v>467</v>
      </c>
      <c r="K283" s="2779"/>
      <c r="L283" s="2779"/>
      <c r="M283" s="1461" t="s">
        <v>468</v>
      </c>
      <c r="V283" s="1487"/>
      <c r="W283" s="1468" t="s">
        <v>25</v>
      </c>
      <c r="X283" s="2779"/>
      <c r="Y283" s="2779"/>
      <c r="Z283" s="2779"/>
      <c r="AA283" s="2779"/>
      <c r="AB283" s="2779"/>
      <c r="AC283" s="2779"/>
      <c r="AG283" s="1487" t="s">
        <v>469</v>
      </c>
      <c r="AH283" s="2861"/>
      <c r="AI283" s="2861"/>
      <c r="AJ283" s="2861"/>
      <c r="AK283" s="2861"/>
      <c r="AL283" s="2861"/>
      <c r="AM283" s="2861"/>
      <c r="AN283" s="2861"/>
      <c r="AO283" s="1461" t="s">
        <v>4</v>
      </c>
    </row>
    <row r="284" spans="2:67" ht="13" hidden="1" customHeight="1">
      <c r="C284" s="1470"/>
      <c r="J284" s="1461" t="s">
        <v>497</v>
      </c>
      <c r="AG284" s="1487" t="s">
        <v>3</v>
      </c>
      <c r="AH284" s="2861"/>
      <c r="AI284" s="2861"/>
      <c r="AJ284" s="2861"/>
      <c r="AK284" s="2861"/>
      <c r="AL284" s="2861"/>
      <c r="AM284" s="2861"/>
      <c r="AN284" s="2861"/>
      <c r="AO284" s="1461" t="s">
        <v>4</v>
      </c>
    </row>
    <row r="285" spans="2:67" s="1461" customFormat="1" ht="12" hidden="1" customHeight="1">
      <c r="C285" s="1470"/>
      <c r="J285" s="1461" t="s">
        <v>471</v>
      </c>
      <c r="AG285" s="1487" t="s">
        <v>3</v>
      </c>
      <c r="AH285" s="2861"/>
      <c r="AI285" s="2861"/>
      <c r="AJ285" s="2861"/>
      <c r="AK285" s="2861"/>
      <c r="AL285" s="2861"/>
      <c r="AM285" s="2861"/>
      <c r="AN285" s="2861"/>
      <c r="AO285" s="1461" t="s">
        <v>4</v>
      </c>
      <c r="BB285" s="1463"/>
      <c r="BC285" s="1463"/>
      <c r="BD285" s="1463"/>
      <c r="BE285" s="1463"/>
      <c r="BF285" s="1463"/>
      <c r="BG285" s="1463"/>
      <c r="BH285" s="1463"/>
      <c r="BI285" s="1463"/>
      <c r="BJ285" s="1463"/>
      <c r="BK285" s="1463"/>
      <c r="BL285" s="1463"/>
      <c r="BM285" s="1463"/>
      <c r="BN285" s="1463"/>
      <c r="BO285" s="1463"/>
    </row>
    <row r="286" spans="2:67" s="1461" customFormat="1" ht="13" hidden="1" customHeight="1">
      <c r="C286" s="1470" t="s">
        <v>416</v>
      </c>
      <c r="N286" s="2829"/>
      <c r="O286" s="2829"/>
      <c r="P286" s="2829"/>
      <c r="Q286" s="2829"/>
      <c r="R286" s="2829"/>
      <c r="S286" s="2829"/>
      <c r="T286" s="2829"/>
      <c r="U286" s="2829"/>
      <c r="V286" s="2829"/>
      <c r="W286" s="2829"/>
      <c r="X286" s="2829"/>
      <c r="Y286" s="2829"/>
      <c r="Z286" s="2829"/>
      <c r="AA286" s="2829"/>
      <c r="AB286" s="2829"/>
      <c r="AC286" s="2829"/>
      <c r="AD286" s="2829"/>
      <c r="AE286" s="2829"/>
      <c r="AF286" s="2829"/>
      <c r="AG286" s="2829"/>
      <c r="AH286" s="2829"/>
      <c r="AI286" s="2829"/>
      <c r="AJ286" s="2829"/>
      <c r="AK286" s="2829"/>
      <c r="AL286" s="2829"/>
      <c r="AM286" s="2829"/>
      <c r="AN286" s="2829"/>
      <c r="AO286" s="2829"/>
      <c r="AP286" s="2829"/>
      <c r="AQ286" s="2829"/>
      <c r="AR286" s="2829"/>
      <c r="AS286" s="2829"/>
      <c r="AT286" s="2829"/>
      <c r="BB286" s="1463"/>
      <c r="BC286" s="1463"/>
      <c r="BD286" s="1463"/>
      <c r="BE286" s="1463"/>
      <c r="BF286" s="1463"/>
      <c r="BG286" s="1463"/>
      <c r="BH286" s="1463"/>
      <c r="BI286" s="1463"/>
      <c r="BJ286" s="1463"/>
      <c r="BK286" s="1463"/>
      <c r="BL286" s="1463"/>
      <c r="BM286" s="1463"/>
      <c r="BN286" s="1463"/>
      <c r="BO286" s="1463"/>
    </row>
    <row r="287" spans="2:67" s="1461" customFormat="1" ht="13" hidden="1" customHeight="1">
      <c r="C287" s="1470" t="s">
        <v>472</v>
      </c>
      <c r="N287" s="2862"/>
      <c r="O287" s="2862"/>
      <c r="P287" s="2862"/>
      <c r="Q287" s="2862"/>
      <c r="R287" s="2862"/>
      <c r="S287" s="2862"/>
      <c r="T287" s="2862"/>
      <c r="U287" s="2862"/>
      <c r="V287" s="2862"/>
      <c r="W287" s="2862"/>
      <c r="X287" s="2862"/>
      <c r="Y287" s="2862"/>
      <c r="Z287" s="2862"/>
      <c r="AA287" s="2862"/>
      <c r="AB287" s="2862"/>
      <c r="AC287" s="2862"/>
      <c r="AD287" s="2862"/>
      <c r="AE287" s="2862"/>
      <c r="AF287" s="2862"/>
      <c r="AG287" s="2862"/>
      <c r="AH287" s="2862"/>
      <c r="AI287" s="2862"/>
      <c r="AJ287" s="2862"/>
      <c r="AK287" s="2862"/>
      <c r="AL287" s="2862"/>
      <c r="AM287" s="2862"/>
      <c r="AN287" s="2862"/>
      <c r="AO287" s="2862"/>
      <c r="AP287" s="2862"/>
      <c r="AQ287" s="2862"/>
      <c r="AR287" s="2862"/>
      <c r="AS287" s="2862"/>
      <c r="AT287" s="2862"/>
      <c r="BB287" s="1463"/>
      <c r="BC287" s="1463"/>
      <c r="BD287" s="1463"/>
      <c r="BE287" s="1463"/>
      <c r="BF287" s="1463"/>
      <c r="BG287" s="1463"/>
      <c r="BH287" s="1463"/>
      <c r="BI287" s="1463"/>
      <c r="BJ287" s="1463"/>
      <c r="BK287" s="1463"/>
      <c r="BL287" s="1463"/>
      <c r="BM287" s="1463"/>
      <c r="BN287" s="1463"/>
      <c r="BO287" s="1463"/>
    </row>
    <row r="288" spans="2:67" s="1461" customFormat="1" ht="13" hidden="1" customHeight="1">
      <c r="C288" s="1470" t="s">
        <v>473</v>
      </c>
      <c r="N288" s="2829"/>
      <c r="O288" s="2829"/>
      <c r="P288" s="2829"/>
      <c r="Q288" s="2829"/>
      <c r="R288" s="2829"/>
      <c r="S288" s="2829"/>
      <c r="T288" s="2829"/>
      <c r="U288" s="2829"/>
      <c r="V288" s="2829"/>
      <c r="W288" s="2829"/>
      <c r="X288" s="2829"/>
      <c r="Y288" s="2829"/>
      <c r="Z288" s="2829"/>
      <c r="AA288" s="2829"/>
      <c r="AB288" s="2829"/>
      <c r="AC288" s="2829"/>
      <c r="AD288" s="2829"/>
      <c r="AE288" s="2829"/>
      <c r="AF288" s="2829"/>
      <c r="AG288" s="2829"/>
      <c r="AH288" s="2829"/>
      <c r="AI288" s="2829"/>
      <c r="AJ288" s="2829"/>
      <c r="AK288" s="2829"/>
      <c r="AL288" s="2829"/>
      <c r="AM288" s="2829"/>
      <c r="AN288" s="2829"/>
      <c r="AO288" s="2829"/>
      <c r="AP288" s="2829"/>
      <c r="AQ288" s="2829"/>
      <c r="AR288" s="2829"/>
      <c r="AS288" s="2829"/>
      <c r="AT288" s="2829"/>
      <c r="BB288" s="1463"/>
      <c r="BC288" s="1463"/>
      <c r="BD288" s="1463"/>
      <c r="BE288" s="1463"/>
      <c r="BF288" s="1463"/>
      <c r="BG288" s="1463"/>
      <c r="BH288" s="1463"/>
      <c r="BI288" s="1463"/>
      <c r="BJ288" s="1463"/>
      <c r="BK288" s="1463"/>
      <c r="BL288" s="1463"/>
      <c r="BM288" s="1463"/>
      <c r="BN288" s="1463"/>
      <c r="BO288" s="1463"/>
    </row>
    <row r="289" spans="1:67" s="1461" customFormat="1" ht="13" hidden="1" customHeight="1">
      <c r="C289" s="1470"/>
      <c r="J289" s="1487" t="s">
        <v>467</v>
      </c>
      <c r="K289" s="2779"/>
      <c r="L289" s="2779"/>
      <c r="M289" s="1461" t="s">
        <v>474</v>
      </c>
      <c r="V289" s="1487"/>
      <c r="W289" s="1468" t="s">
        <v>25</v>
      </c>
      <c r="X289" s="2779"/>
      <c r="Y289" s="2779"/>
      <c r="Z289" s="2779"/>
      <c r="AA289" s="2779"/>
      <c r="AG289" s="1487" t="s">
        <v>475</v>
      </c>
      <c r="AH289" s="2861"/>
      <c r="AI289" s="2861"/>
      <c r="AJ289" s="2861"/>
      <c r="AK289" s="2861"/>
      <c r="AL289" s="2861"/>
      <c r="AM289" s="2861"/>
      <c r="AN289" s="2861"/>
      <c r="AO289" s="1461" t="s">
        <v>4</v>
      </c>
      <c r="BB289" s="1463"/>
      <c r="BC289" s="1463"/>
      <c r="BD289" s="1463"/>
      <c r="BE289" s="1463"/>
      <c r="BF289" s="1463"/>
      <c r="BG289" s="1463"/>
      <c r="BH289" s="1463"/>
      <c r="BI289" s="1463"/>
      <c r="BJ289" s="1463"/>
      <c r="BK289" s="1463"/>
      <c r="BL289" s="1463"/>
      <c r="BM289" s="1463"/>
      <c r="BN289" s="1463"/>
      <c r="BO289" s="1463"/>
    </row>
    <row r="290" spans="1:67" s="1461" customFormat="1" ht="13" hidden="1" customHeight="1">
      <c r="C290" s="1470" t="s">
        <v>476</v>
      </c>
      <c r="N290" s="2864"/>
      <c r="O290" s="2864"/>
      <c r="P290" s="2864"/>
      <c r="Q290" s="2864"/>
      <c r="R290" s="2864"/>
      <c r="S290" s="2864"/>
      <c r="T290" s="2864"/>
      <c r="U290" s="2864"/>
      <c r="V290" s="2864"/>
      <c r="W290" s="1476"/>
      <c r="X290" s="1476"/>
      <c r="Y290" s="1476"/>
      <c r="Z290" s="1476"/>
      <c r="AA290" s="1476"/>
      <c r="AB290" s="1476"/>
      <c r="AC290" s="1476"/>
      <c r="AD290" s="1476"/>
      <c r="AE290" s="1476"/>
      <c r="AF290" s="1476"/>
      <c r="AG290" s="1476"/>
      <c r="AH290" s="1476"/>
      <c r="AI290" s="1476"/>
      <c r="AJ290" s="1476"/>
      <c r="AK290" s="1476"/>
      <c r="AL290" s="1476"/>
      <c r="AM290" s="1476"/>
      <c r="AN290" s="1476"/>
      <c r="AO290" s="1476"/>
      <c r="AP290" s="1477"/>
      <c r="BB290" s="1463"/>
      <c r="BC290" s="1463"/>
      <c r="BD290" s="1463"/>
      <c r="BE290" s="1463"/>
      <c r="BF290" s="1463"/>
      <c r="BG290" s="1463"/>
      <c r="BH290" s="1463"/>
      <c r="BI290" s="1463"/>
      <c r="BJ290" s="1463"/>
      <c r="BK290" s="1463"/>
      <c r="BL290" s="1463"/>
      <c r="BM290" s="1463"/>
      <c r="BN290" s="1463"/>
      <c r="BO290" s="1463"/>
    </row>
    <row r="291" spans="1:67" s="1461" customFormat="1" ht="13" hidden="1" customHeight="1">
      <c r="C291" s="1470" t="s">
        <v>477</v>
      </c>
      <c r="N291" s="2829"/>
      <c r="O291" s="2829"/>
      <c r="P291" s="2829"/>
      <c r="Q291" s="2829"/>
      <c r="R291" s="2829"/>
      <c r="S291" s="2829"/>
      <c r="T291" s="2829"/>
      <c r="U291" s="2829"/>
      <c r="V291" s="2829"/>
      <c r="W291" s="2829"/>
      <c r="X291" s="2829"/>
      <c r="Y291" s="2829"/>
      <c r="Z291" s="2829"/>
      <c r="AA291" s="2829"/>
      <c r="AB291" s="2829"/>
      <c r="AC291" s="2829"/>
      <c r="AD291" s="2829"/>
      <c r="AE291" s="2829"/>
      <c r="AF291" s="2829"/>
      <c r="AG291" s="2829"/>
      <c r="AH291" s="2829"/>
      <c r="AI291" s="2829"/>
      <c r="AJ291" s="2829"/>
      <c r="AK291" s="2829"/>
      <c r="AL291" s="2829"/>
      <c r="AM291" s="2829"/>
      <c r="AN291" s="2829"/>
      <c r="AO291" s="2829"/>
      <c r="AP291" s="2829"/>
      <c r="AQ291" s="2829"/>
      <c r="AR291" s="2829"/>
      <c r="AS291" s="2829"/>
      <c r="AT291" s="2829"/>
      <c r="BB291" s="1463"/>
      <c r="BC291" s="1463"/>
      <c r="BD291" s="1463"/>
      <c r="BE291" s="1463"/>
      <c r="BF291" s="1463"/>
      <c r="BG291" s="1463"/>
      <c r="BH291" s="1463"/>
      <c r="BI291" s="1463"/>
      <c r="BJ291" s="1463"/>
      <c r="BK291" s="1463"/>
      <c r="BL291" s="1463"/>
      <c r="BM291" s="1463"/>
      <c r="BN291" s="1463"/>
      <c r="BO291" s="1463"/>
    </row>
    <row r="292" spans="1:67" s="1461" customFormat="1" ht="13" hidden="1" customHeight="1">
      <c r="C292" s="1470" t="s">
        <v>423</v>
      </c>
      <c r="N292" s="2862"/>
      <c r="O292" s="2862"/>
      <c r="P292" s="2862"/>
      <c r="Q292" s="2862"/>
      <c r="R292" s="2862"/>
      <c r="S292" s="2862"/>
      <c r="T292" s="2862"/>
      <c r="U292" s="2862"/>
      <c r="V292" s="2862"/>
      <c r="W292" s="2862"/>
      <c r="X292" s="2862"/>
      <c r="Y292" s="2862"/>
      <c r="Z292" s="2862"/>
      <c r="AA292" s="2862"/>
      <c r="AB292" s="2862"/>
      <c r="AC292" s="2862"/>
      <c r="AD292" s="2862"/>
      <c r="AE292" s="1537"/>
      <c r="AF292" s="1537"/>
      <c r="AG292" s="1537"/>
      <c r="AH292" s="1537"/>
      <c r="AI292" s="1537"/>
      <c r="AJ292" s="1537"/>
      <c r="AK292" s="1537"/>
      <c r="AL292" s="1537"/>
      <c r="AM292" s="1537"/>
      <c r="AN292" s="1537"/>
      <c r="AO292" s="1537"/>
      <c r="AP292" s="1538"/>
      <c r="BB292" s="1463"/>
      <c r="BC292" s="1463"/>
      <c r="BD292" s="1463"/>
      <c r="BE292" s="1463"/>
      <c r="BF292" s="1463"/>
      <c r="BG292" s="1463"/>
      <c r="BH292" s="1463"/>
      <c r="BI292" s="1463"/>
      <c r="BJ292" s="1463"/>
      <c r="BK292" s="1463"/>
      <c r="BL292" s="1463"/>
      <c r="BM292" s="1463"/>
      <c r="BN292" s="1463"/>
      <c r="BO292" s="1463"/>
    </row>
    <row r="293" spans="1:67" s="1461" customFormat="1" ht="4.5" customHeight="1">
      <c r="BB293" s="1463"/>
      <c r="BC293" s="1463"/>
      <c r="BD293" s="1463"/>
      <c r="BE293" s="1463"/>
      <c r="BF293" s="1463"/>
      <c r="BG293" s="1463"/>
      <c r="BH293" s="1463"/>
      <c r="BI293" s="1463"/>
      <c r="BJ293" s="1463"/>
      <c r="BK293" s="1463"/>
      <c r="BL293" s="1463"/>
      <c r="BM293" s="1463"/>
      <c r="BN293" s="1463"/>
      <c r="BO293" s="1463"/>
    </row>
    <row r="294" spans="1:67" s="1461" customFormat="1" ht="4.5" customHeight="1">
      <c r="BB294" s="1463"/>
      <c r="BC294" s="1463"/>
      <c r="BD294" s="1463"/>
      <c r="BE294" s="1463"/>
      <c r="BF294" s="1463"/>
      <c r="BG294" s="1463"/>
      <c r="BH294" s="1463"/>
      <c r="BI294" s="1463"/>
      <c r="BJ294" s="1463"/>
      <c r="BK294" s="1463"/>
      <c r="BL294" s="1463"/>
      <c r="BM294" s="1463"/>
      <c r="BN294" s="1463"/>
      <c r="BO294" s="1463"/>
    </row>
    <row r="295" spans="1:67" s="1461" customFormat="1" ht="12" hidden="1" customHeight="1">
      <c r="BB295" s="1463"/>
      <c r="BC295" s="1463"/>
      <c r="BD295" s="1463"/>
      <c r="BE295" s="1463"/>
      <c r="BF295" s="1463"/>
      <c r="BG295" s="1463"/>
      <c r="BH295" s="1463"/>
      <c r="BI295" s="1463"/>
      <c r="BJ295" s="1463"/>
      <c r="BK295" s="1463"/>
      <c r="BL295" s="1463"/>
      <c r="BM295" s="1463"/>
      <c r="BN295" s="1463"/>
      <c r="BO295" s="1463"/>
    </row>
    <row r="296" spans="1:67" s="1461" customFormat="1" ht="14.15" customHeight="1">
      <c r="B296" s="1470" t="s">
        <v>498</v>
      </c>
      <c r="BB296" s="1463"/>
      <c r="BC296" s="1463"/>
      <c r="BD296" s="1463"/>
      <c r="BE296" s="1463"/>
      <c r="BF296" s="1463"/>
      <c r="BG296" s="1463"/>
      <c r="BH296" s="1463"/>
      <c r="BI296" s="1463"/>
      <c r="BJ296" s="1463"/>
      <c r="BK296" s="1463"/>
      <c r="BL296" s="1463"/>
      <c r="BM296" s="1463"/>
      <c r="BN296" s="1463"/>
      <c r="BO296" s="1463"/>
    </row>
    <row r="297" spans="1:67" s="1461" customFormat="1" ht="13" customHeight="1">
      <c r="C297" s="2925" t="str">
        <f>IF('＜入力不要＞報告書'!C297="","",'＜入力不要＞報告書'!C297)</f>
        <v/>
      </c>
      <c r="D297" s="2925"/>
      <c r="E297" s="2925"/>
      <c r="F297" s="2925"/>
      <c r="G297" s="2925"/>
      <c r="H297" s="2925"/>
      <c r="I297" s="2925"/>
      <c r="J297" s="2925"/>
      <c r="K297" s="2925"/>
      <c r="L297" s="2925"/>
      <c r="M297" s="2925"/>
      <c r="N297" s="2925"/>
      <c r="O297" s="2925"/>
      <c r="P297" s="2925"/>
      <c r="Q297" s="2925"/>
      <c r="R297" s="2925"/>
      <c r="S297" s="2925"/>
      <c r="T297" s="2925"/>
      <c r="U297" s="2925"/>
      <c r="V297" s="2925"/>
      <c r="W297" s="2925"/>
      <c r="X297" s="2925"/>
      <c r="Y297" s="2925"/>
      <c r="Z297" s="2925"/>
      <c r="AA297" s="2925"/>
      <c r="AB297" s="2925"/>
      <c r="AC297" s="2925"/>
      <c r="AD297" s="2925"/>
      <c r="AE297" s="2925"/>
      <c r="AF297" s="2925"/>
      <c r="AG297" s="2925"/>
      <c r="AH297" s="2925"/>
      <c r="AI297" s="2925"/>
      <c r="AJ297" s="2925"/>
      <c r="AK297" s="2925"/>
      <c r="AL297" s="2925"/>
      <c r="AM297" s="2925"/>
      <c r="AN297" s="2925"/>
      <c r="AO297" s="2925"/>
      <c r="AP297" s="2925"/>
      <c r="AQ297" s="2925"/>
      <c r="AR297" s="2925"/>
      <c r="AS297" s="2925"/>
      <c r="BB297" s="1463"/>
      <c r="BC297" s="1463"/>
      <c r="BD297" s="1463"/>
      <c r="BE297" s="1463"/>
      <c r="BF297" s="1463"/>
      <c r="BG297" s="1463"/>
      <c r="BH297" s="1463"/>
      <c r="BI297" s="1463"/>
      <c r="BJ297" s="1463"/>
      <c r="BK297" s="1463"/>
      <c r="BL297" s="1463"/>
      <c r="BM297" s="1463"/>
      <c r="BN297" s="1463"/>
      <c r="BO297" s="1463"/>
    </row>
    <row r="298" spans="1:67" s="1461" customFormat="1" ht="13" customHeight="1">
      <c r="C298" s="2925"/>
      <c r="D298" s="2925"/>
      <c r="E298" s="2925"/>
      <c r="F298" s="2925"/>
      <c r="G298" s="2925"/>
      <c r="H298" s="2925"/>
      <c r="I298" s="2925"/>
      <c r="J298" s="2925"/>
      <c r="K298" s="2925"/>
      <c r="L298" s="2925"/>
      <c r="M298" s="2925"/>
      <c r="N298" s="2925"/>
      <c r="O298" s="2925"/>
      <c r="P298" s="2925"/>
      <c r="Q298" s="2925"/>
      <c r="R298" s="2925"/>
      <c r="S298" s="2925"/>
      <c r="T298" s="2925"/>
      <c r="U298" s="2925"/>
      <c r="V298" s="2925"/>
      <c r="W298" s="2925"/>
      <c r="X298" s="2925"/>
      <c r="Y298" s="2925"/>
      <c r="Z298" s="2925"/>
      <c r="AA298" s="2925"/>
      <c r="AB298" s="2925"/>
      <c r="AC298" s="2925"/>
      <c r="AD298" s="2925"/>
      <c r="AE298" s="2925"/>
      <c r="AF298" s="2925"/>
      <c r="AG298" s="2925"/>
      <c r="AH298" s="2925"/>
      <c r="AI298" s="2925"/>
      <c r="AJ298" s="2925"/>
      <c r="AK298" s="2925"/>
      <c r="AL298" s="2925"/>
      <c r="AM298" s="2925"/>
      <c r="AN298" s="2925"/>
      <c r="AO298" s="2925"/>
      <c r="AP298" s="2925"/>
      <c r="AQ298" s="2925"/>
      <c r="AR298" s="2925"/>
      <c r="AS298" s="2925"/>
      <c r="BB298" s="1463"/>
      <c r="BC298" s="1463"/>
      <c r="BD298" s="1463"/>
      <c r="BE298" s="1463"/>
      <c r="BF298" s="1463"/>
      <c r="BG298" s="1463"/>
      <c r="BH298" s="1463"/>
      <c r="BI298" s="1463"/>
      <c r="BJ298" s="1463"/>
      <c r="BK298" s="1463"/>
      <c r="BL298" s="1463"/>
      <c r="BM298" s="1463"/>
      <c r="BN298" s="1463"/>
      <c r="BO298" s="1463"/>
    </row>
    <row r="299" spans="1:67" s="1461" customFormat="1" ht="13" customHeight="1">
      <c r="C299" s="2925"/>
      <c r="D299" s="2925"/>
      <c r="E299" s="2925"/>
      <c r="F299" s="2925"/>
      <c r="G299" s="2925"/>
      <c r="H299" s="2925"/>
      <c r="I299" s="2925"/>
      <c r="J299" s="2925"/>
      <c r="K299" s="2925"/>
      <c r="L299" s="2925"/>
      <c r="M299" s="2925"/>
      <c r="N299" s="2925"/>
      <c r="O299" s="2925"/>
      <c r="P299" s="2925"/>
      <c r="Q299" s="2925"/>
      <c r="R299" s="2925"/>
      <c r="S299" s="2925"/>
      <c r="T299" s="2925"/>
      <c r="U299" s="2925"/>
      <c r="V299" s="2925"/>
      <c r="W299" s="2925"/>
      <c r="X299" s="2925"/>
      <c r="Y299" s="2925"/>
      <c r="Z299" s="2925"/>
      <c r="AA299" s="2925"/>
      <c r="AB299" s="2925"/>
      <c r="AC299" s="2925"/>
      <c r="AD299" s="2925"/>
      <c r="AE299" s="2925"/>
      <c r="AF299" s="2925"/>
      <c r="AG299" s="2925"/>
      <c r="AH299" s="2925"/>
      <c r="AI299" s="2925"/>
      <c r="AJ299" s="2925"/>
      <c r="AK299" s="2925"/>
      <c r="AL299" s="2925"/>
      <c r="AM299" s="2925"/>
      <c r="AN299" s="2925"/>
      <c r="AO299" s="2925"/>
      <c r="AP299" s="2925"/>
      <c r="AQ299" s="2925"/>
      <c r="AR299" s="2925"/>
      <c r="AS299" s="2925"/>
      <c r="BB299" s="1463"/>
      <c r="BC299" s="1463"/>
      <c r="BD299" s="1463"/>
      <c r="BE299" s="1463"/>
      <c r="BF299" s="1463"/>
      <c r="BG299" s="1463"/>
      <c r="BH299" s="1463"/>
      <c r="BI299" s="1463"/>
      <c r="BJ299" s="1463"/>
      <c r="BK299" s="1463"/>
      <c r="BL299" s="1463"/>
      <c r="BM299" s="1463"/>
      <c r="BN299" s="1463"/>
      <c r="BO299" s="1463"/>
    </row>
    <row r="300" spans="1:67" s="1617" customFormat="1" ht="13" customHeight="1">
      <c r="A300" s="1461"/>
      <c r="B300" s="1461"/>
      <c r="C300" s="2925"/>
      <c r="D300" s="2925"/>
      <c r="E300" s="2925"/>
      <c r="F300" s="2925"/>
      <c r="G300" s="2925"/>
      <c r="H300" s="2925"/>
      <c r="I300" s="2925"/>
      <c r="J300" s="2925"/>
      <c r="K300" s="2925"/>
      <c r="L300" s="2925"/>
      <c r="M300" s="2925"/>
      <c r="N300" s="2925"/>
      <c r="O300" s="2925"/>
      <c r="P300" s="2925"/>
      <c r="Q300" s="2925"/>
      <c r="R300" s="2925"/>
      <c r="S300" s="2925"/>
      <c r="T300" s="2925"/>
      <c r="U300" s="2925"/>
      <c r="V300" s="2925"/>
      <c r="W300" s="2925"/>
      <c r="X300" s="2925"/>
      <c r="Y300" s="2925"/>
      <c r="Z300" s="2925"/>
      <c r="AA300" s="2925"/>
      <c r="AB300" s="2925"/>
      <c r="AC300" s="2925"/>
      <c r="AD300" s="2925"/>
      <c r="AE300" s="2925"/>
      <c r="AF300" s="2925"/>
      <c r="AG300" s="2925"/>
      <c r="AH300" s="2925"/>
      <c r="AI300" s="2925"/>
      <c r="AJ300" s="2925"/>
      <c r="AK300" s="2925"/>
      <c r="AL300" s="2925"/>
      <c r="AM300" s="2925"/>
      <c r="AN300" s="2925"/>
      <c r="AO300" s="2925"/>
      <c r="AP300" s="2925"/>
      <c r="AQ300" s="2925"/>
      <c r="AR300" s="2925"/>
      <c r="AS300" s="2925"/>
      <c r="AT300" s="1461"/>
      <c r="AU300" s="1461"/>
      <c r="AV300" s="1461"/>
      <c r="AW300" s="1461"/>
      <c r="AX300" s="1461"/>
      <c r="AY300" s="1461"/>
      <c r="AZ300" s="1461"/>
      <c r="BA300" s="1461"/>
    </row>
    <row r="301" spans="1:67" s="1617" customFormat="1" ht="12.75" customHeight="1">
      <c r="A301" s="1461"/>
      <c r="B301" s="1461"/>
      <c r="C301" s="2925"/>
      <c r="D301" s="2925"/>
      <c r="E301" s="2925"/>
      <c r="F301" s="2925"/>
      <c r="G301" s="2925"/>
      <c r="H301" s="2925"/>
      <c r="I301" s="2925"/>
      <c r="J301" s="2925"/>
      <c r="K301" s="2925"/>
      <c r="L301" s="2925"/>
      <c r="M301" s="2925"/>
      <c r="N301" s="2925"/>
      <c r="O301" s="2925"/>
      <c r="P301" s="2925"/>
      <c r="Q301" s="2925"/>
      <c r="R301" s="2925"/>
      <c r="S301" s="2925"/>
      <c r="T301" s="2925"/>
      <c r="U301" s="2925"/>
      <c r="V301" s="2925"/>
      <c r="W301" s="2925"/>
      <c r="X301" s="2925"/>
      <c r="Y301" s="2925"/>
      <c r="Z301" s="2925"/>
      <c r="AA301" s="2925"/>
      <c r="AB301" s="2925"/>
      <c r="AC301" s="2925"/>
      <c r="AD301" s="2925"/>
      <c r="AE301" s="2925"/>
      <c r="AF301" s="2925"/>
      <c r="AG301" s="2925"/>
      <c r="AH301" s="2925"/>
      <c r="AI301" s="2925"/>
      <c r="AJ301" s="2925"/>
      <c r="AK301" s="2925"/>
      <c r="AL301" s="2925"/>
      <c r="AM301" s="2925"/>
      <c r="AN301" s="2925"/>
      <c r="AO301" s="2925"/>
      <c r="AP301" s="2925"/>
      <c r="AQ301" s="2925"/>
      <c r="AR301" s="2925"/>
      <c r="AS301" s="2925"/>
      <c r="AT301" s="1461"/>
      <c r="AU301" s="1461"/>
      <c r="AV301" s="1461"/>
      <c r="AW301" s="1461"/>
      <c r="AX301" s="1461"/>
      <c r="AY301" s="1461"/>
      <c r="AZ301" s="1461"/>
      <c r="BA301" s="1461"/>
    </row>
    <row r="302" spans="1:67" s="1617" customFormat="1" ht="12.75" customHeight="1">
      <c r="A302" s="1461"/>
      <c r="B302" s="1461"/>
      <c r="C302" s="2925"/>
      <c r="D302" s="2925"/>
      <c r="E302" s="2925"/>
      <c r="F302" s="2925"/>
      <c r="G302" s="2925"/>
      <c r="H302" s="2925"/>
      <c r="I302" s="2925"/>
      <c r="J302" s="2925"/>
      <c r="K302" s="2925"/>
      <c r="L302" s="2925"/>
      <c r="M302" s="2925"/>
      <c r="N302" s="2925"/>
      <c r="O302" s="2925"/>
      <c r="P302" s="2925"/>
      <c r="Q302" s="2925"/>
      <c r="R302" s="2925"/>
      <c r="S302" s="2925"/>
      <c r="T302" s="2925"/>
      <c r="U302" s="2925"/>
      <c r="V302" s="2925"/>
      <c r="W302" s="2925"/>
      <c r="X302" s="2925"/>
      <c r="Y302" s="2925"/>
      <c r="Z302" s="2925"/>
      <c r="AA302" s="2925"/>
      <c r="AB302" s="2925"/>
      <c r="AC302" s="2925"/>
      <c r="AD302" s="2925"/>
      <c r="AE302" s="2925"/>
      <c r="AF302" s="2925"/>
      <c r="AG302" s="2925"/>
      <c r="AH302" s="2925"/>
      <c r="AI302" s="2925"/>
      <c r="AJ302" s="2925"/>
      <c r="AK302" s="2925"/>
      <c r="AL302" s="2925"/>
      <c r="AM302" s="2925"/>
      <c r="AN302" s="2925"/>
      <c r="AO302" s="2925"/>
      <c r="AP302" s="2925"/>
      <c r="AQ302" s="2925"/>
      <c r="AR302" s="2925"/>
      <c r="AS302" s="2925"/>
      <c r="AT302" s="1461"/>
      <c r="AU302" s="1461"/>
      <c r="AV302" s="1461"/>
      <c r="AW302" s="1461"/>
      <c r="AX302" s="1461"/>
      <c r="AY302" s="1461"/>
      <c r="AZ302" s="1461"/>
      <c r="BA302" s="1461"/>
    </row>
    <row r="303" spans="1:67" s="1617" customFormat="1">
      <c r="A303" s="1461"/>
      <c r="B303" s="1461"/>
      <c r="C303" s="2925"/>
      <c r="D303" s="2925"/>
      <c r="E303" s="2925"/>
      <c r="F303" s="2925"/>
      <c r="G303" s="2925"/>
      <c r="H303" s="2925"/>
      <c r="I303" s="2925"/>
      <c r="J303" s="2925"/>
      <c r="K303" s="2925"/>
      <c r="L303" s="2925"/>
      <c r="M303" s="2925"/>
      <c r="N303" s="2925"/>
      <c r="O303" s="2925"/>
      <c r="P303" s="2925"/>
      <c r="Q303" s="2925"/>
      <c r="R303" s="2925"/>
      <c r="S303" s="2925"/>
      <c r="T303" s="2925"/>
      <c r="U303" s="2925"/>
      <c r="V303" s="2925"/>
      <c r="W303" s="2925"/>
      <c r="X303" s="2925"/>
      <c r="Y303" s="2925"/>
      <c r="Z303" s="2925"/>
      <c r="AA303" s="2925"/>
      <c r="AB303" s="2925"/>
      <c r="AC303" s="2925"/>
      <c r="AD303" s="2925"/>
      <c r="AE303" s="2925"/>
      <c r="AF303" s="2925"/>
      <c r="AG303" s="2925"/>
      <c r="AH303" s="2925"/>
      <c r="AI303" s="2925"/>
      <c r="AJ303" s="2925"/>
      <c r="AK303" s="2925"/>
      <c r="AL303" s="2925"/>
      <c r="AM303" s="2925"/>
      <c r="AN303" s="2925"/>
      <c r="AO303" s="2925"/>
      <c r="AP303" s="2925"/>
      <c r="AQ303" s="2925"/>
      <c r="AR303" s="2925"/>
      <c r="AS303" s="2925"/>
      <c r="AT303" s="1461"/>
      <c r="AU303" s="1461"/>
      <c r="AV303" s="1461"/>
      <c r="AW303" s="1461"/>
      <c r="AX303" s="1461"/>
      <c r="AY303" s="1461"/>
      <c r="AZ303" s="1461"/>
      <c r="BA303" s="1461"/>
      <c r="BB303" s="1461"/>
    </row>
    <row r="304" spans="1:67" s="1617" customFormat="1" ht="4.5" customHeight="1">
      <c r="A304" s="1461"/>
      <c r="B304" s="1461"/>
      <c r="C304" s="1461"/>
      <c r="D304" s="1461"/>
      <c r="E304" s="1461"/>
      <c r="F304" s="1461"/>
      <c r="G304" s="1461"/>
      <c r="H304" s="1461"/>
      <c r="I304" s="1461"/>
      <c r="J304" s="1461"/>
      <c r="K304" s="1461"/>
      <c r="L304" s="1461"/>
      <c r="M304" s="1461"/>
      <c r="N304" s="1461"/>
      <c r="O304" s="1461"/>
      <c r="P304" s="1461"/>
      <c r="Q304" s="1461"/>
      <c r="R304" s="1461"/>
      <c r="S304" s="1461"/>
      <c r="T304" s="1461"/>
      <c r="U304" s="1461"/>
      <c r="V304" s="1461"/>
      <c r="W304" s="1461"/>
      <c r="X304" s="1461"/>
      <c r="Y304" s="1461"/>
      <c r="Z304" s="1461"/>
      <c r="AA304" s="1461"/>
      <c r="AB304" s="1461"/>
      <c r="AC304" s="1461"/>
      <c r="AD304" s="1461"/>
      <c r="AE304" s="1461"/>
      <c r="AF304" s="1461"/>
      <c r="AG304" s="1461"/>
      <c r="AH304" s="1461"/>
      <c r="AI304" s="1461"/>
      <c r="AJ304" s="1461"/>
      <c r="AK304" s="1461"/>
      <c r="AL304" s="1461"/>
      <c r="AM304" s="1461"/>
      <c r="AN304" s="1461"/>
      <c r="AO304" s="1461"/>
      <c r="AP304" s="1461"/>
      <c r="AQ304" s="1461"/>
      <c r="AR304" s="1461"/>
      <c r="AS304" s="1461"/>
      <c r="AT304" s="1461"/>
      <c r="AU304" s="1461"/>
      <c r="AV304" s="1461"/>
      <c r="AW304" s="1461"/>
      <c r="AX304" s="1461"/>
      <c r="AY304" s="1461"/>
      <c r="AZ304" s="1461"/>
      <c r="BA304" s="1461"/>
      <c r="BB304" s="1461"/>
    </row>
    <row r="305" spans="1:55" s="1617" customFormat="1" ht="4.5" customHeight="1">
      <c r="A305" s="1461"/>
      <c r="B305" s="1625"/>
      <c r="C305" s="1625"/>
      <c r="D305" s="1625"/>
      <c r="E305" s="1625"/>
      <c r="F305" s="1625"/>
      <c r="G305" s="1625"/>
      <c r="H305" s="1625"/>
      <c r="I305" s="1625"/>
      <c r="J305" s="1625"/>
      <c r="K305" s="1625"/>
      <c r="L305" s="1625"/>
      <c r="M305" s="1625"/>
      <c r="N305" s="1625"/>
      <c r="O305" s="1625"/>
      <c r="P305" s="1625"/>
      <c r="Q305" s="1625"/>
      <c r="R305" s="1625"/>
      <c r="S305" s="1625"/>
      <c r="T305" s="1625"/>
      <c r="U305" s="1625"/>
      <c r="V305" s="1625"/>
      <c r="W305" s="1625"/>
      <c r="X305" s="1625"/>
      <c r="Y305" s="1625"/>
      <c r="Z305" s="1625"/>
      <c r="AA305" s="1625"/>
      <c r="AB305" s="1625"/>
      <c r="AC305" s="1625"/>
      <c r="AD305" s="1625"/>
      <c r="AE305" s="1625"/>
      <c r="AF305" s="1625"/>
      <c r="AG305" s="1625"/>
      <c r="AH305" s="1625"/>
      <c r="AI305" s="1625"/>
      <c r="AJ305" s="1625"/>
      <c r="AK305" s="1625"/>
      <c r="AL305" s="1625"/>
      <c r="AM305" s="1625"/>
      <c r="AN305" s="1625"/>
      <c r="AO305" s="1625"/>
      <c r="AP305" s="1625"/>
      <c r="AQ305" s="1625"/>
      <c r="AR305" s="1625"/>
      <c r="AS305" s="1461"/>
      <c r="AT305" s="1461"/>
      <c r="AU305" s="1461"/>
      <c r="AV305" s="1461"/>
      <c r="AW305" s="1461"/>
      <c r="AX305" s="1461"/>
      <c r="AY305" s="1461"/>
      <c r="AZ305" s="1461"/>
      <c r="BA305" s="1461"/>
      <c r="BB305" s="1461"/>
    </row>
    <row r="306" spans="1:55" s="1617" customFormat="1">
      <c r="A306" s="1461"/>
      <c r="B306" s="1625" t="s">
        <v>157</v>
      </c>
      <c r="C306" s="1607"/>
      <c r="D306" s="1607"/>
      <c r="E306" s="1607"/>
      <c r="F306" s="1607"/>
      <c r="G306" s="1607"/>
      <c r="H306" s="1607"/>
      <c r="I306" s="1607"/>
      <c r="J306" s="1607"/>
      <c r="K306" s="1607"/>
      <c r="L306" s="1607"/>
      <c r="M306" s="1607"/>
      <c r="N306" s="1607"/>
      <c r="O306" s="1607"/>
      <c r="P306" s="1607"/>
      <c r="Q306" s="1607"/>
      <c r="R306" s="1607"/>
      <c r="S306" s="1607"/>
      <c r="T306" s="1607"/>
      <c r="U306" s="1607"/>
      <c r="V306" s="1607"/>
      <c r="W306" s="1607"/>
      <c r="X306" s="1607"/>
      <c r="Y306" s="1607"/>
      <c r="Z306" s="1607"/>
      <c r="AA306" s="1607"/>
      <c r="AB306" s="1607"/>
      <c r="AC306" s="1607"/>
      <c r="AD306" s="1607"/>
      <c r="AE306" s="1607"/>
      <c r="AF306" s="1607"/>
      <c r="AG306" s="1607"/>
      <c r="AH306" s="1607"/>
      <c r="AI306" s="1607"/>
      <c r="AJ306" s="1607"/>
      <c r="AK306" s="1607"/>
      <c r="AL306" s="1607"/>
      <c r="AM306" s="1607"/>
      <c r="AN306" s="1607"/>
      <c r="AO306" s="1607"/>
      <c r="AP306" s="1607"/>
      <c r="AQ306" s="1607"/>
      <c r="AR306" s="1607"/>
      <c r="AS306" s="1461"/>
      <c r="AT306" s="1461"/>
      <c r="AU306" s="1461"/>
      <c r="AV306" s="1461"/>
      <c r="AW306" s="1461"/>
      <c r="AX306" s="1461"/>
      <c r="AY306" s="1461"/>
      <c r="AZ306" s="1461"/>
      <c r="BA306" s="1461"/>
      <c r="BB306" s="1461"/>
    </row>
    <row r="307" spans="1:55" s="1617" customFormat="1">
      <c r="A307" s="1461"/>
      <c r="B307" s="1625" t="s">
        <v>683</v>
      </c>
      <c r="C307" s="1607"/>
      <c r="D307" s="1607"/>
      <c r="E307" s="1607"/>
      <c r="F307" s="1607"/>
      <c r="G307" s="1607"/>
      <c r="H307" s="1607"/>
      <c r="I307" s="1607"/>
      <c r="J307" s="1607"/>
      <c r="K307" s="1607"/>
      <c r="L307" s="1607"/>
      <c r="M307" s="1607"/>
      <c r="N307" s="1607"/>
      <c r="O307" s="1607"/>
      <c r="P307" s="1607"/>
      <c r="Q307" s="1607"/>
      <c r="R307" s="1607"/>
      <c r="S307" s="1607"/>
      <c r="T307" s="1607"/>
      <c r="U307" s="1607"/>
      <c r="V307" s="1607"/>
      <c r="W307" s="1607"/>
      <c r="X307" s="1607"/>
      <c r="Y307" s="1607"/>
      <c r="Z307" s="1607"/>
      <c r="AA307" s="1607"/>
      <c r="AB307" s="1607"/>
      <c r="AC307" s="1607"/>
      <c r="AD307" s="1607"/>
      <c r="AE307" s="1607"/>
      <c r="AF307" s="1607"/>
      <c r="AG307" s="1607"/>
      <c r="AH307" s="1607"/>
      <c r="AI307" s="1607"/>
      <c r="AJ307" s="1607"/>
      <c r="AK307" s="1607"/>
      <c r="AL307" s="1607"/>
      <c r="AM307" s="1607"/>
      <c r="AN307" s="1607"/>
      <c r="AO307" s="1607"/>
      <c r="AP307" s="1607"/>
      <c r="AQ307" s="1607"/>
      <c r="AR307" s="1607"/>
      <c r="AS307" s="1461"/>
      <c r="AT307" s="1461"/>
      <c r="AU307" s="1461"/>
      <c r="AV307" s="1461"/>
      <c r="AW307" s="1461"/>
      <c r="AX307" s="1461"/>
      <c r="AY307" s="1461"/>
      <c r="AZ307" s="1461"/>
      <c r="BA307" s="1461"/>
      <c r="BB307" s="1461"/>
    </row>
    <row r="308" spans="1:55" s="1617" customFormat="1">
      <c r="A308" s="1461"/>
      <c r="B308" s="1625" t="s">
        <v>684</v>
      </c>
      <c r="C308" s="1461"/>
      <c r="D308" s="1461"/>
      <c r="E308" s="1461"/>
      <c r="F308" s="1461"/>
      <c r="G308" s="1461"/>
      <c r="H308" s="1461"/>
      <c r="I308" s="1461"/>
      <c r="J308" s="1461"/>
      <c r="K308" s="1461"/>
      <c r="L308" s="1461"/>
      <c r="M308" s="1461"/>
      <c r="N308" s="1461"/>
      <c r="O308" s="1461"/>
      <c r="P308" s="1461"/>
      <c r="Q308" s="1461"/>
      <c r="R308" s="1461"/>
      <c r="S308" s="1461"/>
      <c r="T308" s="1461"/>
      <c r="U308" s="1461"/>
      <c r="V308" s="1461"/>
      <c r="W308" s="1461"/>
      <c r="X308" s="1461"/>
      <c r="Y308" s="1461"/>
      <c r="Z308" s="1461"/>
      <c r="AA308" s="1461"/>
      <c r="AB308" s="1461"/>
      <c r="AC308" s="1461"/>
      <c r="AD308" s="1461"/>
      <c r="AE308" s="1461"/>
      <c r="AF308" s="1461"/>
      <c r="AG308" s="1461"/>
      <c r="AH308" s="1461"/>
      <c r="AI308" s="1461"/>
      <c r="AJ308" s="1461"/>
      <c r="AK308" s="1461"/>
      <c r="AL308" s="1461"/>
      <c r="AM308" s="1461"/>
      <c r="AN308" s="1461"/>
      <c r="AO308" s="1461"/>
      <c r="AP308" s="1461"/>
      <c r="AQ308" s="1461"/>
      <c r="AR308" s="1461"/>
      <c r="AS308" s="1461"/>
      <c r="AT308" s="1461"/>
      <c r="AU308" s="1461"/>
      <c r="AV308" s="1461"/>
      <c r="AW308" s="1461"/>
      <c r="AX308" s="1461"/>
      <c r="AY308" s="1461"/>
      <c r="AZ308" s="1461"/>
      <c r="BA308" s="1461"/>
      <c r="BB308" s="1461"/>
    </row>
    <row r="309" spans="1:55" s="1617" customFormat="1" ht="13.5" customHeight="1">
      <c r="A309" s="1461"/>
      <c r="B309" s="1625" t="s">
        <v>685</v>
      </c>
      <c r="C309" s="1461"/>
      <c r="D309" s="1461"/>
      <c r="E309" s="1461"/>
      <c r="F309" s="1461"/>
      <c r="G309" s="1461"/>
      <c r="H309" s="1461"/>
      <c r="I309" s="1461"/>
      <c r="J309" s="1461"/>
      <c r="K309" s="1461"/>
      <c r="L309" s="1461"/>
      <c r="M309" s="1461"/>
      <c r="N309" s="1461"/>
      <c r="O309" s="1461"/>
      <c r="P309" s="1461"/>
      <c r="Q309" s="1461"/>
      <c r="R309" s="1461"/>
      <c r="S309" s="1461"/>
      <c r="T309" s="1461"/>
      <c r="U309" s="1461"/>
      <c r="V309" s="1461"/>
      <c r="W309" s="1461"/>
      <c r="X309" s="1461"/>
      <c r="Y309" s="1461"/>
      <c r="Z309" s="1461"/>
      <c r="AA309" s="1461"/>
      <c r="AB309" s="1461"/>
      <c r="AC309" s="1461"/>
      <c r="AD309" s="1461"/>
      <c r="AE309" s="1461"/>
      <c r="AF309" s="1461"/>
      <c r="AG309" s="1461"/>
      <c r="AH309" s="1461"/>
      <c r="AI309" s="1461"/>
      <c r="AJ309" s="1461"/>
      <c r="AK309" s="1461"/>
      <c r="AL309" s="1461"/>
      <c r="AM309" s="1461"/>
      <c r="AN309" s="1461"/>
      <c r="AO309" s="1461"/>
      <c r="AP309" s="1461"/>
      <c r="AQ309" s="1461"/>
      <c r="AR309" s="1461"/>
      <c r="AS309" s="1461"/>
      <c r="AT309" s="1461"/>
      <c r="AU309" s="1497"/>
      <c r="AV309" s="1461"/>
      <c r="AW309" s="1461"/>
      <c r="AX309" s="1461"/>
      <c r="AY309" s="1461"/>
      <c r="AZ309" s="1461"/>
      <c r="BA309" s="1461"/>
    </row>
    <row r="310" spans="1:55" ht="14.15" customHeight="1">
      <c r="B310" s="2788" t="s">
        <v>928</v>
      </c>
      <c r="C310" s="2788"/>
      <c r="D310" s="2788"/>
      <c r="E310" s="2788"/>
      <c r="F310" s="2788"/>
      <c r="G310" s="2788"/>
      <c r="H310" s="2788"/>
      <c r="I310" s="2788"/>
      <c r="J310" s="2788"/>
      <c r="K310" s="2788"/>
      <c r="L310" s="2788"/>
      <c r="M310" s="2788"/>
      <c r="N310" s="2788"/>
      <c r="O310" s="2788"/>
      <c r="P310" s="2788"/>
      <c r="Q310" s="2788"/>
      <c r="R310" s="2788"/>
      <c r="S310" s="2788"/>
      <c r="T310" s="2788"/>
      <c r="U310" s="2788"/>
      <c r="V310" s="2788"/>
      <c r="W310" s="2788"/>
      <c r="X310" s="2788"/>
      <c r="Y310" s="2788"/>
      <c r="Z310" s="2788"/>
      <c r="AA310" s="2788"/>
      <c r="AB310" s="2788"/>
      <c r="AC310" s="2788"/>
      <c r="AD310" s="2788"/>
      <c r="AE310" s="2788"/>
      <c r="AF310" s="2788"/>
      <c r="AG310" s="2788"/>
      <c r="AH310" s="2788"/>
      <c r="AI310" s="2788"/>
      <c r="AJ310" s="2788"/>
      <c r="AK310" s="2788"/>
      <c r="AL310" s="2788"/>
      <c r="AM310" s="2788"/>
      <c r="AN310" s="2788"/>
      <c r="AO310" s="2788"/>
      <c r="AP310" s="2788"/>
      <c r="AQ310" s="2788"/>
      <c r="AR310" s="2788"/>
      <c r="AS310" s="2788"/>
      <c r="AT310" s="2788"/>
      <c r="AU310" s="1485"/>
      <c r="AV310" s="1485"/>
      <c r="BB310" s="1461"/>
    </row>
    <row r="311" spans="1:55" ht="14.15" customHeight="1">
      <c r="B311" s="1461" t="s">
        <v>864</v>
      </c>
      <c r="AG311" s="1499"/>
      <c r="AH311" s="1499"/>
      <c r="AU311" s="1485"/>
      <c r="AV311" s="1485"/>
      <c r="BB311" s="1461"/>
    </row>
    <row r="312" spans="1:55" ht="4.5" customHeight="1">
      <c r="AU312" s="1485"/>
      <c r="AV312" s="1485"/>
      <c r="BB312" s="1461"/>
    </row>
    <row r="313" spans="1:55" ht="4.5" customHeight="1">
      <c r="AU313" s="1485"/>
      <c r="AV313" s="1485"/>
      <c r="BB313" s="1461"/>
    </row>
    <row r="314" spans="1:55" ht="13" customHeight="1">
      <c r="B314" s="2906" t="str">
        <f>'＜入力不要＞報告書'!B313</f>
        <v>階＼用途</v>
      </c>
      <c r="C314" s="2906"/>
      <c r="D314" s="2906"/>
      <c r="E314" s="2906"/>
      <c r="F314" s="2905" t="str">
        <f>'＜入力不要＞報告書'!F313</f>
        <v>各階合計</v>
      </c>
      <c r="G314" s="2905"/>
      <c r="H314" s="2905"/>
      <c r="I314" s="2905"/>
      <c r="J314" s="2905"/>
      <c r="K314" s="2909" t="str">
        <f>'＜入力不要＞報告書'!K313</f>
        <v/>
      </c>
      <c r="L314" s="2909"/>
      <c r="M314" s="2909"/>
      <c r="N314" s="2909"/>
      <c r="O314" s="2909"/>
      <c r="P314" s="2909" t="str">
        <f>'＜入力不要＞報告書'!P313</f>
        <v/>
      </c>
      <c r="Q314" s="2909"/>
      <c r="R314" s="2909"/>
      <c r="S314" s="2909"/>
      <c r="T314" s="2909"/>
      <c r="U314" s="2909" t="str">
        <f>'＜入力不要＞報告書'!U313</f>
        <v/>
      </c>
      <c r="V314" s="2909"/>
      <c r="W314" s="2909"/>
      <c r="X314" s="2909"/>
      <c r="Y314" s="2909"/>
      <c r="Z314" s="2909" t="str">
        <f>'＜入力不要＞報告書'!Z313</f>
        <v/>
      </c>
      <c r="AA314" s="2909"/>
      <c r="AB314" s="2909"/>
      <c r="AC314" s="2909"/>
      <c r="AD314" s="2909"/>
      <c r="AE314" s="2909" t="str">
        <f>'＜入力不要＞報告書'!AE313</f>
        <v/>
      </c>
      <c r="AF314" s="2909"/>
      <c r="AG314" s="2909"/>
      <c r="AH314" s="2909"/>
      <c r="AI314" s="2909"/>
      <c r="AJ314" s="2909" t="str">
        <f>'＜入力不要＞報告書'!AJ313</f>
        <v/>
      </c>
      <c r="AK314" s="2909"/>
      <c r="AL314" s="2909"/>
      <c r="AM314" s="2909"/>
      <c r="AN314" s="2909"/>
      <c r="AO314" s="2909" t="str">
        <f>'＜入力不要＞報告書'!AO313</f>
        <v/>
      </c>
      <c r="AP314" s="2909"/>
      <c r="AQ314" s="2909"/>
      <c r="AR314" s="2909"/>
      <c r="AS314" s="2909"/>
      <c r="AT314" s="1470"/>
      <c r="AU314" s="1485"/>
      <c r="AV314" s="1485"/>
      <c r="BB314" s="1461"/>
      <c r="BC314" s="1461"/>
    </row>
    <row r="315" spans="1:55" ht="13" customHeight="1">
      <c r="B315" s="2906"/>
      <c r="C315" s="2906"/>
      <c r="D315" s="2906"/>
      <c r="E315" s="2906"/>
      <c r="F315" s="2905"/>
      <c r="G315" s="2905"/>
      <c r="H315" s="2905"/>
      <c r="I315" s="2905"/>
      <c r="J315" s="2905"/>
      <c r="K315" s="2909"/>
      <c r="L315" s="2909"/>
      <c r="M315" s="2909"/>
      <c r="N315" s="2909"/>
      <c r="O315" s="2909"/>
      <c r="P315" s="2909"/>
      <c r="Q315" s="2909"/>
      <c r="R315" s="2909"/>
      <c r="S315" s="2909"/>
      <c r="T315" s="2909"/>
      <c r="U315" s="2909"/>
      <c r="V315" s="2909"/>
      <c r="W315" s="2909"/>
      <c r="X315" s="2909"/>
      <c r="Y315" s="2909"/>
      <c r="Z315" s="2909"/>
      <c r="AA315" s="2909"/>
      <c r="AB315" s="2909"/>
      <c r="AC315" s="2909"/>
      <c r="AD315" s="2909"/>
      <c r="AE315" s="2909"/>
      <c r="AF315" s="2909"/>
      <c r="AG315" s="2909"/>
      <c r="AH315" s="2909"/>
      <c r="AI315" s="2909"/>
      <c r="AJ315" s="2909"/>
      <c r="AK315" s="2909"/>
      <c r="AL315" s="2909"/>
      <c r="AM315" s="2909"/>
      <c r="AN315" s="2909"/>
      <c r="AO315" s="2909"/>
      <c r="AP315" s="2909"/>
      <c r="AQ315" s="2909"/>
      <c r="AR315" s="2909"/>
      <c r="AS315" s="2909"/>
      <c r="AT315" s="1470"/>
      <c r="AU315" s="1485"/>
      <c r="AV315" s="1485"/>
      <c r="BB315" s="1461"/>
      <c r="BC315" s="1461"/>
    </row>
    <row r="316" spans="1:55" ht="13" customHeight="1">
      <c r="B316" s="2906"/>
      <c r="C316" s="2906"/>
      <c r="D316" s="2906"/>
      <c r="E316" s="2906"/>
      <c r="F316" s="2905"/>
      <c r="G316" s="2905"/>
      <c r="H316" s="2905"/>
      <c r="I316" s="2905"/>
      <c r="J316" s="2905"/>
      <c r="K316" s="2909" t="str">
        <f>'＜入力不要＞報告書'!K315</f>
        <v/>
      </c>
      <c r="L316" s="2909"/>
      <c r="M316" s="2909"/>
      <c r="N316" s="2909"/>
      <c r="O316" s="2909"/>
      <c r="P316" s="2909" t="str">
        <f>'＜入力不要＞報告書'!P315</f>
        <v/>
      </c>
      <c r="Q316" s="2909"/>
      <c r="R316" s="2909"/>
      <c r="S316" s="2909"/>
      <c r="T316" s="2909"/>
      <c r="U316" s="2909" t="str">
        <f>'＜入力不要＞報告書'!U315</f>
        <v/>
      </c>
      <c r="V316" s="2909"/>
      <c r="W316" s="2909"/>
      <c r="X316" s="2909"/>
      <c r="Y316" s="2909"/>
      <c r="Z316" s="2909" t="str">
        <f>'＜入力不要＞報告書'!Z315</f>
        <v/>
      </c>
      <c r="AA316" s="2909"/>
      <c r="AB316" s="2909"/>
      <c r="AC316" s="2909"/>
      <c r="AD316" s="2909"/>
      <c r="AE316" s="2909" t="str">
        <f>'＜入力不要＞報告書'!AE315</f>
        <v/>
      </c>
      <c r="AF316" s="2909"/>
      <c r="AG316" s="2909"/>
      <c r="AH316" s="2909"/>
      <c r="AI316" s="2909"/>
      <c r="AJ316" s="2909" t="str">
        <f>'＜入力不要＞報告書'!AJ315</f>
        <v/>
      </c>
      <c r="AK316" s="2909"/>
      <c r="AL316" s="2909"/>
      <c r="AM316" s="2909"/>
      <c r="AN316" s="2909"/>
      <c r="AO316" s="2910" t="str">
        <f>'＜入力不要＞報告書'!AO315</f>
        <v/>
      </c>
      <c r="AP316" s="2910"/>
      <c r="AQ316" s="2910"/>
      <c r="AR316" s="2910"/>
      <c r="AS316" s="2910"/>
      <c r="AT316" s="1470"/>
      <c r="AU316" s="1485"/>
      <c r="AV316" s="1485"/>
      <c r="BB316" s="1461"/>
      <c r="BC316" s="1461"/>
    </row>
    <row r="317" spans="1:55" ht="13" customHeight="1">
      <c r="B317" s="2906"/>
      <c r="C317" s="2906"/>
      <c r="D317" s="2906"/>
      <c r="E317" s="2906"/>
      <c r="F317" s="2905"/>
      <c r="G317" s="2905"/>
      <c r="H317" s="2905"/>
      <c r="I317" s="2905"/>
      <c r="J317" s="2905"/>
      <c r="K317" s="2909"/>
      <c r="L317" s="2909"/>
      <c r="M317" s="2909"/>
      <c r="N317" s="2909"/>
      <c r="O317" s="2909"/>
      <c r="P317" s="2909"/>
      <c r="Q317" s="2909"/>
      <c r="R317" s="2909"/>
      <c r="S317" s="2909"/>
      <c r="T317" s="2909"/>
      <c r="U317" s="2909"/>
      <c r="V317" s="2909"/>
      <c r="W317" s="2909"/>
      <c r="X317" s="2909"/>
      <c r="Y317" s="2909"/>
      <c r="Z317" s="2909"/>
      <c r="AA317" s="2909"/>
      <c r="AB317" s="2909"/>
      <c r="AC317" s="2909"/>
      <c r="AD317" s="2909"/>
      <c r="AE317" s="2909"/>
      <c r="AF317" s="2909"/>
      <c r="AG317" s="2909"/>
      <c r="AH317" s="2909"/>
      <c r="AI317" s="2909"/>
      <c r="AJ317" s="2909"/>
      <c r="AK317" s="2909"/>
      <c r="AL317" s="2909"/>
      <c r="AM317" s="2909"/>
      <c r="AN317" s="2909"/>
      <c r="AO317" s="2910"/>
      <c r="AP317" s="2910"/>
      <c r="AQ317" s="2910"/>
      <c r="AR317" s="2910"/>
      <c r="AS317" s="2910"/>
      <c r="AT317" s="1470"/>
      <c r="AU317" s="1485"/>
      <c r="AV317" s="1485"/>
      <c r="BB317" s="1461"/>
      <c r="BC317" s="1461"/>
    </row>
    <row r="318" spans="1:55" ht="13" customHeight="1">
      <c r="B318" s="2906"/>
      <c r="C318" s="2906"/>
      <c r="D318" s="2906"/>
      <c r="E318" s="2906"/>
      <c r="F318" s="2905"/>
      <c r="G318" s="2905"/>
      <c r="H318" s="2905"/>
      <c r="I318" s="2905"/>
      <c r="J318" s="2905"/>
      <c r="K318" s="2909"/>
      <c r="L318" s="2909"/>
      <c r="M318" s="2909"/>
      <c r="N318" s="2909"/>
      <c r="O318" s="2909"/>
      <c r="P318" s="2909"/>
      <c r="Q318" s="2909"/>
      <c r="R318" s="2909"/>
      <c r="S318" s="2909"/>
      <c r="T318" s="2909"/>
      <c r="U318" s="2909"/>
      <c r="V318" s="2909"/>
      <c r="W318" s="2909"/>
      <c r="X318" s="2909"/>
      <c r="Y318" s="2909"/>
      <c r="Z318" s="2909"/>
      <c r="AA318" s="2909"/>
      <c r="AB318" s="2909"/>
      <c r="AC318" s="2909"/>
      <c r="AD318" s="2909"/>
      <c r="AE318" s="2909"/>
      <c r="AF318" s="2909"/>
      <c r="AG318" s="2909"/>
      <c r="AH318" s="2909"/>
      <c r="AI318" s="2909"/>
      <c r="AJ318" s="2909"/>
      <c r="AK318" s="2909"/>
      <c r="AL318" s="2909"/>
      <c r="AM318" s="2909"/>
      <c r="AN318" s="2909"/>
      <c r="AO318" s="2910"/>
      <c r="AP318" s="2910"/>
      <c r="AQ318" s="2910"/>
      <c r="AR318" s="2910"/>
      <c r="AS318" s="2910"/>
      <c r="AT318" s="1470"/>
      <c r="AU318" s="1485"/>
      <c r="AV318" s="1485"/>
      <c r="BB318" s="1461"/>
      <c r="BC318" s="1461"/>
    </row>
    <row r="319" spans="1:55" ht="13" customHeight="1">
      <c r="B319" s="2906"/>
      <c r="C319" s="2906"/>
      <c r="D319" s="2906"/>
      <c r="E319" s="2906"/>
      <c r="F319" s="2905"/>
      <c r="G319" s="2905"/>
      <c r="H319" s="2905"/>
      <c r="I319" s="2905"/>
      <c r="J319" s="2905"/>
      <c r="K319" s="2909"/>
      <c r="L319" s="2909"/>
      <c r="M319" s="2909"/>
      <c r="N319" s="2909"/>
      <c r="O319" s="2909"/>
      <c r="P319" s="2909"/>
      <c r="Q319" s="2909"/>
      <c r="R319" s="2909"/>
      <c r="S319" s="2909"/>
      <c r="T319" s="2909"/>
      <c r="U319" s="2909"/>
      <c r="V319" s="2909"/>
      <c r="W319" s="2909"/>
      <c r="X319" s="2909"/>
      <c r="Y319" s="2909"/>
      <c r="Z319" s="2909"/>
      <c r="AA319" s="2909"/>
      <c r="AB319" s="2909"/>
      <c r="AC319" s="2909"/>
      <c r="AD319" s="2909"/>
      <c r="AE319" s="2909"/>
      <c r="AF319" s="2909"/>
      <c r="AG319" s="2909"/>
      <c r="AH319" s="2909"/>
      <c r="AI319" s="2909"/>
      <c r="AJ319" s="2909"/>
      <c r="AK319" s="2909"/>
      <c r="AL319" s="2909"/>
      <c r="AM319" s="2909"/>
      <c r="AN319" s="2909"/>
      <c r="AO319" s="2910"/>
      <c r="AP319" s="2910"/>
      <c r="AQ319" s="2910"/>
      <c r="AR319" s="2910"/>
      <c r="AS319" s="2910"/>
      <c r="AT319" s="1470"/>
      <c r="AU319" s="1485"/>
      <c r="AV319" s="1485"/>
      <c r="BB319" s="1461"/>
      <c r="BC319" s="1461"/>
    </row>
    <row r="320" spans="1:55" ht="13" customHeight="1" thickBot="1">
      <c r="B320" s="2974" t="str">
        <f>'＜入力不要＞報告書'!B319</f>
        <v>延べ面積</v>
      </c>
      <c r="C320" s="2975"/>
      <c r="D320" s="2975"/>
      <c r="E320" s="2976"/>
      <c r="F320" s="2907">
        <f>'＜入力不要＞報告書'!F319</f>
        <v>0</v>
      </c>
      <c r="G320" s="2908"/>
      <c r="H320" s="2908"/>
      <c r="I320" s="2908"/>
      <c r="J320" s="1541" t="str">
        <f>'＜入力不要＞報告書'!J319</f>
        <v>㎡</v>
      </c>
      <c r="K320" s="2907">
        <f>'＜入力不要＞報告書'!K319</f>
        <v>0</v>
      </c>
      <c r="L320" s="2908"/>
      <c r="M320" s="2908"/>
      <c r="N320" s="2908"/>
      <c r="O320" s="1541" t="str">
        <f>'＜入力不要＞報告書'!O319</f>
        <v>㎡</v>
      </c>
      <c r="P320" s="2907">
        <f>'＜入力不要＞報告書'!P319</f>
        <v>0</v>
      </c>
      <c r="Q320" s="2908"/>
      <c r="R320" s="2908"/>
      <c r="S320" s="2908"/>
      <c r="T320" s="1541" t="str">
        <f>'＜入力不要＞報告書'!T319</f>
        <v>㎡</v>
      </c>
      <c r="U320" s="2907">
        <f>'＜入力不要＞報告書'!U319</f>
        <v>0</v>
      </c>
      <c r="V320" s="2908"/>
      <c r="W320" s="2908"/>
      <c r="X320" s="2908"/>
      <c r="Y320" s="1541" t="str">
        <f>'＜入力不要＞報告書'!Y319</f>
        <v>㎡</v>
      </c>
      <c r="Z320" s="2907">
        <f>'＜入力不要＞報告書'!Z319</f>
        <v>0</v>
      </c>
      <c r="AA320" s="2908"/>
      <c r="AB320" s="2908"/>
      <c r="AC320" s="2908"/>
      <c r="AD320" s="1541" t="str">
        <f>'＜入力不要＞報告書'!AD319</f>
        <v>㎡</v>
      </c>
      <c r="AE320" s="2907">
        <f>'＜入力不要＞報告書'!AE319</f>
        <v>0</v>
      </c>
      <c r="AF320" s="2908"/>
      <c r="AG320" s="2908"/>
      <c r="AH320" s="2908"/>
      <c r="AI320" s="1541" t="str">
        <f>'＜入力不要＞報告書'!AI319</f>
        <v>㎡</v>
      </c>
      <c r="AJ320" s="2907">
        <f>'＜入力不要＞報告書'!AJ319</f>
        <v>0</v>
      </c>
      <c r="AK320" s="2908"/>
      <c r="AL320" s="2908"/>
      <c r="AM320" s="2908"/>
      <c r="AN320" s="1541" t="str">
        <f>'＜入力不要＞報告書'!AN319</f>
        <v>㎡</v>
      </c>
      <c r="AO320" s="2907">
        <f>'＜入力不要＞報告書'!AO319</f>
        <v>0</v>
      </c>
      <c r="AP320" s="2908"/>
      <c r="AQ320" s="2908"/>
      <c r="AR320" s="2908"/>
      <c r="AS320" s="1541" t="str">
        <f>'＜入力不要＞報告書'!AS319</f>
        <v>㎡</v>
      </c>
      <c r="AT320" s="1470"/>
      <c r="AU320" s="1485"/>
      <c r="AV320" s="1485"/>
      <c r="BB320" s="1461"/>
      <c r="BC320" s="1461"/>
    </row>
    <row r="321" spans="1:55" ht="13" customHeight="1" thickTop="1">
      <c r="B321" s="2911" t="str">
        <f>'＜入力不要＞報告書'!B320</f>
        <v>地下1</v>
      </c>
      <c r="C321" s="2973"/>
      <c r="D321" s="2973"/>
      <c r="E321" s="1542" t="str">
        <f>'＜入力不要＞報告書'!E320</f>
        <v>階</v>
      </c>
      <c r="F321" s="2794">
        <f>'＜入力不要＞報告書'!F320</f>
        <v>0</v>
      </c>
      <c r="G321" s="2795"/>
      <c r="H321" s="2795"/>
      <c r="I321" s="2795"/>
      <c r="J321" s="1543" t="str">
        <f>'＜入力不要＞報告書'!J320</f>
        <v>㎡</v>
      </c>
      <c r="K321" s="2794" t="str">
        <f>'＜入力不要＞報告書'!K320</f>
        <v/>
      </c>
      <c r="L321" s="2795"/>
      <c r="M321" s="2795"/>
      <c r="N321" s="2795"/>
      <c r="O321" s="1543" t="str">
        <f>'＜入力不要＞報告書'!O320</f>
        <v>㎡</v>
      </c>
      <c r="P321" s="2794" t="str">
        <f>'＜入力不要＞報告書'!P320</f>
        <v/>
      </c>
      <c r="Q321" s="2795"/>
      <c r="R321" s="2795"/>
      <c r="S321" s="2795"/>
      <c r="T321" s="1543" t="str">
        <f>'＜入力不要＞報告書'!T320</f>
        <v>㎡</v>
      </c>
      <c r="U321" s="2794" t="str">
        <f>'＜入力不要＞報告書'!U320</f>
        <v/>
      </c>
      <c r="V321" s="2795"/>
      <c r="W321" s="2795"/>
      <c r="X321" s="2795"/>
      <c r="Y321" s="1543" t="str">
        <f>'＜入力不要＞報告書'!Y320</f>
        <v>㎡</v>
      </c>
      <c r="Z321" s="2794" t="str">
        <f>'＜入力不要＞報告書'!Z320</f>
        <v/>
      </c>
      <c r="AA321" s="2795"/>
      <c r="AB321" s="2795"/>
      <c r="AC321" s="2795"/>
      <c r="AD321" s="1543" t="str">
        <f>'＜入力不要＞報告書'!AD320</f>
        <v>㎡</v>
      </c>
      <c r="AE321" s="2794" t="str">
        <f>'＜入力不要＞報告書'!AE320</f>
        <v/>
      </c>
      <c r="AF321" s="2795"/>
      <c r="AG321" s="2795"/>
      <c r="AH321" s="2795"/>
      <c r="AI321" s="1543" t="str">
        <f>'＜入力不要＞報告書'!AI320</f>
        <v>㎡</v>
      </c>
      <c r="AJ321" s="2794" t="str">
        <f>'＜入力不要＞報告書'!AJ320</f>
        <v/>
      </c>
      <c r="AK321" s="2795"/>
      <c r="AL321" s="2795"/>
      <c r="AM321" s="2795"/>
      <c r="AN321" s="1543" t="str">
        <f>'＜入力不要＞報告書'!AN320</f>
        <v>㎡</v>
      </c>
      <c r="AO321" s="2794" t="str">
        <f>'＜入力不要＞報告書'!AO320</f>
        <v/>
      </c>
      <c r="AP321" s="2795"/>
      <c r="AQ321" s="2795"/>
      <c r="AR321" s="2795"/>
      <c r="AS321" s="1543" t="str">
        <f>'＜入力不要＞報告書'!AS320</f>
        <v>㎡</v>
      </c>
      <c r="AT321" s="1470"/>
      <c r="AU321" s="1485"/>
      <c r="AV321" s="1485"/>
      <c r="BB321" s="1461"/>
      <c r="BC321" s="1461"/>
    </row>
    <row r="322" spans="1:55" ht="13" customHeight="1">
      <c r="B322" s="2913" t="str">
        <f>'＜入力不要＞報告書'!B321</f>
        <v>地下2</v>
      </c>
      <c r="C322" s="2977"/>
      <c r="D322" s="2977"/>
      <c r="E322" s="1542" t="str">
        <f>'＜入力不要＞報告書'!E321</f>
        <v>階</v>
      </c>
      <c r="F322" s="2794">
        <f>'＜入力不要＞報告書'!F321</f>
        <v>0</v>
      </c>
      <c r="G322" s="2795"/>
      <c r="H322" s="2795"/>
      <c r="I322" s="2795"/>
      <c r="J322" s="1543" t="str">
        <f>'＜入力不要＞報告書'!J321</f>
        <v>㎡</v>
      </c>
      <c r="K322" s="2794" t="str">
        <f>'＜入力不要＞報告書'!K321</f>
        <v/>
      </c>
      <c r="L322" s="2795"/>
      <c r="M322" s="2795"/>
      <c r="N322" s="2795"/>
      <c r="O322" s="1543" t="str">
        <f>'＜入力不要＞報告書'!O321</f>
        <v>㎡</v>
      </c>
      <c r="P322" s="2794" t="str">
        <f>'＜入力不要＞報告書'!P321</f>
        <v/>
      </c>
      <c r="Q322" s="2795"/>
      <c r="R322" s="2795"/>
      <c r="S322" s="2795"/>
      <c r="T322" s="1543" t="str">
        <f>'＜入力不要＞報告書'!T321</f>
        <v>㎡</v>
      </c>
      <c r="U322" s="2794" t="str">
        <f>'＜入力不要＞報告書'!U321</f>
        <v/>
      </c>
      <c r="V322" s="2795"/>
      <c r="W322" s="2795"/>
      <c r="X322" s="2795"/>
      <c r="Y322" s="1543" t="str">
        <f>'＜入力不要＞報告書'!Y321</f>
        <v>㎡</v>
      </c>
      <c r="Z322" s="2794" t="str">
        <f>'＜入力不要＞報告書'!Z321</f>
        <v/>
      </c>
      <c r="AA322" s="2795"/>
      <c r="AB322" s="2795"/>
      <c r="AC322" s="2795"/>
      <c r="AD322" s="1543" t="str">
        <f>'＜入力不要＞報告書'!AD321</f>
        <v>㎡</v>
      </c>
      <c r="AE322" s="2794" t="str">
        <f>'＜入力不要＞報告書'!AE321</f>
        <v/>
      </c>
      <c r="AF322" s="2795"/>
      <c r="AG322" s="2795"/>
      <c r="AH322" s="2795"/>
      <c r="AI322" s="1543" t="str">
        <f>'＜入力不要＞報告書'!AI321</f>
        <v>㎡</v>
      </c>
      <c r="AJ322" s="2794" t="str">
        <f>'＜入力不要＞報告書'!AJ321</f>
        <v/>
      </c>
      <c r="AK322" s="2795"/>
      <c r="AL322" s="2795"/>
      <c r="AM322" s="2795"/>
      <c r="AN322" s="1543" t="str">
        <f>'＜入力不要＞報告書'!AN321</f>
        <v>㎡</v>
      </c>
      <c r="AO322" s="2794" t="str">
        <f>'＜入力不要＞報告書'!AO321</f>
        <v/>
      </c>
      <c r="AP322" s="2795"/>
      <c r="AQ322" s="2795"/>
      <c r="AR322" s="2795"/>
      <c r="AS322" s="1543" t="str">
        <f>'＜入力不要＞報告書'!AS321</f>
        <v>㎡</v>
      </c>
      <c r="AT322" s="1470"/>
      <c r="AU322" s="1485"/>
      <c r="AV322" s="1485"/>
      <c r="BB322" s="1461"/>
      <c r="BC322" s="1461"/>
    </row>
    <row r="323" spans="1:55" ht="13" customHeight="1">
      <c r="B323" s="2913" t="str">
        <f>'＜入力不要＞報告書'!B322</f>
        <v>地下3</v>
      </c>
      <c r="C323" s="2977"/>
      <c r="D323" s="2977"/>
      <c r="E323" s="1542" t="str">
        <f>'＜入力不要＞報告書'!E322</f>
        <v>階</v>
      </c>
      <c r="F323" s="2794">
        <f>'＜入力不要＞報告書'!F322</f>
        <v>0</v>
      </c>
      <c r="G323" s="2795"/>
      <c r="H323" s="2795"/>
      <c r="I323" s="2795"/>
      <c r="J323" s="1543" t="str">
        <f>'＜入力不要＞報告書'!J322</f>
        <v>㎡</v>
      </c>
      <c r="K323" s="2794" t="str">
        <f>'＜入力不要＞報告書'!K322</f>
        <v/>
      </c>
      <c r="L323" s="2795"/>
      <c r="M323" s="2795"/>
      <c r="N323" s="2795"/>
      <c r="O323" s="1543" t="str">
        <f>'＜入力不要＞報告書'!O322</f>
        <v>㎡</v>
      </c>
      <c r="P323" s="2794" t="str">
        <f>'＜入力不要＞報告書'!P322</f>
        <v/>
      </c>
      <c r="Q323" s="2795"/>
      <c r="R323" s="2795"/>
      <c r="S323" s="2795"/>
      <c r="T323" s="1543" t="str">
        <f>'＜入力不要＞報告書'!T322</f>
        <v>㎡</v>
      </c>
      <c r="U323" s="2794" t="str">
        <f>'＜入力不要＞報告書'!U322</f>
        <v/>
      </c>
      <c r="V323" s="2795"/>
      <c r="W323" s="2795"/>
      <c r="X323" s="2795"/>
      <c r="Y323" s="1543" t="str">
        <f>'＜入力不要＞報告書'!Y322</f>
        <v>㎡</v>
      </c>
      <c r="Z323" s="2794" t="str">
        <f>'＜入力不要＞報告書'!Z322</f>
        <v/>
      </c>
      <c r="AA323" s="2795"/>
      <c r="AB323" s="2795"/>
      <c r="AC323" s="2795"/>
      <c r="AD323" s="1543" t="str">
        <f>'＜入力不要＞報告書'!AD322</f>
        <v>㎡</v>
      </c>
      <c r="AE323" s="2794" t="str">
        <f>'＜入力不要＞報告書'!AE322</f>
        <v/>
      </c>
      <c r="AF323" s="2795"/>
      <c r="AG323" s="2795"/>
      <c r="AH323" s="2795"/>
      <c r="AI323" s="1543" t="str">
        <f>'＜入力不要＞報告書'!AI322</f>
        <v>㎡</v>
      </c>
      <c r="AJ323" s="2794" t="str">
        <f>'＜入力不要＞報告書'!AJ322</f>
        <v/>
      </c>
      <c r="AK323" s="2795"/>
      <c r="AL323" s="2795"/>
      <c r="AM323" s="2795"/>
      <c r="AN323" s="1543" t="str">
        <f>'＜入力不要＞報告書'!AN322</f>
        <v>㎡</v>
      </c>
      <c r="AO323" s="2794" t="str">
        <f>'＜入力不要＞報告書'!AO322</f>
        <v/>
      </c>
      <c r="AP323" s="2795"/>
      <c r="AQ323" s="2795"/>
      <c r="AR323" s="2795"/>
      <c r="AS323" s="1543" t="str">
        <f>'＜入力不要＞報告書'!AS322</f>
        <v>㎡</v>
      </c>
      <c r="AT323" s="1470"/>
      <c r="AU323" s="1485"/>
      <c r="AV323" s="1485"/>
      <c r="BB323" s="1461"/>
      <c r="BC323" s="1461"/>
    </row>
    <row r="324" spans="1:55" ht="13" customHeight="1">
      <c r="B324" s="2915" t="str">
        <f>'＜入力不要＞報告書'!B323</f>
        <v>地下4</v>
      </c>
      <c r="C324" s="2978"/>
      <c r="D324" s="2978"/>
      <c r="E324" s="1542" t="str">
        <f>'＜入力不要＞報告書'!E323</f>
        <v>階</v>
      </c>
      <c r="F324" s="2796">
        <f>'＜入力不要＞報告書'!F323</f>
        <v>0</v>
      </c>
      <c r="G324" s="2797"/>
      <c r="H324" s="2797"/>
      <c r="I324" s="2797"/>
      <c r="J324" s="1544" t="str">
        <f>'＜入力不要＞報告書'!J323</f>
        <v>㎡</v>
      </c>
      <c r="K324" s="2796" t="str">
        <f>'＜入力不要＞報告書'!K323</f>
        <v/>
      </c>
      <c r="L324" s="2797"/>
      <c r="M324" s="2797"/>
      <c r="N324" s="2797"/>
      <c r="O324" s="1544" t="str">
        <f>'＜入力不要＞報告書'!O323</f>
        <v>㎡</v>
      </c>
      <c r="P324" s="2796" t="str">
        <f>'＜入力不要＞報告書'!P323</f>
        <v/>
      </c>
      <c r="Q324" s="2797"/>
      <c r="R324" s="2797"/>
      <c r="S324" s="2797"/>
      <c r="T324" s="1544" t="str">
        <f>'＜入力不要＞報告書'!T323</f>
        <v>㎡</v>
      </c>
      <c r="U324" s="2796" t="str">
        <f>'＜入力不要＞報告書'!U323</f>
        <v/>
      </c>
      <c r="V324" s="2797"/>
      <c r="W324" s="2797"/>
      <c r="X324" s="2797"/>
      <c r="Y324" s="1544" t="str">
        <f>'＜入力不要＞報告書'!Y323</f>
        <v>㎡</v>
      </c>
      <c r="Z324" s="2796" t="str">
        <f>'＜入力不要＞報告書'!Z323</f>
        <v/>
      </c>
      <c r="AA324" s="2797"/>
      <c r="AB324" s="2797"/>
      <c r="AC324" s="2797"/>
      <c r="AD324" s="1544" t="str">
        <f>'＜入力不要＞報告書'!AD323</f>
        <v>㎡</v>
      </c>
      <c r="AE324" s="2796" t="str">
        <f>'＜入力不要＞報告書'!AE323</f>
        <v/>
      </c>
      <c r="AF324" s="2797"/>
      <c r="AG324" s="2797"/>
      <c r="AH324" s="2797"/>
      <c r="AI324" s="1544" t="str">
        <f>'＜入力不要＞報告書'!AI323</f>
        <v>㎡</v>
      </c>
      <c r="AJ324" s="2796" t="str">
        <f>'＜入力不要＞報告書'!AJ323</f>
        <v/>
      </c>
      <c r="AK324" s="2797"/>
      <c r="AL324" s="2797"/>
      <c r="AM324" s="2797"/>
      <c r="AN324" s="1544" t="str">
        <f>'＜入力不要＞報告書'!AN323</f>
        <v>㎡</v>
      </c>
      <c r="AO324" s="2796" t="str">
        <f>'＜入力不要＞報告書'!AO323</f>
        <v/>
      </c>
      <c r="AP324" s="2797"/>
      <c r="AQ324" s="2797"/>
      <c r="AR324" s="2797"/>
      <c r="AS324" s="1544" t="str">
        <f>'＜入力不要＞報告書'!AS323</f>
        <v>㎡</v>
      </c>
      <c r="AT324" s="1470"/>
      <c r="AU324" s="1485"/>
      <c r="AV324" s="1485"/>
      <c r="BB324" s="1461"/>
      <c r="BC324" s="1461"/>
    </row>
    <row r="325" spans="1:55" ht="13" customHeight="1">
      <c r="B325" s="2917" t="str">
        <f>'＜入力不要＞報告書'!B324</f>
        <v>塔屋 1</v>
      </c>
      <c r="C325" s="2982"/>
      <c r="D325" s="2982"/>
      <c r="E325" s="1545" t="str">
        <f>'＜入力不要＞報告書'!E324</f>
        <v>階</v>
      </c>
      <c r="F325" s="2798">
        <f>'＜入力不要＞報告書'!F324</f>
        <v>0</v>
      </c>
      <c r="G325" s="2799"/>
      <c r="H325" s="2799"/>
      <c r="I325" s="2799"/>
      <c r="J325" s="1546" t="str">
        <f>'＜入力不要＞報告書'!J324</f>
        <v>㎡</v>
      </c>
      <c r="K325" s="2798" t="str">
        <f>'＜入力不要＞報告書'!K324</f>
        <v/>
      </c>
      <c r="L325" s="2799"/>
      <c r="M325" s="2799"/>
      <c r="N325" s="2799"/>
      <c r="O325" s="1546" t="str">
        <f>'＜入力不要＞報告書'!O324</f>
        <v>㎡</v>
      </c>
      <c r="P325" s="2798" t="str">
        <f>'＜入力不要＞報告書'!P324</f>
        <v/>
      </c>
      <c r="Q325" s="2799"/>
      <c r="R325" s="2799"/>
      <c r="S325" s="2799"/>
      <c r="T325" s="1546" t="str">
        <f>'＜入力不要＞報告書'!T324</f>
        <v>㎡</v>
      </c>
      <c r="U325" s="2798" t="str">
        <f>'＜入力不要＞報告書'!U324</f>
        <v/>
      </c>
      <c r="V325" s="2799"/>
      <c r="W325" s="2799"/>
      <c r="X325" s="2799"/>
      <c r="Y325" s="1546" t="str">
        <f>'＜入力不要＞報告書'!Y324</f>
        <v>㎡</v>
      </c>
      <c r="Z325" s="2798" t="str">
        <f>'＜入力不要＞報告書'!Z324</f>
        <v/>
      </c>
      <c r="AA325" s="2799"/>
      <c r="AB325" s="2799"/>
      <c r="AC325" s="2799"/>
      <c r="AD325" s="1546" t="str">
        <f>'＜入力不要＞報告書'!AD324</f>
        <v>㎡</v>
      </c>
      <c r="AE325" s="2798" t="str">
        <f>'＜入力不要＞報告書'!AE324</f>
        <v/>
      </c>
      <c r="AF325" s="2799"/>
      <c r="AG325" s="2799"/>
      <c r="AH325" s="2799"/>
      <c r="AI325" s="1546" t="str">
        <f>'＜入力不要＞報告書'!AI324</f>
        <v>㎡</v>
      </c>
      <c r="AJ325" s="2798" t="str">
        <f>'＜入力不要＞報告書'!AJ324</f>
        <v/>
      </c>
      <c r="AK325" s="2799"/>
      <c r="AL325" s="2799"/>
      <c r="AM325" s="2799"/>
      <c r="AN325" s="1546" t="str">
        <f>'＜入力不要＞報告書'!AN324</f>
        <v>㎡</v>
      </c>
      <c r="AO325" s="2798" t="str">
        <f>'＜入力不要＞報告書'!AO324</f>
        <v/>
      </c>
      <c r="AP325" s="2799"/>
      <c r="AQ325" s="2799"/>
      <c r="AR325" s="2799"/>
      <c r="AS325" s="1546" t="str">
        <f>'＜入力不要＞報告書'!AS324</f>
        <v>㎡</v>
      </c>
      <c r="AT325" s="1470"/>
      <c r="AU325" s="1485"/>
      <c r="AV325" s="1485"/>
      <c r="BB325" s="1461"/>
      <c r="BC325" s="1461"/>
    </row>
    <row r="326" spans="1:55" ht="13" customHeight="1">
      <c r="B326" s="2913" t="str">
        <f>'＜入力不要＞報告書'!B325</f>
        <v>塔屋 2</v>
      </c>
      <c r="C326" s="2977"/>
      <c r="D326" s="2977"/>
      <c r="E326" s="1542" t="str">
        <f>'＜入力不要＞報告書'!E325</f>
        <v>階</v>
      </c>
      <c r="F326" s="2794">
        <f>'＜入力不要＞報告書'!F325</f>
        <v>0</v>
      </c>
      <c r="G326" s="2795"/>
      <c r="H326" s="2795"/>
      <c r="I326" s="2795"/>
      <c r="J326" s="1543" t="str">
        <f>'＜入力不要＞報告書'!J325</f>
        <v>㎡</v>
      </c>
      <c r="K326" s="2794" t="str">
        <f>'＜入力不要＞報告書'!K325</f>
        <v/>
      </c>
      <c r="L326" s="2795"/>
      <c r="M326" s="2795"/>
      <c r="N326" s="2795"/>
      <c r="O326" s="1543" t="str">
        <f>'＜入力不要＞報告書'!O325</f>
        <v>㎡</v>
      </c>
      <c r="P326" s="2794" t="str">
        <f>'＜入力不要＞報告書'!P325</f>
        <v/>
      </c>
      <c r="Q326" s="2795"/>
      <c r="R326" s="2795"/>
      <c r="S326" s="2795"/>
      <c r="T326" s="1543" t="str">
        <f>'＜入力不要＞報告書'!T325</f>
        <v>㎡</v>
      </c>
      <c r="U326" s="2794" t="str">
        <f>'＜入力不要＞報告書'!U325</f>
        <v/>
      </c>
      <c r="V326" s="2795"/>
      <c r="W326" s="2795"/>
      <c r="X326" s="2795"/>
      <c r="Y326" s="1543" t="str">
        <f>'＜入力不要＞報告書'!Y325</f>
        <v>㎡</v>
      </c>
      <c r="Z326" s="2794" t="str">
        <f>'＜入力不要＞報告書'!Z325</f>
        <v/>
      </c>
      <c r="AA326" s="2795"/>
      <c r="AB326" s="2795"/>
      <c r="AC326" s="2795"/>
      <c r="AD326" s="1543" t="str">
        <f>'＜入力不要＞報告書'!AD325</f>
        <v>㎡</v>
      </c>
      <c r="AE326" s="2794" t="str">
        <f>'＜入力不要＞報告書'!AE325</f>
        <v/>
      </c>
      <c r="AF326" s="2795"/>
      <c r="AG326" s="2795"/>
      <c r="AH326" s="2795"/>
      <c r="AI326" s="1543" t="str">
        <f>'＜入力不要＞報告書'!AI325</f>
        <v>㎡</v>
      </c>
      <c r="AJ326" s="2794" t="str">
        <f>'＜入力不要＞報告書'!AJ325</f>
        <v/>
      </c>
      <c r="AK326" s="2795"/>
      <c r="AL326" s="2795"/>
      <c r="AM326" s="2795"/>
      <c r="AN326" s="1543" t="str">
        <f>'＜入力不要＞報告書'!AN325</f>
        <v>㎡</v>
      </c>
      <c r="AO326" s="2794" t="str">
        <f>'＜入力不要＞報告書'!AO325</f>
        <v/>
      </c>
      <c r="AP326" s="2795"/>
      <c r="AQ326" s="2795"/>
      <c r="AR326" s="2795"/>
      <c r="AS326" s="1543" t="str">
        <f>'＜入力不要＞報告書'!AS325</f>
        <v>㎡</v>
      </c>
      <c r="AT326" s="1470"/>
      <c r="AU326" s="1485"/>
      <c r="AV326" s="1485"/>
      <c r="BB326" s="1461"/>
      <c r="BC326" s="1461"/>
    </row>
    <row r="327" spans="1:55" ht="13" customHeight="1">
      <c r="B327" s="2913" t="str">
        <f>'＜入力不要＞報告書'!B326</f>
        <v>塔屋 3</v>
      </c>
      <c r="C327" s="2977"/>
      <c r="D327" s="2977"/>
      <c r="E327" s="1542" t="str">
        <f>'＜入力不要＞報告書'!E326</f>
        <v>階</v>
      </c>
      <c r="F327" s="2794">
        <f>'＜入力不要＞報告書'!F326</f>
        <v>0</v>
      </c>
      <c r="G327" s="2795"/>
      <c r="H327" s="2795"/>
      <c r="I327" s="2795"/>
      <c r="J327" s="1543" t="str">
        <f>'＜入力不要＞報告書'!J326</f>
        <v>㎡</v>
      </c>
      <c r="K327" s="2794" t="str">
        <f>'＜入力不要＞報告書'!K326</f>
        <v/>
      </c>
      <c r="L327" s="2795"/>
      <c r="M327" s="2795"/>
      <c r="N327" s="2795"/>
      <c r="O327" s="1543" t="str">
        <f>'＜入力不要＞報告書'!O326</f>
        <v>㎡</v>
      </c>
      <c r="P327" s="2794" t="str">
        <f>'＜入力不要＞報告書'!P326</f>
        <v/>
      </c>
      <c r="Q327" s="2795"/>
      <c r="R327" s="2795"/>
      <c r="S327" s="2795"/>
      <c r="T327" s="1543" t="str">
        <f>'＜入力不要＞報告書'!T326</f>
        <v>㎡</v>
      </c>
      <c r="U327" s="2794" t="str">
        <f>'＜入力不要＞報告書'!U326</f>
        <v/>
      </c>
      <c r="V327" s="2795"/>
      <c r="W327" s="2795"/>
      <c r="X327" s="2795"/>
      <c r="Y327" s="1543" t="str">
        <f>'＜入力不要＞報告書'!Y326</f>
        <v>㎡</v>
      </c>
      <c r="Z327" s="2794" t="str">
        <f>'＜入力不要＞報告書'!Z326</f>
        <v/>
      </c>
      <c r="AA327" s="2795"/>
      <c r="AB327" s="2795"/>
      <c r="AC327" s="2795"/>
      <c r="AD327" s="1543" t="str">
        <f>'＜入力不要＞報告書'!AD326</f>
        <v>㎡</v>
      </c>
      <c r="AE327" s="2794" t="str">
        <f>'＜入力不要＞報告書'!AE326</f>
        <v/>
      </c>
      <c r="AF327" s="2795"/>
      <c r="AG327" s="2795"/>
      <c r="AH327" s="2795"/>
      <c r="AI327" s="1543" t="str">
        <f>'＜入力不要＞報告書'!AI326</f>
        <v>㎡</v>
      </c>
      <c r="AJ327" s="2794" t="str">
        <f>'＜入力不要＞報告書'!AJ326</f>
        <v/>
      </c>
      <c r="AK327" s="2795"/>
      <c r="AL327" s="2795"/>
      <c r="AM327" s="2795"/>
      <c r="AN327" s="1543" t="str">
        <f>'＜入力不要＞報告書'!AN326</f>
        <v>㎡</v>
      </c>
      <c r="AO327" s="2794" t="str">
        <f>'＜入力不要＞報告書'!AO326</f>
        <v/>
      </c>
      <c r="AP327" s="2795"/>
      <c r="AQ327" s="2795"/>
      <c r="AR327" s="2795"/>
      <c r="AS327" s="1543" t="str">
        <f>'＜入力不要＞報告書'!AS326</f>
        <v>㎡</v>
      </c>
      <c r="AT327" s="1470"/>
      <c r="AU327" s="1485"/>
      <c r="AV327" s="1485"/>
      <c r="BB327" s="1461"/>
      <c r="BC327" s="1461"/>
    </row>
    <row r="328" spans="1:55" ht="13" customHeight="1">
      <c r="B328" s="2913" t="str">
        <f>'＜入力不要＞報告書'!B327</f>
        <v>塔屋 4</v>
      </c>
      <c r="C328" s="2977"/>
      <c r="D328" s="2977"/>
      <c r="E328" s="1542" t="str">
        <f>'＜入力不要＞報告書'!E327</f>
        <v>階</v>
      </c>
      <c r="F328" s="2794">
        <f>'＜入力不要＞報告書'!F327</f>
        <v>0</v>
      </c>
      <c r="G328" s="2795"/>
      <c r="H328" s="2795"/>
      <c r="I328" s="2795"/>
      <c r="J328" s="1543" t="str">
        <f>'＜入力不要＞報告書'!J327</f>
        <v>㎡</v>
      </c>
      <c r="K328" s="2794" t="str">
        <f>'＜入力不要＞報告書'!K327</f>
        <v/>
      </c>
      <c r="L328" s="2795"/>
      <c r="M328" s="2795"/>
      <c r="N328" s="2795"/>
      <c r="O328" s="1543" t="str">
        <f>'＜入力不要＞報告書'!O327</f>
        <v>㎡</v>
      </c>
      <c r="P328" s="2794" t="str">
        <f>'＜入力不要＞報告書'!P327</f>
        <v/>
      </c>
      <c r="Q328" s="2795"/>
      <c r="R328" s="2795"/>
      <c r="S328" s="2795"/>
      <c r="T328" s="1543" t="str">
        <f>'＜入力不要＞報告書'!T327</f>
        <v>㎡</v>
      </c>
      <c r="U328" s="2794" t="str">
        <f>'＜入力不要＞報告書'!U327</f>
        <v/>
      </c>
      <c r="V328" s="2795"/>
      <c r="W328" s="2795"/>
      <c r="X328" s="2795"/>
      <c r="Y328" s="1543" t="str">
        <f>'＜入力不要＞報告書'!Y327</f>
        <v>㎡</v>
      </c>
      <c r="Z328" s="2794" t="str">
        <f>'＜入力不要＞報告書'!Z327</f>
        <v/>
      </c>
      <c r="AA328" s="2795"/>
      <c r="AB328" s="2795"/>
      <c r="AC328" s="2795"/>
      <c r="AD328" s="1543" t="str">
        <f>'＜入力不要＞報告書'!AD327</f>
        <v>㎡</v>
      </c>
      <c r="AE328" s="2794" t="str">
        <f>'＜入力不要＞報告書'!AE327</f>
        <v/>
      </c>
      <c r="AF328" s="2795"/>
      <c r="AG328" s="2795"/>
      <c r="AH328" s="2795"/>
      <c r="AI328" s="1543" t="str">
        <f>'＜入力不要＞報告書'!AI327</f>
        <v>㎡</v>
      </c>
      <c r="AJ328" s="2794" t="str">
        <f>'＜入力不要＞報告書'!AJ327</f>
        <v/>
      </c>
      <c r="AK328" s="2795"/>
      <c r="AL328" s="2795"/>
      <c r="AM328" s="2795"/>
      <c r="AN328" s="1543" t="str">
        <f>'＜入力不要＞報告書'!AN327</f>
        <v>㎡</v>
      </c>
      <c r="AO328" s="2794" t="str">
        <f>'＜入力不要＞報告書'!AO327</f>
        <v/>
      </c>
      <c r="AP328" s="2795"/>
      <c r="AQ328" s="2795"/>
      <c r="AR328" s="2795"/>
      <c r="AS328" s="1543" t="str">
        <f>'＜入力不要＞報告書'!AS327</f>
        <v>㎡</v>
      </c>
      <c r="AT328" s="1470"/>
      <c r="AU328" s="1485"/>
      <c r="AV328" s="1485"/>
      <c r="BB328" s="1461"/>
      <c r="BC328" s="1461"/>
    </row>
    <row r="329" spans="1:55" s="1617" customFormat="1" ht="13" customHeight="1">
      <c r="A329" s="1461"/>
      <c r="B329" s="2915" t="str">
        <f>'＜入力不要＞報告書'!B328</f>
        <v>塔屋 5</v>
      </c>
      <c r="C329" s="2978"/>
      <c r="D329" s="2978"/>
      <c r="E329" s="1547" t="str">
        <f>'＜入力不要＞報告書'!E328</f>
        <v>階</v>
      </c>
      <c r="F329" s="2796">
        <f>'＜入力不要＞報告書'!F328</f>
        <v>0</v>
      </c>
      <c r="G329" s="2797"/>
      <c r="H329" s="2797"/>
      <c r="I329" s="2797"/>
      <c r="J329" s="1544" t="str">
        <f>'＜入力不要＞報告書'!J328</f>
        <v>㎡</v>
      </c>
      <c r="K329" s="2796" t="str">
        <f>'＜入力不要＞報告書'!K328</f>
        <v/>
      </c>
      <c r="L329" s="2797"/>
      <c r="M329" s="2797"/>
      <c r="N329" s="2797"/>
      <c r="O329" s="1544" t="str">
        <f>'＜入力不要＞報告書'!O328</f>
        <v>㎡</v>
      </c>
      <c r="P329" s="2796" t="str">
        <f>'＜入力不要＞報告書'!P328</f>
        <v/>
      </c>
      <c r="Q329" s="2797"/>
      <c r="R329" s="2797"/>
      <c r="S329" s="2797"/>
      <c r="T329" s="1544" t="str">
        <f>'＜入力不要＞報告書'!T328</f>
        <v>㎡</v>
      </c>
      <c r="U329" s="2796" t="str">
        <f>'＜入力不要＞報告書'!U328</f>
        <v/>
      </c>
      <c r="V329" s="2797"/>
      <c r="W329" s="2797"/>
      <c r="X329" s="2797"/>
      <c r="Y329" s="1544" t="str">
        <f>'＜入力不要＞報告書'!Y328</f>
        <v>㎡</v>
      </c>
      <c r="Z329" s="2796" t="str">
        <f>'＜入力不要＞報告書'!Z328</f>
        <v/>
      </c>
      <c r="AA329" s="2797"/>
      <c r="AB329" s="2797"/>
      <c r="AC329" s="2797"/>
      <c r="AD329" s="1544" t="str">
        <f>'＜入力不要＞報告書'!AD328</f>
        <v>㎡</v>
      </c>
      <c r="AE329" s="2796" t="str">
        <f>'＜入力不要＞報告書'!AE328</f>
        <v/>
      </c>
      <c r="AF329" s="2797"/>
      <c r="AG329" s="2797"/>
      <c r="AH329" s="2797"/>
      <c r="AI329" s="1544" t="str">
        <f>'＜入力不要＞報告書'!AI328</f>
        <v>㎡</v>
      </c>
      <c r="AJ329" s="2796" t="str">
        <f>'＜入力不要＞報告書'!AJ328</f>
        <v/>
      </c>
      <c r="AK329" s="2797"/>
      <c r="AL329" s="2797"/>
      <c r="AM329" s="2797"/>
      <c r="AN329" s="1544" t="str">
        <f>'＜入力不要＞報告書'!AN328</f>
        <v>㎡</v>
      </c>
      <c r="AO329" s="2796" t="str">
        <f>'＜入力不要＞報告書'!AO328</f>
        <v/>
      </c>
      <c r="AP329" s="2797"/>
      <c r="AQ329" s="2797"/>
      <c r="AR329" s="2797"/>
      <c r="AS329" s="1544" t="str">
        <f>'＜入力不要＞報告書'!AS328</f>
        <v>㎡</v>
      </c>
      <c r="AT329" s="1470"/>
      <c r="AU329" s="1485"/>
      <c r="AV329" s="1485"/>
      <c r="AW329" s="1461"/>
      <c r="AX329" s="1461"/>
      <c r="AY329" s="1461"/>
      <c r="AZ329" s="1461"/>
      <c r="BA329" s="1461"/>
    </row>
    <row r="330" spans="1:55" s="1617" customFormat="1" ht="13" customHeight="1">
      <c r="A330" s="1461"/>
      <c r="B330" s="1548"/>
      <c r="C330" s="2923">
        <f>'＜入力不要＞報告書'!C329</f>
        <v>1</v>
      </c>
      <c r="D330" s="2979"/>
      <c r="E330" s="1545" t="str">
        <f>'＜入力不要＞報告書'!E329</f>
        <v>階</v>
      </c>
      <c r="F330" s="2798">
        <f>'＜入力不要＞報告書'!F329</f>
        <v>0</v>
      </c>
      <c r="G330" s="2799"/>
      <c r="H330" s="2799"/>
      <c r="I330" s="2799"/>
      <c r="J330" s="1546" t="str">
        <f>'＜入力不要＞報告書'!J329</f>
        <v>㎡</v>
      </c>
      <c r="K330" s="2798" t="str">
        <f>'＜入力不要＞報告書'!K329</f>
        <v/>
      </c>
      <c r="L330" s="2799"/>
      <c r="M330" s="2799"/>
      <c r="N330" s="2799"/>
      <c r="O330" s="1546" t="str">
        <f>'＜入力不要＞報告書'!O329</f>
        <v>㎡</v>
      </c>
      <c r="P330" s="2798" t="str">
        <f>'＜入力不要＞報告書'!P329</f>
        <v/>
      </c>
      <c r="Q330" s="2799"/>
      <c r="R330" s="2799"/>
      <c r="S330" s="2799"/>
      <c r="T330" s="1546" t="str">
        <f>'＜入力不要＞報告書'!T329</f>
        <v>㎡</v>
      </c>
      <c r="U330" s="2798" t="str">
        <f>'＜入力不要＞報告書'!U329</f>
        <v/>
      </c>
      <c r="V330" s="2799"/>
      <c r="W330" s="2799"/>
      <c r="X330" s="2799"/>
      <c r="Y330" s="1546" t="str">
        <f>'＜入力不要＞報告書'!Y329</f>
        <v>㎡</v>
      </c>
      <c r="Z330" s="2798" t="str">
        <f>'＜入力不要＞報告書'!Z329</f>
        <v/>
      </c>
      <c r="AA330" s="2799"/>
      <c r="AB330" s="2799"/>
      <c r="AC330" s="2799"/>
      <c r="AD330" s="1546" t="str">
        <f>'＜入力不要＞報告書'!AD329</f>
        <v>㎡</v>
      </c>
      <c r="AE330" s="2798" t="str">
        <f>'＜入力不要＞報告書'!AE329</f>
        <v/>
      </c>
      <c r="AF330" s="2799"/>
      <c r="AG330" s="2799"/>
      <c r="AH330" s="2799"/>
      <c r="AI330" s="1546" t="str">
        <f>'＜入力不要＞報告書'!AI329</f>
        <v>㎡</v>
      </c>
      <c r="AJ330" s="2798" t="str">
        <f>'＜入力不要＞報告書'!AJ329</f>
        <v/>
      </c>
      <c r="AK330" s="2799"/>
      <c r="AL330" s="2799"/>
      <c r="AM330" s="2799"/>
      <c r="AN330" s="1546" t="str">
        <f>'＜入力不要＞報告書'!AN329</f>
        <v>㎡</v>
      </c>
      <c r="AO330" s="2798" t="str">
        <f>'＜入力不要＞報告書'!AO329</f>
        <v/>
      </c>
      <c r="AP330" s="2799"/>
      <c r="AQ330" s="2799"/>
      <c r="AR330" s="2799"/>
      <c r="AS330" s="1546" t="str">
        <f>'＜入力不要＞報告書'!AS329</f>
        <v>㎡</v>
      </c>
      <c r="AT330" s="1470"/>
      <c r="AU330" s="1485"/>
      <c r="AV330" s="1485"/>
      <c r="AW330" s="1461"/>
      <c r="AX330" s="1461"/>
      <c r="AY330" s="1461"/>
      <c r="AZ330" s="1461"/>
      <c r="BA330" s="1461"/>
    </row>
    <row r="331" spans="1:55" s="1617" customFormat="1" ht="13" customHeight="1">
      <c r="A331" s="1461"/>
      <c r="B331" s="1549"/>
      <c r="C331" s="2921">
        <f>'＜入力不要＞報告書'!C330</f>
        <v>2</v>
      </c>
      <c r="D331" s="2980"/>
      <c r="E331" s="1542" t="str">
        <f>'＜入力不要＞報告書'!E330</f>
        <v>階</v>
      </c>
      <c r="F331" s="2794">
        <f>'＜入力不要＞報告書'!F330</f>
        <v>0</v>
      </c>
      <c r="G331" s="2795"/>
      <c r="H331" s="2795"/>
      <c r="I331" s="2795"/>
      <c r="J331" s="1543" t="str">
        <f>'＜入力不要＞報告書'!J330</f>
        <v>㎡</v>
      </c>
      <c r="K331" s="2794" t="str">
        <f>'＜入力不要＞報告書'!K330</f>
        <v/>
      </c>
      <c r="L331" s="2795"/>
      <c r="M331" s="2795"/>
      <c r="N331" s="2795"/>
      <c r="O331" s="1543" t="str">
        <f>'＜入力不要＞報告書'!O330</f>
        <v>㎡</v>
      </c>
      <c r="P331" s="2794" t="str">
        <f>'＜入力不要＞報告書'!P330</f>
        <v/>
      </c>
      <c r="Q331" s="2795"/>
      <c r="R331" s="2795"/>
      <c r="S331" s="2795"/>
      <c r="T331" s="1543" t="str">
        <f>'＜入力不要＞報告書'!T330</f>
        <v>㎡</v>
      </c>
      <c r="U331" s="2794" t="str">
        <f>'＜入力不要＞報告書'!U330</f>
        <v/>
      </c>
      <c r="V331" s="2795"/>
      <c r="W331" s="2795"/>
      <c r="X331" s="2795"/>
      <c r="Y331" s="1543" t="str">
        <f>'＜入力不要＞報告書'!Y330</f>
        <v>㎡</v>
      </c>
      <c r="Z331" s="2794" t="str">
        <f>'＜入力不要＞報告書'!Z330</f>
        <v/>
      </c>
      <c r="AA331" s="2795"/>
      <c r="AB331" s="2795"/>
      <c r="AC331" s="2795"/>
      <c r="AD331" s="1543" t="str">
        <f>'＜入力不要＞報告書'!AD330</f>
        <v>㎡</v>
      </c>
      <c r="AE331" s="2794" t="str">
        <f>'＜入力不要＞報告書'!AE330</f>
        <v/>
      </c>
      <c r="AF331" s="2795"/>
      <c r="AG331" s="2795"/>
      <c r="AH331" s="2795"/>
      <c r="AI331" s="1543" t="str">
        <f>'＜入力不要＞報告書'!AI330</f>
        <v>㎡</v>
      </c>
      <c r="AJ331" s="2794" t="str">
        <f>'＜入力不要＞報告書'!AJ330</f>
        <v/>
      </c>
      <c r="AK331" s="2795"/>
      <c r="AL331" s="2795"/>
      <c r="AM331" s="2795"/>
      <c r="AN331" s="1543" t="str">
        <f>'＜入力不要＞報告書'!AN330</f>
        <v>㎡</v>
      </c>
      <c r="AO331" s="2794" t="str">
        <f>'＜入力不要＞報告書'!AO330</f>
        <v/>
      </c>
      <c r="AP331" s="2795"/>
      <c r="AQ331" s="2795"/>
      <c r="AR331" s="2795"/>
      <c r="AS331" s="1543" t="str">
        <f>'＜入力不要＞報告書'!AS330</f>
        <v>㎡</v>
      </c>
      <c r="AT331" s="1470"/>
      <c r="AU331" s="1485"/>
      <c r="AV331" s="1485"/>
      <c r="AW331" s="1461"/>
      <c r="AX331" s="1461"/>
      <c r="AY331" s="1461"/>
      <c r="AZ331" s="1461"/>
      <c r="BA331" s="1461"/>
    </row>
    <row r="332" spans="1:55" s="1617" customFormat="1" ht="13" customHeight="1">
      <c r="A332" s="1461"/>
      <c r="B332" s="1549"/>
      <c r="C332" s="2921">
        <f>'＜入力不要＞報告書'!C331</f>
        <v>3</v>
      </c>
      <c r="D332" s="2980"/>
      <c r="E332" s="1542" t="str">
        <f>'＜入力不要＞報告書'!E331</f>
        <v>階</v>
      </c>
      <c r="F332" s="2794">
        <f>'＜入力不要＞報告書'!F331</f>
        <v>0</v>
      </c>
      <c r="G332" s="2795"/>
      <c r="H332" s="2795"/>
      <c r="I332" s="2795"/>
      <c r="J332" s="1543" t="str">
        <f>'＜入力不要＞報告書'!J331</f>
        <v>㎡</v>
      </c>
      <c r="K332" s="2794" t="str">
        <f>'＜入力不要＞報告書'!K331</f>
        <v/>
      </c>
      <c r="L332" s="2795"/>
      <c r="M332" s="2795"/>
      <c r="N332" s="2795"/>
      <c r="O332" s="1543" t="str">
        <f>'＜入力不要＞報告書'!O331</f>
        <v>㎡</v>
      </c>
      <c r="P332" s="2794" t="str">
        <f>'＜入力不要＞報告書'!P331</f>
        <v/>
      </c>
      <c r="Q332" s="2795"/>
      <c r="R332" s="2795"/>
      <c r="S332" s="2795"/>
      <c r="T332" s="1543" t="str">
        <f>'＜入力不要＞報告書'!T331</f>
        <v>㎡</v>
      </c>
      <c r="U332" s="2794" t="str">
        <f>'＜入力不要＞報告書'!U331</f>
        <v/>
      </c>
      <c r="V332" s="2795"/>
      <c r="W332" s="2795"/>
      <c r="X332" s="2795"/>
      <c r="Y332" s="1543" t="str">
        <f>'＜入力不要＞報告書'!Y331</f>
        <v>㎡</v>
      </c>
      <c r="Z332" s="2794" t="str">
        <f>'＜入力不要＞報告書'!Z331</f>
        <v/>
      </c>
      <c r="AA332" s="2795"/>
      <c r="AB332" s="2795"/>
      <c r="AC332" s="2795"/>
      <c r="AD332" s="1543" t="str">
        <f>'＜入力不要＞報告書'!AD331</f>
        <v>㎡</v>
      </c>
      <c r="AE332" s="2794" t="str">
        <f>'＜入力不要＞報告書'!AE331</f>
        <v/>
      </c>
      <c r="AF332" s="2795"/>
      <c r="AG332" s="2795"/>
      <c r="AH332" s="2795"/>
      <c r="AI332" s="1543" t="str">
        <f>'＜入力不要＞報告書'!AI331</f>
        <v>㎡</v>
      </c>
      <c r="AJ332" s="2794" t="str">
        <f>'＜入力不要＞報告書'!AJ331</f>
        <v/>
      </c>
      <c r="AK332" s="2795"/>
      <c r="AL332" s="2795"/>
      <c r="AM332" s="2795"/>
      <c r="AN332" s="1543" t="str">
        <f>'＜入力不要＞報告書'!AN331</f>
        <v>㎡</v>
      </c>
      <c r="AO332" s="2794" t="str">
        <f>'＜入力不要＞報告書'!AO331</f>
        <v/>
      </c>
      <c r="AP332" s="2795"/>
      <c r="AQ332" s="2795"/>
      <c r="AR332" s="2795"/>
      <c r="AS332" s="1543" t="str">
        <f>'＜入力不要＞報告書'!AS331</f>
        <v>㎡</v>
      </c>
      <c r="AT332" s="1551"/>
      <c r="AU332" s="1485"/>
      <c r="AV332" s="1485"/>
      <c r="AW332" s="1461"/>
      <c r="AX332" s="1461"/>
      <c r="AY332" s="1461"/>
      <c r="AZ332" s="1461"/>
      <c r="BA332" s="1461"/>
    </row>
    <row r="333" spans="1:55" s="1617" customFormat="1" ht="13" customHeight="1">
      <c r="A333" s="1461"/>
      <c r="B333" s="1549"/>
      <c r="C333" s="2921">
        <f>'＜入力不要＞報告書'!C332</f>
        <v>4</v>
      </c>
      <c r="D333" s="2980"/>
      <c r="E333" s="1542" t="str">
        <f>'＜入力不要＞報告書'!E332</f>
        <v>階</v>
      </c>
      <c r="F333" s="2794">
        <f>'＜入力不要＞報告書'!F332</f>
        <v>0</v>
      </c>
      <c r="G333" s="2795"/>
      <c r="H333" s="2795"/>
      <c r="I333" s="2795"/>
      <c r="J333" s="1543" t="str">
        <f>'＜入力不要＞報告書'!J332</f>
        <v>㎡</v>
      </c>
      <c r="K333" s="2794" t="str">
        <f>'＜入力不要＞報告書'!K332</f>
        <v/>
      </c>
      <c r="L333" s="2795"/>
      <c r="M333" s="2795"/>
      <c r="N333" s="2795"/>
      <c r="O333" s="1543" t="str">
        <f>'＜入力不要＞報告書'!O332</f>
        <v>㎡</v>
      </c>
      <c r="P333" s="2794" t="str">
        <f>'＜入力不要＞報告書'!P332</f>
        <v/>
      </c>
      <c r="Q333" s="2795"/>
      <c r="R333" s="2795"/>
      <c r="S333" s="2795"/>
      <c r="T333" s="1543" t="str">
        <f>'＜入力不要＞報告書'!T332</f>
        <v>㎡</v>
      </c>
      <c r="U333" s="2794" t="str">
        <f>'＜入力不要＞報告書'!U332</f>
        <v/>
      </c>
      <c r="V333" s="2795"/>
      <c r="W333" s="2795"/>
      <c r="X333" s="2795"/>
      <c r="Y333" s="1543" t="str">
        <f>'＜入力不要＞報告書'!Y332</f>
        <v>㎡</v>
      </c>
      <c r="Z333" s="2794" t="str">
        <f>'＜入力不要＞報告書'!Z332</f>
        <v/>
      </c>
      <c r="AA333" s="2795"/>
      <c r="AB333" s="2795"/>
      <c r="AC333" s="2795"/>
      <c r="AD333" s="1543" t="str">
        <f>'＜入力不要＞報告書'!AD332</f>
        <v>㎡</v>
      </c>
      <c r="AE333" s="2794" t="str">
        <f>'＜入力不要＞報告書'!AE332</f>
        <v/>
      </c>
      <c r="AF333" s="2795"/>
      <c r="AG333" s="2795"/>
      <c r="AH333" s="2795"/>
      <c r="AI333" s="1543" t="str">
        <f>'＜入力不要＞報告書'!AI332</f>
        <v>㎡</v>
      </c>
      <c r="AJ333" s="2794" t="str">
        <f>'＜入力不要＞報告書'!AJ332</f>
        <v/>
      </c>
      <c r="AK333" s="2795"/>
      <c r="AL333" s="2795"/>
      <c r="AM333" s="2795"/>
      <c r="AN333" s="1543" t="str">
        <f>'＜入力不要＞報告書'!AN332</f>
        <v>㎡</v>
      </c>
      <c r="AO333" s="2794" t="str">
        <f>'＜入力不要＞報告書'!AO332</f>
        <v/>
      </c>
      <c r="AP333" s="2795"/>
      <c r="AQ333" s="2795"/>
      <c r="AR333" s="2795"/>
      <c r="AS333" s="1543" t="str">
        <f>'＜入力不要＞報告書'!AS332</f>
        <v>㎡</v>
      </c>
      <c r="AT333" s="1470"/>
      <c r="AU333" s="1485"/>
      <c r="AV333" s="1485"/>
      <c r="AW333" s="1461"/>
      <c r="AX333" s="1461"/>
      <c r="AY333" s="1461"/>
      <c r="AZ333" s="1461"/>
      <c r="BA333" s="1461"/>
    </row>
    <row r="334" spans="1:55" s="1617" customFormat="1" ht="13" customHeight="1">
      <c r="A334" s="1461"/>
      <c r="B334" s="1552"/>
      <c r="C334" s="2919">
        <f>'＜入力不要＞報告書'!C333</f>
        <v>5</v>
      </c>
      <c r="D334" s="2981"/>
      <c r="E334" s="1547" t="str">
        <f>'＜入力不要＞報告書'!E333</f>
        <v>階</v>
      </c>
      <c r="F334" s="2796">
        <f>'＜入力不要＞報告書'!F333</f>
        <v>0</v>
      </c>
      <c r="G334" s="2797"/>
      <c r="H334" s="2797"/>
      <c r="I334" s="2797"/>
      <c r="J334" s="1544" t="str">
        <f>'＜入力不要＞報告書'!J333</f>
        <v>㎡</v>
      </c>
      <c r="K334" s="2796" t="str">
        <f>'＜入力不要＞報告書'!K333</f>
        <v/>
      </c>
      <c r="L334" s="2797"/>
      <c r="M334" s="2797"/>
      <c r="N334" s="2797"/>
      <c r="O334" s="1544" t="str">
        <f>'＜入力不要＞報告書'!O333</f>
        <v>㎡</v>
      </c>
      <c r="P334" s="2796" t="str">
        <f>'＜入力不要＞報告書'!P333</f>
        <v/>
      </c>
      <c r="Q334" s="2797"/>
      <c r="R334" s="2797"/>
      <c r="S334" s="2797"/>
      <c r="T334" s="1544" t="str">
        <f>'＜入力不要＞報告書'!T333</f>
        <v>㎡</v>
      </c>
      <c r="U334" s="2796" t="str">
        <f>'＜入力不要＞報告書'!U333</f>
        <v/>
      </c>
      <c r="V334" s="2797"/>
      <c r="W334" s="2797"/>
      <c r="X334" s="2797"/>
      <c r="Y334" s="1544" t="str">
        <f>'＜入力不要＞報告書'!Y333</f>
        <v>㎡</v>
      </c>
      <c r="Z334" s="2796" t="str">
        <f>'＜入力不要＞報告書'!Z333</f>
        <v/>
      </c>
      <c r="AA334" s="2797"/>
      <c r="AB334" s="2797"/>
      <c r="AC334" s="2797"/>
      <c r="AD334" s="1544" t="str">
        <f>'＜入力不要＞報告書'!AD333</f>
        <v>㎡</v>
      </c>
      <c r="AE334" s="2796" t="str">
        <f>'＜入力不要＞報告書'!AE333</f>
        <v/>
      </c>
      <c r="AF334" s="2797"/>
      <c r="AG334" s="2797"/>
      <c r="AH334" s="2797"/>
      <c r="AI334" s="1544" t="str">
        <f>'＜入力不要＞報告書'!AI333</f>
        <v>㎡</v>
      </c>
      <c r="AJ334" s="2796" t="str">
        <f>'＜入力不要＞報告書'!AJ333</f>
        <v/>
      </c>
      <c r="AK334" s="2797"/>
      <c r="AL334" s="2797"/>
      <c r="AM334" s="2797"/>
      <c r="AN334" s="1544" t="str">
        <f>'＜入力不要＞報告書'!AN333</f>
        <v>㎡</v>
      </c>
      <c r="AO334" s="2796" t="str">
        <f>'＜入力不要＞報告書'!AO333</f>
        <v/>
      </c>
      <c r="AP334" s="2797"/>
      <c r="AQ334" s="2797"/>
      <c r="AR334" s="2797"/>
      <c r="AS334" s="1544" t="str">
        <f>'＜入力不要＞報告書'!AS333</f>
        <v>㎡</v>
      </c>
      <c r="AT334" s="1470"/>
      <c r="AU334" s="1485"/>
      <c r="AV334" s="1485"/>
      <c r="AW334" s="1461"/>
      <c r="AX334" s="1461"/>
      <c r="AY334" s="1461"/>
      <c r="AZ334" s="1461"/>
      <c r="BA334" s="1461"/>
    </row>
    <row r="335" spans="1:55" s="1617" customFormat="1" ht="13" customHeight="1">
      <c r="A335" s="1461"/>
      <c r="B335" s="1548"/>
      <c r="C335" s="2921">
        <f>'＜入力不要＞報告書'!C334</f>
        <v>6</v>
      </c>
      <c r="D335" s="2980"/>
      <c r="E335" s="1545" t="str">
        <f>'＜入力不要＞報告書'!E334</f>
        <v>階</v>
      </c>
      <c r="F335" s="2798">
        <f>'＜入力不要＞報告書'!F334</f>
        <v>0</v>
      </c>
      <c r="G335" s="2799"/>
      <c r="H335" s="2799"/>
      <c r="I335" s="2799"/>
      <c r="J335" s="1546" t="str">
        <f>'＜入力不要＞報告書'!J334</f>
        <v>㎡</v>
      </c>
      <c r="K335" s="2798" t="str">
        <f>'＜入力不要＞報告書'!K334</f>
        <v/>
      </c>
      <c r="L335" s="2799"/>
      <c r="M335" s="2799"/>
      <c r="N335" s="2799"/>
      <c r="O335" s="1546" t="str">
        <f>'＜入力不要＞報告書'!O334</f>
        <v>㎡</v>
      </c>
      <c r="P335" s="2798" t="str">
        <f>'＜入力不要＞報告書'!P334</f>
        <v/>
      </c>
      <c r="Q335" s="2799"/>
      <c r="R335" s="2799"/>
      <c r="S335" s="2799"/>
      <c r="T335" s="1546" t="str">
        <f>'＜入力不要＞報告書'!T334</f>
        <v>㎡</v>
      </c>
      <c r="U335" s="2798" t="str">
        <f>'＜入力不要＞報告書'!U334</f>
        <v/>
      </c>
      <c r="V335" s="2799"/>
      <c r="W335" s="2799"/>
      <c r="X335" s="2799"/>
      <c r="Y335" s="1546" t="str">
        <f>'＜入力不要＞報告書'!Y334</f>
        <v>㎡</v>
      </c>
      <c r="Z335" s="2798" t="str">
        <f>'＜入力不要＞報告書'!Z334</f>
        <v/>
      </c>
      <c r="AA335" s="2799"/>
      <c r="AB335" s="2799"/>
      <c r="AC335" s="2799"/>
      <c r="AD335" s="1546" t="str">
        <f>'＜入力不要＞報告書'!AD334</f>
        <v>㎡</v>
      </c>
      <c r="AE335" s="2798" t="str">
        <f>'＜入力不要＞報告書'!AE334</f>
        <v/>
      </c>
      <c r="AF335" s="2799"/>
      <c r="AG335" s="2799"/>
      <c r="AH335" s="2799"/>
      <c r="AI335" s="1546" t="str">
        <f>'＜入力不要＞報告書'!AI334</f>
        <v>㎡</v>
      </c>
      <c r="AJ335" s="2798" t="str">
        <f>'＜入力不要＞報告書'!AJ334</f>
        <v/>
      </c>
      <c r="AK335" s="2799"/>
      <c r="AL335" s="2799"/>
      <c r="AM335" s="2799"/>
      <c r="AN335" s="1546" t="str">
        <f>'＜入力不要＞報告書'!AN334</f>
        <v>㎡</v>
      </c>
      <c r="AO335" s="2798" t="str">
        <f>'＜入力不要＞報告書'!AO334</f>
        <v/>
      </c>
      <c r="AP335" s="2799"/>
      <c r="AQ335" s="2799"/>
      <c r="AR335" s="2799"/>
      <c r="AS335" s="1546" t="str">
        <f>'＜入力不要＞報告書'!AS334</f>
        <v>㎡</v>
      </c>
      <c r="AT335" s="1470"/>
      <c r="AU335" s="1485"/>
      <c r="AV335" s="1485"/>
      <c r="AW335" s="1461"/>
      <c r="AX335" s="1461"/>
      <c r="AY335" s="1461"/>
      <c r="AZ335" s="1461"/>
      <c r="BA335" s="1461"/>
    </row>
    <row r="336" spans="1:55" s="1617" customFormat="1" ht="13" customHeight="1">
      <c r="A336" s="1461"/>
      <c r="B336" s="1549"/>
      <c r="C336" s="2921">
        <f>'＜入力不要＞報告書'!C335</f>
        <v>7</v>
      </c>
      <c r="D336" s="2980"/>
      <c r="E336" s="1542" t="str">
        <f>'＜入力不要＞報告書'!E335</f>
        <v>階</v>
      </c>
      <c r="F336" s="2794">
        <f>'＜入力不要＞報告書'!F335</f>
        <v>0</v>
      </c>
      <c r="G336" s="2795"/>
      <c r="H336" s="2795"/>
      <c r="I336" s="2795"/>
      <c r="J336" s="1543" t="str">
        <f>'＜入力不要＞報告書'!J335</f>
        <v>㎡</v>
      </c>
      <c r="K336" s="2794" t="str">
        <f>'＜入力不要＞報告書'!K335</f>
        <v/>
      </c>
      <c r="L336" s="2795"/>
      <c r="M336" s="2795"/>
      <c r="N336" s="2795"/>
      <c r="O336" s="1543" t="str">
        <f>'＜入力不要＞報告書'!O335</f>
        <v>㎡</v>
      </c>
      <c r="P336" s="2794" t="str">
        <f>'＜入力不要＞報告書'!P335</f>
        <v/>
      </c>
      <c r="Q336" s="2795"/>
      <c r="R336" s="2795"/>
      <c r="S336" s="2795"/>
      <c r="T336" s="1543" t="str">
        <f>'＜入力不要＞報告書'!T335</f>
        <v>㎡</v>
      </c>
      <c r="U336" s="2794" t="str">
        <f>'＜入力不要＞報告書'!U335</f>
        <v/>
      </c>
      <c r="V336" s="2795"/>
      <c r="W336" s="2795"/>
      <c r="X336" s="2795"/>
      <c r="Y336" s="1543" t="str">
        <f>'＜入力不要＞報告書'!Y335</f>
        <v>㎡</v>
      </c>
      <c r="Z336" s="2794" t="str">
        <f>'＜入力不要＞報告書'!Z335</f>
        <v/>
      </c>
      <c r="AA336" s="2795"/>
      <c r="AB336" s="2795"/>
      <c r="AC336" s="2795"/>
      <c r="AD336" s="1543" t="str">
        <f>'＜入力不要＞報告書'!AD335</f>
        <v>㎡</v>
      </c>
      <c r="AE336" s="2794" t="str">
        <f>'＜入力不要＞報告書'!AE335</f>
        <v/>
      </c>
      <c r="AF336" s="2795"/>
      <c r="AG336" s="2795"/>
      <c r="AH336" s="2795"/>
      <c r="AI336" s="1543" t="str">
        <f>'＜入力不要＞報告書'!AI335</f>
        <v>㎡</v>
      </c>
      <c r="AJ336" s="2794" t="str">
        <f>'＜入力不要＞報告書'!AJ335</f>
        <v/>
      </c>
      <c r="AK336" s="2795"/>
      <c r="AL336" s="2795"/>
      <c r="AM336" s="2795"/>
      <c r="AN336" s="1543" t="str">
        <f>'＜入力不要＞報告書'!AN335</f>
        <v>㎡</v>
      </c>
      <c r="AO336" s="2794" t="str">
        <f>'＜入力不要＞報告書'!AO335</f>
        <v/>
      </c>
      <c r="AP336" s="2795"/>
      <c r="AQ336" s="2795"/>
      <c r="AR336" s="2795"/>
      <c r="AS336" s="1543" t="str">
        <f>'＜入力不要＞報告書'!AS335</f>
        <v>㎡</v>
      </c>
      <c r="AT336" s="1551"/>
      <c r="AU336" s="1485"/>
      <c r="AV336" s="1485"/>
      <c r="AW336" s="1461"/>
      <c r="AX336" s="1461"/>
      <c r="AY336" s="1461"/>
      <c r="AZ336" s="1461"/>
      <c r="BA336" s="1461"/>
    </row>
    <row r="337" spans="1:53" s="1617" customFormat="1" ht="13" customHeight="1">
      <c r="A337" s="1461"/>
      <c r="B337" s="1549"/>
      <c r="C337" s="2921">
        <f>'＜入力不要＞報告書'!C336</f>
        <v>8</v>
      </c>
      <c r="D337" s="2980"/>
      <c r="E337" s="1542" t="str">
        <f>'＜入力不要＞報告書'!E336</f>
        <v>階</v>
      </c>
      <c r="F337" s="2794">
        <f>'＜入力不要＞報告書'!F336</f>
        <v>0</v>
      </c>
      <c r="G337" s="2795"/>
      <c r="H337" s="2795"/>
      <c r="I337" s="2795"/>
      <c r="J337" s="1543" t="str">
        <f>'＜入力不要＞報告書'!J336</f>
        <v>㎡</v>
      </c>
      <c r="K337" s="2794" t="str">
        <f>'＜入力不要＞報告書'!K336</f>
        <v/>
      </c>
      <c r="L337" s="2795"/>
      <c r="M337" s="2795"/>
      <c r="N337" s="2795"/>
      <c r="O337" s="1543" t="str">
        <f>'＜入力不要＞報告書'!O336</f>
        <v>㎡</v>
      </c>
      <c r="P337" s="2794" t="str">
        <f>'＜入力不要＞報告書'!P336</f>
        <v/>
      </c>
      <c r="Q337" s="2795"/>
      <c r="R337" s="2795"/>
      <c r="S337" s="2795"/>
      <c r="T337" s="1543" t="str">
        <f>'＜入力不要＞報告書'!T336</f>
        <v>㎡</v>
      </c>
      <c r="U337" s="2794" t="str">
        <f>'＜入力不要＞報告書'!U336</f>
        <v/>
      </c>
      <c r="V337" s="2795"/>
      <c r="W337" s="2795"/>
      <c r="X337" s="2795"/>
      <c r="Y337" s="1543" t="str">
        <f>'＜入力不要＞報告書'!Y336</f>
        <v>㎡</v>
      </c>
      <c r="Z337" s="2794" t="str">
        <f>'＜入力不要＞報告書'!Z336</f>
        <v/>
      </c>
      <c r="AA337" s="2795"/>
      <c r="AB337" s="2795"/>
      <c r="AC337" s="2795"/>
      <c r="AD337" s="1543" t="str">
        <f>'＜入力不要＞報告書'!AD336</f>
        <v>㎡</v>
      </c>
      <c r="AE337" s="2794" t="str">
        <f>'＜入力不要＞報告書'!AE336</f>
        <v/>
      </c>
      <c r="AF337" s="2795"/>
      <c r="AG337" s="2795"/>
      <c r="AH337" s="2795"/>
      <c r="AI337" s="1543" t="str">
        <f>'＜入力不要＞報告書'!AI336</f>
        <v>㎡</v>
      </c>
      <c r="AJ337" s="2794" t="str">
        <f>'＜入力不要＞報告書'!AJ336</f>
        <v/>
      </c>
      <c r="AK337" s="2795"/>
      <c r="AL337" s="2795"/>
      <c r="AM337" s="2795"/>
      <c r="AN337" s="1543" t="str">
        <f>'＜入力不要＞報告書'!AN336</f>
        <v>㎡</v>
      </c>
      <c r="AO337" s="2794" t="str">
        <f>'＜入力不要＞報告書'!AO336</f>
        <v/>
      </c>
      <c r="AP337" s="2795"/>
      <c r="AQ337" s="2795"/>
      <c r="AR337" s="2795"/>
      <c r="AS337" s="1543" t="str">
        <f>'＜入力不要＞報告書'!AS336</f>
        <v>㎡</v>
      </c>
      <c r="AT337" s="1470"/>
      <c r="AU337" s="1485"/>
      <c r="AV337" s="1485"/>
      <c r="AW337" s="1461"/>
      <c r="AX337" s="1461"/>
      <c r="AY337" s="1461"/>
      <c r="AZ337" s="1461"/>
      <c r="BA337" s="1461"/>
    </row>
    <row r="338" spans="1:53" s="1617" customFormat="1" ht="13" customHeight="1">
      <c r="A338" s="1461"/>
      <c r="B338" s="1549"/>
      <c r="C338" s="2921">
        <f>'＜入力不要＞報告書'!C337</f>
        <v>9</v>
      </c>
      <c r="D338" s="2980"/>
      <c r="E338" s="1542" t="str">
        <f>'＜入力不要＞報告書'!E337</f>
        <v>階</v>
      </c>
      <c r="F338" s="2794">
        <f>'＜入力不要＞報告書'!F337</f>
        <v>0</v>
      </c>
      <c r="G338" s="2795"/>
      <c r="H338" s="2795"/>
      <c r="I338" s="2795"/>
      <c r="J338" s="1543" t="str">
        <f>'＜入力不要＞報告書'!J337</f>
        <v>㎡</v>
      </c>
      <c r="K338" s="2794" t="str">
        <f>'＜入力不要＞報告書'!K337</f>
        <v/>
      </c>
      <c r="L338" s="2795"/>
      <c r="M338" s="2795"/>
      <c r="N338" s="2795"/>
      <c r="O338" s="1543" t="str">
        <f>'＜入力不要＞報告書'!O337</f>
        <v>㎡</v>
      </c>
      <c r="P338" s="2794" t="str">
        <f>'＜入力不要＞報告書'!P337</f>
        <v/>
      </c>
      <c r="Q338" s="2795"/>
      <c r="R338" s="2795"/>
      <c r="S338" s="2795"/>
      <c r="T338" s="1543" t="str">
        <f>'＜入力不要＞報告書'!T337</f>
        <v>㎡</v>
      </c>
      <c r="U338" s="2794" t="str">
        <f>'＜入力不要＞報告書'!U337</f>
        <v/>
      </c>
      <c r="V338" s="2795"/>
      <c r="W338" s="2795"/>
      <c r="X338" s="2795"/>
      <c r="Y338" s="1543" t="str">
        <f>'＜入力不要＞報告書'!Y337</f>
        <v>㎡</v>
      </c>
      <c r="Z338" s="2794" t="str">
        <f>'＜入力不要＞報告書'!Z337</f>
        <v/>
      </c>
      <c r="AA338" s="2795"/>
      <c r="AB338" s="2795"/>
      <c r="AC338" s="2795"/>
      <c r="AD338" s="1543" t="str">
        <f>'＜入力不要＞報告書'!AD337</f>
        <v>㎡</v>
      </c>
      <c r="AE338" s="2794" t="str">
        <f>'＜入力不要＞報告書'!AE337</f>
        <v/>
      </c>
      <c r="AF338" s="2795"/>
      <c r="AG338" s="2795"/>
      <c r="AH338" s="2795"/>
      <c r="AI338" s="1543" t="str">
        <f>'＜入力不要＞報告書'!AI337</f>
        <v>㎡</v>
      </c>
      <c r="AJ338" s="2794" t="str">
        <f>'＜入力不要＞報告書'!AJ337</f>
        <v/>
      </c>
      <c r="AK338" s="2795"/>
      <c r="AL338" s="2795"/>
      <c r="AM338" s="2795"/>
      <c r="AN338" s="1543" t="str">
        <f>'＜入力不要＞報告書'!AN337</f>
        <v>㎡</v>
      </c>
      <c r="AO338" s="2794" t="str">
        <f>'＜入力不要＞報告書'!AO337</f>
        <v/>
      </c>
      <c r="AP338" s="2795"/>
      <c r="AQ338" s="2795"/>
      <c r="AR338" s="2795"/>
      <c r="AS338" s="1543" t="str">
        <f>'＜入力不要＞報告書'!AS337</f>
        <v>㎡</v>
      </c>
      <c r="AT338" s="1470"/>
      <c r="AU338" s="1485"/>
      <c r="AV338" s="1485"/>
      <c r="AW338" s="1461"/>
      <c r="AX338" s="1461"/>
      <c r="AY338" s="1461"/>
      <c r="AZ338" s="1461"/>
      <c r="BA338" s="1461"/>
    </row>
    <row r="339" spans="1:53" s="1617" customFormat="1" ht="13" customHeight="1">
      <c r="A339" s="1461"/>
      <c r="B339" s="1552"/>
      <c r="C339" s="2919">
        <f>'＜入力不要＞報告書'!C338</f>
        <v>10</v>
      </c>
      <c r="D339" s="2981"/>
      <c r="E339" s="1547" t="str">
        <f>'＜入力不要＞報告書'!E338</f>
        <v>階</v>
      </c>
      <c r="F339" s="2796">
        <f>'＜入力不要＞報告書'!F338</f>
        <v>0</v>
      </c>
      <c r="G339" s="2797"/>
      <c r="H339" s="2797"/>
      <c r="I339" s="2797"/>
      <c r="J339" s="1544" t="str">
        <f>'＜入力不要＞報告書'!J338</f>
        <v>㎡</v>
      </c>
      <c r="K339" s="2796" t="str">
        <f>'＜入力不要＞報告書'!K338</f>
        <v/>
      </c>
      <c r="L339" s="2797"/>
      <c r="M339" s="2797"/>
      <c r="N339" s="2797"/>
      <c r="O339" s="1544" t="str">
        <f>'＜入力不要＞報告書'!O338</f>
        <v>㎡</v>
      </c>
      <c r="P339" s="2796" t="str">
        <f>'＜入力不要＞報告書'!P338</f>
        <v/>
      </c>
      <c r="Q339" s="2797"/>
      <c r="R339" s="2797"/>
      <c r="S339" s="2797"/>
      <c r="T339" s="1544" t="str">
        <f>'＜入力不要＞報告書'!T338</f>
        <v>㎡</v>
      </c>
      <c r="U339" s="2796" t="str">
        <f>'＜入力不要＞報告書'!U338</f>
        <v/>
      </c>
      <c r="V339" s="2797"/>
      <c r="W339" s="2797"/>
      <c r="X339" s="2797"/>
      <c r="Y339" s="1544" t="str">
        <f>'＜入力不要＞報告書'!Y338</f>
        <v>㎡</v>
      </c>
      <c r="Z339" s="2796" t="str">
        <f>'＜入力不要＞報告書'!Z338</f>
        <v/>
      </c>
      <c r="AA339" s="2797"/>
      <c r="AB339" s="2797"/>
      <c r="AC339" s="2797"/>
      <c r="AD339" s="1544" t="str">
        <f>'＜入力不要＞報告書'!AD338</f>
        <v>㎡</v>
      </c>
      <c r="AE339" s="2796" t="str">
        <f>'＜入力不要＞報告書'!AE338</f>
        <v/>
      </c>
      <c r="AF339" s="2797"/>
      <c r="AG339" s="2797"/>
      <c r="AH339" s="2797"/>
      <c r="AI339" s="1544" t="str">
        <f>'＜入力不要＞報告書'!AI338</f>
        <v>㎡</v>
      </c>
      <c r="AJ339" s="2796" t="str">
        <f>'＜入力不要＞報告書'!AJ338</f>
        <v/>
      </c>
      <c r="AK339" s="2797"/>
      <c r="AL339" s="2797"/>
      <c r="AM339" s="2797"/>
      <c r="AN339" s="1544" t="str">
        <f>'＜入力不要＞報告書'!AN338</f>
        <v>㎡</v>
      </c>
      <c r="AO339" s="2796" t="str">
        <f>'＜入力不要＞報告書'!AO338</f>
        <v/>
      </c>
      <c r="AP339" s="2797"/>
      <c r="AQ339" s="2797"/>
      <c r="AR339" s="2797"/>
      <c r="AS339" s="1544" t="str">
        <f>'＜入力不要＞報告書'!AS338</f>
        <v>㎡</v>
      </c>
      <c r="AT339" s="1470"/>
      <c r="AU339" s="1485"/>
      <c r="AV339" s="1485"/>
      <c r="AW339" s="1461"/>
      <c r="AX339" s="1461"/>
      <c r="AY339" s="1461"/>
      <c r="AZ339" s="1461"/>
      <c r="BA339" s="1461"/>
    </row>
    <row r="340" spans="1:53" s="1617" customFormat="1" ht="13" customHeight="1">
      <c r="A340" s="1461"/>
      <c r="B340" s="1548"/>
      <c r="C340" s="2921">
        <f>'＜入力不要＞報告書'!C339</f>
        <v>11</v>
      </c>
      <c r="D340" s="2980"/>
      <c r="E340" s="1545" t="str">
        <f>'＜入力不要＞報告書'!E339</f>
        <v>階</v>
      </c>
      <c r="F340" s="2798">
        <f>'＜入力不要＞報告書'!F339</f>
        <v>0</v>
      </c>
      <c r="G340" s="2799"/>
      <c r="H340" s="2799"/>
      <c r="I340" s="2799"/>
      <c r="J340" s="1546" t="str">
        <f>'＜入力不要＞報告書'!J339</f>
        <v>㎡</v>
      </c>
      <c r="K340" s="2798" t="str">
        <f>'＜入力不要＞報告書'!K339</f>
        <v/>
      </c>
      <c r="L340" s="2799"/>
      <c r="M340" s="2799"/>
      <c r="N340" s="2799"/>
      <c r="O340" s="1546" t="str">
        <f>'＜入力不要＞報告書'!O339</f>
        <v>㎡</v>
      </c>
      <c r="P340" s="2798" t="str">
        <f>'＜入力不要＞報告書'!P339</f>
        <v/>
      </c>
      <c r="Q340" s="2799"/>
      <c r="R340" s="2799"/>
      <c r="S340" s="2799"/>
      <c r="T340" s="1546" t="str">
        <f>'＜入力不要＞報告書'!T339</f>
        <v>㎡</v>
      </c>
      <c r="U340" s="2798" t="str">
        <f>'＜入力不要＞報告書'!U339</f>
        <v/>
      </c>
      <c r="V340" s="2799"/>
      <c r="W340" s="2799"/>
      <c r="X340" s="2799"/>
      <c r="Y340" s="1546" t="str">
        <f>'＜入力不要＞報告書'!Y339</f>
        <v>㎡</v>
      </c>
      <c r="Z340" s="2798" t="str">
        <f>'＜入力不要＞報告書'!Z339</f>
        <v/>
      </c>
      <c r="AA340" s="2799"/>
      <c r="AB340" s="2799"/>
      <c r="AC340" s="2799"/>
      <c r="AD340" s="1546" t="str">
        <f>'＜入力不要＞報告書'!AD339</f>
        <v>㎡</v>
      </c>
      <c r="AE340" s="2798" t="str">
        <f>'＜入力不要＞報告書'!AE339</f>
        <v/>
      </c>
      <c r="AF340" s="2799"/>
      <c r="AG340" s="2799"/>
      <c r="AH340" s="2799"/>
      <c r="AI340" s="1546" t="str">
        <f>'＜入力不要＞報告書'!AI339</f>
        <v>㎡</v>
      </c>
      <c r="AJ340" s="2798" t="str">
        <f>'＜入力不要＞報告書'!AJ339</f>
        <v/>
      </c>
      <c r="AK340" s="2799"/>
      <c r="AL340" s="2799"/>
      <c r="AM340" s="2799"/>
      <c r="AN340" s="1546" t="str">
        <f>'＜入力不要＞報告書'!AN339</f>
        <v>㎡</v>
      </c>
      <c r="AO340" s="2798" t="str">
        <f>'＜入力不要＞報告書'!AO339</f>
        <v/>
      </c>
      <c r="AP340" s="2799"/>
      <c r="AQ340" s="2799"/>
      <c r="AR340" s="2799"/>
      <c r="AS340" s="1546" t="str">
        <f>'＜入力不要＞報告書'!AS339</f>
        <v>㎡</v>
      </c>
      <c r="AT340" s="1551"/>
      <c r="AU340" s="1485"/>
      <c r="AV340" s="1485"/>
      <c r="AW340" s="1461"/>
      <c r="AX340" s="1461"/>
      <c r="AY340" s="1461"/>
      <c r="AZ340" s="1461"/>
      <c r="BA340" s="1461"/>
    </row>
    <row r="341" spans="1:53" s="1617" customFormat="1" ht="13" customHeight="1">
      <c r="A341" s="1461"/>
      <c r="B341" s="1549"/>
      <c r="C341" s="2921">
        <f>'＜入力不要＞報告書'!C340</f>
        <v>12</v>
      </c>
      <c r="D341" s="2980"/>
      <c r="E341" s="1542" t="str">
        <f>'＜入力不要＞報告書'!E340</f>
        <v>階</v>
      </c>
      <c r="F341" s="2794">
        <f>'＜入力不要＞報告書'!F340</f>
        <v>0</v>
      </c>
      <c r="G341" s="2795"/>
      <c r="H341" s="2795"/>
      <c r="I341" s="2795"/>
      <c r="J341" s="1543" t="str">
        <f>'＜入力不要＞報告書'!J340</f>
        <v>㎡</v>
      </c>
      <c r="K341" s="2794" t="str">
        <f>'＜入力不要＞報告書'!K340</f>
        <v/>
      </c>
      <c r="L341" s="2795"/>
      <c r="M341" s="2795"/>
      <c r="N341" s="2795"/>
      <c r="O341" s="1543" t="str">
        <f>'＜入力不要＞報告書'!O340</f>
        <v>㎡</v>
      </c>
      <c r="P341" s="2794" t="str">
        <f>'＜入力不要＞報告書'!P340</f>
        <v/>
      </c>
      <c r="Q341" s="2795"/>
      <c r="R341" s="2795"/>
      <c r="S341" s="2795"/>
      <c r="T341" s="1543" t="str">
        <f>'＜入力不要＞報告書'!T340</f>
        <v>㎡</v>
      </c>
      <c r="U341" s="2794" t="str">
        <f>'＜入力不要＞報告書'!U340</f>
        <v/>
      </c>
      <c r="V341" s="2795"/>
      <c r="W341" s="2795"/>
      <c r="X341" s="2795"/>
      <c r="Y341" s="1543" t="str">
        <f>'＜入力不要＞報告書'!Y340</f>
        <v>㎡</v>
      </c>
      <c r="Z341" s="2794" t="str">
        <f>'＜入力不要＞報告書'!Z340</f>
        <v/>
      </c>
      <c r="AA341" s="2795"/>
      <c r="AB341" s="2795"/>
      <c r="AC341" s="2795"/>
      <c r="AD341" s="1543" t="str">
        <f>'＜入力不要＞報告書'!AD340</f>
        <v>㎡</v>
      </c>
      <c r="AE341" s="2794" t="str">
        <f>'＜入力不要＞報告書'!AE340</f>
        <v/>
      </c>
      <c r="AF341" s="2795"/>
      <c r="AG341" s="2795"/>
      <c r="AH341" s="2795"/>
      <c r="AI341" s="1543" t="str">
        <f>'＜入力不要＞報告書'!AI340</f>
        <v>㎡</v>
      </c>
      <c r="AJ341" s="2794" t="str">
        <f>'＜入力不要＞報告書'!AJ340</f>
        <v/>
      </c>
      <c r="AK341" s="2795"/>
      <c r="AL341" s="2795"/>
      <c r="AM341" s="2795"/>
      <c r="AN341" s="1543" t="str">
        <f>'＜入力不要＞報告書'!AN340</f>
        <v>㎡</v>
      </c>
      <c r="AO341" s="2794" t="str">
        <f>'＜入力不要＞報告書'!AO340</f>
        <v/>
      </c>
      <c r="AP341" s="2795"/>
      <c r="AQ341" s="2795"/>
      <c r="AR341" s="2795"/>
      <c r="AS341" s="1543" t="str">
        <f>'＜入力不要＞報告書'!AS340</f>
        <v>㎡</v>
      </c>
      <c r="AT341" s="1470"/>
      <c r="AU341" s="1485"/>
      <c r="AV341" s="1485"/>
      <c r="AW341" s="1461"/>
      <c r="AX341" s="1461"/>
      <c r="AY341" s="1461"/>
      <c r="AZ341" s="1461"/>
      <c r="BA341" s="1461"/>
    </row>
    <row r="342" spans="1:53" s="1617" customFormat="1" ht="13" customHeight="1">
      <c r="A342" s="1461"/>
      <c r="B342" s="1549"/>
      <c r="C342" s="2921">
        <f>'＜入力不要＞報告書'!C341</f>
        <v>13</v>
      </c>
      <c r="D342" s="2980"/>
      <c r="E342" s="1542" t="str">
        <f>'＜入力不要＞報告書'!E341</f>
        <v>階</v>
      </c>
      <c r="F342" s="2794">
        <f>'＜入力不要＞報告書'!F341</f>
        <v>0</v>
      </c>
      <c r="G342" s="2795"/>
      <c r="H342" s="2795"/>
      <c r="I342" s="2795"/>
      <c r="J342" s="1543" t="str">
        <f>'＜入力不要＞報告書'!J341</f>
        <v>㎡</v>
      </c>
      <c r="K342" s="2794" t="str">
        <f>'＜入力不要＞報告書'!K341</f>
        <v/>
      </c>
      <c r="L342" s="2795"/>
      <c r="M342" s="2795"/>
      <c r="N342" s="2795"/>
      <c r="O342" s="1543" t="str">
        <f>'＜入力不要＞報告書'!O341</f>
        <v>㎡</v>
      </c>
      <c r="P342" s="2794" t="str">
        <f>'＜入力不要＞報告書'!P341</f>
        <v/>
      </c>
      <c r="Q342" s="2795"/>
      <c r="R342" s="2795"/>
      <c r="S342" s="2795"/>
      <c r="T342" s="1543" t="str">
        <f>'＜入力不要＞報告書'!T341</f>
        <v>㎡</v>
      </c>
      <c r="U342" s="2794" t="str">
        <f>'＜入力不要＞報告書'!U341</f>
        <v/>
      </c>
      <c r="V342" s="2795"/>
      <c r="W342" s="2795"/>
      <c r="X342" s="2795"/>
      <c r="Y342" s="1543" t="str">
        <f>'＜入力不要＞報告書'!Y341</f>
        <v>㎡</v>
      </c>
      <c r="Z342" s="2794" t="str">
        <f>'＜入力不要＞報告書'!Z341</f>
        <v/>
      </c>
      <c r="AA342" s="2795"/>
      <c r="AB342" s="2795"/>
      <c r="AC342" s="2795"/>
      <c r="AD342" s="1543" t="str">
        <f>'＜入力不要＞報告書'!AD341</f>
        <v>㎡</v>
      </c>
      <c r="AE342" s="2794" t="str">
        <f>'＜入力不要＞報告書'!AE341</f>
        <v/>
      </c>
      <c r="AF342" s="2795"/>
      <c r="AG342" s="2795"/>
      <c r="AH342" s="2795"/>
      <c r="AI342" s="1543" t="str">
        <f>'＜入力不要＞報告書'!AI341</f>
        <v>㎡</v>
      </c>
      <c r="AJ342" s="2794" t="str">
        <f>'＜入力不要＞報告書'!AJ341</f>
        <v/>
      </c>
      <c r="AK342" s="2795"/>
      <c r="AL342" s="2795"/>
      <c r="AM342" s="2795"/>
      <c r="AN342" s="1543" t="str">
        <f>'＜入力不要＞報告書'!AN341</f>
        <v>㎡</v>
      </c>
      <c r="AO342" s="2794" t="str">
        <f>'＜入力不要＞報告書'!AO341</f>
        <v/>
      </c>
      <c r="AP342" s="2795"/>
      <c r="AQ342" s="2795"/>
      <c r="AR342" s="2795"/>
      <c r="AS342" s="1543" t="str">
        <f>'＜入力不要＞報告書'!AS341</f>
        <v>㎡</v>
      </c>
      <c r="AT342" s="1470"/>
      <c r="AU342" s="1485"/>
      <c r="AV342" s="1485"/>
      <c r="AW342" s="1461"/>
      <c r="AX342" s="1461"/>
      <c r="AY342" s="1461"/>
      <c r="AZ342" s="1461"/>
      <c r="BA342" s="1461"/>
    </row>
    <row r="343" spans="1:53" s="1617" customFormat="1" ht="13" customHeight="1">
      <c r="A343" s="1461"/>
      <c r="B343" s="1549"/>
      <c r="C343" s="2921">
        <f>'＜入力不要＞報告書'!C342</f>
        <v>14</v>
      </c>
      <c r="D343" s="2980"/>
      <c r="E343" s="1542" t="str">
        <f>'＜入力不要＞報告書'!E342</f>
        <v>階</v>
      </c>
      <c r="F343" s="2794">
        <f>'＜入力不要＞報告書'!F342</f>
        <v>0</v>
      </c>
      <c r="G343" s="2795"/>
      <c r="H343" s="2795"/>
      <c r="I343" s="2795"/>
      <c r="J343" s="1543" t="str">
        <f>'＜入力不要＞報告書'!J342</f>
        <v>㎡</v>
      </c>
      <c r="K343" s="2794" t="str">
        <f>'＜入力不要＞報告書'!K342</f>
        <v/>
      </c>
      <c r="L343" s="2795"/>
      <c r="M343" s="2795"/>
      <c r="N343" s="2795"/>
      <c r="O343" s="1543" t="str">
        <f>'＜入力不要＞報告書'!O342</f>
        <v>㎡</v>
      </c>
      <c r="P343" s="2794" t="str">
        <f>'＜入力不要＞報告書'!P342</f>
        <v/>
      </c>
      <c r="Q343" s="2795"/>
      <c r="R343" s="2795"/>
      <c r="S343" s="2795"/>
      <c r="T343" s="1543" t="str">
        <f>'＜入力不要＞報告書'!T342</f>
        <v>㎡</v>
      </c>
      <c r="U343" s="2794" t="str">
        <f>'＜入力不要＞報告書'!U342</f>
        <v/>
      </c>
      <c r="V343" s="2795"/>
      <c r="W343" s="2795"/>
      <c r="X343" s="2795"/>
      <c r="Y343" s="1543" t="str">
        <f>'＜入力不要＞報告書'!Y342</f>
        <v>㎡</v>
      </c>
      <c r="Z343" s="2794" t="str">
        <f>'＜入力不要＞報告書'!Z342</f>
        <v/>
      </c>
      <c r="AA343" s="2795"/>
      <c r="AB343" s="2795"/>
      <c r="AC343" s="2795"/>
      <c r="AD343" s="1543" t="str">
        <f>'＜入力不要＞報告書'!AD342</f>
        <v>㎡</v>
      </c>
      <c r="AE343" s="2794" t="str">
        <f>'＜入力不要＞報告書'!AE342</f>
        <v/>
      </c>
      <c r="AF343" s="2795"/>
      <c r="AG343" s="2795"/>
      <c r="AH343" s="2795"/>
      <c r="AI343" s="1543" t="str">
        <f>'＜入力不要＞報告書'!AI342</f>
        <v>㎡</v>
      </c>
      <c r="AJ343" s="2794" t="str">
        <f>'＜入力不要＞報告書'!AJ342</f>
        <v/>
      </c>
      <c r="AK343" s="2795"/>
      <c r="AL343" s="2795"/>
      <c r="AM343" s="2795"/>
      <c r="AN343" s="1543" t="str">
        <f>'＜入力不要＞報告書'!AN342</f>
        <v>㎡</v>
      </c>
      <c r="AO343" s="2794" t="str">
        <f>'＜入力不要＞報告書'!AO342</f>
        <v/>
      </c>
      <c r="AP343" s="2795"/>
      <c r="AQ343" s="2795"/>
      <c r="AR343" s="2795"/>
      <c r="AS343" s="1543" t="str">
        <f>'＜入力不要＞報告書'!AS342</f>
        <v>㎡</v>
      </c>
      <c r="AT343" s="1470"/>
      <c r="AU343" s="1485"/>
      <c r="AV343" s="1485"/>
      <c r="AW343" s="1461"/>
      <c r="AX343" s="1461"/>
      <c r="AY343" s="1461"/>
      <c r="AZ343" s="1461"/>
      <c r="BA343" s="1461"/>
    </row>
    <row r="344" spans="1:53" s="1617" customFormat="1" ht="13" customHeight="1">
      <c r="A344" s="1461"/>
      <c r="B344" s="1552"/>
      <c r="C344" s="2919">
        <f>'＜入力不要＞報告書'!C343</f>
        <v>15</v>
      </c>
      <c r="D344" s="2981"/>
      <c r="E344" s="1547" t="str">
        <f>'＜入力不要＞報告書'!E343</f>
        <v>階</v>
      </c>
      <c r="F344" s="2796">
        <f>'＜入力不要＞報告書'!F343</f>
        <v>0</v>
      </c>
      <c r="G344" s="2797"/>
      <c r="H344" s="2797"/>
      <c r="I344" s="2797"/>
      <c r="J344" s="1544" t="str">
        <f>'＜入力不要＞報告書'!J343</f>
        <v>㎡</v>
      </c>
      <c r="K344" s="2796" t="str">
        <f>'＜入力不要＞報告書'!K343</f>
        <v/>
      </c>
      <c r="L344" s="2797"/>
      <c r="M344" s="2797"/>
      <c r="N344" s="2797"/>
      <c r="O344" s="1544" t="str">
        <f>'＜入力不要＞報告書'!O343</f>
        <v>㎡</v>
      </c>
      <c r="P344" s="2796" t="str">
        <f>'＜入力不要＞報告書'!P343</f>
        <v/>
      </c>
      <c r="Q344" s="2797"/>
      <c r="R344" s="2797"/>
      <c r="S344" s="2797"/>
      <c r="T344" s="1544" t="str">
        <f>'＜入力不要＞報告書'!T343</f>
        <v>㎡</v>
      </c>
      <c r="U344" s="2796" t="str">
        <f>'＜入力不要＞報告書'!U343</f>
        <v/>
      </c>
      <c r="V344" s="2797"/>
      <c r="W344" s="2797"/>
      <c r="X344" s="2797"/>
      <c r="Y344" s="1544" t="str">
        <f>'＜入力不要＞報告書'!Y343</f>
        <v>㎡</v>
      </c>
      <c r="Z344" s="2796" t="str">
        <f>'＜入力不要＞報告書'!Z343</f>
        <v/>
      </c>
      <c r="AA344" s="2797"/>
      <c r="AB344" s="2797"/>
      <c r="AC344" s="2797"/>
      <c r="AD344" s="1544" t="str">
        <f>'＜入力不要＞報告書'!AD343</f>
        <v>㎡</v>
      </c>
      <c r="AE344" s="2796" t="str">
        <f>'＜入力不要＞報告書'!AE343</f>
        <v/>
      </c>
      <c r="AF344" s="2797"/>
      <c r="AG344" s="2797"/>
      <c r="AH344" s="2797"/>
      <c r="AI344" s="1544" t="str">
        <f>'＜入力不要＞報告書'!AI343</f>
        <v>㎡</v>
      </c>
      <c r="AJ344" s="2796" t="str">
        <f>'＜入力不要＞報告書'!AJ343</f>
        <v/>
      </c>
      <c r="AK344" s="2797"/>
      <c r="AL344" s="2797"/>
      <c r="AM344" s="2797"/>
      <c r="AN344" s="1544" t="str">
        <f>'＜入力不要＞報告書'!AN343</f>
        <v>㎡</v>
      </c>
      <c r="AO344" s="2796" t="str">
        <f>'＜入力不要＞報告書'!AO343</f>
        <v/>
      </c>
      <c r="AP344" s="2797"/>
      <c r="AQ344" s="2797"/>
      <c r="AR344" s="2797"/>
      <c r="AS344" s="1544" t="str">
        <f>'＜入力不要＞報告書'!AS343</f>
        <v>㎡</v>
      </c>
      <c r="AT344" s="1551"/>
      <c r="AU344" s="1485"/>
      <c r="AV344" s="1485"/>
      <c r="AW344" s="1461"/>
      <c r="AX344" s="1461"/>
      <c r="AY344" s="1461"/>
      <c r="AZ344" s="1461"/>
      <c r="BA344" s="1461"/>
    </row>
    <row r="345" spans="1:53" s="1617" customFormat="1" ht="13" customHeight="1">
      <c r="A345" s="1461"/>
      <c r="B345" s="1548"/>
      <c r="C345" s="2921">
        <f>'＜入力不要＞報告書'!C344</f>
        <v>16</v>
      </c>
      <c r="D345" s="2980"/>
      <c r="E345" s="1545" t="str">
        <f>'＜入力不要＞報告書'!E344</f>
        <v>階</v>
      </c>
      <c r="F345" s="2798">
        <f>'＜入力不要＞報告書'!F344</f>
        <v>0</v>
      </c>
      <c r="G345" s="2799"/>
      <c r="H345" s="2799"/>
      <c r="I345" s="2799"/>
      <c r="J345" s="1546" t="str">
        <f>'＜入力不要＞報告書'!J344</f>
        <v>㎡</v>
      </c>
      <c r="K345" s="2798" t="str">
        <f>'＜入力不要＞報告書'!K344</f>
        <v/>
      </c>
      <c r="L345" s="2799"/>
      <c r="M345" s="2799"/>
      <c r="N345" s="2799"/>
      <c r="O345" s="1546" t="str">
        <f>'＜入力不要＞報告書'!O344</f>
        <v>㎡</v>
      </c>
      <c r="P345" s="2798" t="str">
        <f>'＜入力不要＞報告書'!P344</f>
        <v/>
      </c>
      <c r="Q345" s="2799"/>
      <c r="R345" s="2799"/>
      <c r="S345" s="2799"/>
      <c r="T345" s="1546" t="str">
        <f>'＜入力不要＞報告書'!T344</f>
        <v>㎡</v>
      </c>
      <c r="U345" s="2798" t="str">
        <f>'＜入力不要＞報告書'!U344</f>
        <v/>
      </c>
      <c r="V345" s="2799"/>
      <c r="W345" s="2799"/>
      <c r="X345" s="2799"/>
      <c r="Y345" s="1546" t="str">
        <f>'＜入力不要＞報告書'!Y344</f>
        <v>㎡</v>
      </c>
      <c r="Z345" s="2798" t="str">
        <f>'＜入力不要＞報告書'!Z344</f>
        <v/>
      </c>
      <c r="AA345" s="2799"/>
      <c r="AB345" s="2799"/>
      <c r="AC345" s="2799"/>
      <c r="AD345" s="1546" t="str">
        <f>'＜入力不要＞報告書'!AD344</f>
        <v>㎡</v>
      </c>
      <c r="AE345" s="2798" t="str">
        <f>'＜入力不要＞報告書'!AE344</f>
        <v/>
      </c>
      <c r="AF345" s="2799"/>
      <c r="AG345" s="2799"/>
      <c r="AH345" s="2799"/>
      <c r="AI345" s="1546" t="str">
        <f>'＜入力不要＞報告書'!AI344</f>
        <v>㎡</v>
      </c>
      <c r="AJ345" s="2798" t="str">
        <f>'＜入力不要＞報告書'!AJ344</f>
        <v/>
      </c>
      <c r="AK345" s="2799"/>
      <c r="AL345" s="2799"/>
      <c r="AM345" s="2799"/>
      <c r="AN345" s="1546" t="str">
        <f>'＜入力不要＞報告書'!AN344</f>
        <v>㎡</v>
      </c>
      <c r="AO345" s="2798" t="str">
        <f>'＜入力不要＞報告書'!AO344</f>
        <v/>
      </c>
      <c r="AP345" s="2799"/>
      <c r="AQ345" s="2799"/>
      <c r="AR345" s="2799"/>
      <c r="AS345" s="1546" t="str">
        <f>'＜入力不要＞報告書'!AS344</f>
        <v>㎡</v>
      </c>
      <c r="AT345" s="1470"/>
      <c r="AU345" s="1485"/>
      <c r="AV345" s="1485"/>
      <c r="AW345" s="1461"/>
      <c r="AX345" s="1461"/>
      <c r="AY345" s="1461"/>
      <c r="AZ345" s="1461"/>
      <c r="BA345" s="1461"/>
    </row>
    <row r="346" spans="1:53" s="1617" customFormat="1" ht="13" customHeight="1">
      <c r="A346" s="1461"/>
      <c r="B346" s="1549"/>
      <c r="C346" s="2921">
        <f>'＜入力不要＞報告書'!C345</f>
        <v>17</v>
      </c>
      <c r="D346" s="2980"/>
      <c r="E346" s="1542" t="str">
        <f>'＜入力不要＞報告書'!E345</f>
        <v>階</v>
      </c>
      <c r="F346" s="2794">
        <f>'＜入力不要＞報告書'!F345</f>
        <v>0</v>
      </c>
      <c r="G346" s="2795"/>
      <c r="H346" s="2795"/>
      <c r="I346" s="2795"/>
      <c r="J346" s="1543" t="str">
        <f>'＜入力不要＞報告書'!J345</f>
        <v>㎡</v>
      </c>
      <c r="K346" s="2794" t="str">
        <f>'＜入力不要＞報告書'!K345</f>
        <v/>
      </c>
      <c r="L346" s="2795"/>
      <c r="M346" s="2795"/>
      <c r="N346" s="2795"/>
      <c r="O346" s="1543" t="str">
        <f>'＜入力不要＞報告書'!O345</f>
        <v>㎡</v>
      </c>
      <c r="P346" s="2794" t="str">
        <f>'＜入力不要＞報告書'!P345</f>
        <v/>
      </c>
      <c r="Q346" s="2795"/>
      <c r="R346" s="2795"/>
      <c r="S346" s="2795"/>
      <c r="T346" s="1543" t="str">
        <f>'＜入力不要＞報告書'!T345</f>
        <v>㎡</v>
      </c>
      <c r="U346" s="2794" t="str">
        <f>'＜入力不要＞報告書'!U345</f>
        <v/>
      </c>
      <c r="V346" s="2795"/>
      <c r="W346" s="2795"/>
      <c r="X346" s="2795"/>
      <c r="Y346" s="1543" t="str">
        <f>'＜入力不要＞報告書'!Y345</f>
        <v>㎡</v>
      </c>
      <c r="Z346" s="2794" t="str">
        <f>'＜入力不要＞報告書'!Z345</f>
        <v/>
      </c>
      <c r="AA346" s="2795"/>
      <c r="AB346" s="2795"/>
      <c r="AC346" s="2795"/>
      <c r="AD346" s="1543" t="str">
        <f>'＜入力不要＞報告書'!AD345</f>
        <v>㎡</v>
      </c>
      <c r="AE346" s="2794" t="str">
        <f>'＜入力不要＞報告書'!AE345</f>
        <v/>
      </c>
      <c r="AF346" s="2795"/>
      <c r="AG346" s="2795"/>
      <c r="AH346" s="2795"/>
      <c r="AI346" s="1543" t="str">
        <f>'＜入力不要＞報告書'!AI345</f>
        <v>㎡</v>
      </c>
      <c r="AJ346" s="2794" t="str">
        <f>'＜入力不要＞報告書'!AJ345</f>
        <v/>
      </c>
      <c r="AK346" s="2795"/>
      <c r="AL346" s="2795"/>
      <c r="AM346" s="2795"/>
      <c r="AN346" s="1543" t="str">
        <f>'＜入力不要＞報告書'!AN345</f>
        <v>㎡</v>
      </c>
      <c r="AO346" s="2794" t="str">
        <f>'＜入力不要＞報告書'!AO345</f>
        <v/>
      </c>
      <c r="AP346" s="2795"/>
      <c r="AQ346" s="2795"/>
      <c r="AR346" s="2795"/>
      <c r="AS346" s="1543" t="str">
        <f>'＜入力不要＞報告書'!AS345</f>
        <v>㎡</v>
      </c>
      <c r="AT346" s="1470"/>
      <c r="AU346" s="1485"/>
      <c r="AV346" s="1485"/>
      <c r="AW346" s="1461"/>
      <c r="AX346" s="1461"/>
      <c r="AY346" s="1461"/>
      <c r="AZ346" s="1461"/>
      <c r="BA346" s="1461"/>
    </row>
    <row r="347" spans="1:53" s="1617" customFormat="1" ht="13" customHeight="1">
      <c r="A347" s="1461"/>
      <c r="B347" s="1549"/>
      <c r="C347" s="2921">
        <f>'＜入力不要＞報告書'!C346</f>
        <v>18</v>
      </c>
      <c r="D347" s="2980"/>
      <c r="E347" s="1542" t="str">
        <f>'＜入力不要＞報告書'!E346</f>
        <v>階</v>
      </c>
      <c r="F347" s="2794">
        <f>'＜入力不要＞報告書'!F346</f>
        <v>0</v>
      </c>
      <c r="G347" s="2795"/>
      <c r="H347" s="2795"/>
      <c r="I347" s="2795"/>
      <c r="J347" s="1543" t="str">
        <f>'＜入力不要＞報告書'!J346</f>
        <v>㎡</v>
      </c>
      <c r="K347" s="2794" t="str">
        <f>'＜入力不要＞報告書'!K346</f>
        <v/>
      </c>
      <c r="L347" s="2795"/>
      <c r="M347" s="2795"/>
      <c r="N347" s="2795"/>
      <c r="O347" s="1543" t="str">
        <f>'＜入力不要＞報告書'!O346</f>
        <v>㎡</v>
      </c>
      <c r="P347" s="2794" t="str">
        <f>'＜入力不要＞報告書'!P346</f>
        <v/>
      </c>
      <c r="Q347" s="2795"/>
      <c r="R347" s="2795"/>
      <c r="S347" s="2795"/>
      <c r="T347" s="1543" t="str">
        <f>'＜入力不要＞報告書'!T346</f>
        <v>㎡</v>
      </c>
      <c r="U347" s="2794" t="str">
        <f>'＜入力不要＞報告書'!U346</f>
        <v/>
      </c>
      <c r="V347" s="2795"/>
      <c r="W347" s="2795"/>
      <c r="X347" s="2795"/>
      <c r="Y347" s="1543" t="str">
        <f>'＜入力不要＞報告書'!Y346</f>
        <v>㎡</v>
      </c>
      <c r="Z347" s="2794" t="str">
        <f>'＜入力不要＞報告書'!Z346</f>
        <v/>
      </c>
      <c r="AA347" s="2795"/>
      <c r="AB347" s="2795"/>
      <c r="AC347" s="2795"/>
      <c r="AD347" s="1543" t="str">
        <f>'＜入力不要＞報告書'!AD346</f>
        <v>㎡</v>
      </c>
      <c r="AE347" s="2794" t="str">
        <f>'＜入力不要＞報告書'!AE346</f>
        <v/>
      </c>
      <c r="AF347" s="2795"/>
      <c r="AG347" s="2795"/>
      <c r="AH347" s="2795"/>
      <c r="AI347" s="1543" t="str">
        <f>'＜入力不要＞報告書'!AI346</f>
        <v>㎡</v>
      </c>
      <c r="AJ347" s="2794" t="str">
        <f>'＜入力不要＞報告書'!AJ346</f>
        <v/>
      </c>
      <c r="AK347" s="2795"/>
      <c r="AL347" s="2795"/>
      <c r="AM347" s="2795"/>
      <c r="AN347" s="1543" t="str">
        <f>'＜入力不要＞報告書'!AN346</f>
        <v>㎡</v>
      </c>
      <c r="AO347" s="2794" t="str">
        <f>'＜入力不要＞報告書'!AO346</f>
        <v/>
      </c>
      <c r="AP347" s="2795"/>
      <c r="AQ347" s="2795"/>
      <c r="AR347" s="2795"/>
      <c r="AS347" s="1543" t="str">
        <f>'＜入力不要＞報告書'!AS346</f>
        <v>㎡</v>
      </c>
      <c r="AT347" s="1470"/>
      <c r="AU347" s="1485"/>
      <c r="AV347" s="1485"/>
      <c r="AW347" s="1461"/>
      <c r="AX347" s="1461"/>
      <c r="AY347" s="1461"/>
      <c r="AZ347" s="1461"/>
      <c r="BA347" s="1461"/>
    </row>
    <row r="348" spans="1:53" s="1617" customFormat="1" ht="13" customHeight="1">
      <c r="A348" s="1461"/>
      <c r="B348" s="1549"/>
      <c r="C348" s="2921">
        <f>'＜入力不要＞報告書'!C347</f>
        <v>19</v>
      </c>
      <c r="D348" s="2980"/>
      <c r="E348" s="1542" t="str">
        <f>'＜入力不要＞報告書'!E347</f>
        <v>階</v>
      </c>
      <c r="F348" s="2794">
        <f>'＜入力不要＞報告書'!F347</f>
        <v>0</v>
      </c>
      <c r="G348" s="2795"/>
      <c r="H348" s="2795"/>
      <c r="I348" s="2795"/>
      <c r="J348" s="1543" t="str">
        <f>'＜入力不要＞報告書'!J347</f>
        <v>㎡</v>
      </c>
      <c r="K348" s="2794" t="str">
        <f>'＜入力不要＞報告書'!K347</f>
        <v/>
      </c>
      <c r="L348" s="2795"/>
      <c r="M348" s="2795"/>
      <c r="N348" s="2795"/>
      <c r="O348" s="1543" t="str">
        <f>'＜入力不要＞報告書'!O347</f>
        <v>㎡</v>
      </c>
      <c r="P348" s="2794" t="str">
        <f>'＜入力不要＞報告書'!P347</f>
        <v/>
      </c>
      <c r="Q348" s="2795"/>
      <c r="R348" s="2795"/>
      <c r="S348" s="2795"/>
      <c r="T348" s="1543" t="str">
        <f>'＜入力不要＞報告書'!T347</f>
        <v>㎡</v>
      </c>
      <c r="U348" s="2794" t="str">
        <f>'＜入力不要＞報告書'!U347</f>
        <v/>
      </c>
      <c r="V348" s="2795"/>
      <c r="W348" s="2795"/>
      <c r="X348" s="2795"/>
      <c r="Y348" s="1543" t="str">
        <f>'＜入力不要＞報告書'!Y347</f>
        <v>㎡</v>
      </c>
      <c r="Z348" s="2794" t="str">
        <f>'＜入力不要＞報告書'!Z347</f>
        <v/>
      </c>
      <c r="AA348" s="2795"/>
      <c r="AB348" s="2795"/>
      <c r="AC348" s="2795"/>
      <c r="AD348" s="1543" t="str">
        <f>'＜入力不要＞報告書'!AD347</f>
        <v>㎡</v>
      </c>
      <c r="AE348" s="2794" t="str">
        <f>'＜入力不要＞報告書'!AE347</f>
        <v/>
      </c>
      <c r="AF348" s="2795"/>
      <c r="AG348" s="2795"/>
      <c r="AH348" s="2795"/>
      <c r="AI348" s="1543" t="str">
        <f>'＜入力不要＞報告書'!AI347</f>
        <v>㎡</v>
      </c>
      <c r="AJ348" s="2794" t="str">
        <f>'＜入力不要＞報告書'!AJ347</f>
        <v/>
      </c>
      <c r="AK348" s="2795"/>
      <c r="AL348" s="2795"/>
      <c r="AM348" s="2795"/>
      <c r="AN348" s="1543" t="str">
        <f>'＜入力不要＞報告書'!AN347</f>
        <v>㎡</v>
      </c>
      <c r="AO348" s="2794" t="str">
        <f>'＜入力不要＞報告書'!AO347</f>
        <v/>
      </c>
      <c r="AP348" s="2795"/>
      <c r="AQ348" s="2795"/>
      <c r="AR348" s="2795"/>
      <c r="AS348" s="1543" t="str">
        <f>'＜入力不要＞報告書'!AS347</f>
        <v>㎡</v>
      </c>
      <c r="AT348" s="1551"/>
      <c r="AU348" s="1485"/>
      <c r="AV348" s="1485"/>
      <c r="AW348" s="1461"/>
      <c r="AX348" s="1461"/>
      <c r="AY348" s="1461"/>
      <c r="AZ348" s="1461"/>
      <c r="BA348" s="1461"/>
    </row>
    <row r="349" spans="1:53" s="1617" customFormat="1" ht="13" customHeight="1">
      <c r="A349" s="1461"/>
      <c r="B349" s="1552"/>
      <c r="C349" s="2919">
        <f>'＜入力不要＞報告書'!C348</f>
        <v>20</v>
      </c>
      <c r="D349" s="2981"/>
      <c r="E349" s="1547" t="str">
        <f>'＜入力不要＞報告書'!E348</f>
        <v>階</v>
      </c>
      <c r="F349" s="2796">
        <f>'＜入力不要＞報告書'!F348</f>
        <v>0</v>
      </c>
      <c r="G349" s="2797"/>
      <c r="H349" s="2797"/>
      <c r="I349" s="2797"/>
      <c r="J349" s="1544" t="str">
        <f>'＜入力不要＞報告書'!J348</f>
        <v>㎡</v>
      </c>
      <c r="K349" s="2796" t="str">
        <f>'＜入力不要＞報告書'!K348</f>
        <v/>
      </c>
      <c r="L349" s="2797"/>
      <c r="M349" s="2797"/>
      <c r="N349" s="2797"/>
      <c r="O349" s="1544" t="str">
        <f>'＜入力不要＞報告書'!O348</f>
        <v>㎡</v>
      </c>
      <c r="P349" s="2796" t="str">
        <f>'＜入力不要＞報告書'!P348</f>
        <v/>
      </c>
      <c r="Q349" s="2797"/>
      <c r="R349" s="2797"/>
      <c r="S349" s="2797"/>
      <c r="T349" s="1544" t="str">
        <f>'＜入力不要＞報告書'!T348</f>
        <v>㎡</v>
      </c>
      <c r="U349" s="2796" t="str">
        <f>'＜入力不要＞報告書'!U348</f>
        <v/>
      </c>
      <c r="V349" s="2797"/>
      <c r="W349" s="2797"/>
      <c r="X349" s="2797"/>
      <c r="Y349" s="1544" t="str">
        <f>'＜入力不要＞報告書'!Y348</f>
        <v>㎡</v>
      </c>
      <c r="Z349" s="2796" t="str">
        <f>'＜入力不要＞報告書'!Z348</f>
        <v/>
      </c>
      <c r="AA349" s="2797"/>
      <c r="AB349" s="2797"/>
      <c r="AC349" s="2797"/>
      <c r="AD349" s="1544" t="str">
        <f>'＜入力不要＞報告書'!AD348</f>
        <v>㎡</v>
      </c>
      <c r="AE349" s="2796" t="str">
        <f>'＜入力不要＞報告書'!AE348</f>
        <v/>
      </c>
      <c r="AF349" s="2797"/>
      <c r="AG349" s="2797"/>
      <c r="AH349" s="2797"/>
      <c r="AI349" s="1544" t="str">
        <f>'＜入力不要＞報告書'!AI348</f>
        <v>㎡</v>
      </c>
      <c r="AJ349" s="2796" t="str">
        <f>'＜入力不要＞報告書'!AJ348</f>
        <v/>
      </c>
      <c r="AK349" s="2797"/>
      <c r="AL349" s="2797"/>
      <c r="AM349" s="2797"/>
      <c r="AN349" s="1544" t="str">
        <f>'＜入力不要＞報告書'!AN348</f>
        <v>㎡</v>
      </c>
      <c r="AO349" s="2796" t="str">
        <f>'＜入力不要＞報告書'!AO348</f>
        <v/>
      </c>
      <c r="AP349" s="2797"/>
      <c r="AQ349" s="2797"/>
      <c r="AR349" s="2797"/>
      <c r="AS349" s="1544" t="str">
        <f>'＜入力不要＞報告書'!AS348</f>
        <v>㎡</v>
      </c>
      <c r="AT349" s="1470"/>
      <c r="AU349" s="1485"/>
      <c r="AV349" s="1485"/>
      <c r="AW349" s="1461"/>
      <c r="AX349" s="1461"/>
      <c r="AY349" s="1461"/>
      <c r="AZ349" s="1461"/>
      <c r="BA349" s="1461"/>
    </row>
    <row r="350" spans="1:53" s="1617" customFormat="1" ht="13" customHeight="1">
      <c r="A350" s="1461"/>
      <c r="B350" s="1548"/>
      <c r="C350" s="2921">
        <f>'＜入力不要＞報告書'!C349</f>
        <v>21</v>
      </c>
      <c r="D350" s="2980"/>
      <c r="E350" s="1545" t="str">
        <f>'＜入力不要＞報告書'!E349</f>
        <v>階</v>
      </c>
      <c r="F350" s="2798">
        <f>'＜入力不要＞報告書'!F349</f>
        <v>0</v>
      </c>
      <c r="G350" s="2799"/>
      <c r="H350" s="2799"/>
      <c r="I350" s="2799"/>
      <c r="J350" s="1546" t="str">
        <f>'＜入力不要＞報告書'!J349</f>
        <v>㎡</v>
      </c>
      <c r="K350" s="2798" t="str">
        <f>'＜入力不要＞報告書'!K349</f>
        <v/>
      </c>
      <c r="L350" s="2799"/>
      <c r="M350" s="2799"/>
      <c r="N350" s="2799"/>
      <c r="O350" s="1546" t="str">
        <f>'＜入力不要＞報告書'!O349</f>
        <v>㎡</v>
      </c>
      <c r="P350" s="2798" t="str">
        <f>'＜入力不要＞報告書'!P349</f>
        <v/>
      </c>
      <c r="Q350" s="2799"/>
      <c r="R350" s="2799"/>
      <c r="S350" s="2799"/>
      <c r="T350" s="1546" t="str">
        <f>'＜入力不要＞報告書'!T349</f>
        <v>㎡</v>
      </c>
      <c r="U350" s="2798" t="str">
        <f>'＜入力不要＞報告書'!U349</f>
        <v/>
      </c>
      <c r="V350" s="2799"/>
      <c r="W350" s="2799"/>
      <c r="X350" s="2799"/>
      <c r="Y350" s="1546" t="str">
        <f>'＜入力不要＞報告書'!Y349</f>
        <v>㎡</v>
      </c>
      <c r="Z350" s="2798" t="str">
        <f>'＜入力不要＞報告書'!Z349</f>
        <v/>
      </c>
      <c r="AA350" s="2799"/>
      <c r="AB350" s="2799"/>
      <c r="AC350" s="2799"/>
      <c r="AD350" s="1546" t="str">
        <f>'＜入力不要＞報告書'!AD349</f>
        <v>㎡</v>
      </c>
      <c r="AE350" s="2798" t="str">
        <f>'＜入力不要＞報告書'!AE349</f>
        <v/>
      </c>
      <c r="AF350" s="2799"/>
      <c r="AG350" s="2799"/>
      <c r="AH350" s="2799"/>
      <c r="AI350" s="1546" t="str">
        <f>'＜入力不要＞報告書'!AI349</f>
        <v>㎡</v>
      </c>
      <c r="AJ350" s="2798" t="str">
        <f>'＜入力不要＞報告書'!AJ349</f>
        <v/>
      </c>
      <c r="AK350" s="2799"/>
      <c r="AL350" s="2799"/>
      <c r="AM350" s="2799"/>
      <c r="AN350" s="1546" t="str">
        <f>'＜入力不要＞報告書'!AN349</f>
        <v>㎡</v>
      </c>
      <c r="AO350" s="2798" t="str">
        <f>'＜入力不要＞報告書'!AO349</f>
        <v/>
      </c>
      <c r="AP350" s="2799"/>
      <c r="AQ350" s="2799"/>
      <c r="AR350" s="2799"/>
      <c r="AS350" s="1546" t="str">
        <f>'＜入力不要＞報告書'!AS349</f>
        <v>㎡</v>
      </c>
      <c r="AT350" s="1470"/>
      <c r="AU350" s="1485"/>
      <c r="AV350" s="1485"/>
      <c r="AW350" s="1461"/>
      <c r="AX350" s="1461"/>
      <c r="AY350" s="1461"/>
      <c r="AZ350" s="1461"/>
      <c r="BA350" s="1461"/>
    </row>
    <row r="351" spans="1:53" s="1617" customFormat="1" ht="13" customHeight="1">
      <c r="A351" s="1461"/>
      <c r="B351" s="1549"/>
      <c r="C351" s="2921">
        <f>'＜入力不要＞報告書'!C350</f>
        <v>22</v>
      </c>
      <c r="D351" s="2980"/>
      <c r="E351" s="1542" t="str">
        <f>'＜入力不要＞報告書'!E350</f>
        <v>階</v>
      </c>
      <c r="F351" s="2794">
        <f>'＜入力不要＞報告書'!F350</f>
        <v>0</v>
      </c>
      <c r="G351" s="2795"/>
      <c r="H351" s="2795"/>
      <c r="I351" s="2795"/>
      <c r="J351" s="1543" t="str">
        <f>'＜入力不要＞報告書'!J350</f>
        <v>㎡</v>
      </c>
      <c r="K351" s="2794" t="str">
        <f>'＜入力不要＞報告書'!K350</f>
        <v/>
      </c>
      <c r="L351" s="2795"/>
      <c r="M351" s="2795"/>
      <c r="N351" s="2795"/>
      <c r="O351" s="1543" t="str">
        <f>'＜入力不要＞報告書'!O350</f>
        <v>㎡</v>
      </c>
      <c r="P351" s="2794" t="str">
        <f>'＜入力不要＞報告書'!P350</f>
        <v/>
      </c>
      <c r="Q351" s="2795"/>
      <c r="R351" s="2795"/>
      <c r="S351" s="2795"/>
      <c r="T351" s="1543" t="str">
        <f>'＜入力不要＞報告書'!T350</f>
        <v>㎡</v>
      </c>
      <c r="U351" s="2794" t="str">
        <f>'＜入力不要＞報告書'!U350</f>
        <v/>
      </c>
      <c r="V351" s="2795"/>
      <c r="W351" s="2795"/>
      <c r="X351" s="2795"/>
      <c r="Y351" s="1543" t="str">
        <f>'＜入力不要＞報告書'!Y350</f>
        <v>㎡</v>
      </c>
      <c r="Z351" s="2794" t="str">
        <f>'＜入力不要＞報告書'!Z350</f>
        <v/>
      </c>
      <c r="AA351" s="2795"/>
      <c r="AB351" s="2795"/>
      <c r="AC351" s="2795"/>
      <c r="AD351" s="1543" t="str">
        <f>'＜入力不要＞報告書'!AD350</f>
        <v>㎡</v>
      </c>
      <c r="AE351" s="2794" t="str">
        <f>'＜入力不要＞報告書'!AE350</f>
        <v/>
      </c>
      <c r="AF351" s="2795"/>
      <c r="AG351" s="2795"/>
      <c r="AH351" s="2795"/>
      <c r="AI351" s="1543" t="str">
        <f>'＜入力不要＞報告書'!AI350</f>
        <v>㎡</v>
      </c>
      <c r="AJ351" s="2794" t="str">
        <f>'＜入力不要＞報告書'!AJ350</f>
        <v/>
      </c>
      <c r="AK351" s="2795"/>
      <c r="AL351" s="2795"/>
      <c r="AM351" s="2795"/>
      <c r="AN351" s="1543" t="str">
        <f>'＜入力不要＞報告書'!AN350</f>
        <v>㎡</v>
      </c>
      <c r="AO351" s="2794" t="str">
        <f>'＜入力不要＞報告書'!AO350</f>
        <v/>
      </c>
      <c r="AP351" s="2795"/>
      <c r="AQ351" s="2795"/>
      <c r="AR351" s="2795"/>
      <c r="AS351" s="1543" t="str">
        <f>'＜入力不要＞報告書'!AS350</f>
        <v>㎡</v>
      </c>
      <c r="AT351" s="1470"/>
      <c r="AU351" s="1485"/>
      <c r="AV351" s="1485"/>
      <c r="AW351" s="1461"/>
      <c r="AX351" s="1461"/>
      <c r="AY351" s="1461"/>
      <c r="AZ351" s="1461"/>
      <c r="BA351" s="1461"/>
    </row>
    <row r="352" spans="1:53" s="1617" customFormat="1" ht="13" customHeight="1">
      <c r="A352" s="1461"/>
      <c r="B352" s="1549"/>
      <c r="C352" s="2921">
        <f>'＜入力不要＞報告書'!C351</f>
        <v>23</v>
      </c>
      <c r="D352" s="2980"/>
      <c r="E352" s="1542" t="str">
        <f>'＜入力不要＞報告書'!E351</f>
        <v>階</v>
      </c>
      <c r="F352" s="2794">
        <f>'＜入力不要＞報告書'!F351</f>
        <v>0</v>
      </c>
      <c r="G352" s="2795"/>
      <c r="H352" s="2795"/>
      <c r="I352" s="2795"/>
      <c r="J352" s="1543" t="str">
        <f>'＜入力不要＞報告書'!J351</f>
        <v>㎡</v>
      </c>
      <c r="K352" s="2794" t="str">
        <f>'＜入力不要＞報告書'!K351</f>
        <v/>
      </c>
      <c r="L352" s="2795"/>
      <c r="M352" s="2795"/>
      <c r="N352" s="2795"/>
      <c r="O352" s="1543" t="str">
        <f>'＜入力不要＞報告書'!O351</f>
        <v>㎡</v>
      </c>
      <c r="P352" s="2794" t="str">
        <f>'＜入力不要＞報告書'!P351</f>
        <v/>
      </c>
      <c r="Q352" s="2795"/>
      <c r="R352" s="2795"/>
      <c r="S352" s="2795"/>
      <c r="T352" s="1543" t="str">
        <f>'＜入力不要＞報告書'!T351</f>
        <v>㎡</v>
      </c>
      <c r="U352" s="2794" t="str">
        <f>'＜入力不要＞報告書'!U351</f>
        <v/>
      </c>
      <c r="V352" s="2795"/>
      <c r="W352" s="2795"/>
      <c r="X352" s="2795"/>
      <c r="Y352" s="1543" t="str">
        <f>'＜入力不要＞報告書'!Y351</f>
        <v>㎡</v>
      </c>
      <c r="Z352" s="2794" t="str">
        <f>'＜入力不要＞報告書'!Z351</f>
        <v/>
      </c>
      <c r="AA352" s="2795"/>
      <c r="AB352" s="2795"/>
      <c r="AC352" s="2795"/>
      <c r="AD352" s="1543" t="str">
        <f>'＜入力不要＞報告書'!AD351</f>
        <v>㎡</v>
      </c>
      <c r="AE352" s="2794" t="str">
        <f>'＜入力不要＞報告書'!AE351</f>
        <v/>
      </c>
      <c r="AF352" s="2795"/>
      <c r="AG352" s="2795"/>
      <c r="AH352" s="2795"/>
      <c r="AI352" s="1543" t="str">
        <f>'＜入力不要＞報告書'!AI351</f>
        <v>㎡</v>
      </c>
      <c r="AJ352" s="2794" t="str">
        <f>'＜入力不要＞報告書'!AJ351</f>
        <v/>
      </c>
      <c r="AK352" s="2795"/>
      <c r="AL352" s="2795"/>
      <c r="AM352" s="2795"/>
      <c r="AN352" s="1543" t="str">
        <f>'＜入力不要＞報告書'!AN351</f>
        <v>㎡</v>
      </c>
      <c r="AO352" s="2794" t="str">
        <f>'＜入力不要＞報告書'!AO351</f>
        <v/>
      </c>
      <c r="AP352" s="2795"/>
      <c r="AQ352" s="2795"/>
      <c r="AR352" s="2795"/>
      <c r="AS352" s="1543" t="str">
        <f>'＜入力不要＞報告書'!AS351</f>
        <v>㎡</v>
      </c>
      <c r="AT352" s="1551"/>
      <c r="AU352" s="1485"/>
      <c r="AV352" s="1485"/>
      <c r="AW352" s="1461"/>
      <c r="AX352" s="1461"/>
      <c r="AY352" s="1461"/>
      <c r="AZ352" s="1461"/>
      <c r="BA352" s="1461"/>
    </row>
    <row r="353" spans="1:55" s="1617" customFormat="1" ht="13" customHeight="1">
      <c r="A353" s="1461"/>
      <c r="B353" s="1549"/>
      <c r="C353" s="2921">
        <f>'＜入力不要＞報告書'!C352</f>
        <v>24</v>
      </c>
      <c r="D353" s="2980"/>
      <c r="E353" s="1542" t="str">
        <f>'＜入力不要＞報告書'!E352</f>
        <v>階</v>
      </c>
      <c r="F353" s="2794">
        <f>'＜入力不要＞報告書'!F352</f>
        <v>0</v>
      </c>
      <c r="G353" s="2795"/>
      <c r="H353" s="2795"/>
      <c r="I353" s="2795"/>
      <c r="J353" s="1543" t="str">
        <f>'＜入力不要＞報告書'!J352</f>
        <v>㎡</v>
      </c>
      <c r="K353" s="2794" t="str">
        <f>'＜入力不要＞報告書'!K352</f>
        <v/>
      </c>
      <c r="L353" s="2795"/>
      <c r="M353" s="2795"/>
      <c r="N353" s="2795"/>
      <c r="O353" s="1543" t="str">
        <f>'＜入力不要＞報告書'!O352</f>
        <v>㎡</v>
      </c>
      <c r="P353" s="2794" t="str">
        <f>'＜入力不要＞報告書'!P352</f>
        <v/>
      </c>
      <c r="Q353" s="2795"/>
      <c r="R353" s="2795"/>
      <c r="S353" s="2795"/>
      <c r="T353" s="1543" t="str">
        <f>'＜入力不要＞報告書'!T352</f>
        <v>㎡</v>
      </c>
      <c r="U353" s="2794" t="str">
        <f>'＜入力不要＞報告書'!U352</f>
        <v/>
      </c>
      <c r="V353" s="2795"/>
      <c r="W353" s="2795"/>
      <c r="X353" s="2795"/>
      <c r="Y353" s="1543" t="str">
        <f>'＜入力不要＞報告書'!Y352</f>
        <v>㎡</v>
      </c>
      <c r="Z353" s="2794" t="str">
        <f>'＜入力不要＞報告書'!Z352</f>
        <v/>
      </c>
      <c r="AA353" s="2795"/>
      <c r="AB353" s="2795"/>
      <c r="AC353" s="2795"/>
      <c r="AD353" s="1543" t="str">
        <f>'＜入力不要＞報告書'!AD352</f>
        <v>㎡</v>
      </c>
      <c r="AE353" s="2794" t="str">
        <f>'＜入力不要＞報告書'!AE352</f>
        <v/>
      </c>
      <c r="AF353" s="2795"/>
      <c r="AG353" s="2795"/>
      <c r="AH353" s="2795"/>
      <c r="AI353" s="1543" t="str">
        <f>'＜入力不要＞報告書'!AI352</f>
        <v>㎡</v>
      </c>
      <c r="AJ353" s="2794" t="str">
        <f>'＜入力不要＞報告書'!AJ352</f>
        <v/>
      </c>
      <c r="AK353" s="2795"/>
      <c r="AL353" s="2795"/>
      <c r="AM353" s="2795"/>
      <c r="AN353" s="1543" t="str">
        <f>'＜入力不要＞報告書'!AN352</f>
        <v>㎡</v>
      </c>
      <c r="AO353" s="2794" t="str">
        <f>'＜入力不要＞報告書'!AO352</f>
        <v/>
      </c>
      <c r="AP353" s="2795"/>
      <c r="AQ353" s="2795"/>
      <c r="AR353" s="2795"/>
      <c r="AS353" s="1543" t="str">
        <f>'＜入力不要＞報告書'!AS352</f>
        <v>㎡</v>
      </c>
      <c r="AT353" s="1470"/>
      <c r="AU353" s="1485"/>
      <c r="AV353" s="1485"/>
      <c r="AW353" s="1461"/>
      <c r="AX353" s="1461"/>
      <c r="AY353" s="1461"/>
      <c r="AZ353" s="1461"/>
      <c r="BA353" s="1461"/>
    </row>
    <row r="354" spans="1:55" ht="13" customHeight="1">
      <c r="B354" s="1552"/>
      <c r="C354" s="2919">
        <f>'＜入力不要＞報告書'!C353</f>
        <v>25</v>
      </c>
      <c r="D354" s="2981"/>
      <c r="E354" s="1547" t="str">
        <f>'＜入力不要＞報告書'!E353</f>
        <v>階</v>
      </c>
      <c r="F354" s="2796">
        <f>'＜入力不要＞報告書'!F353</f>
        <v>0</v>
      </c>
      <c r="G354" s="2797"/>
      <c r="H354" s="2797"/>
      <c r="I354" s="2797"/>
      <c r="J354" s="1544" t="str">
        <f>'＜入力不要＞報告書'!J353</f>
        <v>㎡</v>
      </c>
      <c r="K354" s="2796" t="str">
        <f>'＜入力不要＞報告書'!K353</f>
        <v/>
      </c>
      <c r="L354" s="2797"/>
      <c r="M354" s="2797"/>
      <c r="N354" s="2797"/>
      <c r="O354" s="1544" t="str">
        <f>'＜入力不要＞報告書'!O353</f>
        <v>㎡</v>
      </c>
      <c r="P354" s="2796" t="str">
        <f>'＜入力不要＞報告書'!P353</f>
        <v/>
      </c>
      <c r="Q354" s="2797"/>
      <c r="R354" s="2797"/>
      <c r="S354" s="2797"/>
      <c r="T354" s="1544" t="str">
        <f>'＜入力不要＞報告書'!T353</f>
        <v>㎡</v>
      </c>
      <c r="U354" s="2796" t="str">
        <f>'＜入力不要＞報告書'!U353</f>
        <v/>
      </c>
      <c r="V354" s="2797"/>
      <c r="W354" s="2797"/>
      <c r="X354" s="2797"/>
      <c r="Y354" s="1544" t="str">
        <f>'＜入力不要＞報告書'!Y353</f>
        <v>㎡</v>
      </c>
      <c r="Z354" s="2796" t="str">
        <f>'＜入力不要＞報告書'!Z353</f>
        <v/>
      </c>
      <c r="AA354" s="2797"/>
      <c r="AB354" s="2797"/>
      <c r="AC354" s="2797"/>
      <c r="AD354" s="1544" t="str">
        <f>'＜入力不要＞報告書'!AD353</f>
        <v>㎡</v>
      </c>
      <c r="AE354" s="2796" t="str">
        <f>'＜入力不要＞報告書'!AE353</f>
        <v/>
      </c>
      <c r="AF354" s="2797"/>
      <c r="AG354" s="2797"/>
      <c r="AH354" s="2797"/>
      <c r="AI354" s="1544" t="str">
        <f>'＜入力不要＞報告書'!AI353</f>
        <v>㎡</v>
      </c>
      <c r="AJ354" s="2796" t="str">
        <f>'＜入力不要＞報告書'!AJ353</f>
        <v/>
      </c>
      <c r="AK354" s="2797"/>
      <c r="AL354" s="2797"/>
      <c r="AM354" s="2797"/>
      <c r="AN354" s="1544" t="str">
        <f>'＜入力不要＞報告書'!AN353</f>
        <v>㎡</v>
      </c>
      <c r="AO354" s="2796" t="str">
        <f>'＜入力不要＞報告書'!AO353</f>
        <v/>
      </c>
      <c r="AP354" s="2797"/>
      <c r="AQ354" s="2797"/>
      <c r="AR354" s="2797"/>
      <c r="AS354" s="1544" t="str">
        <f>'＜入力不要＞報告書'!AS353</f>
        <v>㎡</v>
      </c>
      <c r="AT354" s="1470"/>
      <c r="AU354" s="1485"/>
      <c r="AV354" s="1485"/>
      <c r="BB354" s="1461"/>
      <c r="BC354" s="1461"/>
    </row>
    <row r="355" spans="1:55" ht="13" customHeight="1">
      <c r="B355" s="1548"/>
      <c r="C355" s="2921">
        <f>'＜入力不要＞報告書'!C354</f>
        <v>26</v>
      </c>
      <c r="D355" s="2980"/>
      <c r="E355" s="1545" t="str">
        <f>'＜入力不要＞報告書'!E354</f>
        <v>階</v>
      </c>
      <c r="F355" s="2798">
        <f>'＜入力不要＞報告書'!F354</f>
        <v>0</v>
      </c>
      <c r="G355" s="2799"/>
      <c r="H355" s="2799"/>
      <c r="I355" s="2799"/>
      <c r="J355" s="1546" t="str">
        <f>'＜入力不要＞報告書'!J354</f>
        <v>㎡</v>
      </c>
      <c r="K355" s="2798" t="str">
        <f>'＜入力不要＞報告書'!K354</f>
        <v/>
      </c>
      <c r="L355" s="2799"/>
      <c r="M355" s="2799"/>
      <c r="N355" s="2799"/>
      <c r="O355" s="1546" t="str">
        <f>'＜入力不要＞報告書'!O354</f>
        <v>㎡</v>
      </c>
      <c r="P355" s="2798" t="str">
        <f>'＜入力不要＞報告書'!P354</f>
        <v/>
      </c>
      <c r="Q355" s="2799"/>
      <c r="R355" s="2799"/>
      <c r="S355" s="2799"/>
      <c r="T355" s="1546" t="str">
        <f>'＜入力不要＞報告書'!T354</f>
        <v>㎡</v>
      </c>
      <c r="U355" s="2798" t="str">
        <f>'＜入力不要＞報告書'!U354</f>
        <v/>
      </c>
      <c r="V355" s="2799"/>
      <c r="W355" s="2799"/>
      <c r="X355" s="2799"/>
      <c r="Y355" s="1546" t="str">
        <f>'＜入力不要＞報告書'!Y354</f>
        <v>㎡</v>
      </c>
      <c r="Z355" s="2798" t="str">
        <f>'＜入力不要＞報告書'!Z354</f>
        <v/>
      </c>
      <c r="AA355" s="2799"/>
      <c r="AB355" s="2799"/>
      <c r="AC355" s="2799"/>
      <c r="AD355" s="1546" t="str">
        <f>'＜入力不要＞報告書'!AD354</f>
        <v>㎡</v>
      </c>
      <c r="AE355" s="2798" t="str">
        <f>'＜入力不要＞報告書'!AE354</f>
        <v/>
      </c>
      <c r="AF355" s="2799"/>
      <c r="AG355" s="2799"/>
      <c r="AH355" s="2799"/>
      <c r="AI355" s="1546" t="str">
        <f>'＜入力不要＞報告書'!AI354</f>
        <v>㎡</v>
      </c>
      <c r="AJ355" s="2798" t="str">
        <f>'＜入力不要＞報告書'!AJ354</f>
        <v/>
      </c>
      <c r="AK355" s="2799"/>
      <c r="AL355" s="2799"/>
      <c r="AM355" s="2799"/>
      <c r="AN355" s="1546" t="str">
        <f>'＜入力不要＞報告書'!AN354</f>
        <v>㎡</v>
      </c>
      <c r="AO355" s="2798" t="str">
        <f>'＜入力不要＞報告書'!AO354</f>
        <v/>
      </c>
      <c r="AP355" s="2799"/>
      <c r="AQ355" s="2799"/>
      <c r="AR355" s="2799"/>
      <c r="AS355" s="1546" t="str">
        <f>'＜入力不要＞報告書'!AS354</f>
        <v>㎡</v>
      </c>
      <c r="AT355" s="1470"/>
      <c r="AU355" s="1485"/>
      <c r="AV355" s="1485"/>
      <c r="BB355" s="1461"/>
      <c r="BC355" s="1461"/>
    </row>
    <row r="356" spans="1:55" ht="13" customHeight="1">
      <c r="B356" s="1549"/>
      <c r="C356" s="2921">
        <f>'＜入力不要＞報告書'!C355</f>
        <v>27</v>
      </c>
      <c r="D356" s="2980"/>
      <c r="E356" s="1542" t="str">
        <f>'＜入力不要＞報告書'!E355</f>
        <v>階</v>
      </c>
      <c r="F356" s="2794">
        <f>'＜入力不要＞報告書'!F355</f>
        <v>0</v>
      </c>
      <c r="G356" s="2795"/>
      <c r="H356" s="2795"/>
      <c r="I356" s="2795"/>
      <c r="J356" s="1543" t="str">
        <f>'＜入力不要＞報告書'!J355</f>
        <v>㎡</v>
      </c>
      <c r="K356" s="2794" t="str">
        <f>'＜入力不要＞報告書'!K355</f>
        <v/>
      </c>
      <c r="L356" s="2795"/>
      <c r="M356" s="2795"/>
      <c r="N356" s="2795"/>
      <c r="O356" s="1543" t="str">
        <f>'＜入力不要＞報告書'!O355</f>
        <v>㎡</v>
      </c>
      <c r="P356" s="2794" t="str">
        <f>'＜入力不要＞報告書'!P355</f>
        <v/>
      </c>
      <c r="Q356" s="2795"/>
      <c r="R356" s="2795"/>
      <c r="S356" s="2795"/>
      <c r="T356" s="1543" t="str">
        <f>'＜入力不要＞報告書'!T355</f>
        <v>㎡</v>
      </c>
      <c r="U356" s="2794" t="str">
        <f>'＜入力不要＞報告書'!U355</f>
        <v/>
      </c>
      <c r="V356" s="2795"/>
      <c r="W356" s="2795"/>
      <c r="X356" s="2795"/>
      <c r="Y356" s="1543" t="str">
        <f>'＜入力不要＞報告書'!Y355</f>
        <v>㎡</v>
      </c>
      <c r="Z356" s="2794" t="str">
        <f>'＜入力不要＞報告書'!Z355</f>
        <v/>
      </c>
      <c r="AA356" s="2795"/>
      <c r="AB356" s="2795"/>
      <c r="AC356" s="2795"/>
      <c r="AD356" s="1543" t="str">
        <f>'＜入力不要＞報告書'!AD355</f>
        <v>㎡</v>
      </c>
      <c r="AE356" s="2794" t="str">
        <f>'＜入力不要＞報告書'!AE355</f>
        <v/>
      </c>
      <c r="AF356" s="2795"/>
      <c r="AG356" s="2795"/>
      <c r="AH356" s="2795"/>
      <c r="AI356" s="1543" t="str">
        <f>'＜入力不要＞報告書'!AI355</f>
        <v>㎡</v>
      </c>
      <c r="AJ356" s="2794" t="str">
        <f>'＜入力不要＞報告書'!AJ355</f>
        <v/>
      </c>
      <c r="AK356" s="2795"/>
      <c r="AL356" s="2795"/>
      <c r="AM356" s="2795"/>
      <c r="AN356" s="1543" t="str">
        <f>'＜入力不要＞報告書'!AN355</f>
        <v>㎡</v>
      </c>
      <c r="AO356" s="2794" t="str">
        <f>'＜入力不要＞報告書'!AO355</f>
        <v/>
      </c>
      <c r="AP356" s="2795"/>
      <c r="AQ356" s="2795"/>
      <c r="AR356" s="2795"/>
      <c r="AS356" s="1543" t="str">
        <f>'＜入力不要＞報告書'!AS355</f>
        <v>㎡</v>
      </c>
      <c r="AT356" s="1470"/>
      <c r="AU356" s="1485"/>
      <c r="AV356" s="1485"/>
      <c r="BB356" s="1461"/>
      <c r="BC356" s="1461"/>
    </row>
    <row r="357" spans="1:55" ht="13" customHeight="1">
      <c r="B357" s="1549"/>
      <c r="C357" s="2921">
        <f>'＜入力不要＞報告書'!C356</f>
        <v>28</v>
      </c>
      <c r="D357" s="2980"/>
      <c r="E357" s="1542" t="str">
        <f>'＜入力不要＞報告書'!E356</f>
        <v>階</v>
      </c>
      <c r="F357" s="2794">
        <f>'＜入力不要＞報告書'!F356</f>
        <v>0</v>
      </c>
      <c r="G357" s="2795"/>
      <c r="H357" s="2795"/>
      <c r="I357" s="2795"/>
      <c r="J357" s="1543" t="str">
        <f>'＜入力不要＞報告書'!J356</f>
        <v>㎡</v>
      </c>
      <c r="K357" s="2794" t="str">
        <f>'＜入力不要＞報告書'!K356</f>
        <v/>
      </c>
      <c r="L357" s="2795"/>
      <c r="M357" s="2795"/>
      <c r="N357" s="2795"/>
      <c r="O357" s="1543" t="str">
        <f>'＜入力不要＞報告書'!O356</f>
        <v>㎡</v>
      </c>
      <c r="P357" s="2794" t="str">
        <f>'＜入力不要＞報告書'!P356</f>
        <v/>
      </c>
      <c r="Q357" s="2795"/>
      <c r="R357" s="2795"/>
      <c r="S357" s="2795"/>
      <c r="T357" s="1543" t="str">
        <f>'＜入力不要＞報告書'!T356</f>
        <v>㎡</v>
      </c>
      <c r="U357" s="2794" t="str">
        <f>'＜入力不要＞報告書'!U356</f>
        <v/>
      </c>
      <c r="V357" s="2795"/>
      <c r="W357" s="2795"/>
      <c r="X357" s="2795"/>
      <c r="Y357" s="1543" t="str">
        <f>'＜入力不要＞報告書'!Y356</f>
        <v>㎡</v>
      </c>
      <c r="Z357" s="2794" t="str">
        <f>'＜入力不要＞報告書'!Z356</f>
        <v/>
      </c>
      <c r="AA357" s="2795"/>
      <c r="AB357" s="2795"/>
      <c r="AC357" s="2795"/>
      <c r="AD357" s="1543" t="str">
        <f>'＜入力不要＞報告書'!AD356</f>
        <v>㎡</v>
      </c>
      <c r="AE357" s="2794" t="str">
        <f>'＜入力不要＞報告書'!AE356</f>
        <v/>
      </c>
      <c r="AF357" s="2795"/>
      <c r="AG357" s="2795"/>
      <c r="AH357" s="2795"/>
      <c r="AI357" s="1543" t="str">
        <f>'＜入力不要＞報告書'!AI356</f>
        <v>㎡</v>
      </c>
      <c r="AJ357" s="2794" t="str">
        <f>'＜入力不要＞報告書'!AJ356</f>
        <v/>
      </c>
      <c r="AK357" s="2795"/>
      <c r="AL357" s="2795"/>
      <c r="AM357" s="2795"/>
      <c r="AN357" s="1543" t="str">
        <f>'＜入力不要＞報告書'!AN356</f>
        <v>㎡</v>
      </c>
      <c r="AO357" s="2794" t="str">
        <f>'＜入力不要＞報告書'!AO356</f>
        <v/>
      </c>
      <c r="AP357" s="2795"/>
      <c r="AQ357" s="2795"/>
      <c r="AR357" s="2795"/>
      <c r="AS357" s="1543" t="str">
        <f>'＜入力不要＞報告書'!AS356</f>
        <v>㎡</v>
      </c>
      <c r="AT357" s="1470"/>
      <c r="AU357" s="1485"/>
      <c r="AV357" s="1485"/>
      <c r="BB357" s="1461"/>
      <c r="BC357" s="1461"/>
    </row>
    <row r="358" spans="1:55" ht="13" customHeight="1">
      <c r="B358" s="1549"/>
      <c r="C358" s="2921">
        <f>'＜入力不要＞報告書'!C357</f>
        <v>29</v>
      </c>
      <c r="D358" s="2980"/>
      <c r="E358" s="1542" t="str">
        <f>'＜入力不要＞報告書'!E357</f>
        <v>階</v>
      </c>
      <c r="F358" s="2794">
        <f>'＜入力不要＞報告書'!F357</f>
        <v>0</v>
      </c>
      <c r="G358" s="2795"/>
      <c r="H358" s="2795"/>
      <c r="I358" s="2795"/>
      <c r="J358" s="1543" t="str">
        <f>'＜入力不要＞報告書'!J357</f>
        <v>㎡</v>
      </c>
      <c r="K358" s="2794" t="str">
        <f>'＜入力不要＞報告書'!K357</f>
        <v/>
      </c>
      <c r="L358" s="2795"/>
      <c r="M358" s="2795"/>
      <c r="N358" s="2795"/>
      <c r="O358" s="1543" t="str">
        <f>'＜入力不要＞報告書'!O357</f>
        <v>㎡</v>
      </c>
      <c r="P358" s="2794" t="str">
        <f>'＜入力不要＞報告書'!P357</f>
        <v/>
      </c>
      <c r="Q358" s="2795"/>
      <c r="R358" s="2795"/>
      <c r="S358" s="2795"/>
      <c r="T358" s="1543" t="str">
        <f>'＜入力不要＞報告書'!T357</f>
        <v>㎡</v>
      </c>
      <c r="U358" s="2794" t="str">
        <f>'＜入力不要＞報告書'!U357</f>
        <v/>
      </c>
      <c r="V358" s="2795"/>
      <c r="W358" s="2795"/>
      <c r="X358" s="2795"/>
      <c r="Y358" s="1543" t="str">
        <f>'＜入力不要＞報告書'!Y357</f>
        <v>㎡</v>
      </c>
      <c r="Z358" s="2794" t="str">
        <f>'＜入力不要＞報告書'!Z357</f>
        <v/>
      </c>
      <c r="AA358" s="2795"/>
      <c r="AB358" s="2795"/>
      <c r="AC358" s="2795"/>
      <c r="AD358" s="1543" t="str">
        <f>'＜入力不要＞報告書'!AD357</f>
        <v>㎡</v>
      </c>
      <c r="AE358" s="2794" t="str">
        <f>'＜入力不要＞報告書'!AE357</f>
        <v/>
      </c>
      <c r="AF358" s="2795"/>
      <c r="AG358" s="2795"/>
      <c r="AH358" s="2795"/>
      <c r="AI358" s="1543" t="str">
        <f>'＜入力不要＞報告書'!AI357</f>
        <v>㎡</v>
      </c>
      <c r="AJ358" s="2794" t="str">
        <f>'＜入力不要＞報告書'!AJ357</f>
        <v/>
      </c>
      <c r="AK358" s="2795"/>
      <c r="AL358" s="2795"/>
      <c r="AM358" s="2795"/>
      <c r="AN358" s="1543" t="str">
        <f>'＜入力不要＞報告書'!AN357</f>
        <v>㎡</v>
      </c>
      <c r="AO358" s="2794" t="str">
        <f>'＜入力不要＞報告書'!AO357</f>
        <v/>
      </c>
      <c r="AP358" s="2795"/>
      <c r="AQ358" s="2795"/>
      <c r="AR358" s="2795"/>
      <c r="AS358" s="1543" t="str">
        <f>'＜入力不要＞報告書'!AS357</f>
        <v>㎡</v>
      </c>
      <c r="AT358" s="1470"/>
      <c r="AU358" s="1485"/>
      <c r="AV358" s="1485"/>
      <c r="BB358" s="1461"/>
      <c r="BC358" s="1461"/>
    </row>
    <row r="359" spans="1:55" ht="13" customHeight="1">
      <c r="B359" s="1552"/>
      <c r="C359" s="2919">
        <f>'＜入力不要＞報告書'!C358</f>
        <v>30</v>
      </c>
      <c r="D359" s="2981"/>
      <c r="E359" s="1547" t="str">
        <f>'＜入力不要＞報告書'!E358</f>
        <v>階</v>
      </c>
      <c r="F359" s="2796">
        <f>'＜入力不要＞報告書'!F358</f>
        <v>0</v>
      </c>
      <c r="G359" s="2797"/>
      <c r="H359" s="2797"/>
      <c r="I359" s="2797"/>
      <c r="J359" s="1544" t="str">
        <f>'＜入力不要＞報告書'!J358</f>
        <v>㎡</v>
      </c>
      <c r="K359" s="2796" t="str">
        <f>'＜入力不要＞報告書'!K358</f>
        <v/>
      </c>
      <c r="L359" s="2797"/>
      <c r="M359" s="2797"/>
      <c r="N359" s="2797"/>
      <c r="O359" s="1544" t="str">
        <f>'＜入力不要＞報告書'!O358</f>
        <v>㎡</v>
      </c>
      <c r="P359" s="2796" t="str">
        <f>'＜入力不要＞報告書'!P358</f>
        <v/>
      </c>
      <c r="Q359" s="2797"/>
      <c r="R359" s="2797"/>
      <c r="S359" s="2797"/>
      <c r="T359" s="1544" t="str">
        <f>'＜入力不要＞報告書'!T358</f>
        <v>㎡</v>
      </c>
      <c r="U359" s="2796" t="str">
        <f>'＜入力不要＞報告書'!U358</f>
        <v/>
      </c>
      <c r="V359" s="2797"/>
      <c r="W359" s="2797"/>
      <c r="X359" s="2797"/>
      <c r="Y359" s="1544" t="str">
        <f>'＜入力不要＞報告書'!Y358</f>
        <v>㎡</v>
      </c>
      <c r="Z359" s="2796" t="str">
        <f>'＜入力不要＞報告書'!Z358</f>
        <v/>
      </c>
      <c r="AA359" s="2797"/>
      <c r="AB359" s="2797"/>
      <c r="AC359" s="2797"/>
      <c r="AD359" s="1544" t="str">
        <f>'＜入力不要＞報告書'!AD358</f>
        <v>㎡</v>
      </c>
      <c r="AE359" s="2796" t="str">
        <f>'＜入力不要＞報告書'!AE358</f>
        <v/>
      </c>
      <c r="AF359" s="2797"/>
      <c r="AG359" s="2797"/>
      <c r="AH359" s="2797"/>
      <c r="AI359" s="1544" t="str">
        <f>'＜入力不要＞報告書'!AI358</f>
        <v>㎡</v>
      </c>
      <c r="AJ359" s="2796" t="str">
        <f>'＜入力不要＞報告書'!AJ358</f>
        <v/>
      </c>
      <c r="AK359" s="2797"/>
      <c r="AL359" s="2797"/>
      <c r="AM359" s="2797"/>
      <c r="AN359" s="1544" t="str">
        <f>'＜入力不要＞報告書'!AN358</f>
        <v>㎡</v>
      </c>
      <c r="AO359" s="2796" t="str">
        <f>'＜入力不要＞報告書'!AO358</f>
        <v/>
      </c>
      <c r="AP359" s="2797"/>
      <c r="AQ359" s="2797"/>
      <c r="AR359" s="2797"/>
      <c r="AS359" s="1544" t="str">
        <f>'＜入力不要＞報告書'!AS358</f>
        <v>㎡</v>
      </c>
      <c r="AT359" s="1470"/>
      <c r="AU359" s="1485"/>
      <c r="AV359" s="1485"/>
      <c r="BB359" s="1461"/>
      <c r="BC359" s="1461"/>
    </row>
    <row r="360" spans="1:55" ht="13" customHeight="1">
      <c r="B360" s="1548"/>
      <c r="C360" s="2921">
        <f>'＜入力不要＞報告書'!C359</f>
        <v>31</v>
      </c>
      <c r="D360" s="2980"/>
      <c r="E360" s="1545" t="str">
        <f>'＜入力不要＞報告書'!E359</f>
        <v>階</v>
      </c>
      <c r="F360" s="2798">
        <f>'＜入力不要＞報告書'!F359</f>
        <v>0</v>
      </c>
      <c r="G360" s="2799"/>
      <c r="H360" s="2799"/>
      <c r="I360" s="2799"/>
      <c r="J360" s="1546" t="str">
        <f>'＜入力不要＞報告書'!J359</f>
        <v>㎡</v>
      </c>
      <c r="K360" s="2798" t="str">
        <f>'＜入力不要＞報告書'!K359</f>
        <v/>
      </c>
      <c r="L360" s="2799"/>
      <c r="M360" s="2799"/>
      <c r="N360" s="2799"/>
      <c r="O360" s="1546" t="str">
        <f>'＜入力不要＞報告書'!O359</f>
        <v>㎡</v>
      </c>
      <c r="P360" s="2798" t="str">
        <f>'＜入力不要＞報告書'!P359</f>
        <v/>
      </c>
      <c r="Q360" s="2799"/>
      <c r="R360" s="2799"/>
      <c r="S360" s="2799"/>
      <c r="T360" s="1546" t="str">
        <f>'＜入力不要＞報告書'!T359</f>
        <v>㎡</v>
      </c>
      <c r="U360" s="2798" t="str">
        <f>'＜入力不要＞報告書'!U359</f>
        <v/>
      </c>
      <c r="V360" s="2799"/>
      <c r="W360" s="2799"/>
      <c r="X360" s="2799"/>
      <c r="Y360" s="1546" t="str">
        <f>'＜入力不要＞報告書'!Y359</f>
        <v>㎡</v>
      </c>
      <c r="Z360" s="2798" t="str">
        <f>'＜入力不要＞報告書'!Z359</f>
        <v/>
      </c>
      <c r="AA360" s="2799"/>
      <c r="AB360" s="2799"/>
      <c r="AC360" s="2799"/>
      <c r="AD360" s="1546" t="str">
        <f>'＜入力不要＞報告書'!AD359</f>
        <v>㎡</v>
      </c>
      <c r="AE360" s="2798" t="str">
        <f>'＜入力不要＞報告書'!AE359</f>
        <v/>
      </c>
      <c r="AF360" s="2799"/>
      <c r="AG360" s="2799"/>
      <c r="AH360" s="2799"/>
      <c r="AI360" s="1546" t="str">
        <f>'＜入力不要＞報告書'!AI359</f>
        <v>㎡</v>
      </c>
      <c r="AJ360" s="2798" t="str">
        <f>'＜入力不要＞報告書'!AJ359</f>
        <v/>
      </c>
      <c r="AK360" s="2799"/>
      <c r="AL360" s="2799"/>
      <c r="AM360" s="2799"/>
      <c r="AN360" s="1546" t="str">
        <f>'＜入力不要＞報告書'!AN359</f>
        <v>㎡</v>
      </c>
      <c r="AO360" s="2798" t="str">
        <f>'＜入力不要＞報告書'!AO359</f>
        <v/>
      </c>
      <c r="AP360" s="2799"/>
      <c r="AQ360" s="2799"/>
      <c r="AR360" s="2799"/>
      <c r="AS360" s="1546" t="str">
        <f>'＜入力不要＞報告書'!AS359</f>
        <v>㎡</v>
      </c>
      <c r="AT360" s="1535"/>
      <c r="AU360" s="1485"/>
      <c r="AV360" s="1485"/>
      <c r="BB360" s="1461"/>
      <c r="BC360" s="1461"/>
    </row>
    <row r="361" spans="1:55" ht="13" customHeight="1">
      <c r="B361" s="1549"/>
      <c r="C361" s="2921">
        <f>'＜入力不要＞報告書'!C360</f>
        <v>32</v>
      </c>
      <c r="D361" s="2980"/>
      <c r="E361" s="1542" t="str">
        <f>'＜入力不要＞報告書'!E360</f>
        <v>階</v>
      </c>
      <c r="F361" s="2794">
        <f>'＜入力不要＞報告書'!F360</f>
        <v>0</v>
      </c>
      <c r="G361" s="2795"/>
      <c r="H361" s="2795"/>
      <c r="I361" s="2795"/>
      <c r="J361" s="1543" t="str">
        <f>'＜入力不要＞報告書'!J360</f>
        <v>㎡</v>
      </c>
      <c r="K361" s="2794" t="str">
        <f>'＜入力不要＞報告書'!K360</f>
        <v/>
      </c>
      <c r="L361" s="2795"/>
      <c r="M361" s="2795"/>
      <c r="N361" s="2795"/>
      <c r="O361" s="1543" t="str">
        <f>'＜入力不要＞報告書'!O360</f>
        <v>㎡</v>
      </c>
      <c r="P361" s="2794" t="str">
        <f>'＜入力不要＞報告書'!P360</f>
        <v/>
      </c>
      <c r="Q361" s="2795"/>
      <c r="R361" s="2795"/>
      <c r="S361" s="2795"/>
      <c r="T361" s="1543" t="str">
        <f>'＜入力不要＞報告書'!T360</f>
        <v>㎡</v>
      </c>
      <c r="U361" s="2794" t="str">
        <f>'＜入力不要＞報告書'!U360</f>
        <v/>
      </c>
      <c r="V361" s="2795"/>
      <c r="W361" s="2795"/>
      <c r="X361" s="2795"/>
      <c r="Y361" s="1543" t="str">
        <f>'＜入力不要＞報告書'!Y360</f>
        <v>㎡</v>
      </c>
      <c r="Z361" s="2794" t="str">
        <f>'＜入力不要＞報告書'!Z360</f>
        <v/>
      </c>
      <c r="AA361" s="2795"/>
      <c r="AB361" s="2795"/>
      <c r="AC361" s="2795"/>
      <c r="AD361" s="1543" t="str">
        <f>'＜入力不要＞報告書'!AD360</f>
        <v>㎡</v>
      </c>
      <c r="AE361" s="2794" t="str">
        <f>'＜入力不要＞報告書'!AE360</f>
        <v/>
      </c>
      <c r="AF361" s="2795"/>
      <c r="AG361" s="2795"/>
      <c r="AH361" s="2795"/>
      <c r="AI361" s="1543" t="str">
        <f>'＜入力不要＞報告書'!AI360</f>
        <v>㎡</v>
      </c>
      <c r="AJ361" s="2794" t="str">
        <f>'＜入力不要＞報告書'!AJ360</f>
        <v/>
      </c>
      <c r="AK361" s="2795"/>
      <c r="AL361" s="2795"/>
      <c r="AM361" s="2795"/>
      <c r="AN361" s="1543" t="str">
        <f>'＜入力不要＞報告書'!AN360</f>
        <v>㎡</v>
      </c>
      <c r="AO361" s="2794" t="str">
        <f>'＜入力不要＞報告書'!AO360</f>
        <v/>
      </c>
      <c r="AP361" s="2795"/>
      <c r="AQ361" s="2795"/>
      <c r="AR361" s="2795"/>
      <c r="AS361" s="1543" t="str">
        <f>'＜入力不要＞報告書'!AS360</f>
        <v>㎡</v>
      </c>
      <c r="AT361" s="1535"/>
      <c r="AU361" s="1485"/>
      <c r="AV361" s="1485"/>
      <c r="BB361" s="1461"/>
      <c r="BC361" s="1461"/>
    </row>
    <row r="362" spans="1:55" ht="13" customHeight="1">
      <c r="B362" s="1549"/>
      <c r="C362" s="2921">
        <f>'＜入力不要＞報告書'!C361</f>
        <v>33</v>
      </c>
      <c r="D362" s="2980"/>
      <c r="E362" s="1542" t="str">
        <f>'＜入力不要＞報告書'!E361</f>
        <v>階</v>
      </c>
      <c r="F362" s="2794">
        <f>'＜入力不要＞報告書'!F361</f>
        <v>0</v>
      </c>
      <c r="G362" s="2795"/>
      <c r="H362" s="2795"/>
      <c r="I362" s="2795"/>
      <c r="J362" s="1543" t="str">
        <f>'＜入力不要＞報告書'!J361</f>
        <v>㎡</v>
      </c>
      <c r="K362" s="2794" t="str">
        <f>'＜入力不要＞報告書'!K361</f>
        <v/>
      </c>
      <c r="L362" s="2795"/>
      <c r="M362" s="2795"/>
      <c r="N362" s="2795"/>
      <c r="O362" s="1543" t="str">
        <f>'＜入力不要＞報告書'!O361</f>
        <v>㎡</v>
      </c>
      <c r="P362" s="2794" t="str">
        <f>'＜入力不要＞報告書'!P361</f>
        <v/>
      </c>
      <c r="Q362" s="2795"/>
      <c r="R362" s="2795"/>
      <c r="S362" s="2795"/>
      <c r="T362" s="1543" t="str">
        <f>'＜入力不要＞報告書'!T361</f>
        <v>㎡</v>
      </c>
      <c r="U362" s="2794" t="str">
        <f>'＜入力不要＞報告書'!U361</f>
        <v/>
      </c>
      <c r="V362" s="2795"/>
      <c r="W362" s="2795"/>
      <c r="X362" s="2795"/>
      <c r="Y362" s="1543" t="str">
        <f>'＜入力不要＞報告書'!Y361</f>
        <v>㎡</v>
      </c>
      <c r="Z362" s="2794" t="str">
        <f>'＜入力不要＞報告書'!Z361</f>
        <v/>
      </c>
      <c r="AA362" s="2795"/>
      <c r="AB362" s="2795"/>
      <c r="AC362" s="2795"/>
      <c r="AD362" s="1543" t="str">
        <f>'＜入力不要＞報告書'!AD361</f>
        <v>㎡</v>
      </c>
      <c r="AE362" s="2794" t="str">
        <f>'＜入力不要＞報告書'!AE361</f>
        <v/>
      </c>
      <c r="AF362" s="2795"/>
      <c r="AG362" s="2795"/>
      <c r="AH362" s="2795"/>
      <c r="AI362" s="1543" t="str">
        <f>'＜入力不要＞報告書'!AI361</f>
        <v>㎡</v>
      </c>
      <c r="AJ362" s="2794" t="str">
        <f>'＜入力不要＞報告書'!AJ361</f>
        <v/>
      </c>
      <c r="AK362" s="2795"/>
      <c r="AL362" s="2795"/>
      <c r="AM362" s="2795"/>
      <c r="AN362" s="1543" t="str">
        <f>'＜入力不要＞報告書'!AN361</f>
        <v>㎡</v>
      </c>
      <c r="AO362" s="2794" t="str">
        <f>'＜入力不要＞報告書'!AO361</f>
        <v/>
      </c>
      <c r="AP362" s="2795"/>
      <c r="AQ362" s="2795"/>
      <c r="AR362" s="2795"/>
      <c r="AS362" s="1543" t="str">
        <f>'＜入力不要＞報告書'!AS361</f>
        <v>㎡</v>
      </c>
      <c r="AT362" s="1470"/>
      <c r="AU362" s="1485"/>
      <c r="AV362" s="1485"/>
      <c r="BB362" s="1461"/>
      <c r="BC362" s="1461"/>
    </row>
    <row r="363" spans="1:55" ht="13" customHeight="1">
      <c r="B363" s="1549"/>
      <c r="C363" s="2921">
        <f>'＜入力不要＞報告書'!C362</f>
        <v>34</v>
      </c>
      <c r="D363" s="2980"/>
      <c r="E363" s="1542" t="str">
        <f>'＜入力不要＞報告書'!E362</f>
        <v>階</v>
      </c>
      <c r="F363" s="2794">
        <f>'＜入力不要＞報告書'!F362</f>
        <v>0</v>
      </c>
      <c r="G363" s="2795"/>
      <c r="H363" s="2795"/>
      <c r="I363" s="2795"/>
      <c r="J363" s="1543" t="str">
        <f>'＜入力不要＞報告書'!J362</f>
        <v>㎡</v>
      </c>
      <c r="K363" s="2794" t="str">
        <f>'＜入力不要＞報告書'!K362</f>
        <v/>
      </c>
      <c r="L363" s="2795"/>
      <c r="M363" s="2795"/>
      <c r="N363" s="2795"/>
      <c r="O363" s="1543" t="str">
        <f>'＜入力不要＞報告書'!O362</f>
        <v>㎡</v>
      </c>
      <c r="P363" s="2794" t="str">
        <f>'＜入力不要＞報告書'!P362</f>
        <v/>
      </c>
      <c r="Q363" s="2795"/>
      <c r="R363" s="2795"/>
      <c r="S363" s="2795"/>
      <c r="T363" s="1543" t="str">
        <f>'＜入力不要＞報告書'!T362</f>
        <v>㎡</v>
      </c>
      <c r="U363" s="2794" t="str">
        <f>'＜入力不要＞報告書'!U362</f>
        <v/>
      </c>
      <c r="V363" s="2795"/>
      <c r="W363" s="2795"/>
      <c r="X363" s="2795"/>
      <c r="Y363" s="1543" t="str">
        <f>'＜入力不要＞報告書'!Y362</f>
        <v>㎡</v>
      </c>
      <c r="Z363" s="2794" t="str">
        <f>'＜入力不要＞報告書'!Z362</f>
        <v/>
      </c>
      <c r="AA363" s="2795"/>
      <c r="AB363" s="2795"/>
      <c r="AC363" s="2795"/>
      <c r="AD363" s="1543" t="str">
        <f>'＜入力不要＞報告書'!AD362</f>
        <v>㎡</v>
      </c>
      <c r="AE363" s="2794" t="str">
        <f>'＜入力不要＞報告書'!AE362</f>
        <v/>
      </c>
      <c r="AF363" s="2795"/>
      <c r="AG363" s="2795"/>
      <c r="AH363" s="2795"/>
      <c r="AI363" s="1543" t="str">
        <f>'＜入力不要＞報告書'!AI362</f>
        <v>㎡</v>
      </c>
      <c r="AJ363" s="2794" t="str">
        <f>'＜入力不要＞報告書'!AJ362</f>
        <v/>
      </c>
      <c r="AK363" s="2795"/>
      <c r="AL363" s="2795"/>
      <c r="AM363" s="2795"/>
      <c r="AN363" s="1543" t="str">
        <f>'＜入力不要＞報告書'!AN362</f>
        <v>㎡</v>
      </c>
      <c r="AO363" s="2794" t="str">
        <f>'＜入力不要＞報告書'!AO362</f>
        <v/>
      </c>
      <c r="AP363" s="2795"/>
      <c r="AQ363" s="2795"/>
      <c r="AR363" s="2795"/>
      <c r="AS363" s="1543" t="str">
        <f>'＜入力不要＞報告書'!AS362</f>
        <v>㎡</v>
      </c>
      <c r="AT363" s="1470"/>
      <c r="AU363" s="1485"/>
      <c r="AV363" s="1485"/>
      <c r="BB363" s="1461"/>
      <c r="BC363" s="1461"/>
    </row>
    <row r="364" spans="1:55" ht="13" customHeight="1">
      <c r="B364" s="1552"/>
      <c r="C364" s="2919">
        <f>'＜入力不要＞報告書'!C363</f>
        <v>35</v>
      </c>
      <c r="D364" s="2981"/>
      <c r="E364" s="1547" t="str">
        <f>'＜入力不要＞報告書'!E363</f>
        <v>階</v>
      </c>
      <c r="F364" s="2796">
        <f>'＜入力不要＞報告書'!F363</f>
        <v>0</v>
      </c>
      <c r="G364" s="2797"/>
      <c r="H364" s="2797"/>
      <c r="I364" s="2797"/>
      <c r="J364" s="1544" t="str">
        <f>'＜入力不要＞報告書'!J363</f>
        <v>㎡</v>
      </c>
      <c r="K364" s="2796" t="str">
        <f>'＜入力不要＞報告書'!K363</f>
        <v/>
      </c>
      <c r="L364" s="2797"/>
      <c r="M364" s="2797"/>
      <c r="N364" s="2797"/>
      <c r="O364" s="1544" t="str">
        <f>'＜入力不要＞報告書'!O363</f>
        <v>㎡</v>
      </c>
      <c r="P364" s="2796" t="str">
        <f>'＜入力不要＞報告書'!P363</f>
        <v/>
      </c>
      <c r="Q364" s="2797"/>
      <c r="R364" s="2797"/>
      <c r="S364" s="2797"/>
      <c r="T364" s="1544" t="str">
        <f>'＜入力不要＞報告書'!T363</f>
        <v>㎡</v>
      </c>
      <c r="U364" s="2796" t="str">
        <f>'＜入力不要＞報告書'!U363</f>
        <v/>
      </c>
      <c r="V364" s="2797"/>
      <c r="W364" s="2797"/>
      <c r="X364" s="2797"/>
      <c r="Y364" s="1544" t="str">
        <f>'＜入力不要＞報告書'!Y363</f>
        <v>㎡</v>
      </c>
      <c r="Z364" s="2796" t="str">
        <f>'＜入力不要＞報告書'!Z363</f>
        <v/>
      </c>
      <c r="AA364" s="2797"/>
      <c r="AB364" s="2797"/>
      <c r="AC364" s="2797"/>
      <c r="AD364" s="1544" t="str">
        <f>'＜入力不要＞報告書'!AD363</f>
        <v>㎡</v>
      </c>
      <c r="AE364" s="2796" t="str">
        <f>'＜入力不要＞報告書'!AE363</f>
        <v/>
      </c>
      <c r="AF364" s="2797"/>
      <c r="AG364" s="2797"/>
      <c r="AH364" s="2797"/>
      <c r="AI364" s="1544" t="str">
        <f>'＜入力不要＞報告書'!AI363</f>
        <v>㎡</v>
      </c>
      <c r="AJ364" s="2796" t="str">
        <f>'＜入力不要＞報告書'!AJ363</f>
        <v/>
      </c>
      <c r="AK364" s="2797"/>
      <c r="AL364" s="2797"/>
      <c r="AM364" s="2797"/>
      <c r="AN364" s="1544" t="str">
        <f>'＜入力不要＞報告書'!AN363</f>
        <v>㎡</v>
      </c>
      <c r="AO364" s="2796" t="str">
        <f>'＜入力不要＞報告書'!AO363</f>
        <v/>
      </c>
      <c r="AP364" s="2797"/>
      <c r="AQ364" s="2797"/>
      <c r="AR364" s="2797"/>
      <c r="AS364" s="1544" t="str">
        <f>'＜入力不要＞報告書'!AS363</f>
        <v>㎡</v>
      </c>
      <c r="AT364" s="1470"/>
      <c r="AU364" s="1485"/>
      <c r="AV364" s="1485"/>
      <c r="BB364" s="1461"/>
      <c r="BC364" s="1461"/>
    </row>
    <row r="365" spans="1:55" ht="13" customHeight="1">
      <c r="B365" s="1548"/>
      <c r="C365" s="2921">
        <f>'＜入力不要＞報告書'!C364</f>
        <v>36</v>
      </c>
      <c r="D365" s="2980"/>
      <c r="E365" s="1545" t="str">
        <f>'＜入力不要＞報告書'!E364</f>
        <v>階</v>
      </c>
      <c r="F365" s="2798">
        <f>'＜入力不要＞報告書'!F364</f>
        <v>0</v>
      </c>
      <c r="G365" s="2799"/>
      <c r="H365" s="2799"/>
      <c r="I365" s="2799"/>
      <c r="J365" s="1546" t="str">
        <f>'＜入力不要＞報告書'!J364</f>
        <v>㎡</v>
      </c>
      <c r="K365" s="2798" t="str">
        <f>'＜入力不要＞報告書'!K364</f>
        <v/>
      </c>
      <c r="L365" s="2799"/>
      <c r="M365" s="2799"/>
      <c r="N365" s="2799"/>
      <c r="O365" s="1546" t="str">
        <f>'＜入力不要＞報告書'!O364</f>
        <v>㎡</v>
      </c>
      <c r="P365" s="2798" t="str">
        <f>'＜入力不要＞報告書'!P364</f>
        <v/>
      </c>
      <c r="Q365" s="2799"/>
      <c r="R365" s="2799"/>
      <c r="S365" s="2799"/>
      <c r="T365" s="1546" t="str">
        <f>'＜入力不要＞報告書'!T364</f>
        <v>㎡</v>
      </c>
      <c r="U365" s="2798" t="str">
        <f>'＜入力不要＞報告書'!U364</f>
        <v/>
      </c>
      <c r="V365" s="2799"/>
      <c r="W365" s="2799"/>
      <c r="X365" s="2799"/>
      <c r="Y365" s="1546" t="str">
        <f>'＜入力不要＞報告書'!Y364</f>
        <v>㎡</v>
      </c>
      <c r="Z365" s="2798" t="str">
        <f>'＜入力不要＞報告書'!Z364</f>
        <v/>
      </c>
      <c r="AA365" s="2799"/>
      <c r="AB365" s="2799"/>
      <c r="AC365" s="2799"/>
      <c r="AD365" s="1546" t="str">
        <f>'＜入力不要＞報告書'!AD364</f>
        <v>㎡</v>
      </c>
      <c r="AE365" s="2798" t="str">
        <f>'＜入力不要＞報告書'!AE364</f>
        <v/>
      </c>
      <c r="AF365" s="2799"/>
      <c r="AG365" s="2799"/>
      <c r="AH365" s="2799"/>
      <c r="AI365" s="1546" t="str">
        <f>'＜入力不要＞報告書'!AI364</f>
        <v>㎡</v>
      </c>
      <c r="AJ365" s="2798" t="str">
        <f>'＜入力不要＞報告書'!AJ364</f>
        <v/>
      </c>
      <c r="AK365" s="2799"/>
      <c r="AL365" s="2799"/>
      <c r="AM365" s="2799"/>
      <c r="AN365" s="1546" t="str">
        <f>'＜入力不要＞報告書'!AN364</f>
        <v>㎡</v>
      </c>
      <c r="AO365" s="2798" t="str">
        <f>'＜入力不要＞報告書'!AO364</f>
        <v/>
      </c>
      <c r="AP365" s="2799"/>
      <c r="AQ365" s="2799"/>
      <c r="AR365" s="2799"/>
      <c r="AS365" s="1546" t="str">
        <f>'＜入力不要＞報告書'!AS364</f>
        <v>㎡</v>
      </c>
      <c r="AT365" s="1470"/>
      <c r="AU365" s="1485"/>
      <c r="AV365" s="1485"/>
      <c r="BB365" s="1461"/>
      <c r="BC365" s="1461"/>
    </row>
    <row r="366" spans="1:55" ht="13" customHeight="1">
      <c r="B366" s="1549"/>
      <c r="C366" s="2921">
        <f>'＜入力不要＞報告書'!C365</f>
        <v>37</v>
      </c>
      <c r="D366" s="2980"/>
      <c r="E366" s="1542" t="str">
        <f>'＜入力不要＞報告書'!E365</f>
        <v>階</v>
      </c>
      <c r="F366" s="2794">
        <f>'＜入力不要＞報告書'!F365</f>
        <v>0</v>
      </c>
      <c r="G366" s="2795"/>
      <c r="H366" s="2795"/>
      <c r="I366" s="2795"/>
      <c r="J366" s="1543" t="str">
        <f>'＜入力不要＞報告書'!J365</f>
        <v>㎡</v>
      </c>
      <c r="K366" s="2794" t="str">
        <f>'＜入力不要＞報告書'!K365</f>
        <v/>
      </c>
      <c r="L366" s="2795"/>
      <c r="M366" s="2795"/>
      <c r="N366" s="2795"/>
      <c r="O366" s="1543" t="str">
        <f>'＜入力不要＞報告書'!O365</f>
        <v>㎡</v>
      </c>
      <c r="P366" s="2794" t="str">
        <f>'＜入力不要＞報告書'!P365</f>
        <v/>
      </c>
      <c r="Q366" s="2795"/>
      <c r="R366" s="2795"/>
      <c r="S366" s="2795"/>
      <c r="T366" s="1543" t="str">
        <f>'＜入力不要＞報告書'!T365</f>
        <v>㎡</v>
      </c>
      <c r="U366" s="2794" t="str">
        <f>'＜入力不要＞報告書'!U365</f>
        <v/>
      </c>
      <c r="V366" s="2795"/>
      <c r="W366" s="2795"/>
      <c r="X366" s="2795"/>
      <c r="Y366" s="1543" t="str">
        <f>'＜入力不要＞報告書'!Y365</f>
        <v>㎡</v>
      </c>
      <c r="Z366" s="2794" t="str">
        <f>'＜入力不要＞報告書'!Z365</f>
        <v/>
      </c>
      <c r="AA366" s="2795"/>
      <c r="AB366" s="2795"/>
      <c r="AC366" s="2795"/>
      <c r="AD366" s="1543" t="str">
        <f>'＜入力不要＞報告書'!AD365</f>
        <v>㎡</v>
      </c>
      <c r="AE366" s="2794" t="str">
        <f>'＜入力不要＞報告書'!AE365</f>
        <v/>
      </c>
      <c r="AF366" s="2795"/>
      <c r="AG366" s="2795"/>
      <c r="AH366" s="2795"/>
      <c r="AI366" s="1543" t="str">
        <f>'＜入力不要＞報告書'!AI365</f>
        <v>㎡</v>
      </c>
      <c r="AJ366" s="2794" t="str">
        <f>'＜入力不要＞報告書'!AJ365</f>
        <v/>
      </c>
      <c r="AK366" s="2795"/>
      <c r="AL366" s="2795"/>
      <c r="AM366" s="2795"/>
      <c r="AN366" s="1543" t="str">
        <f>'＜入力不要＞報告書'!AN365</f>
        <v>㎡</v>
      </c>
      <c r="AO366" s="2794" t="str">
        <f>'＜入力不要＞報告書'!AO365</f>
        <v/>
      </c>
      <c r="AP366" s="2795"/>
      <c r="AQ366" s="2795"/>
      <c r="AR366" s="2795"/>
      <c r="AS366" s="1543" t="str">
        <f>'＜入力不要＞報告書'!AS365</f>
        <v>㎡</v>
      </c>
      <c r="AT366" s="1470"/>
      <c r="AU366" s="1485"/>
      <c r="AV366" s="1485"/>
      <c r="BB366" s="1461"/>
      <c r="BC366" s="1461"/>
    </row>
    <row r="367" spans="1:55" ht="13" customHeight="1">
      <c r="B367" s="1549"/>
      <c r="C367" s="2921">
        <f>'＜入力不要＞報告書'!C366</f>
        <v>38</v>
      </c>
      <c r="D367" s="2980"/>
      <c r="E367" s="1542" t="str">
        <f>'＜入力不要＞報告書'!E366</f>
        <v>階</v>
      </c>
      <c r="F367" s="2794">
        <f>'＜入力不要＞報告書'!F366</f>
        <v>0</v>
      </c>
      <c r="G367" s="2795"/>
      <c r="H367" s="2795"/>
      <c r="I367" s="2795"/>
      <c r="J367" s="1543" t="str">
        <f>'＜入力不要＞報告書'!J366</f>
        <v>㎡</v>
      </c>
      <c r="K367" s="2794" t="str">
        <f>'＜入力不要＞報告書'!K366</f>
        <v/>
      </c>
      <c r="L367" s="2795"/>
      <c r="M367" s="2795"/>
      <c r="N367" s="2795"/>
      <c r="O367" s="1543" t="str">
        <f>'＜入力不要＞報告書'!O366</f>
        <v>㎡</v>
      </c>
      <c r="P367" s="2794" t="str">
        <f>'＜入力不要＞報告書'!P366</f>
        <v/>
      </c>
      <c r="Q367" s="2795"/>
      <c r="R367" s="2795"/>
      <c r="S367" s="2795"/>
      <c r="T367" s="1543" t="str">
        <f>'＜入力不要＞報告書'!T366</f>
        <v>㎡</v>
      </c>
      <c r="U367" s="2794" t="str">
        <f>'＜入力不要＞報告書'!U366</f>
        <v/>
      </c>
      <c r="V367" s="2795"/>
      <c r="W367" s="2795"/>
      <c r="X367" s="2795"/>
      <c r="Y367" s="1543" t="str">
        <f>'＜入力不要＞報告書'!Y366</f>
        <v>㎡</v>
      </c>
      <c r="Z367" s="2794" t="str">
        <f>'＜入力不要＞報告書'!Z366</f>
        <v/>
      </c>
      <c r="AA367" s="2795"/>
      <c r="AB367" s="2795"/>
      <c r="AC367" s="2795"/>
      <c r="AD367" s="1543" t="str">
        <f>'＜入力不要＞報告書'!AD366</f>
        <v>㎡</v>
      </c>
      <c r="AE367" s="2794" t="str">
        <f>'＜入力不要＞報告書'!AE366</f>
        <v/>
      </c>
      <c r="AF367" s="2795"/>
      <c r="AG367" s="2795"/>
      <c r="AH367" s="2795"/>
      <c r="AI367" s="1543" t="str">
        <f>'＜入力不要＞報告書'!AI366</f>
        <v>㎡</v>
      </c>
      <c r="AJ367" s="2794" t="str">
        <f>'＜入力不要＞報告書'!AJ366</f>
        <v/>
      </c>
      <c r="AK367" s="2795"/>
      <c r="AL367" s="2795"/>
      <c r="AM367" s="2795"/>
      <c r="AN367" s="1543" t="str">
        <f>'＜入力不要＞報告書'!AN366</f>
        <v>㎡</v>
      </c>
      <c r="AO367" s="2794" t="str">
        <f>'＜入力不要＞報告書'!AO366</f>
        <v/>
      </c>
      <c r="AP367" s="2795"/>
      <c r="AQ367" s="2795"/>
      <c r="AR367" s="2795"/>
      <c r="AS367" s="1543" t="str">
        <f>'＜入力不要＞報告書'!AS366</f>
        <v>㎡</v>
      </c>
      <c r="AT367" s="1470"/>
      <c r="AU367" s="1485"/>
      <c r="AV367" s="1485"/>
      <c r="BB367" s="1461"/>
      <c r="BC367" s="1461"/>
    </row>
    <row r="368" spans="1:55" ht="13" customHeight="1">
      <c r="B368" s="1549"/>
      <c r="C368" s="2921">
        <f>'＜入力不要＞報告書'!C367</f>
        <v>39</v>
      </c>
      <c r="D368" s="2980"/>
      <c r="E368" s="1542" t="str">
        <f>'＜入力不要＞報告書'!E367</f>
        <v>階</v>
      </c>
      <c r="F368" s="2794">
        <f>'＜入力不要＞報告書'!F367</f>
        <v>0</v>
      </c>
      <c r="G368" s="2795"/>
      <c r="H368" s="2795"/>
      <c r="I368" s="2795"/>
      <c r="J368" s="1543" t="str">
        <f>'＜入力不要＞報告書'!J367</f>
        <v>㎡</v>
      </c>
      <c r="K368" s="2794" t="str">
        <f>'＜入力不要＞報告書'!K367</f>
        <v/>
      </c>
      <c r="L368" s="2795"/>
      <c r="M368" s="2795"/>
      <c r="N368" s="2795"/>
      <c r="O368" s="1543" t="str">
        <f>'＜入力不要＞報告書'!O367</f>
        <v>㎡</v>
      </c>
      <c r="P368" s="2794" t="str">
        <f>'＜入力不要＞報告書'!P367</f>
        <v/>
      </c>
      <c r="Q368" s="2795"/>
      <c r="R368" s="2795"/>
      <c r="S368" s="2795"/>
      <c r="T368" s="1543" t="str">
        <f>'＜入力不要＞報告書'!T367</f>
        <v>㎡</v>
      </c>
      <c r="U368" s="2794" t="str">
        <f>'＜入力不要＞報告書'!U367</f>
        <v/>
      </c>
      <c r="V368" s="2795"/>
      <c r="W368" s="2795"/>
      <c r="X368" s="2795"/>
      <c r="Y368" s="1543" t="str">
        <f>'＜入力不要＞報告書'!Y367</f>
        <v>㎡</v>
      </c>
      <c r="Z368" s="2794" t="str">
        <f>'＜入力不要＞報告書'!Z367</f>
        <v/>
      </c>
      <c r="AA368" s="2795"/>
      <c r="AB368" s="2795"/>
      <c r="AC368" s="2795"/>
      <c r="AD368" s="1543" t="str">
        <f>'＜入力不要＞報告書'!AD367</f>
        <v>㎡</v>
      </c>
      <c r="AE368" s="2794" t="str">
        <f>'＜入力不要＞報告書'!AE367</f>
        <v/>
      </c>
      <c r="AF368" s="2795"/>
      <c r="AG368" s="2795"/>
      <c r="AH368" s="2795"/>
      <c r="AI368" s="1543" t="str">
        <f>'＜入力不要＞報告書'!AI367</f>
        <v>㎡</v>
      </c>
      <c r="AJ368" s="2794" t="str">
        <f>'＜入力不要＞報告書'!AJ367</f>
        <v/>
      </c>
      <c r="AK368" s="2795"/>
      <c r="AL368" s="2795"/>
      <c r="AM368" s="2795"/>
      <c r="AN368" s="1543" t="str">
        <f>'＜入力不要＞報告書'!AN367</f>
        <v>㎡</v>
      </c>
      <c r="AO368" s="2794" t="str">
        <f>'＜入力不要＞報告書'!AO367</f>
        <v/>
      </c>
      <c r="AP368" s="2795"/>
      <c r="AQ368" s="2795"/>
      <c r="AR368" s="2795"/>
      <c r="AS368" s="1543" t="str">
        <f>'＜入力不要＞報告書'!AS367</f>
        <v>㎡</v>
      </c>
      <c r="AT368" s="1475"/>
      <c r="AU368" s="1485"/>
      <c r="AV368" s="1485"/>
      <c r="BB368" s="1461"/>
      <c r="BC368" s="1461"/>
    </row>
    <row r="369" spans="2:55" ht="13" customHeight="1">
      <c r="B369" s="1552"/>
      <c r="C369" s="2919">
        <f>'＜入力不要＞報告書'!C368</f>
        <v>40</v>
      </c>
      <c r="D369" s="2981"/>
      <c r="E369" s="1547" t="str">
        <f>'＜入力不要＞報告書'!E368</f>
        <v>階</v>
      </c>
      <c r="F369" s="2796">
        <f>'＜入力不要＞報告書'!F368</f>
        <v>0</v>
      </c>
      <c r="G369" s="2797"/>
      <c r="H369" s="2797"/>
      <c r="I369" s="2797"/>
      <c r="J369" s="1544" t="str">
        <f>'＜入力不要＞報告書'!J368</f>
        <v>㎡</v>
      </c>
      <c r="K369" s="2796" t="str">
        <f>'＜入力不要＞報告書'!K368</f>
        <v/>
      </c>
      <c r="L369" s="2797"/>
      <c r="M369" s="2797"/>
      <c r="N369" s="2797"/>
      <c r="O369" s="1544" t="str">
        <f>'＜入力不要＞報告書'!O368</f>
        <v>㎡</v>
      </c>
      <c r="P369" s="2796" t="str">
        <f>'＜入力不要＞報告書'!P368</f>
        <v/>
      </c>
      <c r="Q369" s="2797"/>
      <c r="R369" s="2797"/>
      <c r="S369" s="2797"/>
      <c r="T369" s="1544" t="str">
        <f>'＜入力不要＞報告書'!T368</f>
        <v>㎡</v>
      </c>
      <c r="U369" s="2796" t="str">
        <f>'＜入力不要＞報告書'!U368</f>
        <v/>
      </c>
      <c r="V369" s="2797"/>
      <c r="W369" s="2797"/>
      <c r="X369" s="2797"/>
      <c r="Y369" s="1544" t="str">
        <f>'＜入力不要＞報告書'!Y368</f>
        <v>㎡</v>
      </c>
      <c r="Z369" s="2796" t="str">
        <f>'＜入力不要＞報告書'!Z368</f>
        <v/>
      </c>
      <c r="AA369" s="2797"/>
      <c r="AB369" s="2797"/>
      <c r="AC369" s="2797"/>
      <c r="AD369" s="1544" t="str">
        <f>'＜入力不要＞報告書'!AD368</f>
        <v>㎡</v>
      </c>
      <c r="AE369" s="2796" t="str">
        <f>'＜入力不要＞報告書'!AE368</f>
        <v/>
      </c>
      <c r="AF369" s="2797"/>
      <c r="AG369" s="2797"/>
      <c r="AH369" s="2797"/>
      <c r="AI369" s="1544" t="str">
        <f>'＜入力不要＞報告書'!AI368</f>
        <v>㎡</v>
      </c>
      <c r="AJ369" s="2796" t="str">
        <f>'＜入力不要＞報告書'!AJ368</f>
        <v/>
      </c>
      <c r="AK369" s="2797"/>
      <c r="AL369" s="2797"/>
      <c r="AM369" s="2797"/>
      <c r="AN369" s="1544" t="str">
        <f>'＜入力不要＞報告書'!AN368</f>
        <v>㎡</v>
      </c>
      <c r="AO369" s="2796" t="str">
        <f>'＜入力不要＞報告書'!AO368</f>
        <v/>
      </c>
      <c r="AP369" s="2797"/>
      <c r="AQ369" s="2797"/>
      <c r="AR369" s="2797"/>
      <c r="AS369" s="1544" t="str">
        <f>'＜入力不要＞報告書'!AS368</f>
        <v>㎡</v>
      </c>
      <c r="AT369" s="1475"/>
      <c r="AU369" s="1485"/>
      <c r="AV369" s="1485"/>
      <c r="BB369" s="1461"/>
      <c r="BC369" s="1461"/>
    </row>
    <row r="370" spans="2:55" ht="13" customHeight="1">
      <c r="B370" s="1548"/>
      <c r="C370" s="2921">
        <f>'＜入力不要＞報告書'!C369</f>
        <v>41</v>
      </c>
      <c r="D370" s="2980"/>
      <c r="E370" s="1545" t="str">
        <f>'＜入力不要＞報告書'!E369</f>
        <v>階</v>
      </c>
      <c r="F370" s="2798">
        <f>'＜入力不要＞報告書'!F369</f>
        <v>0</v>
      </c>
      <c r="G370" s="2799"/>
      <c r="H370" s="2799"/>
      <c r="I370" s="2799"/>
      <c r="J370" s="1546" t="str">
        <f>'＜入力不要＞報告書'!J369</f>
        <v>㎡</v>
      </c>
      <c r="K370" s="2798" t="str">
        <f>'＜入力不要＞報告書'!K369</f>
        <v/>
      </c>
      <c r="L370" s="2799"/>
      <c r="M370" s="2799"/>
      <c r="N370" s="2799"/>
      <c r="O370" s="1546" t="str">
        <f>'＜入力不要＞報告書'!O369</f>
        <v>㎡</v>
      </c>
      <c r="P370" s="2798" t="str">
        <f>'＜入力不要＞報告書'!P369</f>
        <v/>
      </c>
      <c r="Q370" s="2799"/>
      <c r="R370" s="2799"/>
      <c r="S370" s="2799"/>
      <c r="T370" s="1546" t="str">
        <f>'＜入力不要＞報告書'!T369</f>
        <v>㎡</v>
      </c>
      <c r="U370" s="2798" t="str">
        <f>'＜入力不要＞報告書'!U369</f>
        <v/>
      </c>
      <c r="V370" s="2799"/>
      <c r="W370" s="2799"/>
      <c r="X370" s="2799"/>
      <c r="Y370" s="1546" t="str">
        <f>'＜入力不要＞報告書'!Y369</f>
        <v>㎡</v>
      </c>
      <c r="Z370" s="2798" t="str">
        <f>'＜入力不要＞報告書'!Z369</f>
        <v/>
      </c>
      <c r="AA370" s="2799"/>
      <c r="AB370" s="2799"/>
      <c r="AC370" s="2799"/>
      <c r="AD370" s="1546" t="str">
        <f>'＜入力不要＞報告書'!AD369</f>
        <v>㎡</v>
      </c>
      <c r="AE370" s="2798" t="str">
        <f>'＜入力不要＞報告書'!AE369</f>
        <v/>
      </c>
      <c r="AF370" s="2799"/>
      <c r="AG370" s="2799"/>
      <c r="AH370" s="2799"/>
      <c r="AI370" s="1546" t="str">
        <f>'＜入力不要＞報告書'!AI369</f>
        <v>㎡</v>
      </c>
      <c r="AJ370" s="2798" t="str">
        <f>'＜入力不要＞報告書'!AJ369</f>
        <v/>
      </c>
      <c r="AK370" s="2799"/>
      <c r="AL370" s="2799"/>
      <c r="AM370" s="2799"/>
      <c r="AN370" s="1546" t="str">
        <f>'＜入力不要＞報告書'!AN369</f>
        <v>㎡</v>
      </c>
      <c r="AO370" s="2798" t="str">
        <f>'＜入力不要＞報告書'!AO369</f>
        <v/>
      </c>
      <c r="AP370" s="2799"/>
      <c r="AQ370" s="2799"/>
      <c r="AR370" s="2799"/>
      <c r="AS370" s="1546" t="str">
        <f>'＜入力不要＞報告書'!AS369</f>
        <v>㎡</v>
      </c>
      <c r="AT370" s="1475"/>
      <c r="AU370" s="1485"/>
      <c r="AV370" s="1485"/>
      <c r="BB370" s="1461"/>
      <c r="BC370" s="1461"/>
    </row>
    <row r="371" spans="2:55" ht="13" customHeight="1">
      <c r="B371" s="1549"/>
      <c r="C371" s="2921">
        <f>'＜入力不要＞報告書'!C370</f>
        <v>42</v>
      </c>
      <c r="D371" s="2980"/>
      <c r="E371" s="1542" t="str">
        <f>'＜入力不要＞報告書'!E370</f>
        <v>階</v>
      </c>
      <c r="F371" s="2794">
        <f>'＜入力不要＞報告書'!F370</f>
        <v>0</v>
      </c>
      <c r="G371" s="2795"/>
      <c r="H371" s="2795"/>
      <c r="I371" s="2795"/>
      <c r="J371" s="1543" t="str">
        <f>'＜入力不要＞報告書'!J370</f>
        <v>㎡</v>
      </c>
      <c r="K371" s="2794" t="str">
        <f>'＜入力不要＞報告書'!K370</f>
        <v/>
      </c>
      <c r="L371" s="2795"/>
      <c r="M371" s="2795"/>
      <c r="N371" s="2795"/>
      <c r="O371" s="1543" t="str">
        <f>'＜入力不要＞報告書'!O370</f>
        <v>㎡</v>
      </c>
      <c r="P371" s="2794" t="str">
        <f>'＜入力不要＞報告書'!P370</f>
        <v/>
      </c>
      <c r="Q371" s="2795"/>
      <c r="R371" s="2795"/>
      <c r="S371" s="2795"/>
      <c r="T371" s="1543" t="str">
        <f>'＜入力不要＞報告書'!T370</f>
        <v>㎡</v>
      </c>
      <c r="U371" s="2794" t="str">
        <f>'＜入力不要＞報告書'!U370</f>
        <v/>
      </c>
      <c r="V371" s="2795"/>
      <c r="W371" s="2795"/>
      <c r="X371" s="2795"/>
      <c r="Y371" s="1543" t="str">
        <f>'＜入力不要＞報告書'!Y370</f>
        <v>㎡</v>
      </c>
      <c r="Z371" s="2794" t="str">
        <f>'＜入力不要＞報告書'!Z370</f>
        <v/>
      </c>
      <c r="AA371" s="2795"/>
      <c r="AB371" s="2795"/>
      <c r="AC371" s="2795"/>
      <c r="AD371" s="1543" t="str">
        <f>'＜入力不要＞報告書'!AD370</f>
        <v>㎡</v>
      </c>
      <c r="AE371" s="2794" t="str">
        <f>'＜入力不要＞報告書'!AE370</f>
        <v/>
      </c>
      <c r="AF371" s="2795"/>
      <c r="AG371" s="2795"/>
      <c r="AH371" s="2795"/>
      <c r="AI371" s="1543" t="str">
        <f>'＜入力不要＞報告書'!AI370</f>
        <v>㎡</v>
      </c>
      <c r="AJ371" s="2794" t="str">
        <f>'＜入力不要＞報告書'!AJ370</f>
        <v/>
      </c>
      <c r="AK371" s="2795"/>
      <c r="AL371" s="2795"/>
      <c r="AM371" s="2795"/>
      <c r="AN371" s="1543" t="str">
        <f>'＜入力不要＞報告書'!AN370</f>
        <v>㎡</v>
      </c>
      <c r="AO371" s="2794" t="str">
        <f>'＜入力不要＞報告書'!AO370</f>
        <v/>
      </c>
      <c r="AP371" s="2795"/>
      <c r="AQ371" s="2795"/>
      <c r="AR371" s="2795"/>
      <c r="AS371" s="1543" t="str">
        <f>'＜入力不要＞報告書'!AS370</f>
        <v>㎡</v>
      </c>
      <c r="AT371" s="1470"/>
      <c r="AU371" s="1485"/>
      <c r="AV371" s="1485"/>
      <c r="BB371" s="1461"/>
      <c r="BC371" s="1461"/>
    </row>
    <row r="372" spans="2:55" ht="13" customHeight="1">
      <c r="B372" s="1549"/>
      <c r="C372" s="2921">
        <f>'＜入力不要＞報告書'!C371</f>
        <v>43</v>
      </c>
      <c r="D372" s="2980"/>
      <c r="E372" s="1542" t="str">
        <f>'＜入力不要＞報告書'!E371</f>
        <v>階</v>
      </c>
      <c r="F372" s="2794">
        <f>'＜入力不要＞報告書'!F371</f>
        <v>0</v>
      </c>
      <c r="G372" s="2795"/>
      <c r="H372" s="2795"/>
      <c r="I372" s="2795"/>
      <c r="J372" s="1543" t="str">
        <f>'＜入力不要＞報告書'!J371</f>
        <v>㎡</v>
      </c>
      <c r="K372" s="2794" t="str">
        <f>'＜入力不要＞報告書'!K371</f>
        <v/>
      </c>
      <c r="L372" s="2795"/>
      <c r="M372" s="2795"/>
      <c r="N372" s="2795"/>
      <c r="O372" s="1543" t="str">
        <f>'＜入力不要＞報告書'!O371</f>
        <v>㎡</v>
      </c>
      <c r="P372" s="2794" t="str">
        <f>'＜入力不要＞報告書'!P371</f>
        <v/>
      </c>
      <c r="Q372" s="2795"/>
      <c r="R372" s="2795"/>
      <c r="S372" s="2795"/>
      <c r="T372" s="1543" t="str">
        <f>'＜入力不要＞報告書'!T371</f>
        <v>㎡</v>
      </c>
      <c r="U372" s="2794" t="str">
        <f>'＜入力不要＞報告書'!U371</f>
        <v/>
      </c>
      <c r="V372" s="2795"/>
      <c r="W372" s="2795"/>
      <c r="X372" s="2795"/>
      <c r="Y372" s="1543" t="str">
        <f>'＜入力不要＞報告書'!Y371</f>
        <v>㎡</v>
      </c>
      <c r="Z372" s="2794" t="str">
        <f>'＜入力不要＞報告書'!Z371</f>
        <v/>
      </c>
      <c r="AA372" s="2795"/>
      <c r="AB372" s="2795"/>
      <c r="AC372" s="2795"/>
      <c r="AD372" s="1543" t="str">
        <f>'＜入力不要＞報告書'!AD371</f>
        <v>㎡</v>
      </c>
      <c r="AE372" s="2794" t="str">
        <f>'＜入力不要＞報告書'!AE371</f>
        <v/>
      </c>
      <c r="AF372" s="2795"/>
      <c r="AG372" s="2795"/>
      <c r="AH372" s="2795"/>
      <c r="AI372" s="1543" t="str">
        <f>'＜入力不要＞報告書'!AI371</f>
        <v>㎡</v>
      </c>
      <c r="AJ372" s="2794" t="str">
        <f>'＜入力不要＞報告書'!AJ371</f>
        <v/>
      </c>
      <c r="AK372" s="2795"/>
      <c r="AL372" s="2795"/>
      <c r="AM372" s="2795"/>
      <c r="AN372" s="1543" t="str">
        <f>'＜入力不要＞報告書'!AN371</f>
        <v>㎡</v>
      </c>
      <c r="AO372" s="2794" t="str">
        <f>'＜入力不要＞報告書'!AO371</f>
        <v/>
      </c>
      <c r="AP372" s="2795"/>
      <c r="AQ372" s="2795"/>
      <c r="AR372" s="2795"/>
      <c r="AS372" s="1543" t="str">
        <f>'＜入力不要＞報告書'!AS371</f>
        <v>㎡</v>
      </c>
      <c r="AT372" s="1477"/>
      <c r="AU372" s="1485"/>
      <c r="AV372" s="1485"/>
      <c r="BB372" s="1461"/>
      <c r="BC372" s="1461"/>
    </row>
    <row r="373" spans="2:55" ht="13" customHeight="1">
      <c r="B373" s="1549"/>
      <c r="C373" s="2921">
        <f>'＜入力不要＞報告書'!C372</f>
        <v>44</v>
      </c>
      <c r="D373" s="2980"/>
      <c r="E373" s="1542" t="str">
        <f>'＜入力不要＞報告書'!E372</f>
        <v>階</v>
      </c>
      <c r="F373" s="2794">
        <f>'＜入力不要＞報告書'!F372</f>
        <v>0</v>
      </c>
      <c r="G373" s="2795"/>
      <c r="H373" s="2795"/>
      <c r="I373" s="2795"/>
      <c r="J373" s="1543" t="str">
        <f>'＜入力不要＞報告書'!J372</f>
        <v>㎡</v>
      </c>
      <c r="K373" s="2794" t="str">
        <f>'＜入力不要＞報告書'!K372</f>
        <v/>
      </c>
      <c r="L373" s="2795"/>
      <c r="M373" s="2795"/>
      <c r="N373" s="2795"/>
      <c r="O373" s="1543" t="str">
        <f>'＜入力不要＞報告書'!O372</f>
        <v>㎡</v>
      </c>
      <c r="P373" s="2794" t="str">
        <f>'＜入力不要＞報告書'!P372</f>
        <v/>
      </c>
      <c r="Q373" s="2795"/>
      <c r="R373" s="2795"/>
      <c r="S373" s="2795"/>
      <c r="T373" s="1543" t="str">
        <f>'＜入力不要＞報告書'!T372</f>
        <v>㎡</v>
      </c>
      <c r="U373" s="2794" t="str">
        <f>'＜入力不要＞報告書'!U372</f>
        <v/>
      </c>
      <c r="V373" s="2795"/>
      <c r="W373" s="2795"/>
      <c r="X373" s="2795"/>
      <c r="Y373" s="1543" t="str">
        <f>'＜入力不要＞報告書'!Y372</f>
        <v>㎡</v>
      </c>
      <c r="Z373" s="2794" t="str">
        <f>'＜入力不要＞報告書'!Z372</f>
        <v/>
      </c>
      <c r="AA373" s="2795"/>
      <c r="AB373" s="2795"/>
      <c r="AC373" s="2795"/>
      <c r="AD373" s="1543" t="str">
        <f>'＜入力不要＞報告書'!AD372</f>
        <v>㎡</v>
      </c>
      <c r="AE373" s="2794" t="str">
        <f>'＜入力不要＞報告書'!AE372</f>
        <v/>
      </c>
      <c r="AF373" s="2795"/>
      <c r="AG373" s="2795"/>
      <c r="AH373" s="2795"/>
      <c r="AI373" s="1543" t="str">
        <f>'＜入力不要＞報告書'!AI372</f>
        <v>㎡</v>
      </c>
      <c r="AJ373" s="2794" t="str">
        <f>'＜入力不要＞報告書'!AJ372</f>
        <v/>
      </c>
      <c r="AK373" s="2795"/>
      <c r="AL373" s="2795"/>
      <c r="AM373" s="2795"/>
      <c r="AN373" s="1543" t="str">
        <f>'＜入力不要＞報告書'!AN372</f>
        <v>㎡</v>
      </c>
      <c r="AO373" s="2794" t="str">
        <f>'＜入力不要＞報告書'!AO372</f>
        <v/>
      </c>
      <c r="AP373" s="2795"/>
      <c r="AQ373" s="2795"/>
      <c r="AR373" s="2795"/>
      <c r="AS373" s="1543" t="str">
        <f>'＜入力不要＞報告書'!AS372</f>
        <v>㎡</v>
      </c>
      <c r="AT373" s="1475"/>
      <c r="AU373" s="1485"/>
      <c r="AV373" s="1485"/>
      <c r="BB373" s="1461"/>
      <c r="BC373" s="1461"/>
    </row>
    <row r="374" spans="2:55" ht="13" customHeight="1">
      <c r="B374" s="1552"/>
      <c r="C374" s="2919">
        <f>'＜入力不要＞報告書'!C373</f>
        <v>45</v>
      </c>
      <c r="D374" s="2981"/>
      <c r="E374" s="1547" t="str">
        <f>'＜入力不要＞報告書'!E373</f>
        <v>階</v>
      </c>
      <c r="F374" s="2796">
        <f>'＜入力不要＞報告書'!F373</f>
        <v>0</v>
      </c>
      <c r="G374" s="2797"/>
      <c r="H374" s="2797"/>
      <c r="I374" s="2797"/>
      <c r="J374" s="1544" t="str">
        <f>'＜入力不要＞報告書'!J373</f>
        <v>㎡</v>
      </c>
      <c r="K374" s="2796" t="str">
        <f>'＜入力不要＞報告書'!K373</f>
        <v/>
      </c>
      <c r="L374" s="2797"/>
      <c r="M374" s="2797"/>
      <c r="N374" s="2797"/>
      <c r="O374" s="1544" t="str">
        <f>'＜入力不要＞報告書'!O373</f>
        <v>㎡</v>
      </c>
      <c r="P374" s="2796" t="str">
        <f>'＜入力不要＞報告書'!P373</f>
        <v/>
      </c>
      <c r="Q374" s="2797"/>
      <c r="R374" s="2797"/>
      <c r="S374" s="2797"/>
      <c r="T374" s="1544" t="str">
        <f>'＜入力不要＞報告書'!T373</f>
        <v>㎡</v>
      </c>
      <c r="U374" s="2796" t="str">
        <f>'＜入力不要＞報告書'!U373</f>
        <v/>
      </c>
      <c r="V374" s="2797"/>
      <c r="W374" s="2797"/>
      <c r="X374" s="2797"/>
      <c r="Y374" s="1544" t="str">
        <f>'＜入力不要＞報告書'!Y373</f>
        <v>㎡</v>
      </c>
      <c r="Z374" s="2796" t="str">
        <f>'＜入力不要＞報告書'!Z373</f>
        <v/>
      </c>
      <c r="AA374" s="2797"/>
      <c r="AB374" s="2797"/>
      <c r="AC374" s="2797"/>
      <c r="AD374" s="1544" t="str">
        <f>'＜入力不要＞報告書'!AD373</f>
        <v>㎡</v>
      </c>
      <c r="AE374" s="2796" t="str">
        <f>'＜入力不要＞報告書'!AE373</f>
        <v/>
      </c>
      <c r="AF374" s="2797"/>
      <c r="AG374" s="2797"/>
      <c r="AH374" s="2797"/>
      <c r="AI374" s="1544" t="str">
        <f>'＜入力不要＞報告書'!AI373</f>
        <v>㎡</v>
      </c>
      <c r="AJ374" s="2796" t="str">
        <f>'＜入力不要＞報告書'!AJ373</f>
        <v/>
      </c>
      <c r="AK374" s="2797"/>
      <c r="AL374" s="2797"/>
      <c r="AM374" s="2797"/>
      <c r="AN374" s="1544" t="str">
        <f>'＜入力不要＞報告書'!AN373</f>
        <v>㎡</v>
      </c>
      <c r="AO374" s="2796" t="str">
        <f>'＜入力不要＞報告書'!AO373</f>
        <v/>
      </c>
      <c r="AP374" s="2797"/>
      <c r="AQ374" s="2797"/>
      <c r="AR374" s="2797"/>
      <c r="AS374" s="1544" t="str">
        <f>'＜入力不要＞報告書'!AS373</f>
        <v>㎡</v>
      </c>
      <c r="AT374" s="1538"/>
      <c r="AU374" s="1485"/>
      <c r="AV374" s="1485"/>
      <c r="BB374" s="1461"/>
      <c r="BC374" s="1461"/>
    </row>
    <row r="375" spans="2:55" ht="13" customHeight="1">
      <c r="B375" s="1548"/>
      <c r="C375" s="2921">
        <f>'＜入力不要＞報告書'!C374</f>
        <v>46</v>
      </c>
      <c r="D375" s="2980"/>
      <c r="E375" s="1545" t="str">
        <f>'＜入力不要＞報告書'!E374</f>
        <v>階</v>
      </c>
      <c r="F375" s="2798">
        <f>'＜入力不要＞報告書'!F374</f>
        <v>0</v>
      </c>
      <c r="G375" s="2799"/>
      <c r="H375" s="2799"/>
      <c r="I375" s="2799"/>
      <c r="J375" s="1546" t="str">
        <f>'＜入力不要＞報告書'!J374</f>
        <v>㎡</v>
      </c>
      <c r="K375" s="2798" t="str">
        <f>'＜入力不要＞報告書'!K374</f>
        <v/>
      </c>
      <c r="L375" s="2799"/>
      <c r="M375" s="2799"/>
      <c r="N375" s="2799"/>
      <c r="O375" s="1546" t="str">
        <f>'＜入力不要＞報告書'!O374</f>
        <v>㎡</v>
      </c>
      <c r="P375" s="2798" t="str">
        <f>'＜入力不要＞報告書'!P374</f>
        <v/>
      </c>
      <c r="Q375" s="2799"/>
      <c r="R375" s="2799"/>
      <c r="S375" s="2799"/>
      <c r="T375" s="1546" t="str">
        <f>'＜入力不要＞報告書'!T374</f>
        <v>㎡</v>
      </c>
      <c r="U375" s="2798" t="str">
        <f>'＜入力不要＞報告書'!U374</f>
        <v/>
      </c>
      <c r="V375" s="2799"/>
      <c r="W375" s="2799"/>
      <c r="X375" s="2799"/>
      <c r="Y375" s="1546" t="str">
        <f>'＜入力不要＞報告書'!Y374</f>
        <v>㎡</v>
      </c>
      <c r="Z375" s="2798" t="str">
        <f>'＜入力不要＞報告書'!Z374</f>
        <v/>
      </c>
      <c r="AA375" s="2799"/>
      <c r="AB375" s="2799"/>
      <c r="AC375" s="2799"/>
      <c r="AD375" s="1546" t="str">
        <f>'＜入力不要＞報告書'!AD374</f>
        <v>㎡</v>
      </c>
      <c r="AE375" s="2798" t="str">
        <f>'＜入力不要＞報告書'!AE374</f>
        <v/>
      </c>
      <c r="AF375" s="2799"/>
      <c r="AG375" s="2799"/>
      <c r="AH375" s="2799"/>
      <c r="AI375" s="1546" t="str">
        <f>'＜入力不要＞報告書'!AI374</f>
        <v>㎡</v>
      </c>
      <c r="AJ375" s="2798" t="str">
        <f>'＜入力不要＞報告書'!AJ374</f>
        <v/>
      </c>
      <c r="AK375" s="2799"/>
      <c r="AL375" s="2799"/>
      <c r="AM375" s="2799"/>
      <c r="AN375" s="1546" t="str">
        <f>'＜入力不要＞報告書'!AN374</f>
        <v>㎡</v>
      </c>
      <c r="AO375" s="2798" t="str">
        <f>'＜入力不要＞報告書'!AO374</f>
        <v/>
      </c>
      <c r="AP375" s="2799"/>
      <c r="AQ375" s="2799"/>
      <c r="AR375" s="2799"/>
      <c r="AS375" s="1546" t="str">
        <f>'＜入力不要＞報告書'!AS374</f>
        <v>㎡</v>
      </c>
      <c r="AT375" s="1470"/>
      <c r="AU375" s="1485"/>
      <c r="AV375" s="1485"/>
      <c r="BB375" s="1461"/>
      <c r="BC375" s="1461"/>
    </row>
    <row r="376" spans="2:55" ht="13" customHeight="1">
      <c r="B376" s="1549"/>
      <c r="C376" s="2921">
        <f>'＜入力不要＞報告書'!C375</f>
        <v>47</v>
      </c>
      <c r="D376" s="2980"/>
      <c r="E376" s="1542" t="str">
        <f>'＜入力不要＞報告書'!E375</f>
        <v>階</v>
      </c>
      <c r="F376" s="2794">
        <f>'＜入力不要＞報告書'!F375</f>
        <v>0</v>
      </c>
      <c r="G376" s="2795"/>
      <c r="H376" s="2795"/>
      <c r="I376" s="2795"/>
      <c r="J376" s="1543" t="str">
        <f>'＜入力不要＞報告書'!J375</f>
        <v>㎡</v>
      </c>
      <c r="K376" s="2794" t="str">
        <f>'＜入力不要＞報告書'!K375</f>
        <v/>
      </c>
      <c r="L376" s="2795"/>
      <c r="M376" s="2795"/>
      <c r="N376" s="2795"/>
      <c r="O376" s="1543" t="str">
        <f>'＜入力不要＞報告書'!O375</f>
        <v>㎡</v>
      </c>
      <c r="P376" s="2794" t="str">
        <f>'＜入力不要＞報告書'!P375</f>
        <v/>
      </c>
      <c r="Q376" s="2795"/>
      <c r="R376" s="2795"/>
      <c r="S376" s="2795"/>
      <c r="T376" s="1543" t="str">
        <f>'＜入力不要＞報告書'!T375</f>
        <v>㎡</v>
      </c>
      <c r="U376" s="2794" t="str">
        <f>'＜入力不要＞報告書'!U375</f>
        <v/>
      </c>
      <c r="V376" s="2795"/>
      <c r="W376" s="2795"/>
      <c r="X376" s="2795"/>
      <c r="Y376" s="1543" t="str">
        <f>'＜入力不要＞報告書'!Y375</f>
        <v>㎡</v>
      </c>
      <c r="Z376" s="2794" t="str">
        <f>'＜入力不要＞報告書'!Z375</f>
        <v/>
      </c>
      <c r="AA376" s="2795"/>
      <c r="AB376" s="2795"/>
      <c r="AC376" s="2795"/>
      <c r="AD376" s="1543" t="str">
        <f>'＜入力不要＞報告書'!AD375</f>
        <v>㎡</v>
      </c>
      <c r="AE376" s="2794" t="str">
        <f>'＜入力不要＞報告書'!AE375</f>
        <v/>
      </c>
      <c r="AF376" s="2795"/>
      <c r="AG376" s="2795"/>
      <c r="AH376" s="2795"/>
      <c r="AI376" s="1543" t="str">
        <f>'＜入力不要＞報告書'!AI375</f>
        <v>㎡</v>
      </c>
      <c r="AJ376" s="2794" t="str">
        <f>'＜入力不要＞報告書'!AJ375</f>
        <v/>
      </c>
      <c r="AK376" s="2795"/>
      <c r="AL376" s="2795"/>
      <c r="AM376" s="2795"/>
      <c r="AN376" s="1543" t="str">
        <f>'＜入力不要＞報告書'!AN375</f>
        <v>㎡</v>
      </c>
      <c r="AO376" s="2794" t="str">
        <f>'＜入力不要＞報告書'!AO375</f>
        <v/>
      </c>
      <c r="AP376" s="2795"/>
      <c r="AQ376" s="2795"/>
      <c r="AR376" s="2795"/>
      <c r="AS376" s="1543" t="str">
        <f>'＜入力不要＞報告書'!AS375</f>
        <v>㎡</v>
      </c>
      <c r="AT376" s="1470"/>
      <c r="AU376" s="1485"/>
      <c r="AV376" s="1485"/>
      <c r="BB376" s="1461"/>
      <c r="BC376" s="1461"/>
    </row>
    <row r="377" spans="2:55" ht="13" customHeight="1">
      <c r="B377" s="1549"/>
      <c r="C377" s="2921">
        <f>'＜入力不要＞報告書'!C376</f>
        <v>48</v>
      </c>
      <c r="D377" s="2980"/>
      <c r="E377" s="1542" t="str">
        <f>'＜入力不要＞報告書'!E376</f>
        <v>階</v>
      </c>
      <c r="F377" s="2794">
        <f>'＜入力不要＞報告書'!F376</f>
        <v>0</v>
      </c>
      <c r="G377" s="2795"/>
      <c r="H377" s="2795"/>
      <c r="I377" s="2795"/>
      <c r="J377" s="1543" t="str">
        <f>'＜入力不要＞報告書'!J376</f>
        <v>㎡</v>
      </c>
      <c r="K377" s="2794" t="str">
        <f>'＜入力不要＞報告書'!K376</f>
        <v/>
      </c>
      <c r="L377" s="2795"/>
      <c r="M377" s="2795"/>
      <c r="N377" s="2795"/>
      <c r="O377" s="1543" t="str">
        <f>'＜入力不要＞報告書'!O376</f>
        <v>㎡</v>
      </c>
      <c r="P377" s="2794" t="str">
        <f>'＜入力不要＞報告書'!P376</f>
        <v/>
      </c>
      <c r="Q377" s="2795"/>
      <c r="R377" s="2795"/>
      <c r="S377" s="2795"/>
      <c r="T377" s="1543" t="str">
        <f>'＜入力不要＞報告書'!T376</f>
        <v>㎡</v>
      </c>
      <c r="U377" s="2794" t="str">
        <f>'＜入力不要＞報告書'!U376</f>
        <v/>
      </c>
      <c r="V377" s="2795"/>
      <c r="W377" s="2795"/>
      <c r="X377" s="2795"/>
      <c r="Y377" s="1543" t="str">
        <f>'＜入力不要＞報告書'!Y376</f>
        <v>㎡</v>
      </c>
      <c r="Z377" s="2794" t="str">
        <f>'＜入力不要＞報告書'!Z376</f>
        <v/>
      </c>
      <c r="AA377" s="2795"/>
      <c r="AB377" s="2795"/>
      <c r="AC377" s="2795"/>
      <c r="AD377" s="1543" t="str">
        <f>'＜入力不要＞報告書'!AD376</f>
        <v>㎡</v>
      </c>
      <c r="AE377" s="2794" t="str">
        <f>'＜入力不要＞報告書'!AE376</f>
        <v/>
      </c>
      <c r="AF377" s="2795"/>
      <c r="AG377" s="2795"/>
      <c r="AH377" s="2795"/>
      <c r="AI377" s="1543" t="str">
        <f>'＜入力不要＞報告書'!AI376</f>
        <v>㎡</v>
      </c>
      <c r="AJ377" s="2794" t="str">
        <f>'＜入力不要＞報告書'!AJ376</f>
        <v/>
      </c>
      <c r="AK377" s="2795"/>
      <c r="AL377" s="2795"/>
      <c r="AM377" s="2795"/>
      <c r="AN377" s="1543" t="str">
        <f>'＜入力不要＞報告書'!AN376</f>
        <v>㎡</v>
      </c>
      <c r="AO377" s="2794" t="str">
        <f>'＜入力不要＞報告書'!AO376</f>
        <v/>
      </c>
      <c r="AP377" s="2795"/>
      <c r="AQ377" s="2795"/>
      <c r="AR377" s="2795"/>
      <c r="AS377" s="1543" t="str">
        <f>'＜入力不要＞報告書'!AS376</f>
        <v>㎡</v>
      </c>
      <c r="AT377" s="1470"/>
      <c r="AU377" s="1485"/>
      <c r="AV377" s="1485"/>
      <c r="BB377" s="1461"/>
      <c r="BC377" s="1461"/>
    </row>
    <row r="378" spans="2:55" ht="13" customHeight="1">
      <c r="B378" s="1549"/>
      <c r="C378" s="2921">
        <f>'＜入力不要＞報告書'!C377</f>
        <v>49</v>
      </c>
      <c r="D378" s="2980"/>
      <c r="E378" s="1542" t="str">
        <f>'＜入力不要＞報告書'!E377</f>
        <v>階</v>
      </c>
      <c r="F378" s="2794">
        <f>'＜入力不要＞報告書'!F377</f>
        <v>0</v>
      </c>
      <c r="G378" s="2795"/>
      <c r="H378" s="2795"/>
      <c r="I378" s="2795"/>
      <c r="J378" s="1543" t="str">
        <f>'＜入力不要＞報告書'!J377</f>
        <v>㎡</v>
      </c>
      <c r="K378" s="2794" t="str">
        <f>'＜入力不要＞報告書'!K377</f>
        <v/>
      </c>
      <c r="L378" s="2795"/>
      <c r="M378" s="2795"/>
      <c r="N378" s="2795"/>
      <c r="O378" s="1543" t="str">
        <f>'＜入力不要＞報告書'!O377</f>
        <v>㎡</v>
      </c>
      <c r="P378" s="2794" t="str">
        <f>'＜入力不要＞報告書'!P377</f>
        <v/>
      </c>
      <c r="Q378" s="2795"/>
      <c r="R378" s="2795"/>
      <c r="S378" s="2795"/>
      <c r="T378" s="1543" t="str">
        <f>'＜入力不要＞報告書'!T377</f>
        <v>㎡</v>
      </c>
      <c r="U378" s="2794" t="str">
        <f>'＜入力不要＞報告書'!U377</f>
        <v/>
      </c>
      <c r="V378" s="2795"/>
      <c r="W378" s="2795"/>
      <c r="X378" s="2795"/>
      <c r="Y378" s="1543" t="str">
        <f>'＜入力不要＞報告書'!Y377</f>
        <v>㎡</v>
      </c>
      <c r="Z378" s="2794" t="str">
        <f>'＜入力不要＞報告書'!Z377</f>
        <v/>
      </c>
      <c r="AA378" s="2795"/>
      <c r="AB378" s="2795"/>
      <c r="AC378" s="2795"/>
      <c r="AD378" s="1543" t="str">
        <f>'＜入力不要＞報告書'!AD377</f>
        <v>㎡</v>
      </c>
      <c r="AE378" s="2794" t="str">
        <f>'＜入力不要＞報告書'!AE377</f>
        <v/>
      </c>
      <c r="AF378" s="2795"/>
      <c r="AG378" s="2795"/>
      <c r="AH378" s="2795"/>
      <c r="AI378" s="1543" t="str">
        <f>'＜入力不要＞報告書'!AI377</f>
        <v>㎡</v>
      </c>
      <c r="AJ378" s="2794" t="str">
        <f>'＜入力不要＞報告書'!AJ377</f>
        <v/>
      </c>
      <c r="AK378" s="2795"/>
      <c r="AL378" s="2795"/>
      <c r="AM378" s="2795"/>
      <c r="AN378" s="1543" t="str">
        <f>'＜入力不要＞報告書'!AN377</f>
        <v>㎡</v>
      </c>
      <c r="AO378" s="2794" t="str">
        <f>'＜入力不要＞報告書'!AO377</f>
        <v/>
      </c>
      <c r="AP378" s="2795"/>
      <c r="AQ378" s="2795"/>
      <c r="AR378" s="2795"/>
      <c r="AS378" s="1543" t="str">
        <f>'＜入力不要＞報告書'!AS377</f>
        <v>㎡</v>
      </c>
      <c r="AT378" s="1470"/>
      <c r="AU378" s="1485"/>
      <c r="AV378" s="1485"/>
      <c r="BB378" s="1461"/>
      <c r="BC378" s="1461"/>
    </row>
    <row r="379" spans="2:55" ht="13" customHeight="1">
      <c r="B379" s="1552"/>
      <c r="C379" s="2919">
        <f>'＜入力不要＞報告書'!C378</f>
        <v>50</v>
      </c>
      <c r="D379" s="2981"/>
      <c r="E379" s="1547" t="str">
        <f>'＜入力不要＞報告書'!E378</f>
        <v>階</v>
      </c>
      <c r="F379" s="2796">
        <f>'＜入力不要＞報告書'!F378</f>
        <v>0</v>
      </c>
      <c r="G379" s="2797"/>
      <c r="H379" s="2797"/>
      <c r="I379" s="2797"/>
      <c r="J379" s="1544" t="str">
        <f>'＜入力不要＞報告書'!J378</f>
        <v>㎡</v>
      </c>
      <c r="K379" s="2796" t="str">
        <f>'＜入力不要＞報告書'!K378</f>
        <v/>
      </c>
      <c r="L379" s="2797"/>
      <c r="M379" s="2797"/>
      <c r="N379" s="2797"/>
      <c r="O379" s="1544" t="str">
        <f>'＜入力不要＞報告書'!O378</f>
        <v>㎡</v>
      </c>
      <c r="P379" s="2796" t="str">
        <f>'＜入力不要＞報告書'!P378</f>
        <v/>
      </c>
      <c r="Q379" s="2797"/>
      <c r="R379" s="2797"/>
      <c r="S379" s="2797"/>
      <c r="T379" s="1544" t="str">
        <f>'＜入力不要＞報告書'!T378</f>
        <v>㎡</v>
      </c>
      <c r="U379" s="2796" t="str">
        <f>'＜入力不要＞報告書'!U378</f>
        <v/>
      </c>
      <c r="V379" s="2797"/>
      <c r="W379" s="2797"/>
      <c r="X379" s="2797"/>
      <c r="Y379" s="1544" t="str">
        <f>'＜入力不要＞報告書'!Y378</f>
        <v>㎡</v>
      </c>
      <c r="Z379" s="2796" t="str">
        <f>'＜入力不要＞報告書'!Z378</f>
        <v/>
      </c>
      <c r="AA379" s="2797"/>
      <c r="AB379" s="2797"/>
      <c r="AC379" s="2797"/>
      <c r="AD379" s="1544" t="str">
        <f>'＜入力不要＞報告書'!AD378</f>
        <v>㎡</v>
      </c>
      <c r="AE379" s="2796" t="str">
        <f>'＜入力不要＞報告書'!AE378</f>
        <v/>
      </c>
      <c r="AF379" s="2797"/>
      <c r="AG379" s="2797"/>
      <c r="AH379" s="2797"/>
      <c r="AI379" s="1544" t="str">
        <f>'＜入力不要＞報告書'!AI378</f>
        <v>㎡</v>
      </c>
      <c r="AJ379" s="2796" t="str">
        <f>'＜入力不要＞報告書'!AJ378</f>
        <v/>
      </c>
      <c r="AK379" s="2797"/>
      <c r="AL379" s="2797"/>
      <c r="AM379" s="2797"/>
      <c r="AN379" s="1544" t="str">
        <f>'＜入力不要＞報告書'!AN378</f>
        <v>㎡</v>
      </c>
      <c r="AO379" s="2796" t="str">
        <f>'＜入力不要＞報告書'!AO378</f>
        <v/>
      </c>
      <c r="AP379" s="2797"/>
      <c r="AQ379" s="2797"/>
      <c r="AR379" s="2797"/>
      <c r="AS379" s="1544" t="str">
        <f>'＜入力不要＞報告書'!AS378</f>
        <v>㎡</v>
      </c>
      <c r="AT379" s="1470"/>
      <c r="AU379" s="1485"/>
      <c r="AV379" s="1485"/>
      <c r="BB379" s="1461"/>
      <c r="BC379" s="1461"/>
    </row>
    <row r="380" spans="2:55" ht="15" customHeight="1"/>
    <row r="381" spans="2:55" ht="15" customHeight="1"/>
    <row r="382" spans="2:55" ht="15" customHeight="1"/>
    <row r="383" spans="2:55" ht="15" customHeight="1"/>
    <row r="384" spans="2:55" ht="15" customHeight="1"/>
    <row r="385" ht="15" customHeight="1"/>
  </sheetData>
  <sheetProtection algorithmName="SHA-512" hashValue="YNaRjyAZ9u69Js71Ke9ZwY2asGDFIvZxVBFOsWCmYBSF0N8vYddSOfUj6oVDIN+1IOdXFUX38A1aoJhValQhZg==" saltValue="QWBKN6kUGru49aKkNAMR0A==" spinCount="100000" sheet="1" objects="1" scenarios="1" selectLockedCells="1"/>
  <protectedRanges>
    <protectedRange sqref="N47:AL47" name="範囲2_1"/>
    <protectedRange sqref="AH274:AJ274 AH278:AJ278" name="範囲1_3_2"/>
    <protectedRange sqref="N236 V236:AP236 P236:T236" name="範囲1_3_4"/>
    <protectedRange sqref="N286 V286:AP286 P286:T286" name="範囲1_3_1_2"/>
    <protectedRange sqref="O31:O32" name="範囲1_3_1_1_3"/>
    <protectedRange sqref="O42" name="範囲1_3_1_1_4"/>
    <protectedRange sqref="O43" name="範囲2_1_1_4"/>
    <protectedRange sqref="O57 O68 O164" name="範囲1_3_3_4"/>
    <protectedRange sqref="O82" name="範囲1_3_2_1"/>
    <protectedRange sqref="AT368" name="範囲1_3_4_2"/>
  </protectedRanges>
  <sortState xmlns:xlrd2="http://schemas.microsoft.com/office/spreadsheetml/2017/richdata2" ref="AA257:AS260">
    <sortCondition ref="AA257"/>
  </sortState>
  <mergeCells count="771">
    <mergeCell ref="AN1:AS1"/>
    <mergeCell ref="C379:D379"/>
    <mergeCell ref="F379:I379"/>
    <mergeCell ref="K379:N379"/>
    <mergeCell ref="P379:S379"/>
    <mergeCell ref="U379:X379"/>
    <mergeCell ref="Z379:AC379"/>
    <mergeCell ref="AE379:AH379"/>
    <mergeCell ref="AJ379:AM379"/>
    <mergeCell ref="AO379:AR379"/>
    <mergeCell ref="C378:D378"/>
    <mergeCell ref="F378:I378"/>
    <mergeCell ref="K378:N378"/>
    <mergeCell ref="P378:S378"/>
    <mergeCell ref="U378:X378"/>
    <mergeCell ref="Z378:AC378"/>
    <mergeCell ref="AE378:AH378"/>
    <mergeCell ref="AJ378:AM378"/>
    <mergeCell ref="AO378:AR378"/>
    <mergeCell ref="C377:D377"/>
    <mergeCell ref="F377:I377"/>
    <mergeCell ref="K377:N377"/>
    <mergeCell ref="P377:S377"/>
    <mergeCell ref="U377:X377"/>
    <mergeCell ref="Z377:AC377"/>
    <mergeCell ref="AE377:AH377"/>
    <mergeCell ref="AJ377:AM377"/>
    <mergeCell ref="AO377:AR377"/>
    <mergeCell ref="C376:D376"/>
    <mergeCell ref="F376:I376"/>
    <mergeCell ref="K376:N376"/>
    <mergeCell ref="P376:S376"/>
    <mergeCell ref="U376:X376"/>
    <mergeCell ref="Z376:AC376"/>
    <mergeCell ref="AE376:AH376"/>
    <mergeCell ref="AJ376:AM376"/>
    <mergeCell ref="AO376:AR376"/>
    <mergeCell ref="C375:D375"/>
    <mergeCell ref="F375:I375"/>
    <mergeCell ref="K375:N375"/>
    <mergeCell ref="P375:S375"/>
    <mergeCell ref="U375:X375"/>
    <mergeCell ref="Z375:AC375"/>
    <mergeCell ref="AE375:AH375"/>
    <mergeCell ref="AJ375:AM375"/>
    <mergeCell ref="AO375:AR375"/>
    <mergeCell ref="C370:D370"/>
    <mergeCell ref="C371:D371"/>
    <mergeCell ref="C372:D372"/>
    <mergeCell ref="C373:D373"/>
    <mergeCell ref="C374:D374"/>
    <mergeCell ref="B310:AT310"/>
    <mergeCell ref="B314:E319"/>
    <mergeCell ref="F314:J319"/>
    <mergeCell ref="K314:O315"/>
    <mergeCell ref="P314:T315"/>
    <mergeCell ref="U314:Y315"/>
    <mergeCell ref="Z314:AD315"/>
    <mergeCell ref="AE314:AI315"/>
    <mergeCell ref="AJ314:AN315"/>
    <mergeCell ref="AO314:AS315"/>
    <mergeCell ref="K316:O319"/>
    <mergeCell ref="P316:T319"/>
    <mergeCell ref="U316:Y319"/>
    <mergeCell ref="Z316:AD319"/>
    <mergeCell ref="AE316:AI319"/>
    <mergeCell ref="AJ316:AN319"/>
    <mergeCell ref="AO316:AS319"/>
    <mergeCell ref="B325:D325"/>
    <mergeCell ref="B326:D326"/>
    <mergeCell ref="C361:D361"/>
    <mergeCell ref="C362:D362"/>
    <mergeCell ref="C363:D363"/>
    <mergeCell ref="C364:D364"/>
    <mergeCell ref="C365:D365"/>
    <mergeCell ref="C366:D366"/>
    <mergeCell ref="C367:D367"/>
    <mergeCell ref="C368:D368"/>
    <mergeCell ref="C369:D369"/>
    <mergeCell ref="C352:D352"/>
    <mergeCell ref="C353:D353"/>
    <mergeCell ref="C354:D354"/>
    <mergeCell ref="C355:D355"/>
    <mergeCell ref="C356:D356"/>
    <mergeCell ref="C357:D357"/>
    <mergeCell ref="C358:D358"/>
    <mergeCell ref="C359:D359"/>
    <mergeCell ref="C360:D360"/>
    <mergeCell ref="C343:D343"/>
    <mergeCell ref="C344:D344"/>
    <mergeCell ref="C345:D345"/>
    <mergeCell ref="C346:D346"/>
    <mergeCell ref="C347:D347"/>
    <mergeCell ref="C348:D348"/>
    <mergeCell ref="C349:D349"/>
    <mergeCell ref="C350:D350"/>
    <mergeCell ref="C351:D351"/>
    <mergeCell ref="C334:D334"/>
    <mergeCell ref="C335:D335"/>
    <mergeCell ref="C336:D336"/>
    <mergeCell ref="C337:D337"/>
    <mergeCell ref="C338:D338"/>
    <mergeCell ref="C339:D339"/>
    <mergeCell ref="C340:D340"/>
    <mergeCell ref="C341:D341"/>
    <mergeCell ref="C342:D342"/>
    <mergeCell ref="C330:D330"/>
    <mergeCell ref="C331:D331"/>
    <mergeCell ref="C332:D332"/>
    <mergeCell ref="C333:D333"/>
    <mergeCell ref="B327:D327"/>
    <mergeCell ref="B328:D328"/>
    <mergeCell ref="B329:D329"/>
    <mergeCell ref="F373:I373"/>
    <mergeCell ref="K373:N373"/>
    <mergeCell ref="F371:I371"/>
    <mergeCell ref="K371:N371"/>
    <mergeCell ref="F369:I369"/>
    <mergeCell ref="K369:N369"/>
    <mergeCell ref="F367:I367"/>
    <mergeCell ref="K367:N367"/>
    <mergeCell ref="F365:I365"/>
    <mergeCell ref="K365:N365"/>
    <mergeCell ref="F363:I363"/>
    <mergeCell ref="K363:N363"/>
    <mergeCell ref="F361:I361"/>
    <mergeCell ref="K361:N361"/>
    <mergeCell ref="F359:I359"/>
    <mergeCell ref="K359:N359"/>
    <mergeCell ref="F357:I357"/>
    <mergeCell ref="P373:S373"/>
    <mergeCell ref="U373:X373"/>
    <mergeCell ref="Z373:AC373"/>
    <mergeCell ref="AE373:AH373"/>
    <mergeCell ref="AJ373:AM373"/>
    <mergeCell ref="AO373:AR373"/>
    <mergeCell ref="F374:I374"/>
    <mergeCell ref="K374:N374"/>
    <mergeCell ref="P374:S374"/>
    <mergeCell ref="U374:X374"/>
    <mergeCell ref="Z374:AC374"/>
    <mergeCell ref="AE374:AH374"/>
    <mergeCell ref="AJ374:AM374"/>
    <mergeCell ref="AO374:AR374"/>
    <mergeCell ref="P371:S371"/>
    <mergeCell ref="U371:X371"/>
    <mergeCell ref="Z371:AC371"/>
    <mergeCell ref="AE371:AH371"/>
    <mergeCell ref="AJ371:AM371"/>
    <mergeCell ref="AO371:AR371"/>
    <mergeCell ref="F372:I372"/>
    <mergeCell ref="K372:N372"/>
    <mergeCell ref="P372:S372"/>
    <mergeCell ref="U372:X372"/>
    <mergeCell ref="Z372:AC372"/>
    <mergeCell ref="AE372:AH372"/>
    <mergeCell ref="AJ372:AM372"/>
    <mergeCell ref="AO372:AR372"/>
    <mergeCell ref="P369:S369"/>
    <mergeCell ref="U369:X369"/>
    <mergeCell ref="Z369:AC369"/>
    <mergeCell ref="AE369:AH369"/>
    <mergeCell ref="AJ369:AM369"/>
    <mergeCell ref="AO369:AR369"/>
    <mergeCell ref="F370:I370"/>
    <mergeCell ref="K370:N370"/>
    <mergeCell ref="P370:S370"/>
    <mergeCell ref="U370:X370"/>
    <mergeCell ref="Z370:AC370"/>
    <mergeCell ref="AE370:AH370"/>
    <mergeCell ref="AJ370:AM370"/>
    <mergeCell ref="AO370:AR370"/>
    <mergeCell ref="P367:S367"/>
    <mergeCell ref="U367:X367"/>
    <mergeCell ref="Z367:AC367"/>
    <mergeCell ref="AE367:AH367"/>
    <mergeCell ref="AJ367:AM367"/>
    <mergeCell ref="AO367:AR367"/>
    <mergeCell ref="F368:I368"/>
    <mergeCell ref="K368:N368"/>
    <mergeCell ref="P368:S368"/>
    <mergeCell ref="U368:X368"/>
    <mergeCell ref="Z368:AC368"/>
    <mergeCell ref="AE368:AH368"/>
    <mergeCell ref="AJ368:AM368"/>
    <mergeCell ref="AO368:AR368"/>
    <mergeCell ref="P365:S365"/>
    <mergeCell ref="U365:X365"/>
    <mergeCell ref="Z365:AC365"/>
    <mergeCell ref="AE365:AH365"/>
    <mergeCell ref="AJ365:AM365"/>
    <mergeCell ref="AO365:AR365"/>
    <mergeCell ref="F366:I366"/>
    <mergeCell ref="K366:N366"/>
    <mergeCell ref="P366:S366"/>
    <mergeCell ref="U366:X366"/>
    <mergeCell ref="Z366:AC366"/>
    <mergeCell ref="AE366:AH366"/>
    <mergeCell ref="AJ366:AM366"/>
    <mergeCell ref="AO366:AR366"/>
    <mergeCell ref="P363:S363"/>
    <mergeCell ref="U363:X363"/>
    <mergeCell ref="Z363:AC363"/>
    <mergeCell ref="AE363:AH363"/>
    <mergeCell ref="AJ363:AM363"/>
    <mergeCell ref="AO363:AR363"/>
    <mergeCell ref="F364:I364"/>
    <mergeCell ref="K364:N364"/>
    <mergeCell ref="P364:S364"/>
    <mergeCell ref="U364:X364"/>
    <mergeCell ref="Z364:AC364"/>
    <mergeCell ref="AE364:AH364"/>
    <mergeCell ref="AJ364:AM364"/>
    <mergeCell ref="AO364:AR364"/>
    <mergeCell ref="P361:S361"/>
    <mergeCell ref="U361:X361"/>
    <mergeCell ref="Z361:AC361"/>
    <mergeCell ref="AE361:AH361"/>
    <mergeCell ref="AJ361:AM361"/>
    <mergeCell ref="AO361:AR361"/>
    <mergeCell ref="F362:I362"/>
    <mergeCell ref="K362:N362"/>
    <mergeCell ref="P362:S362"/>
    <mergeCell ref="U362:X362"/>
    <mergeCell ref="Z362:AC362"/>
    <mergeCell ref="AE362:AH362"/>
    <mergeCell ref="AJ362:AM362"/>
    <mergeCell ref="AO362:AR362"/>
    <mergeCell ref="P359:S359"/>
    <mergeCell ref="U359:X359"/>
    <mergeCell ref="Z359:AC359"/>
    <mergeCell ref="AE359:AH359"/>
    <mergeCell ref="AJ359:AM359"/>
    <mergeCell ref="AO359:AR359"/>
    <mergeCell ref="F360:I360"/>
    <mergeCell ref="K360:N360"/>
    <mergeCell ref="P360:S360"/>
    <mergeCell ref="U360:X360"/>
    <mergeCell ref="Z360:AC360"/>
    <mergeCell ref="AE360:AH360"/>
    <mergeCell ref="AJ360:AM360"/>
    <mergeCell ref="AO360:AR360"/>
    <mergeCell ref="K357:N357"/>
    <mergeCell ref="P357:S357"/>
    <mergeCell ref="U357:X357"/>
    <mergeCell ref="Z357:AC357"/>
    <mergeCell ref="AE357:AH357"/>
    <mergeCell ref="AJ357:AM357"/>
    <mergeCell ref="AO357:AR357"/>
    <mergeCell ref="F358:I358"/>
    <mergeCell ref="K358:N358"/>
    <mergeCell ref="P358:S358"/>
    <mergeCell ref="U358:X358"/>
    <mergeCell ref="Z358:AC358"/>
    <mergeCell ref="AE358:AH358"/>
    <mergeCell ref="AJ358:AM358"/>
    <mergeCell ref="AO358:AR358"/>
    <mergeCell ref="F355:I355"/>
    <mergeCell ref="K355:N355"/>
    <mergeCell ref="P355:S355"/>
    <mergeCell ref="U355:X355"/>
    <mergeCell ref="Z355:AC355"/>
    <mergeCell ref="AE355:AH355"/>
    <mergeCell ref="AJ355:AM355"/>
    <mergeCell ref="AO355:AR355"/>
    <mergeCell ref="F356:I356"/>
    <mergeCell ref="K356:N356"/>
    <mergeCell ref="P356:S356"/>
    <mergeCell ref="U356:X356"/>
    <mergeCell ref="Z356:AC356"/>
    <mergeCell ref="AE356:AH356"/>
    <mergeCell ref="AJ356:AM356"/>
    <mergeCell ref="AO356:AR356"/>
    <mergeCell ref="F353:I353"/>
    <mergeCell ref="K353:N353"/>
    <mergeCell ref="P353:S353"/>
    <mergeCell ref="U353:X353"/>
    <mergeCell ref="Z353:AC353"/>
    <mergeCell ref="AE353:AH353"/>
    <mergeCell ref="AJ353:AM353"/>
    <mergeCell ref="AO353:AR353"/>
    <mergeCell ref="F354:I354"/>
    <mergeCell ref="K354:N354"/>
    <mergeCell ref="P354:S354"/>
    <mergeCell ref="U354:X354"/>
    <mergeCell ref="Z354:AC354"/>
    <mergeCell ref="AE354:AH354"/>
    <mergeCell ref="AJ354:AM354"/>
    <mergeCell ref="AO354:AR354"/>
    <mergeCell ref="F351:I351"/>
    <mergeCell ref="K351:N351"/>
    <mergeCell ref="P351:S351"/>
    <mergeCell ref="U351:X351"/>
    <mergeCell ref="Z351:AC351"/>
    <mergeCell ref="AE351:AH351"/>
    <mergeCell ref="AJ351:AM351"/>
    <mergeCell ref="AO351:AR351"/>
    <mergeCell ref="F352:I352"/>
    <mergeCell ref="K352:N352"/>
    <mergeCell ref="P352:S352"/>
    <mergeCell ref="U352:X352"/>
    <mergeCell ref="Z352:AC352"/>
    <mergeCell ref="AE352:AH352"/>
    <mergeCell ref="AJ352:AM352"/>
    <mergeCell ref="AO352:AR352"/>
    <mergeCell ref="F349:I349"/>
    <mergeCell ref="K349:N349"/>
    <mergeCell ref="P349:S349"/>
    <mergeCell ref="U349:X349"/>
    <mergeCell ref="Z349:AC349"/>
    <mergeCell ref="AE349:AH349"/>
    <mergeCell ref="AJ349:AM349"/>
    <mergeCell ref="AO349:AR349"/>
    <mergeCell ref="F350:I350"/>
    <mergeCell ref="K350:N350"/>
    <mergeCell ref="P350:S350"/>
    <mergeCell ref="U350:X350"/>
    <mergeCell ref="Z350:AC350"/>
    <mergeCell ref="AE350:AH350"/>
    <mergeCell ref="AJ350:AM350"/>
    <mergeCell ref="AO350:AR350"/>
    <mergeCell ref="F347:I347"/>
    <mergeCell ref="K347:N347"/>
    <mergeCell ref="P347:S347"/>
    <mergeCell ref="U347:X347"/>
    <mergeCell ref="Z347:AC347"/>
    <mergeCell ref="AE347:AH347"/>
    <mergeCell ref="AJ347:AM347"/>
    <mergeCell ref="AO347:AR347"/>
    <mergeCell ref="F348:I348"/>
    <mergeCell ref="K348:N348"/>
    <mergeCell ref="P348:S348"/>
    <mergeCell ref="U348:X348"/>
    <mergeCell ref="Z348:AC348"/>
    <mergeCell ref="AE348:AH348"/>
    <mergeCell ref="AJ348:AM348"/>
    <mergeCell ref="AO348:AR348"/>
    <mergeCell ref="F345:I345"/>
    <mergeCell ref="K345:N345"/>
    <mergeCell ref="P345:S345"/>
    <mergeCell ref="U345:X345"/>
    <mergeCell ref="Z345:AC345"/>
    <mergeCell ref="AE345:AH345"/>
    <mergeCell ref="AJ345:AM345"/>
    <mergeCell ref="AO345:AR345"/>
    <mergeCell ref="F346:I346"/>
    <mergeCell ref="K346:N346"/>
    <mergeCell ref="P346:S346"/>
    <mergeCell ref="U346:X346"/>
    <mergeCell ref="Z346:AC346"/>
    <mergeCell ref="AE346:AH346"/>
    <mergeCell ref="AJ346:AM346"/>
    <mergeCell ref="AO346:AR346"/>
    <mergeCell ref="F343:I343"/>
    <mergeCell ref="K343:N343"/>
    <mergeCell ref="P343:S343"/>
    <mergeCell ref="U343:X343"/>
    <mergeCell ref="Z343:AC343"/>
    <mergeCell ref="AE343:AH343"/>
    <mergeCell ref="AJ343:AM343"/>
    <mergeCell ref="AO343:AR343"/>
    <mergeCell ref="F344:I344"/>
    <mergeCell ref="K344:N344"/>
    <mergeCell ref="P344:S344"/>
    <mergeCell ref="U344:X344"/>
    <mergeCell ref="Z344:AC344"/>
    <mergeCell ref="AE344:AH344"/>
    <mergeCell ref="AJ344:AM344"/>
    <mergeCell ref="AO344:AR344"/>
    <mergeCell ref="F341:I341"/>
    <mergeCell ref="K341:N341"/>
    <mergeCell ref="P341:S341"/>
    <mergeCell ref="U341:X341"/>
    <mergeCell ref="Z341:AC341"/>
    <mergeCell ref="AE341:AH341"/>
    <mergeCell ref="AJ341:AM341"/>
    <mergeCell ref="AO341:AR341"/>
    <mergeCell ref="F342:I342"/>
    <mergeCell ref="K342:N342"/>
    <mergeCell ref="P342:S342"/>
    <mergeCell ref="U342:X342"/>
    <mergeCell ref="Z342:AC342"/>
    <mergeCell ref="AE342:AH342"/>
    <mergeCell ref="AJ342:AM342"/>
    <mergeCell ref="AO342:AR342"/>
    <mergeCell ref="F339:I339"/>
    <mergeCell ref="K339:N339"/>
    <mergeCell ref="P339:S339"/>
    <mergeCell ref="U339:X339"/>
    <mergeCell ref="Z339:AC339"/>
    <mergeCell ref="AE339:AH339"/>
    <mergeCell ref="AJ339:AM339"/>
    <mergeCell ref="AO339:AR339"/>
    <mergeCell ref="F340:I340"/>
    <mergeCell ref="K340:N340"/>
    <mergeCell ref="P340:S340"/>
    <mergeCell ref="U340:X340"/>
    <mergeCell ref="Z340:AC340"/>
    <mergeCell ref="AE340:AH340"/>
    <mergeCell ref="AJ340:AM340"/>
    <mergeCell ref="AO340:AR340"/>
    <mergeCell ref="F337:I337"/>
    <mergeCell ref="K337:N337"/>
    <mergeCell ref="P337:S337"/>
    <mergeCell ref="U337:X337"/>
    <mergeCell ref="Z337:AC337"/>
    <mergeCell ref="AE337:AH337"/>
    <mergeCell ref="AJ337:AM337"/>
    <mergeCell ref="AO337:AR337"/>
    <mergeCell ref="F338:I338"/>
    <mergeCell ref="K338:N338"/>
    <mergeCell ref="P338:S338"/>
    <mergeCell ref="U338:X338"/>
    <mergeCell ref="Z338:AC338"/>
    <mergeCell ref="AE338:AH338"/>
    <mergeCell ref="AJ338:AM338"/>
    <mergeCell ref="AO338:AR338"/>
    <mergeCell ref="F335:I335"/>
    <mergeCell ref="K335:N335"/>
    <mergeCell ref="P335:S335"/>
    <mergeCell ref="U335:X335"/>
    <mergeCell ref="Z335:AC335"/>
    <mergeCell ref="AE335:AH335"/>
    <mergeCell ref="AJ335:AM335"/>
    <mergeCell ref="AO335:AR335"/>
    <mergeCell ref="F336:I336"/>
    <mergeCell ref="K336:N336"/>
    <mergeCell ref="P336:S336"/>
    <mergeCell ref="U336:X336"/>
    <mergeCell ref="Z336:AC336"/>
    <mergeCell ref="AE336:AH336"/>
    <mergeCell ref="AJ336:AM336"/>
    <mergeCell ref="AO336:AR336"/>
    <mergeCell ref="F333:I333"/>
    <mergeCell ref="K333:N333"/>
    <mergeCell ref="P333:S333"/>
    <mergeCell ref="U333:X333"/>
    <mergeCell ref="Z333:AC333"/>
    <mergeCell ref="AE333:AH333"/>
    <mergeCell ref="AJ333:AM333"/>
    <mergeCell ref="AO333:AR333"/>
    <mergeCell ref="F334:I334"/>
    <mergeCell ref="K334:N334"/>
    <mergeCell ref="P334:S334"/>
    <mergeCell ref="U334:X334"/>
    <mergeCell ref="Z334:AC334"/>
    <mergeCell ref="AE334:AH334"/>
    <mergeCell ref="AJ334:AM334"/>
    <mergeCell ref="AO334:AR334"/>
    <mergeCell ref="F331:I331"/>
    <mergeCell ref="K331:N331"/>
    <mergeCell ref="P331:S331"/>
    <mergeCell ref="U331:X331"/>
    <mergeCell ref="Z331:AC331"/>
    <mergeCell ref="AE331:AH331"/>
    <mergeCell ref="AJ331:AM331"/>
    <mergeCell ref="AO331:AR331"/>
    <mergeCell ref="F332:I332"/>
    <mergeCell ref="K332:N332"/>
    <mergeCell ref="P332:S332"/>
    <mergeCell ref="U332:X332"/>
    <mergeCell ref="Z332:AC332"/>
    <mergeCell ref="AE332:AH332"/>
    <mergeCell ref="AJ332:AM332"/>
    <mergeCell ref="AO332:AR332"/>
    <mergeCell ref="F329:I329"/>
    <mergeCell ref="K329:N329"/>
    <mergeCell ref="P329:S329"/>
    <mergeCell ref="U329:X329"/>
    <mergeCell ref="Z329:AC329"/>
    <mergeCell ref="AE329:AH329"/>
    <mergeCell ref="AJ329:AM329"/>
    <mergeCell ref="AO329:AR329"/>
    <mergeCell ref="F330:I330"/>
    <mergeCell ref="K330:N330"/>
    <mergeCell ref="P330:S330"/>
    <mergeCell ref="U330:X330"/>
    <mergeCell ref="Z330:AC330"/>
    <mergeCell ref="AE330:AH330"/>
    <mergeCell ref="AJ330:AM330"/>
    <mergeCell ref="AO330:AR330"/>
    <mergeCell ref="F327:I327"/>
    <mergeCell ref="K327:N327"/>
    <mergeCell ref="P327:S327"/>
    <mergeCell ref="U327:X327"/>
    <mergeCell ref="Z327:AC327"/>
    <mergeCell ref="AE327:AH327"/>
    <mergeCell ref="AJ327:AM327"/>
    <mergeCell ref="AO327:AR327"/>
    <mergeCell ref="F328:I328"/>
    <mergeCell ref="K328:N328"/>
    <mergeCell ref="P328:S328"/>
    <mergeCell ref="U328:X328"/>
    <mergeCell ref="Z328:AC328"/>
    <mergeCell ref="AE328:AH328"/>
    <mergeCell ref="AJ328:AM328"/>
    <mergeCell ref="AO328:AR328"/>
    <mergeCell ref="F325:I325"/>
    <mergeCell ref="K325:N325"/>
    <mergeCell ref="P325:S325"/>
    <mergeCell ref="U325:X325"/>
    <mergeCell ref="Z325:AC325"/>
    <mergeCell ref="AE325:AH325"/>
    <mergeCell ref="AJ325:AM325"/>
    <mergeCell ref="AO325:AR325"/>
    <mergeCell ref="F326:I326"/>
    <mergeCell ref="K326:N326"/>
    <mergeCell ref="P326:S326"/>
    <mergeCell ref="U326:X326"/>
    <mergeCell ref="Z326:AC326"/>
    <mergeCell ref="AE326:AH326"/>
    <mergeCell ref="AJ326:AM326"/>
    <mergeCell ref="AO326:AR326"/>
    <mergeCell ref="B324:D324"/>
    <mergeCell ref="F324:I324"/>
    <mergeCell ref="K324:N324"/>
    <mergeCell ref="P324:S324"/>
    <mergeCell ref="U324:X324"/>
    <mergeCell ref="Z324:AC324"/>
    <mergeCell ref="AE324:AH324"/>
    <mergeCell ref="AJ324:AM324"/>
    <mergeCell ref="AO324:AR324"/>
    <mergeCell ref="B323:D323"/>
    <mergeCell ref="F323:I323"/>
    <mergeCell ref="K323:N323"/>
    <mergeCell ref="P323:S323"/>
    <mergeCell ref="U323:X323"/>
    <mergeCell ref="Z323:AC323"/>
    <mergeCell ref="AE323:AH323"/>
    <mergeCell ref="AJ323:AM323"/>
    <mergeCell ref="AO323:AR323"/>
    <mergeCell ref="B322:D322"/>
    <mergeCell ref="F322:I322"/>
    <mergeCell ref="K322:N322"/>
    <mergeCell ref="P322:S322"/>
    <mergeCell ref="U322:X322"/>
    <mergeCell ref="Z322:AC322"/>
    <mergeCell ref="AE322:AH322"/>
    <mergeCell ref="AJ322:AM322"/>
    <mergeCell ref="AO322:AR322"/>
    <mergeCell ref="C297:AS303"/>
    <mergeCell ref="B321:D321"/>
    <mergeCell ref="F321:I321"/>
    <mergeCell ref="K321:N321"/>
    <mergeCell ref="P321:S321"/>
    <mergeCell ref="U321:X321"/>
    <mergeCell ref="Z321:AC321"/>
    <mergeCell ref="AE321:AH321"/>
    <mergeCell ref="AJ321:AM321"/>
    <mergeCell ref="AO321:AR321"/>
    <mergeCell ref="F320:I320"/>
    <mergeCell ref="K320:N320"/>
    <mergeCell ref="P320:S320"/>
    <mergeCell ref="U320:X320"/>
    <mergeCell ref="Z320:AC320"/>
    <mergeCell ref="AE320:AH320"/>
    <mergeCell ref="AJ320:AM320"/>
    <mergeCell ref="AO320:AR320"/>
    <mergeCell ref="B320:E320"/>
    <mergeCell ref="AK275:AS275"/>
    <mergeCell ref="AK279:AS279"/>
    <mergeCell ref="N290:V290"/>
    <mergeCell ref="N291:AT291"/>
    <mergeCell ref="N292:AD292"/>
    <mergeCell ref="N286:AT286"/>
    <mergeCell ref="N287:AT287"/>
    <mergeCell ref="N288:AT288"/>
    <mergeCell ref="K289:L289"/>
    <mergeCell ref="X289:AA289"/>
    <mergeCell ref="AH289:AN289"/>
    <mergeCell ref="K283:L283"/>
    <mergeCell ref="X283:AC283"/>
    <mergeCell ref="AH283:AN283"/>
    <mergeCell ref="AH284:AN284"/>
    <mergeCell ref="AH285:AN285"/>
    <mergeCell ref="U278:V278"/>
    <mergeCell ref="W278:X278"/>
    <mergeCell ref="Z278:AA278"/>
    <mergeCell ref="AC278:AD278"/>
    <mergeCell ref="AH278:AR278"/>
    <mergeCell ref="K260:L260"/>
    <mergeCell ref="M260:N260"/>
    <mergeCell ref="P260:Q260"/>
    <mergeCell ref="S260:T260"/>
    <mergeCell ref="U274:V274"/>
    <mergeCell ref="W274:X274"/>
    <mergeCell ref="Z274:AA274"/>
    <mergeCell ref="AC274:AD274"/>
    <mergeCell ref="AH274:AR274"/>
    <mergeCell ref="AA260:AS260"/>
    <mergeCell ref="K258:L258"/>
    <mergeCell ref="M258:N258"/>
    <mergeCell ref="P258:Q258"/>
    <mergeCell ref="S258:T258"/>
    <mergeCell ref="K259:L259"/>
    <mergeCell ref="M259:N259"/>
    <mergeCell ref="P259:Q259"/>
    <mergeCell ref="S259:T259"/>
    <mergeCell ref="AA258:AS258"/>
    <mergeCell ref="AA259:AS259"/>
    <mergeCell ref="Z249:AB249"/>
    <mergeCell ref="AP249:AR249"/>
    <mergeCell ref="T251:AO251"/>
    <mergeCell ref="K257:L257"/>
    <mergeCell ref="M257:N257"/>
    <mergeCell ref="P257:Q257"/>
    <mergeCell ref="S257:T257"/>
    <mergeCell ref="K239:L239"/>
    <mergeCell ref="X239:AA239"/>
    <mergeCell ref="AH239:AN239"/>
    <mergeCell ref="N240:V240"/>
    <mergeCell ref="N241:AT241"/>
    <mergeCell ref="N242:AD242"/>
    <mergeCell ref="AA257:AS257"/>
    <mergeCell ref="AH233:AN233"/>
    <mergeCell ref="AH234:AN234"/>
    <mergeCell ref="AH235:AN235"/>
    <mergeCell ref="N236:AT236"/>
    <mergeCell ref="N237:AT237"/>
    <mergeCell ref="N238:AT238"/>
    <mergeCell ref="V230:Z230"/>
    <mergeCell ref="AD230:AG230"/>
    <mergeCell ref="V231:Z231"/>
    <mergeCell ref="AD231:AG231"/>
    <mergeCell ref="K233:L233"/>
    <mergeCell ref="X233:AC233"/>
    <mergeCell ref="V227:Z227"/>
    <mergeCell ref="AD227:AG227"/>
    <mergeCell ref="V228:Z228"/>
    <mergeCell ref="AD228:AG228"/>
    <mergeCell ref="V229:Z229"/>
    <mergeCell ref="AD229:AG229"/>
    <mergeCell ref="V224:Z224"/>
    <mergeCell ref="AD224:AG224"/>
    <mergeCell ref="V225:Z225"/>
    <mergeCell ref="AD225:AG225"/>
    <mergeCell ref="O226:Q226"/>
    <mergeCell ref="V226:Z226"/>
    <mergeCell ref="AD226:AG226"/>
    <mergeCell ref="V221:Z221"/>
    <mergeCell ref="AD221:AG221"/>
    <mergeCell ref="V222:Z222"/>
    <mergeCell ref="AD222:AG222"/>
    <mergeCell ref="O223:Q223"/>
    <mergeCell ref="V223:Z223"/>
    <mergeCell ref="AD223:AG223"/>
    <mergeCell ref="V218:Z218"/>
    <mergeCell ref="AD218:AG218"/>
    <mergeCell ref="V219:Z219"/>
    <mergeCell ref="AD219:AG219"/>
    <mergeCell ref="O220:Q220"/>
    <mergeCell ref="V220:Z220"/>
    <mergeCell ref="AD220:AG220"/>
    <mergeCell ref="V216:Z216"/>
    <mergeCell ref="AD216:AG216"/>
    <mergeCell ref="O217:Q217"/>
    <mergeCell ref="V217:Z217"/>
    <mergeCell ref="AD217:AG217"/>
    <mergeCell ref="O206:V206"/>
    <mergeCell ref="O207:V207"/>
    <mergeCell ref="W213:Y213"/>
    <mergeCell ref="AE213:AG213"/>
    <mergeCell ref="O214:Q214"/>
    <mergeCell ref="V214:Z214"/>
    <mergeCell ref="AD214:AG214"/>
    <mergeCell ref="R204:T204"/>
    <mergeCell ref="Z204:AB204"/>
    <mergeCell ref="O205:V205"/>
    <mergeCell ref="Z118:AA118"/>
    <mergeCell ref="AB118:AC118"/>
    <mergeCell ref="AE118:AF118"/>
    <mergeCell ref="X119:AR119"/>
    <mergeCell ref="B188:AT188"/>
    <mergeCell ref="V215:Z215"/>
    <mergeCell ref="AD215:AG215"/>
    <mergeCell ref="AK213:AR213"/>
    <mergeCell ref="T194:AE194"/>
    <mergeCell ref="O195:AS195"/>
    <mergeCell ref="AF203:AQ203"/>
    <mergeCell ref="S110:T110"/>
    <mergeCell ref="U110:V110"/>
    <mergeCell ref="X110:Y110"/>
    <mergeCell ref="AA110:AB110"/>
    <mergeCell ref="S111:T111"/>
    <mergeCell ref="U111:V111"/>
    <mergeCell ref="X111:Y111"/>
    <mergeCell ref="AA111:AB111"/>
    <mergeCell ref="S108:T108"/>
    <mergeCell ref="U108:V108"/>
    <mergeCell ref="X108:Y108"/>
    <mergeCell ref="AA108:AB108"/>
    <mergeCell ref="S109:T109"/>
    <mergeCell ref="U109:V109"/>
    <mergeCell ref="X109:Y109"/>
    <mergeCell ref="AA109:AB109"/>
    <mergeCell ref="R101:S101"/>
    <mergeCell ref="T101:U101"/>
    <mergeCell ref="W101:X101"/>
    <mergeCell ref="O102:AS102"/>
    <mergeCell ref="S107:T107"/>
    <mergeCell ref="U107:V107"/>
    <mergeCell ref="X107:Y107"/>
    <mergeCell ref="AA107:AB107"/>
    <mergeCell ref="O84:AS84"/>
    <mergeCell ref="N85:AT85"/>
    <mergeCell ref="N86:AT86"/>
    <mergeCell ref="N87:AT87"/>
    <mergeCell ref="N88:AT88"/>
    <mergeCell ref="Y94:AJ94"/>
    <mergeCell ref="O96:Z96"/>
    <mergeCell ref="O72:U72"/>
    <mergeCell ref="O73:AS73"/>
    <mergeCell ref="O74:AB74"/>
    <mergeCell ref="O81:AS81"/>
    <mergeCell ref="O82:AS82"/>
    <mergeCell ref="O83:AS83"/>
    <mergeCell ref="AM67:AR67"/>
    <mergeCell ref="O68:AS68"/>
    <mergeCell ref="O69:AS69"/>
    <mergeCell ref="O70:AS70"/>
    <mergeCell ref="P71:Q71"/>
    <mergeCell ref="Z71:AE71"/>
    <mergeCell ref="AM71:AR71"/>
    <mergeCell ref="O61:U61"/>
    <mergeCell ref="O62:AS62"/>
    <mergeCell ref="O63:AB63"/>
    <mergeCell ref="P66:Q66"/>
    <mergeCell ref="Z66:AG66"/>
    <mergeCell ref="AM66:AR66"/>
    <mergeCell ref="AM56:AR56"/>
    <mergeCell ref="O57:AS57"/>
    <mergeCell ref="O58:AS58"/>
    <mergeCell ref="O59:AS59"/>
    <mergeCell ref="P60:Q60"/>
    <mergeCell ref="Z60:AE60"/>
    <mergeCell ref="AM60:AR60"/>
    <mergeCell ref="O45:AS45"/>
    <mergeCell ref="N47:AT47"/>
    <mergeCell ref="P55:Q55"/>
    <mergeCell ref="Z55:AG55"/>
    <mergeCell ref="AM55:AR55"/>
    <mergeCell ref="B6:AS6"/>
    <mergeCell ref="B9:AS9"/>
    <mergeCell ref="O31:AS31"/>
    <mergeCell ref="O32:AS32"/>
    <mergeCell ref="O33:U33"/>
    <mergeCell ref="O34:AS34"/>
    <mergeCell ref="AP4:AS4"/>
    <mergeCell ref="Y114:AJ114"/>
    <mergeCell ref="B128:AT128"/>
    <mergeCell ref="C135:I135"/>
    <mergeCell ref="C177:I177"/>
    <mergeCell ref="J135:AS154"/>
    <mergeCell ref="J177:AS186"/>
    <mergeCell ref="P162:Q162"/>
    <mergeCell ref="Z162:AG162"/>
    <mergeCell ref="AM162:AR162"/>
    <mergeCell ref="AM163:AR163"/>
    <mergeCell ref="O164:AS164"/>
    <mergeCell ref="O165:AS165"/>
    <mergeCell ref="O166:AS166"/>
    <mergeCell ref="P167:Q167"/>
    <mergeCell ref="Z167:AE167"/>
    <mergeCell ref="AM167:AR167"/>
    <mergeCell ref="O168:U168"/>
    <mergeCell ref="O169:AS169"/>
    <mergeCell ref="O170:AB170"/>
    <mergeCell ref="O117:Z117"/>
    <mergeCell ref="O42:AS42"/>
    <mergeCell ref="O43:AS43"/>
    <mergeCell ref="O44:U44"/>
  </mergeCells>
  <phoneticPr fontId="3"/>
  <dataValidations disablePrompts="1" xWindow="896" yWindow="579" count="6">
    <dataValidation imeMode="fullAlpha" allowBlank="1" showInputMessage="1" showErrorMessage="1" sqref="AH289 N48:N49 O33 N290 X107:X111 AM66:AR67 AK275 U107:U111 O220 O226 T251 AH283:AH285 O44 N242 W278 W101 N240 N36:N38 O214 O217 T101 O195 R204 Z204 O205:O207 T194 AF203 AH233:AH235 AH239 N292 AK213 AP249 W274 O72 O74 O61 M257:M260 AM71:AR71 O223 Z249 AM55:AR56 O63 AM60:AR60 AK279 AM162:AR163 O168 O170 AM167:AR167 V214:V231 AD214:AD231" xr:uid="{00000000-0002-0000-0500-000001000000}"/>
    <dataValidation imeMode="hiragana" allowBlank="1" showInputMessage="1" showErrorMessage="1" sqref="C47:C49 AE36:AL38 AE48:AL49 N75:N77 BB36:BB38 X289 N241 N238 B248 B256 X239 O97:O100 C261:C263 C250:C251 B267:B271 O102 O70 O45 N196:N198 B201 B213 B80 D202:D207 C53 N288 B296 N85:N91 B192 AH189 N208:N210 C230:C231 X233 C233:C242 W240:AP240 B232 AE242:AP242 C64 Z60 C36:C38 B94 AH174:AH175 C75:C77 D193:D195 N291 AA107:AA111 C283:C292 W290:AP290 B282 AE292:AP292 P257:P260 D229 X283 C215:C228 B41 B30 D31:D34 O34 B52 C297 D272:D281 D54 O62 Z55 Z278 Z66 O84 O81 D95:D102 D107:D111 B106 O73 Z71 N226 N223 N220 N214 N217 D81:D84 C85:C91 O59 D42:D45 D214 S257:S260 Z274 AC274 AA257:AA260 AC278 AH311 AH130:AH131 B132 O166 C160 Z162 O169 Z167 AH157:AH158 U213:U231 AC213:AC231 X119:AR119" xr:uid="{00000000-0002-0000-0500-000002000000}"/>
    <dataValidation imeMode="halfKatakana" allowBlank="1" showErrorMessage="1" sqref="O68 AS278 N236:AT236 O57 O31:O32 N286:AT286 O42 AS274 AH274 O82 AH278 O164" xr:uid="{00000000-0002-0000-0500-000003000000}"/>
    <dataValidation imeMode="hiragana" allowBlank="1" showErrorMessage="1" sqref="AU65:AY65 N81:N84 N65:AS65 N237:AT237 O83 O43 N287:AT287 AU59 O58 O69 AU161:AY161 N161:AS161 O165" xr:uid="{00000000-0002-0000-0500-000004000000}"/>
    <dataValidation imeMode="hiragana" allowBlank="1" showInputMessage="1" showErrorMessage="1" promptTitle="直接入力してください。" prompt="直接入力しないと、イ．氏名のフリガナが正確に表示されません。" sqref="N47:AT47" xr:uid="{00000000-0002-0000-0500-000005000000}"/>
    <dataValidation type="list" imeMode="hiragana" allowBlank="1" showInputMessage="1" showErrorMessage="1" sqref="K289:L289 K233:L233 K283:L283 K239:L239" xr:uid="{00000000-0002-0000-0500-000006000000}">
      <formula1>"　,1級,2級"</formula1>
    </dataValidation>
  </dataValidations>
  <hyperlinks>
    <hyperlink ref="O96" location="報告書!A432:A486" display="別紙参照" xr:uid="{00000000-0004-0000-0500-000000000000}"/>
    <hyperlink ref="O96:W96" location="【入力不要】_報告概要書!A1" display="指摘の概要は「別紙による」" xr:uid="{00000000-0004-0000-0500-000001000000}"/>
    <hyperlink ref="O117" location="報告書!A432:A486" display="別紙参照" xr:uid="{00000000-0004-0000-0500-000002000000}"/>
    <hyperlink ref="O117:W117" location="【入力不要】_報告概要書!A1" display="指摘の概要は「別紙による」" xr:uid="{00000000-0004-0000-0500-000003000000}"/>
    <hyperlink ref="O96:Z96" location="'＜入力不要＞概要書'!A128:A187" display="第一面別紙参照" xr:uid="{00000000-0004-0000-0500-000004000000}"/>
    <hyperlink ref="O117:Z117" location="'＜入力不要＞概要書'!A174:A220" display="第一面別紙参照" xr:uid="{00000000-0004-0000-0500-000005000000}"/>
    <hyperlink ref="AK213:AO213" location="'＜入力不要＞概要書'!A310:A380" display="第二面別紙参照" xr:uid="{00000000-0004-0000-0500-000006000000}"/>
    <hyperlink ref="AN1" location="使用方法!F26:F34" display="シート一覧へ" xr:uid="{A97C3282-CF51-4B10-BAEF-015BC41E1F17}"/>
    <hyperlink ref="AN1:AS1" location="使用方法!F29:F37" display="シート一覧へ" xr:uid="{39B62228-A8D4-462D-8A52-0DDF7E6A4B86}"/>
  </hyperlinks>
  <printOptions horizontalCentered="1"/>
  <pageMargins left="0.19685039370078741" right="0.19685039370078741" top="0.78740157480314965" bottom="0.19685039370078741" header="0" footer="0"/>
  <pageSetup paperSize="9" scale="90" orientation="portrait" blackAndWhite="1" horizontalDpi="300" verticalDpi="300" r:id="rId1"/>
  <headerFooter alignWithMargins="0"/>
  <rowBreaks count="3" manualBreakCount="3">
    <brk id="121" max="45" man="1"/>
    <brk id="187" max="16383" man="1"/>
    <brk id="309" max="45" man="1"/>
  </rowBreaks>
  <colBreaks count="1" manualBreakCount="1">
    <brk id="51" max="646" man="1"/>
  </col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Z Z z l V H k x 3 j + l A A A A 9 Q A A A B I A H A B D b 2 5 m a W c v U G F j a 2 F n Z S 5 4 b W w g o h g A K K A U A A A A A A A A A A A A A A A A A A A A A A A A A A A A h Y + x D o I w G I R f h X S n r T U m S H 7 K 4 G Y k I T E x r k 2 p U I V i a L G 8 m 4 O P 5 C u I U d T N 8 b 6 7 S + 7 u 1 x u k Q 1 M H F 9 V Z 3 Z o E z T B F g T K y L b Q p E 9 S 7 Q x i h l E M u 5 E m U K h j D x s a D 1 Q m q n D v H h H j v s Z / j t i s J o 3 R G 9 t l m K y v V i F A b 6 4 S R C n 1 a x f 8 W 4 r B 7 j e E M L y l e R A x T I B O D T J u v z 8 a 5 T / c H w q q v X d 8 p f h T h O g c y S S D v C / w B U E s D B B Q A A g A I A G W c 5 V 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l n O V U K I p H u A 4 A A A A R A A A A E w A c A E Z v c m 1 1 b G F z L 1 N l Y 3 R p b 2 4 x L m 0 g o h g A K K A U A A A A A A A A A A A A A A A A A A A A A A A A A A A A K 0 5 N L s n M z 1 M I h t C G 1 g B Q S w E C L Q A U A A I A C A B l n O V U e T H e P 6 U A A A D 1 A A A A E g A A A A A A A A A A A A A A A A A A A A A A Q 2 9 u Z m l n L 1 B h Y 2 t h Z 2 U u e G 1 s U E s B A i 0 A F A A C A A g A Z Z z l V A / K 6 a u k A A A A 6 Q A A A B M A A A A A A A A A A A A A A A A A 8 Q A A A F t D b 2 5 0 Z W 5 0 X 1 R 5 c G V z X S 5 4 b W x Q S w E C L Q A U A A I A C A B l n O V U 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u F i h X D + 6 U k e Z 6 3 4 c q n r 4 N g A A A A A C A A A A A A A D Z g A A w A A A A B A A A A B l I c z y 7 4 6 s U A O l 1 e t 6 i x P Y A A A A A A S A A A C g A A A A E A A A A C J L f Q l W z a H x 7 p i C n d a O G n Z Q A A A A p J v E R A l s l F 1 4 T 2 U 8 n L n L k v j l v H 7 2 4 5 U A h 2 y O o l p c Q q f u o a r / M J f / D x s U u X M 8 A E M Q p w X 3 S x Y B l 1 N p e U a i c G 3 u b N k V B 6 / k I R B S Z S N + B R E 5 P W 4 U A A A A v U H p B I 6 c B K Y M 1 P R V G n G R V E R d Z I k = < / D a t a M a s h u p > 
</file>

<file path=customXml/itemProps1.xml><?xml version="1.0" encoding="utf-8"?>
<ds:datastoreItem xmlns:ds="http://schemas.openxmlformats.org/officeDocument/2006/customXml" ds:itemID="{51C11D93-1BDB-4C1A-B4D6-5E058D2AEF4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32</vt:i4>
      </vt:variant>
    </vt:vector>
  </HeadingPairs>
  <TitlesOfParts>
    <vt:vector size="49" baseType="lpstr">
      <vt:lpstr>使用方法</vt:lpstr>
      <vt:lpstr>チェックシート</vt:lpstr>
      <vt:lpstr>1_入力シート【基本情報】</vt:lpstr>
      <vt:lpstr>2_入力シート【用途面積】</vt:lpstr>
      <vt:lpstr>3_入力シート【写真】</vt:lpstr>
      <vt:lpstr>＜別途添付要＞図面</vt:lpstr>
      <vt:lpstr>＜入力不要＞受付管理票</vt:lpstr>
      <vt:lpstr>＜入力不要＞報告書</vt:lpstr>
      <vt:lpstr>＜入力不要＞概要書</vt:lpstr>
      <vt:lpstr>＜入力不要＞調査結果表</vt:lpstr>
      <vt:lpstr>リンクシート</vt:lpstr>
      <vt:lpstr>CSVシート</vt:lpstr>
      <vt:lpstr>リンクシート_概要1</vt:lpstr>
      <vt:lpstr>CSVシート_概要1</vt:lpstr>
      <vt:lpstr>リンクシート_概要2</vt:lpstr>
      <vt:lpstr>CSVシート_概要2</vt:lpstr>
      <vt:lpstr>プルダウン選択肢</vt:lpstr>
      <vt:lpstr>'＜入力不要＞概要書'!Print_Area</vt:lpstr>
      <vt:lpstr>'＜入力不要＞受付管理票'!Print_Area</vt:lpstr>
      <vt:lpstr>'＜入力不要＞調査結果表'!Print_Area</vt:lpstr>
      <vt:lpstr>'＜入力不要＞報告書'!Print_Area</vt:lpstr>
      <vt:lpstr>'＜別途添付要＞図面'!Print_Area</vt:lpstr>
      <vt:lpstr>'1_入力シート【基本情報】'!Print_Area</vt:lpstr>
      <vt:lpstr>'2_入力シート【用途面積】'!Print_Area</vt:lpstr>
      <vt:lpstr>'3_入力シート【写真】'!Print_Area</vt:lpstr>
      <vt:lpstr>チェックシート!Print_Area</vt:lpstr>
      <vt:lpstr>'＜入力不要＞概要書'!Print_Titles</vt:lpstr>
      <vt:lpstr>'＜入力不要＞調査結果表'!Print_Titles</vt:lpstr>
      <vt:lpstr>'＜入力不要＞報告書'!Print_Titles</vt:lpstr>
      <vt:lpstr>スポーツ練習場等</vt:lpstr>
      <vt:lpstr>飲食等</vt:lpstr>
      <vt:lpstr>学校_体育館_学校付属</vt:lpstr>
      <vt:lpstr>劇場_映画館等</vt:lpstr>
      <vt:lpstr>事務所_サービス店舗等</vt:lpstr>
      <vt:lpstr>児童福祉施設等_1_市指定</vt:lpstr>
      <vt:lpstr>児童福祉施設等_2_国指定</vt:lpstr>
      <vt:lpstr>自動車車庫等</vt:lpstr>
      <vt:lpstr>集会場等</vt:lpstr>
      <vt:lpstr>住居系施設_高齢者_障害者等</vt:lpstr>
      <vt:lpstr>住居系施設_高齢者_障害者等以外</vt:lpstr>
      <vt:lpstr>宿泊施設</vt:lpstr>
      <vt:lpstr>体育館_学校付属以外</vt:lpstr>
      <vt:lpstr>定報対象以外の用途_倉庫</vt:lpstr>
      <vt:lpstr>定報対象以外の用途_倉庫以外</vt:lpstr>
      <vt:lpstr>展示場等</vt:lpstr>
      <vt:lpstr>美術館等</vt:lpstr>
      <vt:lpstr>病院系施設</vt:lpstr>
      <vt:lpstr>物販店等</vt:lpstr>
      <vt:lpstr>遊技場等</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安推_﨑山</cp:lastModifiedBy>
  <cp:lastPrinted>2022-10-25T05:55:12Z</cp:lastPrinted>
  <dcterms:created xsi:type="dcterms:W3CDTF">2022-03-10T13:15:08Z</dcterms:created>
  <dcterms:modified xsi:type="dcterms:W3CDTF">2022-11-14T08:48:16Z</dcterms:modified>
</cp:coreProperties>
</file>